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Переброска\price\"/>
    </mc:Choice>
  </mc:AlternateContent>
  <bookViews>
    <workbookView xWindow="0" yWindow="0" windowWidth="11400" windowHeight="5895" tabRatio="0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G2" i="1" l="1"/>
  <c r="F2" i="1"/>
  <c r="C3" i="1"/>
  <c r="G22279" i="1"/>
  <c r="C22279" i="1"/>
  <c r="G22278" i="1"/>
  <c r="C22278" i="1"/>
  <c r="G22277" i="1"/>
  <c r="C22277" i="1"/>
  <c r="G22276" i="1"/>
  <c r="C22276" i="1"/>
  <c r="G22275" i="1"/>
  <c r="C22275" i="1"/>
  <c r="G22274" i="1"/>
  <c r="C22274" i="1"/>
  <c r="G22273" i="1"/>
  <c r="C22273" i="1"/>
  <c r="G22272" i="1"/>
  <c r="C22272" i="1"/>
  <c r="G22271" i="1"/>
  <c r="C22271" i="1"/>
  <c r="G22270" i="1"/>
  <c r="C22270" i="1"/>
  <c r="G22269" i="1"/>
  <c r="C22269" i="1"/>
  <c r="G22268" i="1"/>
  <c r="C22268" i="1"/>
  <c r="G22267" i="1"/>
  <c r="C22267" i="1"/>
  <c r="G22266" i="1"/>
  <c r="C22266" i="1"/>
  <c r="G22265" i="1"/>
  <c r="C22265" i="1"/>
  <c r="G22264" i="1"/>
  <c r="C22264" i="1"/>
  <c r="G22263" i="1"/>
  <c r="C22263" i="1"/>
  <c r="G22262" i="1"/>
  <c r="C22262" i="1"/>
  <c r="G22261" i="1"/>
  <c r="C22261" i="1"/>
  <c r="G22260" i="1"/>
  <c r="C22260" i="1"/>
  <c r="G22259" i="1"/>
  <c r="C22259" i="1"/>
  <c r="G22258" i="1"/>
  <c r="C22258" i="1"/>
  <c r="G22257" i="1"/>
  <c r="C22257" i="1"/>
  <c r="G22256" i="1"/>
  <c r="C22256" i="1"/>
  <c r="G22255" i="1"/>
  <c r="C22255" i="1"/>
  <c r="G22254" i="1"/>
  <c r="C22254" i="1"/>
  <c r="G22253" i="1"/>
  <c r="C22253" i="1"/>
  <c r="G22252" i="1"/>
  <c r="C22252" i="1"/>
  <c r="G22251" i="1"/>
  <c r="C22251" i="1"/>
  <c r="G22250" i="1"/>
  <c r="C22250" i="1"/>
  <c r="G22249" i="1"/>
  <c r="C22249" i="1"/>
  <c r="G22248" i="1"/>
  <c r="C22248" i="1"/>
  <c r="G22247" i="1"/>
  <c r="C22247" i="1"/>
  <c r="G22246" i="1"/>
  <c r="C22246" i="1"/>
  <c r="G22245" i="1"/>
  <c r="C22245" i="1"/>
  <c r="G22244" i="1"/>
  <c r="C22244" i="1"/>
  <c r="G22243" i="1"/>
  <c r="C22243" i="1"/>
  <c r="G22242" i="1"/>
  <c r="C22242" i="1"/>
  <c r="G22241" i="1"/>
  <c r="C22241" i="1"/>
  <c r="G22240" i="1"/>
  <c r="C22240" i="1"/>
  <c r="G22239" i="1"/>
  <c r="C22239" i="1"/>
  <c r="G22238" i="1"/>
  <c r="C22238" i="1"/>
  <c r="G22237" i="1"/>
  <c r="C22237" i="1"/>
  <c r="G22236" i="1"/>
  <c r="C22236" i="1"/>
  <c r="G22235" i="1"/>
  <c r="C22235" i="1"/>
  <c r="G22234" i="1"/>
  <c r="C22234" i="1"/>
  <c r="G22233" i="1"/>
  <c r="C22233" i="1"/>
  <c r="G22232" i="1"/>
  <c r="C22232" i="1"/>
  <c r="G22231" i="1"/>
  <c r="C22231" i="1"/>
  <c r="G22230" i="1"/>
  <c r="C22230" i="1"/>
  <c r="G22229" i="1"/>
  <c r="C22229" i="1"/>
  <c r="G22228" i="1"/>
  <c r="C22228" i="1"/>
  <c r="G22227" i="1"/>
  <c r="C22227" i="1"/>
  <c r="G22226" i="1"/>
  <c r="C22226" i="1"/>
  <c r="G22225" i="1"/>
  <c r="C22225" i="1"/>
  <c r="G22224" i="1"/>
  <c r="C22224" i="1"/>
  <c r="G22223" i="1"/>
  <c r="C22223" i="1"/>
  <c r="G22222" i="1"/>
  <c r="C22222" i="1"/>
  <c r="G22221" i="1"/>
  <c r="C22221" i="1"/>
  <c r="G22220" i="1"/>
  <c r="C22220" i="1"/>
  <c r="G22219" i="1"/>
  <c r="C22219" i="1"/>
  <c r="G22218" i="1"/>
  <c r="C22218" i="1"/>
  <c r="G22217" i="1"/>
  <c r="C22217" i="1"/>
  <c r="G22216" i="1"/>
  <c r="C22216" i="1"/>
  <c r="G22215" i="1"/>
  <c r="C22215" i="1"/>
  <c r="G22214" i="1"/>
  <c r="C22214" i="1"/>
  <c r="G22213" i="1"/>
  <c r="C22213" i="1"/>
  <c r="G22212" i="1"/>
  <c r="C22212" i="1"/>
  <c r="G22211" i="1"/>
  <c r="C22211" i="1"/>
  <c r="G22210" i="1"/>
  <c r="C22210" i="1"/>
  <c r="G22209" i="1"/>
  <c r="C22209" i="1"/>
  <c r="G22208" i="1"/>
  <c r="C22208" i="1"/>
  <c r="G22207" i="1"/>
  <c r="C22207" i="1"/>
  <c r="G22206" i="1"/>
  <c r="C22206" i="1"/>
  <c r="G22205" i="1"/>
  <c r="C22205" i="1"/>
  <c r="G22204" i="1"/>
  <c r="C22204" i="1"/>
  <c r="G22203" i="1"/>
  <c r="C22203" i="1"/>
  <c r="G22202" i="1"/>
  <c r="C22202" i="1"/>
  <c r="G22201" i="1"/>
  <c r="C22201" i="1"/>
  <c r="G22200" i="1"/>
  <c r="C22200" i="1"/>
  <c r="G22199" i="1"/>
  <c r="C22199" i="1"/>
  <c r="G22198" i="1"/>
  <c r="C22198" i="1"/>
  <c r="G22197" i="1"/>
  <c r="C22197" i="1"/>
  <c r="G22196" i="1"/>
  <c r="C22196" i="1"/>
  <c r="G22195" i="1"/>
  <c r="C22195" i="1"/>
  <c r="G22194" i="1"/>
  <c r="C22194" i="1"/>
  <c r="G22193" i="1"/>
  <c r="C22193" i="1"/>
  <c r="G22192" i="1"/>
  <c r="C22192" i="1"/>
  <c r="G22191" i="1"/>
  <c r="C22191" i="1"/>
  <c r="G22190" i="1"/>
  <c r="C22190" i="1"/>
  <c r="G22189" i="1"/>
  <c r="C22189" i="1"/>
  <c r="G22188" i="1"/>
  <c r="C22188" i="1"/>
  <c r="G22187" i="1"/>
  <c r="C22187" i="1"/>
  <c r="G22186" i="1"/>
  <c r="C22186" i="1"/>
  <c r="G22185" i="1"/>
  <c r="C22185" i="1"/>
  <c r="G22184" i="1"/>
  <c r="C22184" i="1"/>
  <c r="G22183" i="1"/>
  <c r="C22183" i="1"/>
  <c r="G22182" i="1"/>
  <c r="C22182" i="1"/>
  <c r="G22181" i="1"/>
  <c r="C22181" i="1"/>
  <c r="G22180" i="1"/>
  <c r="C22180" i="1"/>
  <c r="G22179" i="1"/>
  <c r="C22179" i="1"/>
  <c r="G22178" i="1"/>
  <c r="C22178" i="1"/>
  <c r="G22177" i="1"/>
  <c r="C22177" i="1"/>
  <c r="G22176" i="1"/>
  <c r="C22176" i="1"/>
  <c r="G22175" i="1"/>
  <c r="C22175" i="1"/>
  <c r="G22174" i="1"/>
  <c r="C22174" i="1"/>
  <c r="G22173" i="1"/>
  <c r="C22173" i="1"/>
  <c r="G22172" i="1"/>
  <c r="C22172" i="1"/>
  <c r="G22171" i="1"/>
  <c r="C22171" i="1"/>
  <c r="G22170" i="1"/>
  <c r="C22170" i="1"/>
  <c r="G22169" i="1"/>
  <c r="C22169" i="1"/>
  <c r="G22167" i="1"/>
  <c r="C22167" i="1"/>
  <c r="G22165" i="1"/>
  <c r="C22165" i="1"/>
  <c r="G22164" i="1"/>
  <c r="C22164" i="1"/>
  <c r="G22163" i="1"/>
  <c r="C22163" i="1"/>
  <c r="G22162" i="1"/>
  <c r="C22162" i="1"/>
  <c r="G22161" i="1"/>
  <c r="C22161" i="1"/>
  <c r="G22160" i="1"/>
  <c r="C22160" i="1"/>
  <c r="G22159" i="1"/>
  <c r="C22159" i="1"/>
  <c r="G22158" i="1"/>
  <c r="C22158" i="1"/>
  <c r="G22157" i="1"/>
  <c r="C22157" i="1"/>
  <c r="G22156" i="1"/>
  <c r="C22156" i="1"/>
  <c r="G22155" i="1"/>
  <c r="C22155" i="1"/>
  <c r="G22154" i="1"/>
  <c r="C22154" i="1"/>
  <c r="G22153" i="1"/>
  <c r="C22153" i="1"/>
  <c r="G22152" i="1"/>
  <c r="C22152" i="1"/>
  <c r="G22151" i="1"/>
  <c r="C22151" i="1"/>
  <c r="G22150" i="1"/>
  <c r="C22150" i="1"/>
  <c r="G22149" i="1"/>
  <c r="C22149" i="1"/>
  <c r="G22147" i="1"/>
  <c r="C22147" i="1"/>
  <c r="G22146" i="1"/>
  <c r="C22146" i="1"/>
  <c r="G22145" i="1"/>
  <c r="C22145" i="1"/>
  <c r="G22144" i="1"/>
  <c r="C22144" i="1"/>
  <c r="G22143" i="1"/>
  <c r="C22143" i="1"/>
  <c r="G22142" i="1"/>
  <c r="C22142" i="1"/>
  <c r="G22141" i="1"/>
  <c r="C22141" i="1"/>
  <c r="G22140" i="1"/>
  <c r="C22140" i="1"/>
  <c r="G22139" i="1"/>
  <c r="C22139" i="1"/>
  <c r="G22138" i="1"/>
  <c r="C22138" i="1"/>
  <c r="G22137" i="1"/>
  <c r="C22137" i="1"/>
  <c r="G22136" i="1"/>
  <c r="C22136" i="1"/>
  <c r="G22135" i="1"/>
  <c r="C22135" i="1"/>
  <c r="G22134" i="1"/>
  <c r="C22134" i="1"/>
  <c r="G22133" i="1"/>
  <c r="C22133" i="1"/>
  <c r="G22132" i="1"/>
  <c r="C22132" i="1"/>
  <c r="G22131" i="1"/>
  <c r="C22131" i="1"/>
  <c r="G22130" i="1"/>
  <c r="C22130" i="1"/>
  <c r="G22129" i="1"/>
  <c r="C22129" i="1"/>
  <c r="G22128" i="1"/>
  <c r="C22128" i="1"/>
  <c r="G22127" i="1"/>
  <c r="C22127" i="1"/>
  <c r="G22126" i="1"/>
  <c r="C22126" i="1"/>
  <c r="G22125" i="1"/>
  <c r="C22125" i="1"/>
  <c r="G22124" i="1"/>
  <c r="C22124" i="1"/>
  <c r="G22123" i="1"/>
  <c r="C22123" i="1"/>
  <c r="G22122" i="1"/>
  <c r="C22122" i="1"/>
  <c r="G22121" i="1"/>
  <c r="C22121" i="1"/>
  <c r="G22120" i="1"/>
  <c r="C22120" i="1"/>
  <c r="G22118" i="1"/>
  <c r="C22118" i="1"/>
  <c r="G22117" i="1"/>
  <c r="C22117" i="1"/>
  <c r="G22116" i="1"/>
  <c r="C22116" i="1"/>
  <c r="G22115" i="1"/>
  <c r="C22115" i="1"/>
  <c r="G22114" i="1"/>
  <c r="C22114" i="1"/>
  <c r="G22113" i="1"/>
  <c r="C22113" i="1"/>
  <c r="G22112" i="1"/>
  <c r="C22112" i="1"/>
  <c r="G22111" i="1"/>
  <c r="C22111" i="1"/>
  <c r="G22110" i="1"/>
  <c r="C22110" i="1"/>
  <c r="G22109" i="1"/>
  <c r="C22109" i="1"/>
  <c r="G22108" i="1"/>
  <c r="C22108" i="1"/>
  <c r="G22107" i="1"/>
  <c r="C22107" i="1"/>
  <c r="G22106" i="1"/>
  <c r="C22106" i="1"/>
  <c r="G22105" i="1"/>
  <c r="C22105" i="1"/>
  <c r="G22104" i="1"/>
  <c r="C22104" i="1"/>
  <c r="G22103" i="1"/>
  <c r="C22103" i="1"/>
  <c r="G22102" i="1"/>
  <c r="C22102" i="1"/>
  <c r="G22101" i="1"/>
  <c r="C22101" i="1"/>
  <c r="G22100" i="1"/>
  <c r="C22100" i="1"/>
  <c r="G22099" i="1"/>
  <c r="C22099" i="1"/>
  <c r="G22098" i="1"/>
  <c r="C22098" i="1"/>
  <c r="G22097" i="1"/>
  <c r="C22097" i="1"/>
  <c r="G22096" i="1"/>
  <c r="C22096" i="1"/>
  <c r="G22095" i="1"/>
  <c r="C22095" i="1"/>
  <c r="G22094" i="1"/>
  <c r="C22094" i="1"/>
  <c r="G22093" i="1"/>
  <c r="C22093" i="1"/>
  <c r="G22092" i="1"/>
  <c r="C22092" i="1"/>
  <c r="G22091" i="1"/>
  <c r="C22091" i="1"/>
  <c r="G22090" i="1"/>
  <c r="C22090" i="1"/>
  <c r="G22088" i="1"/>
  <c r="C22088" i="1"/>
  <c r="G22087" i="1"/>
  <c r="C22087" i="1"/>
  <c r="G22086" i="1"/>
  <c r="C22086" i="1"/>
  <c r="G22085" i="1"/>
  <c r="C22085" i="1"/>
  <c r="G22084" i="1"/>
  <c r="C22084" i="1"/>
  <c r="G22083" i="1"/>
  <c r="C22083" i="1"/>
  <c r="G22082" i="1"/>
  <c r="C22082" i="1"/>
  <c r="G22081" i="1"/>
  <c r="C22081" i="1"/>
  <c r="G22080" i="1"/>
  <c r="C22080" i="1"/>
  <c r="G22079" i="1"/>
  <c r="C22079" i="1"/>
  <c r="G22078" i="1"/>
  <c r="C22078" i="1"/>
  <c r="G22077" i="1"/>
  <c r="C22077" i="1"/>
  <c r="G22076" i="1"/>
  <c r="C22076" i="1"/>
  <c r="G22075" i="1"/>
  <c r="C22075" i="1"/>
  <c r="G22073" i="1"/>
  <c r="C22073" i="1"/>
  <c r="G22072" i="1"/>
  <c r="C22072" i="1"/>
  <c r="G22071" i="1"/>
  <c r="C22071" i="1"/>
  <c r="G22070" i="1"/>
  <c r="C22070" i="1"/>
  <c r="G22069" i="1"/>
  <c r="C22069" i="1"/>
  <c r="G22068" i="1"/>
  <c r="C22068" i="1"/>
  <c r="G22067" i="1"/>
  <c r="C22067" i="1"/>
  <c r="G22066" i="1"/>
  <c r="C22066" i="1"/>
  <c r="G22065" i="1"/>
  <c r="C22065" i="1"/>
  <c r="G22064" i="1"/>
  <c r="C22064" i="1"/>
  <c r="G22063" i="1"/>
  <c r="C22063" i="1"/>
  <c r="G22062" i="1"/>
  <c r="C22062" i="1"/>
  <c r="G22061" i="1"/>
  <c r="C22061" i="1"/>
  <c r="G22060" i="1"/>
  <c r="C22060" i="1"/>
  <c r="G22059" i="1"/>
  <c r="C22059" i="1"/>
  <c r="G22058" i="1"/>
  <c r="C22058" i="1"/>
  <c r="G22057" i="1"/>
  <c r="C22057" i="1"/>
  <c r="G22055" i="1"/>
  <c r="C22055" i="1"/>
  <c r="G22054" i="1"/>
  <c r="C22054" i="1"/>
  <c r="G22053" i="1"/>
  <c r="C22053" i="1"/>
  <c r="G22052" i="1"/>
  <c r="C22052" i="1"/>
  <c r="G22051" i="1"/>
  <c r="C22051" i="1"/>
  <c r="G22050" i="1"/>
  <c r="C22050" i="1"/>
  <c r="G22049" i="1"/>
  <c r="C22049" i="1"/>
  <c r="G22048" i="1"/>
  <c r="C22048" i="1"/>
  <c r="G22047" i="1"/>
  <c r="C22047" i="1"/>
  <c r="G22046" i="1"/>
  <c r="C22046" i="1"/>
  <c r="G22045" i="1"/>
  <c r="C22045" i="1"/>
  <c r="G22044" i="1"/>
  <c r="C22044" i="1"/>
  <c r="G22043" i="1"/>
  <c r="C22043" i="1"/>
  <c r="G22042" i="1"/>
  <c r="C22042" i="1"/>
  <c r="G22041" i="1"/>
  <c r="C22041" i="1"/>
  <c r="G22040" i="1"/>
  <c r="C22040" i="1"/>
  <c r="G22039" i="1"/>
  <c r="C22039" i="1"/>
  <c r="G22038" i="1"/>
  <c r="C22038" i="1"/>
  <c r="G22037" i="1"/>
  <c r="C22037" i="1"/>
  <c r="G22036" i="1"/>
  <c r="C22036" i="1"/>
  <c r="G22035" i="1"/>
  <c r="C22035" i="1"/>
  <c r="G22034" i="1"/>
  <c r="C22034" i="1"/>
  <c r="G22033" i="1"/>
  <c r="C22033" i="1"/>
  <c r="G22032" i="1"/>
  <c r="C22032" i="1"/>
  <c r="G22031" i="1"/>
  <c r="C22031" i="1"/>
  <c r="G22030" i="1"/>
  <c r="C22030" i="1"/>
  <c r="G22029" i="1"/>
  <c r="C22029" i="1"/>
  <c r="G22028" i="1"/>
  <c r="C22028" i="1"/>
  <c r="G22027" i="1"/>
  <c r="C22027" i="1"/>
  <c r="G22026" i="1"/>
  <c r="C22026" i="1"/>
  <c r="G22025" i="1"/>
  <c r="C22025" i="1"/>
  <c r="G22024" i="1"/>
  <c r="C22024" i="1"/>
  <c r="G22023" i="1"/>
  <c r="C22023" i="1"/>
  <c r="G22022" i="1"/>
  <c r="C22022" i="1"/>
  <c r="G22021" i="1"/>
  <c r="C22021" i="1"/>
  <c r="G22020" i="1"/>
  <c r="C22020" i="1"/>
  <c r="G22019" i="1"/>
  <c r="C22019" i="1"/>
  <c r="G22018" i="1"/>
  <c r="C22018" i="1"/>
  <c r="G22017" i="1"/>
  <c r="C22017" i="1"/>
  <c r="G22016" i="1"/>
  <c r="C22016" i="1"/>
  <c r="G22015" i="1"/>
  <c r="C22015" i="1"/>
  <c r="G22014" i="1"/>
  <c r="C22014" i="1"/>
  <c r="G22013" i="1"/>
  <c r="C22013" i="1"/>
  <c r="G22012" i="1"/>
  <c r="C22012" i="1"/>
  <c r="G22011" i="1"/>
  <c r="C22011" i="1"/>
  <c r="G22010" i="1"/>
  <c r="C22010" i="1"/>
  <c r="G22009" i="1"/>
  <c r="C22009" i="1"/>
  <c r="G22008" i="1"/>
  <c r="C22008" i="1"/>
  <c r="G22007" i="1"/>
  <c r="C22007" i="1"/>
  <c r="G22006" i="1"/>
  <c r="C22006" i="1"/>
  <c r="G22005" i="1"/>
  <c r="C22005" i="1"/>
  <c r="G22004" i="1"/>
  <c r="C22004" i="1"/>
  <c r="G22003" i="1"/>
  <c r="C22003" i="1"/>
  <c r="G22002" i="1"/>
  <c r="C22002" i="1"/>
  <c r="G22001" i="1"/>
  <c r="C22001" i="1"/>
  <c r="G22000" i="1"/>
  <c r="C22000" i="1"/>
  <c r="G21999" i="1"/>
  <c r="C21999" i="1"/>
  <c r="G21998" i="1"/>
  <c r="C21998" i="1"/>
  <c r="G21997" i="1"/>
  <c r="C21997" i="1"/>
  <c r="G21996" i="1"/>
  <c r="C21996" i="1"/>
  <c r="G21995" i="1"/>
  <c r="C21995" i="1"/>
  <c r="G21994" i="1"/>
  <c r="C21994" i="1"/>
  <c r="G21992" i="1"/>
  <c r="C21992" i="1"/>
  <c r="G21991" i="1"/>
  <c r="C21991" i="1"/>
  <c r="G21990" i="1"/>
  <c r="C21990" i="1"/>
  <c r="G21989" i="1"/>
  <c r="C21989" i="1"/>
  <c r="G21988" i="1"/>
  <c r="C21988" i="1"/>
  <c r="G21987" i="1"/>
  <c r="C21987" i="1"/>
  <c r="G21986" i="1"/>
  <c r="C21986" i="1"/>
  <c r="G21985" i="1"/>
  <c r="C21985" i="1"/>
  <c r="G21984" i="1"/>
  <c r="C21984" i="1"/>
  <c r="G21983" i="1"/>
  <c r="C21983" i="1"/>
  <c r="G21982" i="1"/>
  <c r="C21982" i="1"/>
  <c r="G21981" i="1"/>
  <c r="C21981" i="1"/>
  <c r="G21980" i="1"/>
  <c r="C21980" i="1"/>
  <c r="G21979" i="1"/>
  <c r="C21979" i="1"/>
  <c r="G21978" i="1"/>
  <c r="C21978" i="1"/>
  <c r="G21977" i="1"/>
  <c r="C21977" i="1"/>
  <c r="G21976" i="1"/>
  <c r="C21976" i="1"/>
  <c r="G21975" i="1"/>
  <c r="C21975" i="1"/>
  <c r="G21974" i="1"/>
  <c r="C21974" i="1"/>
  <c r="G21973" i="1"/>
  <c r="C21973" i="1"/>
  <c r="G21972" i="1"/>
  <c r="C21972" i="1"/>
  <c r="G21971" i="1"/>
  <c r="C21971" i="1"/>
  <c r="G21970" i="1"/>
  <c r="C21970" i="1"/>
  <c r="G21969" i="1"/>
  <c r="C21969" i="1"/>
  <c r="G21968" i="1"/>
  <c r="C21968" i="1"/>
  <c r="G21967" i="1"/>
  <c r="C21967" i="1"/>
  <c r="G21966" i="1"/>
  <c r="C21966" i="1"/>
  <c r="G21965" i="1"/>
  <c r="C21965" i="1"/>
  <c r="G21964" i="1"/>
  <c r="C21964" i="1"/>
  <c r="G21963" i="1"/>
  <c r="C21963" i="1"/>
  <c r="G21962" i="1"/>
  <c r="C21962" i="1"/>
  <c r="G21961" i="1"/>
  <c r="C21961" i="1"/>
  <c r="G21960" i="1"/>
  <c r="C21960" i="1"/>
  <c r="G21959" i="1"/>
  <c r="C21959" i="1"/>
  <c r="G21958" i="1"/>
  <c r="C21958" i="1"/>
  <c r="G21957" i="1"/>
  <c r="C21957" i="1"/>
  <c r="G21956" i="1"/>
  <c r="C21956" i="1"/>
  <c r="G21955" i="1"/>
  <c r="C21955" i="1"/>
  <c r="G21954" i="1"/>
  <c r="C21954" i="1"/>
  <c r="G21953" i="1"/>
  <c r="C21953" i="1"/>
  <c r="G21952" i="1"/>
  <c r="C21952" i="1"/>
  <c r="G21951" i="1"/>
  <c r="C21951" i="1"/>
  <c r="G21950" i="1"/>
  <c r="C21950" i="1"/>
  <c r="G21949" i="1"/>
  <c r="C21949" i="1"/>
  <c r="G21948" i="1"/>
  <c r="C21948" i="1"/>
  <c r="G21947" i="1"/>
  <c r="C21947" i="1"/>
  <c r="G21946" i="1"/>
  <c r="C21946" i="1"/>
  <c r="G21945" i="1"/>
  <c r="C21945" i="1"/>
  <c r="G21943" i="1"/>
  <c r="C21943" i="1"/>
  <c r="G21942" i="1"/>
  <c r="C21942" i="1"/>
  <c r="G21941" i="1"/>
  <c r="C21941" i="1"/>
  <c r="G21940" i="1"/>
  <c r="C21940" i="1"/>
  <c r="G21939" i="1"/>
  <c r="C21939" i="1"/>
  <c r="G21938" i="1"/>
  <c r="C21938" i="1"/>
  <c r="G21937" i="1"/>
  <c r="C21937" i="1"/>
  <c r="G21936" i="1"/>
  <c r="C21936" i="1"/>
  <c r="G21935" i="1"/>
  <c r="C21935" i="1"/>
  <c r="G21934" i="1"/>
  <c r="C21934" i="1"/>
  <c r="G21933" i="1"/>
  <c r="C21933" i="1"/>
  <c r="G21932" i="1"/>
  <c r="C21932" i="1"/>
  <c r="G21931" i="1"/>
  <c r="C21931" i="1"/>
  <c r="G21930" i="1"/>
  <c r="C21930" i="1"/>
  <c r="G21929" i="1"/>
  <c r="C21929" i="1"/>
  <c r="G21928" i="1"/>
  <c r="C21928" i="1"/>
  <c r="G21927" i="1"/>
  <c r="C21927" i="1"/>
  <c r="G21926" i="1"/>
  <c r="C21926" i="1"/>
  <c r="G21925" i="1"/>
  <c r="C21925" i="1"/>
  <c r="G21924" i="1"/>
  <c r="C21924" i="1"/>
  <c r="G21923" i="1"/>
  <c r="C21923" i="1"/>
  <c r="G21922" i="1"/>
  <c r="C21922" i="1"/>
  <c r="G21921" i="1"/>
  <c r="C21921" i="1"/>
  <c r="G21920" i="1"/>
  <c r="C21920" i="1"/>
  <c r="G21918" i="1"/>
  <c r="C21918" i="1"/>
  <c r="G21917" i="1"/>
  <c r="C21917" i="1"/>
  <c r="G21916" i="1"/>
  <c r="C21916" i="1"/>
  <c r="G21915" i="1"/>
  <c r="C21915" i="1"/>
  <c r="G21914" i="1"/>
  <c r="C21914" i="1"/>
  <c r="G21913" i="1"/>
  <c r="C21913" i="1"/>
  <c r="G21912" i="1"/>
  <c r="C21912" i="1"/>
  <c r="G21911" i="1"/>
  <c r="C21911" i="1"/>
  <c r="G21910" i="1"/>
  <c r="C21910" i="1"/>
  <c r="G21909" i="1"/>
  <c r="C21909" i="1"/>
  <c r="G21908" i="1"/>
  <c r="C21908" i="1"/>
  <c r="G21907" i="1"/>
  <c r="C21907" i="1"/>
  <c r="G21906" i="1"/>
  <c r="C21906" i="1"/>
  <c r="G21905" i="1"/>
  <c r="C21905" i="1"/>
  <c r="G21904" i="1"/>
  <c r="C21904" i="1"/>
  <c r="G21903" i="1"/>
  <c r="C21903" i="1"/>
  <c r="G21901" i="1"/>
  <c r="C21901" i="1"/>
  <c r="G21900" i="1"/>
  <c r="C21900" i="1"/>
  <c r="G21898" i="1"/>
  <c r="C21898" i="1"/>
  <c r="G21897" i="1"/>
  <c r="C21897" i="1"/>
  <c r="G21895" i="1"/>
  <c r="C21895" i="1"/>
  <c r="G21894" i="1"/>
  <c r="C21894" i="1"/>
  <c r="G21893" i="1"/>
  <c r="C21893" i="1"/>
  <c r="G21892" i="1"/>
  <c r="C21892" i="1"/>
  <c r="G21891" i="1"/>
  <c r="C21891" i="1"/>
  <c r="G21890" i="1"/>
  <c r="C21890" i="1"/>
  <c r="G21889" i="1"/>
  <c r="C21889" i="1"/>
  <c r="G21888" i="1"/>
  <c r="C21888" i="1"/>
  <c r="G21887" i="1"/>
  <c r="C21887" i="1"/>
  <c r="G21886" i="1"/>
  <c r="C21886" i="1"/>
  <c r="G21885" i="1"/>
  <c r="C21885" i="1"/>
  <c r="G21884" i="1"/>
  <c r="C21884" i="1"/>
  <c r="G21883" i="1"/>
  <c r="C21883" i="1"/>
  <c r="G21882" i="1"/>
  <c r="C21882" i="1"/>
  <c r="G21881" i="1"/>
  <c r="C21881" i="1"/>
  <c r="G21880" i="1"/>
  <c r="C21880" i="1"/>
  <c r="G21879" i="1"/>
  <c r="C21879" i="1"/>
  <c r="G21878" i="1"/>
  <c r="C21878" i="1"/>
  <c r="G21877" i="1"/>
  <c r="C21877" i="1"/>
  <c r="G21876" i="1"/>
  <c r="C21876" i="1"/>
  <c r="G21875" i="1"/>
  <c r="C21875" i="1"/>
  <c r="G21874" i="1"/>
  <c r="C21874" i="1"/>
  <c r="G21873" i="1"/>
  <c r="C21873" i="1"/>
  <c r="G21872" i="1"/>
  <c r="C21872" i="1"/>
  <c r="G21870" i="1"/>
  <c r="C21870" i="1"/>
  <c r="G21869" i="1"/>
  <c r="C21869" i="1"/>
  <c r="G21868" i="1"/>
  <c r="C21868" i="1"/>
  <c r="G21867" i="1"/>
  <c r="C21867" i="1"/>
  <c r="G21866" i="1"/>
  <c r="C21866" i="1"/>
  <c r="G21865" i="1"/>
  <c r="C21865" i="1"/>
  <c r="G21864" i="1"/>
  <c r="C21864" i="1"/>
  <c r="G21863" i="1"/>
  <c r="C21863" i="1"/>
  <c r="G21862" i="1"/>
  <c r="C21862" i="1"/>
  <c r="G21861" i="1"/>
  <c r="C21861" i="1"/>
  <c r="G21860" i="1"/>
  <c r="C21860" i="1"/>
  <c r="G21859" i="1"/>
  <c r="C21859" i="1"/>
  <c r="G21858" i="1"/>
  <c r="C21858" i="1"/>
  <c r="G21857" i="1"/>
  <c r="C21857" i="1"/>
  <c r="G21856" i="1"/>
  <c r="C21856" i="1"/>
  <c r="G21855" i="1"/>
  <c r="C21855" i="1"/>
  <c r="G21854" i="1"/>
  <c r="C21854" i="1"/>
  <c r="G21853" i="1"/>
  <c r="C21853" i="1"/>
  <c r="G21852" i="1"/>
  <c r="C21852" i="1"/>
  <c r="G21851" i="1"/>
  <c r="C21851" i="1"/>
  <c r="G21850" i="1"/>
  <c r="C21850" i="1"/>
  <c r="G21849" i="1"/>
  <c r="C21849" i="1"/>
  <c r="G21848" i="1"/>
  <c r="C21848" i="1"/>
  <c r="G21847" i="1"/>
  <c r="C21847" i="1"/>
  <c r="G21846" i="1"/>
  <c r="C21846" i="1"/>
  <c r="G21845" i="1"/>
  <c r="C21845" i="1"/>
  <c r="G21844" i="1"/>
  <c r="C21844" i="1"/>
  <c r="G21843" i="1"/>
  <c r="C21843" i="1"/>
  <c r="G21842" i="1"/>
  <c r="C21842" i="1"/>
  <c r="G21841" i="1"/>
  <c r="C21841" i="1"/>
  <c r="G21840" i="1"/>
  <c r="C21840" i="1"/>
  <c r="G21838" i="1"/>
  <c r="C21838" i="1"/>
  <c r="G21837" i="1"/>
  <c r="C21837" i="1"/>
  <c r="G21836" i="1"/>
  <c r="C21836" i="1"/>
  <c r="G21835" i="1"/>
  <c r="C21835" i="1"/>
  <c r="G21834" i="1"/>
  <c r="C21834" i="1"/>
  <c r="G21833" i="1"/>
  <c r="C21833" i="1"/>
  <c r="G21832" i="1"/>
  <c r="C21832" i="1"/>
  <c r="G21831" i="1"/>
  <c r="C21831" i="1"/>
  <c r="G21829" i="1"/>
  <c r="C21829" i="1"/>
  <c r="G21828" i="1"/>
  <c r="C21828" i="1"/>
  <c r="G21827" i="1"/>
  <c r="C21827" i="1"/>
  <c r="G21826" i="1"/>
  <c r="C21826" i="1"/>
  <c r="G21825" i="1"/>
  <c r="C21825" i="1"/>
  <c r="G21824" i="1"/>
  <c r="C21824" i="1"/>
  <c r="G21823" i="1"/>
  <c r="C21823" i="1"/>
  <c r="G21822" i="1"/>
  <c r="C21822" i="1"/>
  <c r="G21821" i="1"/>
  <c r="C21821" i="1"/>
  <c r="G21820" i="1"/>
  <c r="C21820" i="1"/>
  <c r="G21819" i="1"/>
  <c r="C21819" i="1"/>
  <c r="G21817" i="1"/>
  <c r="C21817" i="1"/>
  <c r="G21816" i="1"/>
  <c r="C21816" i="1"/>
  <c r="G21815" i="1"/>
  <c r="C21815" i="1"/>
  <c r="G21814" i="1"/>
  <c r="C21814" i="1"/>
  <c r="G21813" i="1"/>
  <c r="C21813" i="1"/>
  <c r="G21812" i="1"/>
  <c r="C21812" i="1"/>
  <c r="G21811" i="1"/>
  <c r="C21811" i="1"/>
  <c r="G21810" i="1"/>
  <c r="C21810" i="1"/>
  <c r="G21809" i="1"/>
  <c r="C21809" i="1"/>
  <c r="G21808" i="1"/>
  <c r="C21808" i="1"/>
  <c r="G21807" i="1"/>
  <c r="C21807" i="1"/>
  <c r="G21806" i="1"/>
  <c r="C21806" i="1"/>
  <c r="G21805" i="1"/>
  <c r="C21805" i="1"/>
  <c r="G21804" i="1"/>
  <c r="C21804" i="1"/>
  <c r="G21803" i="1"/>
  <c r="C21803" i="1"/>
  <c r="G21802" i="1"/>
  <c r="C21802" i="1"/>
  <c r="G21801" i="1"/>
  <c r="C21801" i="1"/>
  <c r="G21800" i="1"/>
  <c r="C21800" i="1"/>
  <c r="G21799" i="1"/>
  <c r="C21799" i="1"/>
  <c r="G21798" i="1"/>
  <c r="C21798" i="1"/>
  <c r="G21797" i="1"/>
  <c r="C21797" i="1"/>
  <c r="G21796" i="1"/>
  <c r="C21796" i="1"/>
  <c r="G21795" i="1"/>
  <c r="C21795" i="1"/>
  <c r="G21794" i="1"/>
  <c r="C21794" i="1"/>
  <c r="G21793" i="1"/>
  <c r="C21793" i="1"/>
  <c r="G21792" i="1"/>
  <c r="C21792" i="1"/>
  <c r="G21791" i="1"/>
  <c r="C21791" i="1"/>
  <c r="G21790" i="1"/>
  <c r="C21790" i="1"/>
  <c r="G21789" i="1"/>
  <c r="C21789" i="1"/>
  <c r="G21788" i="1"/>
  <c r="C21788" i="1"/>
  <c r="G21787" i="1"/>
  <c r="C21787" i="1"/>
  <c r="G21786" i="1"/>
  <c r="C21786" i="1"/>
  <c r="G21785" i="1"/>
  <c r="C21785" i="1"/>
  <c r="G21784" i="1"/>
  <c r="C21784" i="1"/>
  <c r="G21783" i="1"/>
  <c r="C21783" i="1"/>
  <c r="G21782" i="1"/>
  <c r="C21782" i="1"/>
  <c r="G21781" i="1"/>
  <c r="C21781" i="1"/>
  <c r="G21780" i="1"/>
  <c r="C21780" i="1"/>
  <c r="G21779" i="1"/>
  <c r="C21779" i="1"/>
  <c r="G21778" i="1"/>
  <c r="C21778" i="1"/>
  <c r="G21777" i="1"/>
  <c r="C21777" i="1"/>
  <c r="G21776" i="1"/>
  <c r="C21776" i="1"/>
  <c r="G21775" i="1"/>
  <c r="C21775" i="1"/>
  <c r="G21774" i="1"/>
  <c r="C21774" i="1"/>
  <c r="G21773" i="1"/>
  <c r="C21773" i="1"/>
  <c r="G21772" i="1"/>
  <c r="C21772" i="1"/>
  <c r="G21771" i="1"/>
  <c r="C21771" i="1"/>
  <c r="G21770" i="1"/>
  <c r="C21770" i="1"/>
  <c r="G21769" i="1"/>
  <c r="C21769" i="1"/>
  <c r="G21768" i="1"/>
  <c r="C21768" i="1"/>
  <c r="G21767" i="1"/>
  <c r="C21767" i="1"/>
  <c r="G21766" i="1"/>
  <c r="C21766" i="1"/>
  <c r="G21765" i="1"/>
  <c r="C21765" i="1"/>
  <c r="G21764" i="1"/>
  <c r="C21764" i="1"/>
  <c r="G21763" i="1"/>
  <c r="C21763" i="1"/>
  <c r="G21762" i="1"/>
  <c r="C21762" i="1"/>
  <c r="G21761" i="1"/>
  <c r="C21761" i="1"/>
  <c r="G21760" i="1"/>
  <c r="C21760" i="1"/>
  <c r="G21759" i="1"/>
  <c r="C21759" i="1"/>
  <c r="G21758" i="1"/>
  <c r="C21758" i="1"/>
  <c r="G21757" i="1"/>
  <c r="C21757" i="1"/>
  <c r="G21755" i="1"/>
  <c r="C21755" i="1"/>
  <c r="G21754" i="1"/>
  <c r="C21754" i="1"/>
  <c r="G21753" i="1"/>
  <c r="C21753" i="1"/>
  <c r="G21752" i="1"/>
  <c r="C21752" i="1"/>
  <c r="G21751" i="1"/>
  <c r="C21751" i="1"/>
  <c r="G21750" i="1"/>
  <c r="C21750" i="1"/>
  <c r="G21749" i="1"/>
  <c r="C21749" i="1"/>
  <c r="G21748" i="1"/>
  <c r="C21748" i="1"/>
  <c r="G21747" i="1"/>
  <c r="C21747" i="1"/>
  <c r="G21746" i="1"/>
  <c r="C21746" i="1"/>
  <c r="G21745" i="1"/>
  <c r="C21745" i="1"/>
  <c r="G21744" i="1"/>
  <c r="C21744" i="1"/>
  <c r="G21743" i="1"/>
  <c r="C21743" i="1"/>
  <c r="G21742" i="1"/>
  <c r="C21742" i="1"/>
  <c r="G21741" i="1"/>
  <c r="C21741" i="1"/>
  <c r="G21740" i="1"/>
  <c r="C21740" i="1"/>
  <c r="G21739" i="1"/>
  <c r="C21739" i="1"/>
  <c r="G21738" i="1"/>
  <c r="C21738" i="1"/>
  <c r="G21737" i="1"/>
  <c r="C21737" i="1"/>
  <c r="G21736" i="1"/>
  <c r="C21736" i="1"/>
  <c r="G21735" i="1"/>
  <c r="C21735" i="1"/>
  <c r="G21734" i="1"/>
  <c r="C21734" i="1"/>
  <c r="G21733" i="1"/>
  <c r="C21733" i="1"/>
  <c r="G21732" i="1"/>
  <c r="C21732" i="1"/>
  <c r="G21730" i="1"/>
  <c r="C21730" i="1"/>
  <c r="G21729" i="1"/>
  <c r="C21729" i="1"/>
  <c r="G21728" i="1"/>
  <c r="C21728" i="1"/>
  <c r="G21727" i="1"/>
  <c r="C21727" i="1"/>
  <c r="G21726" i="1"/>
  <c r="C21726" i="1"/>
  <c r="G21725" i="1"/>
  <c r="C21725" i="1"/>
  <c r="G21724" i="1"/>
  <c r="C21724" i="1"/>
  <c r="G21723" i="1"/>
  <c r="C21723" i="1"/>
  <c r="G21722" i="1"/>
  <c r="C21722" i="1"/>
  <c r="G21721" i="1"/>
  <c r="C21721" i="1"/>
  <c r="G21720" i="1"/>
  <c r="C21720" i="1"/>
  <c r="G21719" i="1"/>
  <c r="C21719" i="1"/>
  <c r="G21718" i="1"/>
  <c r="C21718" i="1"/>
  <c r="G21717" i="1"/>
  <c r="C21717" i="1"/>
  <c r="G21716" i="1"/>
  <c r="C21716" i="1"/>
  <c r="G21715" i="1"/>
  <c r="C21715" i="1"/>
  <c r="G21714" i="1"/>
  <c r="C21714" i="1"/>
  <c r="G21713" i="1"/>
  <c r="C21713" i="1"/>
  <c r="G21712" i="1"/>
  <c r="C21712" i="1"/>
  <c r="G21711" i="1"/>
  <c r="C21711" i="1"/>
  <c r="G21710" i="1"/>
  <c r="C21710" i="1"/>
  <c r="G21709" i="1"/>
  <c r="C21709" i="1"/>
  <c r="G21708" i="1"/>
  <c r="C21708" i="1"/>
  <c r="G21707" i="1"/>
  <c r="C21707" i="1"/>
  <c r="G21706" i="1"/>
  <c r="C21706" i="1"/>
  <c r="G21705" i="1"/>
  <c r="C21705" i="1"/>
  <c r="G21704" i="1"/>
  <c r="C21704" i="1"/>
  <c r="G21703" i="1"/>
  <c r="C21703" i="1"/>
  <c r="G21702" i="1"/>
  <c r="C21702" i="1"/>
  <c r="G21701" i="1"/>
  <c r="C21701" i="1"/>
  <c r="G21700" i="1"/>
  <c r="C21700" i="1"/>
  <c r="G21699" i="1"/>
  <c r="C21699" i="1"/>
  <c r="G21698" i="1"/>
  <c r="C21698" i="1"/>
  <c r="G21697" i="1"/>
  <c r="C21697" i="1"/>
  <c r="G21696" i="1"/>
  <c r="C21696" i="1"/>
  <c r="G21695" i="1"/>
  <c r="C21695" i="1"/>
  <c r="G21694" i="1"/>
  <c r="C21694" i="1"/>
  <c r="G21693" i="1"/>
  <c r="C21693" i="1"/>
  <c r="G21692" i="1"/>
  <c r="C21692" i="1"/>
  <c r="G21691" i="1"/>
  <c r="C21691" i="1"/>
  <c r="G21690" i="1"/>
  <c r="C21690" i="1"/>
  <c r="G21689" i="1"/>
  <c r="C21689" i="1"/>
  <c r="G21688" i="1"/>
  <c r="C21688" i="1"/>
  <c r="G21687" i="1"/>
  <c r="C21687" i="1"/>
  <c r="G21686" i="1"/>
  <c r="C21686" i="1"/>
  <c r="G21685" i="1"/>
  <c r="C21685" i="1"/>
  <c r="G21684" i="1"/>
  <c r="C21684" i="1"/>
  <c r="G21683" i="1"/>
  <c r="C21683" i="1"/>
  <c r="G21682" i="1"/>
  <c r="C21682" i="1"/>
  <c r="G21680" i="1"/>
  <c r="C21680" i="1"/>
  <c r="G21679" i="1"/>
  <c r="C21679" i="1"/>
  <c r="G21678" i="1"/>
  <c r="C21678" i="1"/>
  <c r="G21677" i="1"/>
  <c r="C21677" i="1"/>
  <c r="G21676" i="1"/>
  <c r="C21676" i="1"/>
  <c r="G21675" i="1"/>
  <c r="C21675" i="1"/>
  <c r="G21674" i="1"/>
  <c r="C21674" i="1"/>
  <c r="G21673" i="1"/>
  <c r="C21673" i="1"/>
  <c r="G21672" i="1"/>
  <c r="C21672" i="1"/>
  <c r="G21671" i="1"/>
  <c r="C21671" i="1"/>
  <c r="G21670" i="1"/>
  <c r="C21670" i="1"/>
  <c r="G21669" i="1"/>
  <c r="C21669" i="1"/>
  <c r="G21668" i="1"/>
  <c r="C21668" i="1"/>
  <c r="G21667" i="1"/>
  <c r="C21667" i="1"/>
  <c r="G21666" i="1"/>
  <c r="C21666" i="1"/>
  <c r="G21665" i="1"/>
  <c r="C21665" i="1"/>
  <c r="G21664" i="1"/>
  <c r="C21664" i="1"/>
  <c r="G21663" i="1"/>
  <c r="C21663" i="1"/>
  <c r="G21662" i="1"/>
  <c r="C21662" i="1"/>
  <c r="G21661" i="1"/>
  <c r="C21661" i="1"/>
  <c r="G21660" i="1"/>
  <c r="C21660" i="1"/>
  <c r="G21659" i="1"/>
  <c r="C21659" i="1"/>
  <c r="G21658" i="1"/>
  <c r="C21658" i="1"/>
  <c r="G21657" i="1"/>
  <c r="C21657" i="1"/>
  <c r="G21656" i="1"/>
  <c r="C21656" i="1"/>
  <c r="G21655" i="1"/>
  <c r="C21655" i="1"/>
  <c r="G21654" i="1"/>
  <c r="C21654" i="1"/>
  <c r="G21653" i="1"/>
  <c r="C21653" i="1"/>
  <c r="G21652" i="1"/>
  <c r="C21652" i="1"/>
  <c r="G21651" i="1"/>
  <c r="C21651" i="1"/>
  <c r="G21648" i="1"/>
  <c r="C21648" i="1"/>
  <c r="G21647" i="1"/>
  <c r="C21647" i="1"/>
  <c r="G21646" i="1"/>
  <c r="C21646" i="1"/>
  <c r="G21645" i="1"/>
  <c r="C21645" i="1"/>
  <c r="G21644" i="1"/>
  <c r="C21644" i="1"/>
  <c r="G21643" i="1"/>
  <c r="C21643" i="1"/>
  <c r="G21642" i="1"/>
  <c r="C21642" i="1"/>
  <c r="G21641" i="1"/>
  <c r="C21641" i="1"/>
  <c r="G21640" i="1"/>
  <c r="C21640" i="1"/>
  <c r="G21639" i="1"/>
  <c r="C21639" i="1"/>
  <c r="G21638" i="1"/>
  <c r="C21638" i="1"/>
  <c r="G21637" i="1"/>
  <c r="C21637" i="1"/>
  <c r="G21636" i="1"/>
  <c r="C21636" i="1"/>
  <c r="G21635" i="1"/>
  <c r="C21635" i="1"/>
  <c r="G21634" i="1"/>
  <c r="C21634" i="1"/>
  <c r="G21632" i="1"/>
  <c r="C21632" i="1"/>
  <c r="G21631" i="1"/>
  <c r="C21631" i="1"/>
  <c r="G21630" i="1"/>
  <c r="C21630" i="1"/>
  <c r="G21629" i="1"/>
  <c r="C21629" i="1"/>
  <c r="G21628" i="1"/>
  <c r="C21628" i="1"/>
  <c r="G21627" i="1"/>
  <c r="C21627" i="1"/>
  <c r="G21626" i="1"/>
  <c r="C21626" i="1"/>
  <c r="G21625" i="1"/>
  <c r="C21625" i="1"/>
  <c r="G21624" i="1"/>
  <c r="C21624" i="1"/>
  <c r="G21623" i="1"/>
  <c r="C21623" i="1"/>
  <c r="G21622" i="1"/>
  <c r="C21622" i="1"/>
  <c r="G21621" i="1"/>
  <c r="C21621" i="1"/>
  <c r="G21620" i="1"/>
  <c r="C21620" i="1"/>
  <c r="G21619" i="1"/>
  <c r="C21619" i="1"/>
  <c r="G21618" i="1"/>
  <c r="C21618" i="1"/>
  <c r="G21617" i="1"/>
  <c r="C21617" i="1"/>
  <c r="G21616" i="1"/>
  <c r="C21616" i="1"/>
  <c r="G21615" i="1"/>
  <c r="C21615" i="1"/>
  <c r="G21614" i="1"/>
  <c r="C21614" i="1"/>
  <c r="G21613" i="1"/>
  <c r="C21613" i="1"/>
  <c r="G21612" i="1"/>
  <c r="C21612" i="1"/>
  <c r="G21611" i="1"/>
  <c r="C21611" i="1"/>
  <c r="G21610" i="1"/>
  <c r="C21610" i="1"/>
  <c r="G21609" i="1"/>
  <c r="C21609" i="1"/>
  <c r="G21608" i="1"/>
  <c r="C21608" i="1"/>
  <c r="G21607" i="1"/>
  <c r="C21607" i="1"/>
  <c r="G21606" i="1"/>
  <c r="C21606" i="1"/>
  <c r="G21605" i="1"/>
  <c r="C21605" i="1"/>
  <c r="G21604" i="1"/>
  <c r="C21604" i="1"/>
  <c r="G21603" i="1"/>
  <c r="C21603" i="1"/>
  <c r="G21602" i="1"/>
  <c r="C21602" i="1"/>
  <c r="G21601" i="1"/>
  <c r="C21601" i="1"/>
  <c r="G21600" i="1"/>
  <c r="C21600" i="1"/>
  <c r="G21599" i="1"/>
  <c r="C21599" i="1"/>
  <c r="G21598" i="1"/>
  <c r="C21598" i="1"/>
  <c r="G21597" i="1"/>
  <c r="C21597" i="1"/>
  <c r="G21596" i="1"/>
  <c r="C21596" i="1"/>
  <c r="G21595" i="1"/>
  <c r="C21595" i="1"/>
  <c r="G21594" i="1"/>
  <c r="C21594" i="1"/>
  <c r="G21593" i="1"/>
  <c r="C21593" i="1"/>
  <c r="G21592" i="1"/>
  <c r="C21592" i="1"/>
  <c r="G21591" i="1"/>
  <c r="C21591" i="1"/>
  <c r="G21590" i="1"/>
  <c r="C21590" i="1"/>
  <c r="G21589" i="1"/>
  <c r="C21589" i="1"/>
  <c r="G21587" i="1"/>
  <c r="C21587" i="1"/>
  <c r="G21586" i="1"/>
  <c r="C21586" i="1"/>
  <c r="G21585" i="1"/>
  <c r="C21585" i="1"/>
  <c r="G21584" i="1"/>
  <c r="C21584" i="1"/>
  <c r="G21583" i="1"/>
  <c r="C21583" i="1"/>
  <c r="G21582" i="1"/>
  <c r="C21582" i="1"/>
  <c r="G21581" i="1"/>
  <c r="C21581" i="1"/>
  <c r="G21580" i="1"/>
  <c r="C21580" i="1"/>
  <c r="G21579" i="1"/>
  <c r="C21579" i="1"/>
  <c r="G21578" i="1"/>
  <c r="C21578" i="1"/>
  <c r="G21577" i="1"/>
  <c r="C21577" i="1"/>
  <c r="G21576" i="1"/>
  <c r="C21576" i="1"/>
  <c r="G21575" i="1"/>
  <c r="C21575" i="1"/>
  <c r="G21574" i="1"/>
  <c r="C21574" i="1"/>
  <c r="G21573" i="1"/>
  <c r="C21573" i="1"/>
  <c r="G21572" i="1"/>
  <c r="C21572" i="1"/>
  <c r="G21571" i="1"/>
  <c r="C21571" i="1"/>
  <c r="G21570" i="1"/>
  <c r="C21570" i="1"/>
  <c r="G21569" i="1"/>
  <c r="C21569" i="1"/>
  <c r="G21568" i="1"/>
  <c r="C21568" i="1"/>
  <c r="G21567" i="1"/>
  <c r="C21567" i="1"/>
  <c r="G21566" i="1"/>
  <c r="C21566" i="1"/>
  <c r="G21565" i="1"/>
  <c r="C21565" i="1"/>
  <c r="G21563" i="1"/>
  <c r="C21563" i="1"/>
  <c r="G21562" i="1"/>
  <c r="C21562" i="1"/>
  <c r="G21561" i="1"/>
  <c r="C21561" i="1"/>
  <c r="G21560" i="1"/>
  <c r="C21560" i="1"/>
  <c r="G21559" i="1"/>
  <c r="C21559" i="1"/>
  <c r="G21558" i="1"/>
  <c r="C21558" i="1"/>
  <c r="G21557" i="1"/>
  <c r="C21557" i="1"/>
  <c r="G21556" i="1"/>
  <c r="C21556" i="1"/>
  <c r="G21555" i="1"/>
  <c r="C21555" i="1"/>
  <c r="G21554" i="1"/>
  <c r="C21554" i="1"/>
  <c r="G21553" i="1"/>
  <c r="C21553" i="1"/>
  <c r="G21552" i="1"/>
  <c r="C21552" i="1"/>
  <c r="G21551" i="1"/>
  <c r="C21551" i="1"/>
  <c r="G21550" i="1"/>
  <c r="C21550" i="1"/>
  <c r="G21549" i="1"/>
  <c r="C21549" i="1"/>
  <c r="G21547" i="1"/>
  <c r="C21547" i="1"/>
  <c r="G21546" i="1"/>
  <c r="C21546" i="1"/>
  <c r="G21544" i="1"/>
  <c r="C21544" i="1"/>
  <c r="G21543" i="1"/>
  <c r="C21543" i="1"/>
  <c r="G21542" i="1"/>
  <c r="C21542" i="1"/>
  <c r="G21541" i="1"/>
  <c r="C21541" i="1"/>
  <c r="G21540" i="1"/>
  <c r="C21540" i="1"/>
  <c r="G21539" i="1"/>
  <c r="C21539" i="1"/>
  <c r="G21538" i="1"/>
  <c r="C21538" i="1"/>
  <c r="G21537" i="1"/>
  <c r="C21537" i="1"/>
  <c r="G21536" i="1"/>
  <c r="C21536" i="1"/>
  <c r="G21535" i="1"/>
  <c r="C21535" i="1"/>
  <c r="G21534" i="1"/>
  <c r="C21534" i="1"/>
  <c r="G21533" i="1"/>
  <c r="C21533" i="1"/>
  <c r="G21532" i="1"/>
  <c r="C21532" i="1"/>
  <c r="G21531" i="1"/>
  <c r="C21531" i="1"/>
  <c r="G21530" i="1"/>
  <c r="C21530" i="1"/>
  <c r="G21529" i="1"/>
  <c r="C21529" i="1"/>
  <c r="G21528" i="1"/>
  <c r="C21528" i="1"/>
  <c r="G21527" i="1"/>
  <c r="C21527" i="1"/>
  <c r="G21526" i="1"/>
  <c r="C21526" i="1"/>
  <c r="G21525" i="1"/>
  <c r="C21525" i="1"/>
  <c r="G21524" i="1"/>
  <c r="C21524" i="1"/>
  <c r="G21523" i="1"/>
  <c r="C21523" i="1"/>
  <c r="G21522" i="1"/>
  <c r="C21522" i="1"/>
  <c r="G21521" i="1"/>
  <c r="C21521" i="1"/>
  <c r="G21520" i="1"/>
  <c r="C21520" i="1"/>
  <c r="G21519" i="1"/>
  <c r="C21519" i="1"/>
  <c r="G21518" i="1"/>
  <c r="C21518" i="1"/>
  <c r="G21517" i="1"/>
  <c r="C21517" i="1"/>
  <c r="G21516" i="1"/>
  <c r="C21516" i="1"/>
  <c r="G21515" i="1"/>
  <c r="C21515" i="1"/>
  <c r="G21514" i="1"/>
  <c r="C21514" i="1"/>
  <c r="G21512" i="1"/>
  <c r="C21512" i="1"/>
  <c r="G21510" i="1"/>
  <c r="C21510" i="1"/>
  <c r="G21509" i="1"/>
  <c r="C21509" i="1"/>
  <c r="G21508" i="1"/>
  <c r="C21508" i="1"/>
  <c r="G21507" i="1"/>
  <c r="C21507" i="1"/>
  <c r="G21506" i="1"/>
  <c r="C21506" i="1"/>
  <c r="G21505" i="1"/>
  <c r="C21505" i="1"/>
  <c r="G21504" i="1"/>
  <c r="C21504" i="1"/>
  <c r="G21503" i="1"/>
  <c r="C21503" i="1"/>
  <c r="G21502" i="1"/>
  <c r="C21502" i="1"/>
  <c r="G21501" i="1"/>
  <c r="C21501" i="1"/>
  <c r="G21500" i="1"/>
  <c r="C21500" i="1"/>
  <c r="G21499" i="1"/>
  <c r="C21499" i="1"/>
  <c r="G21498" i="1"/>
  <c r="C21498" i="1"/>
  <c r="G21497" i="1"/>
  <c r="C21497" i="1"/>
  <c r="G21496" i="1"/>
  <c r="C21496" i="1"/>
  <c r="G21495" i="1"/>
  <c r="C21495" i="1"/>
  <c r="G21494" i="1"/>
  <c r="C21494" i="1"/>
  <c r="G21493" i="1"/>
  <c r="C21493" i="1"/>
  <c r="G21492" i="1"/>
  <c r="C21492" i="1"/>
  <c r="G21491" i="1"/>
  <c r="C21491" i="1"/>
  <c r="G21489" i="1"/>
  <c r="C21489" i="1"/>
  <c r="G21488" i="1"/>
  <c r="C21488" i="1"/>
  <c r="G21487" i="1"/>
  <c r="C21487" i="1"/>
  <c r="G21486" i="1"/>
  <c r="C21486" i="1"/>
  <c r="G21485" i="1"/>
  <c r="C21485" i="1"/>
  <c r="G21484" i="1"/>
  <c r="C21484" i="1"/>
  <c r="G21483" i="1"/>
  <c r="C21483" i="1"/>
  <c r="G21482" i="1"/>
  <c r="C21482" i="1"/>
  <c r="G21481" i="1"/>
  <c r="C21481" i="1"/>
  <c r="G21480" i="1"/>
  <c r="C21480" i="1"/>
  <c r="G21479" i="1"/>
  <c r="C21479" i="1"/>
  <c r="G21478" i="1"/>
  <c r="C21478" i="1"/>
  <c r="G21477" i="1"/>
  <c r="C21477" i="1"/>
  <c r="G21476" i="1"/>
  <c r="C21476" i="1"/>
  <c r="G21475" i="1"/>
  <c r="C21475" i="1"/>
  <c r="G21474" i="1"/>
  <c r="C21474" i="1"/>
  <c r="G21473" i="1"/>
  <c r="C21473" i="1"/>
  <c r="G21472" i="1"/>
  <c r="C21472" i="1"/>
  <c r="G21471" i="1"/>
  <c r="C21471" i="1"/>
  <c r="G21470" i="1"/>
  <c r="C21470" i="1"/>
  <c r="G21469" i="1"/>
  <c r="C21469" i="1"/>
  <c r="G21468" i="1"/>
  <c r="C21468" i="1"/>
  <c r="G21466" i="1"/>
  <c r="C21466" i="1"/>
  <c r="G21465" i="1"/>
  <c r="C21465" i="1"/>
  <c r="G21464" i="1"/>
  <c r="C21464" i="1"/>
  <c r="G21463" i="1"/>
  <c r="C21463" i="1"/>
  <c r="G21462" i="1"/>
  <c r="C21462" i="1"/>
  <c r="G21461" i="1"/>
  <c r="C21461" i="1"/>
  <c r="G21460" i="1"/>
  <c r="C21460" i="1"/>
  <c r="G21459" i="1"/>
  <c r="C21459" i="1"/>
  <c r="G21458" i="1"/>
  <c r="C21458" i="1"/>
  <c r="G21457" i="1"/>
  <c r="C21457" i="1"/>
  <c r="G21456" i="1"/>
  <c r="C21456" i="1"/>
  <c r="G21455" i="1"/>
  <c r="C21455" i="1"/>
  <c r="G21454" i="1"/>
  <c r="C21454" i="1"/>
  <c r="G21453" i="1"/>
  <c r="C21453" i="1"/>
  <c r="G21452" i="1"/>
  <c r="C21452" i="1"/>
  <c r="G21451" i="1"/>
  <c r="C21451" i="1"/>
  <c r="G21450" i="1"/>
  <c r="C21450" i="1"/>
  <c r="G21449" i="1"/>
  <c r="C21449" i="1"/>
  <c r="G21448" i="1"/>
  <c r="C21448" i="1"/>
  <c r="G21447" i="1"/>
  <c r="C21447" i="1"/>
  <c r="G21446" i="1"/>
  <c r="C21446" i="1"/>
  <c r="G21445" i="1"/>
  <c r="C21445" i="1"/>
  <c r="G21444" i="1"/>
  <c r="C21444" i="1"/>
  <c r="G21443" i="1"/>
  <c r="C21443" i="1"/>
  <c r="G21442" i="1"/>
  <c r="C21442" i="1"/>
  <c r="G21441" i="1"/>
  <c r="C21441" i="1"/>
  <c r="G21440" i="1"/>
  <c r="C21440" i="1"/>
  <c r="G21439" i="1"/>
  <c r="C21439" i="1"/>
  <c r="G21438" i="1"/>
  <c r="C21438" i="1"/>
  <c r="G21437" i="1"/>
  <c r="C21437" i="1"/>
  <c r="G21436" i="1"/>
  <c r="C21436" i="1"/>
  <c r="G21435" i="1"/>
  <c r="C21435" i="1"/>
  <c r="G21434" i="1"/>
  <c r="C21434" i="1"/>
  <c r="G21433" i="1"/>
  <c r="C21433" i="1"/>
  <c r="G21431" i="1"/>
  <c r="C21431" i="1"/>
  <c r="G21430" i="1"/>
  <c r="C21430" i="1"/>
  <c r="G21429" i="1"/>
  <c r="C21429" i="1"/>
  <c r="G21428" i="1"/>
  <c r="C21428" i="1"/>
  <c r="G21427" i="1"/>
  <c r="C21427" i="1"/>
  <c r="G21426" i="1"/>
  <c r="C21426" i="1"/>
  <c r="G21425" i="1"/>
  <c r="C21425" i="1"/>
  <c r="G21424" i="1"/>
  <c r="C21424" i="1"/>
  <c r="G21423" i="1"/>
  <c r="C21423" i="1"/>
  <c r="G21422" i="1"/>
  <c r="C21422" i="1"/>
  <c r="G21421" i="1"/>
  <c r="C21421" i="1"/>
  <c r="G21420" i="1"/>
  <c r="C21420" i="1"/>
  <c r="G21419" i="1"/>
  <c r="C21419" i="1"/>
  <c r="G21418" i="1"/>
  <c r="C21418" i="1"/>
  <c r="G21417" i="1"/>
  <c r="C21417" i="1"/>
  <c r="G21416" i="1"/>
  <c r="C21416" i="1"/>
  <c r="G21415" i="1"/>
  <c r="C21415" i="1"/>
  <c r="G21414" i="1"/>
  <c r="C21414" i="1"/>
  <c r="G21413" i="1"/>
  <c r="C21413" i="1"/>
  <c r="G21412" i="1"/>
  <c r="C21412" i="1"/>
  <c r="G21411" i="1"/>
  <c r="C21411" i="1"/>
  <c r="G21410" i="1"/>
  <c r="C21410" i="1"/>
  <c r="G21409" i="1"/>
  <c r="C21409" i="1"/>
  <c r="G21408" i="1"/>
  <c r="C21408" i="1"/>
  <c r="G21407" i="1"/>
  <c r="C21407" i="1"/>
  <c r="G21406" i="1"/>
  <c r="C21406" i="1"/>
  <c r="G21405" i="1"/>
  <c r="C21405" i="1"/>
  <c r="G21404" i="1"/>
  <c r="C21404" i="1"/>
  <c r="G21403" i="1"/>
  <c r="C21403" i="1"/>
  <c r="G21402" i="1"/>
  <c r="C21402" i="1"/>
  <c r="G21401" i="1"/>
  <c r="C21401" i="1"/>
  <c r="G21400" i="1"/>
  <c r="C21400" i="1"/>
  <c r="G21399" i="1"/>
  <c r="C21399" i="1"/>
  <c r="G21398" i="1"/>
  <c r="C21398" i="1"/>
  <c r="G21397" i="1"/>
  <c r="C21397" i="1"/>
  <c r="G21396" i="1"/>
  <c r="C21396" i="1"/>
  <c r="G21395" i="1"/>
  <c r="C21395" i="1"/>
  <c r="G21394" i="1"/>
  <c r="C21394" i="1"/>
  <c r="G21393" i="1"/>
  <c r="C21393" i="1"/>
  <c r="G21392" i="1"/>
  <c r="C21392" i="1"/>
  <c r="G21391" i="1"/>
  <c r="C21391" i="1"/>
  <c r="G21390" i="1"/>
  <c r="C21390" i="1"/>
  <c r="G21389" i="1"/>
  <c r="C21389" i="1"/>
  <c r="G21388" i="1"/>
  <c r="C21388" i="1"/>
  <c r="G21387" i="1"/>
  <c r="C21387" i="1"/>
  <c r="G21386" i="1"/>
  <c r="C21386" i="1"/>
  <c r="G21385" i="1"/>
  <c r="C21385" i="1"/>
  <c r="G21384" i="1"/>
  <c r="C21384" i="1"/>
  <c r="G21383" i="1"/>
  <c r="C21383" i="1"/>
  <c r="G21382" i="1"/>
  <c r="C21382" i="1"/>
  <c r="G21381" i="1"/>
  <c r="C21381" i="1"/>
  <c r="G21380" i="1"/>
  <c r="C21380" i="1"/>
  <c r="G21379" i="1"/>
  <c r="C21379" i="1"/>
  <c r="G21378" i="1"/>
  <c r="C21378" i="1"/>
  <c r="G21377" i="1"/>
  <c r="C21377" i="1"/>
  <c r="G21376" i="1"/>
  <c r="C21376" i="1"/>
  <c r="G21375" i="1"/>
  <c r="C21375" i="1"/>
  <c r="G21374" i="1"/>
  <c r="C21374" i="1"/>
  <c r="G21373" i="1"/>
  <c r="C21373" i="1"/>
  <c r="G21372" i="1"/>
  <c r="C21372" i="1"/>
  <c r="G21371" i="1"/>
  <c r="C21371" i="1"/>
  <c r="G21370" i="1"/>
  <c r="C21370" i="1"/>
  <c r="G21369" i="1"/>
  <c r="C21369" i="1"/>
  <c r="G21368" i="1"/>
  <c r="C21368" i="1"/>
  <c r="G21367" i="1"/>
  <c r="C21367" i="1"/>
  <c r="G21366" i="1"/>
  <c r="C21366" i="1"/>
  <c r="G21365" i="1"/>
  <c r="C21365" i="1"/>
  <c r="G21364" i="1"/>
  <c r="C21364" i="1"/>
  <c r="G21363" i="1"/>
  <c r="C21363" i="1"/>
  <c r="G21362" i="1"/>
  <c r="C21362" i="1"/>
  <c r="G21361" i="1"/>
  <c r="C21361" i="1"/>
  <c r="G21360" i="1"/>
  <c r="C21360" i="1"/>
  <c r="G21359" i="1"/>
  <c r="C21359" i="1"/>
  <c r="G21358" i="1"/>
  <c r="C21358" i="1"/>
  <c r="G21357" i="1"/>
  <c r="C21357" i="1"/>
  <c r="G21356" i="1"/>
  <c r="C21356" i="1"/>
  <c r="G21355" i="1"/>
  <c r="C21355" i="1"/>
  <c r="G21354" i="1"/>
  <c r="C21354" i="1"/>
  <c r="G21353" i="1"/>
  <c r="C21353" i="1"/>
  <c r="G21352" i="1"/>
  <c r="C21352" i="1"/>
  <c r="G21351" i="1"/>
  <c r="C21351" i="1"/>
  <c r="G21350" i="1"/>
  <c r="C21350" i="1"/>
  <c r="G21349" i="1"/>
  <c r="C21349" i="1"/>
  <c r="G21348" i="1"/>
  <c r="C21348" i="1"/>
  <c r="G21347" i="1"/>
  <c r="C21347" i="1"/>
  <c r="G21346" i="1"/>
  <c r="C21346" i="1"/>
  <c r="G21345" i="1"/>
  <c r="C21345" i="1"/>
  <c r="G21344" i="1"/>
  <c r="C21344" i="1"/>
  <c r="G21343" i="1"/>
  <c r="C21343" i="1"/>
  <c r="G21342" i="1"/>
  <c r="C21342" i="1"/>
  <c r="G21340" i="1"/>
  <c r="C21340" i="1"/>
  <c r="G21339" i="1"/>
  <c r="C21339" i="1"/>
  <c r="G21338" i="1"/>
  <c r="C21338" i="1"/>
  <c r="G21337" i="1"/>
  <c r="C21337" i="1"/>
  <c r="G21336" i="1"/>
  <c r="C21336" i="1"/>
  <c r="G21335" i="1"/>
  <c r="C21335" i="1"/>
  <c r="G21334" i="1"/>
  <c r="C21334" i="1"/>
  <c r="G21333" i="1"/>
  <c r="C21333" i="1"/>
  <c r="G21332" i="1"/>
  <c r="C21332" i="1"/>
  <c r="G21331" i="1"/>
  <c r="C21331" i="1"/>
  <c r="G21330" i="1"/>
  <c r="C21330" i="1"/>
  <c r="G21329" i="1"/>
  <c r="C21329" i="1"/>
  <c r="G21327" i="1"/>
  <c r="C21327" i="1"/>
  <c r="G21326" i="1"/>
  <c r="C21326" i="1"/>
  <c r="G21325" i="1"/>
  <c r="C21325" i="1"/>
  <c r="G21324" i="1"/>
  <c r="C21324" i="1"/>
  <c r="G21323" i="1"/>
  <c r="C21323" i="1"/>
  <c r="G21322" i="1"/>
  <c r="C21322" i="1"/>
  <c r="G21321" i="1"/>
  <c r="C21321" i="1"/>
  <c r="G21320" i="1"/>
  <c r="C21320" i="1"/>
  <c r="G21319" i="1"/>
  <c r="C21319" i="1"/>
  <c r="G21318" i="1"/>
  <c r="C21318" i="1"/>
  <c r="G21317" i="1"/>
  <c r="C21317" i="1"/>
  <c r="G21316" i="1"/>
  <c r="C21316" i="1"/>
  <c r="G21315" i="1"/>
  <c r="C21315" i="1"/>
  <c r="G21314" i="1"/>
  <c r="C21314" i="1"/>
  <c r="G21312" i="1"/>
  <c r="C21312" i="1"/>
  <c r="G21311" i="1"/>
  <c r="C21311" i="1"/>
  <c r="G21310" i="1"/>
  <c r="C21310" i="1"/>
  <c r="G21309" i="1"/>
  <c r="C21309" i="1"/>
  <c r="G21308" i="1"/>
  <c r="C21308" i="1"/>
  <c r="G21307" i="1"/>
  <c r="C21307" i="1"/>
  <c r="G21306" i="1"/>
  <c r="C21306" i="1"/>
  <c r="G21305" i="1"/>
  <c r="C21305" i="1"/>
  <c r="G21304" i="1"/>
  <c r="C21304" i="1"/>
  <c r="G21303" i="1"/>
  <c r="C21303" i="1"/>
  <c r="G21302" i="1"/>
  <c r="C21302" i="1"/>
  <c r="G21301" i="1"/>
  <c r="C21301" i="1"/>
  <c r="G21300" i="1"/>
  <c r="C21300" i="1"/>
  <c r="G21299" i="1"/>
  <c r="C21299" i="1"/>
  <c r="G21298" i="1"/>
  <c r="C21298" i="1"/>
  <c r="G21297" i="1"/>
  <c r="C21297" i="1"/>
  <c r="G21296" i="1"/>
  <c r="C21296" i="1"/>
  <c r="G21295" i="1"/>
  <c r="C21295" i="1"/>
  <c r="G21294" i="1"/>
  <c r="C21294" i="1"/>
  <c r="G21293" i="1"/>
  <c r="C21293" i="1"/>
  <c r="G21292" i="1"/>
  <c r="C21292" i="1"/>
  <c r="G21291" i="1"/>
  <c r="C21291" i="1"/>
  <c r="G21290" i="1"/>
  <c r="C21290" i="1"/>
  <c r="G21289" i="1"/>
  <c r="C21289" i="1"/>
  <c r="G21288" i="1"/>
  <c r="C21288" i="1"/>
  <c r="G21287" i="1"/>
  <c r="C21287" i="1"/>
  <c r="G21286" i="1"/>
  <c r="C21286" i="1"/>
  <c r="G21285" i="1"/>
  <c r="C21285" i="1"/>
  <c r="G21284" i="1"/>
  <c r="C21284" i="1"/>
  <c r="G21282" i="1"/>
  <c r="C21282" i="1"/>
  <c r="G21281" i="1"/>
  <c r="C21281" i="1"/>
  <c r="G21280" i="1"/>
  <c r="C21280" i="1"/>
  <c r="G21279" i="1"/>
  <c r="C21279" i="1"/>
  <c r="G21278" i="1"/>
  <c r="C21278" i="1"/>
  <c r="G21277" i="1"/>
  <c r="C21277" i="1"/>
  <c r="G21276" i="1"/>
  <c r="C21276" i="1"/>
  <c r="G21275" i="1"/>
  <c r="C21275" i="1"/>
  <c r="G21274" i="1"/>
  <c r="C21274" i="1"/>
  <c r="G21273" i="1"/>
  <c r="C21273" i="1"/>
  <c r="G21272" i="1"/>
  <c r="C21272" i="1"/>
  <c r="G21271" i="1"/>
  <c r="C21271" i="1"/>
  <c r="G21270" i="1"/>
  <c r="C21270" i="1"/>
  <c r="G21269" i="1"/>
  <c r="C21269" i="1"/>
  <c r="G21268" i="1"/>
  <c r="C21268" i="1"/>
  <c r="G21267" i="1"/>
  <c r="C21267" i="1"/>
  <c r="G21266" i="1"/>
  <c r="C21266" i="1"/>
  <c r="G21265" i="1"/>
  <c r="C21265" i="1"/>
  <c r="G21264" i="1"/>
  <c r="C21264" i="1"/>
  <c r="G21263" i="1"/>
  <c r="C21263" i="1"/>
  <c r="G21262" i="1"/>
  <c r="C21262" i="1"/>
  <c r="G21261" i="1"/>
  <c r="C21261" i="1"/>
  <c r="G21260" i="1"/>
  <c r="C21260" i="1"/>
  <c r="G21259" i="1"/>
  <c r="C21259" i="1"/>
  <c r="G21258" i="1"/>
  <c r="C21258" i="1"/>
  <c r="G21257" i="1"/>
  <c r="C21257" i="1"/>
  <c r="G21256" i="1"/>
  <c r="C21256" i="1"/>
  <c r="G21254" i="1"/>
  <c r="C21254" i="1"/>
  <c r="G21253" i="1"/>
  <c r="C21253" i="1"/>
  <c r="G21252" i="1"/>
  <c r="C21252" i="1"/>
  <c r="G21251" i="1"/>
  <c r="C21251" i="1"/>
  <c r="G21250" i="1"/>
  <c r="C21250" i="1"/>
  <c r="G21249" i="1"/>
  <c r="C21249" i="1"/>
  <c r="G21248" i="1"/>
  <c r="C21248" i="1"/>
  <c r="G21247" i="1"/>
  <c r="C21247" i="1"/>
  <c r="G21246" i="1"/>
  <c r="C21246" i="1"/>
  <c r="G21245" i="1"/>
  <c r="C21245" i="1"/>
  <c r="G21244" i="1"/>
  <c r="C21244" i="1"/>
  <c r="G21243" i="1"/>
  <c r="C21243" i="1"/>
  <c r="G21242" i="1"/>
  <c r="C21242" i="1"/>
  <c r="G21241" i="1"/>
  <c r="C21241" i="1"/>
  <c r="G21240" i="1"/>
  <c r="C21240" i="1"/>
  <c r="G21239" i="1"/>
  <c r="C21239" i="1"/>
  <c r="G21238" i="1"/>
  <c r="C21238" i="1"/>
  <c r="G21237" i="1"/>
  <c r="C21237" i="1"/>
  <c r="G21236" i="1"/>
  <c r="C21236" i="1"/>
  <c r="G21235" i="1"/>
  <c r="C21235" i="1"/>
  <c r="G21234" i="1"/>
  <c r="C21234" i="1"/>
  <c r="G21233" i="1"/>
  <c r="C21233" i="1"/>
  <c r="G21232" i="1"/>
  <c r="C21232" i="1"/>
  <c r="G21231" i="1"/>
  <c r="C21231" i="1"/>
  <c r="G21230" i="1"/>
  <c r="C21230" i="1"/>
  <c r="G21229" i="1"/>
  <c r="C21229" i="1"/>
  <c r="G21228" i="1"/>
  <c r="C21228" i="1"/>
  <c r="G21227" i="1"/>
  <c r="C21227" i="1"/>
  <c r="G21226" i="1"/>
  <c r="C21226" i="1"/>
  <c r="G21225" i="1"/>
  <c r="C21225" i="1"/>
  <c r="G21224" i="1"/>
  <c r="C21224" i="1"/>
  <c r="G21223" i="1"/>
  <c r="C21223" i="1"/>
  <c r="G21222" i="1"/>
  <c r="C21222" i="1"/>
  <c r="G21221" i="1"/>
  <c r="C21221" i="1"/>
  <c r="G21220" i="1"/>
  <c r="C21220" i="1"/>
  <c r="G21219" i="1"/>
  <c r="C21219" i="1"/>
  <c r="G21218" i="1"/>
  <c r="C21218" i="1"/>
  <c r="G21217" i="1"/>
  <c r="C21217" i="1"/>
  <c r="G21216" i="1"/>
  <c r="C21216" i="1"/>
  <c r="G21215" i="1"/>
  <c r="C21215" i="1"/>
  <c r="G21214" i="1"/>
  <c r="C21214" i="1"/>
  <c r="G21213" i="1"/>
  <c r="C21213" i="1"/>
  <c r="G21212" i="1"/>
  <c r="C21212" i="1"/>
  <c r="G21211" i="1"/>
  <c r="C21211" i="1"/>
  <c r="G21210" i="1"/>
  <c r="C21210" i="1"/>
  <c r="G21209" i="1"/>
  <c r="C21209" i="1"/>
  <c r="G21208" i="1"/>
  <c r="C21208" i="1"/>
  <c r="G21207" i="1"/>
  <c r="C21207" i="1"/>
  <c r="G21206" i="1"/>
  <c r="C21206" i="1"/>
  <c r="G21205" i="1"/>
  <c r="C21205" i="1"/>
  <c r="G21204" i="1"/>
  <c r="C21204" i="1"/>
  <c r="G21203" i="1"/>
  <c r="C21203" i="1"/>
  <c r="G21202" i="1"/>
  <c r="C21202" i="1"/>
  <c r="G21201" i="1"/>
  <c r="C21201" i="1"/>
  <c r="G21200" i="1"/>
  <c r="C21200" i="1"/>
  <c r="G21199" i="1"/>
  <c r="C21199" i="1"/>
  <c r="G21198" i="1"/>
  <c r="C21198" i="1"/>
  <c r="G21197" i="1"/>
  <c r="C21197" i="1"/>
  <c r="G21196" i="1"/>
  <c r="C21196" i="1"/>
  <c r="G21195" i="1"/>
  <c r="C21195" i="1"/>
  <c r="G21194" i="1"/>
  <c r="C21194" i="1"/>
  <c r="G21193" i="1"/>
  <c r="C21193" i="1"/>
  <c r="G21192" i="1"/>
  <c r="C21192" i="1"/>
  <c r="G21191" i="1"/>
  <c r="C21191" i="1"/>
  <c r="G21190" i="1"/>
  <c r="C21190" i="1"/>
  <c r="G21189" i="1"/>
  <c r="C21189" i="1"/>
  <c r="G21188" i="1"/>
  <c r="C21188" i="1"/>
  <c r="G21187" i="1"/>
  <c r="C21187" i="1"/>
  <c r="G21186" i="1"/>
  <c r="C21186" i="1"/>
  <c r="G21185" i="1"/>
  <c r="C21185" i="1"/>
  <c r="G21184" i="1"/>
  <c r="C21184" i="1"/>
  <c r="G21183" i="1"/>
  <c r="C21183" i="1"/>
  <c r="G21182" i="1"/>
  <c r="C21182" i="1"/>
  <c r="G21181" i="1"/>
  <c r="C21181" i="1"/>
  <c r="G21180" i="1"/>
  <c r="C21180" i="1"/>
  <c r="G21179" i="1"/>
  <c r="C21179" i="1"/>
  <c r="G21178" i="1"/>
  <c r="C21178" i="1"/>
  <c r="G21177" i="1"/>
  <c r="C21177" i="1"/>
  <c r="G21176" i="1"/>
  <c r="C21176" i="1"/>
  <c r="G21175" i="1"/>
  <c r="C21175" i="1"/>
  <c r="G21174" i="1"/>
  <c r="C21174" i="1"/>
  <c r="G21173" i="1"/>
  <c r="C21173" i="1"/>
  <c r="G21172" i="1"/>
  <c r="C21172" i="1"/>
  <c r="G21171" i="1"/>
  <c r="C21171" i="1"/>
  <c r="G21168" i="1"/>
  <c r="C21168" i="1"/>
  <c r="G21167" i="1"/>
  <c r="C21167" i="1"/>
  <c r="G21166" i="1"/>
  <c r="C21166" i="1"/>
  <c r="G21165" i="1"/>
  <c r="C21165" i="1"/>
  <c r="G21164" i="1"/>
  <c r="C21164" i="1"/>
  <c r="G21163" i="1"/>
  <c r="C21163" i="1"/>
  <c r="G21162" i="1"/>
  <c r="C21162" i="1"/>
  <c r="G21161" i="1"/>
  <c r="C21161" i="1"/>
  <c r="G21160" i="1"/>
  <c r="C21160" i="1"/>
  <c r="G21159" i="1"/>
  <c r="C21159" i="1"/>
  <c r="G21158" i="1"/>
  <c r="C21158" i="1"/>
  <c r="G21157" i="1"/>
  <c r="C21157" i="1"/>
  <c r="G21156" i="1"/>
  <c r="C21156" i="1"/>
  <c r="G21155" i="1"/>
  <c r="C21155" i="1"/>
  <c r="G21154" i="1"/>
  <c r="C21154" i="1"/>
  <c r="G21153" i="1"/>
  <c r="C21153" i="1"/>
  <c r="G21152" i="1"/>
  <c r="C21152" i="1"/>
  <c r="G21151" i="1"/>
  <c r="C21151" i="1"/>
  <c r="G21150" i="1"/>
  <c r="C21150" i="1"/>
  <c r="G21149" i="1"/>
  <c r="C21149" i="1"/>
  <c r="G21148" i="1"/>
  <c r="C21148" i="1"/>
  <c r="G21147" i="1"/>
  <c r="C21147" i="1"/>
  <c r="G21146" i="1"/>
  <c r="C21146" i="1"/>
  <c r="G21145" i="1"/>
  <c r="C21145" i="1"/>
  <c r="G21144" i="1"/>
  <c r="C21144" i="1"/>
  <c r="G21143" i="1"/>
  <c r="C21143" i="1"/>
  <c r="G21142" i="1"/>
  <c r="C21142" i="1"/>
  <c r="G21141" i="1"/>
  <c r="C21141" i="1"/>
  <c r="G21140" i="1"/>
  <c r="C21140" i="1"/>
  <c r="G21139" i="1"/>
  <c r="C21139" i="1"/>
  <c r="G21138" i="1"/>
  <c r="C21138" i="1"/>
  <c r="G21137" i="1"/>
  <c r="C21137" i="1"/>
  <c r="G21136" i="1"/>
  <c r="C21136" i="1"/>
  <c r="G21134" i="1"/>
  <c r="C21134" i="1"/>
  <c r="G21133" i="1"/>
  <c r="C21133" i="1"/>
  <c r="G21132" i="1"/>
  <c r="C21132" i="1"/>
  <c r="G21131" i="1"/>
  <c r="C21131" i="1"/>
  <c r="G21130" i="1"/>
  <c r="C21130" i="1"/>
  <c r="G21129" i="1"/>
  <c r="C21129" i="1"/>
  <c r="G21128" i="1"/>
  <c r="C21128" i="1"/>
  <c r="G21127" i="1"/>
  <c r="C21127" i="1"/>
  <c r="G21126" i="1"/>
  <c r="C21126" i="1"/>
  <c r="G21125" i="1"/>
  <c r="C21125" i="1"/>
  <c r="G21124" i="1"/>
  <c r="C21124" i="1"/>
  <c r="G21123" i="1"/>
  <c r="C21123" i="1"/>
  <c r="G21122" i="1"/>
  <c r="C21122" i="1"/>
  <c r="G21121" i="1"/>
  <c r="C21121" i="1"/>
  <c r="G21120" i="1"/>
  <c r="C21120" i="1"/>
  <c r="G21119" i="1"/>
  <c r="C21119" i="1"/>
  <c r="G21118" i="1"/>
  <c r="C21118" i="1"/>
  <c r="G21117" i="1"/>
  <c r="C21117" i="1"/>
  <c r="G21116" i="1"/>
  <c r="C21116" i="1"/>
  <c r="G21115" i="1"/>
  <c r="C21115" i="1"/>
  <c r="G21114" i="1"/>
  <c r="C21114" i="1"/>
  <c r="G21113" i="1"/>
  <c r="C21113" i="1"/>
  <c r="G21112" i="1"/>
  <c r="C21112" i="1"/>
  <c r="G21111" i="1"/>
  <c r="C21111" i="1"/>
  <c r="G21110" i="1"/>
  <c r="C21110" i="1"/>
  <c r="G21109" i="1"/>
  <c r="C21109" i="1"/>
  <c r="G21108" i="1"/>
  <c r="C21108" i="1"/>
  <c r="G21107" i="1"/>
  <c r="C21107" i="1"/>
  <c r="G21106" i="1"/>
  <c r="C21106" i="1"/>
  <c r="G21105" i="1"/>
  <c r="C21105" i="1"/>
  <c r="G21104" i="1"/>
  <c r="C21104" i="1"/>
  <c r="G21103" i="1"/>
  <c r="C21103" i="1"/>
  <c r="G21102" i="1"/>
  <c r="C21102" i="1"/>
  <c r="G21101" i="1"/>
  <c r="C21101" i="1"/>
  <c r="G21100" i="1"/>
  <c r="C21100" i="1"/>
  <c r="G21099" i="1"/>
  <c r="C21099" i="1"/>
  <c r="G21098" i="1"/>
  <c r="C21098" i="1"/>
  <c r="G21097" i="1"/>
  <c r="C21097" i="1"/>
  <c r="G21096" i="1"/>
  <c r="C21096" i="1"/>
  <c r="G21095" i="1"/>
  <c r="C21095" i="1"/>
  <c r="G21094" i="1"/>
  <c r="C21094" i="1"/>
  <c r="G21093" i="1"/>
  <c r="C21093" i="1"/>
  <c r="G21092" i="1"/>
  <c r="C21092" i="1"/>
  <c r="G21091" i="1"/>
  <c r="C21091" i="1"/>
  <c r="G21090" i="1"/>
  <c r="C21090" i="1"/>
  <c r="G21089" i="1"/>
  <c r="C21089" i="1"/>
  <c r="G21088" i="1"/>
  <c r="C21088" i="1"/>
  <c r="G21087" i="1"/>
  <c r="C21087" i="1"/>
  <c r="G21086" i="1"/>
  <c r="C21086" i="1"/>
  <c r="G21085" i="1"/>
  <c r="C21085" i="1"/>
  <c r="G21084" i="1"/>
  <c r="C21084" i="1"/>
  <c r="G21083" i="1"/>
  <c r="C21083" i="1"/>
  <c r="G21082" i="1"/>
  <c r="C21082" i="1"/>
  <c r="G21081" i="1"/>
  <c r="C21081" i="1"/>
  <c r="G21080" i="1"/>
  <c r="C21080" i="1"/>
  <c r="G21079" i="1"/>
  <c r="C21079" i="1"/>
  <c r="G21078" i="1"/>
  <c r="C21078" i="1"/>
  <c r="G21077" i="1"/>
  <c r="C21077" i="1"/>
  <c r="G21076" i="1"/>
  <c r="C21076" i="1"/>
  <c r="G21075" i="1"/>
  <c r="C21075" i="1"/>
  <c r="G21074" i="1"/>
  <c r="C21074" i="1"/>
  <c r="G21073" i="1"/>
  <c r="C21073" i="1"/>
  <c r="G21072" i="1"/>
  <c r="C21072" i="1"/>
  <c r="G21071" i="1"/>
  <c r="C21071" i="1"/>
  <c r="G21070" i="1"/>
  <c r="C21070" i="1"/>
  <c r="G21069" i="1"/>
  <c r="C21069" i="1"/>
  <c r="G21068" i="1"/>
  <c r="C21068" i="1"/>
  <c r="G21067" i="1"/>
  <c r="C21067" i="1"/>
  <c r="G21066" i="1"/>
  <c r="C21066" i="1"/>
  <c r="G21065" i="1"/>
  <c r="C21065" i="1"/>
  <c r="G21064" i="1"/>
  <c r="C21064" i="1"/>
  <c r="G21063" i="1"/>
  <c r="C21063" i="1"/>
  <c r="G21061" i="1"/>
  <c r="C21061" i="1"/>
  <c r="G21060" i="1"/>
  <c r="C21060" i="1"/>
  <c r="G21059" i="1"/>
  <c r="C21059" i="1"/>
  <c r="G21058" i="1"/>
  <c r="C21058" i="1"/>
  <c r="G21057" i="1"/>
  <c r="C21057" i="1"/>
  <c r="G21056" i="1"/>
  <c r="C21056" i="1"/>
  <c r="G21055" i="1"/>
  <c r="C21055" i="1"/>
  <c r="G21054" i="1"/>
  <c r="C21054" i="1"/>
  <c r="G21053" i="1"/>
  <c r="C21053" i="1"/>
  <c r="G21052" i="1"/>
  <c r="C21052" i="1"/>
  <c r="G21051" i="1"/>
  <c r="C21051" i="1"/>
  <c r="G21050" i="1"/>
  <c r="C21050" i="1"/>
  <c r="G21049" i="1"/>
  <c r="C21049" i="1"/>
  <c r="G21048" i="1"/>
  <c r="C21048" i="1"/>
  <c r="G21047" i="1"/>
  <c r="C21047" i="1"/>
  <c r="G21046" i="1"/>
  <c r="C21046" i="1"/>
  <c r="G21045" i="1"/>
  <c r="C21045" i="1"/>
  <c r="G21044" i="1"/>
  <c r="C21044" i="1"/>
  <c r="G21043" i="1"/>
  <c r="C21043" i="1"/>
  <c r="G21042" i="1"/>
  <c r="C21042" i="1"/>
  <c r="G21041" i="1"/>
  <c r="C21041" i="1"/>
  <c r="G21040" i="1"/>
  <c r="C21040" i="1"/>
  <c r="G21039" i="1"/>
  <c r="C21039" i="1"/>
  <c r="G21038" i="1"/>
  <c r="C21038" i="1"/>
  <c r="G21037" i="1"/>
  <c r="C21037" i="1"/>
  <c r="G21036" i="1"/>
  <c r="C21036" i="1"/>
  <c r="G21035" i="1"/>
  <c r="C21035" i="1"/>
  <c r="G21034" i="1"/>
  <c r="C21034" i="1"/>
  <c r="G21033" i="1"/>
  <c r="C21033" i="1"/>
  <c r="G21032" i="1"/>
  <c r="C21032" i="1"/>
  <c r="G21031" i="1"/>
  <c r="C21031" i="1"/>
  <c r="G21030" i="1"/>
  <c r="C21030" i="1"/>
  <c r="G21029" i="1"/>
  <c r="C21029" i="1"/>
  <c r="G21028" i="1"/>
  <c r="C21028" i="1"/>
  <c r="G21026" i="1"/>
  <c r="C21026" i="1"/>
  <c r="G21025" i="1"/>
  <c r="C21025" i="1"/>
  <c r="G21024" i="1"/>
  <c r="C21024" i="1"/>
  <c r="G21023" i="1"/>
  <c r="C21023" i="1"/>
  <c r="G21022" i="1"/>
  <c r="C21022" i="1"/>
  <c r="G21021" i="1"/>
  <c r="C21021" i="1"/>
  <c r="G21020" i="1"/>
  <c r="C21020" i="1"/>
  <c r="G21019" i="1"/>
  <c r="C21019" i="1"/>
  <c r="G21018" i="1"/>
  <c r="C21018" i="1"/>
  <c r="G21017" i="1"/>
  <c r="C21017" i="1"/>
  <c r="G21016" i="1"/>
  <c r="C21016" i="1"/>
  <c r="G21015" i="1"/>
  <c r="C21015" i="1"/>
  <c r="G21014" i="1"/>
  <c r="C21014" i="1"/>
  <c r="G21013" i="1"/>
  <c r="C21013" i="1"/>
  <c r="G21012" i="1"/>
  <c r="C21012" i="1"/>
  <c r="G21011" i="1"/>
  <c r="C21011" i="1"/>
  <c r="G21010" i="1"/>
  <c r="C21010" i="1"/>
  <c r="G21009" i="1"/>
  <c r="C21009" i="1"/>
  <c r="G21008" i="1"/>
  <c r="C21008" i="1"/>
  <c r="G21007" i="1"/>
  <c r="C21007" i="1"/>
  <c r="G21006" i="1"/>
  <c r="C21006" i="1"/>
  <c r="G21005" i="1"/>
  <c r="C21005" i="1"/>
  <c r="G21004" i="1"/>
  <c r="C21004" i="1"/>
  <c r="G21003" i="1"/>
  <c r="C21003" i="1"/>
  <c r="G21002" i="1"/>
  <c r="C21002" i="1"/>
  <c r="G21001" i="1"/>
  <c r="C21001" i="1"/>
  <c r="G21000" i="1"/>
  <c r="C21000" i="1"/>
  <c r="G20999" i="1"/>
  <c r="C20999" i="1"/>
  <c r="G20998" i="1"/>
  <c r="C20998" i="1"/>
  <c r="G20997" i="1"/>
  <c r="C20997" i="1"/>
  <c r="G20996" i="1"/>
  <c r="C20996" i="1"/>
  <c r="G20995" i="1"/>
  <c r="C20995" i="1"/>
  <c r="G20994" i="1"/>
  <c r="C20994" i="1"/>
  <c r="G20993" i="1"/>
  <c r="C20993" i="1"/>
  <c r="G20992" i="1"/>
  <c r="C20992" i="1"/>
  <c r="G20991" i="1"/>
  <c r="C20991" i="1"/>
  <c r="G20990" i="1"/>
  <c r="C20990" i="1"/>
  <c r="G20989" i="1"/>
  <c r="C20989" i="1"/>
  <c r="G20988" i="1"/>
  <c r="C20988" i="1"/>
  <c r="G20987" i="1"/>
  <c r="C20987" i="1"/>
  <c r="G20986" i="1"/>
  <c r="C20986" i="1"/>
  <c r="G20985" i="1"/>
  <c r="C20985" i="1"/>
  <c r="G20984" i="1"/>
  <c r="C20984" i="1"/>
  <c r="G20983" i="1"/>
  <c r="C20983" i="1"/>
  <c r="G20982" i="1"/>
  <c r="C20982" i="1"/>
  <c r="G20981" i="1"/>
  <c r="C20981" i="1"/>
  <c r="G20980" i="1"/>
  <c r="C20980" i="1"/>
  <c r="G20979" i="1"/>
  <c r="C20979" i="1"/>
  <c r="G20978" i="1"/>
  <c r="C20978" i="1"/>
  <c r="G20977" i="1"/>
  <c r="C20977" i="1"/>
  <c r="G20976" i="1"/>
  <c r="C20976" i="1"/>
  <c r="G20975" i="1"/>
  <c r="C20975" i="1"/>
  <c r="G20974" i="1"/>
  <c r="C20974" i="1"/>
  <c r="G20973" i="1"/>
  <c r="C20973" i="1"/>
  <c r="G20972" i="1"/>
  <c r="C20972" i="1"/>
  <c r="G20971" i="1"/>
  <c r="C20971" i="1"/>
  <c r="G20970" i="1"/>
  <c r="C20970" i="1"/>
  <c r="G20969" i="1"/>
  <c r="C20969" i="1"/>
  <c r="G20968" i="1"/>
  <c r="C20968" i="1"/>
  <c r="G20967" i="1"/>
  <c r="C20967" i="1"/>
  <c r="G20966" i="1"/>
  <c r="C20966" i="1"/>
  <c r="G20964" i="1"/>
  <c r="C20964" i="1"/>
  <c r="G20963" i="1"/>
  <c r="C20963" i="1"/>
  <c r="G20962" i="1"/>
  <c r="C20962" i="1"/>
  <c r="G20961" i="1"/>
  <c r="C20961" i="1"/>
  <c r="G20960" i="1"/>
  <c r="C20960" i="1"/>
  <c r="G20959" i="1"/>
  <c r="C20959" i="1"/>
  <c r="G20958" i="1"/>
  <c r="C20958" i="1"/>
  <c r="G20957" i="1"/>
  <c r="C20957" i="1"/>
  <c r="G20956" i="1"/>
  <c r="C20956" i="1"/>
  <c r="G20955" i="1"/>
  <c r="C20955" i="1"/>
  <c r="G20954" i="1"/>
  <c r="C20954" i="1"/>
  <c r="G20953" i="1"/>
  <c r="C20953" i="1"/>
  <c r="G20952" i="1"/>
  <c r="C20952" i="1"/>
  <c r="G20951" i="1"/>
  <c r="C20951" i="1"/>
  <c r="G20950" i="1"/>
  <c r="C20950" i="1"/>
  <c r="G20949" i="1"/>
  <c r="C20949" i="1"/>
  <c r="G20948" i="1"/>
  <c r="C20948" i="1"/>
  <c r="G20947" i="1"/>
  <c r="C20947" i="1"/>
  <c r="G20946" i="1"/>
  <c r="C20946" i="1"/>
  <c r="G20945" i="1"/>
  <c r="C20945" i="1"/>
  <c r="G20944" i="1"/>
  <c r="C20944" i="1"/>
  <c r="G20943" i="1"/>
  <c r="C20943" i="1"/>
  <c r="G20942" i="1"/>
  <c r="C20942" i="1"/>
  <c r="G20941" i="1"/>
  <c r="C20941" i="1"/>
  <c r="G20940" i="1"/>
  <c r="C20940" i="1"/>
  <c r="G20939" i="1"/>
  <c r="C20939" i="1"/>
  <c r="G20938" i="1"/>
  <c r="C20938" i="1"/>
  <c r="G20937" i="1"/>
  <c r="C20937" i="1"/>
  <c r="G20936" i="1"/>
  <c r="C20936" i="1"/>
  <c r="G20935" i="1"/>
  <c r="C20935" i="1"/>
  <c r="G20934" i="1"/>
  <c r="C20934" i="1"/>
  <c r="G20933" i="1"/>
  <c r="C20933" i="1"/>
  <c r="G20932" i="1"/>
  <c r="C20932" i="1"/>
  <c r="G20931" i="1"/>
  <c r="C20931" i="1"/>
  <c r="G20930" i="1"/>
  <c r="C20930" i="1"/>
  <c r="G20929" i="1"/>
  <c r="C20929" i="1"/>
  <c r="G20928" i="1"/>
  <c r="C20928" i="1"/>
  <c r="G20927" i="1"/>
  <c r="C20927" i="1"/>
  <c r="G20926" i="1"/>
  <c r="C20926" i="1"/>
  <c r="G20925" i="1"/>
  <c r="C20925" i="1"/>
  <c r="G20924" i="1"/>
  <c r="C20924" i="1"/>
  <c r="G20923" i="1"/>
  <c r="C20923" i="1"/>
  <c r="G20922" i="1"/>
  <c r="C20922" i="1"/>
  <c r="G20921" i="1"/>
  <c r="C20921" i="1"/>
  <c r="G20920" i="1"/>
  <c r="C20920" i="1"/>
  <c r="G20919" i="1"/>
  <c r="C20919" i="1"/>
  <c r="G20917" i="1"/>
  <c r="C20917" i="1"/>
  <c r="G20916" i="1"/>
  <c r="C20916" i="1"/>
  <c r="G20915" i="1"/>
  <c r="C20915" i="1"/>
  <c r="G20914" i="1"/>
  <c r="C20914" i="1"/>
  <c r="G20913" i="1"/>
  <c r="C20913" i="1"/>
  <c r="G20912" i="1"/>
  <c r="C20912" i="1"/>
  <c r="G20911" i="1"/>
  <c r="C20911" i="1"/>
  <c r="G20910" i="1"/>
  <c r="C20910" i="1"/>
  <c r="G20909" i="1"/>
  <c r="C20909" i="1"/>
  <c r="G20908" i="1"/>
  <c r="C20908" i="1"/>
  <c r="G20907" i="1"/>
  <c r="C20907" i="1"/>
  <c r="G20906" i="1"/>
  <c r="C20906" i="1"/>
  <c r="G20905" i="1"/>
  <c r="C20905" i="1"/>
  <c r="G20904" i="1"/>
  <c r="C20904" i="1"/>
  <c r="G20903" i="1"/>
  <c r="C20903" i="1"/>
  <c r="G20902" i="1"/>
  <c r="C20902" i="1"/>
  <c r="G20901" i="1"/>
  <c r="C20901" i="1"/>
  <c r="G20900" i="1"/>
  <c r="C20900" i="1"/>
  <c r="G20899" i="1"/>
  <c r="C20899" i="1"/>
  <c r="G20898" i="1"/>
  <c r="C20898" i="1"/>
  <c r="G20897" i="1"/>
  <c r="C20897" i="1"/>
  <c r="G20896" i="1"/>
  <c r="C20896" i="1"/>
  <c r="G20895" i="1"/>
  <c r="C20895" i="1"/>
  <c r="G20894" i="1"/>
  <c r="C20894" i="1"/>
  <c r="G20893" i="1"/>
  <c r="C20893" i="1"/>
  <c r="G20892" i="1"/>
  <c r="C20892" i="1"/>
  <c r="G20891" i="1"/>
  <c r="C20891" i="1"/>
  <c r="G20890" i="1"/>
  <c r="C20890" i="1"/>
  <c r="G20889" i="1"/>
  <c r="C20889" i="1"/>
  <c r="G20888" i="1"/>
  <c r="C20888" i="1"/>
  <c r="G20887" i="1"/>
  <c r="C20887" i="1"/>
  <c r="G20886" i="1"/>
  <c r="C20886" i="1"/>
  <c r="G20885" i="1"/>
  <c r="C20885" i="1"/>
  <c r="G20884" i="1"/>
  <c r="C20884" i="1"/>
  <c r="G20883" i="1"/>
  <c r="C20883" i="1"/>
  <c r="G20882" i="1"/>
  <c r="C20882" i="1"/>
  <c r="G20881" i="1"/>
  <c r="C20881" i="1"/>
  <c r="G20880" i="1"/>
  <c r="C20880" i="1"/>
  <c r="G20879" i="1"/>
  <c r="C20879" i="1"/>
  <c r="G20878" i="1"/>
  <c r="C20878" i="1"/>
  <c r="G20877" i="1"/>
  <c r="C20877" i="1"/>
  <c r="G20876" i="1"/>
  <c r="C20876" i="1"/>
  <c r="G20875" i="1"/>
  <c r="C20875" i="1"/>
  <c r="G20874" i="1"/>
  <c r="C20874" i="1"/>
  <c r="G20873" i="1"/>
  <c r="C20873" i="1"/>
  <c r="G20872" i="1"/>
  <c r="C20872" i="1"/>
  <c r="G20870" i="1"/>
  <c r="C20870" i="1"/>
  <c r="G20869" i="1"/>
  <c r="C20869" i="1"/>
  <c r="G20868" i="1"/>
  <c r="C20868" i="1"/>
  <c r="G20867" i="1"/>
  <c r="C20867" i="1"/>
  <c r="G20866" i="1"/>
  <c r="C20866" i="1"/>
  <c r="G20865" i="1"/>
  <c r="C20865" i="1"/>
  <c r="G20864" i="1"/>
  <c r="C20864" i="1"/>
  <c r="G20863" i="1"/>
  <c r="C20863" i="1"/>
  <c r="G20862" i="1"/>
  <c r="C20862" i="1"/>
  <c r="G20861" i="1"/>
  <c r="C20861" i="1"/>
  <c r="G20860" i="1"/>
  <c r="C20860" i="1"/>
  <c r="G20859" i="1"/>
  <c r="C20859" i="1"/>
  <c r="G20858" i="1"/>
  <c r="C20858" i="1"/>
  <c r="G20857" i="1"/>
  <c r="C20857" i="1"/>
  <c r="G20856" i="1"/>
  <c r="C20856" i="1"/>
  <c r="G20855" i="1"/>
  <c r="C20855" i="1"/>
  <c r="G20854" i="1"/>
  <c r="C20854" i="1"/>
  <c r="G20853" i="1"/>
  <c r="C20853" i="1"/>
  <c r="G20852" i="1"/>
  <c r="C20852" i="1"/>
  <c r="G20851" i="1"/>
  <c r="C20851" i="1"/>
  <c r="G20850" i="1"/>
  <c r="C20850" i="1"/>
  <c r="G20849" i="1"/>
  <c r="C20849" i="1"/>
  <c r="G20848" i="1"/>
  <c r="C20848" i="1"/>
  <c r="G20847" i="1"/>
  <c r="C20847" i="1"/>
  <c r="G20846" i="1"/>
  <c r="C20846" i="1"/>
  <c r="G20845" i="1"/>
  <c r="C20845" i="1"/>
  <c r="G20844" i="1"/>
  <c r="C20844" i="1"/>
  <c r="G20843" i="1"/>
  <c r="C20843" i="1"/>
  <c r="G20842" i="1"/>
  <c r="C20842" i="1"/>
  <c r="G20841" i="1"/>
  <c r="C20841" i="1"/>
  <c r="G20840" i="1"/>
  <c r="C20840" i="1"/>
  <c r="G20839" i="1"/>
  <c r="C20839" i="1"/>
  <c r="G20838" i="1"/>
  <c r="C20838" i="1"/>
  <c r="G20837" i="1"/>
  <c r="C20837" i="1"/>
  <c r="G20836" i="1"/>
  <c r="C20836" i="1"/>
  <c r="G20835" i="1"/>
  <c r="C20835" i="1"/>
  <c r="G20834" i="1"/>
  <c r="C20834" i="1"/>
  <c r="G20833" i="1"/>
  <c r="C20833" i="1"/>
  <c r="G20832" i="1"/>
  <c r="C20832" i="1"/>
  <c r="G20831" i="1"/>
  <c r="C20831" i="1"/>
  <c r="G20830" i="1"/>
  <c r="C20830" i="1"/>
  <c r="G20829" i="1"/>
  <c r="C20829" i="1"/>
  <c r="G20828" i="1"/>
  <c r="C20828" i="1"/>
  <c r="G20827" i="1"/>
  <c r="C20827" i="1"/>
  <c r="G20826" i="1"/>
  <c r="C20826" i="1"/>
  <c r="G20825" i="1"/>
  <c r="C20825" i="1"/>
  <c r="G20824" i="1"/>
  <c r="C20824" i="1"/>
  <c r="G20823" i="1"/>
  <c r="C20823" i="1"/>
  <c r="G20822" i="1"/>
  <c r="C20822" i="1"/>
  <c r="G20821" i="1"/>
  <c r="C20821" i="1"/>
  <c r="G20820" i="1"/>
  <c r="C20820" i="1"/>
  <c r="G20819" i="1"/>
  <c r="C20819" i="1"/>
  <c r="G20818" i="1"/>
  <c r="C20818" i="1"/>
  <c r="G20817" i="1"/>
  <c r="C20817" i="1"/>
  <c r="G20816" i="1"/>
  <c r="C20816" i="1"/>
  <c r="G20815" i="1"/>
  <c r="C20815" i="1"/>
  <c r="G20814" i="1"/>
  <c r="C20814" i="1"/>
  <c r="G20813" i="1"/>
  <c r="C20813" i="1"/>
  <c r="G20812" i="1"/>
  <c r="C20812" i="1"/>
  <c r="G20810" i="1"/>
  <c r="C20810" i="1"/>
  <c r="G20809" i="1"/>
  <c r="C20809" i="1"/>
  <c r="G20808" i="1"/>
  <c r="C20808" i="1"/>
  <c r="G20807" i="1"/>
  <c r="C20807" i="1"/>
  <c r="G20806" i="1"/>
  <c r="C20806" i="1"/>
  <c r="G20805" i="1"/>
  <c r="C20805" i="1"/>
  <c r="G20804" i="1"/>
  <c r="C20804" i="1"/>
  <c r="G20803" i="1"/>
  <c r="C20803" i="1"/>
  <c r="G20802" i="1"/>
  <c r="C20802" i="1"/>
  <c r="G20801" i="1"/>
  <c r="C20801" i="1"/>
  <c r="G20800" i="1"/>
  <c r="C20800" i="1"/>
  <c r="G20799" i="1"/>
  <c r="C20799" i="1"/>
  <c r="G20798" i="1"/>
  <c r="C20798" i="1"/>
  <c r="G20797" i="1"/>
  <c r="C20797" i="1"/>
  <c r="G20796" i="1"/>
  <c r="C20796" i="1"/>
  <c r="G20795" i="1"/>
  <c r="C20795" i="1"/>
  <c r="G20794" i="1"/>
  <c r="C20794" i="1"/>
  <c r="G20793" i="1"/>
  <c r="C20793" i="1"/>
  <c r="G20792" i="1"/>
  <c r="C20792" i="1"/>
  <c r="G20791" i="1"/>
  <c r="C20791" i="1"/>
  <c r="G20790" i="1"/>
  <c r="C20790" i="1"/>
  <c r="G20789" i="1"/>
  <c r="C20789" i="1"/>
  <c r="G20788" i="1"/>
  <c r="C20788" i="1"/>
  <c r="G20787" i="1"/>
  <c r="C20787" i="1"/>
  <c r="G20786" i="1"/>
  <c r="C20786" i="1"/>
  <c r="G20785" i="1"/>
  <c r="C20785" i="1"/>
  <c r="G20784" i="1"/>
  <c r="C20784" i="1"/>
  <c r="G20783" i="1"/>
  <c r="C20783" i="1"/>
  <c r="G20782" i="1"/>
  <c r="C20782" i="1"/>
  <c r="G20781" i="1"/>
  <c r="C20781" i="1"/>
  <c r="G20780" i="1"/>
  <c r="C20780" i="1"/>
  <c r="G20779" i="1"/>
  <c r="C20779" i="1"/>
  <c r="G20778" i="1"/>
  <c r="C20778" i="1"/>
  <c r="G20777" i="1"/>
  <c r="C20777" i="1"/>
  <c r="G20776" i="1"/>
  <c r="C20776" i="1"/>
  <c r="G20775" i="1"/>
  <c r="C20775" i="1"/>
  <c r="G20774" i="1"/>
  <c r="C20774" i="1"/>
  <c r="G20773" i="1"/>
  <c r="C20773" i="1"/>
  <c r="G20772" i="1"/>
  <c r="C20772" i="1"/>
  <c r="G20771" i="1"/>
  <c r="C20771" i="1"/>
  <c r="G20770" i="1"/>
  <c r="C20770" i="1"/>
  <c r="G20769" i="1"/>
  <c r="C20769" i="1"/>
  <c r="G20768" i="1"/>
  <c r="C20768" i="1"/>
  <c r="G20767" i="1"/>
  <c r="C20767" i="1"/>
  <c r="G20766" i="1"/>
  <c r="C20766" i="1"/>
  <c r="G20765" i="1"/>
  <c r="C20765" i="1"/>
  <c r="G20764" i="1"/>
  <c r="C20764" i="1"/>
  <c r="G20763" i="1"/>
  <c r="C20763" i="1"/>
  <c r="G20762" i="1"/>
  <c r="C20762" i="1"/>
  <c r="G20761" i="1"/>
  <c r="C20761" i="1"/>
  <c r="G20759" i="1"/>
  <c r="C20759" i="1"/>
  <c r="G20758" i="1"/>
  <c r="C20758" i="1"/>
  <c r="G20757" i="1"/>
  <c r="C20757" i="1"/>
  <c r="G20756" i="1"/>
  <c r="C20756" i="1"/>
  <c r="G20755" i="1"/>
  <c r="C20755" i="1"/>
  <c r="G20754" i="1"/>
  <c r="C20754" i="1"/>
  <c r="G20753" i="1"/>
  <c r="C20753" i="1"/>
  <c r="G20752" i="1"/>
  <c r="C20752" i="1"/>
  <c r="G20751" i="1"/>
  <c r="C20751" i="1"/>
  <c r="G20750" i="1"/>
  <c r="C20750" i="1"/>
  <c r="G20749" i="1"/>
  <c r="C20749" i="1"/>
  <c r="G20748" i="1"/>
  <c r="C20748" i="1"/>
  <c r="G20747" i="1"/>
  <c r="C20747" i="1"/>
  <c r="G20746" i="1"/>
  <c r="C20746" i="1"/>
  <c r="G20745" i="1"/>
  <c r="C20745" i="1"/>
  <c r="G20744" i="1"/>
  <c r="C20744" i="1"/>
  <c r="G20743" i="1"/>
  <c r="C20743" i="1"/>
  <c r="G20742" i="1"/>
  <c r="C20742" i="1"/>
  <c r="G20741" i="1"/>
  <c r="C20741" i="1"/>
  <c r="G20740" i="1"/>
  <c r="C20740" i="1"/>
  <c r="G20739" i="1"/>
  <c r="C20739" i="1"/>
  <c r="G20738" i="1"/>
  <c r="C20738" i="1"/>
  <c r="G20737" i="1"/>
  <c r="C20737" i="1"/>
  <c r="G20736" i="1"/>
  <c r="C20736" i="1"/>
  <c r="G20735" i="1"/>
  <c r="C20735" i="1"/>
  <c r="G20734" i="1"/>
  <c r="C20734" i="1"/>
  <c r="G20733" i="1"/>
  <c r="C20733" i="1"/>
  <c r="G20732" i="1"/>
  <c r="C20732" i="1"/>
  <c r="G20731" i="1"/>
  <c r="C20731" i="1"/>
  <c r="G20730" i="1"/>
  <c r="C20730" i="1"/>
  <c r="G20729" i="1"/>
  <c r="C20729" i="1"/>
  <c r="G20728" i="1"/>
  <c r="C20728" i="1"/>
  <c r="G20727" i="1"/>
  <c r="C20727" i="1"/>
  <c r="G20726" i="1"/>
  <c r="C20726" i="1"/>
  <c r="G20725" i="1"/>
  <c r="C20725" i="1"/>
  <c r="G20724" i="1"/>
  <c r="C20724" i="1"/>
  <c r="G20723" i="1"/>
  <c r="C20723" i="1"/>
  <c r="G20722" i="1"/>
  <c r="C20722" i="1"/>
  <c r="G20721" i="1"/>
  <c r="C20721" i="1"/>
  <c r="G20720" i="1"/>
  <c r="C20720" i="1"/>
  <c r="G20719" i="1"/>
  <c r="C20719" i="1"/>
  <c r="G20718" i="1"/>
  <c r="C20718" i="1"/>
  <c r="G20717" i="1"/>
  <c r="C20717" i="1"/>
  <c r="G20716" i="1"/>
  <c r="C20716" i="1"/>
  <c r="G20715" i="1"/>
  <c r="C20715" i="1"/>
  <c r="G20714" i="1"/>
  <c r="C20714" i="1"/>
  <c r="G20713" i="1"/>
  <c r="C20713" i="1"/>
  <c r="G20712" i="1"/>
  <c r="C20712" i="1"/>
  <c r="G20711" i="1"/>
  <c r="C20711" i="1"/>
  <c r="G20710" i="1"/>
  <c r="C20710" i="1"/>
  <c r="G20709" i="1"/>
  <c r="C20709" i="1"/>
  <c r="G20708" i="1"/>
  <c r="C20708" i="1"/>
  <c r="G20707" i="1"/>
  <c r="C20707" i="1"/>
  <c r="G20706" i="1"/>
  <c r="C20706" i="1"/>
  <c r="G20705" i="1"/>
  <c r="C20705" i="1"/>
  <c r="G20704" i="1"/>
  <c r="C20704" i="1"/>
  <c r="G20703" i="1"/>
  <c r="C20703" i="1"/>
  <c r="G20702" i="1"/>
  <c r="C20702" i="1"/>
  <c r="G20701" i="1"/>
  <c r="C20701" i="1"/>
  <c r="G20700" i="1"/>
  <c r="C20700" i="1"/>
  <c r="G20699" i="1"/>
  <c r="C20699" i="1"/>
  <c r="G20698" i="1"/>
  <c r="C20698" i="1"/>
  <c r="G20697" i="1"/>
  <c r="C20697" i="1"/>
  <c r="G20696" i="1"/>
  <c r="C20696" i="1"/>
  <c r="G20695" i="1"/>
  <c r="C20695" i="1"/>
  <c r="G20694" i="1"/>
  <c r="C20694" i="1"/>
  <c r="G20693" i="1"/>
  <c r="C20693" i="1"/>
  <c r="G20692" i="1"/>
  <c r="C20692" i="1"/>
  <c r="G20691" i="1"/>
  <c r="C20691" i="1"/>
  <c r="G20690" i="1"/>
  <c r="C20690" i="1"/>
  <c r="G20688" i="1"/>
  <c r="C20688" i="1"/>
  <c r="G20687" i="1"/>
  <c r="C20687" i="1"/>
  <c r="G20686" i="1"/>
  <c r="C20686" i="1"/>
  <c r="G20685" i="1"/>
  <c r="C20685" i="1"/>
  <c r="G20684" i="1"/>
  <c r="C20684" i="1"/>
  <c r="G20683" i="1"/>
  <c r="C20683" i="1"/>
  <c r="G20682" i="1"/>
  <c r="C20682" i="1"/>
  <c r="G20681" i="1"/>
  <c r="C20681" i="1"/>
  <c r="G20680" i="1"/>
  <c r="C20680" i="1"/>
  <c r="G20679" i="1"/>
  <c r="C20679" i="1"/>
  <c r="G20678" i="1"/>
  <c r="C20678" i="1"/>
  <c r="G20677" i="1"/>
  <c r="C20677" i="1"/>
  <c r="G20676" i="1"/>
  <c r="C20676" i="1"/>
  <c r="G20675" i="1"/>
  <c r="C20675" i="1"/>
  <c r="G20674" i="1"/>
  <c r="C20674" i="1"/>
  <c r="G20673" i="1"/>
  <c r="C20673" i="1"/>
  <c r="G20672" i="1"/>
  <c r="C20672" i="1"/>
  <c r="G20671" i="1"/>
  <c r="C20671" i="1"/>
  <c r="G20670" i="1"/>
  <c r="C20670" i="1"/>
  <c r="G20669" i="1"/>
  <c r="C20669" i="1"/>
  <c r="G20668" i="1"/>
  <c r="C20668" i="1"/>
  <c r="G20667" i="1"/>
  <c r="C20667" i="1"/>
  <c r="G20666" i="1"/>
  <c r="C20666" i="1"/>
  <c r="G20665" i="1"/>
  <c r="C20665" i="1"/>
  <c r="G20664" i="1"/>
  <c r="C20664" i="1"/>
  <c r="G20663" i="1"/>
  <c r="C20663" i="1"/>
  <c r="G20662" i="1"/>
  <c r="C20662" i="1"/>
  <c r="G20661" i="1"/>
  <c r="C20661" i="1"/>
  <c r="G20660" i="1"/>
  <c r="C20660" i="1"/>
  <c r="G20659" i="1"/>
  <c r="C20659" i="1"/>
  <c r="G20658" i="1"/>
  <c r="C20658" i="1"/>
  <c r="G20657" i="1"/>
  <c r="C20657" i="1"/>
  <c r="G20656" i="1"/>
  <c r="C20656" i="1"/>
  <c r="G20655" i="1"/>
  <c r="C20655" i="1"/>
  <c r="G20654" i="1"/>
  <c r="C20654" i="1"/>
  <c r="G20653" i="1"/>
  <c r="C20653" i="1"/>
  <c r="G20652" i="1"/>
  <c r="C20652" i="1"/>
  <c r="G20651" i="1"/>
  <c r="C20651" i="1"/>
  <c r="G20650" i="1"/>
  <c r="C20650" i="1"/>
  <c r="G20649" i="1"/>
  <c r="C20649" i="1"/>
  <c r="G20648" i="1"/>
  <c r="C20648" i="1"/>
  <c r="G20647" i="1"/>
  <c r="C20647" i="1"/>
  <c r="G20646" i="1"/>
  <c r="C20646" i="1"/>
  <c r="G20645" i="1"/>
  <c r="C20645" i="1"/>
  <c r="G20644" i="1"/>
  <c r="C20644" i="1"/>
  <c r="G20643" i="1"/>
  <c r="C20643" i="1"/>
  <c r="G20642" i="1"/>
  <c r="C20642" i="1"/>
  <c r="G20641" i="1"/>
  <c r="C20641" i="1"/>
  <c r="G20640" i="1"/>
  <c r="C20640" i="1"/>
  <c r="G20639" i="1"/>
  <c r="C20639" i="1"/>
  <c r="G20638" i="1"/>
  <c r="C20638" i="1"/>
  <c r="G20637" i="1"/>
  <c r="C20637" i="1"/>
  <c r="G20636" i="1"/>
  <c r="C20636" i="1"/>
  <c r="G20635" i="1"/>
  <c r="C20635" i="1"/>
  <c r="G20634" i="1"/>
  <c r="C20634" i="1"/>
  <c r="G20633" i="1"/>
  <c r="C20633" i="1"/>
  <c r="G20632" i="1"/>
  <c r="C20632" i="1"/>
  <c r="G20631" i="1"/>
  <c r="C20631" i="1"/>
  <c r="G20630" i="1"/>
  <c r="C20630" i="1"/>
  <c r="G20629" i="1"/>
  <c r="C20629" i="1"/>
  <c r="G20628" i="1"/>
  <c r="C20628" i="1"/>
  <c r="G20627" i="1"/>
  <c r="C20627" i="1"/>
  <c r="G20626" i="1"/>
  <c r="C20626" i="1"/>
  <c r="G20625" i="1"/>
  <c r="C20625" i="1"/>
  <c r="G20624" i="1"/>
  <c r="C20624" i="1"/>
  <c r="G20623" i="1"/>
  <c r="C20623" i="1"/>
  <c r="G20622" i="1"/>
  <c r="C20622" i="1"/>
  <c r="G20621" i="1"/>
  <c r="C20621" i="1"/>
  <c r="G20620" i="1"/>
  <c r="C20620" i="1"/>
  <c r="G20619" i="1"/>
  <c r="C20619" i="1"/>
  <c r="G20618" i="1"/>
  <c r="C20618" i="1"/>
  <c r="G20617" i="1"/>
  <c r="C20617" i="1"/>
  <c r="G20616" i="1"/>
  <c r="C20616" i="1"/>
  <c r="G20615" i="1"/>
  <c r="C20615" i="1"/>
  <c r="G20614" i="1"/>
  <c r="C20614" i="1"/>
  <c r="G20613" i="1"/>
  <c r="C20613" i="1"/>
  <c r="G20612" i="1"/>
  <c r="C20612" i="1"/>
  <c r="G20611" i="1"/>
  <c r="C20611" i="1"/>
  <c r="G20610" i="1"/>
  <c r="C20610" i="1"/>
  <c r="G20609" i="1"/>
  <c r="C20609" i="1"/>
  <c r="G20608" i="1"/>
  <c r="C20608" i="1"/>
  <c r="G20607" i="1"/>
  <c r="C20607" i="1"/>
  <c r="G20606" i="1"/>
  <c r="C20606" i="1"/>
  <c r="G20605" i="1"/>
  <c r="C20605" i="1"/>
  <c r="G20604" i="1"/>
  <c r="C20604" i="1"/>
  <c r="G20603" i="1"/>
  <c r="C20603" i="1"/>
  <c r="G20602" i="1"/>
  <c r="C20602" i="1"/>
  <c r="G20601" i="1"/>
  <c r="C20601" i="1"/>
  <c r="G20600" i="1"/>
  <c r="C20600" i="1"/>
  <c r="G20599" i="1"/>
  <c r="C20599" i="1"/>
  <c r="G20598" i="1"/>
  <c r="C20598" i="1"/>
  <c r="G20597" i="1"/>
  <c r="C20597" i="1"/>
  <c r="G20596" i="1"/>
  <c r="C20596" i="1"/>
  <c r="G20595" i="1"/>
  <c r="C20595" i="1"/>
  <c r="G20594" i="1"/>
  <c r="C20594" i="1"/>
  <c r="G20593" i="1"/>
  <c r="C20593" i="1"/>
  <c r="G20592" i="1"/>
  <c r="C20592" i="1"/>
  <c r="G20591" i="1"/>
  <c r="C20591" i="1"/>
  <c r="G20590" i="1"/>
  <c r="C20590" i="1"/>
  <c r="G20589" i="1"/>
  <c r="C20589" i="1"/>
  <c r="G20588" i="1"/>
  <c r="C20588" i="1"/>
  <c r="G20587" i="1"/>
  <c r="C20587" i="1"/>
  <c r="G20586" i="1"/>
  <c r="C20586" i="1"/>
  <c r="G20585" i="1"/>
  <c r="C20585" i="1"/>
  <c r="G20584" i="1"/>
  <c r="C20584" i="1"/>
  <c r="G20583" i="1"/>
  <c r="C20583" i="1"/>
  <c r="G20582" i="1"/>
  <c r="C20582" i="1"/>
  <c r="G20579" i="1"/>
  <c r="C20579" i="1"/>
  <c r="G20578" i="1"/>
  <c r="C20578" i="1"/>
  <c r="G20577" i="1"/>
  <c r="C20577" i="1"/>
  <c r="G20576" i="1"/>
  <c r="C20576" i="1"/>
  <c r="G20575" i="1"/>
  <c r="C20575" i="1"/>
  <c r="G20574" i="1"/>
  <c r="C20574" i="1"/>
  <c r="G20573" i="1"/>
  <c r="C20573" i="1"/>
  <c r="G20571" i="1"/>
  <c r="C20571" i="1"/>
  <c r="G20570" i="1"/>
  <c r="C20570" i="1"/>
  <c r="G20569" i="1"/>
  <c r="C20569" i="1"/>
  <c r="G20568" i="1"/>
  <c r="C20568" i="1"/>
  <c r="G20567" i="1"/>
  <c r="C20567" i="1"/>
  <c r="G20566" i="1"/>
  <c r="C20566" i="1"/>
  <c r="G20565" i="1"/>
  <c r="C20565" i="1"/>
  <c r="G20564" i="1"/>
  <c r="C20564" i="1"/>
  <c r="G20563" i="1"/>
  <c r="C20563" i="1"/>
  <c r="G20562" i="1"/>
  <c r="C20562" i="1"/>
  <c r="G20561" i="1"/>
  <c r="C20561" i="1"/>
  <c r="G20560" i="1"/>
  <c r="C20560" i="1"/>
  <c r="G20558" i="1"/>
  <c r="C20558" i="1"/>
  <c r="G20557" i="1"/>
  <c r="C20557" i="1"/>
  <c r="G20556" i="1"/>
  <c r="C20556" i="1"/>
  <c r="G20555" i="1"/>
  <c r="C20555" i="1"/>
  <c r="G20554" i="1"/>
  <c r="C20554" i="1"/>
  <c r="G20553" i="1"/>
  <c r="C20553" i="1"/>
  <c r="G20552" i="1"/>
  <c r="C20552" i="1"/>
  <c r="G20551" i="1"/>
  <c r="C20551" i="1"/>
  <c r="G20550" i="1"/>
  <c r="C20550" i="1"/>
  <c r="G20549" i="1"/>
  <c r="C20549" i="1"/>
  <c r="G20548" i="1"/>
  <c r="C20548" i="1"/>
  <c r="G20547" i="1"/>
  <c r="C20547" i="1"/>
  <c r="G20546" i="1"/>
  <c r="C20546" i="1"/>
  <c r="G20545" i="1"/>
  <c r="C20545" i="1"/>
  <c r="G20544" i="1"/>
  <c r="C20544" i="1"/>
  <c r="G20543" i="1"/>
  <c r="C20543" i="1"/>
  <c r="G20542" i="1"/>
  <c r="C20542" i="1"/>
  <c r="G20541" i="1"/>
  <c r="C20541" i="1"/>
  <c r="G20540" i="1"/>
  <c r="C20540" i="1"/>
  <c r="G20539" i="1"/>
  <c r="C20539" i="1"/>
  <c r="G20538" i="1"/>
  <c r="C20538" i="1"/>
  <c r="G20537" i="1"/>
  <c r="C20537" i="1"/>
  <c r="G20536" i="1"/>
  <c r="C20536" i="1"/>
  <c r="G20535" i="1"/>
  <c r="C20535" i="1"/>
  <c r="G20534" i="1"/>
  <c r="C20534" i="1"/>
  <c r="G20533" i="1"/>
  <c r="C20533" i="1"/>
  <c r="G20532" i="1"/>
  <c r="C20532" i="1"/>
  <c r="G20531" i="1"/>
  <c r="C20531" i="1"/>
  <c r="G20530" i="1"/>
  <c r="C20530" i="1"/>
  <c r="G20529" i="1"/>
  <c r="C20529" i="1"/>
  <c r="G20528" i="1"/>
  <c r="C20528" i="1"/>
  <c r="G20527" i="1"/>
  <c r="C20527" i="1"/>
  <c r="G20526" i="1"/>
  <c r="C20526" i="1"/>
  <c r="G20525" i="1"/>
  <c r="C20525" i="1"/>
  <c r="G20524" i="1"/>
  <c r="C20524" i="1"/>
  <c r="G20523" i="1"/>
  <c r="C20523" i="1"/>
  <c r="G20522" i="1"/>
  <c r="C20522" i="1"/>
  <c r="G20521" i="1"/>
  <c r="C20521" i="1"/>
  <c r="G20520" i="1"/>
  <c r="C20520" i="1"/>
  <c r="G20519" i="1"/>
  <c r="C20519" i="1"/>
  <c r="G20518" i="1"/>
  <c r="C20518" i="1"/>
  <c r="G20517" i="1"/>
  <c r="C20517" i="1"/>
  <c r="G20516" i="1"/>
  <c r="C20516" i="1"/>
  <c r="G20515" i="1"/>
  <c r="C20515" i="1"/>
  <c r="G20513" i="1"/>
  <c r="C20513" i="1"/>
  <c r="G20512" i="1"/>
  <c r="C20512" i="1"/>
  <c r="G20511" i="1"/>
  <c r="C20511" i="1"/>
  <c r="G20510" i="1"/>
  <c r="C20510" i="1"/>
  <c r="G20509" i="1"/>
  <c r="C20509" i="1"/>
  <c r="G20508" i="1"/>
  <c r="C20508" i="1"/>
  <c r="G20507" i="1"/>
  <c r="C20507" i="1"/>
  <c r="G20506" i="1"/>
  <c r="C20506" i="1"/>
  <c r="G20505" i="1"/>
  <c r="C20505" i="1"/>
  <c r="G20504" i="1"/>
  <c r="C20504" i="1"/>
  <c r="G20503" i="1"/>
  <c r="C20503" i="1"/>
  <c r="G20502" i="1"/>
  <c r="C20502" i="1"/>
  <c r="G20501" i="1"/>
  <c r="C20501" i="1"/>
  <c r="G20500" i="1"/>
  <c r="C20500" i="1"/>
  <c r="G20499" i="1"/>
  <c r="C20499" i="1"/>
  <c r="G20498" i="1"/>
  <c r="C20498" i="1"/>
  <c r="G20497" i="1"/>
  <c r="C20497" i="1"/>
  <c r="G20496" i="1"/>
  <c r="C20496" i="1"/>
  <c r="G20495" i="1"/>
  <c r="C20495" i="1"/>
  <c r="G20494" i="1"/>
  <c r="C20494" i="1"/>
  <c r="G20493" i="1"/>
  <c r="C20493" i="1"/>
  <c r="G20492" i="1"/>
  <c r="C20492" i="1"/>
  <c r="G20491" i="1"/>
  <c r="C20491" i="1"/>
  <c r="G20489" i="1"/>
  <c r="C20489" i="1"/>
  <c r="G20488" i="1"/>
  <c r="C20488" i="1"/>
  <c r="G20487" i="1"/>
  <c r="C20487" i="1"/>
  <c r="G20486" i="1"/>
  <c r="C20486" i="1"/>
  <c r="G20485" i="1"/>
  <c r="C20485" i="1"/>
  <c r="G20484" i="1"/>
  <c r="C20484" i="1"/>
  <c r="G20483" i="1"/>
  <c r="C20483" i="1"/>
  <c r="G20482" i="1"/>
  <c r="C20482" i="1"/>
  <c r="G20481" i="1"/>
  <c r="C20481" i="1"/>
  <c r="G20480" i="1"/>
  <c r="C20480" i="1"/>
  <c r="G20479" i="1"/>
  <c r="C20479" i="1"/>
  <c r="G20478" i="1"/>
  <c r="C20478" i="1"/>
  <c r="G20477" i="1"/>
  <c r="C20477" i="1"/>
  <c r="G20476" i="1"/>
  <c r="C20476" i="1"/>
  <c r="G20475" i="1"/>
  <c r="C20475" i="1"/>
  <c r="G20474" i="1"/>
  <c r="C20474" i="1"/>
  <c r="G20473" i="1"/>
  <c r="C20473" i="1"/>
  <c r="G20472" i="1"/>
  <c r="C20472" i="1"/>
  <c r="G20471" i="1"/>
  <c r="C20471" i="1"/>
  <c r="G20470" i="1"/>
  <c r="C20470" i="1"/>
  <c r="G20469" i="1"/>
  <c r="C20469" i="1"/>
  <c r="G20468" i="1"/>
  <c r="C20468" i="1"/>
  <c r="G20467" i="1"/>
  <c r="C20467" i="1"/>
  <c r="G20466" i="1"/>
  <c r="C20466" i="1"/>
  <c r="G20465" i="1"/>
  <c r="C20465" i="1"/>
  <c r="G20464" i="1"/>
  <c r="C20464" i="1"/>
  <c r="G20463" i="1"/>
  <c r="C20463" i="1"/>
  <c r="G20462" i="1"/>
  <c r="C20462" i="1"/>
  <c r="G20461" i="1"/>
  <c r="C20461" i="1"/>
  <c r="G20460" i="1"/>
  <c r="C20460" i="1"/>
  <c r="G20459" i="1"/>
  <c r="C20459" i="1"/>
  <c r="G20458" i="1"/>
  <c r="C20458" i="1"/>
  <c r="G20457" i="1"/>
  <c r="C20457" i="1"/>
  <c r="G20456" i="1"/>
  <c r="C20456" i="1"/>
  <c r="G20455" i="1"/>
  <c r="C20455" i="1"/>
  <c r="G20454" i="1"/>
  <c r="C20454" i="1"/>
  <c r="G20453" i="1"/>
  <c r="C20453" i="1"/>
  <c r="G20451" i="1"/>
  <c r="C20451" i="1"/>
  <c r="G20450" i="1"/>
  <c r="C20450" i="1"/>
  <c r="G20449" i="1"/>
  <c r="C20449" i="1"/>
  <c r="G20448" i="1"/>
  <c r="C20448" i="1"/>
  <c r="G20447" i="1"/>
  <c r="C20447" i="1"/>
  <c r="G20446" i="1"/>
  <c r="C20446" i="1"/>
  <c r="G20445" i="1"/>
  <c r="C20445" i="1"/>
  <c r="G20444" i="1"/>
  <c r="C20444" i="1"/>
  <c r="G20443" i="1"/>
  <c r="C20443" i="1"/>
  <c r="G20442" i="1"/>
  <c r="C20442" i="1"/>
  <c r="G20441" i="1"/>
  <c r="C20441" i="1"/>
  <c r="G20440" i="1"/>
  <c r="C20440" i="1"/>
  <c r="G20439" i="1"/>
  <c r="C20439" i="1"/>
  <c r="G20438" i="1"/>
  <c r="C20438" i="1"/>
  <c r="G20437" i="1"/>
  <c r="C20437" i="1"/>
  <c r="G20436" i="1"/>
  <c r="C20436" i="1"/>
  <c r="G20435" i="1"/>
  <c r="C20435" i="1"/>
  <c r="G20434" i="1"/>
  <c r="C20434" i="1"/>
  <c r="G20433" i="1"/>
  <c r="C20433" i="1"/>
  <c r="G20432" i="1"/>
  <c r="C20432" i="1"/>
  <c r="G20431" i="1"/>
  <c r="C20431" i="1"/>
  <c r="G20429" i="1"/>
  <c r="C20429" i="1"/>
  <c r="G20428" i="1"/>
  <c r="C20428" i="1"/>
  <c r="G20427" i="1"/>
  <c r="C20427" i="1"/>
  <c r="G20426" i="1"/>
  <c r="C20426" i="1"/>
  <c r="G20425" i="1"/>
  <c r="C20425" i="1"/>
  <c r="G20424" i="1"/>
  <c r="C20424" i="1"/>
  <c r="G20423" i="1"/>
  <c r="C20423" i="1"/>
  <c r="G20422" i="1"/>
  <c r="C20422" i="1"/>
  <c r="G20421" i="1"/>
  <c r="C20421" i="1"/>
  <c r="G20420" i="1"/>
  <c r="C20420" i="1"/>
  <c r="G20419" i="1"/>
  <c r="C20419" i="1"/>
  <c r="G20418" i="1"/>
  <c r="C20418" i="1"/>
  <c r="G20417" i="1"/>
  <c r="C20417" i="1"/>
  <c r="G20416" i="1"/>
  <c r="C20416" i="1"/>
  <c r="G20415" i="1"/>
  <c r="C20415" i="1"/>
  <c r="G20414" i="1"/>
  <c r="C20414" i="1"/>
  <c r="G20413" i="1"/>
  <c r="C20413" i="1"/>
  <c r="G20412" i="1"/>
  <c r="C20412" i="1"/>
  <c r="G20411" i="1"/>
  <c r="C20411" i="1"/>
  <c r="G20410" i="1"/>
  <c r="C20410" i="1"/>
  <c r="G20409" i="1"/>
  <c r="C20409" i="1"/>
  <c r="G20408" i="1"/>
  <c r="C20408" i="1"/>
  <c r="G20407" i="1"/>
  <c r="C20407" i="1"/>
  <c r="G20406" i="1"/>
  <c r="C20406" i="1"/>
  <c r="G20405" i="1"/>
  <c r="C20405" i="1"/>
  <c r="G20404" i="1"/>
  <c r="C20404" i="1"/>
  <c r="G20403" i="1"/>
  <c r="C20403" i="1"/>
  <c r="G20402" i="1"/>
  <c r="C20402" i="1"/>
  <c r="G20401" i="1"/>
  <c r="C20401" i="1"/>
  <c r="G20400" i="1"/>
  <c r="C20400" i="1"/>
  <c r="G20399" i="1"/>
  <c r="C20399" i="1"/>
  <c r="G20398" i="1"/>
  <c r="C20398" i="1"/>
  <c r="G20397" i="1"/>
  <c r="C20397" i="1"/>
  <c r="G20396" i="1"/>
  <c r="C20396" i="1"/>
  <c r="G20395" i="1"/>
  <c r="C20395" i="1"/>
  <c r="G20394" i="1"/>
  <c r="C20394" i="1"/>
  <c r="G20393" i="1"/>
  <c r="C20393" i="1"/>
  <c r="G20392" i="1"/>
  <c r="C20392" i="1"/>
  <c r="G20391" i="1"/>
  <c r="C20391" i="1"/>
  <c r="G20390" i="1"/>
  <c r="C20390" i="1"/>
  <c r="G20389" i="1"/>
  <c r="C20389" i="1"/>
  <c r="G20388" i="1"/>
  <c r="C20388" i="1"/>
  <c r="G20387" i="1"/>
  <c r="C20387" i="1"/>
  <c r="G20386" i="1"/>
  <c r="C20386" i="1"/>
  <c r="G20385" i="1"/>
  <c r="C20385" i="1"/>
  <c r="G20384" i="1"/>
  <c r="C20384" i="1"/>
  <c r="G20383" i="1"/>
  <c r="C20383" i="1"/>
  <c r="G20382" i="1"/>
  <c r="C20382" i="1"/>
  <c r="G20381" i="1"/>
  <c r="C20381" i="1"/>
  <c r="G20379" i="1"/>
  <c r="C20379" i="1"/>
  <c r="G20378" i="1"/>
  <c r="C20378" i="1"/>
  <c r="G20377" i="1"/>
  <c r="C20377" i="1"/>
  <c r="G20376" i="1"/>
  <c r="C20376" i="1"/>
  <c r="G20375" i="1"/>
  <c r="C20375" i="1"/>
  <c r="G20374" i="1"/>
  <c r="C20374" i="1"/>
  <c r="G20373" i="1"/>
  <c r="C20373" i="1"/>
  <c r="G20372" i="1"/>
  <c r="C20372" i="1"/>
  <c r="G20371" i="1"/>
  <c r="C20371" i="1"/>
  <c r="G20370" i="1"/>
  <c r="C20370" i="1"/>
  <c r="G20369" i="1"/>
  <c r="C20369" i="1"/>
  <c r="G20368" i="1"/>
  <c r="C20368" i="1"/>
  <c r="G20367" i="1"/>
  <c r="C20367" i="1"/>
  <c r="G20366" i="1"/>
  <c r="C20366" i="1"/>
  <c r="G20365" i="1"/>
  <c r="C20365" i="1"/>
  <c r="G20364" i="1"/>
  <c r="C20364" i="1"/>
  <c r="G20363" i="1"/>
  <c r="C20363" i="1"/>
  <c r="G20362" i="1"/>
  <c r="C20362" i="1"/>
  <c r="G20361" i="1"/>
  <c r="C20361" i="1"/>
  <c r="G20360" i="1"/>
  <c r="C20360" i="1"/>
  <c r="G20359" i="1"/>
  <c r="C20359" i="1"/>
  <c r="G20358" i="1"/>
  <c r="C20358" i="1"/>
  <c r="G20357" i="1"/>
  <c r="C20357" i="1"/>
  <c r="G20356" i="1"/>
  <c r="C20356" i="1"/>
  <c r="G20355" i="1"/>
  <c r="C20355" i="1"/>
  <c r="G20354" i="1"/>
  <c r="C20354" i="1"/>
  <c r="G20353" i="1"/>
  <c r="C20353" i="1"/>
  <c r="G20352" i="1"/>
  <c r="C20352" i="1"/>
  <c r="G20351" i="1"/>
  <c r="C20351" i="1"/>
  <c r="G20350" i="1"/>
  <c r="C20350" i="1"/>
  <c r="G20349" i="1"/>
  <c r="C20349" i="1"/>
  <c r="G20348" i="1"/>
  <c r="C20348" i="1"/>
  <c r="G20347" i="1"/>
  <c r="C20347" i="1"/>
  <c r="G20346" i="1"/>
  <c r="C20346" i="1"/>
  <c r="G20345" i="1"/>
  <c r="C20345" i="1"/>
  <c r="G20344" i="1"/>
  <c r="C20344" i="1"/>
  <c r="G20343" i="1"/>
  <c r="C20343" i="1"/>
  <c r="G20342" i="1"/>
  <c r="C20342" i="1"/>
  <c r="G20341" i="1"/>
  <c r="C20341" i="1"/>
  <c r="G20340" i="1"/>
  <c r="C20340" i="1"/>
  <c r="G20339" i="1"/>
  <c r="C20339" i="1"/>
  <c r="G20338" i="1"/>
  <c r="C20338" i="1"/>
  <c r="G20337" i="1"/>
  <c r="C20337" i="1"/>
  <c r="G20336" i="1"/>
  <c r="C20336" i="1"/>
  <c r="G20335" i="1"/>
  <c r="C20335" i="1"/>
  <c r="G20334" i="1"/>
  <c r="C20334" i="1"/>
  <c r="G20333" i="1"/>
  <c r="C20333" i="1"/>
  <c r="G20332" i="1"/>
  <c r="C20332" i="1"/>
  <c r="G20331" i="1"/>
  <c r="C20331" i="1"/>
  <c r="G20330" i="1"/>
  <c r="C20330" i="1"/>
  <c r="G20329" i="1"/>
  <c r="C20329" i="1"/>
  <c r="G20328" i="1"/>
  <c r="C20328" i="1"/>
  <c r="G20327" i="1"/>
  <c r="C20327" i="1"/>
  <c r="G20326" i="1"/>
  <c r="C20326" i="1"/>
  <c r="G20325" i="1"/>
  <c r="C20325" i="1"/>
  <c r="G20324" i="1"/>
  <c r="C20324" i="1"/>
  <c r="G20323" i="1"/>
  <c r="C20323" i="1"/>
  <c r="G20322" i="1"/>
  <c r="C20322" i="1"/>
  <c r="G20321" i="1"/>
  <c r="C20321" i="1"/>
  <c r="G20320" i="1"/>
  <c r="C20320" i="1"/>
  <c r="G20319" i="1"/>
  <c r="C20319" i="1"/>
  <c r="G20318" i="1"/>
  <c r="C20318" i="1"/>
  <c r="G20317" i="1"/>
  <c r="C20317" i="1"/>
  <c r="G20316" i="1"/>
  <c r="C20316" i="1"/>
  <c r="G20315" i="1"/>
  <c r="C20315" i="1"/>
  <c r="G20314" i="1"/>
  <c r="C20314" i="1"/>
  <c r="G20313" i="1"/>
  <c r="C20313" i="1"/>
  <c r="G20312" i="1"/>
  <c r="C20312" i="1"/>
  <c r="G20311" i="1"/>
  <c r="C20311" i="1"/>
  <c r="G20310" i="1"/>
  <c r="C20310" i="1"/>
  <c r="G20309" i="1"/>
  <c r="C20309" i="1"/>
  <c r="G20308" i="1"/>
  <c r="C20308" i="1"/>
  <c r="G20307" i="1"/>
  <c r="C20307" i="1"/>
  <c r="G20306" i="1"/>
  <c r="C20306" i="1"/>
  <c r="G20305" i="1"/>
  <c r="C20305" i="1"/>
  <c r="G20304" i="1"/>
  <c r="C20304" i="1"/>
  <c r="G20303" i="1"/>
  <c r="C20303" i="1"/>
  <c r="G20302" i="1"/>
  <c r="C20302" i="1"/>
  <c r="G20301" i="1"/>
  <c r="C20301" i="1"/>
  <c r="G20300" i="1"/>
  <c r="C20300" i="1"/>
  <c r="G20299" i="1"/>
  <c r="C20299" i="1"/>
  <c r="G20298" i="1"/>
  <c r="C20298" i="1"/>
  <c r="G20297" i="1"/>
  <c r="C20297" i="1"/>
  <c r="G20296" i="1"/>
  <c r="C20296" i="1"/>
  <c r="G20295" i="1"/>
  <c r="C20295" i="1"/>
  <c r="G20293" i="1"/>
  <c r="C20293" i="1"/>
  <c r="G20292" i="1"/>
  <c r="C20292" i="1"/>
  <c r="G20291" i="1"/>
  <c r="C20291" i="1"/>
  <c r="G20290" i="1"/>
  <c r="C20290" i="1"/>
  <c r="G20289" i="1"/>
  <c r="C20289" i="1"/>
  <c r="G20288" i="1"/>
  <c r="C20288" i="1"/>
  <c r="G20287" i="1"/>
  <c r="C20287" i="1"/>
  <c r="G20286" i="1"/>
  <c r="C20286" i="1"/>
  <c r="G20285" i="1"/>
  <c r="C20285" i="1"/>
  <c r="G20284" i="1"/>
  <c r="C20284" i="1"/>
  <c r="G20283" i="1"/>
  <c r="C20283" i="1"/>
  <c r="G20282" i="1"/>
  <c r="C20282" i="1"/>
  <c r="G20281" i="1"/>
  <c r="C20281" i="1"/>
  <c r="G20280" i="1"/>
  <c r="C20280" i="1"/>
  <c r="G20279" i="1"/>
  <c r="C20279" i="1"/>
  <c r="G20278" i="1"/>
  <c r="C20278" i="1"/>
  <c r="G20277" i="1"/>
  <c r="C20277" i="1"/>
  <c r="G20276" i="1"/>
  <c r="C20276" i="1"/>
  <c r="G20275" i="1"/>
  <c r="C20275" i="1"/>
  <c r="G20272" i="1"/>
  <c r="C20272" i="1"/>
  <c r="G20271" i="1"/>
  <c r="C20271" i="1"/>
  <c r="G20270" i="1"/>
  <c r="C20270" i="1"/>
  <c r="G20269" i="1"/>
  <c r="C20269" i="1"/>
  <c r="G20268" i="1"/>
  <c r="C20268" i="1"/>
  <c r="G20267" i="1"/>
  <c r="C20267" i="1"/>
  <c r="G20266" i="1"/>
  <c r="C20266" i="1"/>
  <c r="G20265" i="1"/>
  <c r="C20265" i="1"/>
  <c r="G20264" i="1"/>
  <c r="C20264" i="1"/>
  <c r="G20263" i="1"/>
  <c r="C20263" i="1"/>
  <c r="G20262" i="1"/>
  <c r="C20262" i="1"/>
  <c r="G20261" i="1"/>
  <c r="C20261" i="1"/>
  <c r="G20260" i="1"/>
  <c r="C20260" i="1"/>
  <c r="G20259" i="1"/>
  <c r="C20259" i="1"/>
  <c r="G20258" i="1"/>
  <c r="C20258" i="1"/>
  <c r="G20257" i="1"/>
  <c r="C20257" i="1"/>
  <c r="G20256" i="1"/>
  <c r="C20256" i="1"/>
  <c r="G20255" i="1"/>
  <c r="C20255" i="1"/>
  <c r="G20254" i="1"/>
  <c r="C20254" i="1"/>
  <c r="G20253" i="1"/>
  <c r="C20253" i="1"/>
  <c r="G20252" i="1"/>
  <c r="C20252" i="1"/>
  <c r="G20251" i="1"/>
  <c r="C20251" i="1"/>
  <c r="G20250" i="1"/>
  <c r="C20250" i="1"/>
  <c r="G20248" i="1"/>
  <c r="C20248" i="1"/>
  <c r="G20247" i="1"/>
  <c r="C20247" i="1"/>
  <c r="G20246" i="1"/>
  <c r="C20246" i="1"/>
  <c r="G20245" i="1"/>
  <c r="C20245" i="1"/>
  <c r="G20243" i="1"/>
  <c r="C20243" i="1"/>
  <c r="G20242" i="1"/>
  <c r="C20242" i="1"/>
  <c r="G20241" i="1"/>
  <c r="C20241" i="1"/>
  <c r="G20240" i="1"/>
  <c r="C20240" i="1"/>
  <c r="G20239" i="1"/>
  <c r="C20239" i="1"/>
  <c r="G20238" i="1"/>
  <c r="C20238" i="1"/>
  <c r="G20237" i="1"/>
  <c r="C20237" i="1"/>
  <c r="G20236" i="1"/>
  <c r="C20236" i="1"/>
  <c r="G20235" i="1"/>
  <c r="C20235" i="1"/>
  <c r="G20234" i="1"/>
  <c r="C20234" i="1"/>
  <c r="G20233" i="1"/>
  <c r="C20233" i="1"/>
  <c r="G20231" i="1"/>
  <c r="C20231" i="1"/>
  <c r="G20230" i="1"/>
  <c r="C20230" i="1"/>
  <c r="G20229" i="1"/>
  <c r="C20229" i="1"/>
  <c r="G20228" i="1"/>
  <c r="C20228" i="1"/>
  <c r="G20227" i="1"/>
  <c r="C20227" i="1"/>
  <c r="G20226" i="1"/>
  <c r="C20226" i="1"/>
  <c r="G20225" i="1"/>
  <c r="C20225" i="1"/>
  <c r="G20224" i="1"/>
  <c r="C20224" i="1"/>
  <c r="G20223" i="1"/>
  <c r="C20223" i="1"/>
  <c r="G20222" i="1"/>
  <c r="C20222" i="1"/>
  <c r="G20221" i="1"/>
  <c r="C20221" i="1"/>
  <c r="G20220" i="1"/>
  <c r="C20220" i="1"/>
  <c r="G20219" i="1"/>
  <c r="C20219" i="1"/>
  <c r="G20218" i="1"/>
  <c r="C20218" i="1"/>
  <c r="G20217" i="1"/>
  <c r="C20217" i="1"/>
  <c r="G20215" i="1"/>
  <c r="C20215" i="1"/>
  <c r="G20214" i="1"/>
  <c r="C20214" i="1"/>
  <c r="G20213" i="1"/>
  <c r="C20213" i="1"/>
  <c r="G20212" i="1"/>
  <c r="C20212" i="1"/>
  <c r="G20211" i="1"/>
  <c r="C20211" i="1"/>
  <c r="G20210" i="1"/>
  <c r="C20210" i="1"/>
  <c r="G20209" i="1"/>
  <c r="C20209" i="1"/>
  <c r="G20208" i="1"/>
  <c r="C20208" i="1"/>
  <c r="G20207" i="1"/>
  <c r="C20207" i="1"/>
  <c r="G20206" i="1"/>
  <c r="C20206" i="1"/>
  <c r="G20205" i="1"/>
  <c r="C20205" i="1"/>
  <c r="G20204" i="1"/>
  <c r="C20204" i="1"/>
  <c r="G20203" i="1"/>
  <c r="C20203" i="1"/>
  <c r="G20202" i="1"/>
  <c r="C20202" i="1"/>
  <c r="G20201" i="1"/>
  <c r="C20201" i="1"/>
  <c r="G20200" i="1"/>
  <c r="C20200" i="1"/>
  <c r="G20199" i="1"/>
  <c r="C20199" i="1"/>
  <c r="G20198" i="1"/>
  <c r="C20198" i="1"/>
  <c r="G20197" i="1"/>
  <c r="C20197" i="1"/>
  <c r="G20195" i="1"/>
  <c r="C20195" i="1"/>
  <c r="G20194" i="1"/>
  <c r="C20194" i="1"/>
  <c r="G20193" i="1"/>
  <c r="C20193" i="1"/>
  <c r="G20192" i="1"/>
  <c r="C20192" i="1"/>
  <c r="G20191" i="1"/>
  <c r="C20191" i="1"/>
  <c r="G20190" i="1"/>
  <c r="C20190" i="1"/>
  <c r="G20189" i="1"/>
  <c r="C20189" i="1"/>
  <c r="G20188" i="1"/>
  <c r="C20188" i="1"/>
  <c r="G20187" i="1"/>
  <c r="C20187" i="1"/>
  <c r="G20186" i="1"/>
  <c r="C20186" i="1"/>
  <c r="G20185" i="1"/>
  <c r="C20185" i="1"/>
  <c r="G20184" i="1"/>
  <c r="C20184" i="1"/>
  <c r="G20183" i="1"/>
  <c r="C20183" i="1"/>
  <c r="G20182" i="1"/>
  <c r="C20182" i="1"/>
  <c r="G20181" i="1"/>
  <c r="C20181" i="1"/>
  <c r="G20180" i="1"/>
  <c r="C20180" i="1"/>
  <c r="G20179" i="1"/>
  <c r="C20179" i="1"/>
  <c r="G20178" i="1"/>
  <c r="C20178" i="1"/>
  <c r="G20177" i="1"/>
  <c r="C20177" i="1"/>
  <c r="G20176" i="1"/>
  <c r="C20176" i="1"/>
  <c r="G20175" i="1"/>
  <c r="C20175" i="1"/>
  <c r="G20174" i="1"/>
  <c r="C20174" i="1"/>
  <c r="G20173" i="1"/>
  <c r="C20173" i="1"/>
  <c r="G20171" i="1"/>
  <c r="C20171" i="1"/>
  <c r="G20170" i="1"/>
  <c r="C20170" i="1"/>
  <c r="G20169" i="1"/>
  <c r="C20169" i="1"/>
  <c r="G20168" i="1"/>
  <c r="C20168" i="1"/>
  <c r="G20167" i="1"/>
  <c r="C20167" i="1"/>
  <c r="G20166" i="1"/>
  <c r="C20166" i="1"/>
  <c r="G20165" i="1"/>
  <c r="C20165" i="1"/>
  <c r="G20164" i="1"/>
  <c r="C20164" i="1"/>
  <c r="G20163" i="1"/>
  <c r="C20163" i="1"/>
  <c r="G20162" i="1"/>
  <c r="C20162" i="1"/>
  <c r="G20161" i="1"/>
  <c r="C20161" i="1"/>
  <c r="G20159" i="1"/>
  <c r="C20159" i="1"/>
  <c r="G20158" i="1"/>
  <c r="C20158" i="1"/>
  <c r="G20157" i="1"/>
  <c r="C20157" i="1"/>
  <c r="G20156" i="1"/>
  <c r="C20156" i="1"/>
  <c r="G20155" i="1"/>
  <c r="C20155" i="1"/>
  <c r="G20154" i="1"/>
  <c r="C20154" i="1"/>
  <c r="G20153" i="1"/>
  <c r="C20153" i="1"/>
  <c r="G20152" i="1"/>
  <c r="C20152" i="1"/>
  <c r="G20151" i="1"/>
  <c r="C20151" i="1"/>
  <c r="G20150" i="1"/>
  <c r="C20150" i="1"/>
  <c r="G20149" i="1"/>
  <c r="C20149" i="1"/>
  <c r="G20148" i="1"/>
  <c r="C20148" i="1"/>
  <c r="G20147" i="1"/>
  <c r="C20147" i="1"/>
  <c r="G20146" i="1"/>
  <c r="C20146" i="1"/>
  <c r="G20145" i="1"/>
  <c r="C20145" i="1"/>
  <c r="G20144" i="1"/>
  <c r="C20144" i="1"/>
  <c r="G20143" i="1"/>
  <c r="C20143" i="1"/>
  <c r="G20142" i="1"/>
  <c r="C20142" i="1"/>
  <c r="G20141" i="1"/>
  <c r="C20141" i="1"/>
  <c r="G20139" i="1"/>
  <c r="C20139" i="1"/>
  <c r="G20138" i="1"/>
  <c r="C20138" i="1"/>
  <c r="G20135" i="1"/>
  <c r="C20135" i="1"/>
  <c r="G20134" i="1"/>
  <c r="C20134" i="1"/>
  <c r="G20133" i="1"/>
  <c r="C20133" i="1"/>
  <c r="G20132" i="1"/>
  <c r="C20132" i="1"/>
  <c r="G20131" i="1"/>
  <c r="C20131" i="1"/>
  <c r="G20130" i="1"/>
  <c r="C20130" i="1"/>
  <c r="G20129" i="1"/>
  <c r="C20129" i="1"/>
  <c r="G20128" i="1"/>
  <c r="C20128" i="1"/>
  <c r="G20127" i="1"/>
  <c r="C20127" i="1"/>
  <c r="G20126" i="1"/>
  <c r="C20126" i="1"/>
  <c r="G20125" i="1"/>
  <c r="C20125" i="1"/>
  <c r="G20124" i="1"/>
  <c r="C20124" i="1"/>
  <c r="G20123" i="1"/>
  <c r="C20123" i="1"/>
  <c r="G20122" i="1"/>
  <c r="C20122" i="1"/>
  <c r="G20121" i="1"/>
  <c r="C20121" i="1"/>
  <c r="G20120" i="1"/>
  <c r="C20120" i="1"/>
  <c r="G20119" i="1"/>
  <c r="C20119" i="1"/>
  <c r="G20118" i="1"/>
  <c r="C20118" i="1"/>
  <c r="G20117" i="1"/>
  <c r="C20117" i="1"/>
  <c r="G20116" i="1"/>
  <c r="C20116" i="1"/>
  <c r="G20115" i="1"/>
  <c r="C20115" i="1"/>
  <c r="G20114" i="1"/>
  <c r="C20114" i="1"/>
  <c r="G20113" i="1"/>
  <c r="C20113" i="1"/>
  <c r="G20112" i="1"/>
  <c r="C20112" i="1"/>
  <c r="G20111" i="1"/>
  <c r="C20111" i="1"/>
  <c r="G20109" i="1"/>
  <c r="C20109" i="1"/>
  <c r="G20108" i="1"/>
  <c r="C20108" i="1"/>
  <c r="G20107" i="1"/>
  <c r="C20107" i="1"/>
  <c r="G20106" i="1"/>
  <c r="C20106" i="1"/>
  <c r="G20105" i="1"/>
  <c r="C20105" i="1"/>
  <c r="G20104" i="1"/>
  <c r="C20104" i="1"/>
  <c r="G20103" i="1"/>
  <c r="C20103" i="1"/>
  <c r="G20102" i="1"/>
  <c r="C20102" i="1"/>
  <c r="G20101" i="1"/>
  <c r="C20101" i="1"/>
  <c r="G20100" i="1"/>
  <c r="C20100" i="1"/>
  <c r="G20099" i="1"/>
  <c r="C20099" i="1"/>
  <c r="G20098" i="1"/>
  <c r="C20098" i="1"/>
  <c r="G20097" i="1"/>
  <c r="C20097" i="1"/>
  <c r="G20096" i="1"/>
  <c r="C20096" i="1"/>
  <c r="G20095" i="1"/>
  <c r="C20095" i="1"/>
  <c r="G20094" i="1"/>
  <c r="C20094" i="1"/>
  <c r="G20093" i="1"/>
  <c r="C20093" i="1"/>
  <c r="G20092" i="1"/>
  <c r="C20092" i="1"/>
  <c r="G20091" i="1"/>
  <c r="C20091" i="1"/>
  <c r="G20090" i="1"/>
  <c r="C20090" i="1"/>
  <c r="G20089" i="1"/>
  <c r="C20089" i="1"/>
  <c r="G20088" i="1"/>
  <c r="C20088" i="1"/>
  <c r="G20087" i="1"/>
  <c r="C20087" i="1"/>
  <c r="G20086" i="1"/>
  <c r="C20086" i="1"/>
  <c r="G20085" i="1"/>
  <c r="C20085" i="1"/>
  <c r="G20084" i="1"/>
  <c r="C20084" i="1"/>
  <c r="G20083" i="1"/>
  <c r="C20083" i="1"/>
  <c r="G20082" i="1"/>
  <c r="C20082" i="1"/>
  <c r="G20081" i="1"/>
  <c r="C20081" i="1"/>
  <c r="G20080" i="1"/>
  <c r="C20080" i="1"/>
  <c r="G20079" i="1"/>
  <c r="C20079" i="1"/>
  <c r="G20078" i="1"/>
  <c r="C20078" i="1"/>
  <c r="G20077" i="1"/>
  <c r="C20077" i="1"/>
  <c r="G20076" i="1"/>
  <c r="C20076" i="1"/>
  <c r="G20075" i="1"/>
  <c r="C20075" i="1"/>
  <c r="G20073" i="1"/>
  <c r="C20073" i="1"/>
  <c r="G20072" i="1"/>
  <c r="C20072" i="1"/>
  <c r="G20071" i="1"/>
  <c r="C20071" i="1"/>
  <c r="G20070" i="1"/>
  <c r="C20070" i="1"/>
  <c r="G20069" i="1"/>
  <c r="C20069" i="1"/>
  <c r="G20068" i="1"/>
  <c r="C20068" i="1"/>
  <c r="G20067" i="1"/>
  <c r="C20067" i="1"/>
  <c r="G20066" i="1"/>
  <c r="C20066" i="1"/>
  <c r="G20065" i="1"/>
  <c r="C20065" i="1"/>
  <c r="G20064" i="1"/>
  <c r="C20064" i="1"/>
  <c r="G20063" i="1"/>
  <c r="C20063" i="1"/>
  <c r="G20062" i="1"/>
  <c r="C20062" i="1"/>
  <c r="G20061" i="1"/>
  <c r="C20061" i="1"/>
  <c r="G20060" i="1"/>
  <c r="C20060" i="1"/>
  <c r="G20059" i="1"/>
  <c r="C20059" i="1"/>
  <c r="G20058" i="1"/>
  <c r="C20058" i="1"/>
  <c r="G20057" i="1"/>
  <c r="C20057" i="1"/>
  <c r="G20056" i="1"/>
  <c r="C20056" i="1"/>
  <c r="G20055" i="1"/>
  <c r="C20055" i="1"/>
  <c r="G20054" i="1"/>
  <c r="C20054" i="1"/>
  <c r="G20053" i="1"/>
  <c r="C20053" i="1"/>
  <c r="G20052" i="1"/>
  <c r="C20052" i="1"/>
  <c r="G20051" i="1"/>
  <c r="C20051" i="1"/>
  <c r="G20050" i="1"/>
  <c r="C20050" i="1"/>
  <c r="G20049" i="1"/>
  <c r="C20049" i="1"/>
  <c r="G20048" i="1"/>
  <c r="C20048" i="1"/>
  <c r="G20047" i="1"/>
  <c r="C20047" i="1"/>
  <c r="G20046" i="1"/>
  <c r="C20046" i="1"/>
  <c r="G20045" i="1"/>
  <c r="C20045" i="1"/>
  <c r="G20044" i="1"/>
  <c r="C20044" i="1"/>
  <c r="G20043" i="1"/>
  <c r="C20043" i="1"/>
  <c r="G20042" i="1"/>
  <c r="C20042" i="1"/>
  <c r="G20041" i="1"/>
  <c r="C20041" i="1"/>
  <c r="G20040" i="1"/>
  <c r="C20040" i="1"/>
  <c r="G20039" i="1"/>
  <c r="C20039" i="1"/>
  <c r="G20038" i="1"/>
  <c r="C20038" i="1"/>
  <c r="G20037" i="1"/>
  <c r="C20037" i="1"/>
  <c r="G20036" i="1"/>
  <c r="C20036" i="1"/>
  <c r="G20035" i="1"/>
  <c r="C20035" i="1"/>
  <c r="G20034" i="1"/>
  <c r="C20034" i="1"/>
  <c r="G20033" i="1"/>
  <c r="C20033" i="1"/>
  <c r="G20032" i="1"/>
  <c r="C20032" i="1"/>
  <c r="G20031" i="1"/>
  <c r="C20031" i="1"/>
  <c r="G20030" i="1"/>
  <c r="C20030" i="1"/>
  <c r="G20029" i="1"/>
  <c r="C20029" i="1"/>
  <c r="G20028" i="1"/>
  <c r="C20028" i="1"/>
  <c r="G20027" i="1"/>
  <c r="C20027" i="1"/>
  <c r="G20026" i="1"/>
  <c r="C20026" i="1"/>
  <c r="G20025" i="1"/>
  <c r="C20025" i="1"/>
  <c r="G20024" i="1"/>
  <c r="C20024" i="1"/>
  <c r="G20023" i="1"/>
  <c r="C20023" i="1"/>
  <c r="G20022" i="1"/>
  <c r="C20022" i="1"/>
  <c r="G20021" i="1"/>
  <c r="C20021" i="1"/>
  <c r="G20020" i="1"/>
  <c r="C20020" i="1"/>
  <c r="G20019" i="1"/>
  <c r="C20019" i="1"/>
  <c r="G20018" i="1"/>
  <c r="C20018" i="1"/>
  <c r="G20017" i="1"/>
  <c r="C20017" i="1"/>
  <c r="G20016" i="1"/>
  <c r="C20016" i="1"/>
  <c r="G20015" i="1"/>
  <c r="C20015" i="1"/>
  <c r="G20014" i="1"/>
  <c r="C20014" i="1"/>
  <c r="G20013" i="1"/>
  <c r="C20013" i="1"/>
  <c r="G20012" i="1"/>
  <c r="C20012" i="1"/>
  <c r="G20010" i="1"/>
  <c r="C20010" i="1"/>
  <c r="G20009" i="1"/>
  <c r="C20009" i="1"/>
  <c r="G20008" i="1"/>
  <c r="C20008" i="1"/>
  <c r="G20007" i="1"/>
  <c r="C20007" i="1"/>
  <c r="G20006" i="1"/>
  <c r="C20006" i="1"/>
  <c r="G20005" i="1"/>
  <c r="C20005" i="1"/>
  <c r="G20004" i="1"/>
  <c r="C20004" i="1"/>
  <c r="G20003" i="1"/>
  <c r="C20003" i="1"/>
  <c r="G20002" i="1"/>
  <c r="C20002" i="1"/>
  <c r="G20001" i="1"/>
  <c r="C20001" i="1"/>
  <c r="G20000" i="1"/>
  <c r="C20000" i="1"/>
  <c r="G19999" i="1"/>
  <c r="C19999" i="1"/>
  <c r="G19998" i="1"/>
  <c r="C19998" i="1"/>
  <c r="G19997" i="1"/>
  <c r="C19997" i="1"/>
  <c r="G19996" i="1"/>
  <c r="C19996" i="1"/>
  <c r="G19995" i="1"/>
  <c r="C19995" i="1"/>
  <c r="G19994" i="1"/>
  <c r="C19994" i="1"/>
  <c r="G19993" i="1"/>
  <c r="C19993" i="1"/>
  <c r="G19992" i="1"/>
  <c r="C19992" i="1"/>
  <c r="G19991" i="1"/>
  <c r="C19991" i="1"/>
  <c r="G19990" i="1"/>
  <c r="C19990" i="1"/>
  <c r="G19989" i="1"/>
  <c r="C19989" i="1"/>
  <c r="G19988" i="1"/>
  <c r="C19988" i="1"/>
  <c r="G19987" i="1"/>
  <c r="C19987" i="1"/>
  <c r="G19986" i="1"/>
  <c r="C19986" i="1"/>
  <c r="G19985" i="1"/>
  <c r="C19985" i="1"/>
  <c r="G19984" i="1"/>
  <c r="C19984" i="1"/>
  <c r="G19983" i="1"/>
  <c r="C19983" i="1"/>
  <c r="G19982" i="1"/>
  <c r="C19982" i="1"/>
  <c r="G19981" i="1"/>
  <c r="C19981" i="1"/>
  <c r="G19980" i="1"/>
  <c r="C19980" i="1"/>
  <c r="G19979" i="1"/>
  <c r="C19979" i="1"/>
  <c r="G19978" i="1"/>
  <c r="C19978" i="1"/>
  <c r="G19977" i="1"/>
  <c r="C19977" i="1"/>
  <c r="G19976" i="1"/>
  <c r="C19976" i="1"/>
  <c r="G19975" i="1"/>
  <c r="C19975" i="1"/>
  <c r="G19974" i="1"/>
  <c r="C19974" i="1"/>
  <c r="G19973" i="1"/>
  <c r="C19973" i="1"/>
  <c r="G19972" i="1"/>
  <c r="C19972" i="1"/>
  <c r="G19971" i="1"/>
  <c r="C19971" i="1"/>
  <c r="G19970" i="1"/>
  <c r="C19970" i="1"/>
  <c r="G19969" i="1"/>
  <c r="C19969" i="1"/>
  <c r="G19968" i="1"/>
  <c r="C19968" i="1"/>
  <c r="G19967" i="1"/>
  <c r="C19967" i="1"/>
  <c r="G19966" i="1"/>
  <c r="C19966" i="1"/>
  <c r="G19964" i="1"/>
  <c r="C19964" i="1"/>
  <c r="G19963" i="1"/>
  <c r="C19963" i="1"/>
  <c r="G19962" i="1"/>
  <c r="C19962" i="1"/>
  <c r="G19961" i="1"/>
  <c r="C19961" i="1"/>
  <c r="G19960" i="1"/>
  <c r="C19960" i="1"/>
  <c r="G19959" i="1"/>
  <c r="C19959" i="1"/>
  <c r="G19958" i="1"/>
  <c r="C19958" i="1"/>
  <c r="G19957" i="1"/>
  <c r="C19957" i="1"/>
  <c r="G19956" i="1"/>
  <c r="C19956" i="1"/>
  <c r="G19955" i="1"/>
  <c r="C19955" i="1"/>
  <c r="G19954" i="1"/>
  <c r="C19954" i="1"/>
  <c r="G19953" i="1"/>
  <c r="C19953" i="1"/>
  <c r="G19952" i="1"/>
  <c r="C19952" i="1"/>
  <c r="G19951" i="1"/>
  <c r="C19951" i="1"/>
  <c r="G19950" i="1"/>
  <c r="C19950" i="1"/>
  <c r="G19949" i="1"/>
  <c r="C19949" i="1"/>
  <c r="G19948" i="1"/>
  <c r="C19948" i="1"/>
  <c r="G19947" i="1"/>
  <c r="C19947" i="1"/>
  <c r="G19946" i="1"/>
  <c r="C19946" i="1"/>
  <c r="G19945" i="1"/>
  <c r="C19945" i="1"/>
  <c r="G19944" i="1"/>
  <c r="C19944" i="1"/>
  <c r="G19943" i="1"/>
  <c r="C19943" i="1"/>
  <c r="G19942" i="1"/>
  <c r="C19942" i="1"/>
  <c r="G19941" i="1"/>
  <c r="C19941" i="1"/>
  <c r="G19940" i="1"/>
  <c r="C19940" i="1"/>
  <c r="G19939" i="1"/>
  <c r="C19939" i="1"/>
  <c r="G19938" i="1"/>
  <c r="C19938" i="1"/>
  <c r="G19937" i="1"/>
  <c r="C19937" i="1"/>
  <c r="G19936" i="1"/>
  <c r="C19936" i="1"/>
  <c r="G19935" i="1"/>
  <c r="C19935" i="1"/>
  <c r="G19934" i="1"/>
  <c r="C19934" i="1"/>
  <c r="G19933" i="1"/>
  <c r="C19933" i="1"/>
  <c r="G19932" i="1"/>
  <c r="C19932" i="1"/>
  <c r="G19931" i="1"/>
  <c r="C19931" i="1"/>
  <c r="G19930" i="1"/>
  <c r="C19930" i="1"/>
  <c r="G19929" i="1"/>
  <c r="C19929" i="1"/>
  <c r="G19928" i="1"/>
  <c r="C19928" i="1"/>
  <c r="G19927" i="1"/>
  <c r="C19927" i="1"/>
  <c r="G19926" i="1"/>
  <c r="C19926" i="1"/>
  <c r="G19925" i="1"/>
  <c r="C19925" i="1"/>
  <c r="G19924" i="1"/>
  <c r="C19924" i="1"/>
  <c r="G19923" i="1"/>
  <c r="C19923" i="1"/>
  <c r="G19921" i="1"/>
  <c r="C19921" i="1"/>
  <c r="G19920" i="1"/>
  <c r="C19920" i="1"/>
  <c r="G19919" i="1"/>
  <c r="C19919" i="1"/>
  <c r="G19918" i="1"/>
  <c r="C19918" i="1"/>
  <c r="G19917" i="1"/>
  <c r="C19917" i="1"/>
  <c r="G19916" i="1"/>
  <c r="C19916" i="1"/>
  <c r="G19915" i="1"/>
  <c r="C19915" i="1"/>
  <c r="G19914" i="1"/>
  <c r="C19914" i="1"/>
  <c r="G19913" i="1"/>
  <c r="C19913" i="1"/>
  <c r="G19912" i="1"/>
  <c r="C19912" i="1"/>
  <c r="G19911" i="1"/>
  <c r="C19911" i="1"/>
  <c r="G19910" i="1"/>
  <c r="C19910" i="1"/>
  <c r="G19909" i="1"/>
  <c r="C19909" i="1"/>
  <c r="G19908" i="1"/>
  <c r="C19908" i="1"/>
  <c r="G19907" i="1"/>
  <c r="C19907" i="1"/>
  <c r="G19906" i="1"/>
  <c r="C19906" i="1"/>
  <c r="G19905" i="1"/>
  <c r="C19905" i="1"/>
  <c r="G19904" i="1"/>
  <c r="C19904" i="1"/>
  <c r="G19903" i="1"/>
  <c r="C19903" i="1"/>
  <c r="G19902" i="1"/>
  <c r="C19902" i="1"/>
  <c r="G19901" i="1"/>
  <c r="C19901" i="1"/>
  <c r="G19900" i="1"/>
  <c r="C19900" i="1"/>
  <c r="G19899" i="1"/>
  <c r="C19899" i="1"/>
  <c r="G19898" i="1"/>
  <c r="C19898" i="1"/>
  <c r="G19897" i="1"/>
  <c r="C19897" i="1"/>
  <c r="G19896" i="1"/>
  <c r="C19896" i="1"/>
  <c r="G19895" i="1"/>
  <c r="C19895" i="1"/>
  <c r="G19894" i="1"/>
  <c r="C19894" i="1"/>
  <c r="G19893" i="1"/>
  <c r="C19893" i="1"/>
  <c r="G19892" i="1"/>
  <c r="C19892" i="1"/>
  <c r="G19891" i="1"/>
  <c r="C19891" i="1"/>
  <c r="G19890" i="1"/>
  <c r="C19890" i="1"/>
  <c r="G19889" i="1"/>
  <c r="C19889" i="1"/>
  <c r="G19888" i="1"/>
  <c r="C19888" i="1"/>
  <c r="G19887" i="1"/>
  <c r="C19887" i="1"/>
  <c r="G19886" i="1"/>
  <c r="C19886" i="1"/>
  <c r="G19885" i="1"/>
  <c r="C19885" i="1"/>
  <c r="G19884" i="1"/>
  <c r="C19884" i="1"/>
  <c r="G19883" i="1"/>
  <c r="C19883" i="1"/>
  <c r="G19882" i="1"/>
  <c r="C19882" i="1"/>
  <c r="G19881" i="1"/>
  <c r="C19881" i="1"/>
  <c r="G19880" i="1"/>
  <c r="C19880" i="1"/>
  <c r="G19879" i="1"/>
  <c r="C19879" i="1"/>
  <c r="G19878" i="1"/>
  <c r="C19878" i="1"/>
  <c r="G19877" i="1"/>
  <c r="C19877" i="1"/>
  <c r="G19876" i="1"/>
  <c r="C19876" i="1"/>
  <c r="G19875" i="1"/>
  <c r="C19875" i="1"/>
  <c r="G19874" i="1"/>
  <c r="C19874" i="1"/>
  <c r="G19873" i="1"/>
  <c r="C19873" i="1"/>
  <c r="G19872" i="1"/>
  <c r="C19872" i="1"/>
  <c r="G19871" i="1"/>
  <c r="C19871" i="1"/>
  <c r="G19870" i="1"/>
  <c r="C19870" i="1"/>
  <c r="G19869" i="1"/>
  <c r="C19869" i="1"/>
  <c r="G19868" i="1"/>
  <c r="C19868" i="1"/>
  <c r="G19867" i="1"/>
  <c r="C19867" i="1"/>
  <c r="G19866" i="1"/>
  <c r="C19866" i="1"/>
  <c r="G19865" i="1"/>
  <c r="C19865" i="1"/>
  <c r="G19864" i="1"/>
  <c r="C19864" i="1"/>
  <c r="G19863" i="1"/>
  <c r="C19863" i="1"/>
  <c r="G19862" i="1"/>
  <c r="C19862" i="1"/>
  <c r="G19861" i="1"/>
  <c r="C19861" i="1"/>
  <c r="G19860" i="1"/>
  <c r="C19860" i="1"/>
  <c r="G19859" i="1"/>
  <c r="C19859" i="1"/>
  <c r="G19858" i="1"/>
  <c r="C19858" i="1"/>
  <c r="G19857" i="1"/>
  <c r="C19857" i="1"/>
  <c r="G19856" i="1"/>
  <c r="C19856" i="1"/>
  <c r="G19855" i="1"/>
  <c r="C19855" i="1"/>
  <c r="G19854" i="1"/>
  <c r="C19854" i="1"/>
  <c r="G19852" i="1"/>
  <c r="C19852" i="1"/>
  <c r="G19851" i="1"/>
  <c r="C19851" i="1"/>
  <c r="G19850" i="1"/>
  <c r="C19850" i="1"/>
  <c r="G19849" i="1"/>
  <c r="C19849" i="1"/>
  <c r="G19848" i="1"/>
  <c r="C19848" i="1"/>
  <c r="G19847" i="1"/>
  <c r="C19847" i="1"/>
  <c r="G19846" i="1"/>
  <c r="C19846" i="1"/>
  <c r="G19845" i="1"/>
  <c r="C19845" i="1"/>
  <c r="G19844" i="1"/>
  <c r="C19844" i="1"/>
  <c r="G19843" i="1"/>
  <c r="C19843" i="1"/>
  <c r="G19842" i="1"/>
  <c r="C19842" i="1"/>
  <c r="G19839" i="1"/>
  <c r="C19839" i="1"/>
  <c r="G19837" i="1"/>
  <c r="C19837" i="1"/>
  <c r="G19836" i="1"/>
  <c r="C19836" i="1"/>
  <c r="G19835" i="1"/>
  <c r="C19835" i="1"/>
  <c r="G19834" i="1"/>
  <c r="C19834" i="1"/>
  <c r="G19833" i="1"/>
  <c r="C19833" i="1"/>
  <c r="G19832" i="1"/>
  <c r="C19832" i="1"/>
  <c r="G19831" i="1"/>
  <c r="C19831" i="1"/>
  <c r="G19830" i="1"/>
  <c r="C19830" i="1"/>
  <c r="G19829" i="1"/>
  <c r="C19829" i="1"/>
  <c r="G19828" i="1"/>
  <c r="C19828" i="1"/>
  <c r="G19827" i="1"/>
  <c r="C19827" i="1"/>
  <c r="G19826" i="1"/>
  <c r="C19826" i="1"/>
  <c r="G19825" i="1"/>
  <c r="C19825" i="1"/>
  <c r="G19824" i="1"/>
  <c r="C19824" i="1"/>
  <c r="G19823" i="1"/>
  <c r="C19823" i="1"/>
  <c r="G19822" i="1"/>
  <c r="C19822" i="1"/>
  <c r="G19821" i="1"/>
  <c r="C19821" i="1"/>
  <c r="G19820" i="1"/>
  <c r="C19820" i="1"/>
  <c r="G19819" i="1"/>
  <c r="C19819" i="1"/>
  <c r="G19818" i="1"/>
  <c r="C19818" i="1"/>
  <c r="G19817" i="1"/>
  <c r="C19817" i="1"/>
  <c r="G19816" i="1"/>
  <c r="C19816" i="1"/>
  <c r="G19815" i="1"/>
  <c r="C19815" i="1"/>
  <c r="G19814" i="1"/>
  <c r="C19814" i="1"/>
  <c r="G19813" i="1"/>
  <c r="C19813" i="1"/>
  <c r="G19812" i="1"/>
  <c r="C19812" i="1"/>
  <c r="G19811" i="1"/>
  <c r="C19811" i="1"/>
  <c r="G19810" i="1"/>
  <c r="C19810" i="1"/>
  <c r="G19809" i="1"/>
  <c r="C19809" i="1"/>
  <c r="G19808" i="1"/>
  <c r="C19808" i="1"/>
  <c r="G19807" i="1"/>
  <c r="C19807" i="1"/>
  <c r="G19806" i="1"/>
  <c r="C19806" i="1"/>
  <c r="G19805" i="1"/>
  <c r="C19805" i="1"/>
  <c r="G19804" i="1"/>
  <c r="C19804" i="1"/>
  <c r="G19803" i="1"/>
  <c r="C19803" i="1"/>
  <c r="G19802" i="1"/>
  <c r="C19802" i="1"/>
  <c r="G19801" i="1"/>
  <c r="C19801" i="1"/>
  <c r="G19800" i="1"/>
  <c r="C19800" i="1"/>
  <c r="G19799" i="1"/>
  <c r="C19799" i="1"/>
  <c r="G19798" i="1"/>
  <c r="C19798" i="1"/>
  <c r="G19797" i="1"/>
  <c r="C19797" i="1"/>
  <c r="G19796" i="1"/>
  <c r="C19796" i="1"/>
  <c r="G19795" i="1"/>
  <c r="C19795" i="1"/>
  <c r="G19794" i="1"/>
  <c r="C19794" i="1"/>
  <c r="G19793" i="1"/>
  <c r="C19793" i="1"/>
  <c r="G19792" i="1"/>
  <c r="C19792" i="1"/>
  <c r="G19791" i="1"/>
  <c r="C19791" i="1"/>
  <c r="G19790" i="1"/>
  <c r="C19790" i="1"/>
  <c r="G19789" i="1"/>
  <c r="C19789" i="1"/>
  <c r="G19788" i="1"/>
  <c r="C19788" i="1"/>
  <c r="G19787" i="1"/>
  <c r="C19787" i="1"/>
  <c r="G19786" i="1"/>
  <c r="C19786" i="1"/>
  <c r="G19785" i="1"/>
  <c r="C19785" i="1"/>
  <c r="G19784" i="1"/>
  <c r="C19784" i="1"/>
  <c r="G19783" i="1"/>
  <c r="C19783" i="1"/>
  <c r="G19782" i="1"/>
  <c r="C19782" i="1"/>
  <c r="G19781" i="1"/>
  <c r="C19781" i="1"/>
  <c r="G19780" i="1"/>
  <c r="C19780" i="1"/>
  <c r="G19779" i="1"/>
  <c r="C19779" i="1"/>
  <c r="G19778" i="1"/>
  <c r="C19778" i="1"/>
  <c r="G19777" i="1"/>
  <c r="C19777" i="1"/>
  <c r="G19776" i="1"/>
  <c r="C19776" i="1"/>
  <c r="G19775" i="1"/>
  <c r="C19775" i="1"/>
  <c r="G19774" i="1"/>
  <c r="C19774" i="1"/>
  <c r="G19773" i="1"/>
  <c r="C19773" i="1"/>
  <c r="G19772" i="1"/>
  <c r="C19772" i="1"/>
  <c r="G19771" i="1"/>
  <c r="C19771" i="1"/>
  <c r="G19770" i="1"/>
  <c r="C19770" i="1"/>
  <c r="G19769" i="1"/>
  <c r="C19769" i="1"/>
  <c r="G19768" i="1"/>
  <c r="C19768" i="1"/>
  <c r="G19767" i="1"/>
  <c r="C19767" i="1"/>
  <c r="G19766" i="1"/>
  <c r="C19766" i="1"/>
  <c r="G19765" i="1"/>
  <c r="C19765" i="1"/>
  <c r="G19764" i="1"/>
  <c r="C19764" i="1"/>
  <c r="G19763" i="1"/>
  <c r="C19763" i="1"/>
  <c r="G19762" i="1"/>
  <c r="C19762" i="1"/>
  <c r="G19761" i="1"/>
  <c r="C19761" i="1"/>
  <c r="G19760" i="1"/>
  <c r="C19760" i="1"/>
  <c r="G19759" i="1"/>
  <c r="C19759" i="1"/>
  <c r="G19758" i="1"/>
  <c r="C19758" i="1"/>
  <c r="G19757" i="1"/>
  <c r="C19757" i="1"/>
  <c r="G19756" i="1"/>
  <c r="C19756" i="1"/>
  <c r="G19755" i="1"/>
  <c r="C19755" i="1"/>
  <c r="G19754" i="1"/>
  <c r="C19754" i="1"/>
  <c r="G19753" i="1"/>
  <c r="C19753" i="1"/>
  <c r="G19752" i="1"/>
  <c r="C19752" i="1"/>
  <c r="G19751" i="1"/>
  <c r="C19751" i="1"/>
  <c r="G19750" i="1"/>
  <c r="C19750" i="1"/>
  <c r="G19749" i="1"/>
  <c r="C19749" i="1"/>
  <c r="G19748" i="1"/>
  <c r="C19748" i="1"/>
  <c r="G19747" i="1"/>
  <c r="C19747" i="1"/>
  <c r="G19746" i="1"/>
  <c r="C19746" i="1"/>
  <c r="G19745" i="1"/>
  <c r="C19745" i="1"/>
  <c r="G19744" i="1"/>
  <c r="C19744" i="1"/>
  <c r="G19743" i="1"/>
  <c r="C19743" i="1"/>
  <c r="G19742" i="1"/>
  <c r="C19742" i="1"/>
  <c r="G19741" i="1"/>
  <c r="C19741" i="1"/>
  <c r="G19740" i="1"/>
  <c r="C19740" i="1"/>
  <c r="G19739" i="1"/>
  <c r="C19739" i="1"/>
  <c r="G19738" i="1"/>
  <c r="C19738" i="1"/>
  <c r="G19737" i="1"/>
  <c r="C19737" i="1"/>
  <c r="G19736" i="1"/>
  <c r="C19736" i="1"/>
  <c r="G19735" i="1"/>
  <c r="C19735" i="1"/>
  <c r="G19734" i="1"/>
  <c r="C19734" i="1"/>
  <c r="G19732" i="1"/>
  <c r="C19732" i="1"/>
  <c r="G19731" i="1"/>
  <c r="C19731" i="1"/>
  <c r="G19730" i="1"/>
  <c r="C19730" i="1"/>
  <c r="G19729" i="1"/>
  <c r="C19729" i="1"/>
  <c r="G19728" i="1"/>
  <c r="C19728" i="1"/>
  <c r="G19727" i="1"/>
  <c r="C19727" i="1"/>
  <c r="G19726" i="1"/>
  <c r="C19726" i="1"/>
  <c r="G19725" i="1"/>
  <c r="C19725" i="1"/>
  <c r="G19724" i="1"/>
  <c r="C19724" i="1"/>
  <c r="G19723" i="1"/>
  <c r="C19723" i="1"/>
  <c r="G19722" i="1"/>
  <c r="C19722" i="1"/>
  <c r="G19721" i="1"/>
  <c r="C19721" i="1"/>
  <c r="G19720" i="1"/>
  <c r="C19720" i="1"/>
  <c r="G19719" i="1"/>
  <c r="C19719" i="1"/>
  <c r="G19718" i="1"/>
  <c r="C19718" i="1"/>
  <c r="G19717" i="1"/>
  <c r="C19717" i="1"/>
  <c r="G19716" i="1"/>
  <c r="C19716" i="1"/>
  <c r="G19715" i="1"/>
  <c r="C19715" i="1"/>
  <c r="G19714" i="1"/>
  <c r="C19714" i="1"/>
  <c r="G19713" i="1"/>
  <c r="C19713" i="1"/>
  <c r="G19712" i="1"/>
  <c r="C19712" i="1"/>
  <c r="G19711" i="1"/>
  <c r="C19711" i="1"/>
  <c r="G19710" i="1"/>
  <c r="C19710" i="1"/>
  <c r="G19709" i="1"/>
  <c r="C19709" i="1"/>
  <c r="G19708" i="1"/>
  <c r="C19708" i="1"/>
  <c r="G19707" i="1"/>
  <c r="C19707" i="1"/>
  <c r="G19706" i="1"/>
  <c r="C19706" i="1"/>
  <c r="G19705" i="1"/>
  <c r="C19705" i="1"/>
  <c r="G19704" i="1"/>
  <c r="C19704" i="1"/>
  <c r="G19703" i="1"/>
  <c r="C19703" i="1"/>
  <c r="G19702" i="1"/>
  <c r="C19702" i="1"/>
  <c r="G19701" i="1"/>
  <c r="C19701" i="1"/>
  <c r="G19700" i="1"/>
  <c r="C19700" i="1"/>
  <c r="G19699" i="1"/>
  <c r="C19699" i="1"/>
  <c r="G19698" i="1"/>
  <c r="C19698" i="1"/>
  <c r="G19697" i="1"/>
  <c r="C19697" i="1"/>
  <c r="G19696" i="1"/>
  <c r="C19696" i="1"/>
  <c r="G19695" i="1"/>
  <c r="C19695" i="1"/>
  <c r="G19694" i="1"/>
  <c r="C19694" i="1"/>
  <c r="G19693" i="1"/>
  <c r="C19693" i="1"/>
  <c r="G19692" i="1"/>
  <c r="C19692" i="1"/>
  <c r="G19691" i="1"/>
  <c r="C19691" i="1"/>
  <c r="G19690" i="1"/>
  <c r="C19690" i="1"/>
  <c r="G19689" i="1"/>
  <c r="C19689" i="1"/>
  <c r="G19688" i="1"/>
  <c r="C19688" i="1"/>
  <c r="G19687" i="1"/>
  <c r="C19687" i="1"/>
  <c r="G19686" i="1"/>
  <c r="C19686" i="1"/>
  <c r="G19685" i="1"/>
  <c r="C19685" i="1"/>
  <c r="G19684" i="1"/>
  <c r="C19684" i="1"/>
  <c r="G19683" i="1"/>
  <c r="C19683" i="1"/>
  <c r="G19682" i="1"/>
  <c r="C19682" i="1"/>
  <c r="G19681" i="1"/>
  <c r="C19681" i="1"/>
  <c r="G19680" i="1"/>
  <c r="C19680" i="1"/>
  <c r="G19679" i="1"/>
  <c r="C19679" i="1"/>
  <c r="G19678" i="1"/>
  <c r="C19678" i="1"/>
  <c r="G19677" i="1"/>
  <c r="C19677" i="1"/>
  <c r="G19676" i="1"/>
  <c r="C19676" i="1"/>
  <c r="G19675" i="1"/>
  <c r="C19675" i="1"/>
  <c r="G19674" i="1"/>
  <c r="C19674" i="1"/>
  <c r="G19673" i="1"/>
  <c r="C19673" i="1"/>
  <c r="G19672" i="1"/>
  <c r="C19672" i="1"/>
  <c r="G19671" i="1"/>
  <c r="C19671" i="1"/>
  <c r="G19670" i="1"/>
  <c r="C19670" i="1"/>
  <c r="G19669" i="1"/>
  <c r="C19669" i="1"/>
  <c r="G19668" i="1"/>
  <c r="C19668" i="1"/>
  <c r="G19667" i="1"/>
  <c r="C19667" i="1"/>
  <c r="G19666" i="1"/>
  <c r="C19666" i="1"/>
  <c r="G19665" i="1"/>
  <c r="C19665" i="1"/>
  <c r="G19664" i="1"/>
  <c r="C19664" i="1"/>
  <c r="G19663" i="1"/>
  <c r="C19663" i="1"/>
  <c r="G19660" i="1"/>
  <c r="C19660" i="1"/>
  <c r="G19659" i="1"/>
  <c r="C19659" i="1"/>
  <c r="G19658" i="1"/>
  <c r="C19658" i="1"/>
  <c r="G19657" i="1"/>
  <c r="C19657" i="1"/>
  <c r="G19656" i="1"/>
  <c r="C19656" i="1"/>
  <c r="G19655" i="1"/>
  <c r="C19655" i="1"/>
  <c r="G19654" i="1"/>
  <c r="C19654" i="1"/>
  <c r="G19653" i="1"/>
  <c r="C19653" i="1"/>
  <c r="G19652" i="1"/>
  <c r="C19652" i="1"/>
  <c r="G19651" i="1"/>
  <c r="C19651" i="1"/>
  <c r="G19650" i="1"/>
  <c r="C19650" i="1"/>
  <c r="G19649" i="1"/>
  <c r="C19649" i="1"/>
  <c r="G19648" i="1"/>
  <c r="C19648" i="1"/>
  <c r="G19647" i="1"/>
  <c r="C19647" i="1"/>
  <c r="G19646" i="1"/>
  <c r="C19646" i="1"/>
  <c r="G19645" i="1"/>
  <c r="C19645" i="1"/>
  <c r="G19644" i="1"/>
  <c r="C19644" i="1"/>
  <c r="G19643" i="1"/>
  <c r="C19643" i="1"/>
  <c r="G19642" i="1"/>
  <c r="C19642" i="1"/>
  <c r="G19641" i="1"/>
  <c r="C19641" i="1"/>
  <c r="G19640" i="1"/>
  <c r="C19640" i="1"/>
  <c r="G19639" i="1"/>
  <c r="C19639" i="1"/>
  <c r="G19638" i="1"/>
  <c r="C19638" i="1"/>
  <c r="G19637" i="1"/>
  <c r="C19637" i="1"/>
  <c r="G19636" i="1"/>
  <c r="C19636" i="1"/>
  <c r="G19635" i="1"/>
  <c r="C19635" i="1"/>
  <c r="G19634" i="1"/>
  <c r="C19634" i="1"/>
  <c r="G19633" i="1"/>
  <c r="C19633" i="1"/>
  <c r="G19632" i="1"/>
  <c r="C19632" i="1"/>
  <c r="G19631" i="1"/>
  <c r="C19631" i="1"/>
  <c r="G19630" i="1"/>
  <c r="C19630" i="1"/>
  <c r="G19629" i="1"/>
  <c r="C19629" i="1"/>
  <c r="G19628" i="1"/>
  <c r="C19628" i="1"/>
  <c r="G19627" i="1"/>
  <c r="C19627" i="1"/>
  <c r="G19626" i="1"/>
  <c r="C19626" i="1"/>
  <c r="G19625" i="1"/>
  <c r="C19625" i="1"/>
  <c r="G19623" i="1"/>
  <c r="C19623" i="1"/>
  <c r="G19622" i="1"/>
  <c r="C19622" i="1"/>
  <c r="G19621" i="1"/>
  <c r="C19621" i="1"/>
  <c r="G19620" i="1"/>
  <c r="C19620" i="1"/>
  <c r="G19619" i="1"/>
  <c r="C19619" i="1"/>
  <c r="G19618" i="1"/>
  <c r="C19618" i="1"/>
  <c r="G19617" i="1"/>
  <c r="C19617" i="1"/>
  <c r="G19616" i="1"/>
  <c r="C19616" i="1"/>
  <c r="G19615" i="1"/>
  <c r="C19615" i="1"/>
  <c r="G19614" i="1"/>
  <c r="C19614" i="1"/>
  <c r="G19613" i="1"/>
  <c r="C19613" i="1"/>
  <c r="G19612" i="1"/>
  <c r="C19612" i="1"/>
  <c r="G19611" i="1"/>
  <c r="C19611" i="1"/>
  <c r="G19610" i="1"/>
  <c r="C19610" i="1"/>
  <c r="G19609" i="1"/>
  <c r="C19609" i="1"/>
  <c r="G19608" i="1"/>
  <c r="C19608" i="1"/>
  <c r="G19607" i="1"/>
  <c r="C19607" i="1"/>
  <c r="G19606" i="1"/>
  <c r="C19606" i="1"/>
  <c r="G19605" i="1"/>
  <c r="C19605" i="1"/>
  <c r="G19604" i="1"/>
  <c r="C19604" i="1"/>
  <c r="G19603" i="1"/>
  <c r="C19603" i="1"/>
  <c r="G19602" i="1"/>
  <c r="C19602" i="1"/>
  <c r="G19601" i="1"/>
  <c r="C19601" i="1"/>
  <c r="G19600" i="1"/>
  <c r="C19600" i="1"/>
  <c r="G19599" i="1"/>
  <c r="C19599" i="1"/>
  <c r="G19598" i="1"/>
  <c r="C19598" i="1"/>
  <c r="G19597" i="1"/>
  <c r="C19597" i="1"/>
  <c r="G19596" i="1"/>
  <c r="C19596" i="1"/>
  <c r="G19595" i="1"/>
  <c r="C19595" i="1"/>
  <c r="G19594" i="1"/>
  <c r="C19594" i="1"/>
  <c r="G19593" i="1"/>
  <c r="C19593" i="1"/>
  <c r="G19592" i="1"/>
  <c r="C19592" i="1"/>
  <c r="G19591" i="1"/>
  <c r="C19591" i="1"/>
  <c r="G19590" i="1"/>
  <c r="C19590" i="1"/>
  <c r="G19589" i="1"/>
  <c r="C19589" i="1"/>
  <c r="G19588" i="1"/>
  <c r="C19588" i="1"/>
  <c r="G19587" i="1"/>
  <c r="C19587" i="1"/>
  <c r="G19586" i="1"/>
  <c r="C19586" i="1"/>
  <c r="G19585" i="1"/>
  <c r="C19585" i="1"/>
  <c r="G19584" i="1"/>
  <c r="C19584" i="1"/>
  <c r="G19583" i="1"/>
  <c r="C19583" i="1"/>
  <c r="G19582" i="1"/>
  <c r="C19582" i="1"/>
  <c r="G19581" i="1"/>
  <c r="C19581" i="1"/>
  <c r="G19580" i="1"/>
  <c r="C19580" i="1"/>
  <c r="G19579" i="1"/>
  <c r="C19579" i="1"/>
  <c r="G19578" i="1"/>
  <c r="C19578" i="1"/>
  <c r="G19577" i="1"/>
  <c r="C19577" i="1"/>
  <c r="G19576" i="1"/>
  <c r="C19576" i="1"/>
  <c r="G19575" i="1"/>
  <c r="C19575" i="1"/>
  <c r="G19573" i="1"/>
  <c r="C19573" i="1"/>
  <c r="G19572" i="1"/>
  <c r="C19572" i="1"/>
  <c r="G19571" i="1"/>
  <c r="C19571" i="1"/>
  <c r="G19570" i="1"/>
  <c r="C19570" i="1"/>
  <c r="G19569" i="1"/>
  <c r="C19569" i="1"/>
  <c r="G19568" i="1"/>
  <c r="C19568" i="1"/>
  <c r="G19567" i="1"/>
  <c r="C19567" i="1"/>
  <c r="G19566" i="1"/>
  <c r="C19566" i="1"/>
  <c r="G19565" i="1"/>
  <c r="C19565" i="1"/>
  <c r="G19564" i="1"/>
  <c r="C19564" i="1"/>
  <c r="G19563" i="1"/>
  <c r="C19563" i="1"/>
  <c r="G19562" i="1"/>
  <c r="C19562" i="1"/>
  <c r="G19561" i="1"/>
  <c r="C19561" i="1"/>
  <c r="G19560" i="1"/>
  <c r="C19560" i="1"/>
  <c r="G19559" i="1"/>
  <c r="C19559" i="1"/>
  <c r="G19558" i="1"/>
  <c r="C19558" i="1"/>
  <c r="G19557" i="1"/>
  <c r="C19557" i="1"/>
  <c r="G19556" i="1"/>
  <c r="C19556" i="1"/>
  <c r="G19555" i="1"/>
  <c r="C19555" i="1"/>
  <c r="G19554" i="1"/>
  <c r="C19554" i="1"/>
  <c r="G19553" i="1"/>
  <c r="C19553" i="1"/>
  <c r="G19552" i="1"/>
  <c r="C19552" i="1"/>
  <c r="G19551" i="1"/>
  <c r="C19551" i="1"/>
  <c r="G19550" i="1"/>
  <c r="C19550" i="1"/>
  <c r="G19549" i="1"/>
  <c r="C19549" i="1"/>
  <c r="G19548" i="1"/>
  <c r="C19548" i="1"/>
  <c r="G19547" i="1"/>
  <c r="C19547" i="1"/>
  <c r="G19546" i="1"/>
  <c r="C19546" i="1"/>
  <c r="G19545" i="1"/>
  <c r="C19545" i="1"/>
  <c r="G19544" i="1"/>
  <c r="C19544" i="1"/>
  <c r="G19543" i="1"/>
  <c r="C19543" i="1"/>
  <c r="G19542" i="1"/>
  <c r="C19542" i="1"/>
  <c r="G19541" i="1"/>
  <c r="C19541" i="1"/>
  <c r="G19540" i="1"/>
  <c r="C19540" i="1"/>
  <c r="G19539" i="1"/>
  <c r="C19539" i="1"/>
  <c r="G19538" i="1"/>
  <c r="C19538" i="1"/>
  <c r="G19537" i="1"/>
  <c r="C19537" i="1"/>
  <c r="G19536" i="1"/>
  <c r="C19536" i="1"/>
  <c r="G19535" i="1"/>
  <c r="C19535" i="1"/>
  <c r="G19534" i="1"/>
  <c r="C19534" i="1"/>
  <c r="G19533" i="1"/>
  <c r="C19533" i="1"/>
  <c r="G19532" i="1"/>
  <c r="C19532" i="1"/>
  <c r="G19531" i="1"/>
  <c r="C19531" i="1"/>
  <c r="G19530" i="1"/>
  <c r="C19530" i="1"/>
  <c r="G19529" i="1"/>
  <c r="C19529" i="1"/>
  <c r="G19528" i="1"/>
  <c r="C19528" i="1"/>
  <c r="G19527" i="1"/>
  <c r="C19527" i="1"/>
  <c r="G19525" i="1"/>
  <c r="C19525" i="1"/>
  <c r="G19524" i="1"/>
  <c r="C19524" i="1"/>
  <c r="G19523" i="1"/>
  <c r="C19523" i="1"/>
  <c r="G19522" i="1"/>
  <c r="C19522" i="1"/>
  <c r="G19521" i="1"/>
  <c r="C19521" i="1"/>
  <c r="G19520" i="1"/>
  <c r="C19520" i="1"/>
  <c r="G19519" i="1"/>
  <c r="C19519" i="1"/>
  <c r="G19518" i="1"/>
  <c r="C19518" i="1"/>
  <c r="G19517" i="1"/>
  <c r="C19517" i="1"/>
  <c r="G19516" i="1"/>
  <c r="C19516" i="1"/>
  <c r="G19515" i="1"/>
  <c r="C19515" i="1"/>
  <c r="G19514" i="1"/>
  <c r="C19514" i="1"/>
  <c r="G19513" i="1"/>
  <c r="C19513" i="1"/>
  <c r="G19512" i="1"/>
  <c r="C19512" i="1"/>
  <c r="G19511" i="1"/>
  <c r="C19511" i="1"/>
  <c r="G19510" i="1"/>
  <c r="C19510" i="1"/>
  <c r="G19509" i="1"/>
  <c r="C19509" i="1"/>
  <c r="G19508" i="1"/>
  <c r="C19508" i="1"/>
  <c r="G19507" i="1"/>
  <c r="C19507" i="1"/>
  <c r="G19506" i="1"/>
  <c r="C19506" i="1"/>
  <c r="G19505" i="1"/>
  <c r="C19505" i="1"/>
  <c r="G19504" i="1"/>
  <c r="C19504" i="1"/>
  <c r="G19502" i="1"/>
  <c r="C19502" i="1"/>
  <c r="G19501" i="1"/>
  <c r="C19501" i="1"/>
  <c r="G19500" i="1"/>
  <c r="C19500" i="1"/>
  <c r="G19499" i="1"/>
  <c r="C19499" i="1"/>
  <c r="G19498" i="1"/>
  <c r="C19498" i="1"/>
  <c r="G19497" i="1"/>
  <c r="C19497" i="1"/>
  <c r="G19496" i="1"/>
  <c r="C19496" i="1"/>
  <c r="G19495" i="1"/>
  <c r="C19495" i="1"/>
  <c r="G19494" i="1"/>
  <c r="C19494" i="1"/>
  <c r="G19493" i="1"/>
  <c r="C19493" i="1"/>
  <c r="G19492" i="1"/>
  <c r="C19492" i="1"/>
  <c r="G19491" i="1"/>
  <c r="C19491" i="1"/>
  <c r="G19490" i="1"/>
  <c r="C19490" i="1"/>
  <c r="G19489" i="1"/>
  <c r="C19489" i="1"/>
  <c r="G19488" i="1"/>
  <c r="C19488" i="1"/>
  <c r="G19487" i="1"/>
  <c r="C19487" i="1"/>
  <c r="G19486" i="1"/>
  <c r="C19486" i="1"/>
  <c r="G19485" i="1"/>
  <c r="C19485" i="1"/>
  <c r="G19484" i="1"/>
  <c r="C19484" i="1"/>
  <c r="G19483" i="1"/>
  <c r="C19483" i="1"/>
  <c r="G19482" i="1"/>
  <c r="C19482" i="1"/>
  <c r="G19481" i="1"/>
  <c r="C19481" i="1"/>
  <c r="G19480" i="1"/>
  <c r="C19480" i="1"/>
  <c r="G19479" i="1"/>
  <c r="C19479" i="1"/>
  <c r="G19478" i="1"/>
  <c r="C19478" i="1"/>
  <c r="G19477" i="1"/>
  <c r="C19477" i="1"/>
  <c r="G19476" i="1"/>
  <c r="C19476" i="1"/>
  <c r="G19475" i="1"/>
  <c r="C19475" i="1"/>
  <c r="G19473" i="1"/>
  <c r="C19473" i="1"/>
  <c r="G19472" i="1"/>
  <c r="C19472" i="1"/>
  <c r="G19471" i="1"/>
  <c r="C19471" i="1"/>
  <c r="G19470" i="1"/>
  <c r="C19470" i="1"/>
  <c r="G19469" i="1"/>
  <c r="C19469" i="1"/>
  <c r="G19468" i="1"/>
  <c r="C19468" i="1"/>
  <c r="G19467" i="1"/>
  <c r="C19467" i="1"/>
  <c r="G19466" i="1"/>
  <c r="C19466" i="1"/>
  <c r="G19465" i="1"/>
  <c r="C19465" i="1"/>
  <c r="G19464" i="1"/>
  <c r="C19464" i="1"/>
  <c r="G19463" i="1"/>
  <c r="C19463" i="1"/>
  <c r="G19462" i="1"/>
  <c r="C19462" i="1"/>
  <c r="G19461" i="1"/>
  <c r="C19461" i="1"/>
  <c r="G19460" i="1"/>
  <c r="C19460" i="1"/>
  <c r="G19459" i="1"/>
  <c r="C19459" i="1"/>
  <c r="G19458" i="1"/>
  <c r="C19458" i="1"/>
  <c r="G19457" i="1"/>
  <c r="C19457" i="1"/>
  <c r="G19456" i="1"/>
  <c r="C19456" i="1"/>
  <c r="G19455" i="1"/>
  <c r="C19455" i="1"/>
  <c r="G19454" i="1"/>
  <c r="C19454" i="1"/>
  <c r="G19453" i="1"/>
  <c r="C19453" i="1"/>
  <c r="G19452" i="1"/>
  <c r="C19452" i="1"/>
  <c r="G19450" i="1"/>
  <c r="C19450" i="1"/>
  <c r="G19449" i="1"/>
  <c r="C19449" i="1"/>
  <c r="G19448" i="1"/>
  <c r="C19448" i="1"/>
  <c r="G19447" i="1"/>
  <c r="C19447" i="1"/>
  <c r="G19446" i="1"/>
  <c r="C19446" i="1"/>
  <c r="G19445" i="1"/>
  <c r="C19445" i="1"/>
  <c r="G19444" i="1"/>
  <c r="C19444" i="1"/>
  <c r="G19443" i="1"/>
  <c r="C19443" i="1"/>
  <c r="G19442" i="1"/>
  <c r="C19442" i="1"/>
  <c r="G19441" i="1"/>
  <c r="C19441" i="1"/>
  <c r="G19440" i="1"/>
  <c r="C19440" i="1"/>
  <c r="G19439" i="1"/>
  <c r="C19439" i="1"/>
  <c r="G19438" i="1"/>
  <c r="C19438" i="1"/>
  <c r="G19437" i="1"/>
  <c r="C19437" i="1"/>
  <c r="G19436" i="1"/>
  <c r="C19436" i="1"/>
  <c r="G19435" i="1"/>
  <c r="C19435" i="1"/>
  <c r="G19434" i="1"/>
  <c r="C19434" i="1"/>
  <c r="G19433" i="1"/>
  <c r="C19433" i="1"/>
  <c r="G19432" i="1"/>
  <c r="C19432" i="1"/>
  <c r="G19431" i="1"/>
  <c r="C19431" i="1"/>
  <c r="G19430" i="1"/>
  <c r="C19430" i="1"/>
  <c r="G19429" i="1"/>
  <c r="C19429" i="1"/>
  <c r="G19428" i="1"/>
  <c r="C19428" i="1"/>
  <c r="G19427" i="1"/>
  <c r="C19427" i="1"/>
  <c r="G19426" i="1"/>
  <c r="C19426" i="1"/>
  <c r="G19425" i="1"/>
  <c r="C19425" i="1"/>
  <c r="G19424" i="1"/>
  <c r="C19424" i="1"/>
  <c r="G19423" i="1"/>
  <c r="C19423" i="1"/>
  <c r="G19422" i="1"/>
  <c r="C19422" i="1"/>
  <c r="G19421" i="1"/>
  <c r="C19421" i="1"/>
  <c r="G19420" i="1"/>
  <c r="C19420" i="1"/>
  <c r="G19419" i="1"/>
  <c r="C19419" i="1"/>
  <c r="G19418" i="1"/>
  <c r="C19418" i="1"/>
  <c r="G19417" i="1"/>
  <c r="C19417" i="1"/>
  <c r="G19416" i="1"/>
  <c r="C19416" i="1"/>
  <c r="G19415" i="1"/>
  <c r="C19415" i="1"/>
  <c r="G19414" i="1"/>
  <c r="C19414" i="1"/>
  <c r="G19413" i="1"/>
  <c r="C19413" i="1"/>
  <c r="G19412" i="1"/>
  <c r="C19412" i="1"/>
  <c r="G19411" i="1"/>
  <c r="C19411" i="1"/>
  <c r="G19410" i="1"/>
  <c r="C19410" i="1"/>
  <c r="G19409" i="1"/>
  <c r="C19409" i="1"/>
  <c r="G19408" i="1"/>
  <c r="C19408" i="1"/>
  <c r="G19407" i="1"/>
  <c r="C19407" i="1"/>
  <c r="G19406" i="1"/>
  <c r="C19406" i="1"/>
  <c r="G19405" i="1"/>
  <c r="C19405" i="1"/>
  <c r="G19404" i="1"/>
  <c r="C19404" i="1"/>
  <c r="G19403" i="1"/>
  <c r="C19403" i="1"/>
  <c r="G19402" i="1"/>
  <c r="C19402" i="1"/>
  <c r="G19401" i="1"/>
  <c r="C19401" i="1"/>
  <c r="G19400" i="1"/>
  <c r="C19400" i="1"/>
  <c r="G19399" i="1"/>
  <c r="C19399" i="1"/>
  <c r="G19398" i="1"/>
  <c r="C19398" i="1"/>
  <c r="G19397" i="1"/>
  <c r="C19397" i="1"/>
  <c r="G19396" i="1"/>
  <c r="C19396" i="1"/>
  <c r="G19395" i="1"/>
  <c r="C19395" i="1"/>
  <c r="G19394" i="1"/>
  <c r="C19394" i="1"/>
  <c r="G19393" i="1"/>
  <c r="C19393" i="1"/>
  <c r="G19392" i="1"/>
  <c r="C19392" i="1"/>
  <c r="G19391" i="1"/>
  <c r="C19391" i="1"/>
  <c r="G19390" i="1"/>
  <c r="C19390" i="1"/>
  <c r="G19389" i="1"/>
  <c r="C19389" i="1"/>
  <c r="G19388" i="1"/>
  <c r="C19388" i="1"/>
  <c r="G19387" i="1"/>
  <c r="C19387" i="1"/>
  <c r="G19386" i="1"/>
  <c r="C19386" i="1"/>
  <c r="G19385" i="1"/>
  <c r="C19385" i="1"/>
  <c r="G19384" i="1"/>
  <c r="C19384" i="1"/>
  <c r="G19383" i="1"/>
  <c r="C19383" i="1"/>
  <c r="G19382" i="1"/>
  <c r="C19382" i="1"/>
  <c r="G19381" i="1"/>
  <c r="C19381" i="1"/>
  <c r="G19380" i="1"/>
  <c r="C19380" i="1"/>
  <c r="G19379" i="1"/>
  <c r="C19379" i="1"/>
  <c r="G19378" i="1"/>
  <c r="C19378" i="1"/>
  <c r="G19377" i="1"/>
  <c r="C19377" i="1"/>
  <c r="G19376" i="1"/>
  <c r="C19376" i="1"/>
  <c r="G19375" i="1"/>
  <c r="C19375" i="1"/>
  <c r="G19373" i="1"/>
  <c r="C19373" i="1"/>
  <c r="G19372" i="1"/>
  <c r="C19372" i="1"/>
  <c r="G19371" i="1"/>
  <c r="C19371" i="1"/>
  <c r="G19370" i="1"/>
  <c r="C19370" i="1"/>
  <c r="G19369" i="1"/>
  <c r="C19369" i="1"/>
  <c r="G19368" i="1"/>
  <c r="C19368" i="1"/>
  <c r="G19367" i="1"/>
  <c r="C19367" i="1"/>
  <c r="G19366" i="1"/>
  <c r="C19366" i="1"/>
  <c r="G19365" i="1"/>
  <c r="C19365" i="1"/>
  <c r="G19364" i="1"/>
  <c r="C19364" i="1"/>
  <c r="G19363" i="1"/>
  <c r="C19363" i="1"/>
  <c r="G19362" i="1"/>
  <c r="C19362" i="1"/>
  <c r="G19361" i="1"/>
  <c r="C19361" i="1"/>
  <c r="G19360" i="1"/>
  <c r="C19360" i="1"/>
  <c r="G19359" i="1"/>
  <c r="C19359" i="1"/>
  <c r="G19358" i="1"/>
  <c r="C19358" i="1"/>
  <c r="G19357" i="1"/>
  <c r="C19357" i="1"/>
  <c r="G19355" i="1"/>
  <c r="C19355" i="1"/>
  <c r="G19354" i="1"/>
  <c r="C19354" i="1"/>
  <c r="G19353" i="1"/>
  <c r="C19353" i="1"/>
  <c r="G19352" i="1"/>
  <c r="C19352" i="1"/>
  <c r="G19351" i="1"/>
  <c r="C19351" i="1"/>
  <c r="G19350" i="1"/>
  <c r="C19350" i="1"/>
  <c r="G19349" i="1"/>
  <c r="C19349" i="1"/>
  <c r="G19348" i="1"/>
  <c r="C19348" i="1"/>
  <c r="G19347" i="1"/>
  <c r="C19347" i="1"/>
  <c r="G19346" i="1"/>
  <c r="C19346" i="1"/>
  <c r="G19345" i="1"/>
  <c r="C19345" i="1"/>
  <c r="G19344" i="1"/>
  <c r="C19344" i="1"/>
  <c r="G19343" i="1"/>
  <c r="C19343" i="1"/>
  <c r="G19342" i="1"/>
  <c r="C19342" i="1"/>
  <c r="G19341" i="1"/>
  <c r="C19341" i="1"/>
  <c r="G19340" i="1"/>
  <c r="C19340" i="1"/>
  <c r="G19339" i="1"/>
  <c r="C19339" i="1"/>
  <c r="G19338" i="1"/>
  <c r="C19338" i="1"/>
  <c r="G19337" i="1"/>
  <c r="C19337" i="1"/>
  <c r="G19336" i="1"/>
  <c r="C19336" i="1"/>
  <c r="G19335" i="1"/>
  <c r="C19335" i="1"/>
  <c r="G19334" i="1"/>
  <c r="C19334" i="1"/>
  <c r="G19333" i="1"/>
  <c r="C19333" i="1"/>
  <c r="G19332" i="1"/>
  <c r="C19332" i="1"/>
  <c r="G19331" i="1"/>
  <c r="C19331" i="1"/>
  <c r="G19330" i="1"/>
  <c r="C19330" i="1"/>
  <c r="G19329" i="1"/>
  <c r="C19329" i="1"/>
  <c r="G19328" i="1"/>
  <c r="C19328" i="1"/>
  <c r="G19327" i="1"/>
  <c r="C19327" i="1"/>
  <c r="G19326" i="1"/>
  <c r="C19326" i="1"/>
  <c r="G19325" i="1"/>
  <c r="C19325" i="1"/>
  <c r="G19324" i="1"/>
  <c r="C19324" i="1"/>
  <c r="G19323" i="1"/>
  <c r="C19323" i="1"/>
  <c r="G19322" i="1"/>
  <c r="C19322" i="1"/>
  <c r="G19321" i="1"/>
  <c r="C19321" i="1"/>
  <c r="G19320" i="1"/>
  <c r="C19320" i="1"/>
  <c r="G19319" i="1"/>
  <c r="C19319" i="1"/>
  <c r="G19318" i="1"/>
  <c r="C19318" i="1"/>
  <c r="G19317" i="1"/>
  <c r="C19317" i="1"/>
  <c r="G19316" i="1"/>
  <c r="C19316" i="1"/>
  <c r="G19315" i="1"/>
  <c r="C19315" i="1"/>
  <c r="G19314" i="1"/>
  <c r="C19314" i="1"/>
  <c r="G19313" i="1"/>
  <c r="C19313" i="1"/>
  <c r="G19312" i="1"/>
  <c r="C19312" i="1"/>
  <c r="G19311" i="1"/>
  <c r="C19311" i="1"/>
  <c r="G19310" i="1"/>
  <c r="C19310" i="1"/>
  <c r="G19309" i="1"/>
  <c r="C19309" i="1"/>
  <c r="G19308" i="1"/>
  <c r="C19308" i="1"/>
  <c r="G19307" i="1"/>
  <c r="C19307" i="1"/>
  <c r="G19306" i="1"/>
  <c r="C19306" i="1"/>
  <c r="G19305" i="1"/>
  <c r="C19305" i="1"/>
  <c r="G19304" i="1"/>
  <c r="C19304" i="1"/>
  <c r="G19303" i="1"/>
  <c r="C19303" i="1"/>
  <c r="G19302" i="1"/>
  <c r="C19302" i="1"/>
  <c r="G19301" i="1"/>
  <c r="C19301" i="1"/>
  <c r="G19300" i="1"/>
  <c r="C19300" i="1"/>
  <c r="G19299" i="1"/>
  <c r="C19299" i="1"/>
  <c r="G19298" i="1"/>
  <c r="C19298" i="1"/>
  <c r="G19297" i="1"/>
  <c r="C19297" i="1"/>
  <c r="G19296" i="1"/>
  <c r="C19296" i="1"/>
  <c r="G19295" i="1"/>
  <c r="C19295" i="1"/>
  <c r="G19294" i="1"/>
  <c r="C19294" i="1"/>
  <c r="G19293" i="1"/>
  <c r="C19293" i="1"/>
  <c r="G19292" i="1"/>
  <c r="C19292" i="1"/>
  <c r="G19291" i="1"/>
  <c r="C19291" i="1"/>
  <c r="G19290" i="1"/>
  <c r="C19290" i="1"/>
  <c r="G19289" i="1"/>
  <c r="C19289" i="1"/>
  <c r="G19288" i="1"/>
  <c r="C19288" i="1"/>
  <c r="G19287" i="1"/>
  <c r="C19287" i="1"/>
  <c r="G19286" i="1"/>
  <c r="C19286" i="1"/>
  <c r="G19285" i="1"/>
  <c r="C19285" i="1"/>
  <c r="G19284" i="1"/>
  <c r="C19284" i="1"/>
  <c r="G19283" i="1"/>
  <c r="C19283" i="1"/>
  <c r="G19282" i="1"/>
  <c r="C19282" i="1"/>
  <c r="G19281" i="1"/>
  <c r="C19281" i="1"/>
  <c r="G19280" i="1"/>
  <c r="C19280" i="1"/>
  <c r="G19279" i="1"/>
  <c r="C19279" i="1"/>
  <c r="G19278" i="1"/>
  <c r="C19278" i="1"/>
  <c r="G19277" i="1"/>
  <c r="C19277" i="1"/>
  <c r="G19276" i="1"/>
  <c r="C19276" i="1"/>
  <c r="G19275" i="1"/>
  <c r="C19275" i="1"/>
  <c r="G19274" i="1"/>
  <c r="C19274" i="1"/>
  <c r="G19273" i="1"/>
  <c r="C19273" i="1"/>
  <c r="G19272" i="1"/>
  <c r="C19272" i="1"/>
  <c r="G19271" i="1"/>
  <c r="C19271" i="1"/>
  <c r="G19270" i="1"/>
  <c r="C19270" i="1"/>
  <c r="G19269" i="1"/>
  <c r="C19269" i="1"/>
  <c r="G19268" i="1"/>
  <c r="C19268" i="1"/>
  <c r="G19267" i="1"/>
  <c r="C19267" i="1"/>
  <c r="G19266" i="1"/>
  <c r="C19266" i="1"/>
  <c r="G19265" i="1"/>
  <c r="C19265" i="1"/>
  <c r="G19264" i="1"/>
  <c r="C19264" i="1"/>
  <c r="G19263" i="1"/>
  <c r="C19263" i="1"/>
  <c r="G19262" i="1"/>
  <c r="C19262" i="1"/>
  <c r="G19261" i="1"/>
  <c r="C19261" i="1"/>
  <c r="G19260" i="1"/>
  <c r="C19260" i="1"/>
  <c r="G19259" i="1"/>
  <c r="C19259" i="1"/>
  <c r="G19258" i="1"/>
  <c r="C19258" i="1"/>
  <c r="G19257" i="1"/>
  <c r="C19257" i="1"/>
  <c r="G19256" i="1"/>
  <c r="C19256" i="1"/>
  <c r="G19255" i="1"/>
  <c r="C19255" i="1"/>
  <c r="G19254" i="1"/>
  <c r="C19254" i="1"/>
  <c r="G19253" i="1"/>
  <c r="C19253" i="1"/>
  <c r="G19252" i="1"/>
  <c r="C19252" i="1"/>
  <c r="G19251" i="1"/>
  <c r="C19251" i="1"/>
  <c r="G19250" i="1"/>
  <c r="C19250" i="1"/>
  <c r="G19249" i="1"/>
  <c r="C19249" i="1"/>
  <c r="G19248" i="1"/>
  <c r="C19248" i="1"/>
  <c r="G19247" i="1"/>
  <c r="C19247" i="1"/>
  <c r="G19246" i="1"/>
  <c r="C19246" i="1"/>
  <c r="G19245" i="1"/>
  <c r="C19245" i="1"/>
  <c r="G19244" i="1"/>
  <c r="C19244" i="1"/>
  <c r="G19243" i="1"/>
  <c r="C19243" i="1"/>
  <c r="G19242" i="1"/>
  <c r="C19242" i="1"/>
  <c r="G19241" i="1"/>
  <c r="C19241" i="1"/>
  <c r="G19240" i="1"/>
  <c r="C19240" i="1"/>
  <c r="G19237" i="1"/>
  <c r="C19237" i="1"/>
  <c r="G19236" i="1"/>
  <c r="C19236" i="1"/>
  <c r="G19235" i="1"/>
  <c r="C19235" i="1"/>
  <c r="G19234" i="1"/>
  <c r="C19234" i="1"/>
  <c r="G19233" i="1"/>
  <c r="C19233" i="1"/>
  <c r="G19231" i="1"/>
  <c r="C19231" i="1"/>
  <c r="G19230" i="1"/>
  <c r="C19230" i="1"/>
  <c r="G19229" i="1"/>
  <c r="C19229" i="1"/>
  <c r="G19228" i="1"/>
  <c r="C19228" i="1"/>
  <c r="G19227" i="1"/>
  <c r="C19227" i="1"/>
  <c r="G19226" i="1"/>
  <c r="C19226" i="1"/>
  <c r="G19225" i="1"/>
  <c r="C19225" i="1"/>
  <c r="G19224" i="1"/>
  <c r="C19224" i="1"/>
  <c r="G19223" i="1"/>
  <c r="C19223" i="1"/>
  <c r="G19222" i="1"/>
  <c r="C19222" i="1"/>
  <c r="G19221" i="1"/>
  <c r="C19221" i="1"/>
  <c r="G19220" i="1"/>
  <c r="C19220" i="1"/>
  <c r="G19219" i="1"/>
  <c r="C19219" i="1"/>
  <c r="G19218" i="1"/>
  <c r="C19218" i="1"/>
  <c r="G19217" i="1"/>
  <c r="C19217" i="1"/>
  <c r="G19216" i="1"/>
  <c r="C19216" i="1"/>
  <c r="G19215" i="1"/>
  <c r="C19215" i="1"/>
  <c r="G19213" i="1"/>
  <c r="C19213" i="1"/>
  <c r="G19212" i="1"/>
  <c r="C19212" i="1"/>
  <c r="G19211" i="1"/>
  <c r="C19211" i="1"/>
  <c r="G19210" i="1"/>
  <c r="C19210" i="1"/>
  <c r="G19209" i="1"/>
  <c r="C19209" i="1"/>
  <c r="G19208" i="1"/>
  <c r="C19208" i="1"/>
  <c r="G19207" i="1"/>
  <c r="C19207" i="1"/>
  <c r="G19206" i="1"/>
  <c r="C19206" i="1"/>
  <c r="G19205" i="1"/>
  <c r="C19205" i="1"/>
  <c r="G19204" i="1"/>
  <c r="C19204" i="1"/>
  <c r="G19203" i="1"/>
  <c r="C19203" i="1"/>
  <c r="G19202" i="1"/>
  <c r="C19202" i="1"/>
  <c r="G19201" i="1"/>
  <c r="C19201" i="1"/>
  <c r="G19200" i="1"/>
  <c r="C19200" i="1"/>
  <c r="G19199" i="1"/>
  <c r="C19199" i="1"/>
  <c r="G19198" i="1"/>
  <c r="C19198" i="1"/>
  <c r="G19197" i="1"/>
  <c r="C19197" i="1"/>
  <c r="G19196" i="1"/>
  <c r="C19196" i="1"/>
  <c r="G19195" i="1"/>
  <c r="C19195" i="1"/>
  <c r="G19194" i="1"/>
  <c r="C19194" i="1"/>
  <c r="G19193" i="1"/>
  <c r="C19193" i="1"/>
  <c r="G19192" i="1"/>
  <c r="C19192" i="1"/>
  <c r="G19191" i="1"/>
  <c r="C19191" i="1"/>
  <c r="G19190" i="1"/>
  <c r="C19190" i="1"/>
  <c r="G19189" i="1"/>
  <c r="C19189" i="1"/>
  <c r="G19188" i="1"/>
  <c r="C19188" i="1"/>
  <c r="G19187" i="1"/>
  <c r="C19187" i="1"/>
  <c r="G19186" i="1"/>
  <c r="C19186" i="1"/>
  <c r="G19185" i="1"/>
  <c r="C19185" i="1"/>
  <c r="G19184" i="1"/>
  <c r="C19184" i="1"/>
  <c r="G19183" i="1"/>
  <c r="C19183" i="1"/>
  <c r="G19181" i="1"/>
  <c r="C19181" i="1"/>
  <c r="G19180" i="1"/>
  <c r="C19180" i="1"/>
  <c r="G19179" i="1"/>
  <c r="C19179" i="1"/>
  <c r="G19178" i="1"/>
  <c r="C19178" i="1"/>
  <c r="G19177" i="1"/>
  <c r="C19177" i="1"/>
  <c r="G19176" i="1"/>
  <c r="C19176" i="1"/>
  <c r="G19175" i="1"/>
  <c r="C19175" i="1"/>
  <c r="G19174" i="1"/>
  <c r="C19174" i="1"/>
  <c r="G19173" i="1"/>
  <c r="C19173" i="1"/>
  <c r="G19171" i="1"/>
  <c r="C19171" i="1"/>
  <c r="G19170" i="1"/>
  <c r="C19170" i="1"/>
  <c r="G19169" i="1"/>
  <c r="C19169" i="1"/>
  <c r="G19168" i="1"/>
  <c r="C19168" i="1"/>
  <c r="G19167" i="1"/>
  <c r="C19167" i="1"/>
  <c r="G19166" i="1"/>
  <c r="C19166" i="1"/>
  <c r="G19165" i="1"/>
  <c r="C19165" i="1"/>
  <c r="G19164" i="1"/>
  <c r="C19164" i="1"/>
  <c r="G19163" i="1"/>
  <c r="C19163" i="1"/>
  <c r="G19162" i="1"/>
  <c r="C19162" i="1"/>
  <c r="G19161" i="1"/>
  <c r="C19161" i="1"/>
  <c r="G19160" i="1"/>
  <c r="C19160" i="1"/>
  <c r="G19159" i="1"/>
  <c r="C19159" i="1"/>
  <c r="G19158" i="1"/>
  <c r="C19158" i="1"/>
  <c r="G19157" i="1"/>
  <c r="C19157" i="1"/>
  <c r="G19156" i="1"/>
  <c r="C19156" i="1"/>
  <c r="G19155" i="1"/>
  <c r="C19155" i="1"/>
  <c r="G19154" i="1"/>
  <c r="C19154" i="1"/>
  <c r="G19153" i="1"/>
  <c r="C19153" i="1"/>
  <c r="G19152" i="1"/>
  <c r="C19152" i="1"/>
  <c r="G19151" i="1"/>
  <c r="C19151" i="1"/>
  <c r="G19150" i="1"/>
  <c r="C19150" i="1"/>
  <c r="G19149" i="1"/>
  <c r="C19149" i="1"/>
  <c r="G19148" i="1"/>
  <c r="C19148" i="1"/>
  <c r="G19147" i="1"/>
  <c r="C19147" i="1"/>
  <c r="G19146" i="1"/>
  <c r="C19146" i="1"/>
  <c r="G19145" i="1"/>
  <c r="C19145" i="1"/>
  <c r="G19144" i="1"/>
  <c r="C19144" i="1"/>
  <c r="G19143" i="1"/>
  <c r="C19143" i="1"/>
  <c r="G19142" i="1"/>
  <c r="C19142" i="1"/>
  <c r="G19141" i="1"/>
  <c r="C19141" i="1"/>
  <c r="G19140" i="1"/>
  <c r="C19140" i="1"/>
  <c r="G19139" i="1"/>
  <c r="C19139" i="1"/>
  <c r="G19138" i="1"/>
  <c r="C19138" i="1"/>
  <c r="G19137" i="1"/>
  <c r="C19137" i="1"/>
  <c r="G19136" i="1"/>
  <c r="C19136" i="1"/>
  <c r="G19135" i="1"/>
  <c r="C19135" i="1"/>
  <c r="G19134" i="1"/>
  <c r="C19134" i="1"/>
  <c r="G19133" i="1"/>
  <c r="C19133" i="1"/>
  <c r="G19132" i="1"/>
  <c r="C19132" i="1"/>
  <c r="G19131" i="1"/>
  <c r="C19131" i="1"/>
  <c r="G19128" i="1"/>
  <c r="C19128" i="1"/>
  <c r="G19127" i="1"/>
  <c r="C19127" i="1"/>
  <c r="G19126" i="1"/>
  <c r="C19126" i="1"/>
  <c r="G19125" i="1"/>
  <c r="C19125" i="1"/>
  <c r="G19124" i="1"/>
  <c r="C19124" i="1"/>
  <c r="G19123" i="1"/>
  <c r="C19123" i="1"/>
  <c r="G19122" i="1"/>
  <c r="C19122" i="1"/>
  <c r="G19121" i="1"/>
  <c r="C19121" i="1"/>
  <c r="G19120" i="1"/>
  <c r="C19120" i="1"/>
  <c r="G19119" i="1"/>
  <c r="C19119" i="1"/>
  <c r="G19118" i="1"/>
  <c r="C19118" i="1"/>
  <c r="G19117" i="1"/>
  <c r="C19117" i="1"/>
  <c r="G19116" i="1"/>
  <c r="C19116" i="1"/>
  <c r="G19115" i="1"/>
  <c r="C19115" i="1"/>
  <c r="G19113" i="1"/>
  <c r="C19113" i="1"/>
  <c r="G19112" i="1"/>
  <c r="C19112" i="1"/>
  <c r="G19111" i="1"/>
  <c r="C19111" i="1"/>
  <c r="G19110" i="1"/>
  <c r="C19110" i="1"/>
  <c r="G19109" i="1"/>
  <c r="C19109" i="1"/>
  <c r="G19108" i="1"/>
  <c r="C19108" i="1"/>
  <c r="G19107" i="1"/>
  <c r="C19107" i="1"/>
  <c r="G19106" i="1"/>
  <c r="C19106" i="1"/>
  <c r="G19105" i="1"/>
  <c r="C19105" i="1"/>
  <c r="G19104" i="1"/>
  <c r="C19104" i="1"/>
  <c r="G19103" i="1"/>
  <c r="C19103" i="1"/>
  <c r="G19102" i="1"/>
  <c r="C19102" i="1"/>
  <c r="G19101" i="1"/>
  <c r="C19101" i="1"/>
  <c r="G19100" i="1"/>
  <c r="C19100" i="1"/>
  <c r="G19099" i="1"/>
  <c r="C19099" i="1"/>
  <c r="G19098" i="1"/>
  <c r="C19098" i="1"/>
  <c r="G19097" i="1"/>
  <c r="C19097" i="1"/>
  <c r="G19096" i="1"/>
  <c r="C19096" i="1"/>
  <c r="G19095" i="1"/>
  <c r="C19095" i="1"/>
  <c r="G19094" i="1"/>
  <c r="C19094" i="1"/>
  <c r="G19093" i="1"/>
  <c r="C19093" i="1"/>
  <c r="G19092" i="1"/>
  <c r="C19092" i="1"/>
  <c r="G19091" i="1"/>
  <c r="C19091" i="1"/>
  <c r="G19090" i="1"/>
  <c r="C19090" i="1"/>
  <c r="G19089" i="1"/>
  <c r="C19089" i="1"/>
  <c r="G19088" i="1"/>
  <c r="C19088" i="1"/>
  <c r="G19087" i="1"/>
  <c r="C19087" i="1"/>
  <c r="G19086" i="1"/>
  <c r="C19086" i="1"/>
  <c r="G19085" i="1"/>
  <c r="C19085" i="1"/>
  <c r="G19084" i="1"/>
  <c r="C19084" i="1"/>
  <c r="G19083" i="1"/>
  <c r="C19083" i="1"/>
  <c r="G19082" i="1"/>
  <c r="C19082" i="1"/>
  <c r="G19081" i="1"/>
  <c r="C19081" i="1"/>
  <c r="G19080" i="1"/>
  <c r="C19080" i="1"/>
  <c r="G19079" i="1"/>
  <c r="C19079" i="1"/>
  <c r="G19078" i="1"/>
  <c r="C19078" i="1"/>
  <c r="G19077" i="1"/>
  <c r="C19077" i="1"/>
  <c r="G19076" i="1"/>
  <c r="C19076" i="1"/>
  <c r="G19075" i="1"/>
  <c r="C19075" i="1"/>
  <c r="G19074" i="1"/>
  <c r="C19074" i="1"/>
  <c r="G19073" i="1"/>
  <c r="C19073" i="1"/>
  <c r="G19072" i="1"/>
  <c r="C19072" i="1"/>
  <c r="G19071" i="1"/>
  <c r="C19071" i="1"/>
  <c r="G19070" i="1"/>
  <c r="C19070" i="1"/>
  <c r="G19069" i="1"/>
  <c r="C19069" i="1"/>
  <c r="G19068" i="1"/>
  <c r="C19068" i="1"/>
  <c r="G19067" i="1"/>
  <c r="C19067" i="1"/>
  <c r="G19066" i="1"/>
  <c r="C19066" i="1"/>
  <c r="G19065" i="1"/>
  <c r="C19065" i="1"/>
  <c r="G19064" i="1"/>
  <c r="C19064" i="1"/>
  <c r="G19063" i="1"/>
  <c r="C19063" i="1"/>
  <c r="G19062" i="1"/>
  <c r="C19062" i="1"/>
  <c r="G19061" i="1"/>
  <c r="C19061" i="1"/>
  <c r="G19060" i="1"/>
  <c r="C19060" i="1"/>
  <c r="G19059" i="1"/>
  <c r="C19059" i="1"/>
  <c r="G19058" i="1"/>
  <c r="C19058" i="1"/>
  <c r="G19056" i="1"/>
  <c r="C19056" i="1"/>
  <c r="G19055" i="1"/>
  <c r="C19055" i="1"/>
  <c r="G19054" i="1"/>
  <c r="C19054" i="1"/>
  <c r="G19053" i="1"/>
  <c r="C19053" i="1"/>
  <c r="G19052" i="1"/>
  <c r="C19052" i="1"/>
  <c r="G19051" i="1"/>
  <c r="C19051" i="1"/>
  <c r="G19050" i="1"/>
  <c r="C19050" i="1"/>
  <c r="G19049" i="1"/>
  <c r="C19049" i="1"/>
  <c r="G19048" i="1"/>
  <c r="C19048" i="1"/>
  <c r="G19047" i="1"/>
  <c r="C19047" i="1"/>
  <c r="G19046" i="1"/>
  <c r="C19046" i="1"/>
  <c r="G19045" i="1"/>
  <c r="C19045" i="1"/>
  <c r="G19044" i="1"/>
  <c r="C19044" i="1"/>
  <c r="G19043" i="1"/>
  <c r="C19043" i="1"/>
  <c r="G19042" i="1"/>
  <c r="C19042" i="1"/>
  <c r="G19041" i="1"/>
  <c r="C19041" i="1"/>
  <c r="G19040" i="1"/>
  <c r="C19040" i="1"/>
  <c r="G19039" i="1"/>
  <c r="C19039" i="1"/>
  <c r="G19038" i="1"/>
  <c r="C19038" i="1"/>
  <c r="G19037" i="1"/>
  <c r="C19037" i="1"/>
  <c r="G19036" i="1"/>
  <c r="C19036" i="1"/>
  <c r="G19034" i="1"/>
  <c r="C19034" i="1"/>
  <c r="G19033" i="1"/>
  <c r="C19033" i="1"/>
  <c r="G19032" i="1"/>
  <c r="C19032" i="1"/>
  <c r="G19031" i="1"/>
  <c r="C19031" i="1"/>
  <c r="G19030" i="1"/>
  <c r="C19030" i="1"/>
  <c r="G19029" i="1"/>
  <c r="C19029" i="1"/>
  <c r="G19028" i="1"/>
  <c r="C19028" i="1"/>
  <c r="G19027" i="1"/>
  <c r="C19027" i="1"/>
  <c r="G19026" i="1"/>
  <c r="C19026" i="1"/>
  <c r="G19025" i="1"/>
  <c r="C19025" i="1"/>
  <c r="G19023" i="1"/>
  <c r="C19023" i="1"/>
  <c r="G19022" i="1"/>
  <c r="C19022" i="1"/>
  <c r="G19020" i="1"/>
  <c r="C19020" i="1"/>
  <c r="G19019" i="1"/>
  <c r="C19019" i="1"/>
  <c r="G19018" i="1"/>
  <c r="C19018" i="1"/>
  <c r="G19017" i="1"/>
  <c r="C19017" i="1"/>
  <c r="G19016" i="1"/>
  <c r="C19016" i="1"/>
  <c r="G19015" i="1"/>
  <c r="C19015" i="1"/>
  <c r="G19014" i="1"/>
  <c r="C19014" i="1"/>
  <c r="G19013" i="1"/>
  <c r="C19013" i="1"/>
  <c r="G19012" i="1"/>
  <c r="C19012" i="1"/>
  <c r="G19011" i="1"/>
  <c r="C19011" i="1"/>
  <c r="G19010" i="1"/>
  <c r="C19010" i="1"/>
  <c r="G19009" i="1"/>
  <c r="C19009" i="1"/>
  <c r="G19008" i="1"/>
  <c r="C19008" i="1"/>
  <c r="G19007" i="1"/>
  <c r="C19007" i="1"/>
  <c r="G19006" i="1"/>
  <c r="C19006" i="1"/>
  <c r="G19005" i="1"/>
  <c r="C19005" i="1"/>
  <c r="G19004" i="1"/>
  <c r="C19004" i="1"/>
  <c r="G19003" i="1"/>
  <c r="C19003" i="1"/>
  <c r="G19002" i="1"/>
  <c r="C19002" i="1"/>
  <c r="G19001" i="1"/>
  <c r="C19001" i="1"/>
  <c r="G19000" i="1"/>
  <c r="C19000" i="1"/>
  <c r="G18999" i="1"/>
  <c r="C18999" i="1"/>
  <c r="G18998" i="1"/>
  <c r="C18998" i="1"/>
  <c r="G18997" i="1"/>
  <c r="C18997" i="1"/>
  <c r="G18996" i="1"/>
  <c r="C18996" i="1"/>
  <c r="G18995" i="1"/>
  <c r="C18995" i="1"/>
  <c r="G18994" i="1"/>
  <c r="C18994" i="1"/>
  <c r="G18993" i="1"/>
  <c r="C18993" i="1"/>
  <c r="G18992" i="1"/>
  <c r="C18992" i="1"/>
  <c r="G18991" i="1"/>
  <c r="C18991" i="1"/>
  <c r="G18990" i="1"/>
  <c r="C18990" i="1"/>
  <c r="G18989" i="1"/>
  <c r="C18989" i="1"/>
  <c r="G18988" i="1"/>
  <c r="C18988" i="1"/>
  <c r="G18987" i="1"/>
  <c r="C18987" i="1"/>
  <c r="G18986" i="1"/>
  <c r="C18986" i="1"/>
  <c r="G18985" i="1"/>
  <c r="C18985" i="1"/>
  <c r="G18984" i="1"/>
  <c r="C18984" i="1"/>
  <c r="G18983" i="1"/>
  <c r="C18983" i="1"/>
  <c r="G18982" i="1"/>
  <c r="C18982" i="1"/>
  <c r="G18981" i="1"/>
  <c r="C18981" i="1"/>
  <c r="G18980" i="1"/>
  <c r="C18980" i="1"/>
  <c r="G18979" i="1"/>
  <c r="C18979" i="1"/>
  <c r="G18978" i="1"/>
  <c r="C18978" i="1"/>
  <c r="G18977" i="1"/>
  <c r="C18977" i="1"/>
  <c r="G18976" i="1"/>
  <c r="C18976" i="1"/>
  <c r="G18975" i="1"/>
  <c r="C18975" i="1"/>
  <c r="G18974" i="1"/>
  <c r="C18974" i="1"/>
  <c r="G18973" i="1"/>
  <c r="C18973" i="1"/>
  <c r="G18972" i="1"/>
  <c r="C18972" i="1"/>
  <c r="G18971" i="1"/>
  <c r="C18971" i="1"/>
  <c r="G18970" i="1"/>
  <c r="C18970" i="1"/>
  <c r="G18969" i="1"/>
  <c r="C18969" i="1"/>
  <c r="G18968" i="1"/>
  <c r="C18968" i="1"/>
  <c r="G18967" i="1"/>
  <c r="C18967" i="1"/>
  <c r="G18966" i="1"/>
  <c r="C18966" i="1"/>
  <c r="G18965" i="1"/>
  <c r="C18965" i="1"/>
  <c r="G18964" i="1"/>
  <c r="C18964" i="1"/>
  <c r="G18963" i="1"/>
  <c r="C18963" i="1"/>
  <c r="G18962" i="1"/>
  <c r="C18962" i="1"/>
  <c r="G18961" i="1"/>
  <c r="C18961" i="1"/>
  <c r="G18960" i="1"/>
  <c r="C18960" i="1"/>
  <c r="G18959" i="1"/>
  <c r="C18959" i="1"/>
  <c r="G18958" i="1"/>
  <c r="C18958" i="1"/>
  <c r="G18957" i="1"/>
  <c r="C18957" i="1"/>
  <c r="G18956" i="1"/>
  <c r="C18956" i="1"/>
  <c r="G18955" i="1"/>
  <c r="C18955" i="1"/>
  <c r="G18954" i="1"/>
  <c r="C18954" i="1"/>
  <c r="G18953" i="1"/>
  <c r="C18953" i="1"/>
  <c r="G18952" i="1"/>
  <c r="C18952" i="1"/>
  <c r="G18951" i="1"/>
  <c r="C18951" i="1"/>
  <c r="G18950" i="1"/>
  <c r="C18950" i="1"/>
  <c r="G18949" i="1"/>
  <c r="C18949" i="1"/>
  <c r="G18948" i="1"/>
  <c r="C18948" i="1"/>
  <c r="G18947" i="1"/>
  <c r="C18947" i="1"/>
  <c r="G18946" i="1"/>
  <c r="C18946" i="1"/>
  <c r="G18945" i="1"/>
  <c r="C18945" i="1"/>
  <c r="G18944" i="1"/>
  <c r="C18944" i="1"/>
  <c r="G18942" i="1"/>
  <c r="C18942" i="1"/>
  <c r="G18941" i="1"/>
  <c r="C18941" i="1"/>
  <c r="G18940" i="1"/>
  <c r="C18940" i="1"/>
  <c r="G18939" i="1"/>
  <c r="C18939" i="1"/>
  <c r="G18938" i="1"/>
  <c r="C18938" i="1"/>
  <c r="G18937" i="1"/>
  <c r="C18937" i="1"/>
  <c r="G18936" i="1"/>
  <c r="C18936" i="1"/>
  <c r="G18935" i="1"/>
  <c r="C18935" i="1"/>
  <c r="G18934" i="1"/>
  <c r="C18934" i="1"/>
  <c r="G18933" i="1"/>
  <c r="C18933" i="1"/>
  <c r="G18932" i="1"/>
  <c r="C18932" i="1"/>
  <c r="G18930" i="1"/>
  <c r="C18930" i="1"/>
  <c r="G18929" i="1"/>
  <c r="C18929" i="1"/>
  <c r="G18928" i="1"/>
  <c r="C18928" i="1"/>
  <c r="G18927" i="1"/>
  <c r="C18927" i="1"/>
  <c r="G18926" i="1"/>
  <c r="C18926" i="1"/>
  <c r="G18925" i="1"/>
  <c r="C18925" i="1"/>
  <c r="G18924" i="1"/>
  <c r="C18924" i="1"/>
  <c r="G18923" i="1"/>
  <c r="C18923" i="1"/>
  <c r="G18922" i="1"/>
  <c r="C18922" i="1"/>
  <c r="G18921" i="1"/>
  <c r="C18921" i="1"/>
  <c r="G18920" i="1"/>
  <c r="C18920" i="1"/>
  <c r="G18919" i="1"/>
  <c r="C18919" i="1"/>
  <c r="G18918" i="1"/>
  <c r="C18918" i="1"/>
  <c r="G18917" i="1"/>
  <c r="C18917" i="1"/>
  <c r="G18916" i="1"/>
  <c r="C18916" i="1"/>
  <c r="G18915" i="1"/>
  <c r="C18915" i="1"/>
  <c r="G18914" i="1"/>
  <c r="C18914" i="1"/>
  <c r="G18913" i="1"/>
  <c r="C18913" i="1"/>
  <c r="G18912" i="1"/>
  <c r="C18912" i="1"/>
  <c r="G18911" i="1"/>
  <c r="C18911" i="1"/>
  <c r="G18910" i="1"/>
  <c r="C18910" i="1"/>
  <c r="G18909" i="1"/>
  <c r="C18909" i="1"/>
  <c r="G18908" i="1"/>
  <c r="C18908" i="1"/>
  <c r="G18907" i="1"/>
  <c r="C18907" i="1"/>
  <c r="G18906" i="1"/>
  <c r="C18906" i="1"/>
  <c r="G18905" i="1"/>
  <c r="C18905" i="1"/>
  <c r="G18904" i="1"/>
  <c r="C18904" i="1"/>
  <c r="G18903" i="1"/>
  <c r="C18903" i="1"/>
  <c r="G18902" i="1"/>
  <c r="C18902" i="1"/>
  <c r="G18901" i="1"/>
  <c r="C18901" i="1"/>
  <c r="G18900" i="1"/>
  <c r="C18900" i="1"/>
  <c r="G18899" i="1"/>
  <c r="C18899" i="1"/>
  <c r="G18898" i="1"/>
  <c r="C18898" i="1"/>
  <c r="G18897" i="1"/>
  <c r="C18897" i="1"/>
  <c r="G18896" i="1"/>
  <c r="C18896" i="1"/>
  <c r="G18894" i="1"/>
  <c r="C18894" i="1"/>
  <c r="G18893" i="1"/>
  <c r="C18893" i="1"/>
  <c r="G18892" i="1"/>
  <c r="C18892" i="1"/>
  <c r="G18891" i="1"/>
  <c r="C18891" i="1"/>
  <c r="G18890" i="1"/>
  <c r="C18890" i="1"/>
  <c r="G18888" i="1"/>
  <c r="C18888" i="1"/>
  <c r="G18887" i="1"/>
  <c r="C18887" i="1"/>
  <c r="G18886" i="1"/>
  <c r="C18886" i="1"/>
  <c r="G18885" i="1"/>
  <c r="C18885" i="1"/>
  <c r="G18884" i="1"/>
  <c r="C18884" i="1"/>
  <c r="G18883" i="1"/>
  <c r="C18883" i="1"/>
  <c r="G18882" i="1"/>
  <c r="C18882" i="1"/>
  <c r="G18881" i="1"/>
  <c r="C18881" i="1"/>
  <c r="G18880" i="1"/>
  <c r="C18880" i="1"/>
  <c r="G18879" i="1"/>
  <c r="C18879" i="1"/>
  <c r="G18878" i="1"/>
  <c r="C18878" i="1"/>
  <c r="G18877" i="1"/>
  <c r="C18877" i="1"/>
  <c r="G18876" i="1"/>
  <c r="C18876" i="1"/>
  <c r="G18875" i="1"/>
  <c r="C18875" i="1"/>
  <c r="G18874" i="1"/>
  <c r="C18874" i="1"/>
  <c r="G18873" i="1"/>
  <c r="C18873" i="1"/>
  <c r="G18872" i="1"/>
  <c r="C18872" i="1"/>
  <c r="G18871" i="1"/>
  <c r="C18871" i="1"/>
  <c r="G18870" i="1"/>
  <c r="C18870" i="1"/>
  <c r="G18869" i="1"/>
  <c r="C18869" i="1"/>
  <c r="G18868" i="1"/>
  <c r="C18868" i="1"/>
  <c r="G18867" i="1"/>
  <c r="C18867" i="1"/>
  <c r="G18866" i="1"/>
  <c r="C18866" i="1"/>
  <c r="G18865" i="1"/>
  <c r="C18865" i="1"/>
  <c r="G18864" i="1"/>
  <c r="C18864" i="1"/>
  <c r="G18863" i="1"/>
  <c r="C18863" i="1"/>
  <c r="G18862" i="1"/>
  <c r="C18862" i="1"/>
  <c r="G18861" i="1"/>
  <c r="C18861" i="1"/>
  <c r="G18860" i="1"/>
  <c r="C18860" i="1"/>
  <c r="G18859" i="1"/>
  <c r="C18859" i="1"/>
  <c r="G18858" i="1"/>
  <c r="C18858" i="1"/>
  <c r="G18857" i="1"/>
  <c r="C18857" i="1"/>
  <c r="G18856" i="1"/>
  <c r="C18856" i="1"/>
  <c r="G18854" i="1"/>
  <c r="C18854" i="1"/>
  <c r="G18853" i="1"/>
  <c r="C18853" i="1"/>
  <c r="G18852" i="1"/>
  <c r="C18852" i="1"/>
  <c r="G18851" i="1"/>
  <c r="C18851" i="1"/>
  <c r="G18850" i="1"/>
  <c r="C18850" i="1"/>
  <c r="G18849" i="1"/>
  <c r="C18849" i="1"/>
  <c r="G18848" i="1"/>
  <c r="C18848" i="1"/>
  <c r="G18847" i="1"/>
  <c r="C18847" i="1"/>
  <c r="G18846" i="1"/>
  <c r="C18846" i="1"/>
  <c r="G18845" i="1"/>
  <c r="C18845" i="1"/>
  <c r="G18844" i="1"/>
  <c r="C18844" i="1"/>
  <c r="G18843" i="1"/>
  <c r="C18843" i="1"/>
  <c r="G18842" i="1"/>
  <c r="C18842" i="1"/>
  <c r="G18841" i="1"/>
  <c r="C18841" i="1"/>
  <c r="G18840" i="1"/>
  <c r="C18840" i="1"/>
  <c r="G18839" i="1"/>
  <c r="C18839" i="1"/>
  <c r="G18838" i="1"/>
  <c r="C18838" i="1"/>
  <c r="G18837" i="1"/>
  <c r="C18837" i="1"/>
  <c r="G18835" i="1"/>
  <c r="C18835" i="1"/>
  <c r="G18834" i="1"/>
  <c r="C18834" i="1"/>
  <c r="G18833" i="1"/>
  <c r="C18833" i="1"/>
  <c r="G18832" i="1"/>
  <c r="C18832" i="1"/>
  <c r="G18831" i="1"/>
  <c r="C18831" i="1"/>
  <c r="G18830" i="1"/>
  <c r="C18830" i="1"/>
  <c r="G18829" i="1"/>
  <c r="C18829" i="1"/>
  <c r="G18828" i="1"/>
  <c r="C18828" i="1"/>
  <c r="G18827" i="1"/>
  <c r="C18827" i="1"/>
  <c r="G18826" i="1"/>
  <c r="C18826" i="1"/>
  <c r="G18825" i="1"/>
  <c r="C18825" i="1"/>
  <c r="G18824" i="1"/>
  <c r="C18824" i="1"/>
  <c r="G18823" i="1"/>
  <c r="C18823" i="1"/>
  <c r="G18822" i="1"/>
  <c r="C18822" i="1"/>
  <c r="G18821" i="1"/>
  <c r="C18821" i="1"/>
  <c r="G18820" i="1"/>
  <c r="C18820" i="1"/>
  <c r="G18819" i="1"/>
  <c r="C18819" i="1"/>
  <c r="G18818" i="1"/>
  <c r="C18818" i="1"/>
  <c r="G18817" i="1"/>
  <c r="C18817" i="1"/>
  <c r="G18816" i="1"/>
  <c r="C18816" i="1"/>
  <c r="G18815" i="1"/>
  <c r="C18815" i="1"/>
  <c r="G18814" i="1"/>
  <c r="C18814" i="1"/>
  <c r="G18813" i="1"/>
  <c r="C18813" i="1"/>
  <c r="G18812" i="1"/>
  <c r="C18812" i="1"/>
  <c r="G18811" i="1"/>
  <c r="C18811" i="1"/>
  <c r="G18810" i="1"/>
  <c r="C18810" i="1"/>
  <c r="G18809" i="1"/>
  <c r="C18809" i="1"/>
  <c r="G18808" i="1"/>
  <c r="C18808" i="1"/>
  <c r="G18807" i="1"/>
  <c r="C18807" i="1"/>
  <c r="G18806" i="1"/>
  <c r="C18806" i="1"/>
  <c r="G18805" i="1"/>
  <c r="C18805" i="1"/>
  <c r="G18804" i="1"/>
  <c r="C18804" i="1"/>
  <c r="G18803" i="1"/>
  <c r="C18803" i="1"/>
  <c r="G18802" i="1"/>
  <c r="C18802" i="1"/>
  <c r="G18801" i="1"/>
  <c r="C18801" i="1"/>
  <c r="G18800" i="1"/>
  <c r="C18800" i="1"/>
  <c r="G18799" i="1"/>
  <c r="C18799" i="1"/>
  <c r="G18798" i="1"/>
  <c r="C18798" i="1"/>
  <c r="G18797" i="1"/>
  <c r="C18797" i="1"/>
  <c r="G18796" i="1"/>
  <c r="C18796" i="1"/>
  <c r="G18795" i="1"/>
  <c r="C18795" i="1"/>
  <c r="G18794" i="1"/>
  <c r="C18794" i="1"/>
  <c r="G18793" i="1"/>
  <c r="C18793" i="1"/>
  <c r="G18792" i="1"/>
  <c r="C18792" i="1"/>
  <c r="G18791" i="1"/>
  <c r="C18791" i="1"/>
  <c r="G18790" i="1"/>
  <c r="C18790" i="1"/>
  <c r="G18789" i="1"/>
  <c r="C18789" i="1"/>
  <c r="G18788" i="1"/>
  <c r="C18788" i="1"/>
  <c r="G18787" i="1"/>
  <c r="C18787" i="1"/>
  <c r="G18786" i="1"/>
  <c r="C18786" i="1"/>
  <c r="G18785" i="1"/>
  <c r="C18785" i="1"/>
  <c r="G18784" i="1"/>
  <c r="C18784" i="1"/>
  <c r="G18783" i="1"/>
  <c r="C18783" i="1"/>
  <c r="G18782" i="1"/>
  <c r="C18782" i="1"/>
  <c r="G18781" i="1"/>
  <c r="C18781" i="1"/>
  <c r="G18780" i="1"/>
  <c r="C18780" i="1"/>
  <c r="G18779" i="1"/>
  <c r="C18779" i="1"/>
  <c r="G18778" i="1"/>
  <c r="C18778" i="1"/>
  <c r="G18777" i="1"/>
  <c r="C18777" i="1"/>
  <c r="G18776" i="1"/>
  <c r="C18776" i="1"/>
  <c r="G18775" i="1"/>
  <c r="C18775" i="1"/>
  <c r="G18774" i="1"/>
  <c r="C18774" i="1"/>
  <c r="G18773" i="1"/>
  <c r="C18773" i="1"/>
  <c r="G18772" i="1"/>
  <c r="C18772" i="1"/>
  <c r="G18771" i="1"/>
  <c r="C18771" i="1"/>
  <c r="G18770" i="1"/>
  <c r="C18770" i="1"/>
  <c r="G18768" i="1"/>
  <c r="C18768" i="1"/>
  <c r="G18767" i="1"/>
  <c r="C18767" i="1"/>
  <c r="G18766" i="1"/>
  <c r="C18766" i="1"/>
  <c r="G18765" i="1"/>
  <c r="C18765" i="1"/>
  <c r="G18764" i="1"/>
  <c r="C18764" i="1"/>
  <c r="G18763" i="1"/>
  <c r="C18763" i="1"/>
  <c r="G18762" i="1"/>
  <c r="C18762" i="1"/>
  <c r="G18761" i="1"/>
  <c r="C18761" i="1"/>
  <c r="G18760" i="1"/>
  <c r="C18760" i="1"/>
  <c r="G18759" i="1"/>
  <c r="C18759" i="1"/>
  <c r="G18758" i="1"/>
  <c r="C18758" i="1"/>
  <c r="G18757" i="1"/>
  <c r="C18757" i="1"/>
  <c r="G18756" i="1"/>
  <c r="C18756" i="1"/>
  <c r="G18755" i="1"/>
  <c r="C18755" i="1"/>
  <c r="G18754" i="1"/>
  <c r="C18754" i="1"/>
  <c r="G18753" i="1"/>
  <c r="C18753" i="1"/>
  <c r="G18752" i="1"/>
  <c r="C18752" i="1"/>
  <c r="G18751" i="1"/>
  <c r="C18751" i="1"/>
  <c r="G18750" i="1"/>
  <c r="C18750" i="1"/>
  <c r="G18749" i="1"/>
  <c r="C18749" i="1"/>
  <c r="G18748" i="1"/>
  <c r="C18748" i="1"/>
  <c r="G18747" i="1"/>
  <c r="C18747" i="1"/>
  <c r="G18746" i="1"/>
  <c r="C18746" i="1"/>
  <c r="G18745" i="1"/>
  <c r="C18745" i="1"/>
  <c r="G18744" i="1"/>
  <c r="C18744" i="1"/>
  <c r="G18743" i="1"/>
  <c r="C18743" i="1"/>
  <c r="G18742" i="1"/>
  <c r="C18742" i="1"/>
  <c r="G18741" i="1"/>
  <c r="C18741" i="1"/>
  <c r="G18740" i="1"/>
  <c r="C18740" i="1"/>
  <c r="G18739" i="1"/>
  <c r="C18739" i="1"/>
  <c r="G18738" i="1"/>
  <c r="C18738" i="1"/>
  <c r="G18737" i="1"/>
  <c r="C18737" i="1"/>
  <c r="G18736" i="1"/>
  <c r="C18736" i="1"/>
  <c r="G18735" i="1"/>
  <c r="C18735" i="1"/>
  <c r="G18734" i="1"/>
  <c r="C18734" i="1"/>
  <c r="G18733" i="1"/>
  <c r="C18733" i="1"/>
  <c r="G18732" i="1"/>
  <c r="C18732" i="1"/>
  <c r="G18731" i="1"/>
  <c r="C18731" i="1"/>
  <c r="G18730" i="1"/>
  <c r="C18730" i="1"/>
  <c r="G18729" i="1"/>
  <c r="C18729" i="1"/>
  <c r="G18728" i="1"/>
  <c r="C18728" i="1"/>
  <c r="G18727" i="1"/>
  <c r="C18727" i="1"/>
  <c r="G18726" i="1"/>
  <c r="C18726" i="1"/>
  <c r="G18725" i="1"/>
  <c r="C18725" i="1"/>
  <c r="G18723" i="1"/>
  <c r="C18723" i="1"/>
  <c r="G18722" i="1"/>
  <c r="C18722" i="1"/>
  <c r="G18721" i="1"/>
  <c r="C18721" i="1"/>
  <c r="G18720" i="1"/>
  <c r="C18720" i="1"/>
  <c r="G18719" i="1"/>
  <c r="C18719" i="1"/>
  <c r="G18718" i="1"/>
  <c r="C18718" i="1"/>
  <c r="G18717" i="1"/>
  <c r="C18717" i="1"/>
  <c r="G18716" i="1"/>
  <c r="C18716" i="1"/>
  <c r="G18715" i="1"/>
  <c r="C18715" i="1"/>
  <c r="G18714" i="1"/>
  <c r="C18714" i="1"/>
  <c r="G18713" i="1"/>
  <c r="C18713" i="1"/>
  <c r="G18712" i="1"/>
  <c r="C18712" i="1"/>
  <c r="G18711" i="1"/>
  <c r="C18711" i="1"/>
  <c r="G18710" i="1"/>
  <c r="C18710" i="1"/>
  <c r="G18709" i="1"/>
  <c r="C18709" i="1"/>
  <c r="G18708" i="1"/>
  <c r="C18708" i="1"/>
  <c r="G18707" i="1"/>
  <c r="C18707" i="1"/>
  <c r="G18706" i="1"/>
  <c r="C18706" i="1"/>
  <c r="G18705" i="1"/>
  <c r="C18705" i="1"/>
  <c r="G18704" i="1"/>
  <c r="C18704" i="1"/>
  <c r="G18703" i="1"/>
  <c r="C18703" i="1"/>
  <c r="G18702" i="1"/>
  <c r="C18702" i="1"/>
  <c r="G18701" i="1"/>
  <c r="C18701" i="1"/>
  <c r="G18700" i="1"/>
  <c r="C18700" i="1"/>
  <c r="G18699" i="1"/>
  <c r="C18699" i="1"/>
  <c r="G18698" i="1"/>
  <c r="C18698" i="1"/>
  <c r="G18697" i="1"/>
  <c r="C18697" i="1"/>
  <c r="G18696" i="1"/>
  <c r="C18696" i="1"/>
  <c r="G18695" i="1"/>
  <c r="C18695" i="1"/>
  <c r="G18694" i="1"/>
  <c r="C18694" i="1"/>
  <c r="G18693" i="1"/>
  <c r="C18693" i="1"/>
  <c r="G18692" i="1"/>
  <c r="C18692" i="1"/>
  <c r="G18690" i="1"/>
  <c r="C18690" i="1"/>
  <c r="G18689" i="1"/>
  <c r="C18689" i="1"/>
  <c r="G18688" i="1"/>
  <c r="C18688" i="1"/>
  <c r="G18687" i="1"/>
  <c r="C18687" i="1"/>
  <c r="G18686" i="1"/>
  <c r="C18686" i="1"/>
  <c r="G18685" i="1"/>
  <c r="C18685" i="1"/>
  <c r="G18684" i="1"/>
  <c r="C18684" i="1"/>
  <c r="G18683" i="1"/>
  <c r="C18683" i="1"/>
  <c r="G18682" i="1"/>
  <c r="C18682" i="1"/>
  <c r="G18681" i="1"/>
  <c r="C18681" i="1"/>
  <c r="G18680" i="1"/>
  <c r="C18680" i="1"/>
  <c r="G18679" i="1"/>
  <c r="C18679" i="1"/>
  <c r="G18678" i="1"/>
  <c r="C18678" i="1"/>
  <c r="G18677" i="1"/>
  <c r="C18677" i="1"/>
  <c r="G18676" i="1"/>
  <c r="C18676" i="1"/>
  <c r="G18674" i="1"/>
  <c r="C18674" i="1"/>
  <c r="G18673" i="1"/>
  <c r="C18673" i="1"/>
  <c r="G18672" i="1"/>
  <c r="C18672" i="1"/>
  <c r="G18671" i="1"/>
  <c r="C18671" i="1"/>
  <c r="G18669" i="1"/>
  <c r="C18669" i="1"/>
  <c r="G18668" i="1"/>
  <c r="C18668" i="1"/>
  <c r="G18667" i="1"/>
  <c r="C18667" i="1"/>
  <c r="G18666" i="1"/>
  <c r="C18666" i="1"/>
  <c r="G18665" i="1"/>
  <c r="C18665" i="1"/>
  <c r="G18664" i="1"/>
  <c r="C18664" i="1"/>
  <c r="G18663" i="1"/>
  <c r="C18663" i="1"/>
  <c r="G18662" i="1"/>
  <c r="C18662" i="1"/>
  <c r="G18661" i="1"/>
  <c r="C18661" i="1"/>
  <c r="G18660" i="1"/>
  <c r="C18660" i="1"/>
  <c r="G18659" i="1"/>
  <c r="C18659" i="1"/>
  <c r="G18658" i="1"/>
  <c r="C18658" i="1"/>
  <c r="G18657" i="1"/>
  <c r="C18657" i="1"/>
  <c r="G18655" i="1"/>
  <c r="C18655" i="1"/>
  <c r="G18653" i="1"/>
  <c r="C18653" i="1"/>
  <c r="G18652" i="1"/>
  <c r="C18652" i="1"/>
  <c r="G18651" i="1"/>
  <c r="C18651" i="1"/>
  <c r="G18650" i="1"/>
  <c r="C18650" i="1"/>
  <c r="G18649" i="1"/>
  <c r="C18649" i="1"/>
  <c r="G18648" i="1"/>
  <c r="C18648" i="1"/>
  <c r="G18647" i="1"/>
  <c r="C18647" i="1"/>
  <c r="G18646" i="1"/>
  <c r="C18646" i="1"/>
  <c r="G18645" i="1"/>
  <c r="C18645" i="1"/>
  <c r="G18644" i="1"/>
  <c r="C18644" i="1"/>
  <c r="G18643" i="1"/>
  <c r="C18643" i="1"/>
  <c r="G18642" i="1"/>
  <c r="C18642" i="1"/>
  <c r="G18641" i="1"/>
  <c r="C18641" i="1"/>
  <c r="G18640" i="1"/>
  <c r="C18640" i="1"/>
  <c r="G18639" i="1"/>
  <c r="C18639" i="1"/>
  <c r="G18638" i="1"/>
  <c r="C18638" i="1"/>
  <c r="G18637" i="1"/>
  <c r="C18637" i="1"/>
  <c r="G18636" i="1"/>
  <c r="C18636" i="1"/>
  <c r="G18635" i="1"/>
  <c r="C18635" i="1"/>
  <c r="G18634" i="1"/>
  <c r="C18634" i="1"/>
  <c r="G18633" i="1"/>
  <c r="C18633" i="1"/>
  <c r="G18632" i="1"/>
  <c r="C18632" i="1"/>
  <c r="G18631" i="1"/>
  <c r="C18631" i="1"/>
  <c r="G18630" i="1"/>
  <c r="C18630" i="1"/>
  <c r="G18629" i="1"/>
  <c r="C18629" i="1"/>
  <c r="G18628" i="1"/>
  <c r="C18628" i="1"/>
  <c r="G18627" i="1"/>
  <c r="C18627" i="1"/>
  <c r="G18626" i="1"/>
  <c r="C18626" i="1"/>
  <c r="G18623" i="1"/>
  <c r="C18623" i="1"/>
  <c r="G18622" i="1"/>
  <c r="C18622" i="1"/>
  <c r="G18621" i="1"/>
  <c r="C18621" i="1"/>
  <c r="G18620" i="1"/>
  <c r="C18620" i="1"/>
  <c r="G18619" i="1"/>
  <c r="C18619" i="1"/>
  <c r="G18618" i="1"/>
  <c r="C18618" i="1"/>
  <c r="G18617" i="1"/>
  <c r="C18617" i="1"/>
  <c r="G18616" i="1"/>
  <c r="C18616" i="1"/>
  <c r="G18615" i="1"/>
  <c r="C18615" i="1"/>
  <c r="G18614" i="1"/>
  <c r="C18614" i="1"/>
  <c r="G18613" i="1"/>
  <c r="C18613" i="1"/>
  <c r="G18612" i="1"/>
  <c r="C18612" i="1"/>
  <c r="G18611" i="1"/>
  <c r="C18611" i="1"/>
  <c r="G18610" i="1"/>
  <c r="C18610" i="1"/>
  <c r="G18609" i="1"/>
  <c r="C18609" i="1"/>
  <c r="G18608" i="1"/>
  <c r="C18608" i="1"/>
  <c r="G18607" i="1"/>
  <c r="C18607" i="1"/>
  <c r="G18606" i="1"/>
  <c r="C18606" i="1"/>
  <c r="G18605" i="1"/>
  <c r="C18605" i="1"/>
  <c r="G18604" i="1"/>
  <c r="C18604" i="1"/>
  <c r="G18603" i="1"/>
  <c r="C18603" i="1"/>
  <c r="G18602" i="1"/>
  <c r="C18602" i="1"/>
  <c r="G18600" i="1"/>
  <c r="C18600" i="1"/>
  <c r="G18599" i="1"/>
  <c r="C18599" i="1"/>
  <c r="G18598" i="1"/>
  <c r="C18598" i="1"/>
  <c r="G18597" i="1"/>
  <c r="C18597" i="1"/>
  <c r="G18596" i="1"/>
  <c r="C18596" i="1"/>
  <c r="G18595" i="1"/>
  <c r="C18595" i="1"/>
  <c r="G18594" i="1"/>
  <c r="C18594" i="1"/>
  <c r="G18593" i="1"/>
  <c r="C18593" i="1"/>
  <c r="G18592" i="1"/>
  <c r="C18592" i="1"/>
  <c r="G18590" i="1"/>
  <c r="C18590" i="1"/>
  <c r="G18589" i="1"/>
  <c r="C18589" i="1"/>
  <c r="G18588" i="1"/>
  <c r="C18588" i="1"/>
  <c r="G18587" i="1"/>
  <c r="C18587" i="1"/>
  <c r="G18586" i="1"/>
  <c r="C18586" i="1"/>
  <c r="G18585" i="1"/>
  <c r="C18585" i="1"/>
  <c r="G18584" i="1"/>
  <c r="C18584" i="1"/>
  <c r="G18583" i="1"/>
  <c r="C18583" i="1"/>
  <c r="G18582" i="1"/>
  <c r="C18582" i="1"/>
  <c r="G18581" i="1"/>
  <c r="C18581" i="1"/>
  <c r="G18580" i="1"/>
  <c r="C18580" i="1"/>
  <c r="G18579" i="1"/>
  <c r="C18579" i="1"/>
  <c r="G18578" i="1"/>
  <c r="C18578" i="1"/>
  <c r="G18577" i="1"/>
  <c r="C18577" i="1"/>
  <c r="G18576" i="1"/>
  <c r="C18576" i="1"/>
  <c r="G18575" i="1"/>
  <c r="C18575" i="1"/>
  <c r="G18574" i="1"/>
  <c r="C18574" i="1"/>
  <c r="G18573" i="1"/>
  <c r="C18573" i="1"/>
  <c r="G18572" i="1"/>
  <c r="C18572" i="1"/>
  <c r="G18571" i="1"/>
  <c r="C18571" i="1"/>
  <c r="G18570" i="1"/>
  <c r="C18570" i="1"/>
  <c r="G18569" i="1"/>
  <c r="C18569" i="1"/>
  <c r="G18568" i="1"/>
  <c r="C18568" i="1"/>
  <c r="G18567" i="1"/>
  <c r="C18567" i="1"/>
  <c r="G18566" i="1"/>
  <c r="C18566" i="1"/>
  <c r="G18565" i="1"/>
  <c r="C18565" i="1"/>
  <c r="G18564" i="1"/>
  <c r="C18564" i="1"/>
  <c r="G18562" i="1"/>
  <c r="C18562" i="1"/>
  <c r="G18561" i="1"/>
  <c r="C18561" i="1"/>
  <c r="G18560" i="1"/>
  <c r="C18560" i="1"/>
  <c r="G18559" i="1"/>
  <c r="C18559" i="1"/>
  <c r="G18558" i="1"/>
  <c r="C18558" i="1"/>
  <c r="G18557" i="1"/>
  <c r="C18557" i="1"/>
  <c r="G18556" i="1"/>
  <c r="C18556" i="1"/>
  <c r="G18555" i="1"/>
  <c r="C18555" i="1"/>
  <c r="G18554" i="1"/>
  <c r="C18554" i="1"/>
  <c r="G18553" i="1"/>
  <c r="C18553" i="1"/>
  <c r="G18552" i="1"/>
  <c r="C18552" i="1"/>
  <c r="G18551" i="1"/>
  <c r="C18551" i="1"/>
  <c r="G18550" i="1"/>
  <c r="C18550" i="1"/>
  <c r="G18549" i="1"/>
  <c r="C18549" i="1"/>
  <c r="G18548" i="1"/>
  <c r="C18548" i="1"/>
  <c r="G18547" i="1"/>
  <c r="C18547" i="1"/>
  <c r="G18546" i="1"/>
  <c r="C18546" i="1"/>
  <c r="G18545" i="1"/>
  <c r="C18545" i="1"/>
  <c r="G18544" i="1"/>
  <c r="C18544" i="1"/>
  <c r="G18543" i="1"/>
  <c r="C18543" i="1"/>
  <c r="G18542" i="1"/>
  <c r="C18542" i="1"/>
  <c r="G18541" i="1"/>
  <c r="C18541" i="1"/>
  <c r="G18540" i="1"/>
  <c r="C18540" i="1"/>
  <c r="G18539" i="1"/>
  <c r="C18539" i="1"/>
  <c r="G18538" i="1"/>
  <c r="C18538" i="1"/>
  <c r="G18537" i="1"/>
  <c r="C18537" i="1"/>
  <c r="G18536" i="1"/>
  <c r="C18536" i="1"/>
  <c r="G18535" i="1"/>
  <c r="C18535" i="1"/>
  <c r="G18534" i="1"/>
  <c r="C18534" i="1"/>
  <c r="G18533" i="1"/>
  <c r="C18533" i="1"/>
  <c r="G18532" i="1"/>
  <c r="C18532" i="1"/>
  <c r="G18531" i="1"/>
  <c r="C18531" i="1"/>
  <c r="G18530" i="1"/>
  <c r="C18530" i="1"/>
  <c r="G18529" i="1"/>
  <c r="C18529" i="1"/>
  <c r="G18528" i="1"/>
  <c r="C18528" i="1"/>
  <c r="G18527" i="1"/>
  <c r="C18527" i="1"/>
  <c r="G18526" i="1"/>
  <c r="C18526" i="1"/>
  <c r="G18524" i="1"/>
  <c r="C18524" i="1"/>
  <c r="G18523" i="1"/>
  <c r="C18523" i="1"/>
  <c r="G18522" i="1"/>
  <c r="C18522" i="1"/>
  <c r="G18521" i="1"/>
  <c r="C18521" i="1"/>
  <c r="G18520" i="1"/>
  <c r="C18520" i="1"/>
  <c r="G18519" i="1"/>
  <c r="C18519" i="1"/>
  <c r="G18518" i="1"/>
  <c r="C18518" i="1"/>
  <c r="G18517" i="1"/>
  <c r="C18517" i="1"/>
  <c r="G18516" i="1"/>
  <c r="C18516" i="1"/>
  <c r="G18515" i="1"/>
  <c r="C18515" i="1"/>
  <c r="G18514" i="1"/>
  <c r="C18514" i="1"/>
  <c r="G18513" i="1"/>
  <c r="C18513" i="1"/>
  <c r="G18512" i="1"/>
  <c r="C18512" i="1"/>
  <c r="G18511" i="1"/>
  <c r="C18511" i="1"/>
  <c r="G18510" i="1"/>
  <c r="C18510" i="1"/>
  <c r="G18509" i="1"/>
  <c r="C18509" i="1"/>
  <c r="G18508" i="1"/>
  <c r="C18508" i="1"/>
  <c r="G18507" i="1"/>
  <c r="C18507" i="1"/>
  <c r="G18505" i="1"/>
  <c r="C18505" i="1"/>
  <c r="G18504" i="1"/>
  <c r="C18504" i="1"/>
  <c r="G18503" i="1"/>
  <c r="C18503" i="1"/>
  <c r="G18502" i="1"/>
  <c r="C18502" i="1"/>
  <c r="G18501" i="1"/>
  <c r="C18501" i="1"/>
  <c r="G18500" i="1"/>
  <c r="C18500" i="1"/>
  <c r="G18499" i="1"/>
  <c r="C18499" i="1"/>
  <c r="G18498" i="1"/>
  <c r="C18498" i="1"/>
  <c r="G18497" i="1"/>
  <c r="C18497" i="1"/>
  <c r="G18496" i="1"/>
  <c r="C18496" i="1"/>
  <c r="G18495" i="1"/>
  <c r="C18495" i="1"/>
  <c r="G18494" i="1"/>
  <c r="C18494" i="1"/>
  <c r="G18493" i="1"/>
  <c r="C18493" i="1"/>
  <c r="G18492" i="1"/>
  <c r="C18492" i="1"/>
  <c r="G18491" i="1"/>
  <c r="C18491" i="1"/>
  <c r="G18490" i="1"/>
  <c r="C18490" i="1"/>
  <c r="G18489" i="1"/>
  <c r="C18489" i="1"/>
  <c r="G18488" i="1"/>
  <c r="C18488" i="1"/>
  <c r="G18487" i="1"/>
  <c r="C18487" i="1"/>
  <c r="G18486" i="1"/>
  <c r="C18486" i="1"/>
  <c r="G18485" i="1"/>
  <c r="C18485" i="1"/>
  <c r="G18484" i="1"/>
  <c r="C18484" i="1"/>
  <c r="G18483" i="1"/>
  <c r="C18483" i="1"/>
  <c r="G18482" i="1"/>
  <c r="C18482" i="1"/>
  <c r="G18481" i="1"/>
  <c r="C18481" i="1"/>
  <c r="G18480" i="1"/>
  <c r="C18480" i="1"/>
  <c r="G18479" i="1"/>
  <c r="C18479" i="1"/>
  <c r="G18478" i="1"/>
  <c r="C18478" i="1"/>
  <c r="G18477" i="1"/>
  <c r="C18477" i="1"/>
  <c r="G18476" i="1"/>
  <c r="C18476" i="1"/>
  <c r="G18475" i="1"/>
  <c r="C18475" i="1"/>
  <c r="G18474" i="1"/>
  <c r="C18474" i="1"/>
  <c r="G18473" i="1"/>
  <c r="C18473" i="1"/>
  <c r="G18472" i="1"/>
  <c r="C18472" i="1"/>
  <c r="G18471" i="1"/>
  <c r="C18471" i="1"/>
  <c r="G18470" i="1"/>
  <c r="C18470" i="1"/>
  <c r="G18469" i="1"/>
  <c r="C18469" i="1"/>
  <c r="G18468" i="1"/>
  <c r="C18468" i="1"/>
  <c r="G18466" i="1"/>
  <c r="C18466" i="1"/>
  <c r="G18465" i="1"/>
  <c r="C18465" i="1"/>
  <c r="G18464" i="1"/>
  <c r="C18464" i="1"/>
  <c r="G18463" i="1"/>
  <c r="C18463" i="1"/>
  <c r="G18462" i="1"/>
  <c r="C18462" i="1"/>
  <c r="G18461" i="1"/>
  <c r="C18461" i="1"/>
  <c r="G18460" i="1"/>
  <c r="C18460" i="1"/>
  <c r="G18459" i="1"/>
  <c r="C18459" i="1"/>
  <c r="G18458" i="1"/>
  <c r="C18458" i="1"/>
  <c r="G18457" i="1"/>
  <c r="C18457" i="1"/>
  <c r="G18456" i="1"/>
  <c r="C18456" i="1"/>
  <c r="G18455" i="1"/>
  <c r="C18455" i="1"/>
  <c r="G18454" i="1"/>
  <c r="C18454" i="1"/>
  <c r="G18453" i="1"/>
  <c r="C18453" i="1"/>
  <c r="G18452" i="1"/>
  <c r="C18452" i="1"/>
  <c r="G18450" i="1"/>
  <c r="C18450" i="1"/>
  <c r="G18449" i="1"/>
  <c r="C18449" i="1"/>
  <c r="G18448" i="1"/>
  <c r="C18448" i="1"/>
  <c r="G18447" i="1"/>
  <c r="C18447" i="1"/>
  <c r="G18446" i="1"/>
  <c r="C18446" i="1"/>
  <c r="G18445" i="1"/>
  <c r="C18445" i="1"/>
  <c r="G18444" i="1"/>
  <c r="C18444" i="1"/>
  <c r="G18443" i="1"/>
  <c r="C18443" i="1"/>
  <c r="G18442" i="1"/>
  <c r="C18442" i="1"/>
  <c r="G18441" i="1"/>
  <c r="C18441" i="1"/>
  <c r="G18440" i="1"/>
  <c r="C18440" i="1"/>
  <c r="G18439" i="1"/>
  <c r="C18439" i="1"/>
  <c r="G18438" i="1"/>
  <c r="C18438" i="1"/>
  <c r="G18437" i="1"/>
  <c r="C18437" i="1"/>
  <c r="G18436" i="1"/>
  <c r="C18436" i="1"/>
  <c r="G18435" i="1"/>
  <c r="C18435" i="1"/>
  <c r="G18434" i="1"/>
  <c r="C18434" i="1"/>
  <c r="G18433" i="1"/>
  <c r="C18433" i="1"/>
  <c r="G18432" i="1"/>
  <c r="C18432" i="1"/>
  <c r="G18431" i="1"/>
  <c r="C18431" i="1"/>
  <c r="G18430" i="1"/>
  <c r="C18430" i="1"/>
  <c r="G18429" i="1"/>
  <c r="C18429" i="1"/>
  <c r="G18428" i="1"/>
  <c r="C18428" i="1"/>
  <c r="G18427" i="1"/>
  <c r="C18427" i="1"/>
  <c r="G18426" i="1"/>
  <c r="C18426" i="1"/>
  <c r="G18425" i="1"/>
  <c r="C18425" i="1"/>
  <c r="G18424" i="1"/>
  <c r="C18424" i="1"/>
  <c r="G18422" i="1"/>
  <c r="C18422" i="1"/>
  <c r="G18421" i="1"/>
  <c r="C18421" i="1"/>
  <c r="G18420" i="1"/>
  <c r="C18420" i="1"/>
  <c r="G18419" i="1"/>
  <c r="C18419" i="1"/>
  <c r="G18418" i="1"/>
  <c r="C18418" i="1"/>
  <c r="G18417" i="1"/>
  <c r="C18417" i="1"/>
  <c r="G18416" i="1"/>
  <c r="C18416" i="1"/>
  <c r="G18415" i="1"/>
  <c r="C18415" i="1"/>
  <c r="G18414" i="1"/>
  <c r="C18414" i="1"/>
  <c r="G18413" i="1"/>
  <c r="C18413" i="1"/>
  <c r="G18412" i="1"/>
  <c r="C18412" i="1"/>
  <c r="G18411" i="1"/>
  <c r="C18411" i="1"/>
  <c r="G18410" i="1"/>
  <c r="C18410" i="1"/>
  <c r="G18409" i="1"/>
  <c r="C18409" i="1"/>
  <c r="G18408" i="1"/>
  <c r="C18408" i="1"/>
  <c r="G18407" i="1"/>
  <c r="C18407" i="1"/>
  <c r="G18406" i="1"/>
  <c r="C18406" i="1"/>
  <c r="G18405" i="1"/>
  <c r="C18405" i="1"/>
  <c r="G18404" i="1"/>
  <c r="C18404" i="1"/>
  <c r="G18403" i="1"/>
  <c r="C18403" i="1"/>
  <c r="G18401" i="1"/>
  <c r="C18401" i="1"/>
  <c r="G18400" i="1"/>
  <c r="C18400" i="1"/>
  <c r="G18399" i="1"/>
  <c r="C18399" i="1"/>
  <c r="G18398" i="1"/>
  <c r="C18398" i="1"/>
  <c r="G18397" i="1"/>
  <c r="C18397" i="1"/>
  <c r="G18396" i="1"/>
  <c r="C18396" i="1"/>
  <c r="G18395" i="1"/>
  <c r="C18395" i="1"/>
  <c r="G18394" i="1"/>
  <c r="C18394" i="1"/>
  <c r="G18393" i="1"/>
  <c r="C18393" i="1"/>
  <c r="G18392" i="1"/>
  <c r="C18392" i="1"/>
  <c r="G18391" i="1"/>
  <c r="C18391" i="1"/>
  <c r="G18390" i="1"/>
  <c r="C18390" i="1"/>
  <c r="G18389" i="1"/>
  <c r="C18389" i="1"/>
  <c r="G18388" i="1"/>
  <c r="C18388" i="1"/>
  <c r="G18387" i="1"/>
  <c r="C18387" i="1"/>
  <c r="G18386" i="1"/>
  <c r="C18386" i="1"/>
  <c r="G18385" i="1"/>
  <c r="C18385" i="1"/>
  <c r="G18384" i="1"/>
  <c r="C18384" i="1"/>
  <c r="G18383" i="1"/>
  <c r="C18383" i="1"/>
  <c r="G18382" i="1"/>
  <c r="C18382" i="1"/>
  <c r="G18381" i="1"/>
  <c r="C18381" i="1"/>
  <c r="G18380" i="1"/>
  <c r="C18380" i="1"/>
  <c r="G18379" i="1"/>
  <c r="C18379" i="1"/>
  <c r="G18378" i="1"/>
  <c r="C18378" i="1"/>
  <c r="G18377" i="1"/>
  <c r="C18377" i="1"/>
  <c r="G18376" i="1"/>
  <c r="C18376" i="1"/>
  <c r="G18375" i="1"/>
  <c r="C18375" i="1"/>
  <c r="G18374" i="1"/>
  <c r="C18374" i="1"/>
  <c r="G18373" i="1"/>
  <c r="C18373" i="1"/>
  <c r="G18372" i="1"/>
  <c r="C18372" i="1"/>
  <c r="G18371" i="1"/>
  <c r="C18371" i="1"/>
  <c r="G18370" i="1"/>
  <c r="C18370" i="1"/>
  <c r="G18369" i="1"/>
  <c r="C18369" i="1"/>
  <c r="G18368" i="1"/>
  <c r="C18368" i="1"/>
  <c r="G18367" i="1"/>
  <c r="C18367" i="1"/>
  <c r="G18366" i="1"/>
  <c r="C18366" i="1"/>
  <c r="G18365" i="1"/>
  <c r="C18365" i="1"/>
  <c r="G18364" i="1"/>
  <c r="C18364" i="1"/>
  <c r="G18363" i="1"/>
  <c r="C18363" i="1"/>
  <c r="G18362" i="1"/>
  <c r="C18362" i="1"/>
  <c r="G18361" i="1"/>
  <c r="C18361" i="1"/>
  <c r="G18360" i="1"/>
  <c r="C18360" i="1"/>
  <c r="G18359" i="1"/>
  <c r="C18359" i="1"/>
  <c r="G18358" i="1"/>
  <c r="C18358" i="1"/>
  <c r="G18357" i="1"/>
  <c r="C18357" i="1"/>
  <c r="G18356" i="1"/>
  <c r="C18356" i="1"/>
  <c r="G18354" i="1"/>
  <c r="C18354" i="1"/>
  <c r="G18353" i="1"/>
  <c r="C18353" i="1"/>
  <c r="G18352" i="1"/>
  <c r="C18352" i="1"/>
  <c r="G18351" i="1"/>
  <c r="C18351" i="1"/>
  <c r="G18350" i="1"/>
  <c r="C18350" i="1"/>
  <c r="G18349" i="1"/>
  <c r="C18349" i="1"/>
  <c r="G18348" i="1"/>
  <c r="C18348" i="1"/>
  <c r="G18347" i="1"/>
  <c r="C18347" i="1"/>
  <c r="G18346" i="1"/>
  <c r="C18346" i="1"/>
  <c r="G18345" i="1"/>
  <c r="C18345" i="1"/>
  <c r="G18344" i="1"/>
  <c r="C18344" i="1"/>
  <c r="G18343" i="1"/>
  <c r="C18343" i="1"/>
  <c r="G18342" i="1"/>
  <c r="C18342" i="1"/>
  <c r="G18341" i="1"/>
  <c r="C18341" i="1"/>
  <c r="G18340" i="1"/>
  <c r="C18340" i="1"/>
  <c r="G18339" i="1"/>
  <c r="C18339" i="1"/>
  <c r="G18338" i="1"/>
  <c r="C18338" i="1"/>
  <c r="G18337" i="1"/>
  <c r="C18337" i="1"/>
  <c r="G18335" i="1"/>
  <c r="C18335" i="1"/>
  <c r="G18334" i="1"/>
  <c r="C18334" i="1"/>
  <c r="G18333" i="1"/>
  <c r="C18333" i="1"/>
  <c r="G18332" i="1"/>
  <c r="C18332" i="1"/>
  <c r="G18331" i="1"/>
  <c r="C18331" i="1"/>
  <c r="G18330" i="1"/>
  <c r="C18330" i="1"/>
  <c r="G18329" i="1"/>
  <c r="C18329" i="1"/>
  <c r="G18328" i="1"/>
  <c r="C18328" i="1"/>
  <c r="G18327" i="1"/>
  <c r="C18327" i="1"/>
  <c r="G18326" i="1"/>
  <c r="C18326" i="1"/>
  <c r="G18325" i="1"/>
  <c r="C18325" i="1"/>
  <c r="G18324" i="1"/>
  <c r="C18324" i="1"/>
  <c r="G18323" i="1"/>
  <c r="C18323" i="1"/>
  <c r="G18322" i="1"/>
  <c r="C18322" i="1"/>
  <c r="G18321" i="1"/>
  <c r="C18321" i="1"/>
  <c r="G18320" i="1"/>
  <c r="C18320" i="1"/>
  <c r="G18319" i="1"/>
  <c r="C18319" i="1"/>
  <c r="G18318" i="1"/>
  <c r="C18318" i="1"/>
  <c r="G18317" i="1"/>
  <c r="C18317" i="1"/>
  <c r="G18316" i="1"/>
  <c r="C18316" i="1"/>
  <c r="G18315" i="1"/>
  <c r="C18315" i="1"/>
  <c r="G18314" i="1"/>
  <c r="C18314" i="1"/>
  <c r="G18313" i="1"/>
  <c r="C18313" i="1"/>
  <c r="G18312" i="1"/>
  <c r="C18312" i="1"/>
  <c r="G18311" i="1"/>
  <c r="C18311" i="1"/>
  <c r="G18310" i="1"/>
  <c r="C18310" i="1"/>
  <c r="G18309" i="1"/>
  <c r="C18309" i="1"/>
  <c r="G18308" i="1"/>
  <c r="C18308" i="1"/>
  <c r="G18307" i="1"/>
  <c r="C18307" i="1"/>
  <c r="G18306" i="1"/>
  <c r="C18306" i="1"/>
  <c r="G18305" i="1"/>
  <c r="C18305" i="1"/>
  <c r="G18304" i="1"/>
  <c r="C18304" i="1"/>
  <c r="G18303" i="1"/>
  <c r="C18303" i="1"/>
  <c r="G18302" i="1"/>
  <c r="C18302" i="1"/>
  <c r="G18301" i="1"/>
  <c r="C18301" i="1"/>
  <c r="G18300" i="1"/>
  <c r="C18300" i="1"/>
  <c r="G18299" i="1"/>
  <c r="C18299" i="1"/>
  <c r="G18298" i="1"/>
  <c r="C18298" i="1"/>
  <c r="G18297" i="1"/>
  <c r="C18297" i="1"/>
  <c r="G18296" i="1"/>
  <c r="C18296" i="1"/>
  <c r="G18295" i="1"/>
  <c r="C18295" i="1"/>
  <c r="G18294" i="1"/>
  <c r="C18294" i="1"/>
  <c r="G18293" i="1"/>
  <c r="C18293" i="1"/>
  <c r="G18292" i="1"/>
  <c r="C18292" i="1"/>
  <c r="G18291" i="1"/>
  <c r="C18291" i="1"/>
  <c r="G18290" i="1"/>
  <c r="C18290" i="1"/>
  <c r="G18289" i="1"/>
  <c r="C18289" i="1"/>
  <c r="G18288" i="1"/>
  <c r="C18288" i="1"/>
  <c r="G18287" i="1"/>
  <c r="C18287" i="1"/>
  <c r="G18286" i="1"/>
  <c r="C18286" i="1"/>
  <c r="G18285" i="1"/>
  <c r="C18285" i="1"/>
  <c r="G18284" i="1"/>
  <c r="C18284" i="1"/>
  <c r="G18283" i="1"/>
  <c r="C18283" i="1"/>
  <c r="G18282" i="1"/>
  <c r="C18282" i="1"/>
  <c r="G18281" i="1"/>
  <c r="C18281" i="1"/>
  <c r="G18280" i="1"/>
  <c r="C18280" i="1"/>
  <c r="G18279" i="1"/>
  <c r="C18279" i="1"/>
  <c r="G18278" i="1"/>
  <c r="C18278" i="1"/>
  <c r="G18277" i="1"/>
  <c r="C18277" i="1"/>
  <c r="G18276" i="1"/>
  <c r="C18276" i="1"/>
  <c r="G18275" i="1"/>
  <c r="C18275" i="1"/>
  <c r="G18274" i="1"/>
  <c r="C18274" i="1"/>
  <c r="G18273" i="1"/>
  <c r="C18273" i="1"/>
  <c r="G18272" i="1"/>
  <c r="C18272" i="1"/>
  <c r="G18271" i="1"/>
  <c r="C18271" i="1"/>
  <c r="G18270" i="1"/>
  <c r="C18270" i="1"/>
  <c r="G18269" i="1"/>
  <c r="C18269" i="1"/>
  <c r="G18268" i="1"/>
  <c r="C18268" i="1"/>
  <c r="G18267" i="1"/>
  <c r="C18267" i="1"/>
  <c r="G18266" i="1"/>
  <c r="C18266" i="1"/>
  <c r="G18265" i="1"/>
  <c r="C18265" i="1"/>
  <c r="G18264" i="1"/>
  <c r="C18264" i="1"/>
  <c r="G18263" i="1"/>
  <c r="C18263" i="1"/>
  <c r="G18262" i="1"/>
  <c r="C18262" i="1"/>
  <c r="G18261" i="1"/>
  <c r="C18261" i="1"/>
  <c r="G18260" i="1"/>
  <c r="C18260" i="1"/>
  <c r="G18259" i="1"/>
  <c r="C18259" i="1"/>
  <c r="G18258" i="1"/>
  <c r="C18258" i="1"/>
  <c r="G18257" i="1"/>
  <c r="C18257" i="1"/>
  <c r="G18256" i="1"/>
  <c r="C18256" i="1"/>
  <c r="G18255" i="1"/>
  <c r="C18255" i="1"/>
  <c r="G18254" i="1"/>
  <c r="C18254" i="1"/>
  <c r="G18253" i="1"/>
  <c r="C18253" i="1"/>
  <c r="G18252" i="1"/>
  <c r="C18252" i="1"/>
  <c r="G18251" i="1"/>
  <c r="C18251" i="1"/>
  <c r="G18250" i="1"/>
  <c r="C18250" i="1"/>
  <c r="G18249" i="1"/>
  <c r="C18249" i="1"/>
  <c r="G18248" i="1"/>
  <c r="C18248" i="1"/>
  <c r="G18247" i="1"/>
  <c r="C18247" i="1"/>
  <c r="G18245" i="1"/>
  <c r="C18245" i="1"/>
  <c r="G18244" i="1"/>
  <c r="C18244" i="1"/>
  <c r="G18243" i="1"/>
  <c r="C18243" i="1"/>
  <c r="G18242" i="1"/>
  <c r="C18242" i="1"/>
  <c r="G18241" i="1"/>
  <c r="C18241" i="1"/>
  <c r="G18240" i="1"/>
  <c r="C18240" i="1"/>
  <c r="G18239" i="1"/>
  <c r="C18239" i="1"/>
  <c r="G18238" i="1"/>
  <c r="C18238" i="1"/>
  <c r="G18237" i="1"/>
  <c r="C18237" i="1"/>
  <c r="G18236" i="1"/>
  <c r="C18236" i="1"/>
  <c r="G18235" i="1"/>
  <c r="C18235" i="1"/>
  <c r="G18234" i="1"/>
  <c r="C18234" i="1"/>
  <c r="G18233" i="1"/>
  <c r="C18233" i="1"/>
  <c r="G18232" i="1"/>
  <c r="C18232" i="1"/>
  <c r="G18231" i="1"/>
  <c r="C18231" i="1"/>
  <c r="G18230" i="1"/>
  <c r="C18230" i="1"/>
  <c r="G18229" i="1"/>
  <c r="C18229" i="1"/>
  <c r="G18228" i="1"/>
  <c r="C18228" i="1"/>
  <c r="G18227" i="1"/>
  <c r="C18227" i="1"/>
  <c r="G18226" i="1"/>
  <c r="C18226" i="1"/>
  <c r="G18225" i="1"/>
  <c r="C18225" i="1"/>
  <c r="G18224" i="1"/>
  <c r="C18224" i="1"/>
  <c r="G18223" i="1"/>
  <c r="C18223" i="1"/>
  <c r="G18222" i="1"/>
  <c r="C18222" i="1"/>
  <c r="G18221" i="1"/>
  <c r="C18221" i="1"/>
  <c r="G18220" i="1"/>
  <c r="C18220" i="1"/>
  <c r="G18219" i="1"/>
  <c r="C18219" i="1"/>
  <c r="G18218" i="1"/>
  <c r="C18218" i="1"/>
  <c r="G18217" i="1"/>
  <c r="C18217" i="1"/>
  <c r="G18216" i="1"/>
  <c r="C18216" i="1"/>
  <c r="G18214" i="1"/>
  <c r="C18214" i="1"/>
  <c r="G18213" i="1"/>
  <c r="C18213" i="1"/>
  <c r="G18212" i="1"/>
  <c r="C18212" i="1"/>
  <c r="G18211" i="1"/>
  <c r="C18211" i="1"/>
  <c r="G18210" i="1"/>
  <c r="C18210" i="1"/>
  <c r="G18209" i="1"/>
  <c r="C18209" i="1"/>
  <c r="G18208" i="1"/>
  <c r="C18208" i="1"/>
  <c r="G18207" i="1"/>
  <c r="C18207" i="1"/>
  <c r="G18206" i="1"/>
  <c r="C18206" i="1"/>
  <c r="G18204" i="1"/>
  <c r="C18204" i="1"/>
  <c r="G18203" i="1"/>
  <c r="C18203" i="1"/>
  <c r="G18202" i="1"/>
  <c r="C18202" i="1"/>
  <c r="G18201" i="1"/>
  <c r="C18201" i="1"/>
  <c r="G18200" i="1"/>
  <c r="C18200" i="1"/>
  <c r="G18199" i="1"/>
  <c r="C18199" i="1"/>
  <c r="G18198" i="1"/>
  <c r="C18198" i="1"/>
  <c r="G18197" i="1"/>
  <c r="C18197" i="1"/>
  <c r="G18196" i="1"/>
  <c r="C18196" i="1"/>
  <c r="G18195" i="1"/>
  <c r="C18195" i="1"/>
  <c r="G18194" i="1"/>
  <c r="C18194" i="1"/>
  <c r="G18193" i="1"/>
  <c r="C18193" i="1"/>
  <c r="G18192" i="1"/>
  <c r="C18192" i="1"/>
  <c r="G18191" i="1"/>
  <c r="C18191" i="1"/>
  <c r="G18190" i="1"/>
  <c r="C18190" i="1"/>
  <c r="G18189" i="1"/>
  <c r="C18189" i="1"/>
  <c r="G18188" i="1"/>
  <c r="C18188" i="1"/>
  <c r="G18187" i="1"/>
  <c r="C18187" i="1"/>
  <c r="G18186" i="1"/>
  <c r="C18186" i="1"/>
  <c r="G18185" i="1"/>
  <c r="C18185" i="1"/>
  <c r="G18184" i="1"/>
  <c r="C18184" i="1"/>
  <c r="G18183" i="1"/>
  <c r="C18183" i="1"/>
  <c r="G18182" i="1"/>
  <c r="C18182" i="1"/>
  <c r="G18181" i="1"/>
  <c r="C18181" i="1"/>
  <c r="G18180" i="1"/>
  <c r="C18180" i="1"/>
  <c r="G18179" i="1"/>
  <c r="C18179" i="1"/>
  <c r="G18178" i="1"/>
  <c r="C18178" i="1"/>
  <c r="G18177" i="1"/>
  <c r="C18177" i="1"/>
  <c r="G18176" i="1"/>
  <c r="C18176" i="1"/>
  <c r="G18175" i="1"/>
  <c r="C18175" i="1"/>
  <c r="G18174" i="1"/>
  <c r="C18174" i="1"/>
  <c r="G18173" i="1"/>
  <c r="C18173" i="1"/>
  <c r="G18172" i="1"/>
  <c r="C18172" i="1"/>
  <c r="G18171" i="1"/>
  <c r="C18171" i="1"/>
  <c r="G18170" i="1"/>
  <c r="C18170" i="1"/>
  <c r="G18169" i="1"/>
  <c r="C18169" i="1"/>
  <c r="G18168" i="1"/>
  <c r="C18168" i="1"/>
  <c r="G18167" i="1"/>
  <c r="C18167" i="1"/>
  <c r="G18166" i="1"/>
  <c r="C18166" i="1"/>
  <c r="G18165" i="1"/>
  <c r="C18165" i="1"/>
  <c r="G18164" i="1"/>
  <c r="C18164" i="1"/>
  <c r="G18163" i="1"/>
  <c r="C18163" i="1"/>
  <c r="G18162" i="1"/>
  <c r="C18162" i="1"/>
  <c r="G18161" i="1"/>
  <c r="C18161" i="1"/>
  <c r="G18160" i="1"/>
  <c r="C18160" i="1"/>
  <c r="G18159" i="1"/>
  <c r="C18159" i="1"/>
  <c r="G18158" i="1"/>
  <c r="C18158" i="1"/>
  <c r="G18157" i="1"/>
  <c r="C18157" i="1"/>
  <c r="G18156" i="1"/>
  <c r="C18156" i="1"/>
  <c r="G18155" i="1"/>
  <c r="C18155" i="1"/>
  <c r="G18154" i="1"/>
  <c r="C18154" i="1"/>
  <c r="G18153" i="1"/>
  <c r="C18153" i="1"/>
  <c r="G18151" i="1"/>
  <c r="C18151" i="1"/>
  <c r="G18150" i="1"/>
  <c r="C18150" i="1"/>
  <c r="G18149" i="1"/>
  <c r="C18149" i="1"/>
  <c r="G18148" i="1"/>
  <c r="C18148" i="1"/>
  <c r="G18147" i="1"/>
  <c r="C18147" i="1"/>
  <c r="G18146" i="1"/>
  <c r="C18146" i="1"/>
  <c r="G18145" i="1"/>
  <c r="C18145" i="1"/>
  <c r="G18144" i="1"/>
  <c r="C18144" i="1"/>
  <c r="G18143" i="1"/>
  <c r="C18143" i="1"/>
  <c r="G18142" i="1"/>
  <c r="C18142" i="1"/>
  <c r="G18141" i="1"/>
  <c r="C18141" i="1"/>
  <c r="G18140" i="1"/>
  <c r="C18140" i="1"/>
  <c r="G18139" i="1"/>
  <c r="C18139" i="1"/>
  <c r="G18138" i="1"/>
  <c r="C18138" i="1"/>
  <c r="G18137" i="1"/>
  <c r="C18137" i="1"/>
  <c r="G18136" i="1"/>
  <c r="C18136" i="1"/>
  <c r="G18135" i="1"/>
  <c r="C18135" i="1"/>
  <c r="G18134" i="1"/>
  <c r="C18134" i="1"/>
  <c r="G18133" i="1"/>
  <c r="C18133" i="1"/>
  <c r="G18132" i="1"/>
  <c r="C18132" i="1"/>
  <c r="G18131" i="1"/>
  <c r="C18131" i="1"/>
  <c r="G18130" i="1"/>
  <c r="C18130" i="1"/>
  <c r="G18129" i="1"/>
  <c r="C18129" i="1"/>
  <c r="G18128" i="1"/>
  <c r="C18128" i="1"/>
  <c r="G18127" i="1"/>
  <c r="C18127" i="1"/>
  <c r="G18126" i="1"/>
  <c r="C18126" i="1"/>
  <c r="G18125" i="1"/>
  <c r="C18125" i="1"/>
  <c r="G18124" i="1"/>
  <c r="C18124" i="1"/>
  <c r="G18123" i="1"/>
  <c r="C18123" i="1"/>
  <c r="G18122" i="1"/>
  <c r="C18122" i="1"/>
  <c r="G18121" i="1"/>
  <c r="C18121" i="1"/>
  <c r="G18120" i="1"/>
  <c r="C18120" i="1"/>
  <c r="G18119" i="1"/>
  <c r="C18119" i="1"/>
  <c r="G18118" i="1"/>
  <c r="C18118" i="1"/>
  <c r="G18117" i="1"/>
  <c r="C18117" i="1"/>
  <c r="G18116" i="1"/>
  <c r="C18116" i="1"/>
  <c r="G18115" i="1"/>
  <c r="C18115" i="1"/>
  <c r="G18114" i="1"/>
  <c r="C18114" i="1"/>
  <c r="G18113" i="1"/>
  <c r="C18113" i="1"/>
  <c r="G18112" i="1"/>
  <c r="C18112" i="1"/>
  <c r="G18111" i="1"/>
  <c r="C18111" i="1"/>
  <c r="G18110" i="1"/>
  <c r="C18110" i="1"/>
  <c r="G18109" i="1"/>
  <c r="C18109" i="1"/>
  <c r="G18108" i="1"/>
  <c r="C18108" i="1"/>
  <c r="G18107" i="1"/>
  <c r="C18107" i="1"/>
  <c r="G18106" i="1"/>
  <c r="C18106" i="1"/>
  <c r="G18104" i="1"/>
  <c r="C18104" i="1"/>
  <c r="G18103" i="1"/>
  <c r="C18103" i="1"/>
  <c r="G18102" i="1"/>
  <c r="C18102" i="1"/>
  <c r="G18101" i="1"/>
  <c r="C18101" i="1"/>
  <c r="G18100" i="1"/>
  <c r="C18100" i="1"/>
  <c r="G18099" i="1"/>
  <c r="C18099" i="1"/>
  <c r="G18098" i="1"/>
  <c r="C18098" i="1"/>
  <c r="G18097" i="1"/>
  <c r="C18097" i="1"/>
  <c r="G18096" i="1"/>
  <c r="C18096" i="1"/>
  <c r="G18095" i="1"/>
  <c r="C18095" i="1"/>
  <c r="G18094" i="1"/>
  <c r="C18094" i="1"/>
  <c r="G18093" i="1"/>
  <c r="C18093" i="1"/>
  <c r="G18092" i="1"/>
  <c r="C18092" i="1"/>
  <c r="G18091" i="1"/>
  <c r="C18091" i="1"/>
  <c r="G18090" i="1"/>
  <c r="C18090" i="1"/>
  <c r="G18089" i="1"/>
  <c r="C18089" i="1"/>
  <c r="G18088" i="1"/>
  <c r="C18088" i="1"/>
  <c r="G18087" i="1"/>
  <c r="C18087" i="1"/>
  <c r="G18086" i="1"/>
  <c r="C18086" i="1"/>
  <c r="G18085" i="1"/>
  <c r="C18085" i="1"/>
  <c r="G18084" i="1"/>
  <c r="C18084" i="1"/>
  <c r="G18083" i="1"/>
  <c r="C18083" i="1"/>
  <c r="G18081" i="1"/>
  <c r="C18081" i="1"/>
  <c r="G18080" i="1"/>
  <c r="C18080" i="1"/>
  <c r="G18079" i="1"/>
  <c r="C18079" i="1"/>
  <c r="G18078" i="1"/>
  <c r="C18078" i="1"/>
  <c r="G18077" i="1"/>
  <c r="C18077" i="1"/>
  <c r="G18076" i="1"/>
  <c r="C18076" i="1"/>
  <c r="G18075" i="1"/>
  <c r="C18075" i="1"/>
  <c r="G18074" i="1"/>
  <c r="C18074" i="1"/>
  <c r="G18073" i="1"/>
  <c r="C18073" i="1"/>
  <c r="G18072" i="1"/>
  <c r="C18072" i="1"/>
  <c r="G18071" i="1"/>
  <c r="C18071" i="1"/>
  <c r="G18070" i="1"/>
  <c r="C18070" i="1"/>
  <c r="G18069" i="1"/>
  <c r="C18069" i="1"/>
  <c r="G18068" i="1"/>
  <c r="C18068" i="1"/>
  <c r="G18067" i="1"/>
  <c r="C18067" i="1"/>
  <c r="G18066" i="1"/>
  <c r="C18066" i="1"/>
  <c r="G18065" i="1"/>
  <c r="C18065" i="1"/>
  <c r="G18064" i="1"/>
  <c r="C18064" i="1"/>
  <c r="G18063" i="1"/>
  <c r="C18063" i="1"/>
  <c r="G18062" i="1"/>
  <c r="C18062" i="1"/>
  <c r="G18061" i="1"/>
  <c r="C18061" i="1"/>
  <c r="G18060" i="1"/>
  <c r="C18060" i="1"/>
  <c r="G18059" i="1"/>
  <c r="C18059" i="1"/>
  <c r="G18058" i="1"/>
  <c r="C18058" i="1"/>
  <c r="G18057" i="1"/>
  <c r="C18057" i="1"/>
  <c r="G18056" i="1"/>
  <c r="C18056" i="1"/>
  <c r="G18055" i="1"/>
  <c r="C18055" i="1"/>
  <c r="G18054" i="1"/>
  <c r="C18054" i="1"/>
  <c r="G18053" i="1"/>
  <c r="C18053" i="1"/>
  <c r="G18052" i="1"/>
  <c r="C18052" i="1"/>
  <c r="G18050" i="1"/>
  <c r="C18050" i="1"/>
  <c r="G18049" i="1"/>
  <c r="C18049" i="1"/>
  <c r="G18048" i="1"/>
  <c r="C18048" i="1"/>
  <c r="G18047" i="1"/>
  <c r="C18047" i="1"/>
  <c r="G18046" i="1"/>
  <c r="C18046" i="1"/>
  <c r="G18045" i="1"/>
  <c r="C18045" i="1"/>
  <c r="G18044" i="1"/>
  <c r="C18044" i="1"/>
  <c r="G18043" i="1"/>
  <c r="C18043" i="1"/>
  <c r="G18042" i="1"/>
  <c r="C18042" i="1"/>
  <c r="G18041" i="1"/>
  <c r="C18041" i="1"/>
  <c r="G18040" i="1"/>
  <c r="C18040" i="1"/>
  <c r="G18039" i="1"/>
  <c r="C18039" i="1"/>
  <c r="G18038" i="1"/>
  <c r="C18038" i="1"/>
  <c r="G18037" i="1"/>
  <c r="C18037" i="1"/>
  <c r="G18036" i="1"/>
  <c r="C18036" i="1"/>
  <c r="G18035" i="1"/>
  <c r="C18035" i="1"/>
  <c r="G18034" i="1"/>
  <c r="C18034" i="1"/>
  <c r="G18033" i="1"/>
  <c r="C18033" i="1"/>
  <c r="G18032" i="1"/>
  <c r="C18032" i="1"/>
  <c r="G18031" i="1"/>
  <c r="C18031" i="1"/>
  <c r="G18030" i="1"/>
  <c r="C18030" i="1"/>
  <c r="G18029" i="1"/>
  <c r="C18029" i="1"/>
  <c r="G18028" i="1"/>
  <c r="C18028" i="1"/>
  <c r="G18027" i="1"/>
  <c r="C18027" i="1"/>
  <c r="G18026" i="1"/>
  <c r="C18026" i="1"/>
  <c r="G18025" i="1"/>
  <c r="C18025" i="1"/>
  <c r="G18024" i="1"/>
  <c r="C18024" i="1"/>
  <c r="G18023" i="1"/>
  <c r="C18023" i="1"/>
  <c r="G18022" i="1"/>
  <c r="C18022" i="1"/>
  <c r="G18021" i="1"/>
  <c r="C18021" i="1"/>
  <c r="G18020" i="1"/>
  <c r="C18020" i="1"/>
  <c r="G18019" i="1"/>
  <c r="C18019" i="1"/>
  <c r="G18018" i="1"/>
  <c r="C18018" i="1"/>
  <c r="G18017" i="1"/>
  <c r="C18017" i="1"/>
  <c r="G18016" i="1"/>
  <c r="C18016" i="1"/>
  <c r="G18015" i="1"/>
  <c r="C18015" i="1"/>
  <c r="G18014" i="1"/>
  <c r="C18014" i="1"/>
  <c r="G18013" i="1"/>
  <c r="C18013" i="1"/>
  <c r="G18012" i="1"/>
  <c r="C18012" i="1"/>
  <c r="G18011" i="1"/>
  <c r="C18011" i="1"/>
  <c r="G18009" i="1"/>
  <c r="C18009" i="1"/>
  <c r="G18008" i="1"/>
  <c r="C18008" i="1"/>
  <c r="G18007" i="1"/>
  <c r="C18007" i="1"/>
  <c r="G18006" i="1"/>
  <c r="C18006" i="1"/>
  <c r="G18005" i="1"/>
  <c r="C18005" i="1"/>
  <c r="G18004" i="1"/>
  <c r="C18004" i="1"/>
  <c r="G18003" i="1"/>
  <c r="C18003" i="1"/>
  <c r="G18002" i="1"/>
  <c r="C18002" i="1"/>
  <c r="G18001" i="1"/>
  <c r="C18001" i="1"/>
  <c r="G18000" i="1"/>
  <c r="C18000" i="1"/>
  <c r="G17999" i="1"/>
  <c r="C17999" i="1"/>
  <c r="G17998" i="1"/>
  <c r="C17998" i="1"/>
  <c r="G17997" i="1"/>
  <c r="C17997" i="1"/>
  <c r="G17996" i="1"/>
  <c r="C17996" i="1"/>
  <c r="G17995" i="1"/>
  <c r="C17995" i="1"/>
  <c r="G17994" i="1"/>
  <c r="C17994" i="1"/>
  <c r="G17993" i="1"/>
  <c r="C17993" i="1"/>
  <c r="G17992" i="1"/>
  <c r="C17992" i="1"/>
  <c r="G17991" i="1"/>
  <c r="C17991" i="1"/>
  <c r="G17990" i="1"/>
  <c r="C17990" i="1"/>
  <c r="G17989" i="1"/>
  <c r="C17989" i="1"/>
  <c r="G17988" i="1"/>
  <c r="C17988" i="1"/>
  <c r="G17987" i="1"/>
  <c r="C17987" i="1"/>
  <c r="G17986" i="1"/>
  <c r="C17986" i="1"/>
  <c r="G17985" i="1"/>
  <c r="C17985" i="1"/>
  <c r="G17984" i="1"/>
  <c r="C17984" i="1"/>
  <c r="G17983" i="1"/>
  <c r="C17983" i="1"/>
  <c r="G17982" i="1"/>
  <c r="C17982" i="1"/>
  <c r="G17981" i="1"/>
  <c r="C17981" i="1"/>
  <c r="G17980" i="1"/>
  <c r="C17980" i="1"/>
  <c r="G17979" i="1"/>
  <c r="C17979" i="1"/>
  <c r="G17978" i="1"/>
  <c r="C17978" i="1"/>
  <c r="G17977" i="1"/>
  <c r="C17977" i="1"/>
  <c r="G17976" i="1"/>
  <c r="C17976" i="1"/>
  <c r="G17975" i="1"/>
  <c r="C17975" i="1"/>
  <c r="G17974" i="1"/>
  <c r="C17974" i="1"/>
  <c r="G17973" i="1"/>
  <c r="C17973" i="1"/>
  <c r="G17972" i="1"/>
  <c r="C17972" i="1"/>
  <c r="G17971" i="1"/>
  <c r="C17971" i="1"/>
  <c r="G17970" i="1"/>
  <c r="C17970" i="1"/>
  <c r="G17969" i="1"/>
  <c r="C17969" i="1"/>
  <c r="G17968" i="1"/>
  <c r="C17968" i="1"/>
  <c r="G17967" i="1"/>
  <c r="C17967" i="1"/>
  <c r="G17966" i="1"/>
  <c r="C17966" i="1"/>
  <c r="G17965" i="1"/>
  <c r="C17965" i="1"/>
  <c r="G17964" i="1"/>
  <c r="C17964" i="1"/>
  <c r="G17963" i="1"/>
  <c r="C17963" i="1"/>
  <c r="G17962" i="1"/>
  <c r="C17962" i="1"/>
  <c r="G17961" i="1"/>
  <c r="C17961" i="1"/>
  <c r="G17960" i="1"/>
  <c r="C17960" i="1"/>
  <c r="G17959" i="1"/>
  <c r="C17959" i="1"/>
  <c r="G17958" i="1"/>
  <c r="C17958" i="1"/>
  <c r="G17957" i="1"/>
  <c r="C17957" i="1"/>
  <c r="G17956" i="1"/>
  <c r="C17956" i="1"/>
  <c r="G17954" i="1"/>
  <c r="C17954" i="1"/>
  <c r="G17953" i="1"/>
  <c r="C17953" i="1"/>
  <c r="G17952" i="1"/>
  <c r="C17952" i="1"/>
  <c r="G17951" i="1"/>
  <c r="C17951" i="1"/>
  <c r="G17950" i="1"/>
  <c r="C17950" i="1"/>
  <c r="G17949" i="1"/>
  <c r="C17949" i="1"/>
  <c r="G17948" i="1"/>
  <c r="C17948" i="1"/>
  <c r="G17947" i="1"/>
  <c r="C17947" i="1"/>
  <c r="G17946" i="1"/>
  <c r="C17946" i="1"/>
  <c r="G17945" i="1"/>
  <c r="C17945" i="1"/>
  <c r="G17944" i="1"/>
  <c r="C17944" i="1"/>
  <c r="G17943" i="1"/>
  <c r="C17943" i="1"/>
  <c r="G17942" i="1"/>
  <c r="C17942" i="1"/>
  <c r="G17941" i="1"/>
  <c r="C17941" i="1"/>
  <c r="G17940" i="1"/>
  <c r="C17940" i="1"/>
  <c r="G17939" i="1"/>
  <c r="C17939" i="1"/>
  <c r="G17938" i="1"/>
  <c r="C17938" i="1"/>
  <c r="G17936" i="1"/>
  <c r="C17936" i="1"/>
  <c r="G17935" i="1"/>
  <c r="C17935" i="1"/>
  <c r="G17934" i="1"/>
  <c r="C17934" i="1"/>
  <c r="G17933" i="1"/>
  <c r="C17933" i="1"/>
  <c r="G17932" i="1"/>
  <c r="C17932" i="1"/>
  <c r="G17931" i="1"/>
  <c r="C17931" i="1"/>
  <c r="G17930" i="1"/>
  <c r="C17930" i="1"/>
  <c r="G17929" i="1"/>
  <c r="C17929" i="1"/>
  <c r="G17928" i="1"/>
  <c r="C17928" i="1"/>
  <c r="G17927" i="1"/>
  <c r="C17927" i="1"/>
  <c r="G17926" i="1"/>
  <c r="C17926" i="1"/>
  <c r="G17925" i="1"/>
  <c r="C17925" i="1"/>
  <c r="G17924" i="1"/>
  <c r="C17924" i="1"/>
  <c r="G17923" i="1"/>
  <c r="C17923" i="1"/>
  <c r="G17922" i="1"/>
  <c r="C17922" i="1"/>
  <c r="G17921" i="1"/>
  <c r="C17921" i="1"/>
  <c r="G17920" i="1"/>
  <c r="C17920" i="1"/>
  <c r="G17919" i="1"/>
  <c r="C17919" i="1"/>
  <c r="G17918" i="1"/>
  <c r="C17918" i="1"/>
  <c r="G17917" i="1"/>
  <c r="C17917" i="1"/>
  <c r="G17916" i="1"/>
  <c r="C17916" i="1"/>
  <c r="G17915" i="1"/>
  <c r="C17915" i="1"/>
  <c r="G17914" i="1"/>
  <c r="C17914" i="1"/>
  <c r="G17913" i="1"/>
  <c r="C17913" i="1"/>
  <c r="G17912" i="1"/>
  <c r="C17912" i="1"/>
  <c r="G17911" i="1"/>
  <c r="C17911" i="1"/>
  <c r="G17910" i="1"/>
  <c r="C17910" i="1"/>
  <c r="G17909" i="1"/>
  <c r="C17909" i="1"/>
  <c r="G17908" i="1"/>
  <c r="C17908" i="1"/>
  <c r="G17907" i="1"/>
  <c r="C17907" i="1"/>
  <c r="G17906" i="1"/>
  <c r="C17906" i="1"/>
  <c r="G17905" i="1"/>
  <c r="C17905" i="1"/>
  <c r="G17904" i="1"/>
  <c r="C17904" i="1"/>
  <c r="G17903" i="1"/>
  <c r="C17903" i="1"/>
  <c r="G17902" i="1"/>
  <c r="C17902" i="1"/>
  <c r="G17901" i="1"/>
  <c r="C17901" i="1"/>
  <c r="G17900" i="1"/>
  <c r="C17900" i="1"/>
  <c r="G17899" i="1"/>
  <c r="C17899" i="1"/>
  <c r="G17898" i="1"/>
  <c r="C17898" i="1"/>
  <c r="G17897" i="1"/>
  <c r="C17897" i="1"/>
  <c r="G17896" i="1"/>
  <c r="C17896" i="1"/>
  <c r="G17895" i="1"/>
  <c r="C17895" i="1"/>
  <c r="G17894" i="1"/>
  <c r="C17894" i="1"/>
  <c r="G17893" i="1"/>
  <c r="C17893" i="1"/>
  <c r="G17892" i="1"/>
  <c r="C17892" i="1"/>
  <c r="G17891" i="1"/>
  <c r="C17891" i="1"/>
  <c r="G17890" i="1"/>
  <c r="C17890" i="1"/>
  <c r="G17889" i="1"/>
  <c r="C17889" i="1"/>
  <c r="G17888" i="1"/>
  <c r="C17888" i="1"/>
  <c r="G17887" i="1"/>
  <c r="C17887" i="1"/>
  <c r="G17886" i="1"/>
  <c r="C17886" i="1"/>
  <c r="G17885" i="1"/>
  <c r="C17885" i="1"/>
  <c r="G17884" i="1"/>
  <c r="C17884" i="1"/>
  <c r="G17883" i="1"/>
  <c r="C17883" i="1"/>
  <c r="G17882" i="1"/>
  <c r="C17882" i="1"/>
  <c r="G17881" i="1"/>
  <c r="C17881" i="1"/>
  <c r="G17880" i="1"/>
  <c r="C17880" i="1"/>
  <c r="G17879" i="1"/>
  <c r="C17879" i="1"/>
  <c r="G17878" i="1"/>
  <c r="C17878" i="1"/>
  <c r="G17877" i="1"/>
  <c r="C17877" i="1"/>
  <c r="G17876" i="1"/>
  <c r="C17876" i="1"/>
  <c r="G17875" i="1"/>
  <c r="C17875" i="1"/>
  <c r="G17874" i="1"/>
  <c r="C17874" i="1"/>
  <c r="G17873" i="1"/>
  <c r="C17873" i="1"/>
  <c r="G17872" i="1"/>
  <c r="C17872" i="1"/>
  <c r="G17871" i="1"/>
  <c r="C17871" i="1"/>
  <c r="G17870" i="1"/>
  <c r="C17870" i="1"/>
  <c r="G17869" i="1"/>
  <c r="C17869" i="1"/>
  <c r="G17867" i="1"/>
  <c r="C17867" i="1"/>
  <c r="G17866" i="1"/>
  <c r="C17866" i="1"/>
  <c r="G17865" i="1"/>
  <c r="C17865" i="1"/>
  <c r="G17864" i="1"/>
  <c r="C17864" i="1"/>
  <c r="G17863" i="1"/>
  <c r="C17863" i="1"/>
  <c r="G17862" i="1"/>
  <c r="C17862" i="1"/>
  <c r="G17861" i="1"/>
  <c r="C17861" i="1"/>
  <c r="G17860" i="1"/>
  <c r="C17860" i="1"/>
  <c r="G17859" i="1"/>
  <c r="C17859" i="1"/>
  <c r="G17858" i="1"/>
  <c r="C17858" i="1"/>
  <c r="G17857" i="1"/>
  <c r="C17857" i="1"/>
  <c r="G17856" i="1"/>
  <c r="C17856" i="1"/>
  <c r="G17855" i="1"/>
  <c r="C17855" i="1"/>
  <c r="G17854" i="1"/>
  <c r="C17854" i="1"/>
  <c r="G17853" i="1"/>
  <c r="C17853" i="1"/>
  <c r="G17852" i="1"/>
  <c r="C17852" i="1"/>
  <c r="G17851" i="1"/>
  <c r="C17851" i="1"/>
  <c r="G17850" i="1"/>
  <c r="C17850" i="1"/>
  <c r="G17849" i="1"/>
  <c r="C17849" i="1"/>
  <c r="G17848" i="1"/>
  <c r="C17848" i="1"/>
  <c r="G17847" i="1"/>
  <c r="C17847" i="1"/>
  <c r="G17846" i="1"/>
  <c r="C17846" i="1"/>
  <c r="G17845" i="1"/>
  <c r="C17845" i="1"/>
  <c r="G17844" i="1"/>
  <c r="C17844" i="1"/>
  <c r="G17843" i="1"/>
  <c r="C17843" i="1"/>
  <c r="G17842" i="1"/>
  <c r="C17842" i="1"/>
  <c r="G17841" i="1"/>
  <c r="C17841" i="1"/>
  <c r="G17840" i="1"/>
  <c r="C17840" i="1"/>
  <c r="G17839" i="1"/>
  <c r="C17839" i="1"/>
  <c r="G17838" i="1"/>
  <c r="C17838" i="1"/>
  <c r="G17837" i="1"/>
  <c r="C17837" i="1"/>
  <c r="G17836" i="1"/>
  <c r="C17836" i="1"/>
  <c r="G17835" i="1"/>
  <c r="C17835" i="1"/>
  <c r="G17834" i="1"/>
  <c r="C17834" i="1"/>
  <c r="G17833" i="1"/>
  <c r="C17833" i="1"/>
  <c r="G17832" i="1"/>
  <c r="C17832" i="1"/>
  <c r="G17831" i="1"/>
  <c r="C17831" i="1"/>
  <c r="G17830" i="1"/>
  <c r="C17830" i="1"/>
  <c r="G17829" i="1"/>
  <c r="C17829" i="1"/>
  <c r="G17828" i="1"/>
  <c r="C17828" i="1"/>
  <c r="G17827" i="1"/>
  <c r="C17827" i="1"/>
  <c r="G17826" i="1"/>
  <c r="C17826" i="1"/>
  <c r="G17825" i="1"/>
  <c r="C17825" i="1"/>
  <c r="G17824" i="1"/>
  <c r="C17824" i="1"/>
  <c r="G17823" i="1"/>
  <c r="C17823" i="1"/>
  <c r="G17822" i="1"/>
  <c r="C17822" i="1"/>
  <c r="G17821" i="1"/>
  <c r="C17821" i="1"/>
  <c r="G17820" i="1"/>
  <c r="C17820" i="1"/>
  <c r="G17819" i="1"/>
  <c r="C17819" i="1"/>
  <c r="G17818" i="1"/>
  <c r="C17818" i="1"/>
  <c r="G17817" i="1"/>
  <c r="C17817" i="1"/>
  <c r="G17816" i="1"/>
  <c r="C17816" i="1"/>
  <c r="G17815" i="1"/>
  <c r="C17815" i="1"/>
  <c r="G17814" i="1"/>
  <c r="C17814" i="1"/>
  <c r="G17813" i="1"/>
  <c r="C17813" i="1"/>
  <c r="G17812" i="1"/>
  <c r="C17812" i="1"/>
  <c r="G17811" i="1"/>
  <c r="C17811" i="1"/>
  <c r="G17810" i="1"/>
  <c r="C17810" i="1"/>
  <c r="G17809" i="1"/>
  <c r="C17809" i="1"/>
  <c r="G17808" i="1"/>
  <c r="C17808" i="1"/>
  <c r="G17807" i="1"/>
  <c r="C17807" i="1"/>
  <c r="G17806" i="1"/>
  <c r="C17806" i="1"/>
  <c r="G17805" i="1"/>
  <c r="C17805" i="1"/>
  <c r="G17804" i="1"/>
  <c r="C17804" i="1"/>
  <c r="G17803" i="1"/>
  <c r="C17803" i="1"/>
  <c r="G17802" i="1"/>
  <c r="C17802" i="1"/>
  <c r="G17801" i="1"/>
  <c r="C17801" i="1"/>
  <c r="G17800" i="1"/>
  <c r="C17800" i="1"/>
  <c r="G17799" i="1"/>
  <c r="C17799" i="1"/>
  <c r="G17798" i="1"/>
  <c r="C17798" i="1"/>
  <c r="G17797" i="1"/>
  <c r="C17797" i="1"/>
  <c r="G17796" i="1"/>
  <c r="C17796" i="1"/>
  <c r="G17794" i="1"/>
  <c r="C17794" i="1"/>
  <c r="G17793" i="1"/>
  <c r="C17793" i="1"/>
  <c r="G17792" i="1"/>
  <c r="C17792" i="1"/>
  <c r="G17791" i="1"/>
  <c r="C17791" i="1"/>
  <c r="G17790" i="1"/>
  <c r="C17790" i="1"/>
  <c r="G17789" i="1"/>
  <c r="C17789" i="1"/>
  <c r="G17788" i="1"/>
  <c r="C17788" i="1"/>
  <c r="G17787" i="1"/>
  <c r="C17787" i="1"/>
  <c r="G17786" i="1"/>
  <c r="C17786" i="1"/>
  <c r="G17785" i="1"/>
  <c r="C17785" i="1"/>
  <c r="G17784" i="1"/>
  <c r="C17784" i="1"/>
  <c r="G17783" i="1"/>
  <c r="C17783" i="1"/>
  <c r="G17782" i="1"/>
  <c r="C17782" i="1"/>
  <c r="G17781" i="1"/>
  <c r="C17781" i="1"/>
  <c r="G17780" i="1"/>
  <c r="C17780" i="1"/>
  <c r="G17779" i="1"/>
  <c r="C17779" i="1"/>
  <c r="G17778" i="1"/>
  <c r="C17778" i="1"/>
  <c r="G17777" i="1"/>
  <c r="C17777" i="1"/>
  <c r="G17776" i="1"/>
  <c r="C17776" i="1"/>
  <c r="G17775" i="1"/>
  <c r="C17775" i="1"/>
  <c r="G17774" i="1"/>
  <c r="C17774" i="1"/>
  <c r="G17773" i="1"/>
  <c r="C17773" i="1"/>
  <c r="G17772" i="1"/>
  <c r="C17772" i="1"/>
  <c r="G17771" i="1"/>
  <c r="C17771" i="1"/>
  <c r="G17770" i="1"/>
  <c r="C17770" i="1"/>
  <c r="G17769" i="1"/>
  <c r="C17769" i="1"/>
  <c r="G17768" i="1"/>
  <c r="C17768" i="1"/>
  <c r="G17767" i="1"/>
  <c r="C17767" i="1"/>
  <c r="G17766" i="1"/>
  <c r="C17766" i="1"/>
  <c r="G17765" i="1"/>
  <c r="C17765" i="1"/>
  <c r="G17764" i="1"/>
  <c r="C17764" i="1"/>
  <c r="G17763" i="1"/>
  <c r="C17763" i="1"/>
  <c r="G17762" i="1"/>
  <c r="C17762" i="1"/>
  <c r="G17761" i="1"/>
  <c r="C17761" i="1"/>
  <c r="G17760" i="1"/>
  <c r="C17760" i="1"/>
  <c r="G17759" i="1"/>
  <c r="C17759" i="1"/>
  <c r="G17758" i="1"/>
  <c r="C17758" i="1"/>
  <c r="G17757" i="1"/>
  <c r="C17757" i="1"/>
  <c r="G17756" i="1"/>
  <c r="C17756" i="1"/>
  <c r="G17755" i="1"/>
  <c r="C17755" i="1"/>
  <c r="G17754" i="1"/>
  <c r="C17754" i="1"/>
  <c r="G17753" i="1"/>
  <c r="C17753" i="1"/>
  <c r="G17752" i="1"/>
  <c r="C17752" i="1"/>
  <c r="G17751" i="1"/>
  <c r="C17751" i="1"/>
  <c r="G17750" i="1"/>
  <c r="C17750" i="1"/>
  <c r="G17749" i="1"/>
  <c r="C17749" i="1"/>
  <c r="G17748" i="1"/>
  <c r="C17748" i="1"/>
  <c r="G17746" i="1"/>
  <c r="C17746" i="1"/>
  <c r="G17745" i="1"/>
  <c r="C17745" i="1"/>
  <c r="G17744" i="1"/>
  <c r="C17744" i="1"/>
  <c r="G17743" i="1"/>
  <c r="C17743" i="1"/>
  <c r="G17742" i="1"/>
  <c r="C17742" i="1"/>
  <c r="G17741" i="1"/>
  <c r="C17741" i="1"/>
  <c r="G17740" i="1"/>
  <c r="C17740" i="1"/>
  <c r="G17739" i="1"/>
  <c r="C17739" i="1"/>
  <c r="G17738" i="1"/>
  <c r="C17738" i="1"/>
  <c r="G17737" i="1"/>
  <c r="C17737" i="1"/>
  <c r="G17736" i="1"/>
  <c r="C17736" i="1"/>
  <c r="G17735" i="1"/>
  <c r="C17735" i="1"/>
  <c r="G17734" i="1"/>
  <c r="C17734" i="1"/>
  <c r="G17733" i="1"/>
  <c r="C17733" i="1"/>
  <c r="G17732" i="1"/>
  <c r="C17732" i="1"/>
  <c r="G17731" i="1"/>
  <c r="C17731" i="1"/>
  <c r="G17730" i="1"/>
  <c r="C17730" i="1"/>
  <c r="G17729" i="1"/>
  <c r="C17729" i="1"/>
  <c r="G17728" i="1"/>
  <c r="C17728" i="1"/>
  <c r="G17727" i="1"/>
  <c r="C17727" i="1"/>
  <c r="G17726" i="1"/>
  <c r="C17726" i="1"/>
  <c r="G17725" i="1"/>
  <c r="C17725" i="1"/>
  <c r="G17724" i="1"/>
  <c r="C17724" i="1"/>
  <c r="G17723" i="1"/>
  <c r="C17723" i="1"/>
  <c r="G17722" i="1"/>
  <c r="C17722" i="1"/>
  <c r="G17721" i="1"/>
  <c r="C17721" i="1"/>
  <c r="G17720" i="1"/>
  <c r="C17720" i="1"/>
  <c r="G17719" i="1"/>
  <c r="C17719" i="1"/>
  <c r="G17718" i="1"/>
  <c r="C17718" i="1"/>
  <c r="G17717" i="1"/>
  <c r="C17717" i="1"/>
  <c r="G17716" i="1"/>
  <c r="C17716" i="1"/>
  <c r="G17715" i="1"/>
  <c r="C17715" i="1"/>
  <c r="G17714" i="1"/>
  <c r="C17714" i="1"/>
  <c r="G17713" i="1"/>
  <c r="C17713" i="1"/>
  <c r="G17712" i="1"/>
  <c r="C17712" i="1"/>
  <c r="G17711" i="1"/>
  <c r="C17711" i="1"/>
  <c r="G17710" i="1"/>
  <c r="C17710" i="1"/>
  <c r="G17709" i="1"/>
  <c r="C17709" i="1"/>
  <c r="G17708" i="1"/>
  <c r="C17708" i="1"/>
  <c r="G17707" i="1"/>
  <c r="C17707" i="1"/>
  <c r="G17706" i="1"/>
  <c r="C17706" i="1"/>
  <c r="G17705" i="1"/>
  <c r="C17705" i="1"/>
  <c r="G17704" i="1"/>
  <c r="C17704" i="1"/>
  <c r="G17703" i="1"/>
  <c r="C17703" i="1"/>
  <c r="G17702" i="1"/>
  <c r="C17702" i="1"/>
  <c r="G17701" i="1"/>
  <c r="C17701" i="1"/>
  <c r="G17700" i="1"/>
  <c r="C17700" i="1"/>
  <c r="G17699" i="1"/>
  <c r="C17699" i="1"/>
  <c r="G17698" i="1"/>
  <c r="C17698" i="1"/>
  <c r="G17697" i="1"/>
  <c r="C17697" i="1"/>
  <c r="G17696" i="1"/>
  <c r="C17696" i="1"/>
  <c r="G17695" i="1"/>
  <c r="C17695" i="1"/>
  <c r="G17694" i="1"/>
  <c r="C17694" i="1"/>
  <c r="G17693" i="1"/>
  <c r="C17693" i="1"/>
  <c r="G17692" i="1"/>
  <c r="C17692" i="1"/>
  <c r="G17691" i="1"/>
  <c r="C17691" i="1"/>
  <c r="G17689" i="1"/>
  <c r="C17689" i="1"/>
  <c r="G17688" i="1"/>
  <c r="C17688" i="1"/>
  <c r="G17687" i="1"/>
  <c r="C17687" i="1"/>
  <c r="G17686" i="1"/>
  <c r="C17686" i="1"/>
  <c r="G17685" i="1"/>
  <c r="C17685" i="1"/>
  <c r="G17684" i="1"/>
  <c r="C17684" i="1"/>
  <c r="G17683" i="1"/>
  <c r="C17683" i="1"/>
  <c r="G17682" i="1"/>
  <c r="C17682" i="1"/>
  <c r="G17681" i="1"/>
  <c r="C17681" i="1"/>
  <c r="G17680" i="1"/>
  <c r="C17680" i="1"/>
  <c r="G17679" i="1"/>
  <c r="C17679" i="1"/>
  <c r="G17678" i="1"/>
  <c r="C17678" i="1"/>
  <c r="G17677" i="1"/>
  <c r="C17677" i="1"/>
  <c r="G17676" i="1"/>
  <c r="C17676" i="1"/>
  <c r="G17675" i="1"/>
  <c r="C17675" i="1"/>
  <c r="G17674" i="1"/>
  <c r="C17674" i="1"/>
  <c r="G17673" i="1"/>
  <c r="C17673" i="1"/>
  <c r="G17672" i="1"/>
  <c r="C17672" i="1"/>
  <c r="G17671" i="1"/>
  <c r="C17671" i="1"/>
  <c r="G17670" i="1"/>
  <c r="C17670" i="1"/>
  <c r="G17669" i="1"/>
  <c r="C17669" i="1"/>
  <c r="G17668" i="1"/>
  <c r="C17668" i="1"/>
  <c r="G17667" i="1"/>
  <c r="C17667" i="1"/>
  <c r="G17666" i="1"/>
  <c r="C17666" i="1"/>
  <c r="G17665" i="1"/>
  <c r="C17665" i="1"/>
  <c r="G17664" i="1"/>
  <c r="C17664" i="1"/>
  <c r="G17663" i="1"/>
  <c r="C17663" i="1"/>
  <c r="G17662" i="1"/>
  <c r="C17662" i="1"/>
  <c r="G17661" i="1"/>
  <c r="C17661" i="1"/>
  <c r="G17660" i="1"/>
  <c r="C17660" i="1"/>
  <c r="G17659" i="1"/>
  <c r="C17659" i="1"/>
  <c r="G17658" i="1"/>
  <c r="C17658" i="1"/>
  <c r="G17657" i="1"/>
  <c r="C17657" i="1"/>
  <c r="G17656" i="1"/>
  <c r="C17656" i="1"/>
  <c r="G17655" i="1"/>
  <c r="C17655" i="1"/>
  <c r="G17654" i="1"/>
  <c r="C17654" i="1"/>
  <c r="G17653" i="1"/>
  <c r="C17653" i="1"/>
  <c r="G17652" i="1"/>
  <c r="C17652" i="1"/>
  <c r="G17651" i="1"/>
  <c r="C17651" i="1"/>
  <c r="G17650" i="1"/>
  <c r="C17650" i="1"/>
  <c r="G17649" i="1"/>
  <c r="C17649" i="1"/>
  <c r="G17648" i="1"/>
  <c r="C17648" i="1"/>
  <c r="G17647" i="1"/>
  <c r="C17647" i="1"/>
  <c r="G17646" i="1"/>
  <c r="C17646" i="1"/>
  <c r="G17645" i="1"/>
  <c r="C17645" i="1"/>
  <c r="G17644" i="1"/>
  <c r="C17644" i="1"/>
  <c r="G17643" i="1"/>
  <c r="C17643" i="1"/>
  <c r="G17642" i="1"/>
  <c r="C17642" i="1"/>
  <c r="G17641" i="1"/>
  <c r="C17641" i="1"/>
  <c r="G17640" i="1"/>
  <c r="C17640" i="1"/>
  <c r="G17639" i="1"/>
  <c r="C17639" i="1"/>
  <c r="G17638" i="1"/>
  <c r="C17638" i="1"/>
  <c r="G17637" i="1"/>
  <c r="C17637" i="1"/>
  <c r="G17636" i="1"/>
  <c r="C17636" i="1"/>
  <c r="G17635" i="1"/>
  <c r="C17635" i="1"/>
  <c r="G17634" i="1"/>
  <c r="C17634" i="1"/>
  <c r="G17633" i="1"/>
  <c r="C17633" i="1"/>
  <c r="G17632" i="1"/>
  <c r="C17632" i="1"/>
  <c r="G17631" i="1"/>
  <c r="C17631" i="1"/>
  <c r="G17630" i="1"/>
  <c r="C17630" i="1"/>
  <c r="G17629" i="1"/>
  <c r="C17629" i="1"/>
  <c r="G17628" i="1"/>
  <c r="C17628" i="1"/>
  <c r="G17627" i="1"/>
  <c r="C17627" i="1"/>
  <c r="G17626" i="1"/>
  <c r="C17626" i="1"/>
  <c r="G17625" i="1"/>
  <c r="C17625" i="1"/>
  <c r="G17624" i="1"/>
  <c r="C17624" i="1"/>
  <c r="G17623" i="1"/>
  <c r="C17623" i="1"/>
  <c r="G17622" i="1"/>
  <c r="C17622" i="1"/>
  <c r="G17621" i="1"/>
  <c r="C17621" i="1"/>
  <c r="G17619" i="1"/>
  <c r="C17619" i="1"/>
  <c r="G17618" i="1"/>
  <c r="C17618" i="1"/>
  <c r="G17617" i="1"/>
  <c r="C17617" i="1"/>
  <c r="G17616" i="1"/>
  <c r="C17616" i="1"/>
  <c r="G17615" i="1"/>
  <c r="C17615" i="1"/>
  <c r="G17614" i="1"/>
  <c r="C17614" i="1"/>
  <c r="G17613" i="1"/>
  <c r="C17613" i="1"/>
  <c r="G17612" i="1"/>
  <c r="C17612" i="1"/>
  <c r="G17611" i="1"/>
  <c r="C17611" i="1"/>
  <c r="G17610" i="1"/>
  <c r="C17610" i="1"/>
  <c r="G17609" i="1"/>
  <c r="C17609" i="1"/>
  <c r="G17608" i="1"/>
  <c r="C17608" i="1"/>
  <c r="G17607" i="1"/>
  <c r="C17607" i="1"/>
  <c r="G17606" i="1"/>
  <c r="C17606" i="1"/>
  <c r="G17605" i="1"/>
  <c r="C17605" i="1"/>
  <c r="G17604" i="1"/>
  <c r="C17604" i="1"/>
  <c r="G17603" i="1"/>
  <c r="C17603" i="1"/>
  <c r="G17602" i="1"/>
  <c r="C17602" i="1"/>
  <c r="G17601" i="1"/>
  <c r="C17601" i="1"/>
  <c r="G17600" i="1"/>
  <c r="C17600" i="1"/>
  <c r="G17599" i="1"/>
  <c r="C17599" i="1"/>
  <c r="G17598" i="1"/>
  <c r="C17598" i="1"/>
  <c r="G17597" i="1"/>
  <c r="C17597" i="1"/>
  <c r="G17596" i="1"/>
  <c r="C17596" i="1"/>
  <c r="G17595" i="1"/>
  <c r="C17595" i="1"/>
  <c r="G17594" i="1"/>
  <c r="C17594" i="1"/>
  <c r="G17593" i="1"/>
  <c r="C17593" i="1"/>
  <c r="G17592" i="1"/>
  <c r="C17592" i="1"/>
  <c r="G17591" i="1"/>
  <c r="C17591" i="1"/>
  <c r="G17590" i="1"/>
  <c r="C17590" i="1"/>
  <c r="G17589" i="1"/>
  <c r="C17589" i="1"/>
  <c r="G17588" i="1"/>
  <c r="C17588" i="1"/>
  <c r="G17587" i="1"/>
  <c r="C17587" i="1"/>
  <c r="G17586" i="1"/>
  <c r="C17586" i="1"/>
  <c r="G17585" i="1"/>
  <c r="C17585" i="1"/>
  <c r="G17584" i="1"/>
  <c r="C17584" i="1"/>
  <c r="G17583" i="1"/>
  <c r="C17583" i="1"/>
  <c r="G17582" i="1"/>
  <c r="C17582" i="1"/>
  <c r="G17581" i="1"/>
  <c r="C17581" i="1"/>
  <c r="G17580" i="1"/>
  <c r="C17580" i="1"/>
  <c r="G17579" i="1"/>
  <c r="C17579" i="1"/>
  <c r="G17578" i="1"/>
  <c r="C17578" i="1"/>
  <c r="G17576" i="1"/>
  <c r="C17576" i="1"/>
  <c r="G17575" i="1"/>
  <c r="C17575" i="1"/>
  <c r="G17574" i="1"/>
  <c r="C17574" i="1"/>
  <c r="G17573" i="1"/>
  <c r="C17573" i="1"/>
  <c r="G17572" i="1"/>
  <c r="C17572" i="1"/>
  <c r="G17571" i="1"/>
  <c r="C17571" i="1"/>
  <c r="G17570" i="1"/>
  <c r="C17570" i="1"/>
  <c r="G17569" i="1"/>
  <c r="C17569" i="1"/>
  <c r="G17568" i="1"/>
  <c r="C17568" i="1"/>
  <c r="G17567" i="1"/>
  <c r="C17567" i="1"/>
  <c r="G17566" i="1"/>
  <c r="C17566" i="1"/>
  <c r="G17565" i="1"/>
  <c r="C17565" i="1"/>
  <c r="G17564" i="1"/>
  <c r="C17564" i="1"/>
  <c r="G17563" i="1"/>
  <c r="C17563" i="1"/>
  <c r="G17562" i="1"/>
  <c r="C17562" i="1"/>
  <c r="G17561" i="1"/>
  <c r="C17561" i="1"/>
  <c r="G17560" i="1"/>
  <c r="C17560" i="1"/>
  <c r="G17559" i="1"/>
  <c r="C17559" i="1"/>
  <c r="G17558" i="1"/>
  <c r="C17558" i="1"/>
  <c r="G17557" i="1"/>
  <c r="C17557" i="1"/>
  <c r="G17556" i="1"/>
  <c r="C17556" i="1"/>
  <c r="G17555" i="1"/>
  <c r="C17555" i="1"/>
  <c r="G17554" i="1"/>
  <c r="C17554" i="1"/>
  <c r="G17553" i="1"/>
  <c r="C17553" i="1"/>
  <c r="G17552" i="1"/>
  <c r="C17552" i="1"/>
  <c r="G17551" i="1"/>
  <c r="C17551" i="1"/>
  <c r="G17550" i="1"/>
  <c r="C17550" i="1"/>
  <c r="G17549" i="1"/>
  <c r="C17549" i="1"/>
  <c r="G17548" i="1"/>
  <c r="C17548" i="1"/>
  <c r="G17547" i="1"/>
  <c r="C17547" i="1"/>
  <c r="G17546" i="1"/>
  <c r="C17546" i="1"/>
  <c r="G17545" i="1"/>
  <c r="C17545" i="1"/>
  <c r="G17543" i="1"/>
  <c r="C17543" i="1"/>
  <c r="G17542" i="1"/>
  <c r="C17542" i="1"/>
  <c r="G17541" i="1"/>
  <c r="C17541" i="1"/>
  <c r="G17540" i="1"/>
  <c r="C17540" i="1"/>
  <c r="G17539" i="1"/>
  <c r="C17539" i="1"/>
  <c r="G17538" i="1"/>
  <c r="C17538" i="1"/>
  <c r="G17537" i="1"/>
  <c r="C17537" i="1"/>
  <c r="G17536" i="1"/>
  <c r="C17536" i="1"/>
  <c r="G17535" i="1"/>
  <c r="C17535" i="1"/>
  <c r="G17534" i="1"/>
  <c r="C17534" i="1"/>
  <c r="G17533" i="1"/>
  <c r="C17533" i="1"/>
  <c r="G17532" i="1"/>
  <c r="C17532" i="1"/>
  <c r="G17531" i="1"/>
  <c r="C17531" i="1"/>
  <c r="G17530" i="1"/>
  <c r="C17530" i="1"/>
  <c r="G17529" i="1"/>
  <c r="C17529" i="1"/>
  <c r="G17528" i="1"/>
  <c r="C17528" i="1"/>
  <c r="G17527" i="1"/>
  <c r="C17527" i="1"/>
  <c r="G17526" i="1"/>
  <c r="C17526" i="1"/>
  <c r="G17525" i="1"/>
  <c r="C17525" i="1"/>
  <c r="G17524" i="1"/>
  <c r="C17524" i="1"/>
  <c r="G17523" i="1"/>
  <c r="C17523" i="1"/>
  <c r="G17522" i="1"/>
  <c r="C17522" i="1"/>
  <c r="G17521" i="1"/>
  <c r="C17521" i="1"/>
  <c r="G17520" i="1"/>
  <c r="C17520" i="1"/>
  <c r="G17519" i="1"/>
  <c r="C17519" i="1"/>
  <c r="G17518" i="1"/>
  <c r="C17518" i="1"/>
  <c r="G17517" i="1"/>
  <c r="C17517" i="1"/>
  <c r="G17516" i="1"/>
  <c r="C17516" i="1"/>
  <c r="G17515" i="1"/>
  <c r="C17515" i="1"/>
  <c r="G17514" i="1"/>
  <c r="C17514" i="1"/>
  <c r="G17513" i="1"/>
  <c r="C17513" i="1"/>
  <c r="G17512" i="1"/>
  <c r="C17512" i="1"/>
  <c r="G17511" i="1"/>
  <c r="C17511" i="1"/>
  <c r="G17510" i="1"/>
  <c r="C17510" i="1"/>
  <c r="G17509" i="1"/>
  <c r="C17509" i="1"/>
  <c r="G17508" i="1"/>
  <c r="C17508" i="1"/>
  <c r="G17507" i="1"/>
  <c r="C17507" i="1"/>
  <c r="G17506" i="1"/>
  <c r="C17506" i="1"/>
  <c r="G17505" i="1"/>
  <c r="C17505" i="1"/>
  <c r="G17504" i="1"/>
  <c r="C17504" i="1"/>
  <c r="G17503" i="1"/>
  <c r="C17503" i="1"/>
  <c r="G17502" i="1"/>
  <c r="C17502" i="1"/>
  <c r="G17501" i="1"/>
  <c r="C17501" i="1"/>
  <c r="G17500" i="1"/>
  <c r="C17500" i="1"/>
  <c r="G17498" i="1"/>
  <c r="C17498" i="1"/>
  <c r="G17497" i="1"/>
  <c r="C17497" i="1"/>
  <c r="G17496" i="1"/>
  <c r="C17496" i="1"/>
  <c r="G17495" i="1"/>
  <c r="C17495" i="1"/>
  <c r="G17494" i="1"/>
  <c r="C17494" i="1"/>
  <c r="G17493" i="1"/>
  <c r="C17493" i="1"/>
  <c r="G17491" i="1"/>
  <c r="C17491" i="1"/>
  <c r="G17490" i="1"/>
  <c r="C17490" i="1"/>
  <c r="G17489" i="1"/>
  <c r="C17489" i="1"/>
  <c r="G17488" i="1"/>
  <c r="C17488" i="1"/>
  <c r="G17487" i="1"/>
  <c r="C17487" i="1"/>
  <c r="G17486" i="1"/>
  <c r="C17486" i="1"/>
  <c r="G17485" i="1"/>
  <c r="C17485" i="1"/>
  <c r="G17484" i="1"/>
  <c r="C17484" i="1"/>
  <c r="G17483" i="1"/>
  <c r="C17483" i="1"/>
  <c r="G17482" i="1"/>
  <c r="C17482" i="1"/>
  <c r="G17481" i="1"/>
  <c r="C17481" i="1"/>
  <c r="G17480" i="1"/>
  <c r="C17480" i="1"/>
  <c r="G17479" i="1"/>
  <c r="C17479" i="1"/>
  <c r="G17478" i="1"/>
  <c r="C17478" i="1"/>
  <c r="G17477" i="1"/>
  <c r="C17477" i="1"/>
  <c r="G17476" i="1"/>
  <c r="C17476" i="1"/>
  <c r="G17475" i="1"/>
  <c r="C17475" i="1"/>
  <c r="G17474" i="1"/>
  <c r="C17474" i="1"/>
  <c r="G17473" i="1"/>
  <c r="C17473" i="1"/>
  <c r="G17471" i="1"/>
  <c r="C17471" i="1"/>
  <c r="G17470" i="1"/>
  <c r="C17470" i="1"/>
  <c r="G17469" i="1"/>
  <c r="C17469" i="1"/>
  <c r="G17468" i="1"/>
  <c r="C17468" i="1"/>
  <c r="G17467" i="1"/>
  <c r="C17467" i="1"/>
  <c r="G17466" i="1"/>
  <c r="C17466" i="1"/>
  <c r="G17465" i="1"/>
  <c r="C17465" i="1"/>
  <c r="G17464" i="1"/>
  <c r="C17464" i="1"/>
  <c r="G17463" i="1"/>
  <c r="C17463" i="1"/>
  <c r="G17462" i="1"/>
  <c r="C17462" i="1"/>
  <c r="G17461" i="1"/>
  <c r="C17461" i="1"/>
  <c r="G17460" i="1"/>
  <c r="C17460" i="1"/>
  <c r="G17459" i="1"/>
  <c r="C17459" i="1"/>
  <c r="G17458" i="1"/>
  <c r="C17458" i="1"/>
  <c r="G17457" i="1"/>
  <c r="C17457" i="1"/>
  <c r="G17456" i="1"/>
  <c r="C17456" i="1"/>
  <c r="G17455" i="1"/>
  <c r="C17455" i="1"/>
  <c r="G17454" i="1"/>
  <c r="C17454" i="1"/>
  <c r="G17453" i="1"/>
  <c r="C17453" i="1"/>
  <c r="G17452" i="1"/>
  <c r="C17452" i="1"/>
  <c r="G17451" i="1"/>
  <c r="C17451" i="1"/>
  <c r="G17450" i="1"/>
  <c r="C17450" i="1"/>
  <c r="G17449" i="1"/>
  <c r="C17449" i="1"/>
  <c r="G17448" i="1"/>
  <c r="C17448" i="1"/>
  <c r="G17447" i="1"/>
  <c r="C17447" i="1"/>
  <c r="G17446" i="1"/>
  <c r="C17446" i="1"/>
  <c r="G17445" i="1"/>
  <c r="C17445" i="1"/>
  <c r="G17444" i="1"/>
  <c r="C17444" i="1"/>
  <c r="G17443" i="1"/>
  <c r="C17443" i="1"/>
  <c r="G17442" i="1"/>
  <c r="C17442" i="1"/>
  <c r="G17441" i="1"/>
  <c r="C17441" i="1"/>
  <c r="G17440" i="1"/>
  <c r="C17440" i="1"/>
  <c r="G17439" i="1"/>
  <c r="C17439" i="1"/>
  <c r="G17438" i="1"/>
  <c r="C17438" i="1"/>
  <c r="G17437" i="1"/>
  <c r="C17437" i="1"/>
  <c r="G17436" i="1"/>
  <c r="C17436" i="1"/>
  <c r="G17435" i="1"/>
  <c r="C17435" i="1"/>
  <c r="G17434" i="1"/>
  <c r="C17434" i="1"/>
  <c r="G17433" i="1"/>
  <c r="C17433" i="1"/>
  <c r="G17432" i="1"/>
  <c r="C17432" i="1"/>
  <c r="G17431" i="1"/>
  <c r="C17431" i="1"/>
  <c r="G17430" i="1"/>
  <c r="C17430" i="1"/>
  <c r="G17429" i="1"/>
  <c r="C17429" i="1"/>
  <c r="G17428" i="1"/>
  <c r="C17428" i="1"/>
  <c r="G17427" i="1"/>
  <c r="C17427" i="1"/>
  <c r="G17426" i="1"/>
  <c r="C17426" i="1"/>
  <c r="G17425" i="1"/>
  <c r="C17425" i="1"/>
  <c r="G17424" i="1"/>
  <c r="C17424" i="1"/>
  <c r="G17423" i="1"/>
  <c r="C17423" i="1"/>
  <c r="G17422" i="1"/>
  <c r="C17422" i="1"/>
  <c r="G17421" i="1"/>
  <c r="C17421" i="1"/>
  <c r="G17420" i="1"/>
  <c r="C17420" i="1"/>
  <c r="G17419" i="1"/>
  <c r="C17419" i="1"/>
  <c r="G17418" i="1"/>
  <c r="C17418" i="1"/>
  <c r="G17417" i="1"/>
  <c r="C17417" i="1"/>
  <c r="G17416" i="1"/>
  <c r="C17416" i="1"/>
  <c r="G17415" i="1"/>
  <c r="C17415" i="1"/>
  <c r="G17414" i="1"/>
  <c r="C17414" i="1"/>
  <c r="G17413" i="1"/>
  <c r="C17413" i="1"/>
  <c r="G17412" i="1"/>
  <c r="C17412" i="1"/>
  <c r="G17411" i="1"/>
  <c r="C17411" i="1"/>
  <c r="G17408" i="1"/>
  <c r="C17408" i="1"/>
  <c r="G17407" i="1"/>
  <c r="C17407" i="1"/>
  <c r="G17406" i="1"/>
  <c r="C17406" i="1"/>
  <c r="G17405" i="1"/>
  <c r="C17405" i="1"/>
  <c r="G17404" i="1"/>
  <c r="C17404" i="1"/>
  <c r="G17403" i="1"/>
  <c r="C17403" i="1"/>
  <c r="G17402" i="1"/>
  <c r="C17402" i="1"/>
  <c r="G17401" i="1"/>
  <c r="C17401" i="1"/>
  <c r="G17400" i="1"/>
  <c r="C17400" i="1"/>
  <c r="G17399" i="1"/>
  <c r="C17399" i="1"/>
  <c r="G17398" i="1"/>
  <c r="C17398" i="1"/>
  <c r="G17397" i="1"/>
  <c r="C17397" i="1"/>
  <c r="G17396" i="1"/>
  <c r="C17396" i="1"/>
  <c r="G17395" i="1"/>
  <c r="C17395" i="1"/>
  <c r="G17394" i="1"/>
  <c r="C17394" i="1"/>
  <c r="G17393" i="1"/>
  <c r="C17393" i="1"/>
  <c r="G17392" i="1"/>
  <c r="C17392" i="1"/>
  <c r="G17391" i="1"/>
  <c r="C17391" i="1"/>
  <c r="G17390" i="1"/>
  <c r="C17390" i="1"/>
  <c r="G17389" i="1"/>
  <c r="C17389" i="1"/>
  <c r="G17388" i="1"/>
  <c r="C17388" i="1"/>
  <c r="G17387" i="1"/>
  <c r="C17387" i="1"/>
  <c r="G17386" i="1"/>
  <c r="C17386" i="1"/>
  <c r="G17385" i="1"/>
  <c r="C17385" i="1"/>
  <c r="G17384" i="1"/>
  <c r="C17384" i="1"/>
  <c r="G17383" i="1"/>
  <c r="C17383" i="1"/>
  <c r="G17382" i="1"/>
  <c r="C17382" i="1"/>
  <c r="G17381" i="1"/>
  <c r="C17381" i="1"/>
  <c r="G17380" i="1"/>
  <c r="C17380" i="1"/>
  <c r="G17379" i="1"/>
  <c r="C17379" i="1"/>
  <c r="G17378" i="1"/>
  <c r="C17378" i="1"/>
  <c r="G17377" i="1"/>
  <c r="C17377" i="1"/>
  <c r="G17376" i="1"/>
  <c r="C17376" i="1"/>
  <c r="G17375" i="1"/>
  <c r="C17375" i="1"/>
  <c r="G17373" i="1"/>
  <c r="C17373" i="1"/>
  <c r="G17372" i="1"/>
  <c r="C17372" i="1"/>
  <c r="G17371" i="1"/>
  <c r="C17371" i="1"/>
  <c r="G17370" i="1"/>
  <c r="C17370" i="1"/>
  <c r="G17369" i="1"/>
  <c r="C17369" i="1"/>
  <c r="G17368" i="1"/>
  <c r="C17368" i="1"/>
  <c r="G17367" i="1"/>
  <c r="C17367" i="1"/>
  <c r="G17366" i="1"/>
  <c r="C17366" i="1"/>
  <c r="G17365" i="1"/>
  <c r="C17365" i="1"/>
  <c r="G17364" i="1"/>
  <c r="C17364" i="1"/>
  <c r="G17363" i="1"/>
  <c r="C17363" i="1"/>
  <c r="G17362" i="1"/>
  <c r="C17362" i="1"/>
  <c r="G17361" i="1"/>
  <c r="C17361" i="1"/>
  <c r="G17360" i="1"/>
  <c r="C17360" i="1"/>
  <c r="G17359" i="1"/>
  <c r="C17359" i="1"/>
  <c r="G17358" i="1"/>
  <c r="C17358" i="1"/>
  <c r="G17357" i="1"/>
  <c r="C17357" i="1"/>
  <c r="G17356" i="1"/>
  <c r="C17356" i="1"/>
  <c r="G17355" i="1"/>
  <c r="C17355" i="1"/>
  <c r="G17354" i="1"/>
  <c r="C17354" i="1"/>
  <c r="G17353" i="1"/>
  <c r="C17353" i="1"/>
  <c r="G17352" i="1"/>
  <c r="C17352" i="1"/>
  <c r="G17351" i="1"/>
  <c r="C17351" i="1"/>
  <c r="G17350" i="1"/>
  <c r="C17350" i="1"/>
  <c r="G17349" i="1"/>
  <c r="C17349" i="1"/>
  <c r="G17348" i="1"/>
  <c r="C17348" i="1"/>
  <c r="G17347" i="1"/>
  <c r="C17347" i="1"/>
  <c r="G17346" i="1"/>
  <c r="C17346" i="1"/>
  <c r="G17345" i="1"/>
  <c r="C17345" i="1"/>
  <c r="G17344" i="1"/>
  <c r="C17344" i="1"/>
  <c r="G17343" i="1"/>
  <c r="C17343" i="1"/>
  <c r="G17341" i="1"/>
  <c r="C17341" i="1"/>
  <c r="G17340" i="1"/>
  <c r="C17340" i="1"/>
  <c r="G17339" i="1"/>
  <c r="C17339" i="1"/>
  <c r="G17338" i="1"/>
  <c r="C17338" i="1"/>
  <c r="G17337" i="1"/>
  <c r="C17337" i="1"/>
  <c r="G17336" i="1"/>
  <c r="C17336" i="1"/>
  <c r="G17335" i="1"/>
  <c r="C17335" i="1"/>
  <c r="G17334" i="1"/>
  <c r="C17334" i="1"/>
  <c r="G17333" i="1"/>
  <c r="C17333" i="1"/>
  <c r="G17332" i="1"/>
  <c r="C17332" i="1"/>
  <c r="G17331" i="1"/>
  <c r="C17331" i="1"/>
  <c r="G17330" i="1"/>
  <c r="C17330" i="1"/>
  <c r="G17329" i="1"/>
  <c r="C17329" i="1"/>
  <c r="G17328" i="1"/>
  <c r="C17328" i="1"/>
  <c r="G17327" i="1"/>
  <c r="C17327" i="1"/>
  <c r="G17326" i="1"/>
  <c r="C17326" i="1"/>
  <c r="G17325" i="1"/>
  <c r="C17325" i="1"/>
  <c r="G17324" i="1"/>
  <c r="C17324" i="1"/>
  <c r="G17323" i="1"/>
  <c r="C17323" i="1"/>
  <c r="G17321" i="1"/>
  <c r="C17321" i="1"/>
  <c r="G17320" i="1"/>
  <c r="C17320" i="1"/>
  <c r="G17319" i="1"/>
  <c r="C17319" i="1"/>
  <c r="G17318" i="1"/>
  <c r="C17318" i="1"/>
  <c r="G17317" i="1"/>
  <c r="C17317" i="1"/>
  <c r="G17316" i="1"/>
  <c r="C17316" i="1"/>
  <c r="G17315" i="1"/>
  <c r="C17315" i="1"/>
  <c r="G17314" i="1"/>
  <c r="C17314" i="1"/>
  <c r="G17313" i="1"/>
  <c r="C17313" i="1"/>
  <c r="G17312" i="1"/>
  <c r="C17312" i="1"/>
  <c r="G17311" i="1"/>
  <c r="C17311" i="1"/>
  <c r="G17310" i="1"/>
  <c r="C17310" i="1"/>
  <c r="G17309" i="1"/>
  <c r="C17309" i="1"/>
  <c r="G17308" i="1"/>
  <c r="C17308" i="1"/>
  <c r="G17307" i="1"/>
  <c r="C17307" i="1"/>
  <c r="G17306" i="1"/>
  <c r="C17306" i="1"/>
  <c r="G17305" i="1"/>
  <c r="C17305" i="1"/>
  <c r="G17304" i="1"/>
  <c r="C17304" i="1"/>
  <c r="G17303" i="1"/>
  <c r="C17303" i="1"/>
  <c r="G17302" i="1"/>
  <c r="C17302" i="1"/>
  <c r="G17301" i="1"/>
  <c r="C17301" i="1"/>
  <c r="G17300" i="1"/>
  <c r="C17300" i="1"/>
  <c r="G17299" i="1"/>
  <c r="C17299" i="1"/>
  <c r="G17298" i="1"/>
  <c r="C17298" i="1"/>
  <c r="G17297" i="1"/>
  <c r="C17297" i="1"/>
  <c r="G17296" i="1"/>
  <c r="C17296" i="1"/>
  <c r="G17295" i="1"/>
  <c r="C17295" i="1"/>
  <c r="G17294" i="1"/>
  <c r="C17294" i="1"/>
  <c r="G17293" i="1"/>
  <c r="C17293" i="1"/>
  <c r="G17292" i="1"/>
  <c r="C17292" i="1"/>
  <c r="G17291" i="1"/>
  <c r="C17291" i="1"/>
  <c r="G17290" i="1"/>
  <c r="C17290" i="1"/>
  <c r="G17289" i="1"/>
  <c r="C17289" i="1"/>
  <c r="G17288" i="1"/>
  <c r="C17288" i="1"/>
  <c r="G17287" i="1"/>
  <c r="C17287" i="1"/>
  <c r="G17286" i="1"/>
  <c r="C17286" i="1"/>
  <c r="G17285" i="1"/>
  <c r="C17285" i="1"/>
  <c r="G17284" i="1"/>
  <c r="C17284" i="1"/>
  <c r="G17283" i="1"/>
  <c r="C17283" i="1"/>
  <c r="G17282" i="1"/>
  <c r="C17282" i="1"/>
  <c r="G17281" i="1"/>
  <c r="C17281" i="1"/>
  <c r="G17280" i="1"/>
  <c r="C17280" i="1"/>
  <c r="G17279" i="1"/>
  <c r="C17279" i="1"/>
  <c r="G17278" i="1"/>
  <c r="C17278" i="1"/>
  <c r="G17277" i="1"/>
  <c r="C17277" i="1"/>
  <c r="G17275" i="1"/>
  <c r="C17275" i="1"/>
  <c r="G17274" i="1"/>
  <c r="C17274" i="1"/>
  <c r="G17273" i="1"/>
  <c r="C17273" i="1"/>
  <c r="G17272" i="1"/>
  <c r="C17272" i="1"/>
  <c r="G17271" i="1"/>
  <c r="C17271" i="1"/>
  <c r="G17270" i="1"/>
  <c r="C17270" i="1"/>
  <c r="G17269" i="1"/>
  <c r="C17269" i="1"/>
  <c r="G17268" i="1"/>
  <c r="C17268" i="1"/>
  <c r="G17267" i="1"/>
  <c r="C17267" i="1"/>
  <c r="G17266" i="1"/>
  <c r="C17266" i="1"/>
  <c r="G17265" i="1"/>
  <c r="C17265" i="1"/>
  <c r="G17264" i="1"/>
  <c r="C17264" i="1"/>
  <c r="G17263" i="1"/>
  <c r="C17263" i="1"/>
  <c r="G17262" i="1"/>
  <c r="C17262" i="1"/>
  <c r="G17261" i="1"/>
  <c r="C17261" i="1"/>
  <c r="G17260" i="1"/>
  <c r="C17260" i="1"/>
  <c r="G17259" i="1"/>
  <c r="C17259" i="1"/>
  <c r="G17258" i="1"/>
  <c r="C17258" i="1"/>
  <c r="G17257" i="1"/>
  <c r="C17257" i="1"/>
  <c r="G17256" i="1"/>
  <c r="C17256" i="1"/>
  <c r="G17255" i="1"/>
  <c r="C17255" i="1"/>
  <c r="G17254" i="1"/>
  <c r="C17254" i="1"/>
  <c r="G17253" i="1"/>
  <c r="C17253" i="1"/>
  <c r="G17252" i="1"/>
  <c r="C17252" i="1"/>
  <c r="G17251" i="1"/>
  <c r="C17251" i="1"/>
  <c r="G17250" i="1"/>
  <c r="C17250" i="1"/>
  <c r="G17249" i="1"/>
  <c r="C17249" i="1"/>
  <c r="G17248" i="1"/>
  <c r="C17248" i="1"/>
  <c r="G17247" i="1"/>
  <c r="C17247" i="1"/>
  <c r="G17246" i="1"/>
  <c r="C17246" i="1"/>
  <c r="G17245" i="1"/>
  <c r="C17245" i="1"/>
  <c r="G17244" i="1"/>
  <c r="C17244" i="1"/>
  <c r="G17243" i="1"/>
  <c r="C17243" i="1"/>
  <c r="G17242" i="1"/>
  <c r="C17242" i="1"/>
  <c r="G17241" i="1"/>
  <c r="C17241" i="1"/>
  <c r="G17240" i="1"/>
  <c r="C17240" i="1"/>
  <c r="G17239" i="1"/>
  <c r="C17239" i="1"/>
  <c r="G17238" i="1"/>
  <c r="C17238" i="1"/>
  <c r="G17237" i="1"/>
  <c r="C17237" i="1"/>
  <c r="G17236" i="1"/>
  <c r="C17236" i="1"/>
  <c r="G17235" i="1"/>
  <c r="C17235" i="1"/>
  <c r="G17234" i="1"/>
  <c r="C17234" i="1"/>
  <c r="G17233" i="1"/>
  <c r="C17233" i="1"/>
  <c r="G17232" i="1"/>
  <c r="C17232" i="1"/>
  <c r="G17231" i="1"/>
  <c r="C17231" i="1"/>
  <c r="G17230" i="1"/>
  <c r="C17230" i="1"/>
  <c r="G17229" i="1"/>
  <c r="C17229" i="1"/>
  <c r="G17228" i="1"/>
  <c r="C17228" i="1"/>
  <c r="G17227" i="1"/>
  <c r="C17227" i="1"/>
  <c r="G17226" i="1"/>
  <c r="C17226" i="1"/>
  <c r="G17225" i="1"/>
  <c r="C17225" i="1"/>
  <c r="G17224" i="1"/>
  <c r="C17224" i="1"/>
  <c r="G17223" i="1"/>
  <c r="C17223" i="1"/>
  <c r="G17222" i="1"/>
  <c r="C17222" i="1"/>
  <c r="G17221" i="1"/>
  <c r="C17221" i="1"/>
  <c r="G17220" i="1"/>
  <c r="C17220" i="1"/>
  <c r="G17218" i="1"/>
  <c r="C17218" i="1"/>
  <c r="G17217" i="1"/>
  <c r="C17217" i="1"/>
  <c r="G17216" i="1"/>
  <c r="C17216" i="1"/>
  <c r="G17215" i="1"/>
  <c r="C17215" i="1"/>
  <c r="G17214" i="1"/>
  <c r="C17214" i="1"/>
  <c r="G17213" i="1"/>
  <c r="C17213" i="1"/>
  <c r="G17212" i="1"/>
  <c r="C17212" i="1"/>
  <c r="G17211" i="1"/>
  <c r="C17211" i="1"/>
  <c r="G17210" i="1"/>
  <c r="C17210" i="1"/>
  <c r="G17209" i="1"/>
  <c r="C17209" i="1"/>
  <c r="G17208" i="1"/>
  <c r="C17208" i="1"/>
  <c r="G17207" i="1"/>
  <c r="C17207" i="1"/>
  <c r="G17206" i="1"/>
  <c r="C17206" i="1"/>
  <c r="G17205" i="1"/>
  <c r="C17205" i="1"/>
  <c r="G17204" i="1"/>
  <c r="C17204" i="1"/>
  <c r="G17203" i="1"/>
  <c r="C17203" i="1"/>
  <c r="G17202" i="1"/>
  <c r="C17202" i="1"/>
  <c r="G17201" i="1"/>
  <c r="C17201" i="1"/>
  <c r="G17200" i="1"/>
  <c r="C17200" i="1"/>
  <c r="G17199" i="1"/>
  <c r="C17199" i="1"/>
  <c r="G17198" i="1"/>
  <c r="C17198" i="1"/>
  <c r="G17197" i="1"/>
  <c r="C17197" i="1"/>
  <c r="G17196" i="1"/>
  <c r="C17196" i="1"/>
  <c r="G17195" i="1"/>
  <c r="C17195" i="1"/>
  <c r="G17194" i="1"/>
  <c r="C17194" i="1"/>
  <c r="G17193" i="1"/>
  <c r="C17193" i="1"/>
  <c r="G17192" i="1"/>
  <c r="C17192" i="1"/>
  <c r="G17191" i="1"/>
  <c r="C17191" i="1"/>
  <c r="G17190" i="1"/>
  <c r="C17190" i="1"/>
  <c r="G17189" i="1"/>
  <c r="C17189" i="1"/>
  <c r="G17188" i="1"/>
  <c r="C17188" i="1"/>
  <c r="G17187" i="1"/>
  <c r="C17187" i="1"/>
  <c r="G17186" i="1"/>
  <c r="C17186" i="1"/>
  <c r="G17185" i="1"/>
  <c r="C17185" i="1"/>
  <c r="G17184" i="1"/>
  <c r="C17184" i="1"/>
  <c r="G17183" i="1"/>
  <c r="C17183" i="1"/>
  <c r="G17182" i="1"/>
  <c r="C17182" i="1"/>
  <c r="G17181" i="1"/>
  <c r="C17181" i="1"/>
  <c r="G17179" i="1"/>
  <c r="C17179" i="1"/>
  <c r="G17178" i="1"/>
  <c r="C17178" i="1"/>
  <c r="G17177" i="1"/>
  <c r="C17177" i="1"/>
  <c r="G17176" i="1"/>
  <c r="C17176" i="1"/>
  <c r="G17175" i="1"/>
  <c r="C17175" i="1"/>
  <c r="G17174" i="1"/>
  <c r="C17174" i="1"/>
  <c r="G17173" i="1"/>
  <c r="C17173" i="1"/>
  <c r="G17172" i="1"/>
  <c r="C17172" i="1"/>
  <c r="G17171" i="1"/>
  <c r="C17171" i="1"/>
  <c r="G17170" i="1"/>
  <c r="C17170" i="1"/>
  <c r="G17169" i="1"/>
  <c r="C17169" i="1"/>
  <c r="G17168" i="1"/>
  <c r="C17168" i="1"/>
  <c r="G17167" i="1"/>
  <c r="C17167" i="1"/>
  <c r="G17166" i="1"/>
  <c r="C17166" i="1"/>
  <c r="G17165" i="1"/>
  <c r="C17165" i="1"/>
  <c r="G17164" i="1"/>
  <c r="C17164" i="1"/>
  <c r="G17163" i="1"/>
  <c r="C17163" i="1"/>
  <c r="G17162" i="1"/>
  <c r="C17162" i="1"/>
  <c r="G17161" i="1"/>
  <c r="C17161" i="1"/>
  <c r="G17160" i="1"/>
  <c r="C17160" i="1"/>
  <c r="G17159" i="1"/>
  <c r="C17159" i="1"/>
  <c r="G17158" i="1"/>
  <c r="C17158" i="1"/>
  <c r="G17157" i="1"/>
  <c r="C17157" i="1"/>
  <c r="G17156" i="1"/>
  <c r="C17156" i="1"/>
  <c r="G17155" i="1"/>
  <c r="C17155" i="1"/>
  <c r="G17154" i="1"/>
  <c r="C17154" i="1"/>
  <c r="G17153" i="1"/>
  <c r="C17153" i="1"/>
  <c r="G17152" i="1"/>
  <c r="C17152" i="1"/>
  <c r="G17151" i="1"/>
  <c r="C17151" i="1"/>
  <c r="G17150" i="1"/>
  <c r="C17150" i="1"/>
  <c r="G17149" i="1"/>
  <c r="C17149" i="1"/>
  <c r="G17148" i="1"/>
  <c r="C17148" i="1"/>
  <c r="G17147" i="1"/>
  <c r="C17147" i="1"/>
  <c r="G17146" i="1"/>
  <c r="C17146" i="1"/>
  <c r="G17145" i="1"/>
  <c r="C17145" i="1"/>
  <c r="G17144" i="1"/>
  <c r="C17144" i="1"/>
  <c r="G17143" i="1"/>
  <c r="C17143" i="1"/>
  <c r="G17142" i="1"/>
  <c r="C17142" i="1"/>
  <c r="G17141" i="1"/>
  <c r="C17141" i="1"/>
  <c r="G17140" i="1"/>
  <c r="C17140" i="1"/>
  <c r="G17139" i="1"/>
  <c r="C17139" i="1"/>
  <c r="G17138" i="1"/>
  <c r="C17138" i="1"/>
  <c r="G17137" i="1"/>
  <c r="C17137" i="1"/>
  <c r="G17136" i="1"/>
  <c r="C17136" i="1"/>
  <c r="G17135" i="1"/>
  <c r="C17135" i="1"/>
  <c r="G17134" i="1"/>
  <c r="C17134" i="1"/>
  <c r="G17133" i="1"/>
  <c r="C17133" i="1"/>
  <c r="G17132" i="1"/>
  <c r="C17132" i="1"/>
  <c r="G17130" i="1"/>
  <c r="C17130" i="1"/>
  <c r="G17129" i="1"/>
  <c r="C17129" i="1"/>
  <c r="G17128" i="1"/>
  <c r="C17128" i="1"/>
  <c r="G17127" i="1"/>
  <c r="C17127" i="1"/>
  <c r="G17126" i="1"/>
  <c r="C17126" i="1"/>
  <c r="G17125" i="1"/>
  <c r="C17125" i="1"/>
  <c r="G17124" i="1"/>
  <c r="C17124" i="1"/>
  <c r="G17123" i="1"/>
  <c r="C17123" i="1"/>
  <c r="G17122" i="1"/>
  <c r="C17122" i="1"/>
  <c r="G17121" i="1"/>
  <c r="C17121" i="1"/>
  <c r="G17120" i="1"/>
  <c r="C17120" i="1"/>
  <c r="G17119" i="1"/>
  <c r="C17119" i="1"/>
  <c r="G17118" i="1"/>
  <c r="C17118" i="1"/>
  <c r="G17117" i="1"/>
  <c r="C17117" i="1"/>
  <c r="G17116" i="1"/>
  <c r="C17116" i="1"/>
  <c r="G17115" i="1"/>
  <c r="C17115" i="1"/>
  <c r="G17114" i="1"/>
  <c r="C17114" i="1"/>
  <c r="G17113" i="1"/>
  <c r="C17113" i="1"/>
  <c r="G17112" i="1"/>
  <c r="C17112" i="1"/>
  <c r="G17111" i="1"/>
  <c r="C17111" i="1"/>
  <c r="G17110" i="1"/>
  <c r="C17110" i="1"/>
  <c r="G17109" i="1"/>
  <c r="C17109" i="1"/>
  <c r="G17108" i="1"/>
  <c r="C17108" i="1"/>
  <c r="G17107" i="1"/>
  <c r="C17107" i="1"/>
  <c r="G17106" i="1"/>
  <c r="C17106" i="1"/>
  <c r="G17105" i="1"/>
  <c r="C17105" i="1"/>
  <c r="G17104" i="1"/>
  <c r="C17104" i="1"/>
  <c r="G17103" i="1"/>
  <c r="C17103" i="1"/>
  <c r="G17102" i="1"/>
  <c r="C17102" i="1"/>
  <c r="G17101" i="1"/>
  <c r="C17101" i="1"/>
  <c r="G17100" i="1"/>
  <c r="C17100" i="1"/>
  <c r="G17099" i="1"/>
  <c r="C17099" i="1"/>
  <c r="G17098" i="1"/>
  <c r="C17098" i="1"/>
  <c r="G17097" i="1"/>
  <c r="C17097" i="1"/>
  <c r="G17096" i="1"/>
  <c r="C17096" i="1"/>
  <c r="G17095" i="1"/>
  <c r="C17095" i="1"/>
  <c r="G17094" i="1"/>
  <c r="C17094" i="1"/>
  <c r="G17093" i="1"/>
  <c r="C17093" i="1"/>
  <c r="G17092" i="1"/>
  <c r="C17092" i="1"/>
  <c r="G17091" i="1"/>
  <c r="C17091" i="1"/>
  <c r="G17090" i="1"/>
  <c r="C17090" i="1"/>
  <c r="G17089" i="1"/>
  <c r="C17089" i="1"/>
  <c r="G17088" i="1"/>
  <c r="C17088" i="1"/>
  <c r="G17087" i="1"/>
  <c r="C17087" i="1"/>
  <c r="G17086" i="1"/>
  <c r="C17086" i="1"/>
  <c r="G17085" i="1"/>
  <c r="C17085" i="1"/>
  <c r="G17084" i="1"/>
  <c r="C17084" i="1"/>
  <c r="G17082" i="1"/>
  <c r="C17082" i="1"/>
  <c r="G17081" i="1"/>
  <c r="C17081" i="1"/>
  <c r="G17080" i="1"/>
  <c r="C17080" i="1"/>
  <c r="G17079" i="1"/>
  <c r="C17079" i="1"/>
  <c r="G17078" i="1"/>
  <c r="C17078" i="1"/>
  <c r="G17077" i="1"/>
  <c r="C17077" i="1"/>
  <c r="G17076" i="1"/>
  <c r="C17076" i="1"/>
  <c r="G17075" i="1"/>
  <c r="C17075" i="1"/>
  <c r="G17074" i="1"/>
  <c r="C17074" i="1"/>
  <c r="G17073" i="1"/>
  <c r="C17073" i="1"/>
  <c r="G17072" i="1"/>
  <c r="C17072" i="1"/>
  <c r="G17071" i="1"/>
  <c r="C17071" i="1"/>
  <c r="G17070" i="1"/>
  <c r="C17070" i="1"/>
  <c r="G17069" i="1"/>
  <c r="C17069" i="1"/>
  <c r="G17068" i="1"/>
  <c r="C17068" i="1"/>
  <c r="G17067" i="1"/>
  <c r="C17067" i="1"/>
  <c r="G17066" i="1"/>
  <c r="C17066" i="1"/>
  <c r="G17065" i="1"/>
  <c r="C17065" i="1"/>
  <c r="G17064" i="1"/>
  <c r="C17064" i="1"/>
  <c r="G17063" i="1"/>
  <c r="C17063" i="1"/>
  <c r="G17062" i="1"/>
  <c r="C17062" i="1"/>
  <c r="G17061" i="1"/>
  <c r="C17061" i="1"/>
  <c r="G17060" i="1"/>
  <c r="C17060" i="1"/>
  <c r="G17059" i="1"/>
  <c r="C17059" i="1"/>
  <c r="G17058" i="1"/>
  <c r="C17058" i="1"/>
  <c r="G17057" i="1"/>
  <c r="C17057" i="1"/>
  <c r="G17056" i="1"/>
  <c r="C17056" i="1"/>
  <c r="G17055" i="1"/>
  <c r="C17055" i="1"/>
  <c r="G17054" i="1"/>
  <c r="C17054" i="1"/>
  <c r="G17053" i="1"/>
  <c r="C17053" i="1"/>
  <c r="G17052" i="1"/>
  <c r="C17052" i="1"/>
  <c r="G17051" i="1"/>
  <c r="C17051" i="1"/>
  <c r="G17050" i="1"/>
  <c r="C17050" i="1"/>
  <c r="G17049" i="1"/>
  <c r="C17049" i="1"/>
  <c r="G17048" i="1"/>
  <c r="C17048" i="1"/>
  <c r="G17047" i="1"/>
  <c r="C17047" i="1"/>
  <c r="G17046" i="1"/>
  <c r="C17046" i="1"/>
  <c r="G17045" i="1"/>
  <c r="C17045" i="1"/>
  <c r="G17044" i="1"/>
  <c r="C17044" i="1"/>
  <c r="G17043" i="1"/>
  <c r="C17043" i="1"/>
  <c r="G17042" i="1"/>
  <c r="C17042" i="1"/>
  <c r="G17041" i="1"/>
  <c r="C17041" i="1"/>
  <c r="G17040" i="1"/>
  <c r="C17040" i="1"/>
  <c r="G17039" i="1"/>
  <c r="C17039" i="1"/>
  <c r="G17038" i="1"/>
  <c r="C17038" i="1"/>
  <c r="G17037" i="1"/>
  <c r="C17037" i="1"/>
  <c r="G17036" i="1"/>
  <c r="C17036" i="1"/>
  <c r="G17035" i="1"/>
  <c r="C17035" i="1"/>
  <c r="G17034" i="1"/>
  <c r="C17034" i="1"/>
  <c r="G17033" i="1"/>
  <c r="C17033" i="1"/>
  <c r="G17032" i="1"/>
  <c r="C17032" i="1"/>
  <c r="G17031" i="1"/>
  <c r="C17031" i="1"/>
  <c r="G17030" i="1"/>
  <c r="C17030" i="1"/>
  <c r="G17029" i="1"/>
  <c r="C17029" i="1"/>
  <c r="G17028" i="1"/>
  <c r="C17028" i="1"/>
  <c r="G17027" i="1"/>
  <c r="C17027" i="1"/>
  <c r="G17026" i="1"/>
  <c r="C17026" i="1"/>
  <c r="G17025" i="1"/>
  <c r="C17025" i="1"/>
  <c r="G17024" i="1"/>
  <c r="C17024" i="1"/>
  <c r="G17023" i="1"/>
  <c r="C17023" i="1"/>
  <c r="G17022" i="1"/>
  <c r="C17022" i="1"/>
  <c r="G17021" i="1"/>
  <c r="C17021" i="1"/>
  <c r="G17020" i="1"/>
  <c r="C17020" i="1"/>
  <c r="G17019" i="1"/>
  <c r="C17019" i="1"/>
  <c r="G17017" i="1"/>
  <c r="C17017" i="1"/>
  <c r="G17016" i="1"/>
  <c r="C17016" i="1"/>
  <c r="G17015" i="1"/>
  <c r="C17015" i="1"/>
  <c r="G17014" i="1"/>
  <c r="C17014" i="1"/>
  <c r="G17013" i="1"/>
  <c r="C17013" i="1"/>
  <c r="G17012" i="1"/>
  <c r="C17012" i="1"/>
  <c r="G17011" i="1"/>
  <c r="C17011" i="1"/>
  <c r="G17010" i="1"/>
  <c r="C17010" i="1"/>
  <c r="G17009" i="1"/>
  <c r="C17009" i="1"/>
  <c r="G17008" i="1"/>
  <c r="C17008" i="1"/>
  <c r="G17007" i="1"/>
  <c r="C17007" i="1"/>
  <c r="G17006" i="1"/>
  <c r="C17006" i="1"/>
  <c r="G17005" i="1"/>
  <c r="C17005" i="1"/>
  <c r="G17004" i="1"/>
  <c r="C17004" i="1"/>
  <c r="G17003" i="1"/>
  <c r="C17003" i="1"/>
  <c r="G17002" i="1"/>
  <c r="C17002" i="1"/>
  <c r="G17001" i="1"/>
  <c r="C17001" i="1"/>
  <c r="G17000" i="1"/>
  <c r="C17000" i="1"/>
  <c r="G16999" i="1"/>
  <c r="C16999" i="1"/>
  <c r="G16998" i="1"/>
  <c r="C16998" i="1"/>
  <c r="G16997" i="1"/>
  <c r="C16997" i="1"/>
  <c r="G16996" i="1"/>
  <c r="C16996" i="1"/>
  <c r="G16995" i="1"/>
  <c r="C16995" i="1"/>
  <c r="G16994" i="1"/>
  <c r="C16994" i="1"/>
  <c r="G16993" i="1"/>
  <c r="C16993" i="1"/>
  <c r="G16992" i="1"/>
  <c r="C16992" i="1"/>
  <c r="G16991" i="1"/>
  <c r="C16991" i="1"/>
  <c r="G16990" i="1"/>
  <c r="C16990" i="1"/>
  <c r="G16989" i="1"/>
  <c r="C16989" i="1"/>
  <c r="G16988" i="1"/>
  <c r="C16988" i="1"/>
  <c r="G16987" i="1"/>
  <c r="C16987" i="1"/>
  <c r="G16986" i="1"/>
  <c r="C16986" i="1"/>
  <c r="G16985" i="1"/>
  <c r="C16985" i="1"/>
  <c r="G16984" i="1"/>
  <c r="C16984" i="1"/>
  <c r="G16983" i="1"/>
  <c r="C16983" i="1"/>
  <c r="G16982" i="1"/>
  <c r="C16982" i="1"/>
  <c r="G16981" i="1"/>
  <c r="C16981" i="1"/>
  <c r="G16980" i="1"/>
  <c r="C16980" i="1"/>
  <c r="G16979" i="1"/>
  <c r="C16979" i="1"/>
  <c r="G16978" i="1"/>
  <c r="C16978" i="1"/>
  <c r="G16977" i="1"/>
  <c r="C16977" i="1"/>
  <c r="G16976" i="1"/>
  <c r="C16976" i="1"/>
  <c r="G16975" i="1"/>
  <c r="C16975" i="1"/>
  <c r="G16974" i="1"/>
  <c r="C16974" i="1"/>
  <c r="G16973" i="1"/>
  <c r="C16973" i="1"/>
  <c r="G16972" i="1"/>
  <c r="C16972" i="1"/>
  <c r="G16971" i="1"/>
  <c r="C16971" i="1"/>
  <c r="G16970" i="1"/>
  <c r="C16970" i="1"/>
  <c r="G16968" i="1"/>
  <c r="C16968" i="1"/>
  <c r="G16967" i="1"/>
  <c r="C16967" i="1"/>
  <c r="G16966" i="1"/>
  <c r="C16966" i="1"/>
  <c r="G16965" i="1"/>
  <c r="C16965" i="1"/>
  <c r="G16964" i="1"/>
  <c r="C16964" i="1"/>
  <c r="G16963" i="1"/>
  <c r="C16963" i="1"/>
  <c r="G16962" i="1"/>
  <c r="C16962" i="1"/>
  <c r="G16961" i="1"/>
  <c r="C16961" i="1"/>
  <c r="G16960" i="1"/>
  <c r="C16960" i="1"/>
  <c r="G16959" i="1"/>
  <c r="C16959" i="1"/>
  <c r="G16958" i="1"/>
  <c r="C16958" i="1"/>
  <c r="G16957" i="1"/>
  <c r="C16957" i="1"/>
  <c r="G16956" i="1"/>
  <c r="C16956" i="1"/>
  <c r="G16955" i="1"/>
  <c r="C16955" i="1"/>
  <c r="G16954" i="1"/>
  <c r="C16954" i="1"/>
  <c r="G16953" i="1"/>
  <c r="C16953" i="1"/>
  <c r="G16952" i="1"/>
  <c r="C16952" i="1"/>
  <c r="G16951" i="1"/>
  <c r="C16951" i="1"/>
  <c r="G16950" i="1"/>
  <c r="C16950" i="1"/>
  <c r="G16949" i="1"/>
  <c r="C16949" i="1"/>
  <c r="G16948" i="1"/>
  <c r="C16948" i="1"/>
  <c r="G16947" i="1"/>
  <c r="C16947" i="1"/>
  <c r="G16946" i="1"/>
  <c r="C16946" i="1"/>
  <c r="G16945" i="1"/>
  <c r="C16945" i="1"/>
  <c r="G16944" i="1"/>
  <c r="C16944" i="1"/>
  <c r="G16943" i="1"/>
  <c r="C16943" i="1"/>
  <c r="G16942" i="1"/>
  <c r="C16942" i="1"/>
  <c r="G16941" i="1"/>
  <c r="C16941" i="1"/>
  <c r="G16940" i="1"/>
  <c r="C16940" i="1"/>
  <c r="G16939" i="1"/>
  <c r="C16939" i="1"/>
  <c r="G16938" i="1"/>
  <c r="C16938" i="1"/>
  <c r="G16937" i="1"/>
  <c r="C16937" i="1"/>
  <c r="G16936" i="1"/>
  <c r="C16936" i="1"/>
  <c r="G16935" i="1"/>
  <c r="C16935" i="1"/>
  <c r="G16934" i="1"/>
  <c r="C16934" i="1"/>
  <c r="G16933" i="1"/>
  <c r="C16933" i="1"/>
  <c r="G16932" i="1"/>
  <c r="C16932" i="1"/>
  <c r="G16930" i="1"/>
  <c r="C16930" i="1"/>
  <c r="G16929" i="1"/>
  <c r="C16929" i="1"/>
  <c r="G16928" i="1"/>
  <c r="C16928" i="1"/>
  <c r="G16927" i="1"/>
  <c r="C16927" i="1"/>
  <c r="G16926" i="1"/>
  <c r="C16926" i="1"/>
  <c r="G16925" i="1"/>
  <c r="C16925" i="1"/>
  <c r="G16924" i="1"/>
  <c r="C16924" i="1"/>
  <c r="G16923" i="1"/>
  <c r="C16923" i="1"/>
  <c r="G16922" i="1"/>
  <c r="C16922" i="1"/>
  <c r="G16921" i="1"/>
  <c r="C16921" i="1"/>
  <c r="G16920" i="1"/>
  <c r="C16920" i="1"/>
  <c r="G16919" i="1"/>
  <c r="C16919" i="1"/>
  <c r="G16918" i="1"/>
  <c r="C16918" i="1"/>
  <c r="G16917" i="1"/>
  <c r="C16917" i="1"/>
  <c r="G16916" i="1"/>
  <c r="C16916" i="1"/>
  <c r="G16915" i="1"/>
  <c r="C16915" i="1"/>
  <c r="G16914" i="1"/>
  <c r="C16914" i="1"/>
  <c r="G16913" i="1"/>
  <c r="C16913" i="1"/>
  <c r="G16912" i="1"/>
  <c r="C16912" i="1"/>
  <c r="G16911" i="1"/>
  <c r="C16911" i="1"/>
  <c r="G16910" i="1"/>
  <c r="C16910" i="1"/>
  <c r="G16909" i="1"/>
  <c r="C16909" i="1"/>
  <c r="G16908" i="1"/>
  <c r="C16908" i="1"/>
  <c r="G16907" i="1"/>
  <c r="C16907" i="1"/>
  <c r="G16906" i="1"/>
  <c r="C16906" i="1"/>
  <c r="G16905" i="1"/>
  <c r="C16905" i="1"/>
  <c r="G16904" i="1"/>
  <c r="C16904" i="1"/>
  <c r="G16903" i="1"/>
  <c r="C16903" i="1"/>
  <c r="G16902" i="1"/>
  <c r="C16902" i="1"/>
  <c r="G16901" i="1"/>
  <c r="C16901" i="1"/>
  <c r="G16900" i="1"/>
  <c r="C16900" i="1"/>
  <c r="G16899" i="1"/>
  <c r="C16899" i="1"/>
  <c r="G16898" i="1"/>
  <c r="C16898" i="1"/>
  <c r="G16897" i="1"/>
  <c r="C16897" i="1"/>
  <c r="G16896" i="1"/>
  <c r="C16896" i="1"/>
  <c r="G16895" i="1"/>
  <c r="C16895" i="1"/>
  <c r="G16894" i="1"/>
  <c r="C16894" i="1"/>
  <c r="G16893" i="1"/>
  <c r="C16893" i="1"/>
  <c r="G16892" i="1"/>
  <c r="C16892" i="1"/>
  <c r="G16891" i="1"/>
  <c r="C16891" i="1"/>
  <c r="G16890" i="1"/>
  <c r="C16890" i="1"/>
  <c r="G16889" i="1"/>
  <c r="C16889" i="1"/>
  <c r="G16888" i="1"/>
  <c r="C16888" i="1"/>
  <c r="G16887" i="1"/>
  <c r="C16887" i="1"/>
  <c r="G16886" i="1"/>
  <c r="C16886" i="1"/>
  <c r="G16885" i="1"/>
  <c r="C16885" i="1"/>
  <c r="G16884" i="1"/>
  <c r="C16884" i="1"/>
  <c r="G16883" i="1"/>
  <c r="C16883" i="1"/>
  <c r="G16882" i="1"/>
  <c r="C16882" i="1"/>
  <c r="G16881" i="1"/>
  <c r="C16881" i="1"/>
  <c r="G16880" i="1"/>
  <c r="C16880" i="1"/>
  <c r="G16879" i="1"/>
  <c r="C16879" i="1"/>
  <c r="G16878" i="1"/>
  <c r="C16878" i="1"/>
  <c r="G16877" i="1"/>
  <c r="C16877" i="1"/>
  <c r="G16876" i="1"/>
  <c r="C16876" i="1"/>
  <c r="G16875" i="1"/>
  <c r="C16875" i="1"/>
  <c r="G16874" i="1"/>
  <c r="C16874" i="1"/>
  <c r="G16873" i="1"/>
  <c r="C16873" i="1"/>
  <c r="G16872" i="1"/>
  <c r="C16872" i="1"/>
  <c r="G16871" i="1"/>
  <c r="C16871" i="1"/>
  <c r="G16870" i="1"/>
  <c r="C16870" i="1"/>
  <c r="G16869" i="1"/>
  <c r="C16869" i="1"/>
  <c r="G16868" i="1"/>
  <c r="C16868" i="1"/>
  <c r="G16867" i="1"/>
  <c r="C16867" i="1"/>
  <c r="G16866" i="1"/>
  <c r="C16866" i="1"/>
  <c r="G16865" i="1"/>
  <c r="C16865" i="1"/>
  <c r="G16864" i="1"/>
  <c r="C16864" i="1"/>
  <c r="G16863" i="1"/>
  <c r="C16863" i="1"/>
  <c r="G16862" i="1"/>
  <c r="C16862" i="1"/>
  <c r="G16861" i="1"/>
  <c r="C16861" i="1"/>
  <c r="G16860" i="1"/>
  <c r="C16860" i="1"/>
  <c r="G16859" i="1"/>
  <c r="C16859" i="1"/>
  <c r="G16858" i="1"/>
  <c r="C16858" i="1"/>
  <c r="G16857" i="1"/>
  <c r="C16857" i="1"/>
  <c r="G16856" i="1"/>
  <c r="C16856" i="1"/>
  <c r="G16855" i="1"/>
  <c r="C16855" i="1"/>
  <c r="G16854" i="1"/>
  <c r="C16854" i="1"/>
  <c r="G16853" i="1"/>
  <c r="C16853" i="1"/>
  <c r="G16852" i="1"/>
  <c r="C16852" i="1"/>
  <c r="G16851" i="1"/>
  <c r="C16851" i="1"/>
  <c r="G16850" i="1"/>
  <c r="C16850" i="1"/>
  <c r="G16849" i="1"/>
  <c r="C16849" i="1"/>
  <c r="G16847" i="1"/>
  <c r="C16847" i="1"/>
  <c r="G16846" i="1"/>
  <c r="C16846" i="1"/>
  <c r="G16845" i="1"/>
  <c r="C16845" i="1"/>
  <c r="G16844" i="1"/>
  <c r="C16844" i="1"/>
  <c r="G16843" i="1"/>
  <c r="C16843" i="1"/>
  <c r="G16842" i="1"/>
  <c r="C16842" i="1"/>
  <c r="G16841" i="1"/>
  <c r="C16841" i="1"/>
  <c r="G16840" i="1"/>
  <c r="C16840" i="1"/>
  <c r="G16839" i="1"/>
  <c r="C16839" i="1"/>
  <c r="G16838" i="1"/>
  <c r="C16838" i="1"/>
  <c r="G16837" i="1"/>
  <c r="C16837" i="1"/>
  <c r="G16836" i="1"/>
  <c r="C16836" i="1"/>
  <c r="G16835" i="1"/>
  <c r="C16835" i="1"/>
  <c r="G16834" i="1"/>
  <c r="C16834" i="1"/>
  <c r="G16833" i="1"/>
  <c r="C16833" i="1"/>
  <c r="G16832" i="1"/>
  <c r="C16832" i="1"/>
  <c r="G16831" i="1"/>
  <c r="C16831" i="1"/>
  <c r="G16830" i="1"/>
  <c r="C16830" i="1"/>
  <c r="G16829" i="1"/>
  <c r="C16829" i="1"/>
  <c r="G16828" i="1"/>
  <c r="C16828" i="1"/>
  <c r="G16827" i="1"/>
  <c r="C16827" i="1"/>
  <c r="G16826" i="1"/>
  <c r="C16826" i="1"/>
  <c r="G16825" i="1"/>
  <c r="C16825" i="1"/>
  <c r="G16824" i="1"/>
  <c r="C16824" i="1"/>
  <c r="G16823" i="1"/>
  <c r="C16823" i="1"/>
  <c r="G16822" i="1"/>
  <c r="C16822" i="1"/>
  <c r="G16821" i="1"/>
  <c r="C16821" i="1"/>
  <c r="G16820" i="1"/>
  <c r="C16820" i="1"/>
  <c r="G16819" i="1"/>
  <c r="C16819" i="1"/>
  <c r="G16818" i="1"/>
  <c r="C16818" i="1"/>
  <c r="G16817" i="1"/>
  <c r="C16817" i="1"/>
  <c r="G16816" i="1"/>
  <c r="C16816" i="1"/>
  <c r="G16815" i="1"/>
  <c r="C16815" i="1"/>
  <c r="G16814" i="1"/>
  <c r="C16814" i="1"/>
  <c r="G16813" i="1"/>
  <c r="C16813" i="1"/>
  <c r="G16812" i="1"/>
  <c r="C16812" i="1"/>
  <c r="G16811" i="1"/>
  <c r="C16811" i="1"/>
  <c r="G16810" i="1"/>
  <c r="C16810" i="1"/>
  <c r="G16809" i="1"/>
  <c r="C16809" i="1"/>
  <c r="G16807" i="1"/>
  <c r="C16807" i="1"/>
  <c r="G16806" i="1"/>
  <c r="C16806" i="1"/>
  <c r="G16805" i="1"/>
  <c r="C16805" i="1"/>
  <c r="G16804" i="1"/>
  <c r="C16804" i="1"/>
  <c r="G16803" i="1"/>
  <c r="C16803" i="1"/>
  <c r="G16802" i="1"/>
  <c r="C16802" i="1"/>
  <c r="G16801" i="1"/>
  <c r="C16801" i="1"/>
  <c r="G16800" i="1"/>
  <c r="C16800" i="1"/>
  <c r="G16799" i="1"/>
  <c r="C16799" i="1"/>
  <c r="G16798" i="1"/>
  <c r="C16798" i="1"/>
  <c r="G16797" i="1"/>
  <c r="C16797" i="1"/>
  <c r="G16796" i="1"/>
  <c r="C16796" i="1"/>
  <c r="G16795" i="1"/>
  <c r="C16795" i="1"/>
  <c r="G16794" i="1"/>
  <c r="C16794" i="1"/>
  <c r="G16793" i="1"/>
  <c r="C16793" i="1"/>
  <c r="G16792" i="1"/>
  <c r="C16792" i="1"/>
  <c r="G16791" i="1"/>
  <c r="C16791" i="1"/>
  <c r="G16790" i="1"/>
  <c r="C16790" i="1"/>
  <c r="G16789" i="1"/>
  <c r="C16789" i="1"/>
  <c r="G16788" i="1"/>
  <c r="C16788" i="1"/>
  <c r="G16787" i="1"/>
  <c r="C16787" i="1"/>
  <c r="G16786" i="1"/>
  <c r="C16786" i="1"/>
  <c r="G16785" i="1"/>
  <c r="C16785" i="1"/>
  <c r="G16784" i="1"/>
  <c r="C16784" i="1"/>
  <c r="G16783" i="1"/>
  <c r="C16783" i="1"/>
  <c r="G16782" i="1"/>
  <c r="C16782" i="1"/>
  <c r="G16781" i="1"/>
  <c r="C16781" i="1"/>
  <c r="G16780" i="1"/>
  <c r="C16780" i="1"/>
  <c r="G16779" i="1"/>
  <c r="C16779" i="1"/>
  <c r="G16778" i="1"/>
  <c r="C16778" i="1"/>
  <c r="G16777" i="1"/>
  <c r="C16777" i="1"/>
  <c r="G16776" i="1"/>
  <c r="C16776" i="1"/>
  <c r="G16775" i="1"/>
  <c r="C16775" i="1"/>
  <c r="G16774" i="1"/>
  <c r="C16774" i="1"/>
  <c r="G16773" i="1"/>
  <c r="C16773" i="1"/>
  <c r="G16772" i="1"/>
  <c r="C16772" i="1"/>
  <c r="G16771" i="1"/>
  <c r="C16771" i="1"/>
  <c r="G16770" i="1"/>
  <c r="C16770" i="1"/>
  <c r="G16769" i="1"/>
  <c r="C16769" i="1"/>
  <c r="G16768" i="1"/>
  <c r="C16768" i="1"/>
  <c r="G16767" i="1"/>
  <c r="C16767" i="1"/>
  <c r="G16766" i="1"/>
  <c r="C16766" i="1"/>
  <c r="G16765" i="1"/>
  <c r="C16765" i="1"/>
  <c r="G16764" i="1"/>
  <c r="C16764" i="1"/>
  <c r="G16763" i="1"/>
  <c r="C16763" i="1"/>
  <c r="G16762" i="1"/>
  <c r="C16762" i="1"/>
  <c r="G16761" i="1"/>
  <c r="C16761" i="1"/>
  <c r="G16760" i="1"/>
  <c r="C16760" i="1"/>
  <c r="G16759" i="1"/>
  <c r="C16759" i="1"/>
  <c r="G16758" i="1"/>
  <c r="C16758" i="1"/>
  <c r="G16757" i="1"/>
  <c r="C16757" i="1"/>
  <c r="G16756" i="1"/>
  <c r="C16756" i="1"/>
  <c r="G16755" i="1"/>
  <c r="C16755" i="1"/>
  <c r="G16753" i="1"/>
  <c r="C16753" i="1"/>
  <c r="G16752" i="1"/>
  <c r="C16752" i="1"/>
  <c r="G16751" i="1"/>
  <c r="C16751" i="1"/>
  <c r="G16750" i="1"/>
  <c r="C16750" i="1"/>
  <c r="G16749" i="1"/>
  <c r="C16749" i="1"/>
  <c r="G16748" i="1"/>
  <c r="C16748" i="1"/>
  <c r="G16747" i="1"/>
  <c r="C16747" i="1"/>
  <c r="G16746" i="1"/>
  <c r="C16746" i="1"/>
  <c r="G16745" i="1"/>
  <c r="C16745" i="1"/>
  <c r="G16744" i="1"/>
  <c r="C16744" i="1"/>
  <c r="G16743" i="1"/>
  <c r="C16743" i="1"/>
  <c r="G16742" i="1"/>
  <c r="C16742" i="1"/>
  <c r="G16741" i="1"/>
  <c r="C16741" i="1"/>
  <c r="G16740" i="1"/>
  <c r="C16740" i="1"/>
  <c r="G16739" i="1"/>
  <c r="C16739" i="1"/>
  <c r="G16738" i="1"/>
  <c r="C16738" i="1"/>
  <c r="G16737" i="1"/>
  <c r="C16737" i="1"/>
  <c r="G16736" i="1"/>
  <c r="C16736" i="1"/>
  <c r="G16735" i="1"/>
  <c r="C16735" i="1"/>
  <c r="G16734" i="1"/>
  <c r="C16734" i="1"/>
  <c r="G16733" i="1"/>
  <c r="C16733" i="1"/>
  <c r="G16732" i="1"/>
  <c r="C16732" i="1"/>
  <c r="G16731" i="1"/>
  <c r="C16731" i="1"/>
  <c r="G16730" i="1"/>
  <c r="C16730" i="1"/>
  <c r="G16729" i="1"/>
  <c r="C16729" i="1"/>
  <c r="G16728" i="1"/>
  <c r="C16728" i="1"/>
  <c r="G16727" i="1"/>
  <c r="C16727" i="1"/>
  <c r="G16726" i="1"/>
  <c r="C16726" i="1"/>
  <c r="G16725" i="1"/>
  <c r="C16725" i="1"/>
  <c r="G16724" i="1"/>
  <c r="C16724" i="1"/>
  <c r="G16723" i="1"/>
  <c r="C16723" i="1"/>
  <c r="G16722" i="1"/>
  <c r="C16722" i="1"/>
  <c r="G16721" i="1"/>
  <c r="C16721" i="1"/>
  <c r="G16720" i="1"/>
  <c r="C16720" i="1"/>
  <c r="G16719" i="1"/>
  <c r="C16719" i="1"/>
  <c r="G16718" i="1"/>
  <c r="C16718" i="1"/>
  <c r="G16717" i="1"/>
  <c r="C16717" i="1"/>
  <c r="G16716" i="1"/>
  <c r="C16716" i="1"/>
  <c r="G16715" i="1"/>
  <c r="C16715" i="1"/>
  <c r="G16714" i="1"/>
  <c r="C16714" i="1"/>
  <c r="G16713" i="1"/>
  <c r="C16713" i="1"/>
  <c r="G16712" i="1"/>
  <c r="C16712" i="1"/>
  <c r="G16711" i="1"/>
  <c r="C16711" i="1"/>
  <c r="G16710" i="1"/>
  <c r="C16710" i="1"/>
  <c r="G16709" i="1"/>
  <c r="C16709" i="1"/>
  <c r="G16708" i="1"/>
  <c r="C16708" i="1"/>
  <c r="G16706" i="1"/>
  <c r="C16706" i="1"/>
  <c r="G16705" i="1"/>
  <c r="C16705" i="1"/>
  <c r="G16704" i="1"/>
  <c r="C16704" i="1"/>
  <c r="G16703" i="1"/>
  <c r="C16703" i="1"/>
  <c r="G16702" i="1"/>
  <c r="C16702" i="1"/>
  <c r="G16701" i="1"/>
  <c r="C16701" i="1"/>
  <c r="G16700" i="1"/>
  <c r="C16700" i="1"/>
  <c r="G16699" i="1"/>
  <c r="C16699" i="1"/>
  <c r="G16698" i="1"/>
  <c r="C16698" i="1"/>
  <c r="G16697" i="1"/>
  <c r="C16697" i="1"/>
  <c r="G16696" i="1"/>
  <c r="C16696" i="1"/>
  <c r="G16695" i="1"/>
  <c r="C16695" i="1"/>
  <c r="G16694" i="1"/>
  <c r="C16694" i="1"/>
  <c r="G16693" i="1"/>
  <c r="C16693" i="1"/>
  <c r="G16692" i="1"/>
  <c r="C16692" i="1"/>
  <c r="G16691" i="1"/>
  <c r="C16691" i="1"/>
  <c r="G16690" i="1"/>
  <c r="C16690" i="1"/>
  <c r="G16689" i="1"/>
  <c r="C16689" i="1"/>
  <c r="G16688" i="1"/>
  <c r="C16688" i="1"/>
  <c r="G16687" i="1"/>
  <c r="C16687" i="1"/>
  <c r="G16686" i="1"/>
  <c r="C16686" i="1"/>
  <c r="G16685" i="1"/>
  <c r="C16685" i="1"/>
  <c r="G16684" i="1"/>
  <c r="C16684" i="1"/>
  <c r="G16683" i="1"/>
  <c r="C16683" i="1"/>
  <c r="G16682" i="1"/>
  <c r="C16682" i="1"/>
  <c r="G16681" i="1"/>
  <c r="C16681" i="1"/>
  <c r="G16680" i="1"/>
  <c r="C16680" i="1"/>
  <c r="G16679" i="1"/>
  <c r="C16679" i="1"/>
  <c r="G16678" i="1"/>
  <c r="C16678" i="1"/>
  <c r="G16677" i="1"/>
  <c r="C16677" i="1"/>
  <c r="G16676" i="1"/>
  <c r="C16676" i="1"/>
  <c r="G16675" i="1"/>
  <c r="C16675" i="1"/>
  <c r="G16674" i="1"/>
  <c r="C16674" i="1"/>
  <c r="G16673" i="1"/>
  <c r="C16673" i="1"/>
  <c r="G16672" i="1"/>
  <c r="C16672" i="1"/>
  <c r="G16671" i="1"/>
  <c r="C16671" i="1"/>
  <c r="G16670" i="1"/>
  <c r="C16670" i="1"/>
  <c r="G16669" i="1"/>
  <c r="C16669" i="1"/>
  <c r="G16668" i="1"/>
  <c r="C16668" i="1"/>
  <c r="G16667" i="1"/>
  <c r="C16667" i="1"/>
  <c r="G16666" i="1"/>
  <c r="C16666" i="1"/>
  <c r="G16665" i="1"/>
  <c r="C16665" i="1"/>
  <c r="G16664" i="1"/>
  <c r="C16664" i="1"/>
  <c r="G16663" i="1"/>
  <c r="C16663" i="1"/>
  <c r="G16662" i="1"/>
  <c r="C16662" i="1"/>
  <c r="G16661" i="1"/>
  <c r="C16661" i="1"/>
  <c r="G16660" i="1"/>
  <c r="C16660" i="1"/>
  <c r="G16659" i="1"/>
  <c r="C16659" i="1"/>
  <c r="G16658" i="1"/>
  <c r="C16658" i="1"/>
  <c r="G16657" i="1"/>
  <c r="C16657" i="1"/>
  <c r="G16656" i="1"/>
  <c r="C16656" i="1"/>
  <c r="G16655" i="1"/>
  <c r="C16655" i="1"/>
  <c r="G16654" i="1"/>
  <c r="C16654" i="1"/>
  <c r="G16653" i="1"/>
  <c r="C16653" i="1"/>
  <c r="G16651" i="1"/>
  <c r="C16651" i="1"/>
  <c r="G16650" i="1"/>
  <c r="C16650" i="1"/>
  <c r="G16649" i="1"/>
  <c r="C16649" i="1"/>
  <c r="G16648" i="1"/>
  <c r="C16648" i="1"/>
  <c r="G16647" i="1"/>
  <c r="C16647" i="1"/>
  <c r="G16645" i="1"/>
  <c r="C16645" i="1"/>
  <c r="G16644" i="1"/>
  <c r="C16644" i="1"/>
  <c r="G16643" i="1"/>
  <c r="C16643" i="1"/>
  <c r="G16642" i="1"/>
  <c r="C16642" i="1"/>
  <c r="G16641" i="1"/>
  <c r="C16641" i="1"/>
  <c r="G16640" i="1"/>
  <c r="C16640" i="1"/>
  <c r="G16639" i="1"/>
  <c r="C16639" i="1"/>
  <c r="G16638" i="1"/>
  <c r="C16638" i="1"/>
  <c r="G16637" i="1"/>
  <c r="C16637" i="1"/>
  <c r="G16636" i="1"/>
  <c r="C16636" i="1"/>
  <c r="G16635" i="1"/>
  <c r="C16635" i="1"/>
  <c r="G16634" i="1"/>
  <c r="C16634" i="1"/>
  <c r="G16633" i="1"/>
  <c r="C16633" i="1"/>
  <c r="G16632" i="1"/>
  <c r="C16632" i="1"/>
  <c r="G16631" i="1"/>
  <c r="C16631" i="1"/>
  <c r="G16630" i="1"/>
  <c r="C16630" i="1"/>
  <c r="G16629" i="1"/>
  <c r="C16629" i="1"/>
  <c r="G16628" i="1"/>
  <c r="C16628" i="1"/>
  <c r="G16627" i="1"/>
  <c r="C16627" i="1"/>
  <c r="G16626" i="1"/>
  <c r="C16626" i="1"/>
  <c r="G16625" i="1"/>
  <c r="C16625" i="1"/>
  <c r="G16624" i="1"/>
  <c r="C16624" i="1"/>
  <c r="G16623" i="1"/>
  <c r="C16623" i="1"/>
  <c r="G16622" i="1"/>
  <c r="C16622" i="1"/>
  <c r="G16621" i="1"/>
  <c r="C16621" i="1"/>
  <c r="G16620" i="1"/>
  <c r="C16620" i="1"/>
  <c r="G16619" i="1"/>
  <c r="C16619" i="1"/>
  <c r="G16618" i="1"/>
  <c r="C16618" i="1"/>
  <c r="G16617" i="1"/>
  <c r="C16617" i="1"/>
  <c r="G16616" i="1"/>
  <c r="C16616" i="1"/>
  <c r="G16615" i="1"/>
  <c r="C16615" i="1"/>
  <c r="G16614" i="1"/>
  <c r="C16614" i="1"/>
  <c r="G16613" i="1"/>
  <c r="C16613" i="1"/>
  <c r="G16612" i="1"/>
  <c r="C16612" i="1"/>
  <c r="G16611" i="1"/>
  <c r="C16611" i="1"/>
  <c r="G16610" i="1"/>
  <c r="C16610" i="1"/>
  <c r="G16609" i="1"/>
  <c r="C16609" i="1"/>
  <c r="G16608" i="1"/>
  <c r="C16608" i="1"/>
  <c r="G16607" i="1"/>
  <c r="C16607" i="1"/>
  <c r="G16606" i="1"/>
  <c r="C16606" i="1"/>
  <c r="G16605" i="1"/>
  <c r="C16605" i="1"/>
  <c r="G16604" i="1"/>
  <c r="C16604" i="1"/>
  <c r="G16603" i="1"/>
  <c r="C16603" i="1"/>
  <c r="G16602" i="1"/>
  <c r="C16602" i="1"/>
  <c r="G16601" i="1"/>
  <c r="C16601" i="1"/>
  <c r="G16600" i="1"/>
  <c r="C16600" i="1"/>
  <c r="G16599" i="1"/>
  <c r="C16599" i="1"/>
  <c r="G16598" i="1"/>
  <c r="C16598" i="1"/>
  <c r="G16597" i="1"/>
  <c r="C16597" i="1"/>
  <c r="G16596" i="1"/>
  <c r="C16596" i="1"/>
  <c r="G16595" i="1"/>
  <c r="C16595" i="1"/>
  <c r="G16594" i="1"/>
  <c r="C16594" i="1"/>
  <c r="G16593" i="1"/>
  <c r="C16593" i="1"/>
  <c r="G16592" i="1"/>
  <c r="C16592" i="1"/>
  <c r="G16591" i="1"/>
  <c r="C16591" i="1"/>
  <c r="G16590" i="1"/>
  <c r="C16590" i="1"/>
  <c r="G16589" i="1"/>
  <c r="C16589" i="1"/>
  <c r="G16588" i="1"/>
  <c r="C16588" i="1"/>
  <c r="G16587" i="1"/>
  <c r="C16587" i="1"/>
  <c r="G16586" i="1"/>
  <c r="C16586" i="1"/>
  <c r="G16584" i="1"/>
  <c r="C16584" i="1"/>
  <c r="G16583" i="1"/>
  <c r="C16583" i="1"/>
  <c r="G16582" i="1"/>
  <c r="C16582" i="1"/>
  <c r="G16581" i="1"/>
  <c r="C16581" i="1"/>
  <c r="G16580" i="1"/>
  <c r="C16580" i="1"/>
  <c r="G16579" i="1"/>
  <c r="C16579" i="1"/>
  <c r="G16578" i="1"/>
  <c r="C16578" i="1"/>
  <c r="G16577" i="1"/>
  <c r="C16577" i="1"/>
  <c r="G16576" i="1"/>
  <c r="C16576" i="1"/>
  <c r="G16575" i="1"/>
  <c r="C16575" i="1"/>
  <c r="G16574" i="1"/>
  <c r="C16574" i="1"/>
  <c r="G16573" i="1"/>
  <c r="C16573" i="1"/>
  <c r="G16572" i="1"/>
  <c r="C16572" i="1"/>
  <c r="G16571" i="1"/>
  <c r="C16571" i="1"/>
  <c r="G16570" i="1"/>
  <c r="C16570" i="1"/>
  <c r="G16569" i="1"/>
  <c r="C16569" i="1"/>
  <c r="G16568" i="1"/>
  <c r="C16568" i="1"/>
  <c r="G16567" i="1"/>
  <c r="C16567" i="1"/>
  <c r="G16566" i="1"/>
  <c r="C16566" i="1"/>
  <c r="G16565" i="1"/>
  <c r="C16565" i="1"/>
  <c r="G16564" i="1"/>
  <c r="C16564" i="1"/>
  <c r="G16563" i="1"/>
  <c r="C16563" i="1"/>
  <c r="G16562" i="1"/>
  <c r="C16562" i="1"/>
  <c r="G16561" i="1"/>
  <c r="C16561" i="1"/>
  <c r="G16560" i="1"/>
  <c r="C16560" i="1"/>
  <c r="G16559" i="1"/>
  <c r="C16559" i="1"/>
  <c r="G16558" i="1"/>
  <c r="C16558" i="1"/>
  <c r="G16557" i="1"/>
  <c r="C16557" i="1"/>
  <c r="G16556" i="1"/>
  <c r="C16556" i="1"/>
  <c r="G16555" i="1"/>
  <c r="C16555" i="1"/>
  <c r="G16554" i="1"/>
  <c r="C16554" i="1"/>
  <c r="G16553" i="1"/>
  <c r="C16553" i="1"/>
  <c r="G16552" i="1"/>
  <c r="C16552" i="1"/>
  <c r="G16551" i="1"/>
  <c r="C16551" i="1"/>
  <c r="G16550" i="1"/>
  <c r="C16550" i="1"/>
  <c r="G16548" i="1"/>
  <c r="C16548" i="1"/>
  <c r="G16547" i="1"/>
  <c r="C16547" i="1"/>
  <c r="G16546" i="1"/>
  <c r="C16546" i="1"/>
  <c r="G16545" i="1"/>
  <c r="C16545" i="1"/>
  <c r="G16544" i="1"/>
  <c r="C16544" i="1"/>
  <c r="G16543" i="1"/>
  <c r="C16543" i="1"/>
  <c r="G16542" i="1"/>
  <c r="C16542" i="1"/>
  <c r="G16541" i="1"/>
  <c r="C16541" i="1"/>
  <c r="G16540" i="1"/>
  <c r="C16540" i="1"/>
  <c r="G16539" i="1"/>
  <c r="C16539" i="1"/>
  <c r="G16538" i="1"/>
  <c r="C16538" i="1"/>
  <c r="G16537" i="1"/>
  <c r="C16537" i="1"/>
  <c r="G16536" i="1"/>
  <c r="C16536" i="1"/>
  <c r="G16535" i="1"/>
  <c r="C16535" i="1"/>
  <c r="G16534" i="1"/>
  <c r="C16534" i="1"/>
  <c r="G16533" i="1"/>
  <c r="C16533" i="1"/>
  <c r="G16532" i="1"/>
  <c r="C16532" i="1"/>
  <c r="G16531" i="1"/>
  <c r="C16531" i="1"/>
  <c r="G16530" i="1"/>
  <c r="C16530" i="1"/>
  <c r="G16529" i="1"/>
  <c r="C16529" i="1"/>
  <c r="G16528" i="1"/>
  <c r="C16528" i="1"/>
  <c r="G16527" i="1"/>
  <c r="C16527" i="1"/>
  <c r="G16526" i="1"/>
  <c r="C16526" i="1"/>
  <c r="G16525" i="1"/>
  <c r="C16525" i="1"/>
  <c r="G16524" i="1"/>
  <c r="C16524" i="1"/>
  <c r="G16523" i="1"/>
  <c r="C16523" i="1"/>
  <c r="G16522" i="1"/>
  <c r="C16522" i="1"/>
  <c r="G16521" i="1"/>
  <c r="C16521" i="1"/>
  <c r="G16520" i="1"/>
  <c r="C16520" i="1"/>
  <c r="G16519" i="1"/>
  <c r="C16519" i="1"/>
  <c r="G16518" i="1"/>
  <c r="C16518" i="1"/>
  <c r="G16517" i="1"/>
  <c r="C16517" i="1"/>
  <c r="G16516" i="1"/>
  <c r="C16516" i="1"/>
  <c r="G16515" i="1"/>
  <c r="C16515" i="1"/>
  <c r="G16514" i="1"/>
  <c r="C16514" i="1"/>
  <c r="G16513" i="1"/>
  <c r="C16513" i="1"/>
  <c r="G16512" i="1"/>
  <c r="C16512" i="1"/>
  <c r="G16511" i="1"/>
  <c r="C16511" i="1"/>
  <c r="G16510" i="1"/>
  <c r="C16510" i="1"/>
  <c r="G16509" i="1"/>
  <c r="C16509" i="1"/>
  <c r="G16507" i="1"/>
  <c r="C16507" i="1"/>
  <c r="G16506" i="1"/>
  <c r="C16506" i="1"/>
  <c r="G16505" i="1"/>
  <c r="C16505" i="1"/>
  <c r="G16504" i="1"/>
  <c r="C16504" i="1"/>
  <c r="G16503" i="1"/>
  <c r="C16503" i="1"/>
  <c r="G16502" i="1"/>
  <c r="C16502" i="1"/>
  <c r="G16501" i="1"/>
  <c r="C16501" i="1"/>
  <c r="G16500" i="1"/>
  <c r="C16500" i="1"/>
  <c r="G16499" i="1"/>
  <c r="C16499" i="1"/>
  <c r="G16498" i="1"/>
  <c r="C16498" i="1"/>
  <c r="G16497" i="1"/>
  <c r="C16497" i="1"/>
  <c r="G16496" i="1"/>
  <c r="C16496" i="1"/>
  <c r="G16495" i="1"/>
  <c r="C16495" i="1"/>
  <c r="G16494" i="1"/>
  <c r="C16494" i="1"/>
  <c r="G16493" i="1"/>
  <c r="C16493" i="1"/>
  <c r="G16492" i="1"/>
  <c r="C16492" i="1"/>
  <c r="G16491" i="1"/>
  <c r="C16491" i="1"/>
  <c r="G16490" i="1"/>
  <c r="C16490" i="1"/>
  <c r="G16489" i="1"/>
  <c r="C16489" i="1"/>
  <c r="G16488" i="1"/>
  <c r="C16488" i="1"/>
  <c r="G16487" i="1"/>
  <c r="C16487" i="1"/>
  <c r="G16486" i="1"/>
  <c r="C16486" i="1"/>
  <c r="G16485" i="1"/>
  <c r="C16485" i="1"/>
  <c r="G16484" i="1"/>
  <c r="C16484" i="1"/>
  <c r="G16483" i="1"/>
  <c r="C16483" i="1"/>
  <c r="G16482" i="1"/>
  <c r="C16482" i="1"/>
  <c r="G16481" i="1"/>
  <c r="C16481" i="1"/>
  <c r="G16480" i="1"/>
  <c r="C16480" i="1"/>
  <c r="G16479" i="1"/>
  <c r="C16479" i="1"/>
  <c r="G16478" i="1"/>
  <c r="C16478" i="1"/>
  <c r="G16477" i="1"/>
  <c r="C16477" i="1"/>
  <c r="G16476" i="1"/>
  <c r="C16476" i="1"/>
  <c r="G16475" i="1"/>
  <c r="C16475" i="1"/>
  <c r="G16474" i="1"/>
  <c r="C16474" i="1"/>
  <c r="G16473" i="1"/>
  <c r="C16473" i="1"/>
  <c r="G16471" i="1"/>
  <c r="C16471" i="1"/>
  <c r="G16470" i="1"/>
  <c r="C16470" i="1"/>
  <c r="G16469" i="1"/>
  <c r="C16469" i="1"/>
  <c r="G16468" i="1"/>
  <c r="C16468" i="1"/>
  <c r="G16467" i="1"/>
  <c r="C16467" i="1"/>
  <c r="G16466" i="1"/>
  <c r="C16466" i="1"/>
  <c r="G16465" i="1"/>
  <c r="C16465" i="1"/>
  <c r="G16464" i="1"/>
  <c r="C16464" i="1"/>
  <c r="G16463" i="1"/>
  <c r="C16463" i="1"/>
  <c r="G16462" i="1"/>
  <c r="C16462" i="1"/>
  <c r="G16461" i="1"/>
  <c r="C16461" i="1"/>
  <c r="G16460" i="1"/>
  <c r="C16460" i="1"/>
  <c r="G16459" i="1"/>
  <c r="C16459" i="1"/>
  <c r="G16458" i="1"/>
  <c r="C16458" i="1"/>
  <c r="G16457" i="1"/>
  <c r="C16457" i="1"/>
  <c r="G16456" i="1"/>
  <c r="C16456" i="1"/>
  <c r="G16455" i="1"/>
  <c r="C16455" i="1"/>
  <c r="G16454" i="1"/>
  <c r="C16454" i="1"/>
  <c r="G16453" i="1"/>
  <c r="C16453" i="1"/>
  <c r="G16452" i="1"/>
  <c r="C16452" i="1"/>
  <c r="G16451" i="1"/>
  <c r="C16451" i="1"/>
  <c r="G16450" i="1"/>
  <c r="C16450" i="1"/>
  <c r="G16449" i="1"/>
  <c r="C16449" i="1"/>
  <c r="G16448" i="1"/>
  <c r="C16448" i="1"/>
  <c r="G16447" i="1"/>
  <c r="C16447" i="1"/>
  <c r="G16446" i="1"/>
  <c r="C16446" i="1"/>
  <c r="G16445" i="1"/>
  <c r="C16445" i="1"/>
  <c r="G16444" i="1"/>
  <c r="C16444" i="1"/>
  <c r="G16443" i="1"/>
  <c r="C16443" i="1"/>
  <c r="G16442" i="1"/>
  <c r="C16442" i="1"/>
  <c r="G16441" i="1"/>
  <c r="C16441" i="1"/>
  <c r="G16440" i="1"/>
  <c r="C16440" i="1"/>
  <c r="G16439" i="1"/>
  <c r="C16439" i="1"/>
  <c r="G16438" i="1"/>
  <c r="C16438" i="1"/>
  <c r="G16437" i="1"/>
  <c r="C16437" i="1"/>
  <c r="G16436" i="1"/>
  <c r="C16436" i="1"/>
  <c r="G16435" i="1"/>
  <c r="C16435" i="1"/>
  <c r="G16434" i="1"/>
  <c r="C16434" i="1"/>
  <c r="G16433" i="1"/>
  <c r="C16433" i="1"/>
  <c r="G16432" i="1"/>
  <c r="C16432" i="1"/>
  <c r="G16431" i="1"/>
  <c r="C16431" i="1"/>
  <c r="G16430" i="1"/>
  <c r="C16430" i="1"/>
  <c r="G16429" i="1"/>
  <c r="C16429" i="1"/>
  <c r="G16428" i="1"/>
  <c r="C16428" i="1"/>
  <c r="G16427" i="1"/>
  <c r="C16427" i="1"/>
  <c r="G16426" i="1"/>
  <c r="C16426" i="1"/>
  <c r="G16425" i="1"/>
  <c r="C16425" i="1"/>
  <c r="G16424" i="1"/>
  <c r="C16424" i="1"/>
  <c r="G16423" i="1"/>
  <c r="C16423" i="1"/>
  <c r="G16422" i="1"/>
  <c r="C16422" i="1"/>
  <c r="G16421" i="1"/>
  <c r="C16421" i="1"/>
  <c r="G16420" i="1"/>
  <c r="C16420" i="1"/>
  <c r="G16419" i="1"/>
  <c r="C16419" i="1"/>
  <c r="G16418" i="1"/>
  <c r="C16418" i="1"/>
  <c r="G16417" i="1"/>
  <c r="C16417" i="1"/>
  <c r="G16416" i="1"/>
  <c r="C16416" i="1"/>
  <c r="G16415" i="1"/>
  <c r="C16415" i="1"/>
  <c r="G16414" i="1"/>
  <c r="C16414" i="1"/>
  <c r="G16413" i="1"/>
  <c r="C16413" i="1"/>
  <c r="G16412" i="1"/>
  <c r="C16412" i="1"/>
  <c r="G16411" i="1"/>
  <c r="C16411" i="1"/>
  <c r="G16410" i="1"/>
  <c r="C16410" i="1"/>
  <c r="G16409" i="1"/>
  <c r="C16409" i="1"/>
  <c r="G16408" i="1"/>
  <c r="C16408" i="1"/>
  <c r="G16407" i="1"/>
  <c r="C16407" i="1"/>
  <c r="G16406" i="1"/>
  <c r="C16406" i="1"/>
  <c r="G16405" i="1"/>
  <c r="C16405" i="1"/>
  <c r="G16403" i="1"/>
  <c r="C16403" i="1"/>
  <c r="G16402" i="1"/>
  <c r="C16402" i="1"/>
  <c r="G16401" i="1"/>
  <c r="C16401" i="1"/>
  <c r="G16400" i="1"/>
  <c r="C16400" i="1"/>
  <c r="G16399" i="1"/>
  <c r="C16399" i="1"/>
  <c r="G16398" i="1"/>
  <c r="C16398" i="1"/>
  <c r="G16397" i="1"/>
  <c r="C16397" i="1"/>
  <c r="G16396" i="1"/>
  <c r="C16396" i="1"/>
  <c r="G16395" i="1"/>
  <c r="C16395" i="1"/>
  <c r="G16394" i="1"/>
  <c r="C16394" i="1"/>
  <c r="G16393" i="1"/>
  <c r="C16393" i="1"/>
  <c r="G16392" i="1"/>
  <c r="C16392" i="1"/>
  <c r="G16391" i="1"/>
  <c r="C16391" i="1"/>
  <c r="G16390" i="1"/>
  <c r="C16390" i="1"/>
  <c r="G16389" i="1"/>
  <c r="C16389" i="1"/>
  <c r="G16388" i="1"/>
  <c r="C16388" i="1"/>
  <c r="G16387" i="1"/>
  <c r="C16387" i="1"/>
  <c r="G16386" i="1"/>
  <c r="C16386" i="1"/>
  <c r="G16385" i="1"/>
  <c r="C16385" i="1"/>
  <c r="G16384" i="1"/>
  <c r="C16384" i="1"/>
  <c r="G16383" i="1"/>
  <c r="C16383" i="1"/>
  <c r="G16382" i="1"/>
  <c r="C16382" i="1"/>
  <c r="G16381" i="1"/>
  <c r="C16381" i="1"/>
  <c r="G16380" i="1"/>
  <c r="C16380" i="1"/>
  <c r="G16379" i="1"/>
  <c r="C16379" i="1"/>
  <c r="G16378" i="1"/>
  <c r="C16378" i="1"/>
  <c r="G16377" i="1"/>
  <c r="C16377" i="1"/>
  <c r="G16376" i="1"/>
  <c r="C16376" i="1"/>
  <c r="G16375" i="1"/>
  <c r="C16375" i="1"/>
  <c r="G16374" i="1"/>
  <c r="C16374" i="1"/>
  <c r="G16373" i="1"/>
  <c r="C16373" i="1"/>
  <c r="G16370" i="1"/>
  <c r="C16370" i="1"/>
  <c r="G16369" i="1"/>
  <c r="C16369" i="1"/>
  <c r="G16368" i="1"/>
  <c r="C16368" i="1"/>
  <c r="G16367" i="1"/>
  <c r="C16367" i="1"/>
  <c r="G16366" i="1"/>
  <c r="C16366" i="1"/>
  <c r="G16364" i="1"/>
  <c r="C16364" i="1"/>
  <c r="G16363" i="1"/>
  <c r="C16363" i="1"/>
  <c r="G16362" i="1"/>
  <c r="C16362" i="1"/>
  <c r="G16361" i="1"/>
  <c r="C16361" i="1"/>
  <c r="G16360" i="1"/>
  <c r="C16360" i="1"/>
  <c r="G16359" i="1"/>
  <c r="C16359" i="1"/>
  <c r="G16358" i="1"/>
  <c r="C16358" i="1"/>
  <c r="G16357" i="1"/>
  <c r="C16357" i="1"/>
  <c r="G16356" i="1"/>
  <c r="C16356" i="1"/>
  <c r="G16355" i="1"/>
  <c r="C16355" i="1"/>
  <c r="G16354" i="1"/>
  <c r="C16354" i="1"/>
  <c r="G16353" i="1"/>
  <c r="C16353" i="1"/>
  <c r="G16352" i="1"/>
  <c r="C16352" i="1"/>
  <c r="G16351" i="1"/>
  <c r="C16351" i="1"/>
  <c r="G16350" i="1"/>
  <c r="C16350" i="1"/>
  <c r="G16349" i="1"/>
  <c r="C16349" i="1"/>
  <c r="G16348" i="1"/>
  <c r="C16348" i="1"/>
  <c r="G16347" i="1"/>
  <c r="C16347" i="1"/>
  <c r="G16346" i="1"/>
  <c r="C16346" i="1"/>
  <c r="G16345" i="1"/>
  <c r="C16345" i="1"/>
  <c r="G16344" i="1"/>
  <c r="C16344" i="1"/>
  <c r="G16343" i="1"/>
  <c r="C16343" i="1"/>
  <c r="G16342" i="1"/>
  <c r="C16342" i="1"/>
  <c r="G16341" i="1"/>
  <c r="C16341" i="1"/>
  <c r="G16340" i="1"/>
  <c r="C16340" i="1"/>
  <c r="G16339" i="1"/>
  <c r="C16339" i="1"/>
  <c r="G16338" i="1"/>
  <c r="C16338" i="1"/>
  <c r="G16337" i="1"/>
  <c r="C16337" i="1"/>
  <c r="G16336" i="1"/>
  <c r="C16336" i="1"/>
  <c r="G16335" i="1"/>
  <c r="C16335" i="1"/>
  <c r="G16334" i="1"/>
  <c r="C16334" i="1"/>
  <c r="G16333" i="1"/>
  <c r="C16333" i="1"/>
  <c r="G16332" i="1"/>
  <c r="C16332" i="1"/>
  <c r="G16331" i="1"/>
  <c r="C16331" i="1"/>
  <c r="G16330" i="1"/>
  <c r="C16330" i="1"/>
  <c r="G16329" i="1"/>
  <c r="C16329" i="1"/>
  <c r="G16328" i="1"/>
  <c r="C16328" i="1"/>
  <c r="G16327" i="1"/>
  <c r="C16327" i="1"/>
  <c r="G16326" i="1"/>
  <c r="C16326" i="1"/>
  <c r="G16325" i="1"/>
  <c r="C16325" i="1"/>
  <c r="G16324" i="1"/>
  <c r="C16324" i="1"/>
  <c r="G16323" i="1"/>
  <c r="C16323" i="1"/>
  <c r="G16322" i="1"/>
  <c r="C16322" i="1"/>
  <c r="G16321" i="1"/>
  <c r="C16321" i="1"/>
  <c r="G16320" i="1"/>
  <c r="C16320" i="1"/>
  <c r="G16319" i="1"/>
  <c r="C16319" i="1"/>
  <c r="G16318" i="1"/>
  <c r="C16318" i="1"/>
  <c r="G16317" i="1"/>
  <c r="C16317" i="1"/>
  <c r="G16316" i="1"/>
  <c r="C16316" i="1"/>
  <c r="G16315" i="1"/>
  <c r="C16315" i="1"/>
  <c r="G16314" i="1"/>
  <c r="C16314" i="1"/>
  <c r="G16313" i="1"/>
  <c r="C16313" i="1"/>
  <c r="G16312" i="1"/>
  <c r="C16312" i="1"/>
  <c r="G16311" i="1"/>
  <c r="C16311" i="1"/>
  <c r="G16310" i="1"/>
  <c r="C16310" i="1"/>
  <c r="G16309" i="1"/>
  <c r="C16309" i="1"/>
  <c r="G16308" i="1"/>
  <c r="C16308" i="1"/>
  <c r="G16307" i="1"/>
  <c r="C16307" i="1"/>
  <c r="G16306" i="1"/>
  <c r="C16306" i="1"/>
  <c r="G16305" i="1"/>
  <c r="C16305" i="1"/>
  <c r="G16304" i="1"/>
  <c r="C16304" i="1"/>
  <c r="G16303" i="1"/>
  <c r="C16303" i="1"/>
  <c r="G16302" i="1"/>
  <c r="C16302" i="1"/>
  <c r="G16301" i="1"/>
  <c r="C16301" i="1"/>
  <c r="G16300" i="1"/>
  <c r="C16300" i="1"/>
  <c r="G16299" i="1"/>
  <c r="C16299" i="1"/>
  <c r="G16298" i="1"/>
  <c r="C16298" i="1"/>
  <c r="G16297" i="1"/>
  <c r="C16297" i="1"/>
  <c r="G16296" i="1"/>
  <c r="C16296" i="1"/>
  <c r="G16295" i="1"/>
  <c r="C16295" i="1"/>
  <c r="G16294" i="1"/>
  <c r="C16294" i="1"/>
  <c r="G16293" i="1"/>
  <c r="C16293" i="1"/>
  <c r="G16292" i="1"/>
  <c r="C16292" i="1"/>
  <c r="G16291" i="1"/>
  <c r="C16291" i="1"/>
  <c r="G16290" i="1"/>
  <c r="C16290" i="1"/>
  <c r="G16289" i="1"/>
  <c r="C16289" i="1"/>
  <c r="G16287" i="1"/>
  <c r="C16287" i="1"/>
  <c r="G16286" i="1"/>
  <c r="C16286" i="1"/>
  <c r="G16285" i="1"/>
  <c r="C16285" i="1"/>
  <c r="G16284" i="1"/>
  <c r="C16284" i="1"/>
  <c r="G16283" i="1"/>
  <c r="C16283" i="1"/>
  <c r="G16282" i="1"/>
  <c r="C16282" i="1"/>
  <c r="G16281" i="1"/>
  <c r="C16281" i="1"/>
  <c r="G16280" i="1"/>
  <c r="C16280" i="1"/>
  <c r="G16279" i="1"/>
  <c r="C16279" i="1"/>
  <c r="G16278" i="1"/>
  <c r="C16278" i="1"/>
  <c r="G16277" i="1"/>
  <c r="C16277" i="1"/>
  <c r="G16276" i="1"/>
  <c r="C16276" i="1"/>
  <c r="G16275" i="1"/>
  <c r="C16275" i="1"/>
  <c r="G16274" i="1"/>
  <c r="C16274" i="1"/>
  <c r="G16273" i="1"/>
  <c r="C16273" i="1"/>
  <c r="G16272" i="1"/>
  <c r="C16272" i="1"/>
  <c r="G16271" i="1"/>
  <c r="C16271" i="1"/>
  <c r="G16270" i="1"/>
  <c r="C16270" i="1"/>
  <c r="G16269" i="1"/>
  <c r="C16269" i="1"/>
  <c r="G16268" i="1"/>
  <c r="C16268" i="1"/>
  <c r="G16267" i="1"/>
  <c r="C16267" i="1"/>
  <c r="G16265" i="1"/>
  <c r="C16265" i="1"/>
  <c r="G16264" i="1"/>
  <c r="C16264" i="1"/>
  <c r="G16263" i="1"/>
  <c r="C16263" i="1"/>
  <c r="G16262" i="1"/>
  <c r="C16262" i="1"/>
  <c r="G16261" i="1"/>
  <c r="C16261" i="1"/>
  <c r="G16260" i="1"/>
  <c r="C16260" i="1"/>
  <c r="G16259" i="1"/>
  <c r="C16259" i="1"/>
  <c r="G16258" i="1"/>
  <c r="C16258" i="1"/>
  <c r="G16257" i="1"/>
  <c r="C16257" i="1"/>
  <c r="G16256" i="1"/>
  <c r="C16256" i="1"/>
  <c r="G16255" i="1"/>
  <c r="C16255" i="1"/>
  <c r="G16254" i="1"/>
  <c r="C16254" i="1"/>
  <c r="G16253" i="1"/>
  <c r="C16253" i="1"/>
  <c r="G16252" i="1"/>
  <c r="C16252" i="1"/>
  <c r="G16251" i="1"/>
  <c r="C16251" i="1"/>
  <c r="G16250" i="1"/>
  <c r="C16250" i="1"/>
  <c r="G16249" i="1"/>
  <c r="C16249" i="1"/>
  <c r="G16248" i="1"/>
  <c r="C16248" i="1"/>
  <c r="G16247" i="1"/>
  <c r="C16247" i="1"/>
  <c r="G16246" i="1"/>
  <c r="C16246" i="1"/>
  <c r="G16245" i="1"/>
  <c r="C16245" i="1"/>
  <c r="G16244" i="1"/>
  <c r="C16244" i="1"/>
  <c r="G16243" i="1"/>
  <c r="C16243" i="1"/>
  <c r="G16242" i="1"/>
  <c r="C16242" i="1"/>
  <c r="G16241" i="1"/>
  <c r="C16241" i="1"/>
  <c r="G16240" i="1"/>
  <c r="C16240" i="1"/>
  <c r="G16239" i="1"/>
  <c r="C16239" i="1"/>
  <c r="G16238" i="1"/>
  <c r="C16238" i="1"/>
  <c r="G16237" i="1"/>
  <c r="C16237" i="1"/>
  <c r="G16236" i="1"/>
  <c r="C16236" i="1"/>
  <c r="G16235" i="1"/>
  <c r="C16235" i="1"/>
  <c r="G16234" i="1"/>
  <c r="C16234" i="1"/>
  <c r="G16233" i="1"/>
  <c r="C16233" i="1"/>
  <c r="G16232" i="1"/>
  <c r="C16232" i="1"/>
  <c r="G16231" i="1"/>
  <c r="C16231" i="1"/>
  <c r="G16230" i="1"/>
  <c r="C16230" i="1"/>
  <c r="G16229" i="1"/>
  <c r="C16229" i="1"/>
  <c r="G16228" i="1"/>
  <c r="C16228" i="1"/>
  <c r="G16227" i="1"/>
  <c r="C16227" i="1"/>
  <c r="G16226" i="1"/>
  <c r="C16226" i="1"/>
  <c r="G16225" i="1"/>
  <c r="C16225" i="1"/>
  <c r="G16224" i="1"/>
  <c r="C16224" i="1"/>
  <c r="G16223" i="1"/>
  <c r="C16223" i="1"/>
  <c r="G16222" i="1"/>
  <c r="C16222" i="1"/>
  <c r="G16221" i="1"/>
  <c r="C16221" i="1"/>
  <c r="G16220" i="1"/>
  <c r="C16220" i="1"/>
  <c r="G16219" i="1"/>
  <c r="C16219" i="1"/>
  <c r="G16218" i="1"/>
  <c r="C16218" i="1"/>
  <c r="G16217" i="1"/>
  <c r="C16217" i="1"/>
  <c r="G16216" i="1"/>
  <c r="C16216" i="1"/>
  <c r="G16215" i="1"/>
  <c r="C16215" i="1"/>
  <c r="G16214" i="1"/>
  <c r="C16214" i="1"/>
  <c r="G16213" i="1"/>
  <c r="C16213" i="1"/>
  <c r="G16212" i="1"/>
  <c r="C16212" i="1"/>
  <c r="G16211" i="1"/>
  <c r="C16211" i="1"/>
  <c r="G16210" i="1"/>
  <c r="C16210" i="1"/>
  <c r="G16209" i="1"/>
  <c r="C16209" i="1"/>
  <c r="G16208" i="1"/>
  <c r="C16208" i="1"/>
  <c r="G16207" i="1"/>
  <c r="C16207" i="1"/>
  <c r="G16206" i="1"/>
  <c r="C16206" i="1"/>
  <c r="G16205" i="1"/>
  <c r="C16205" i="1"/>
  <c r="G16204" i="1"/>
  <c r="C16204" i="1"/>
  <c r="G16203" i="1"/>
  <c r="C16203" i="1"/>
  <c r="G16202" i="1"/>
  <c r="C16202" i="1"/>
  <c r="G16201" i="1"/>
  <c r="C16201" i="1"/>
  <c r="G16200" i="1"/>
  <c r="C16200" i="1"/>
  <c r="G16199" i="1"/>
  <c r="C16199" i="1"/>
  <c r="G16198" i="1"/>
  <c r="C16198" i="1"/>
  <c r="G16197" i="1"/>
  <c r="C16197" i="1"/>
  <c r="G16196" i="1"/>
  <c r="C16196" i="1"/>
  <c r="G16195" i="1"/>
  <c r="C16195" i="1"/>
  <c r="G16194" i="1"/>
  <c r="C16194" i="1"/>
  <c r="G16193" i="1"/>
  <c r="C16193" i="1"/>
  <c r="G16192" i="1"/>
  <c r="C16192" i="1"/>
  <c r="G16191" i="1"/>
  <c r="C16191" i="1"/>
  <c r="G16190" i="1"/>
  <c r="C16190" i="1"/>
  <c r="G16189" i="1"/>
  <c r="C16189" i="1"/>
  <c r="G16188" i="1"/>
  <c r="C16188" i="1"/>
  <c r="G16187" i="1"/>
  <c r="C16187" i="1"/>
  <c r="G16186" i="1"/>
  <c r="C16186" i="1"/>
  <c r="G16185" i="1"/>
  <c r="C16185" i="1"/>
  <c r="G16184" i="1"/>
  <c r="C16184" i="1"/>
  <c r="G16183" i="1"/>
  <c r="C16183" i="1"/>
  <c r="G16182" i="1"/>
  <c r="C16182" i="1"/>
  <c r="G16181" i="1"/>
  <c r="C16181" i="1"/>
  <c r="G16180" i="1"/>
  <c r="C16180" i="1"/>
  <c r="G16179" i="1"/>
  <c r="C16179" i="1"/>
  <c r="G16178" i="1"/>
  <c r="C16178" i="1"/>
  <c r="G16177" i="1"/>
  <c r="C16177" i="1"/>
  <c r="G16176" i="1"/>
  <c r="C16176" i="1"/>
  <c r="G16175" i="1"/>
  <c r="C16175" i="1"/>
  <c r="G16174" i="1"/>
  <c r="C16174" i="1"/>
  <c r="G16173" i="1"/>
  <c r="C16173" i="1"/>
  <c r="G16172" i="1"/>
  <c r="C16172" i="1"/>
  <c r="G16171" i="1"/>
  <c r="C16171" i="1"/>
  <c r="G16170" i="1"/>
  <c r="C16170" i="1"/>
  <c r="G16169" i="1"/>
  <c r="C16169" i="1"/>
  <c r="G16168" i="1"/>
  <c r="C16168" i="1"/>
  <c r="G16167" i="1"/>
  <c r="C16167" i="1"/>
  <c r="G16166" i="1"/>
  <c r="C16166" i="1"/>
  <c r="G16165" i="1"/>
  <c r="C16165" i="1"/>
  <c r="G16163" i="1"/>
  <c r="C16163" i="1"/>
  <c r="G16162" i="1"/>
  <c r="C16162" i="1"/>
  <c r="G16161" i="1"/>
  <c r="C16161" i="1"/>
  <c r="G16160" i="1"/>
  <c r="C16160" i="1"/>
  <c r="G16159" i="1"/>
  <c r="C16159" i="1"/>
  <c r="G16158" i="1"/>
  <c r="C16158" i="1"/>
  <c r="G16157" i="1"/>
  <c r="C16157" i="1"/>
  <c r="G16156" i="1"/>
  <c r="C16156" i="1"/>
  <c r="G16155" i="1"/>
  <c r="C16155" i="1"/>
  <c r="G16154" i="1"/>
  <c r="C16154" i="1"/>
  <c r="G16153" i="1"/>
  <c r="C16153" i="1"/>
  <c r="G16152" i="1"/>
  <c r="C16152" i="1"/>
  <c r="G16151" i="1"/>
  <c r="C16151" i="1"/>
  <c r="G16150" i="1"/>
  <c r="C16150" i="1"/>
  <c r="G16149" i="1"/>
  <c r="C16149" i="1"/>
  <c r="G16148" i="1"/>
  <c r="C16148" i="1"/>
  <c r="G16147" i="1"/>
  <c r="C16147" i="1"/>
  <c r="G16146" i="1"/>
  <c r="C16146" i="1"/>
  <c r="G16145" i="1"/>
  <c r="C16145" i="1"/>
  <c r="G16144" i="1"/>
  <c r="C16144" i="1"/>
  <c r="G16143" i="1"/>
  <c r="C16143" i="1"/>
  <c r="G16142" i="1"/>
  <c r="C16142" i="1"/>
  <c r="G16141" i="1"/>
  <c r="C16141" i="1"/>
  <c r="G16140" i="1"/>
  <c r="C16140" i="1"/>
  <c r="G16139" i="1"/>
  <c r="C16139" i="1"/>
  <c r="G16138" i="1"/>
  <c r="C16138" i="1"/>
  <c r="G16137" i="1"/>
  <c r="C16137" i="1"/>
  <c r="G16136" i="1"/>
  <c r="C16136" i="1"/>
  <c r="G16135" i="1"/>
  <c r="C16135" i="1"/>
  <c r="G16134" i="1"/>
  <c r="C16134" i="1"/>
  <c r="G16133" i="1"/>
  <c r="C16133" i="1"/>
  <c r="G16132" i="1"/>
  <c r="C16132" i="1"/>
  <c r="G16131" i="1"/>
  <c r="C16131" i="1"/>
  <c r="G16130" i="1"/>
  <c r="C16130" i="1"/>
  <c r="G16129" i="1"/>
  <c r="C16129" i="1"/>
  <c r="G16128" i="1"/>
  <c r="C16128" i="1"/>
  <c r="G16127" i="1"/>
  <c r="C16127" i="1"/>
  <c r="G16126" i="1"/>
  <c r="C16126" i="1"/>
  <c r="G16125" i="1"/>
  <c r="C16125" i="1"/>
  <c r="G16124" i="1"/>
  <c r="C16124" i="1"/>
  <c r="G16123" i="1"/>
  <c r="C16123" i="1"/>
  <c r="G16122" i="1"/>
  <c r="C16122" i="1"/>
  <c r="G16121" i="1"/>
  <c r="C16121" i="1"/>
  <c r="G16120" i="1"/>
  <c r="C16120" i="1"/>
  <c r="G16119" i="1"/>
  <c r="C16119" i="1"/>
  <c r="G16118" i="1"/>
  <c r="C16118" i="1"/>
  <c r="G16117" i="1"/>
  <c r="C16117" i="1"/>
  <c r="G16116" i="1"/>
  <c r="C16116" i="1"/>
  <c r="G16115" i="1"/>
  <c r="C16115" i="1"/>
  <c r="G16114" i="1"/>
  <c r="C16114" i="1"/>
  <c r="G16112" i="1"/>
  <c r="C16112" i="1"/>
  <c r="G16111" i="1"/>
  <c r="C16111" i="1"/>
  <c r="G16110" i="1"/>
  <c r="C16110" i="1"/>
  <c r="G16109" i="1"/>
  <c r="C16109" i="1"/>
  <c r="G16108" i="1"/>
  <c r="C16108" i="1"/>
  <c r="G16107" i="1"/>
  <c r="C16107" i="1"/>
  <c r="G16106" i="1"/>
  <c r="C16106" i="1"/>
  <c r="G16105" i="1"/>
  <c r="C16105" i="1"/>
  <c r="G16104" i="1"/>
  <c r="C16104" i="1"/>
  <c r="G16103" i="1"/>
  <c r="C16103" i="1"/>
  <c r="G16102" i="1"/>
  <c r="C16102" i="1"/>
  <c r="G16101" i="1"/>
  <c r="C16101" i="1"/>
  <c r="G16100" i="1"/>
  <c r="C16100" i="1"/>
  <c r="G16099" i="1"/>
  <c r="C16099" i="1"/>
  <c r="G16098" i="1"/>
  <c r="C16098" i="1"/>
  <c r="G16097" i="1"/>
  <c r="C16097" i="1"/>
  <c r="G16096" i="1"/>
  <c r="C16096" i="1"/>
  <c r="G16095" i="1"/>
  <c r="C16095" i="1"/>
  <c r="G16094" i="1"/>
  <c r="C16094" i="1"/>
  <c r="G16093" i="1"/>
  <c r="C16093" i="1"/>
  <c r="G16092" i="1"/>
  <c r="C16092" i="1"/>
  <c r="G16091" i="1"/>
  <c r="C16091" i="1"/>
  <c r="G16090" i="1"/>
  <c r="C16090" i="1"/>
  <c r="G16089" i="1"/>
  <c r="C16089" i="1"/>
  <c r="G16088" i="1"/>
  <c r="C16088" i="1"/>
  <c r="G16087" i="1"/>
  <c r="C16087" i="1"/>
  <c r="G16086" i="1"/>
  <c r="C16086" i="1"/>
  <c r="G16085" i="1"/>
  <c r="C16085" i="1"/>
  <c r="G16084" i="1"/>
  <c r="C16084" i="1"/>
  <c r="G16083" i="1"/>
  <c r="C16083" i="1"/>
  <c r="G16082" i="1"/>
  <c r="C16082" i="1"/>
  <c r="G16081" i="1"/>
  <c r="C16081" i="1"/>
  <c r="G16080" i="1"/>
  <c r="C16080" i="1"/>
  <c r="G16078" i="1"/>
  <c r="C16078" i="1"/>
  <c r="G16077" i="1"/>
  <c r="C16077" i="1"/>
  <c r="G16076" i="1"/>
  <c r="C16076" i="1"/>
  <c r="G16075" i="1"/>
  <c r="C16075" i="1"/>
  <c r="G16074" i="1"/>
  <c r="C16074" i="1"/>
  <c r="G16073" i="1"/>
  <c r="C16073" i="1"/>
  <c r="G16072" i="1"/>
  <c r="C16072" i="1"/>
  <c r="G16071" i="1"/>
  <c r="C16071" i="1"/>
  <c r="G16070" i="1"/>
  <c r="C16070" i="1"/>
  <c r="G16069" i="1"/>
  <c r="C16069" i="1"/>
  <c r="G16068" i="1"/>
  <c r="C16068" i="1"/>
  <c r="G16067" i="1"/>
  <c r="C16067" i="1"/>
  <c r="G16066" i="1"/>
  <c r="C16066" i="1"/>
  <c r="G16065" i="1"/>
  <c r="C16065" i="1"/>
  <c r="G16064" i="1"/>
  <c r="C16064" i="1"/>
  <c r="G16063" i="1"/>
  <c r="C16063" i="1"/>
  <c r="G16062" i="1"/>
  <c r="C16062" i="1"/>
  <c r="G16061" i="1"/>
  <c r="C16061" i="1"/>
  <c r="G16060" i="1"/>
  <c r="C16060" i="1"/>
  <c r="G16059" i="1"/>
  <c r="C16059" i="1"/>
  <c r="G16058" i="1"/>
  <c r="C16058" i="1"/>
  <c r="G16057" i="1"/>
  <c r="C16057" i="1"/>
  <c r="G16056" i="1"/>
  <c r="C16056" i="1"/>
  <c r="G16055" i="1"/>
  <c r="C16055" i="1"/>
  <c r="G16054" i="1"/>
  <c r="C16054" i="1"/>
  <c r="G16053" i="1"/>
  <c r="C16053" i="1"/>
  <c r="G16052" i="1"/>
  <c r="C16052" i="1"/>
  <c r="G16051" i="1"/>
  <c r="C16051" i="1"/>
  <c r="G16050" i="1"/>
  <c r="C16050" i="1"/>
  <c r="G16049" i="1"/>
  <c r="C16049" i="1"/>
  <c r="G16048" i="1"/>
  <c r="C16048" i="1"/>
  <c r="G16047" i="1"/>
  <c r="C16047" i="1"/>
  <c r="G16046" i="1"/>
  <c r="C16046" i="1"/>
  <c r="G16045" i="1"/>
  <c r="C16045" i="1"/>
  <c r="G16044" i="1"/>
  <c r="C16044" i="1"/>
  <c r="G16043" i="1"/>
  <c r="C16043" i="1"/>
  <c r="G16042" i="1"/>
  <c r="C16042" i="1"/>
  <c r="G16041" i="1"/>
  <c r="C16041" i="1"/>
  <c r="G16040" i="1"/>
  <c r="C16040" i="1"/>
  <c r="G16039" i="1"/>
  <c r="C16039" i="1"/>
  <c r="G16038" i="1"/>
  <c r="C16038" i="1"/>
  <c r="G16037" i="1"/>
  <c r="C16037" i="1"/>
  <c r="G16036" i="1"/>
  <c r="C16036" i="1"/>
  <c r="G16035" i="1"/>
  <c r="C16035" i="1"/>
  <c r="G16034" i="1"/>
  <c r="C16034" i="1"/>
  <c r="G16033" i="1"/>
  <c r="C16033" i="1"/>
  <c r="G16032" i="1"/>
  <c r="C16032" i="1"/>
  <c r="G16031" i="1"/>
  <c r="C16031" i="1"/>
  <c r="G16030" i="1"/>
  <c r="C16030" i="1"/>
  <c r="G16029" i="1"/>
  <c r="C16029" i="1"/>
  <c r="G16028" i="1"/>
  <c r="C16028" i="1"/>
  <c r="G16027" i="1"/>
  <c r="C16027" i="1"/>
  <c r="G16026" i="1"/>
  <c r="C16026" i="1"/>
  <c r="G16025" i="1"/>
  <c r="C16025" i="1"/>
  <c r="G16024" i="1"/>
  <c r="C16024" i="1"/>
  <c r="G16023" i="1"/>
  <c r="C16023" i="1"/>
  <c r="G16022" i="1"/>
  <c r="C16022" i="1"/>
  <c r="G16021" i="1"/>
  <c r="C16021" i="1"/>
  <c r="G16020" i="1"/>
  <c r="C16020" i="1"/>
  <c r="G16019" i="1"/>
  <c r="C16019" i="1"/>
  <c r="G16018" i="1"/>
  <c r="C16018" i="1"/>
  <c r="G16017" i="1"/>
  <c r="C16017" i="1"/>
  <c r="G16016" i="1"/>
  <c r="C16016" i="1"/>
  <c r="G16015" i="1"/>
  <c r="C16015" i="1"/>
  <c r="G16014" i="1"/>
  <c r="C16014" i="1"/>
  <c r="G16013" i="1"/>
  <c r="C16013" i="1"/>
  <c r="G16012" i="1"/>
  <c r="C16012" i="1"/>
  <c r="G16011" i="1"/>
  <c r="C16011" i="1"/>
  <c r="G16010" i="1"/>
  <c r="C16010" i="1"/>
  <c r="G16009" i="1"/>
  <c r="C16009" i="1"/>
  <c r="G16008" i="1"/>
  <c r="C16008" i="1"/>
  <c r="G16007" i="1"/>
  <c r="C16007" i="1"/>
  <c r="G16006" i="1"/>
  <c r="C16006" i="1"/>
  <c r="G16005" i="1"/>
  <c r="C16005" i="1"/>
  <c r="G16004" i="1"/>
  <c r="C16004" i="1"/>
  <c r="G16003" i="1"/>
  <c r="C16003" i="1"/>
  <c r="G16002" i="1"/>
  <c r="C16002" i="1"/>
  <c r="G16001" i="1"/>
  <c r="C16001" i="1"/>
  <c r="G16000" i="1"/>
  <c r="C16000" i="1"/>
  <c r="G15999" i="1"/>
  <c r="C15999" i="1"/>
  <c r="G15998" i="1"/>
  <c r="C15998" i="1"/>
  <c r="G15997" i="1"/>
  <c r="C15997" i="1"/>
  <c r="G15996" i="1"/>
  <c r="C15996" i="1"/>
  <c r="G15994" i="1"/>
  <c r="C15994" i="1"/>
  <c r="G15993" i="1"/>
  <c r="C15993" i="1"/>
  <c r="G15992" i="1"/>
  <c r="C15992" i="1"/>
  <c r="G15991" i="1"/>
  <c r="C15991" i="1"/>
  <c r="G15990" i="1"/>
  <c r="C15990" i="1"/>
  <c r="G15989" i="1"/>
  <c r="C15989" i="1"/>
  <c r="G15988" i="1"/>
  <c r="C15988" i="1"/>
  <c r="G15987" i="1"/>
  <c r="C15987" i="1"/>
  <c r="G15986" i="1"/>
  <c r="C15986" i="1"/>
  <c r="G15985" i="1"/>
  <c r="C15985" i="1"/>
  <c r="G15984" i="1"/>
  <c r="C15984" i="1"/>
  <c r="G15983" i="1"/>
  <c r="C15983" i="1"/>
  <c r="G15982" i="1"/>
  <c r="C15982" i="1"/>
  <c r="G15981" i="1"/>
  <c r="C15981" i="1"/>
  <c r="G15980" i="1"/>
  <c r="C15980" i="1"/>
  <c r="G15979" i="1"/>
  <c r="C15979" i="1"/>
  <c r="G15978" i="1"/>
  <c r="C15978" i="1"/>
  <c r="G15977" i="1"/>
  <c r="C15977" i="1"/>
  <c r="G15976" i="1"/>
  <c r="C15976" i="1"/>
  <c r="G15975" i="1"/>
  <c r="C15975" i="1"/>
  <c r="G15974" i="1"/>
  <c r="C15974" i="1"/>
  <c r="G15973" i="1"/>
  <c r="C15973" i="1"/>
  <c r="G15972" i="1"/>
  <c r="C15972" i="1"/>
  <c r="G15971" i="1"/>
  <c r="C15971" i="1"/>
  <c r="G15970" i="1"/>
  <c r="C15970" i="1"/>
  <c r="G15969" i="1"/>
  <c r="C15969" i="1"/>
  <c r="G15968" i="1"/>
  <c r="C15968" i="1"/>
  <c r="G15967" i="1"/>
  <c r="C15967" i="1"/>
  <c r="G15966" i="1"/>
  <c r="C15966" i="1"/>
  <c r="G15965" i="1"/>
  <c r="C15965" i="1"/>
  <c r="G15964" i="1"/>
  <c r="C15964" i="1"/>
  <c r="G15963" i="1"/>
  <c r="C15963" i="1"/>
  <c r="G15962" i="1"/>
  <c r="C15962" i="1"/>
  <c r="G15961" i="1"/>
  <c r="C15961" i="1"/>
  <c r="G15960" i="1"/>
  <c r="C15960" i="1"/>
  <c r="G15959" i="1"/>
  <c r="C15959" i="1"/>
  <c r="G15958" i="1"/>
  <c r="C15958" i="1"/>
  <c r="G15956" i="1"/>
  <c r="C15956" i="1"/>
  <c r="G15955" i="1"/>
  <c r="C15955" i="1"/>
  <c r="G15954" i="1"/>
  <c r="C15954" i="1"/>
  <c r="G15953" i="1"/>
  <c r="C15953" i="1"/>
  <c r="G15952" i="1"/>
  <c r="C15952" i="1"/>
  <c r="G15951" i="1"/>
  <c r="C15951" i="1"/>
  <c r="G15950" i="1"/>
  <c r="C15950" i="1"/>
  <c r="G15949" i="1"/>
  <c r="C15949" i="1"/>
  <c r="G15948" i="1"/>
  <c r="C15948" i="1"/>
  <c r="G15947" i="1"/>
  <c r="C15947" i="1"/>
  <c r="G15946" i="1"/>
  <c r="C15946" i="1"/>
  <c r="G15945" i="1"/>
  <c r="C15945" i="1"/>
  <c r="G15944" i="1"/>
  <c r="C15944" i="1"/>
  <c r="G15943" i="1"/>
  <c r="C15943" i="1"/>
  <c r="G15942" i="1"/>
  <c r="C15942" i="1"/>
  <c r="G15941" i="1"/>
  <c r="C15941" i="1"/>
  <c r="G15940" i="1"/>
  <c r="C15940" i="1"/>
  <c r="G15939" i="1"/>
  <c r="C15939" i="1"/>
  <c r="G15938" i="1"/>
  <c r="C15938" i="1"/>
  <c r="G15937" i="1"/>
  <c r="C15937" i="1"/>
  <c r="G15936" i="1"/>
  <c r="C15936" i="1"/>
  <c r="G15935" i="1"/>
  <c r="C15935" i="1"/>
  <c r="G15934" i="1"/>
  <c r="C15934" i="1"/>
  <c r="G15933" i="1"/>
  <c r="C15933" i="1"/>
  <c r="G15932" i="1"/>
  <c r="C15932" i="1"/>
  <c r="G15931" i="1"/>
  <c r="C15931" i="1"/>
  <c r="G15930" i="1"/>
  <c r="C15930" i="1"/>
  <c r="G15929" i="1"/>
  <c r="C15929" i="1"/>
  <c r="G15928" i="1"/>
  <c r="C15928" i="1"/>
  <c r="G15927" i="1"/>
  <c r="C15927" i="1"/>
  <c r="G15926" i="1"/>
  <c r="C15926" i="1"/>
  <c r="G15925" i="1"/>
  <c r="C15925" i="1"/>
  <c r="G15924" i="1"/>
  <c r="C15924" i="1"/>
  <c r="G15923" i="1"/>
  <c r="C15923" i="1"/>
  <c r="G15922" i="1"/>
  <c r="C15922" i="1"/>
  <c r="G15921" i="1"/>
  <c r="C15921" i="1"/>
  <c r="G15920" i="1"/>
  <c r="C15920" i="1"/>
  <c r="G15919" i="1"/>
  <c r="C15919" i="1"/>
  <c r="G15918" i="1"/>
  <c r="C15918" i="1"/>
  <c r="G15917" i="1"/>
  <c r="C15917" i="1"/>
  <c r="G15916" i="1"/>
  <c r="C15916" i="1"/>
  <c r="G15915" i="1"/>
  <c r="C15915" i="1"/>
  <c r="G15914" i="1"/>
  <c r="C15914" i="1"/>
  <c r="G15913" i="1"/>
  <c r="C15913" i="1"/>
  <c r="G15912" i="1"/>
  <c r="C15912" i="1"/>
  <c r="G15911" i="1"/>
  <c r="C15911" i="1"/>
  <c r="G15910" i="1"/>
  <c r="C15910" i="1"/>
  <c r="G15909" i="1"/>
  <c r="C15909" i="1"/>
  <c r="G15908" i="1"/>
  <c r="C15908" i="1"/>
  <c r="G15907" i="1"/>
  <c r="C15907" i="1"/>
  <c r="G15906" i="1"/>
  <c r="C15906" i="1"/>
  <c r="G15905" i="1"/>
  <c r="C15905" i="1"/>
  <c r="G15904" i="1"/>
  <c r="C15904" i="1"/>
  <c r="G15903" i="1"/>
  <c r="C15903" i="1"/>
  <c r="G15902" i="1"/>
  <c r="C15902" i="1"/>
  <c r="G15901" i="1"/>
  <c r="C15901" i="1"/>
  <c r="G15900" i="1"/>
  <c r="C15900" i="1"/>
  <c r="G15899" i="1"/>
  <c r="C15899" i="1"/>
  <c r="G15898" i="1"/>
  <c r="C15898" i="1"/>
  <c r="G15897" i="1"/>
  <c r="C15897" i="1"/>
  <c r="G15896" i="1"/>
  <c r="C15896" i="1"/>
  <c r="G15895" i="1"/>
  <c r="C15895" i="1"/>
  <c r="G15893" i="1"/>
  <c r="C15893" i="1"/>
  <c r="G15892" i="1"/>
  <c r="C15892" i="1"/>
  <c r="G15891" i="1"/>
  <c r="C15891" i="1"/>
  <c r="G15890" i="1"/>
  <c r="C15890" i="1"/>
  <c r="G15889" i="1"/>
  <c r="C15889" i="1"/>
  <c r="G15888" i="1"/>
  <c r="C15888" i="1"/>
  <c r="G15887" i="1"/>
  <c r="C15887" i="1"/>
  <c r="G15886" i="1"/>
  <c r="C15886" i="1"/>
  <c r="G15885" i="1"/>
  <c r="C15885" i="1"/>
  <c r="G15884" i="1"/>
  <c r="C15884" i="1"/>
  <c r="G15883" i="1"/>
  <c r="C15883" i="1"/>
  <c r="G15882" i="1"/>
  <c r="C15882" i="1"/>
  <c r="G15881" i="1"/>
  <c r="C15881" i="1"/>
  <c r="G15880" i="1"/>
  <c r="C15880" i="1"/>
  <c r="G15879" i="1"/>
  <c r="C15879" i="1"/>
  <c r="G15878" i="1"/>
  <c r="C15878" i="1"/>
  <c r="G15877" i="1"/>
  <c r="C15877" i="1"/>
  <c r="G15876" i="1"/>
  <c r="C15876" i="1"/>
  <c r="G15875" i="1"/>
  <c r="C15875" i="1"/>
  <c r="G15874" i="1"/>
  <c r="C15874" i="1"/>
  <c r="G15873" i="1"/>
  <c r="C15873" i="1"/>
  <c r="G15872" i="1"/>
  <c r="C15872" i="1"/>
  <c r="G15871" i="1"/>
  <c r="C15871" i="1"/>
  <c r="G15870" i="1"/>
  <c r="C15870" i="1"/>
  <c r="G15869" i="1"/>
  <c r="C15869" i="1"/>
  <c r="G15868" i="1"/>
  <c r="C15868" i="1"/>
  <c r="G15867" i="1"/>
  <c r="C15867" i="1"/>
  <c r="G15866" i="1"/>
  <c r="C15866" i="1"/>
  <c r="G15865" i="1"/>
  <c r="C15865" i="1"/>
  <c r="G15864" i="1"/>
  <c r="C15864" i="1"/>
  <c r="G15863" i="1"/>
  <c r="C15863" i="1"/>
  <c r="G15862" i="1"/>
  <c r="C15862" i="1"/>
  <c r="G15861" i="1"/>
  <c r="C15861" i="1"/>
  <c r="G15860" i="1"/>
  <c r="C15860" i="1"/>
  <c r="G15859" i="1"/>
  <c r="C15859" i="1"/>
  <c r="G15858" i="1"/>
  <c r="C15858" i="1"/>
  <c r="G15857" i="1"/>
  <c r="C15857" i="1"/>
  <c r="G15856" i="1"/>
  <c r="C15856" i="1"/>
  <c r="G15855" i="1"/>
  <c r="C15855" i="1"/>
  <c r="G15854" i="1"/>
  <c r="C15854" i="1"/>
  <c r="G15853" i="1"/>
  <c r="C15853" i="1"/>
  <c r="G15852" i="1"/>
  <c r="C15852" i="1"/>
  <c r="G15851" i="1"/>
  <c r="C15851" i="1"/>
  <c r="G15850" i="1"/>
  <c r="C15850" i="1"/>
  <c r="G15849" i="1"/>
  <c r="C15849" i="1"/>
  <c r="G15848" i="1"/>
  <c r="C15848" i="1"/>
  <c r="G15847" i="1"/>
  <c r="C15847" i="1"/>
  <c r="G15846" i="1"/>
  <c r="C15846" i="1"/>
  <c r="G15845" i="1"/>
  <c r="C15845" i="1"/>
  <c r="G15844" i="1"/>
  <c r="C15844" i="1"/>
  <c r="G15843" i="1"/>
  <c r="C15843" i="1"/>
  <c r="G15842" i="1"/>
  <c r="C15842" i="1"/>
  <c r="G15841" i="1"/>
  <c r="C15841" i="1"/>
  <c r="G15840" i="1"/>
  <c r="C15840" i="1"/>
  <c r="G15839" i="1"/>
  <c r="C15839" i="1"/>
  <c r="G15838" i="1"/>
  <c r="C15838" i="1"/>
  <c r="G15836" i="1"/>
  <c r="C15836" i="1"/>
  <c r="G15835" i="1"/>
  <c r="C15835" i="1"/>
  <c r="G15833" i="1"/>
  <c r="C15833" i="1"/>
  <c r="G15832" i="1"/>
  <c r="C15832" i="1"/>
  <c r="G15831" i="1"/>
  <c r="C15831" i="1"/>
  <c r="G15830" i="1"/>
  <c r="C15830" i="1"/>
  <c r="G15829" i="1"/>
  <c r="C15829" i="1"/>
  <c r="G15828" i="1"/>
  <c r="C15828" i="1"/>
  <c r="G15827" i="1"/>
  <c r="C15827" i="1"/>
  <c r="G15826" i="1"/>
  <c r="C15826" i="1"/>
  <c r="G15825" i="1"/>
  <c r="C15825" i="1"/>
  <c r="G15824" i="1"/>
  <c r="C15824" i="1"/>
  <c r="G15823" i="1"/>
  <c r="C15823" i="1"/>
  <c r="G15822" i="1"/>
  <c r="C15822" i="1"/>
  <c r="G15820" i="1"/>
  <c r="C15820" i="1"/>
  <c r="G15819" i="1"/>
  <c r="C15819" i="1"/>
  <c r="G15818" i="1"/>
  <c r="C15818" i="1"/>
  <c r="G15817" i="1"/>
  <c r="C15817" i="1"/>
  <c r="G15816" i="1"/>
  <c r="C15816" i="1"/>
  <c r="G15815" i="1"/>
  <c r="C15815" i="1"/>
  <c r="G15814" i="1"/>
  <c r="C15814" i="1"/>
  <c r="G15813" i="1"/>
  <c r="C15813" i="1"/>
  <c r="G15812" i="1"/>
  <c r="C15812" i="1"/>
  <c r="G15811" i="1"/>
  <c r="C15811" i="1"/>
  <c r="G15810" i="1"/>
  <c r="C15810" i="1"/>
  <c r="G15809" i="1"/>
  <c r="C15809" i="1"/>
  <c r="G15808" i="1"/>
  <c r="C15808" i="1"/>
  <c r="G15807" i="1"/>
  <c r="C15807" i="1"/>
  <c r="G15806" i="1"/>
  <c r="C15806" i="1"/>
  <c r="G15805" i="1"/>
  <c r="C15805" i="1"/>
  <c r="G15804" i="1"/>
  <c r="C15804" i="1"/>
  <c r="G15803" i="1"/>
  <c r="C15803" i="1"/>
  <c r="G15802" i="1"/>
  <c r="C15802" i="1"/>
  <c r="G15801" i="1"/>
  <c r="C15801" i="1"/>
  <c r="G15800" i="1"/>
  <c r="C15800" i="1"/>
  <c r="G15799" i="1"/>
  <c r="C15799" i="1"/>
  <c r="G15798" i="1"/>
  <c r="C15798" i="1"/>
  <c r="G15797" i="1"/>
  <c r="C15797" i="1"/>
  <c r="G15796" i="1"/>
  <c r="C15796" i="1"/>
  <c r="G15795" i="1"/>
  <c r="C15795" i="1"/>
  <c r="G15794" i="1"/>
  <c r="C15794" i="1"/>
  <c r="G15793" i="1"/>
  <c r="C15793" i="1"/>
  <c r="G15792" i="1"/>
  <c r="C15792" i="1"/>
  <c r="G15791" i="1"/>
  <c r="C15791" i="1"/>
  <c r="G15790" i="1"/>
  <c r="C15790" i="1"/>
  <c r="G15789" i="1"/>
  <c r="C15789" i="1"/>
  <c r="G15788" i="1"/>
  <c r="C15788" i="1"/>
  <c r="G15787" i="1"/>
  <c r="C15787" i="1"/>
  <c r="G15786" i="1"/>
  <c r="C15786" i="1"/>
  <c r="G15785" i="1"/>
  <c r="C15785" i="1"/>
  <c r="G15784" i="1"/>
  <c r="C15784" i="1"/>
  <c r="G15783" i="1"/>
  <c r="C15783" i="1"/>
  <c r="G15782" i="1"/>
  <c r="C15782" i="1"/>
  <c r="G15781" i="1"/>
  <c r="C15781" i="1"/>
  <c r="G15780" i="1"/>
  <c r="C15780" i="1"/>
  <c r="G15779" i="1"/>
  <c r="C15779" i="1"/>
  <c r="G15778" i="1"/>
  <c r="C15778" i="1"/>
  <c r="G15777" i="1"/>
  <c r="C15777" i="1"/>
  <c r="G15776" i="1"/>
  <c r="C15776" i="1"/>
  <c r="G15775" i="1"/>
  <c r="C15775" i="1"/>
  <c r="G15774" i="1"/>
  <c r="C15774" i="1"/>
  <c r="G15773" i="1"/>
  <c r="C15773" i="1"/>
  <c r="G15772" i="1"/>
  <c r="C15772" i="1"/>
  <c r="G15771" i="1"/>
  <c r="C15771" i="1"/>
  <c r="G15770" i="1"/>
  <c r="C15770" i="1"/>
  <c r="G15769" i="1"/>
  <c r="C15769" i="1"/>
  <c r="G15768" i="1"/>
  <c r="C15768" i="1"/>
  <c r="G15765" i="1"/>
  <c r="C15765" i="1"/>
  <c r="G15764" i="1"/>
  <c r="C15764" i="1"/>
  <c r="G15763" i="1"/>
  <c r="C15763" i="1"/>
  <c r="G15762" i="1"/>
  <c r="C15762" i="1"/>
  <c r="G15761" i="1"/>
  <c r="C15761" i="1"/>
  <c r="G15760" i="1"/>
  <c r="C15760" i="1"/>
  <c r="G15759" i="1"/>
  <c r="C15759" i="1"/>
  <c r="G15758" i="1"/>
  <c r="C15758" i="1"/>
  <c r="G15757" i="1"/>
  <c r="C15757" i="1"/>
  <c r="G15756" i="1"/>
  <c r="C15756" i="1"/>
  <c r="G15755" i="1"/>
  <c r="C15755" i="1"/>
  <c r="G15754" i="1"/>
  <c r="C15754" i="1"/>
  <c r="G15753" i="1"/>
  <c r="C15753" i="1"/>
  <c r="G15752" i="1"/>
  <c r="C15752" i="1"/>
  <c r="G15751" i="1"/>
  <c r="C15751" i="1"/>
  <c r="G15750" i="1"/>
  <c r="C15750" i="1"/>
  <c r="G15749" i="1"/>
  <c r="C15749" i="1"/>
  <c r="G15748" i="1"/>
  <c r="C15748" i="1"/>
  <c r="G15747" i="1"/>
  <c r="C15747" i="1"/>
  <c r="G15746" i="1"/>
  <c r="C15746" i="1"/>
  <c r="G15745" i="1"/>
  <c r="C15745" i="1"/>
  <c r="G15744" i="1"/>
  <c r="C15744" i="1"/>
  <c r="G15743" i="1"/>
  <c r="C15743" i="1"/>
  <c r="G15742" i="1"/>
  <c r="C15742" i="1"/>
  <c r="G15741" i="1"/>
  <c r="C15741" i="1"/>
  <c r="G15740" i="1"/>
  <c r="C15740" i="1"/>
  <c r="G15739" i="1"/>
  <c r="C15739" i="1"/>
  <c r="G15738" i="1"/>
  <c r="C15738" i="1"/>
  <c r="G15737" i="1"/>
  <c r="C15737" i="1"/>
  <c r="G15736" i="1"/>
  <c r="C15736" i="1"/>
  <c r="G15735" i="1"/>
  <c r="C15735" i="1"/>
  <c r="G15734" i="1"/>
  <c r="C15734" i="1"/>
  <c r="G15733" i="1"/>
  <c r="C15733" i="1"/>
  <c r="G15732" i="1"/>
  <c r="C15732" i="1"/>
  <c r="G15731" i="1"/>
  <c r="C15731" i="1"/>
  <c r="G15730" i="1"/>
  <c r="C15730" i="1"/>
  <c r="G15729" i="1"/>
  <c r="C15729" i="1"/>
  <c r="G15728" i="1"/>
  <c r="C15728" i="1"/>
  <c r="G15727" i="1"/>
  <c r="C15727" i="1"/>
  <c r="G15726" i="1"/>
  <c r="C15726" i="1"/>
  <c r="G15725" i="1"/>
  <c r="C15725" i="1"/>
  <c r="G15724" i="1"/>
  <c r="C15724" i="1"/>
  <c r="G15723" i="1"/>
  <c r="C15723" i="1"/>
  <c r="G15722" i="1"/>
  <c r="C15722" i="1"/>
  <c r="G15721" i="1"/>
  <c r="C15721" i="1"/>
  <c r="G15720" i="1"/>
  <c r="C15720" i="1"/>
  <c r="G15719" i="1"/>
  <c r="C15719" i="1"/>
  <c r="G15717" i="1"/>
  <c r="C15717" i="1"/>
  <c r="G15716" i="1"/>
  <c r="C15716" i="1"/>
  <c r="G15715" i="1"/>
  <c r="C15715" i="1"/>
  <c r="G15714" i="1"/>
  <c r="C15714" i="1"/>
  <c r="G15713" i="1"/>
  <c r="C15713" i="1"/>
  <c r="G15712" i="1"/>
  <c r="C15712" i="1"/>
  <c r="G15711" i="1"/>
  <c r="C15711" i="1"/>
  <c r="G15710" i="1"/>
  <c r="C15710" i="1"/>
  <c r="G15709" i="1"/>
  <c r="C15709" i="1"/>
  <c r="G15708" i="1"/>
  <c r="C15708" i="1"/>
  <c r="G15707" i="1"/>
  <c r="C15707" i="1"/>
  <c r="G15706" i="1"/>
  <c r="C15706" i="1"/>
  <c r="G15705" i="1"/>
  <c r="C15705" i="1"/>
  <c r="G15704" i="1"/>
  <c r="C15704" i="1"/>
  <c r="G15703" i="1"/>
  <c r="C15703" i="1"/>
  <c r="G15702" i="1"/>
  <c r="C15702" i="1"/>
  <c r="G15701" i="1"/>
  <c r="C15701" i="1"/>
  <c r="G15700" i="1"/>
  <c r="C15700" i="1"/>
  <c r="G15699" i="1"/>
  <c r="C15699" i="1"/>
  <c r="G15698" i="1"/>
  <c r="C15698" i="1"/>
  <c r="G15697" i="1"/>
  <c r="C15697" i="1"/>
  <c r="G15696" i="1"/>
  <c r="C15696" i="1"/>
  <c r="G15695" i="1"/>
  <c r="C15695" i="1"/>
  <c r="G15694" i="1"/>
  <c r="C15694" i="1"/>
  <c r="G15693" i="1"/>
  <c r="C15693" i="1"/>
  <c r="G15692" i="1"/>
  <c r="C15692" i="1"/>
  <c r="G15691" i="1"/>
  <c r="C15691" i="1"/>
  <c r="G15690" i="1"/>
  <c r="C15690" i="1"/>
  <c r="G15689" i="1"/>
  <c r="C15689" i="1"/>
  <c r="G15688" i="1"/>
  <c r="C15688" i="1"/>
  <c r="G15687" i="1"/>
  <c r="C15687" i="1"/>
  <c r="G15686" i="1"/>
  <c r="C15686" i="1"/>
  <c r="G15685" i="1"/>
  <c r="C15685" i="1"/>
  <c r="G15684" i="1"/>
  <c r="C15684" i="1"/>
  <c r="G15683" i="1"/>
  <c r="C15683" i="1"/>
  <c r="G15682" i="1"/>
  <c r="C15682" i="1"/>
  <c r="G15681" i="1"/>
  <c r="C15681" i="1"/>
  <c r="G15680" i="1"/>
  <c r="C15680" i="1"/>
  <c r="G15679" i="1"/>
  <c r="C15679" i="1"/>
  <c r="G15678" i="1"/>
  <c r="C15678" i="1"/>
  <c r="G15677" i="1"/>
  <c r="C15677" i="1"/>
  <c r="G15676" i="1"/>
  <c r="C15676" i="1"/>
  <c r="G15674" i="1"/>
  <c r="C15674" i="1"/>
  <c r="G15673" i="1"/>
  <c r="C15673" i="1"/>
  <c r="G15672" i="1"/>
  <c r="C15672" i="1"/>
  <c r="G15671" i="1"/>
  <c r="C15671" i="1"/>
  <c r="G15670" i="1"/>
  <c r="C15670" i="1"/>
  <c r="G15669" i="1"/>
  <c r="C15669" i="1"/>
  <c r="G15668" i="1"/>
  <c r="C15668" i="1"/>
  <c r="G15667" i="1"/>
  <c r="C15667" i="1"/>
  <c r="G15666" i="1"/>
  <c r="C15666" i="1"/>
  <c r="G15665" i="1"/>
  <c r="C15665" i="1"/>
  <c r="G15664" i="1"/>
  <c r="C15664" i="1"/>
  <c r="G15663" i="1"/>
  <c r="C15663" i="1"/>
  <c r="G15662" i="1"/>
  <c r="C15662" i="1"/>
  <c r="G15661" i="1"/>
  <c r="C15661" i="1"/>
  <c r="G15660" i="1"/>
  <c r="C15660" i="1"/>
  <c r="G15659" i="1"/>
  <c r="C15659" i="1"/>
  <c r="G15658" i="1"/>
  <c r="C15658" i="1"/>
  <c r="G15657" i="1"/>
  <c r="C15657" i="1"/>
  <c r="G15656" i="1"/>
  <c r="C15656" i="1"/>
  <c r="G15655" i="1"/>
  <c r="C15655" i="1"/>
  <c r="G15654" i="1"/>
  <c r="C15654" i="1"/>
  <c r="G15653" i="1"/>
  <c r="C15653" i="1"/>
  <c r="G15652" i="1"/>
  <c r="C15652" i="1"/>
  <c r="G15651" i="1"/>
  <c r="C15651" i="1"/>
  <c r="G15650" i="1"/>
  <c r="C15650" i="1"/>
  <c r="G15649" i="1"/>
  <c r="C15649" i="1"/>
  <c r="G15648" i="1"/>
  <c r="C15648" i="1"/>
  <c r="G15647" i="1"/>
  <c r="C15647" i="1"/>
  <c r="G15646" i="1"/>
  <c r="C15646" i="1"/>
  <c r="G15645" i="1"/>
  <c r="C15645" i="1"/>
  <c r="G15644" i="1"/>
  <c r="C15644" i="1"/>
  <c r="G15643" i="1"/>
  <c r="C15643" i="1"/>
  <c r="G15642" i="1"/>
  <c r="C15642" i="1"/>
  <c r="G15641" i="1"/>
  <c r="C15641" i="1"/>
  <c r="G15640" i="1"/>
  <c r="C15640" i="1"/>
  <c r="G15639" i="1"/>
  <c r="C15639" i="1"/>
  <c r="G15638" i="1"/>
  <c r="C15638" i="1"/>
  <c r="G15637" i="1"/>
  <c r="C15637" i="1"/>
  <c r="G15636" i="1"/>
  <c r="C15636" i="1"/>
  <c r="G15635" i="1"/>
  <c r="C15635" i="1"/>
  <c r="G15634" i="1"/>
  <c r="C15634" i="1"/>
  <c r="G15633" i="1"/>
  <c r="C15633" i="1"/>
  <c r="G15632" i="1"/>
  <c r="C15632" i="1"/>
  <c r="G15631" i="1"/>
  <c r="C15631" i="1"/>
  <c r="G15630" i="1"/>
  <c r="C15630" i="1"/>
  <c r="G15629" i="1"/>
  <c r="C15629" i="1"/>
  <c r="G15628" i="1"/>
  <c r="C15628" i="1"/>
  <c r="G15627" i="1"/>
  <c r="C15627" i="1"/>
  <c r="G15626" i="1"/>
  <c r="C15626" i="1"/>
  <c r="G15625" i="1"/>
  <c r="C15625" i="1"/>
  <c r="G15624" i="1"/>
  <c r="C15624" i="1"/>
  <c r="G15623" i="1"/>
  <c r="C15623" i="1"/>
  <c r="G15622" i="1"/>
  <c r="C15622" i="1"/>
  <c r="G15621" i="1"/>
  <c r="C15621" i="1"/>
  <c r="G15620" i="1"/>
  <c r="C15620" i="1"/>
  <c r="G15619" i="1"/>
  <c r="C15619" i="1"/>
  <c r="G15618" i="1"/>
  <c r="C15618" i="1"/>
  <c r="G15617" i="1"/>
  <c r="C15617" i="1"/>
  <c r="G15616" i="1"/>
  <c r="C15616" i="1"/>
  <c r="G15615" i="1"/>
  <c r="C15615" i="1"/>
  <c r="G15614" i="1"/>
  <c r="C15614" i="1"/>
  <c r="G15613" i="1"/>
  <c r="C15613" i="1"/>
  <c r="G15612" i="1"/>
  <c r="C15612" i="1"/>
  <c r="G15611" i="1"/>
  <c r="C15611" i="1"/>
  <c r="G15610" i="1"/>
  <c r="C15610" i="1"/>
  <c r="G15609" i="1"/>
  <c r="C15609" i="1"/>
  <c r="G15607" i="1"/>
  <c r="C15607" i="1"/>
  <c r="G15606" i="1"/>
  <c r="C15606" i="1"/>
  <c r="G15605" i="1"/>
  <c r="C15605" i="1"/>
  <c r="G15604" i="1"/>
  <c r="C15604" i="1"/>
  <c r="G15603" i="1"/>
  <c r="C15603" i="1"/>
  <c r="G15602" i="1"/>
  <c r="C15602" i="1"/>
  <c r="G15601" i="1"/>
  <c r="C15601" i="1"/>
  <c r="G15600" i="1"/>
  <c r="C15600" i="1"/>
  <c r="G15599" i="1"/>
  <c r="C15599" i="1"/>
  <c r="G15598" i="1"/>
  <c r="C15598" i="1"/>
  <c r="G15597" i="1"/>
  <c r="C15597" i="1"/>
  <c r="G15596" i="1"/>
  <c r="C15596" i="1"/>
  <c r="G15595" i="1"/>
  <c r="C15595" i="1"/>
  <c r="G15594" i="1"/>
  <c r="C15594" i="1"/>
  <c r="G15593" i="1"/>
  <c r="C15593" i="1"/>
  <c r="G15592" i="1"/>
  <c r="C15592" i="1"/>
  <c r="G15591" i="1"/>
  <c r="C15591" i="1"/>
  <c r="G15590" i="1"/>
  <c r="C15590" i="1"/>
  <c r="G15589" i="1"/>
  <c r="C15589" i="1"/>
  <c r="G15588" i="1"/>
  <c r="C15588" i="1"/>
  <c r="G15587" i="1"/>
  <c r="C15587" i="1"/>
  <c r="G15586" i="1"/>
  <c r="C15586" i="1"/>
  <c r="G15585" i="1"/>
  <c r="C15585" i="1"/>
  <c r="G15584" i="1"/>
  <c r="C15584" i="1"/>
  <c r="G15583" i="1"/>
  <c r="C15583" i="1"/>
  <c r="G15582" i="1"/>
  <c r="C15582" i="1"/>
  <c r="G15581" i="1"/>
  <c r="C15581" i="1"/>
  <c r="G15580" i="1"/>
  <c r="C15580" i="1"/>
  <c r="G15579" i="1"/>
  <c r="C15579" i="1"/>
  <c r="G15578" i="1"/>
  <c r="C15578" i="1"/>
  <c r="G15577" i="1"/>
  <c r="C15577" i="1"/>
  <c r="G15576" i="1"/>
  <c r="C15576" i="1"/>
  <c r="G15575" i="1"/>
  <c r="C15575" i="1"/>
  <c r="G15574" i="1"/>
  <c r="C15574" i="1"/>
  <c r="G15573" i="1"/>
  <c r="C15573" i="1"/>
  <c r="G15572" i="1"/>
  <c r="C15572" i="1"/>
  <c r="G15571" i="1"/>
  <c r="C15571" i="1"/>
  <c r="G15570" i="1"/>
  <c r="C15570" i="1"/>
  <c r="G15569" i="1"/>
  <c r="C15569" i="1"/>
  <c r="G15568" i="1"/>
  <c r="C15568" i="1"/>
  <c r="G15567" i="1"/>
  <c r="C15567" i="1"/>
  <c r="G15566" i="1"/>
  <c r="C15566" i="1"/>
  <c r="G15565" i="1"/>
  <c r="C15565" i="1"/>
  <c r="G15564" i="1"/>
  <c r="C15564" i="1"/>
  <c r="G15563" i="1"/>
  <c r="C15563" i="1"/>
  <c r="G15562" i="1"/>
  <c r="C15562" i="1"/>
  <c r="G15561" i="1"/>
  <c r="C15561" i="1"/>
  <c r="G15560" i="1"/>
  <c r="C15560" i="1"/>
  <c r="G15559" i="1"/>
  <c r="C15559" i="1"/>
  <c r="G15558" i="1"/>
  <c r="C15558" i="1"/>
  <c r="G15557" i="1"/>
  <c r="C15557" i="1"/>
  <c r="G15556" i="1"/>
  <c r="C15556" i="1"/>
  <c r="G15555" i="1"/>
  <c r="C15555" i="1"/>
  <c r="G15554" i="1"/>
  <c r="C15554" i="1"/>
  <c r="G15553" i="1"/>
  <c r="C15553" i="1"/>
  <c r="G15552" i="1"/>
  <c r="C15552" i="1"/>
  <c r="G15548" i="1"/>
  <c r="C15548" i="1"/>
  <c r="G15547" i="1"/>
  <c r="C15547" i="1"/>
  <c r="G15546" i="1"/>
  <c r="C15546" i="1"/>
  <c r="G15545" i="1"/>
  <c r="C15545" i="1"/>
  <c r="G15544" i="1"/>
  <c r="C15544" i="1"/>
  <c r="G15543" i="1"/>
  <c r="C15543" i="1"/>
  <c r="G15542" i="1"/>
  <c r="C15542" i="1"/>
  <c r="G15541" i="1"/>
  <c r="C15541" i="1"/>
  <c r="G15540" i="1"/>
  <c r="C15540" i="1"/>
  <c r="G15539" i="1"/>
  <c r="C15539" i="1"/>
  <c r="G15538" i="1"/>
  <c r="C15538" i="1"/>
  <c r="G15537" i="1"/>
  <c r="C15537" i="1"/>
  <c r="G15536" i="1"/>
  <c r="C15536" i="1"/>
  <c r="G15535" i="1"/>
  <c r="C15535" i="1"/>
  <c r="G15534" i="1"/>
  <c r="C15534" i="1"/>
  <c r="G15533" i="1"/>
  <c r="C15533" i="1"/>
  <c r="G15532" i="1"/>
  <c r="C15532" i="1"/>
  <c r="G15531" i="1"/>
  <c r="C15531" i="1"/>
  <c r="G15530" i="1"/>
  <c r="C15530" i="1"/>
  <c r="G15529" i="1"/>
  <c r="C15529" i="1"/>
  <c r="G15528" i="1"/>
  <c r="C15528" i="1"/>
  <c r="G15527" i="1"/>
  <c r="C15527" i="1"/>
  <c r="G15526" i="1"/>
  <c r="C15526" i="1"/>
  <c r="G15525" i="1"/>
  <c r="C15525" i="1"/>
  <c r="G15524" i="1"/>
  <c r="C15524" i="1"/>
  <c r="G15523" i="1"/>
  <c r="C15523" i="1"/>
  <c r="G15522" i="1"/>
  <c r="C15522" i="1"/>
  <c r="G15521" i="1"/>
  <c r="C15521" i="1"/>
  <c r="G15520" i="1"/>
  <c r="C15520" i="1"/>
  <c r="G15519" i="1"/>
  <c r="C15519" i="1"/>
  <c r="G15518" i="1"/>
  <c r="C15518" i="1"/>
  <c r="G15517" i="1"/>
  <c r="C15517" i="1"/>
  <c r="G15516" i="1"/>
  <c r="C15516" i="1"/>
  <c r="G15515" i="1"/>
  <c r="C15515" i="1"/>
  <c r="G15514" i="1"/>
  <c r="C15514" i="1"/>
  <c r="G15513" i="1"/>
  <c r="C15513" i="1"/>
  <c r="G15512" i="1"/>
  <c r="C15512" i="1"/>
  <c r="G15511" i="1"/>
  <c r="C15511" i="1"/>
  <c r="G15510" i="1"/>
  <c r="C15510" i="1"/>
  <c r="G15509" i="1"/>
  <c r="C15509" i="1"/>
  <c r="G15508" i="1"/>
  <c r="C15508" i="1"/>
  <c r="G15507" i="1"/>
  <c r="C15507" i="1"/>
  <c r="G15506" i="1"/>
  <c r="C15506" i="1"/>
  <c r="G15504" i="1"/>
  <c r="C15504" i="1"/>
  <c r="G15503" i="1"/>
  <c r="C15503" i="1"/>
  <c r="G15502" i="1"/>
  <c r="C15502" i="1"/>
  <c r="G15501" i="1"/>
  <c r="C15501" i="1"/>
  <c r="G15500" i="1"/>
  <c r="C15500" i="1"/>
  <c r="G15499" i="1"/>
  <c r="C15499" i="1"/>
  <c r="G15498" i="1"/>
  <c r="C15498" i="1"/>
  <c r="G15497" i="1"/>
  <c r="C15497" i="1"/>
  <c r="G15496" i="1"/>
  <c r="C15496" i="1"/>
  <c r="G15495" i="1"/>
  <c r="C15495" i="1"/>
  <c r="G15494" i="1"/>
  <c r="C15494" i="1"/>
  <c r="G15493" i="1"/>
  <c r="C15493" i="1"/>
  <c r="G15492" i="1"/>
  <c r="C15492" i="1"/>
  <c r="G15491" i="1"/>
  <c r="C15491" i="1"/>
  <c r="G15490" i="1"/>
  <c r="C15490" i="1"/>
  <c r="G15488" i="1"/>
  <c r="C15488" i="1"/>
  <c r="G15487" i="1"/>
  <c r="C15487" i="1"/>
  <c r="G15486" i="1"/>
  <c r="C15486" i="1"/>
  <c r="G15485" i="1"/>
  <c r="C15485" i="1"/>
  <c r="G15484" i="1"/>
  <c r="C15484" i="1"/>
  <c r="G15483" i="1"/>
  <c r="C15483" i="1"/>
  <c r="G15482" i="1"/>
  <c r="C15482" i="1"/>
  <c r="G15481" i="1"/>
  <c r="C15481" i="1"/>
  <c r="G15480" i="1"/>
  <c r="C15480" i="1"/>
  <c r="G15479" i="1"/>
  <c r="C15479" i="1"/>
  <c r="G15478" i="1"/>
  <c r="C15478" i="1"/>
  <c r="G15477" i="1"/>
  <c r="C15477" i="1"/>
  <c r="G15476" i="1"/>
  <c r="C15476" i="1"/>
  <c r="G15475" i="1"/>
  <c r="C15475" i="1"/>
  <c r="G15474" i="1"/>
  <c r="C15474" i="1"/>
  <c r="G15473" i="1"/>
  <c r="C15473" i="1"/>
  <c r="G15472" i="1"/>
  <c r="C15472" i="1"/>
  <c r="G15471" i="1"/>
  <c r="C15471" i="1"/>
  <c r="G15470" i="1"/>
  <c r="C15470" i="1"/>
  <c r="G15469" i="1"/>
  <c r="C15469" i="1"/>
  <c r="G15468" i="1"/>
  <c r="C15468" i="1"/>
  <c r="G15467" i="1"/>
  <c r="C15467" i="1"/>
  <c r="G15466" i="1"/>
  <c r="C15466" i="1"/>
  <c r="G15465" i="1"/>
  <c r="C15465" i="1"/>
  <c r="G15463" i="1"/>
  <c r="C15463" i="1"/>
  <c r="G15462" i="1"/>
  <c r="C15462" i="1"/>
  <c r="G15461" i="1"/>
  <c r="C15461" i="1"/>
  <c r="G15460" i="1"/>
  <c r="C15460" i="1"/>
  <c r="G15459" i="1"/>
  <c r="C15459" i="1"/>
  <c r="G15458" i="1"/>
  <c r="C15458" i="1"/>
  <c r="G15457" i="1"/>
  <c r="C15457" i="1"/>
  <c r="G15456" i="1"/>
  <c r="C15456" i="1"/>
  <c r="G15455" i="1"/>
  <c r="C15455" i="1"/>
  <c r="G15454" i="1"/>
  <c r="C15454" i="1"/>
  <c r="G15453" i="1"/>
  <c r="C15453" i="1"/>
  <c r="G15452" i="1"/>
  <c r="C15452" i="1"/>
  <c r="G15451" i="1"/>
  <c r="C15451" i="1"/>
  <c r="G15450" i="1"/>
  <c r="C15450" i="1"/>
  <c r="G15449" i="1"/>
  <c r="C15449" i="1"/>
  <c r="G15448" i="1"/>
  <c r="C15448" i="1"/>
  <c r="G15447" i="1"/>
  <c r="C15447" i="1"/>
  <c r="G15446" i="1"/>
  <c r="C15446" i="1"/>
  <c r="G15445" i="1"/>
  <c r="C15445" i="1"/>
  <c r="G15444" i="1"/>
  <c r="C15444" i="1"/>
  <c r="G15443" i="1"/>
  <c r="C15443" i="1"/>
  <c r="G15442" i="1"/>
  <c r="C15442" i="1"/>
  <c r="G15441" i="1"/>
  <c r="C15441" i="1"/>
  <c r="G15440" i="1"/>
  <c r="C15440" i="1"/>
  <c r="G15439" i="1"/>
  <c r="C15439" i="1"/>
  <c r="G15438" i="1"/>
  <c r="C15438" i="1"/>
  <c r="G15437" i="1"/>
  <c r="C15437" i="1"/>
  <c r="G15436" i="1"/>
  <c r="C15436" i="1"/>
  <c r="G15435" i="1"/>
  <c r="C15435" i="1"/>
  <c r="G15434" i="1"/>
  <c r="C15434" i="1"/>
  <c r="G15433" i="1"/>
  <c r="C15433" i="1"/>
  <c r="G15432" i="1"/>
  <c r="C15432" i="1"/>
  <c r="G15431" i="1"/>
  <c r="C15431" i="1"/>
  <c r="G15430" i="1"/>
  <c r="C15430" i="1"/>
  <c r="G15429" i="1"/>
  <c r="C15429" i="1"/>
  <c r="G15428" i="1"/>
  <c r="C15428" i="1"/>
  <c r="G15427" i="1"/>
  <c r="C15427" i="1"/>
  <c r="G15426" i="1"/>
  <c r="C15426" i="1"/>
  <c r="G15425" i="1"/>
  <c r="C15425" i="1"/>
  <c r="G15424" i="1"/>
  <c r="C15424" i="1"/>
  <c r="G15423" i="1"/>
  <c r="C15423" i="1"/>
  <c r="G15422" i="1"/>
  <c r="C15422" i="1"/>
  <c r="G15421" i="1"/>
  <c r="C15421" i="1"/>
  <c r="G15420" i="1"/>
  <c r="C15420" i="1"/>
  <c r="G15419" i="1"/>
  <c r="C15419" i="1"/>
  <c r="G15417" i="1"/>
  <c r="C15417" i="1"/>
  <c r="G15416" i="1"/>
  <c r="C15416" i="1"/>
  <c r="G15415" i="1"/>
  <c r="C15415" i="1"/>
  <c r="G15414" i="1"/>
  <c r="C15414" i="1"/>
  <c r="G15413" i="1"/>
  <c r="C15413" i="1"/>
  <c r="G15412" i="1"/>
  <c r="C15412" i="1"/>
  <c r="G15411" i="1"/>
  <c r="C15411" i="1"/>
  <c r="G15410" i="1"/>
  <c r="C15410" i="1"/>
  <c r="G15409" i="1"/>
  <c r="C15409" i="1"/>
  <c r="G15408" i="1"/>
  <c r="C15408" i="1"/>
  <c r="G15407" i="1"/>
  <c r="C15407" i="1"/>
  <c r="G15406" i="1"/>
  <c r="C15406" i="1"/>
  <c r="G15405" i="1"/>
  <c r="C15405" i="1"/>
  <c r="G15404" i="1"/>
  <c r="C15404" i="1"/>
  <c r="G15403" i="1"/>
  <c r="C15403" i="1"/>
  <c r="G15402" i="1"/>
  <c r="C15402" i="1"/>
  <c r="G15401" i="1"/>
  <c r="C15401" i="1"/>
  <c r="G15400" i="1"/>
  <c r="C15400" i="1"/>
  <c r="G15399" i="1"/>
  <c r="C15399" i="1"/>
  <c r="G15398" i="1"/>
  <c r="C15398" i="1"/>
  <c r="G15397" i="1"/>
  <c r="C15397" i="1"/>
  <c r="G15396" i="1"/>
  <c r="C15396" i="1"/>
  <c r="G15395" i="1"/>
  <c r="C15395" i="1"/>
  <c r="G15394" i="1"/>
  <c r="C15394" i="1"/>
  <c r="G15393" i="1"/>
  <c r="C15393" i="1"/>
  <c r="G15392" i="1"/>
  <c r="C15392" i="1"/>
  <c r="G15391" i="1"/>
  <c r="C15391" i="1"/>
  <c r="G15390" i="1"/>
  <c r="C15390" i="1"/>
  <c r="G15389" i="1"/>
  <c r="C15389" i="1"/>
  <c r="G15388" i="1"/>
  <c r="C15388" i="1"/>
  <c r="G15387" i="1"/>
  <c r="C15387" i="1"/>
  <c r="G15386" i="1"/>
  <c r="C15386" i="1"/>
  <c r="G15385" i="1"/>
  <c r="C15385" i="1"/>
  <c r="G15384" i="1"/>
  <c r="C15384" i="1"/>
  <c r="G15383" i="1"/>
  <c r="C15383" i="1"/>
  <c r="G15382" i="1"/>
  <c r="C15382" i="1"/>
  <c r="G15381" i="1"/>
  <c r="C15381" i="1"/>
  <c r="G15380" i="1"/>
  <c r="C15380" i="1"/>
  <c r="G15379" i="1"/>
  <c r="C15379" i="1"/>
  <c r="G15378" i="1"/>
  <c r="C15378" i="1"/>
  <c r="G15377" i="1"/>
  <c r="C15377" i="1"/>
  <c r="G15376" i="1"/>
  <c r="C15376" i="1"/>
  <c r="G15375" i="1"/>
  <c r="C15375" i="1"/>
  <c r="G15374" i="1"/>
  <c r="C15374" i="1"/>
  <c r="G15373" i="1"/>
  <c r="C15373" i="1"/>
  <c r="G15372" i="1"/>
  <c r="C15372" i="1"/>
  <c r="G15371" i="1"/>
  <c r="C15371" i="1"/>
  <c r="G15370" i="1"/>
  <c r="C15370" i="1"/>
  <c r="G15369" i="1"/>
  <c r="C15369" i="1"/>
  <c r="G15368" i="1"/>
  <c r="C15368" i="1"/>
  <c r="G15367" i="1"/>
  <c r="C15367" i="1"/>
  <c r="G15366" i="1"/>
  <c r="C15366" i="1"/>
  <c r="G15365" i="1"/>
  <c r="C15365" i="1"/>
  <c r="G15364" i="1"/>
  <c r="C15364" i="1"/>
  <c r="G15363" i="1"/>
  <c r="C15363" i="1"/>
  <c r="G15362" i="1"/>
  <c r="C15362" i="1"/>
  <c r="G15361" i="1"/>
  <c r="C15361" i="1"/>
  <c r="G15360" i="1"/>
  <c r="C15360" i="1"/>
  <c r="G15359" i="1"/>
  <c r="C15359" i="1"/>
  <c r="G15358" i="1"/>
  <c r="C15358" i="1"/>
  <c r="G15357" i="1"/>
  <c r="C15357" i="1"/>
  <c r="G15356" i="1"/>
  <c r="C15356" i="1"/>
  <c r="G15355" i="1"/>
  <c r="C15355" i="1"/>
  <c r="G15354" i="1"/>
  <c r="C15354" i="1"/>
  <c r="G15353" i="1"/>
  <c r="C15353" i="1"/>
  <c r="G15351" i="1"/>
  <c r="C15351" i="1"/>
  <c r="G15350" i="1"/>
  <c r="C15350" i="1"/>
  <c r="G15349" i="1"/>
  <c r="C15349" i="1"/>
  <c r="G15348" i="1"/>
  <c r="C15348" i="1"/>
  <c r="G15347" i="1"/>
  <c r="C15347" i="1"/>
  <c r="G15346" i="1"/>
  <c r="C15346" i="1"/>
  <c r="G15345" i="1"/>
  <c r="C15345" i="1"/>
  <c r="G15344" i="1"/>
  <c r="C15344" i="1"/>
  <c r="G15343" i="1"/>
  <c r="C15343" i="1"/>
  <c r="G15342" i="1"/>
  <c r="C15342" i="1"/>
  <c r="G15341" i="1"/>
  <c r="C15341" i="1"/>
  <c r="G15340" i="1"/>
  <c r="C15340" i="1"/>
  <c r="G15339" i="1"/>
  <c r="C15339" i="1"/>
  <c r="G15338" i="1"/>
  <c r="C15338" i="1"/>
  <c r="G15337" i="1"/>
  <c r="C15337" i="1"/>
  <c r="G15336" i="1"/>
  <c r="C15336" i="1"/>
  <c r="G15335" i="1"/>
  <c r="C15335" i="1"/>
  <c r="G15334" i="1"/>
  <c r="C15334" i="1"/>
  <c r="G15333" i="1"/>
  <c r="C15333" i="1"/>
  <c r="G15332" i="1"/>
  <c r="C15332" i="1"/>
  <c r="G15331" i="1"/>
  <c r="C15331" i="1"/>
  <c r="G15330" i="1"/>
  <c r="C15330" i="1"/>
  <c r="G15329" i="1"/>
  <c r="C15329" i="1"/>
  <c r="G15328" i="1"/>
  <c r="C15328" i="1"/>
  <c r="G15327" i="1"/>
  <c r="C15327" i="1"/>
  <c r="G15326" i="1"/>
  <c r="C15326" i="1"/>
  <c r="G15325" i="1"/>
  <c r="C15325" i="1"/>
  <c r="G15324" i="1"/>
  <c r="C15324" i="1"/>
  <c r="G15323" i="1"/>
  <c r="C15323" i="1"/>
  <c r="G15322" i="1"/>
  <c r="C15322" i="1"/>
  <c r="G15321" i="1"/>
  <c r="C15321" i="1"/>
  <c r="G15320" i="1"/>
  <c r="C15320" i="1"/>
  <c r="G15319" i="1"/>
  <c r="C15319" i="1"/>
  <c r="G15318" i="1"/>
  <c r="C15318" i="1"/>
  <c r="G15317" i="1"/>
  <c r="C15317" i="1"/>
  <c r="G15316" i="1"/>
  <c r="C15316" i="1"/>
  <c r="G15315" i="1"/>
  <c r="C15315" i="1"/>
  <c r="G15314" i="1"/>
  <c r="C15314" i="1"/>
  <c r="G15313" i="1"/>
  <c r="C15313" i="1"/>
  <c r="G15312" i="1"/>
  <c r="C15312" i="1"/>
  <c r="G15311" i="1"/>
  <c r="C15311" i="1"/>
  <c r="G15310" i="1"/>
  <c r="C15310" i="1"/>
  <c r="G15309" i="1"/>
  <c r="C15309" i="1"/>
  <c r="G15308" i="1"/>
  <c r="C15308" i="1"/>
  <c r="G15307" i="1"/>
  <c r="C15307" i="1"/>
  <c r="G15306" i="1"/>
  <c r="C15306" i="1"/>
  <c r="G15305" i="1"/>
  <c r="C15305" i="1"/>
  <c r="G15304" i="1"/>
  <c r="C15304" i="1"/>
  <c r="G15303" i="1"/>
  <c r="C15303" i="1"/>
  <c r="G15302" i="1"/>
  <c r="C15302" i="1"/>
  <c r="G15301" i="1"/>
  <c r="C15301" i="1"/>
  <c r="G15300" i="1"/>
  <c r="C15300" i="1"/>
  <c r="G15298" i="1"/>
  <c r="C15298" i="1"/>
  <c r="G15297" i="1"/>
  <c r="C15297" i="1"/>
  <c r="G15296" i="1"/>
  <c r="C15296" i="1"/>
  <c r="G15295" i="1"/>
  <c r="C15295" i="1"/>
  <c r="G15294" i="1"/>
  <c r="C15294" i="1"/>
  <c r="G15293" i="1"/>
  <c r="C15293" i="1"/>
  <c r="G15292" i="1"/>
  <c r="C15292" i="1"/>
  <c r="G15291" i="1"/>
  <c r="C15291" i="1"/>
  <c r="G15290" i="1"/>
  <c r="C15290" i="1"/>
  <c r="G15289" i="1"/>
  <c r="C15289" i="1"/>
  <c r="G15288" i="1"/>
  <c r="C15288" i="1"/>
  <c r="G15287" i="1"/>
  <c r="C15287" i="1"/>
  <c r="G15286" i="1"/>
  <c r="C15286" i="1"/>
  <c r="G15285" i="1"/>
  <c r="C15285" i="1"/>
  <c r="G15284" i="1"/>
  <c r="C15284" i="1"/>
  <c r="G15283" i="1"/>
  <c r="C15283" i="1"/>
  <c r="G15282" i="1"/>
  <c r="C15282" i="1"/>
  <c r="G15281" i="1"/>
  <c r="C15281" i="1"/>
  <c r="G15280" i="1"/>
  <c r="C15280" i="1"/>
  <c r="G15279" i="1"/>
  <c r="C15279" i="1"/>
  <c r="G15278" i="1"/>
  <c r="C15278" i="1"/>
  <c r="G15277" i="1"/>
  <c r="C15277" i="1"/>
  <c r="G15276" i="1"/>
  <c r="C15276" i="1"/>
  <c r="G15275" i="1"/>
  <c r="C15275" i="1"/>
  <c r="G15274" i="1"/>
  <c r="C15274" i="1"/>
  <c r="G15273" i="1"/>
  <c r="C15273" i="1"/>
  <c r="G15272" i="1"/>
  <c r="C15272" i="1"/>
  <c r="G15271" i="1"/>
  <c r="C15271" i="1"/>
  <c r="G15270" i="1"/>
  <c r="C15270" i="1"/>
  <c r="G15269" i="1"/>
  <c r="C15269" i="1"/>
  <c r="G15268" i="1"/>
  <c r="C15268" i="1"/>
  <c r="G15267" i="1"/>
  <c r="C15267" i="1"/>
  <c r="G15266" i="1"/>
  <c r="C15266" i="1"/>
  <c r="G15265" i="1"/>
  <c r="C15265" i="1"/>
  <c r="G15264" i="1"/>
  <c r="C15264" i="1"/>
  <c r="G15263" i="1"/>
  <c r="C15263" i="1"/>
  <c r="G15262" i="1"/>
  <c r="C15262" i="1"/>
  <c r="G15261" i="1"/>
  <c r="C15261" i="1"/>
  <c r="G15260" i="1"/>
  <c r="C15260" i="1"/>
  <c r="G15259" i="1"/>
  <c r="C15259" i="1"/>
  <c r="G15257" i="1"/>
  <c r="C15257" i="1"/>
  <c r="G15256" i="1"/>
  <c r="C15256" i="1"/>
  <c r="G15255" i="1"/>
  <c r="C15255" i="1"/>
  <c r="G15254" i="1"/>
  <c r="C15254" i="1"/>
  <c r="G15253" i="1"/>
  <c r="C15253" i="1"/>
  <c r="G15252" i="1"/>
  <c r="C15252" i="1"/>
  <c r="G15251" i="1"/>
  <c r="C15251" i="1"/>
  <c r="G15250" i="1"/>
  <c r="C15250" i="1"/>
  <c r="G15249" i="1"/>
  <c r="C15249" i="1"/>
  <c r="G15248" i="1"/>
  <c r="C15248" i="1"/>
  <c r="G15247" i="1"/>
  <c r="C15247" i="1"/>
  <c r="G15246" i="1"/>
  <c r="C15246" i="1"/>
  <c r="G15245" i="1"/>
  <c r="C15245" i="1"/>
  <c r="G15244" i="1"/>
  <c r="C15244" i="1"/>
  <c r="G15243" i="1"/>
  <c r="C15243" i="1"/>
  <c r="G15242" i="1"/>
  <c r="C15242" i="1"/>
  <c r="G15241" i="1"/>
  <c r="C15241" i="1"/>
  <c r="G15240" i="1"/>
  <c r="C15240" i="1"/>
  <c r="G15239" i="1"/>
  <c r="C15239" i="1"/>
  <c r="G15238" i="1"/>
  <c r="C15238" i="1"/>
  <c r="G15237" i="1"/>
  <c r="C15237" i="1"/>
  <c r="G15236" i="1"/>
  <c r="C15236" i="1"/>
  <c r="G15235" i="1"/>
  <c r="C15235" i="1"/>
  <c r="G15234" i="1"/>
  <c r="C15234" i="1"/>
  <c r="G15233" i="1"/>
  <c r="C15233" i="1"/>
  <c r="G15232" i="1"/>
  <c r="C15232" i="1"/>
  <c r="G15231" i="1"/>
  <c r="C15231" i="1"/>
  <c r="G15230" i="1"/>
  <c r="C15230" i="1"/>
  <c r="G15229" i="1"/>
  <c r="C15229" i="1"/>
  <c r="G15228" i="1"/>
  <c r="C15228" i="1"/>
  <c r="G15227" i="1"/>
  <c r="C15227" i="1"/>
  <c r="G15226" i="1"/>
  <c r="C15226" i="1"/>
  <c r="G15225" i="1"/>
  <c r="C15225" i="1"/>
  <c r="G15224" i="1"/>
  <c r="C15224" i="1"/>
  <c r="G15222" i="1"/>
  <c r="C15222" i="1"/>
  <c r="G15221" i="1"/>
  <c r="C15221" i="1"/>
  <c r="G15220" i="1"/>
  <c r="C15220" i="1"/>
  <c r="G15219" i="1"/>
  <c r="C15219" i="1"/>
  <c r="G15218" i="1"/>
  <c r="C15218" i="1"/>
  <c r="G15217" i="1"/>
  <c r="C15217" i="1"/>
  <c r="G15216" i="1"/>
  <c r="C15216" i="1"/>
  <c r="G15215" i="1"/>
  <c r="C15215" i="1"/>
  <c r="G15214" i="1"/>
  <c r="C15214" i="1"/>
  <c r="G15213" i="1"/>
  <c r="C15213" i="1"/>
  <c r="G15212" i="1"/>
  <c r="C15212" i="1"/>
  <c r="G15211" i="1"/>
  <c r="C15211" i="1"/>
  <c r="G15210" i="1"/>
  <c r="C15210" i="1"/>
  <c r="G15209" i="1"/>
  <c r="C15209" i="1"/>
  <c r="G15208" i="1"/>
  <c r="C15208" i="1"/>
  <c r="G15207" i="1"/>
  <c r="C15207" i="1"/>
  <c r="G15206" i="1"/>
  <c r="C15206" i="1"/>
  <c r="G15205" i="1"/>
  <c r="C15205" i="1"/>
  <c r="G15204" i="1"/>
  <c r="C15204" i="1"/>
  <c r="G15203" i="1"/>
  <c r="C15203" i="1"/>
  <c r="G15202" i="1"/>
  <c r="C15202" i="1"/>
  <c r="G15201" i="1"/>
  <c r="C15201" i="1"/>
  <c r="G15200" i="1"/>
  <c r="C15200" i="1"/>
  <c r="G15199" i="1"/>
  <c r="C15199" i="1"/>
  <c r="G15198" i="1"/>
  <c r="C15198" i="1"/>
  <c r="G15197" i="1"/>
  <c r="C15197" i="1"/>
  <c r="G15196" i="1"/>
  <c r="C15196" i="1"/>
  <c r="G15195" i="1"/>
  <c r="C15195" i="1"/>
  <c r="G15194" i="1"/>
  <c r="C15194" i="1"/>
  <c r="G15193" i="1"/>
  <c r="C15193" i="1"/>
  <c r="G15192" i="1"/>
  <c r="C15192" i="1"/>
  <c r="G15191" i="1"/>
  <c r="C15191" i="1"/>
  <c r="G15190" i="1"/>
  <c r="C15190" i="1"/>
  <c r="G15189" i="1"/>
  <c r="C15189" i="1"/>
  <c r="G15188" i="1"/>
  <c r="C15188" i="1"/>
  <c r="G15187" i="1"/>
  <c r="C15187" i="1"/>
  <c r="G15186" i="1"/>
  <c r="C15186" i="1"/>
  <c r="G15185" i="1"/>
  <c r="C15185" i="1"/>
  <c r="G15184" i="1"/>
  <c r="C15184" i="1"/>
  <c r="G15183" i="1"/>
  <c r="C15183" i="1"/>
  <c r="G15182" i="1"/>
  <c r="C15182" i="1"/>
  <c r="G15181" i="1"/>
  <c r="C15181" i="1"/>
  <c r="G15180" i="1"/>
  <c r="C15180" i="1"/>
  <c r="G15179" i="1"/>
  <c r="C15179" i="1"/>
  <c r="G15178" i="1"/>
  <c r="C15178" i="1"/>
  <c r="G15177" i="1"/>
  <c r="C15177" i="1"/>
  <c r="G15176" i="1"/>
  <c r="C15176" i="1"/>
  <c r="G15175" i="1"/>
  <c r="C15175" i="1"/>
  <c r="G15174" i="1"/>
  <c r="C15174" i="1"/>
  <c r="G15173" i="1"/>
  <c r="C15173" i="1"/>
  <c r="G15172" i="1"/>
  <c r="C15172" i="1"/>
  <c r="G15171" i="1"/>
  <c r="C15171" i="1"/>
  <c r="G15170" i="1"/>
  <c r="C15170" i="1"/>
  <c r="G15169" i="1"/>
  <c r="C15169" i="1"/>
  <c r="G15168" i="1"/>
  <c r="C15168" i="1"/>
  <c r="G15167" i="1"/>
  <c r="C15167" i="1"/>
  <c r="G15166" i="1"/>
  <c r="C15166" i="1"/>
  <c r="G15165" i="1"/>
  <c r="C15165" i="1"/>
  <c r="G15164" i="1"/>
  <c r="C15164" i="1"/>
  <c r="G15163" i="1"/>
  <c r="C15163" i="1"/>
  <c r="G15162" i="1"/>
  <c r="C15162" i="1"/>
  <c r="G15161" i="1"/>
  <c r="C15161" i="1"/>
  <c r="G15160" i="1"/>
  <c r="C15160" i="1"/>
  <c r="G15159" i="1"/>
  <c r="C15159" i="1"/>
  <c r="G15158" i="1"/>
  <c r="C15158" i="1"/>
  <c r="G15157" i="1"/>
  <c r="C15157" i="1"/>
  <c r="G15156" i="1"/>
  <c r="C15156" i="1"/>
  <c r="G15155" i="1"/>
  <c r="C15155" i="1"/>
  <c r="G15154" i="1"/>
  <c r="C15154" i="1"/>
  <c r="G15153" i="1"/>
  <c r="C15153" i="1"/>
  <c r="G15152" i="1"/>
  <c r="C15152" i="1"/>
  <c r="G15151" i="1"/>
  <c r="C15151" i="1"/>
  <c r="G15150" i="1"/>
  <c r="C15150" i="1"/>
  <c r="G15149" i="1"/>
  <c r="C15149" i="1"/>
  <c r="G15148" i="1"/>
  <c r="C15148" i="1"/>
  <c r="G15147" i="1"/>
  <c r="C15147" i="1"/>
  <c r="G15146" i="1"/>
  <c r="C15146" i="1"/>
  <c r="G15145" i="1"/>
  <c r="C15145" i="1"/>
  <c r="G15144" i="1"/>
  <c r="C15144" i="1"/>
  <c r="G15143" i="1"/>
  <c r="C15143" i="1"/>
  <c r="G15142" i="1"/>
  <c r="C15142" i="1"/>
  <c r="G15141" i="1"/>
  <c r="C15141" i="1"/>
  <c r="G15140" i="1"/>
  <c r="C15140" i="1"/>
  <c r="G15139" i="1"/>
  <c r="C15139" i="1"/>
  <c r="G15138" i="1"/>
  <c r="C15138" i="1"/>
  <c r="G15137" i="1"/>
  <c r="C15137" i="1"/>
  <c r="G15136" i="1"/>
  <c r="C15136" i="1"/>
  <c r="G15135" i="1"/>
  <c r="C15135" i="1"/>
  <c r="G15134" i="1"/>
  <c r="C15134" i="1"/>
  <c r="G15133" i="1"/>
  <c r="C15133" i="1"/>
  <c r="G15132" i="1"/>
  <c r="C15132" i="1"/>
  <c r="G15131" i="1"/>
  <c r="C15131" i="1"/>
  <c r="G15130" i="1"/>
  <c r="C15130" i="1"/>
  <c r="G15129" i="1"/>
  <c r="C15129" i="1"/>
  <c r="G15128" i="1"/>
  <c r="C15128" i="1"/>
  <c r="G15127" i="1"/>
  <c r="C15127" i="1"/>
  <c r="G15126" i="1"/>
  <c r="C15126" i="1"/>
  <c r="G15125" i="1"/>
  <c r="C15125" i="1"/>
  <c r="G15124" i="1"/>
  <c r="C15124" i="1"/>
  <c r="G15123" i="1"/>
  <c r="C15123" i="1"/>
  <c r="G15122" i="1"/>
  <c r="C15122" i="1"/>
  <c r="G15121" i="1"/>
  <c r="C15121" i="1"/>
  <c r="G15120" i="1"/>
  <c r="C15120" i="1"/>
  <c r="G15119" i="1"/>
  <c r="C15119" i="1"/>
  <c r="G15117" i="1"/>
  <c r="C15117" i="1"/>
  <c r="G15116" i="1"/>
  <c r="C15116" i="1"/>
  <c r="G15115" i="1"/>
  <c r="C15115" i="1"/>
  <c r="G15114" i="1"/>
  <c r="C15114" i="1"/>
  <c r="G15113" i="1"/>
  <c r="C15113" i="1"/>
  <c r="G15112" i="1"/>
  <c r="C15112" i="1"/>
  <c r="G15111" i="1"/>
  <c r="C15111" i="1"/>
  <c r="G15110" i="1"/>
  <c r="C15110" i="1"/>
  <c r="G15109" i="1"/>
  <c r="C15109" i="1"/>
  <c r="G15108" i="1"/>
  <c r="C15108" i="1"/>
  <c r="G15107" i="1"/>
  <c r="C15107" i="1"/>
  <c r="G15104" i="1"/>
  <c r="C15104" i="1"/>
  <c r="G15103" i="1"/>
  <c r="C15103" i="1"/>
  <c r="G15102" i="1"/>
  <c r="C15102" i="1"/>
  <c r="G15101" i="1"/>
  <c r="C15101" i="1"/>
  <c r="G15100" i="1"/>
  <c r="C15100" i="1"/>
  <c r="G15099" i="1"/>
  <c r="C15099" i="1"/>
  <c r="G15098" i="1"/>
  <c r="C15098" i="1"/>
  <c r="G15097" i="1"/>
  <c r="C15097" i="1"/>
  <c r="G15096" i="1"/>
  <c r="C15096" i="1"/>
  <c r="G15095" i="1"/>
  <c r="C15095" i="1"/>
  <c r="G15094" i="1"/>
  <c r="C15094" i="1"/>
  <c r="G15093" i="1"/>
  <c r="C15093" i="1"/>
  <c r="G15092" i="1"/>
  <c r="C15092" i="1"/>
  <c r="G15091" i="1"/>
  <c r="C15091" i="1"/>
  <c r="G15090" i="1"/>
  <c r="C15090" i="1"/>
  <c r="G15088" i="1"/>
  <c r="C15088" i="1"/>
  <c r="G15087" i="1"/>
  <c r="C15087" i="1"/>
  <c r="G15086" i="1"/>
  <c r="C15086" i="1"/>
  <c r="G15085" i="1"/>
  <c r="C15085" i="1"/>
  <c r="G15084" i="1"/>
  <c r="C15084" i="1"/>
  <c r="G15083" i="1"/>
  <c r="C15083" i="1"/>
  <c r="G15082" i="1"/>
  <c r="C15082" i="1"/>
  <c r="G15081" i="1"/>
  <c r="C15081" i="1"/>
  <c r="G15079" i="1"/>
  <c r="C15079" i="1"/>
  <c r="G15078" i="1"/>
  <c r="C15078" i="1"/>
  <c r="G15077" i="1"/>
  <c r="C15077" i="1"/>
  <c r="G15076" i="1"/>
  <c r="C15076" i="1"/>
  <c r="G15075" i="1"/>
  <c r="C15075" i="1"/>
  <c r="G15074" i="1"/>
  <c r="C15074" i="1"/>
  <c r="G15073" i="1"/>
  <c r="C15073" i="1"/>
  <c r="G15072" i="1"/>
  <c r="C15072" i="1"/>
  <c r="G15071" i="1"/>
  <c r="C15071" i="1"/>
  <c r="G15070" i="1"/>
  <c r="C15070" i="1"/>
  <c r="G15069" i="1"/>
  <c r="C15069" i="1"/>
  <c r="G15068" i="1"/>
  <c r="C15068" i="1"/>
  <c r="G15067" i="1"/>
  <c r="C15067" i="1"/>
  <c r="G15066" i="1"/>
  <c r="C15066" i="1"/>
  <c r="G15065" i="1"/>
  <c r="C15065" i="1"/>
  <c r="G15064" i="1"/>
  <c r="C15064" i="1"/>
  <c r="G15063" i="1"/>
  <c r="C15063" i="1"/>
  <c r="G15062" i="1"/>
  <c r="C15062" i="1"/>
  <c r="G15061" i="1"/>
  <c r="C15061" i="1"/>
  <c r="G15060" i="1"/>
  <c r="C15060" i="1"/>
  <c r="G15059" i="1"/>
  <c r="C15059" i="1"/>
  <c r="G15058" i="1"/>
  <c r="C15058" i="1"/>
  <c r="G15057" i="1"/>
  <c r="C15057" i="1"/>
  <c r="G15056" i="1"/>
  <c r="C15056" i="1"/>
  <c r="G15055" i="1"/>
  <c r="C15055" i="1"/>
  <c r="G15054" i="1"/>
  <c r="C15054" i="1"/>
  <c r="G15053" i="1"/>
  <c r="C15053" i="1"/>
  <c r="G15052" i="1"/>
  <c r="C15052" i="1"/>
  <c r="G15050" i="1"/>
  <c r="C15050" i="1"/>
  <c r="G15049" i="1"/>
  <c r="C15049" i="1"/>
  <c r="G15048" i="1"/>
  <c r="C15048" i="1"/>
  <c r="G15047" i="1"/>
  <c r="C15047" i="1"/>
  <c r="G15046" i="1"/>
  <c r="C15046" i="1"/>
  <c r="G15045" i="1"/>
  <c r="C15045" i="1"/>
  <c r="G15044" i="1"/>
  <c r="C15044" i="1"/>
  <c r="G15043" i="1"/>
  <c r="C15043" i="1"/>
  <c r="G15042" i="1"/>
  <c r="C15042" i="1"/>
  <c r="G15041" i="1"/>
  <c r="C15041" i="1"/>
  <c r="G15040" i="1"/>
  <c r="C15040" i="1"/>
  <c r="G15039" i="1"/>
  <c r="C15039" i="1"/>
  <c r="G15038" i="1"/>
  <c r="C15038" i="1"/>
  <c r="G15037" i="1"/>
  <c r="C15037" i="1"/>
  <c r="G15036" i="1"/>
  <c r="C15036" i="1"/>
  <c r="G15035" i="1"/>
  <c r="C15035" i="1"/>
  <c r="G15034" i="1"/>
  <c r="C15034" i="1"/>
  <c r="G15033" i="1"/>
  <c r="C15033" i="1"/>
  <c r="G15032" i="1"/>
  <c r="C15032" i="1"/>
  <c r="G15031" i="1"/>
  <c r="C15031" i="1"/>
  <c r="G15030" i="1"/>
  <c r="C15030" i="1"/>
  <c r="G15029" i="1"/>
  <c r="C15029" i="1"/>
  <c r="G15028" i="1"/>
  <c r="C15028" i="1"/>
  <c r="G15027" i="1"/>
  <c r="C15027" i="1"/>
  <c r="G15026" i="1"/>
  <c r="C15026" i="1"/>
  <c r="G15025" i="1"/>
  <c r="C15025" i="1"/>
  <c r="G15024" i="1"/>
  <c r="C15024" i="1"/>
  <c r="G15023" i="1"/>
  <c r="C15023" i="1"/>
  <c r="G15022" i="1"/>
  <c r="C15022" i="1"/>
  <c r="G15021" i="1"/>
  <c r="C15021" i="1"/>
  <c r="G15020" i="1"/>
  <c r="C15020" i="1"/>
  <c r="G15019" i="1"/>
  <c r="C15019" i="1"/>
  <c r="G15018" i="1"/>
  <c r="C15018" i="1"/>
  <c r="G15017" i="1"/>
  <c r="C15017" i="1"/>
  <c r="G15016" i="1"/>
  <c r="C15016" i="1"/>
  <c r="G15015" i="1"/>
  <c r="C15015" i="1"/>
  <c r="G15014" i="1"/>
  <c r="C15014" i="1"/>
  <c r="G15013" i="1"/>
  <c r="C15013" i="1"/>
  <c r="G15012" i="1"/>
  <c r="C15012" i="1"/>
  <c r="G15011" i="1"/>
  <c r="C15011" i="1"/>
  <c r="G15010" i="1"/>
  <c r="C15010" i="1"/>
  <c r="G15009" i="1"/>
  <c r="C15009" i="1"/>
  <c r="G15008" i="1"/>
  <c r="C15008" i="1"/>
  <c r="G15007" i="1"/>
  <c r="C15007" i="1"/>
  <c r="G15006" i="1"/>
  <c r="C15006" i="1"/>
  <c r="G15005" i="1"/>
  <c r="C15005" i="1"/>
  <c r="G15004" i="1"/>
  <c r="C15004" i="1"/>
  <c r="G15003" i="1"/>
  <c r="C15003" i="1"/>
  <c r="G15002" i="1"/>
  <c r="C15002" i="1"/>
  <c r="G15001" i="1"/>
  <c r="C15001" i="1"/>
  <c r="G15000" i="1"/>
  <c r="C15000" i="1"/>
  <c r="G14999" i="1"/>
  <c r="C14999" i="1"/>
  <c r="G14998" i="1"/>
  <c r="C14998" i="1"/>
  <c r="G14997" i="1"/>
  <c r="C14997" i="1"/>
  <c r="G14996" i="1"/>
  <c r="C14996" i="1"/>
  <c r="G14995" i="1"/>
  <c r="C14995" i="1"/>
  <c r="G14994" i="1"/>
  <c r="C14994" i="1"/>
  <c r="G14993" i="1"/>
  <c r="C14993" i="1"/>
  <c r="G14991" i="1"/>
  <c r="C14991" i="1"/>
  <c r="G14990" i="1"/>
  <c r="C14990" i="1"/>
  <c r="G14989" i="1"/>
  <c r="C14989" i="1"/>
  <c r="G14988" i="1"/>
  <c r="C14988" i="1"/>
  <c r="G14987" i="1"/>
  <c r="C14987" i="1"/>
  <c r="G14986" i="1"/>
  <c r="C14986" i="1"/>
  <c r="G14985" i="1"/>
  <c r="C14985" i="1"/>
  <c r="G14984" i="1"/>
  <c r="C14984" i="1"/>
  <c r="G14983" i="1"/>
  <c r="C14983" i="1"/>
  <c r="G14982" i="1"/>
  <c r="C14982" i="1"/>
  <c r="G14981" i="1"/>
  <c r="C14981" i="1"/>
  <c r="G14980" i="1"/>
  <c r="C14980" i="1"/>
  <c r="G14979" i="1"/>
  <c r="C14979" i="1"/>
  <c r="G14978" i="1"/>
  <c r="C14978" i="1"/>
  <c r="G14976" i="1"/>
  <c r="C14976" i="1"/>
  <c r="G14975" i="1"/>
  <c r="C14975" i="1"/>
  <c r="G14974" i="1"/>
  <c r="C14974" i="1"/>
  <c r="G14973" i="1"/>
  <c r="C14973" i="1"/>
  <c r="G14972" i="1"/>
  <c r="C14972" i="1"/>
  <c r="G14971" i="1"/>
  <c r="C14971" i="1"/>
  <c r="G14970" i="1"/>
  <c r="C14970" i="1"/>
  <c r="G14969" i="1"/>
  <c r="C14969" i="1"/>
  <c r="G14968" i="1"/>
  <c r="C14968" i="1"/>
  <c r="G14967" i="1"/>
  <c r="C14967" i="1"/>
  <c r="G14966" i="1"/>
  <c r="C14966" i="1"/>
  <c r="G14965" i="1"/>
  <c r="C14965" i="1"/>
  <c r="G14964" i="1"/>
  <c r="C14964" i="1"/>
  <c r="G14963" i="1"/>
  <c r="C14963" i="1"/>
  <c r="G14962" i="1"/>
  <c r="C14962" i="1"/>
  <c r="G14961" i="1"/>
  <c r="C14961" i="1"/>
  <c r="G14960" i="1"/>
  <c r="C14960" i="1"/>
  <c r="G14959" i="1"/>
  <c r="C14959" i="1"/>
  <c r="G14958" i="1"/>
  <c r="C14958" i="1"/>
  <c r="G14957" i="1"/>
  <c r="C14957" i="1"/>
  <c r="G14956" i="1"/>
  <c r="C14956" i="1"/>
  <c r="G14955" i="1"/>
  <c r="C14955" i="1"/>
  <c r="G14954" i="1"/>
  <c r="C14954" i="1"/>
  <c r="G14953" i="1"/>
  <c r="C14953" i="1"/>
  <c r="G14952" i="1"/>
  <c r="C14952" i="1"/>
  <c r="G14951" i="1"/>
  <c r="C14951" i="1"/>
  <c r="G14950" i="1"/>
  <c r="C14950" i="1"/>
  <c r="G14949" i="1"/>
  <c r="C14949" i="1"/>
  <c r="G14948" i="1"/>
  <c r="C14948" i="1"/>
  <c r="G14947" i="1"/>
  <c r="C14947" i="1"/>
  <c r="G14946" i="1"/>
  <c r="C14946" i="1"/>
  <c r="G14945" i="1"/>
  <c r="C14945" i="1"/>
  <c r="G14944" i="1"/>
  <c r="C14944" i="1"/>
  <c r="G14943" i="1"/>
  <c r="C14943" i="1"/>
  <c r="G14942" i="1"/>
  <c r="C14942" i="1"/>
  <c r="G14940" i="1"/>
  <c r="C14940" i="1"/>
  <c r="G14939" i="1"/>
  <c r="C14939" i="1"/>
  <c r="G14938" i="1"/>
  <c r="C14938" i="1"/>
  <c r="G14937" i="1"/>
  <c r="C14937" i="1"/>
  <c r="G14936" i="1"/>
  <c r="C14936" i="1"/>
  <c r="G14935" i="1"/>
  <c r="C14935" i="1"/>
  <c r="G14934" i="1"/>
  <c r="C14934" i="1"/>
  <c r="G14933" i="1"/>
  <c r="C14933" i="1"/>
  <c r="G14932" i="1"/>
  <c r="C14932" i="1"/>
  <c r="G14931" i="1"/>
  <c r="C14931" i="1"/>
  <c r="G14930" i="1"/>
  <c r="C14930" i="1"/>
  <c r="G14929" i="1"/>
  <c r="C14929" i="1"/>
  <c r="G14928" i="1"/>
  <c r="C14928" i="1"/>
  <c r="G14927" i="1"/>
  <c r="C14927" i="1"/>
  <c r="G14926" i="1"/>
  <c r="C14926" i="1"/>
  <c r="G14925" i="1"/>
  <c r="C14925" i="1"/>
  <c r="G14924" i="1"/>
  <c r="C14924" i="1"/>
  <c r="G14923" i="1"/>
  <c r="C14923" i="1"/>
  <c r="G14922" i="1"/>
  <c r="C14922" i="1"/>
  <c r="G14921" i="1"/>
  <c r="C14921" i="1"/>
  <c r="G14920" i="1"/>
  <c r="C14920" i="1"/>
  <c r="G14919" i="1"/>
  <c r="C14919" i="1"/>
  <c r="G14918" i="1"/>
  <c r="C14918" i="1"/>
  <c r="G14917" i="1"/>
  <c r="C14917" i="1"/>
  <c r="G14916" i="1"/>
  <c r="C14916" i="1"/>
  <c r="G14915" i="1"/>
  <c r="C14915" i="1"/>
  <c r="G14914" i="1"/>
  <c r="C14914" i="1"/>
  <c r="G14913" i="1"/>
  <c r="C14913" i="1"/>
  <c r="G14912" i="1"/>
  <c r="C14912" i="1"/>
  <c r="G14911" i="1"/>
  <c r="C14911" i="1"/>
  <c r="G14910" i="1"/>
  <c r="C14910" i="1"/>
  <c r="G14909" i="1"/>
  <c r="C14909" i="1"/>
  <c r="G14908" i="1"/>
  <c r="C14908" i="1"/>
  <c r="G14907" i="1"/>
  <c r="C14907" i="1"/>
  <c r="G14906" i="1"/>
  <c r="C14906" i="1"/>
  <c r="G14905" i="1"/>
  <c r="C14905" i="1"/>
  <c r="G14904" i="1"/>
  <c r="C14904" i="1"/>
  <c r="G14903" i="1"/>
  <c r="C14903" i="1"/>
  <c r="G14902" i="1"/>
  <c r="C14902" i="1"/>
  <c r="G14901" i="1"/>
  <c r="C14901" i="1"/>
  <c r="G14900" i="1"/>
  <c r="C14900" i="1"/>
  <c r="G14899" i="1"/>
  <c r="C14899" i="1"/>
  <c r="G14898" i="1"/>
  <c r="C14898" i="1"/>
  <c r="G14897" i="1"/>
  <c r="C14897" i="1"/>
  <c r="G14896" i="1"/>
  <c r="C14896" i="1"/>
  <c r="G14895" i="1"/>
  <c r="C14895" i="1"/>
  <c r="G14894" i="1"/>
  <c r="C14894" i="1"/>
  <c r="G14893" i="1"/>
  <c r="C14893" i="1"/>
  <c r="G14892" i="1"/>
  <c r="C14892" i="1"/>
  <c r="G14891" i="1"/>
  <c r="C14891" i="1"/>
  <c r="G14890" i="1"/>
  <c r="C14890" i="1"/>
  <c r="G14887" i="1"/>
  <c r="C14887" i="1"/>
  <c r="G14886" i="1"/>
  <c r="C14886" i="1"/>
  <c r="G14885" i="1"/>
  <c r="C14885" i="1"/>
  <c r="G14884" i="1"/>
  <c r="C14884" i="1"/>
  <c r="G14883" i="1"/>
  <c r="C14883" i="1"/>
  <c r="G14882" i="1"/>
  <c r="C14882" i="1"/>
  <c r="G14881" i="1"/>
  <c r="C14881" i="1"/>
  <c r="G14880" i="1"/>
  <c r="C14880" i="1"/>
  <c r="G14879" i="1"/>
  <c r="C14879" i="1"/>
  <c r="G14878" i="1"/>
  <c r="C14878" i="1"/>
  <c r="G14877" i="1"/>
  <c r="C14877" i="1"/>
  <c r="G14876" i="1"/>
  <c r="C14876" i="1"/>
  <c r="G14875" i="1"/>
  <c r="C14875" i="1"/>
  <c r="G14874" i="1"/>
  <c r="C14874" i="1"/>
  <c r="G14873" i="1"/>
  <c r="C14873" i="1"/>
  <c r="G14871" i="1"/>
  <c r="C14871" i="1"/>
  <c r="G14870" i="1"/>
  <c r="C14870" i="1"/>
  <c r="G14869" i="1"/>
  <c r="C14869" i="1"/>
  <c r="G14868" i="1"/>
  <c r="C14868" i="1"/>
  <c r="G14867" i="1"/>
  <c r="C14867" i="1"/>
  <c r="G14866" i="1"/>
  <c r="C14866" i="1"/>
  <c r="G14865" i="1"/>
  <c r="C14865" i="1"/>
  <c r="G14864" i="1"/>
  <c r="C14864" i="1"/>
  <c r="G14863" i="1"/>
  <c r="C14863" i="1"/>
  <c r="G14862" i="1"/>
  <c r="C14862" i="1"/>
  <c r="G14861" i="1"/>
  <c r="C14861" i="1"/>
  <c r="G14860" i="1"/>
  <c r="C14860" i="1"/>
  <c r="G14859" i="1"/>
  <c r="C14859" i="1"/>
  <c r="G14858" i="1"/>
  <c r="C14858" i="1"/>
  <c r="G14857" i="1"/>
  <c r="C14857" i="1"/>
  <c r="G14856" i="1"/>
  <c r="C14856" i="1"/>
  <c r="G14855" i="1"/>
  <c r="C14855" i="1"/>
  <c r="G14854" i="1"/>
  <c r="C14854" i="1"/>
  <c r="G14853" i="1"/>
  <c r="C14853" i="1"/>
  <c r="G14852" i="1"/>
  <c r="C14852" i="1"/>
  <c r="G14851" i="1"/>
  <c r="C14851" i="1"/>
  <c r="G14850" i="1"/>
  <c r="C14850" i="1"/>
  <c r="G14849" i="1"/>
  <c r="C14849" i="1"/>
  <c r="G14847" i="1"/>
  <c r="C14847" i="1"/>
  <c r="G14846" i="1"/>
  <c r="C14846" i="1"/>
  <c r="G14845" i="1"/>
  <c r="C14845" i="1"/>
  <c r="G14844" i="1"/>
  <c r="C14844" i="1"/>
  <c r="G14843" i="1"/>
  <c r="C14843" i="1"/>
  <c r="G14842" i="1"/>
  <c r="C14842" i="1"/>
  <c r="G14841" i="1"/>
  <c r="C14841" i="1"/>
  <c r="G14840" i="1"/>
  <c r="C14840" i="1"/>
  <c r="G14839" i="1"/>
  <c r="C14839" i="1"/>
  <c r="G14838" i="1"/>
  <c r="C14838" i="1"/>
  <c r="G14837" i="1"/>
  <c r="C14837" i="1"/>
  <c r="G14836" i="1"/>
  <c r="C14836" i="1"/>
  <c r="G14835" i="1"/>
  <c r="C14835" i="1"/>
  <c r="G14834" i="1"/>
  <c r="C14834" i="1"/>
  <c r="G14833" i="1"/>
  <c r="C14833" i="1"/>
  <c r="G14832" i="1"/>
  <c r="C14832" i="1"/>
  <c r="G14831" i="1"/>
  <c r="C14831" i="1"/>
  <c r="G14830" i="1"/>
  <c r="C14830" i="1"/>
  <c r="G14829" i="1"/>
  <c r="C14829" i="1"/>
  <c r="G14828" i="1"/>
  <c r="C14828" i="1"/>
  <c r="G14827" i="1"/>
  <c r="C14827" i="1"/>
  <c r="G14826" i="1"/>
  <c r="C14826" i="1"/>
  <c r="G14825" i="1"/>
  <c r="C14825" i="1"/>
  <c r="G14824" i="1"/>
  <c r="C14824" i="1"/>
  <c r="G14823" i="1"/>
  <c r="C14823" i="1"/>
  <c r="G14822" i="1"/>
  <c r="C14822" i="1"/>
  <c r="G14821" i="1"/>
  <c r="C14821" i="1"/>
  <c r="G14820" i="1"/>
  <c r="C14820" i="1"/>
  <c r="G14819" i="1"/>
  <c r="C14819" i="1"/>
  <c r="G14818" i="1"/>
  <c r="C14818" i="1"/>
  <c r="G14817" i="1"/>
  <c r="C14817" i="1"/>
  <c r="G14816" i="1"/>
  <c r="C14816" i="1"/>
  <c r="G14815" i="1"/>
  <c r="C14815" i="1"/>
  <c r="G14814" i="1"/>
  <c r="C14814" i="1"/>
  <c r="G14812" i="1"/>
  <c r="C14812" i="1"/>
  <c r="G14811" i="1"/>
  <c r="C14811" i="1"/>
  <c r="G14810" i="1"/>
  <c r="C14810" i="1"/>
  <c r="G14808" i="1"/>
  <c r="C14808" i="1"/>
  <c r="G14807" i="1"/>
  <c r="C14807" i="1"/>
  <c r="G14806" i="1"/>
  <c r="C14806" i="1"/>
  <c r="G14805" i="1"/>
  <c r="C14805" i="1"/>
  <c r="G14804" i="1"/>
  <c r="C14804" i="1"/>
  <c r="G14803" i="1"/>
  <c r="C14803" i="1"/>
  <c r="G14802" i="1"/>
  <c r="C14802" i="1"/>
  <c r="G14801" i="1"/>
  <c r="C14801" i="1"/>
  <c r="G14800" i="1"/>
  <c r="C14800" i="1"/>
  <c r="G14799" i="1"/>
  <c r="C14799" i="1"/>
  <c r="G14798" i="1"/>
  <c r="C14798" i="1"/>
  <c r="G14797" i="1"/>
  <c r="C14797" i="1"/>
  <c r="G14796" i="1"/>
  <c r="C14796" i="1"/>
  <c r="G14795" i="1"/>
  <c r="C14795" i="1"/>
  <c r="G14794" i="1"/>
  <c r="C14794" i="1"/>
  <c r="G14793" i="1"/>
  <c r="C14793" i="1"/>
  <c r="G14792" i="1"/>
  <c r="C14792" i="1"/>
  <c r="G14791" i="1"/>
  <c r="C14791" i="1"/>
  <c r="G14790" i="1"/>
  <c r="C14790" i="1"/>
  <c r="G14789" i="1"/>
  <c r="C14789" i="1"/>
  <c r="G14788" i="1"/>
  <c r="C14788" i="1"/>
  <c r="G14787" i="1"/>
  <c r="C14787" i="1"/>
  <c r="G14786" i="1"/>
  <c r="C14786" i="1"/>
  <c r="G14785" i="1"/>
  <c r="C14785" i="1"/>
  <c r="G14784" i="1"/>
  <c r="C14784" i="1"/>
  <c r="G14783" i="1"/>
  <c r="C14783" i="1"/>
  <c r="G14782" i="1"/>
  <c r="C14782" i="1"/>
  <c r="G14781" i="1"/>
  <c r="C14781" i="1"/>
  <c r="G14780" i="1"/>
  <c r="C14780" i="1"/>
  <c r="G14779" i="1"/>
  <c r="C14779" i="1"/>
  <c r="G14778" i="1"/>
  <c r="C14778" i="1"/>
  <c r="G14777" i="1"/>
  <c r="C14777" i="1"/>
  <c r="G14776" i="1"/>
  <c r="C14776" i="1"/>
  <c r="G14775" i="1"/>
  <c r="C14775" i="1"/>
  <c r="G14774" i="1"/>
  <c r="C14774" i="1"/>
  <c r="G14773" i="1"/>
  <c r="C14773" i="1"/>
  <c r="G14772" i="1"/>
  <c r="C14772" i="1"/>
  <c r="G14771" i="1"/>
  <c r="C14771" i="1"/>
  <c r="G14770" i="1"/>
  <c r="C14770" i="1"/>
  <c r="G14769" i="1"/>
  <c r="C14769" i="1"/>
  <c r="G14768" i="1"/>
  <c r="C14768" i="1"/>
  <c r="G14767" i="1"/>
  <c r="C14767" i="1"/>
  <c r="G14766" i="1"/>
  <c r="C14766" i="1"/>
  <c r="G14765" i="1"/>
  <c r="C14765" i="1"/>
  <c r="G14764" i="1"/>
  <c r="C14764" i="1"/>
  <c r="G14763" i="1"/>
  <c r="C14763" i="1"/>
  <c r="G14762" i="1"/>
  <c r="C14762" i="1"/>
  <c r="G14761" i="1"/>
  <c r="C14761" i="1"/>
  <c r="G14760" i="1"/>
  <c r="C14760" i="1"/>
  <c r="G14759" i="1"/>
  <c r="C14759" i="1"/>
  <c r="G14758" i="1"/>
  <c r="C14758" i="1"/>
  <c r="G14757" i="1"/>
  <c r="C14757" i="1"/>
  <c r="G14756" i="1"/>
  <c r="C14756" i="1"/>
  <c r="G14755" i="1"/>
  <c r="C14755" i="1"/>
  <c r="G14754" i="1"/>
  <c r="C14754" i="1"/>
  <c r="G14753" i="1"/>
  <c r="C14753" i="1"/>
  <c r="G14752" i="1"/>
  <c r="C14752" i="1"/>
  <c r="G14751" i="1"/>
  <c r="C14751" i="1"/>
  <c r="G14750" i="1"/>
  <c r="C14750" i="1"/>
  <c r="G14749" i="1"/>
  <c r="C14749" i="1"/>
  <c r="G14748" i="1"/>
  <c r="C14748" i="1"/>
  <c r="G14747" i="1"/>
  <c r="C14747" i="1"/>
  <c r="G14746" i="1"/>
  <c r="C14746" i="1"/>
  <c r="G14745" i="1"/>
  <c r="C14745" i="1"/>
  <c r="G14744" i="1"/>
  <c r="C14744" i="1"/>
  <c r="G14743" i="1"/>
  <c r="C14743" i="1"/>
  <c r="G14742" i="1"/>
  <c r="C14742" i="1"/>
  <c r="G14741" i="1"/>
  <c r="C14741" i="1"/>
  <c r="G14740" i="1"/>
  <c r="C14740" i="1"/>
  <c r="G14737" i="1"/>
  <c r="C14737" i="1"/>
  <c r="G14736" i="1"/>
  <c r="C14736" i="1"/>
  <c r="G14735" i="1"/>
  <c r="C14735" i="1"/>
  <c r="G14734" i="1"/>
  <c r="C14734" i="1"/>
  <c r="G14733" i="1"/>
  <c r="C14733" i="1"/>
  <c r="G14732" i="1"/>
  <c r="C14732" i="1"/>
  <c r="G14731" i="1"/>
  <c r="C14731" i="1"/>
  <c r="G14730" i="1"/>
  <c r="C14730" i="1"/>
  <c r="G14729" i="1"/>
  <c r="C14729" i="1"/>
  <c r="G14728" i="1"/>
  <c r="C14728" i="1"/>
  <c r="G14727" i="1"/>
  <c r="C14727" i="1"/>
  <c r="G14726" i="1"/>
  <c r="C14726" i="1"/>
  <c r="G14725" i="1"/>
  <c r="C14725" i="1"/>
  <c r="G14724" i="1"/>
  <c r="C14724" i="1"/>
  <c r="G14723" i="1"/>
  <c r="C14723" i="1"/>
  <c r="G14722" i="1"/>
  <c r="C14722" i="1"/>
  <c r="G14721" i="1"/>
  <c r="C14721" i="1"/>
  <c r="G14720" i="1"/>
  <c r="C14720" i="1"/>
  <c r="G14719" i="1"/>
  <c r="C14719" i="1"/>
  <c r="G14718" i="1"/>
  <c r="C14718" i="1"/>
  <c r="G14717" i="1"/>
  <c r="C14717" i="1"/>
  <c r="G14716" i="1"/>
  <c r="C14716" i="1"/>
  <c r="G14715" i="1"/>
  <c r="C14715" i="1"/>
  <c r="G14714" i="1"/>
  <c r="C14714" i="1"/>
  <c r="G14713" i="1"/>
  <c r="C14713" i="1"/>
  <c r="G14712" i="1"/>
  <c r="C14712" i="1"/>
  <c r="G14711" i="1"/>
  <c r="C14711" i="1"/>
  <c r="G14710" i="1"/>
  <c r="C14710" i="1"/>
  <c r="G14709" i="1"/>
  <c r="C14709" i="1"/>
  <c r="G14708" i="1"/>
  <c r="C14708" i="1"/>
  <c r="G14706" i="1"/>
  <c r="C14706" i="1"/>
  <c r="G14705" i="1"/>
  <c r="C14705" i="1"/>
  <c r="G14704" i="1"/>
  <c r="C14704" i="1"/>
  <c r="G14703" i="1"/>
  <c r="C14703" i="1"/>
  <c r="G14702" i="1"/>
  <c r="C14702" i="1"/>
  <c r="G14701" i="1"/>
  <c r="C14701" i="1"/>
  <c r="G14700" i="1"/>
  <c r="C14700" i="1"/>
  <c r="G14699" i="1"/>
  <c r="C14699" i="1"/>
  <c r="G14698" i="1"/>
  <c r="C14698" i="1"/>
  <c r="G14697" i="1"/>
  <c r="C14697" i="1"/>
  <c r="G14696" i="1"/>
  <c r="C14696" i="1"/>
  <c r="G14695" i="1"/>
  <c r="C14695" i="1"/>
  <c r="G14694" i="1"/>
  <c r="C14694" i="1"/>
  <c r="G14693" i="1"/>
  <c r="C14693" i="1"/>
  <c r="G14692" i="1"/>
  <c r="C14692" i="1"/>
  <c r="G14691" i="1"/>
  <c r="C14691" i="1"/>
  <c r="G14690" i="1"/>
  <c r="C14690" i="1"/>
  <c r="G14689" i="1"/>
  <c r="C14689" i="1"/>
  <c r="G14688" i="1"/>
  <c r="C14688" i="1"/>
  <c r="G14687" i="1"/>
  <c r="C14687" i="1"/>
  <c r="G14686" i="1"/>
  <c r="C14686" i="1"/>
  <c r="G14685" i="1"/>
  <c r="C14685" i="1"/>
  <c r="G14684" i="1"/>
  <c r="C14684" i="1"/>
  <c r="G14683" i="1"/>
  <c r="C14683" i="1"/>
  <c r="G14682" i="1"/>
  <c r="C14682" i="1"/>
  <c r="G14681" i="1"/>
  <c r="C14681" i="1"/>
  <c r="G14680" i="1"/>
  <c r="C14680" i="1"/>
  <c r="G14679" i="1"/>
  <c r="C14679" i="1"/>
  <c r="G14678" i="1"/>
  <c r="C14678" i="1"/>
  <c r="G14677" i="1"/>
  <c r="C14677" i="1"/>
  <c r="G14676" i="1"/>
  <c r="C14676" i="1"/>
  <c r="G14675" i="1"/>
  <c r="C14675" i="1"/>
  <c r="G14674" i="1"/>
  <c r="C14674" i="1"/>
  <c r="G14673" i="1"/>
  <c r="C14673" i="1"/>
  <c r="G14672" i="1"/>
  <c r="C14672" i="1"/>
  <c r="G14671" i="1"/>
  <c r="C14671" i="1"/>
  <c r="G14670" i="1"/>
  <c r="C14670" i="1"/>
  <c r="G14669" i="1"/>
  <c r="C14669" i="1"/>
  <c r="G14668" i="1"/>
  <c r="C14668" i="1"/>
  <c r="G14667" i="1"/>
  <c r="C14667" i="1"/>
  <c r="G14666" i="1"/>
  <c r="C14666" i="1"/>
  <c r="G14665" i="1"/>
  <c r="C14665" i="1"/>
  <c r="G14664" i="1"/>
  <c r="C14664" i="1"/>
  <c r="G14663" i="1"/>
  <c r="C14663" i="1"/>
  <c r="G14662" i="1"/>
  <c r="C14662" i="1"/>
  <c r="G14661" i="1"/>
  <c r="C14661" i="1"/>
  <c r="G14660" i="1"/>
  <c r="C14660" i="1"/>
  <c r="G14659" i="1"/>
  <c r="C14659" i="1"/>
  <c r="G14658" i="1"/>
  <c r="C14658" i="1"/>
  <c r="G14657" i="1"/>
  <c r="C14657" i="1"/>
  <c r="G14656" i="1"/>
  <c r="C14656" i="1"/>
  <c r="G14655" i="1"/>
  <c r="C14655" i="1"/>
  <c r="G14654" i="1"/>
  <c r="C14654" i="1"/>
  <c r="G14653" i="1"/>
  <c r="C14653" i="1"/>
  <c r="G14652" i="1"/>
  <c r="C14652" i="1"/>
  <c r="G14651" i="1"/>
  <c r="C14651" i="1"/>
  <c r="G14650" i="1"/>
  <c r="C14650" i="1"/>
  <c r="G14649" i="1"/>
  <c r="C14649" i="1"/>
  <c r="G14648" i="1"/>
  <c r="C14648" i="1"/>
  <c r="G14646" i="1"/>
  <c r="C14646" i="1"/>
  <c r="G14645" i="1"/>
  <c r="C14645" i="1"/>
  <c r="G14644" i="1"/>
  <c r="C14644" i="1"/>
  <c r="G14643" i="1"/>
  <c r="C14643" i="1"/>
  <c r="G14642" i="1"/>
  <c r="C14642" i="1"/>
  <c r="G14641" i="1"/>
  <c r="C14641" i="1"/>
  <c r="G14640" i="1"/>
  <c r="C14640" i="1"/>
  <c r="G14639" i="1"/>
  <c r="C14639" i="1"/>
  <c r="G14638" i="1"/>
  <c r="C14638" i="1"/>
  <c r="G14637" i="1"/>
  <c r="C14637" i="1"/>
  <c r="G14636" i="1"/>
  <c r="C14636" i="1"/>
  <c r="G14635" i="1"/>
  <c r="C14635" i="1"/>
  <c r="G14634" i="1"/>
  <c r="C14634" i="1"/>
  <c r="G14633" i="1"/>
  <c r="C14633" i="1"/>
  <c r="G14632" i="1"/>
  <c r="C14632" i="1"/>
  <c r="G14631" i="1"/>
  <c r="C14631" i="1"/>
  <c r="G14630" i="1"/>
  <c r="C14630" i="1"/>
  <c r="G14629" i="1"/>
  <c r="C14629" i="1"/>
  <c r="G14628" i="1"/>
  <c r="C14628" i="1"/>
  <c r="G14627" i="1"/>
  <c r="C14627" i="1"/>
  <c r="G14626" i="1"/>
  <c r="C14626" i="1"/>
  <c r="G14625" i="1"/>
  <c r="C14625" i="1"/>
  <c r="G14624" i="1"/>
  <c r="C14624" i="1"/>
  <c r="G14623" i="1"/>
  <c r="C14623" i="1"/>
  <c r="G14622" i="1"/>
  <c r="C14622" i="1"/>
  <c r="G14621" i="1"/>
  <c r="C14621" i="1"/>
  <c r="G14620" i="1"/>
  <c r="C14620" i="1"/>
  <c r="G14619" i="1"/>
  <c r="C14619" i="1"/>
  <c r="G14618" i="1"/>
  <c r="C14618" i="1"/>
  <c r="G14617" i="1"/>
  <c r="C14617" i="1"/>
  <c r="G14616" i="1"/>
  <c r="C14616" i="1"/>
  <c r="G14615" i="1"/>
  <c r="C14615" i="1"/>
  <c r="G14614" i="1"/>
  <c r="C14614" i="1"/>
  <c r="G14613" i="1"/>
  <c r="C14613" i="1"/>
  <c r="G14612" i="1"/>
  <c r="C14612" i="1"/>
  <c r="G14611" i="1"/>
  <c r="C14611" i="1"/>
  <c r="G14610" i="1"/>
  <c r="C14610" i="1"/>
  <c r="G14609" i="1"/>
  <c r="C14609" i="1"/>
  <c r="G14608" i="1"/>
  <c r="C14608" i="1"/>
  <c r="G14607" i="1"/>
  <c r="C14607" i="1"/>
  <c r="G14606" i="1"/>
  <c r="C14606" i="1"/>
  <c r="G14605" i="1"/>
  <c r="C14605" i="1"/>
  <c r="G14604" i="1"/>
  <c r="C14604" i="1"/>
  <c r="G14603" i="1"/>
  <c r="C14603" i="1"/>
  <c r="G14602" i="1"/>
  <c r="C14602" i="1"/>
  <c r="G14601" i="1"/>
  <c r="C14601" i="1"/>
  <c r="G14600" i="1"/>
  <c r="C14600" i="1"/>
  <c r="G14599" i="1"/>
  <c r="C14599" i="1"/>
  <c r="G14598" i="1"/>
  <c r="C14598" i="1"/>
  <c r="G14597" i="1"/>
  <c r="C14597" i="1"/>
  <c r="G14596" i="1"/>
  <c r="C14596" i="1"/>
  <c r="G14595" i="1"/>
  <c r="C14595" i="1"/>
  <c r="G14594" i="1"/>
  <c r="C14594" i="1"/>
  <c r="G14592" i="1"/>
  <c r="C14592" i="1"/>
  <c r="G14591" i="1"/>
  <c r="C14591" i="1"/>
  <c r="G14590" i="1"/>
  <c r="C14590" i="1"/>
  <c r="G14589" i="1"/>
  <c r="C14589" i="1"/>
  <c r="G14588" i="1"/>
  <c r="C14588" i="1"/>
  <c r="G14587" i="1"/>
  <c r="C14587" i="1"/>
  <c r="G14586" i="1"/>
  <c r="C14586" i="1"/>
  <c r="G14585" i="1"/>
  <c r="C14585" i="1"/>
  <c r="G14584" i="1"/>
  <c r="C14584" i="1"/>
  <c r="G14583" i="1"/>
  <c r="C14583" i="1"/>
  <c r="G14582" i="1"/>
  <c r="C14582" i="1"/>
  <c r="G14581" i="1"/>
  <c r="C14581" i="1"/>
  <c r="G14580" i="1"/>
  <c r="C14580" i="1"/>
  <c r="G14579" i="1"/>
  <c r="C14579" i="1"/>
  <c r="G14578" i="1"/>
  <c r="C14578" i="1"/>
  <c r="G14577" i="1"/>
  <c r="C14577" i="1"/>
  <c r="G14576" i="1"/>
  <c r="C14576" i="1"/>
  <c r="G14575" i="1"/>
  <c r="C14575" i="1"/>
  <c r="G14574" i="1"/>
  <c r="C14574" i="1"/>
  <c r="G14573" i="1"/>
  <c r="C14573" i="1"/>
  <c r="G14572" i="1"/>
  <c r="C14572" i="1"/>
  <c r="G14571" i="1"/>
  <c r="C14571" i="1"/>
  <c r="G14570" i="1"/>
  <c r="C14570" i="1"/>
  <c r="G14569" i="1"/>
  <c r="C14569" i="1"/>
  <c r="G14568" i="1"/>
  <c r="C14568" i="1"/>
  <c r="G14567" i="1"/>
  <c r="C14567" i="1"/>
  <c r="G14566" i="1"/>
  <c r="C14566" i="1"/>
  <c r="G14565" i="1"/>
  <c r="C14565" i="1"/>
  <c r="G14564" i="1"/>
  <c r="C14564" i="1"/>
  <c r="G14563" i="1"/>
  <c r="C14563" i="1"/>
  <c r="G14562" i="1"/>
  <c r="C14562" i="1"/>
  <c r="G14561" i="1"/>
  <c r="C14561" i="1"/>
  <c r="G14560" i="1"/>
  <c r="C14560" i="1"/>
  <c r="G14559" i="1"/>
  <c r="C14559" i="1"/>
  <c r="G14558" i="1"/>
  <c r="C14558" i="1"/>
  <c r="G14557" i="1"/>
  <c r="C14557" i="1"/>
  <c r="G14556" i="1"/>
  <c r="C14556" i="1"/>
  <c r="G14555" i="1"/>
  <c r="C14555" i="1"/>
  <c r="G14554" i="1"/>
  <c r="C14554" i="1"/>
  <c r="G14553" i="1"/>
  <c r="C14553" i="1"/>
  <c r="G14552" i="1"/>
  <c r="C14552" i="1"/>
  <c r="G14551" i="1"/>
  <c r="C14551" i="1"/>
  <c r="G14550" i="1"/>
  <c r="C14550" i="1"/>
  <c r="G14549" i="1"/>
  <c r="C14549" i="1"/>
  <c r="G14548" i="1"/>
  <c r="C14548" i="1"/>
  <c r="G14547" i="1"/>
  <c r="C14547" i="1"/>
  <c r="G14546" i="1"/>
  <c r="C14546" i="1"/>
  <c r="G14544" i="1"/>
  <c r="C14544" i="1"/>
  <c r="G14543" i="1"/>
  <c r="C14543" i="1"/>
  <c r="G14542" i="1"/>
  <c r="C14542" i="1"/>
  <c r="G14541" i="1"/>
  <c r="C14541" i="1"/>
  <c r="G14540" i="1"/>
  <c r="C14540" i="1"/>
  <c r="G14539" i="1"/>
  <c r="C14539" i="1"/>
  <c r="G14538" i="1"/>
  <c r="C14538" i="1"/>
  <c r="G14537" i="1"/>
  <c r="C14537" i="1"/>
  <c r="G14536" i="1"/>
  <c r="C14536" i="1"/>
  <c r="G14535" i="1"/>
  <c r="C14535" i="1"/>
  <c r="G14534" i="1"/>
  <c r="C14534" i="1"/>
  <c r="G14533" i="1"/>
  <c r="C14533" i="1"/>
  <c r="G14532" i="1"/>
  <c r="C14532" i="1"/>
  <c r="G14531" i="1"/>
  <c r="C14531" i="1"/>
  <c r="G14530" i="1"/>
  <c r="C14530" i="1"/>
  <c r="G14529" i="1"/>
  <c r="C14529" i="1"/>
  <c r="G14528" i="1"/>
  <c r="C14528" i="1"/>
  <c r="G14527" i="1"/>
  <c r="C14527" i="1"/>
  <c r="G14526" i="1"/>
  <c r="C14526" i="1"/>
  <c r="G14525" i="1"/>
  <c r="C14525" i="1"/>
  <c r="G14524" i="1"/>
  <c r="C14524" i="1"/>
  <c r="G14523" i="1"/>
  <c r="C14523" i="1"/>
  <c r="G14522" i="1"/>
  <c r="C14522" i="1"/>
  <c r="G14521" i="1"/>
  <c r="C14521" i="1"/>
  <c r="G14520" i="1"/>
  <c r="C14520" i="1"/>
  <c r="G14519" i="1"/>
  <c r="C14519" i="1"/>
  <c r="G14518" i="1"/>
  <c r="C14518" i="1"/>
  <c r="G14517" i="1"/>
  <c r="C14517" i="1"/>
  <c r="G14516" i="1"/>
  <c r="C14516" i="1"/>
  <c r="G14515" i="1"/>
  <c r="C14515" i="1"/>
  <c r="G14514" i="1"/>
  <c r="C14514" i="1"/>
  <c r="G14513" i="1"/>
  <c r="C14513" i="1"/>
  <c r="G14512" i="1"/>
  <c r="C14512" i="1"/>
  <c r="G14511" i="1"/>
  <c r="C14511" i="1"/>
  <c r="G14510" i="1"/>
  <c r="C14510" i="1"/>
  <c r="G14509" i="1"/>
  <c r="C14509" i="1"/>
  <c r="G14508" i="1"/>
  <c r="C14508" i="1"/>
  <c r="G14507" i="1"/>
  <c r="C14507" i="1"/>
  <c r="G14506" i="1"/>
  <c r="C14506" i="1"/>
  <c r="G14505" i="1"/>
  <c r="C14505" i="1"/>
  <c r="G14504" i="1"/>
  <c r="C14504" i="1"/>
  <c r="G14503" i="1"/>
  <c r="C14503" i="1"/>
  <c r="G14502" i="1"/>
  <c r="C14502" i="1"/>
  <c r="G14501" i="1"/>
  <c r="C14501" i="1"/>
  <c r="G14500" i="1"/>
  <c r="C14500" i="1"/>
  <c r="G14499" i="1"/>
  <c r="C14499" i="1"/>
  <c r="G14498" i="1"/>
  <c r="C14498" i="1"/>
  <c r="G14497" i="1"/>
  <c r="C14497" i="1"/>
  <c r="G14496" i="1"/>
  <c r="C14496" i="1"/>
  <c r="G14495" i="1"/>
  <c r="C14495" i="1"/>
  <c r="G14494" i="1"/>
  <c r="C14494" i="1"/>
  <c r="G14493" i="1"/>
  <c r="C14493" i="1"/>
  <c r="G14492" i="1"/>
  <c r="C14492" i="1"/>
  <c r="G14491" i="1"/>
  <c r="C14491" i="1"/>
  <c r="G14490" i="1"/>
  <c r="C14490" i="1"/>
  <c r="G14489" i="1"/>
  <c r="C14489" i="1"/>
  <c r="G14488" i="1"/>
  <c r="C14488" i="1"/>
  <c r="G14487" i="1"/>
  <c r="C14487" i="1"/>
  <c r="G14486" i="1"/>
  <c r="C14486" i="1"/>
  <c r="G14485" i="1"/>
  <c r="C14485" i="1"/>
  <c r="G14484" i="1"/>
  <c r="C14484" i="1"/>
  <c r="G14483" i="1"/>
  <c r="C14483" i="1"/>
  <c r="G14482" i="1"/>
  <c r="C14482" i="1"/>
  <c r="G14481" i="1"/>
  <c r="C14481" i="1"/>
  <c r="G14480" i="1"/>
  <c r="C14480" i="1"/>
  <c r="G14479" i="1"/>
  <c r="C14479" i="1"/>
  <c r="G14478" i="1"/>
  <c r="C14478" i="1"/>
  <c r="G14477" i="1"/>
  <c r="C14477" i="1"/>
  <c r="G14476" i="1"/>
  <c r="C14476" i="1"/>
  <c r="G14475" i="1"/>
  <c r="C14475" i="1"/>
  <c r="G14474" i="1"/>
  <c r="C14474" i="1"/>
  <c r="G14473" i="1"/>
  <c r="C14473" i="1"/>
  <c r="G14472" i="1"/>
  <c r="C14472" i="1"/>
  <c r="G14471" i="1"/>
  <c r="C14471" i="1"/>
  <c r="G14470" i="1"/>
  <c r="C14470" i="1"/>
  <c r="G14468" i="1"/>
  <c r="C14468" i="1"/>
  <c r="G14467" i="1"/>
  <c r="C14467" i="1"/>
  <c r="G14466" i="1"/>
  <c r="C14466" i="1"/>
  <c r="G14465" i="1"/>
  <c r="C14465" i="1"/>
  <c r="G14464" i="1"/>
  <c r="C14464" i="1"/>
  <c r="G14463" i="1"/>
  <c r="C14463" i="1"/>
  <c r="G14462" i="1"/>
  <c r="C14462" i="1"/>
  <c r="G14461" i="1"/>
  <c r="C14461" i="1"/>
  <c r="G14460" i="1"/>
  <c r="C14460" i="1"/>
  <c r="G14459" i="1"/>
  <c r="C14459" i="1"/>
  <c r="G14458" i="1"/>
  <c r="C14458" i="1"/>
  <c r="G14457" i="1"/>
  <c r="C14457" i="1"/>
  <c r="G14456" i="1"/>
  <c r="C14456" i="1"/>
  <c r="G14455" i="1"/>
  <c r="C14455" i="1"/>
  <c r="G14454" i="1"/>
  <c r="C14454" i="1"/>
  <c r="G14453" i="1"/>
  <c r="C14453" i="1"/>
  <c r="G14452" i="1"/>
  <c r="C14452" i="1"/>
  <c r="G14451" i="1"/>
  <c r="C14451" i="1"/>
  <c r="G14450" i="1"/>
  <c r="C14450" i="1"/>
  <c r="G14449" i="1"/>
  <c r="C14449" i="1"/>
  <c r="G14447" i="1"/>
  <c r="C14447" i="1"/>
  <c r="G14446" i="1"/>
  <c r="C14446" i="1"/>
  <c r="G14445" i="1"/>
  <c r="C14445" i="1"/>
  <c r="G14443" i="1"/>
  <c r="C14443" i="1"/>
  <c r="G14442" i="1"/>
  <c r="C14442" i="1"/>
  <c r="G14441" i="1"/>
  <c r="C14441" i="1"/>
  <c r="G14440" i="1"/>
  <c r="C14440" i="1"/>
  <c r="G14439" i="1"/>
  <c r="C14439" i="1"/>
  <c r="G14438" i="1"/>
  <c r="C14438" i="1"/>
  <c r="G14437" i="1"/>
  <c r="C14437" i="1"/>
  <c r="G14436" i="1"/>
  <c r="C14436" i="1"/>
  <c r="G14435" i="1"/>
  <c r="C14435" i="1"/>
  <c r="G14434" i="1"/>
  <c r="C14434" i="1"/>
  <c r="G14433" i="1"/>
  <c r="C14433" i="1"/>
  <c r="G14432" i="1"/>
  <c r="C14432" i="1"/>
  <c r="G14431" i="1"/>
  <c r="C14431" i="1"/>
  <c r="G14430" i="1"/>
  <c r="C14430" i="1"/>
  <c r="G14429" i="1"/>
  <c r="C14429" i="1"/>
  <c r="G14428" i="1"/>
  <c r="C14428" i="1"/>
  <c r="G14427" i="1"/>
  <c r="C14427" i="1"/>
  <c r="G14426" i="1"/>
  <c r="C14426" i="1"/>
  <c r="G14425" i="1"/>
  <c r="C14425" i="1"/>
  <c r="G14424" i="1"/>
  <c r="C14424" i="1"/>
  <c r="G14423" i="1"/>
  <c r="C14423" i="1"/>
  <c r="G14422" i="1"/>
  <c r="C14422" i="1"/>
  <c r="G14421" i="1"/>
  <c r="C14421" i="1"/>
  <c r="G14420" i="1"/>
  <c r="C14420" i="1"/>
  <c r="G14419" i="1"/>
  <c r="C14419" i="1"/>
  <c r="G14418" i="1"/>
  <c r="C14418" i="1"/>
  <c r="G14417" i="1"/>
  <c r="C14417" i="1"/>
  <c r="G14416" i="1"/>
  <c r="C14416" i="1"/>
  <c r="G14415" i="1"/>
  <c r="C14415" i="1"/>
  <c r="G14414" i="1"/>
  <c r="C14414" i="1"/>
  <c r="G14413" i="1"/>
  <c r="C14413" i="1"/>
  <c r="G14412" i="1"/>
  <c r="C14412" i="1"/>
  <c r="G14411" i="1"/>
  <c r="C14411" i="1"/>
  <c r="G14410" i="1"/>
  <c r="C14410" i="1"/>
  <c r="G14409" i="1"/>
  <c r="C14409" i="1"/>
  <c r="G14408" i="1"/>
  <c r="C14408" i="1"/>
  <c r="G14407" i="1"/>
  <c r="C14407" i="1"/>
  <c r="G14406" i="1"/>
  <c r="C14406" i="1"/>
  <c r="G14404" i="1"/>
  <c r="C14404" i="1"/>
  <c r="G14403" i="1"/>
  <c r="C14403" i="1"/>
  <c r="G14402" i="1"/>
  <c r="C14402" i="1"/>
  <c r="G14401" i="1"/>
  <c r="C14401" i="1"/>
  <c r="G14400" i="1"/>
  <c r="C14400" i="1"/>
  <c r="G14399" i="1"/>
  <c r="C14399" i="1"/>
  <c r="G14398" i="1"/>
  <c r="C14398" i="1"/>
  <c r="G14397" i="1"/>
  <c r="C14397" i="1"/>
  <c r="G14396" i="1"/>
  <c r="C14396" i="1"/>
  <c r="G14395" i="1"/>
  <c r="C14395" i="1"/>
  <c r="G14394" i="1"/>
  <c r="C14394" i="1"/>
  <c r="G14393" i="1"/>
  <c r="C14393" i="1"/>
  <c r="G14392" i="1"/>
  <c r="C14392" i="1"/>
  <c r="G14391" i="1"/>
  <c r="C14391" i="1"/>
  <c r="G14390" i="1"/>
  <c r="C14390" i="1"/>
  <c r="G14389" i="1"/>
  <c r="C14389" i="1"/>
  <c r="G14388" i="1"/>
  <c r="C14388" i="1"/>
  <c r="G14387" i="1"/>
  <c r="C14387" i="1"/>
  <c r="G14386" i="1"/>
  <c r="C14386" i="1"/>
  <c r="G14385" i="1"/>
  <c r="C14385" i="1"/>
  <c r="G14384" i="1"/>
  <c r="C14384" i="1"/>
  <c r="G14383" i="1"/>
  <c r="C14383" i="1"/>
  <c r="G14382" i="1"/>
  <c r="C14382" i="1"/>
  <c r="G14381" i="1"/>
  <c r="C14381" i="1"/>
  <c r="G14380" i="1"/>
  <c r="C14380" i="1"/>
  <c r="G14379" i="1"/>
  <c r="C14379" i="1"/>
  <c r="G14378" i="1"/>
  <c r="C14378" i="1"/>
  <c r="G14377" i="1"/>
  <c r="C14377" i="1"/>
  <c r="G14376" i="1"/>
  <c r="C14376" i="1"/>
  <c r="G14375" i="1"/>
  <c r="C14375" i="1"/>
  <c r="G14374" i="1"/>
  <c r="C14374" i="1"/>
  <c r="G14373" i="1"/>
  <c r="C14373" i="1"/>
  <c r="G14372" i="1"/>
  <c r="C14372" i="1"/>
  <c r="G14371" i="1"/>
  <c r="C14371" i="1"/>
  <c r="G14370" i="1"/>
  <c r="C14370" i="1"/>
  <c r="G14369" i="1"/>
  <c r="C14369" i="1"/>
  <c r="G14368" i="1"/>
  <c r="C14368" i="1"/>
  <c r="G14366" i="1"/>
  <c r="C14366" i="1"/>
  <c r="G14365" i="1"/>
  <c r="C14365" i="1"/>
  <c r="G14364" i="1"/>
  <c r="C14364" i="1"/>
  <c r="G14363" i="1"/>
  <c r="C14363" i="1"/>
  <c r="G14362" i="1"/>
  <c r="C14362" i="1"/>
  <c r="G14361" i="1"/>
  <c r="C14361" i="1"/>
  <c r="G14360" i="1"/>
  <c r="C14360" i="1"/>
  <c r="G14359" i="1"/>
  <c r="C14359" i="1"/>
  <c r="G14358" i="1"/>
  <c r="C14358" i="1"/>
  <c r="G14357" i="1"/>
  <c r="C14357" i="1"/>
  <c r="G14356" i="1"/>
  <c r="C14356" i="1"/>
  <c r="G14355" i="1"/>
  <c r="C14355" i="1"/>
  <c r="G14354" i="1"/>
  <c r="C14354" i="1"/>
  <c r="G14353" i="1"/>
  <c r="C14353" i="1"/>
  <c r="G14352" i="1"/>
  <c r="C14352" i="1"/>
  <c r="G14351" i="1"/>
  <c r="C14351" i="1"/>
  <c r="G14350" i="1"/>
  <c r="C14350" i="1"/>
  <c r="G14349" i="1"/>
  <c r="C14349" i="1"/>
  <c r="G14348" i="1"/>
  <c r="C14348" i="1"/>
  <c r="G14347" i="1"/>
  <c r="C14347" i="1"/>
  <c r="G14346" i="1"/>
  <c r="C14346" i="1"/>
  <c r="G14345" i="1"/>
  <c r="C14345" i="1"/>
  <c r="G14344" i="1"/>
  <c r="C14344" i="1"/>
  <c r="G14343" i="1"/>
  <c r="C14343" i="1"/>
  <c r="G14342" i="1"/>
  <c r="C14342" i="1"/>
  <c r="G14341" i="1"/>
  <c r="C14341" i="1"/>
  <c r="G14340" i="1"/>
  <c r="C14340" i="1"/>
  <c r="G14339" i="1"/>
  <c r="C14339" i="1"/>
  <c r="G14338" i="1"/>
  <c r="C14338" i="1"/>
  <c r="G14337" i="1"/>
  <c r="C14337" i="1"/>
  <c r="G14336" i="1"/>
  <c r="C14336" i="1"/>
  <c r="G14335" i="1"/>
  <c r="C14335" i="1"/>
  <c r="G14334" i="1"/>
  <c r="C14334" i="1"/>
  <c r="G14333" i="1"/>
  <c r="C14333" i="1"/>
  <c r="G14332" i="1"/>
  <c r="C14332" i="1"/>
  <c r="G14330" i="1"/>
  <c r="C14330" i="1"/>
  <c r="G14329" i="1"/>
  <c r="C14329" i="1"/>
  <c r="G14328" i="1"/>
  <c r="C14328" i="1"/>
  <c r="G14327" i="1"/>
  <c r="C14327" i="1"/>
  <c r="G14326" i="1"/>
  <c r="C14326" i="1"/>
  <c r="G14325" i="1"/>
  <c r="C14325" i="1"/>
  <c r="G14324" i="1"/>
  <c r="C14324" i="1"/>
  <c r="G14323" i="1"/>
  <c r="C14323" i="1"/>
  <c r="G14322" i="1"/>
  <c r="C14322" i="1"/>
  <c r="G14321" i="1"/>
  <c r="C14321" i="1"/>
  <c r="G14320" i="1"/>
  <c r="C14320" i="1"/>
  <c r="G14319" i="1"/>
  <c r="C14319" i="1"/>
  <c r="G14318" i="1"/>
  <c r="C14318" i="1"/>
  <c r="G14317" i="1"/>
  <c r="C14317" i="1"/>
  <c r="G14316" i="1"/>
  <c r="C14316" i="1"/>
  <c r="G14315" i="1"/>
  <c r="C14315" i="1"/>
  <c r="G14314" i="1"/>
  <c r="C14314" i="1"/>
  <c r="G14313" i="1"/>
  <c r="C14313" i="1"/>
  <c r="G14312" i="1"/>
  <c r="C14312" i="1"/>
  <c r="G14311" i="1"/>
  <c r="C14311" i="1"/>
  <c r="G14310" i="1"/>
  <c r="C14310" i="1"/>
  <c r="G14309" i="1"/>
  <c r="C14309" i="1"/>
  <c r="G14308" i="1"/>
  <c r="C14308" i="1"/>
  <c r="G14307" i="1"/>
  <c r="C14307" i="1"/>
  <c r="G14306" i="1"/>
  <c r="C14306" i="1"/>
  <c r="G14305" i="1"/>
  <c r="C14305" i="1"/>
  <c r="G14304" i="1"/>
  <c r="C14304" i="1"/>
  <c r="G14303" i="1"/>
  <c r="C14303" i="1"/>
  <c r="G14302" i="1"/>
  <c r="C14302" i="1"/>
  <c r="G14301" i="1"/>
  <c r="C14301" i="1"/>
  <c r="G14300" i="1"/>
  <c r="C14300" i="1"/>
  <c r="G14299" i="1"/>
  <c r="C14299" i="1"/>
  <c r="G14297" i="1"/>
  <c r="C14297" i="1"/>
  <c r="G14296" i="1"/>
  <c r="C14296" i="1"/>
  <c r="G14295" i="1"/>
  <c r="C14295" i="1"/>
  <c r="G14294" i="1"/>
  <c r="C14294" i="1"/>
  <c r="G14293" i="1"/>
  <c r="C14293" i="1"/>
  <c r="G14292" i="1"/>
  <c r="C14292" i="1"/>
  <c r="G14291" i="1"/>
  <c r="C14291" i="1"/>
  <c r="G14290" i="1"/>
  <c r="C14290" i="1"/>
  <c r="G14289" i="1"/>
  <c r="C14289" i="1"/>
  <c r="G14288" i="1"/>
  <c r="C14288" i="1"/>
  <c r="G14287" i="1"/>
  <c r="C14287" i="1"/>
  <c r="G14286" i="1"/>
  <c r="C14286" i="1"/>
  <c r="G14285" i="1"/>
  <c r="C14285" i="1"/>
  <c r="G14284" i="1"/>
  <c r="C14284" i="1"/>
  <c r="G14283" i="1"/>
  <c r="C14283" i="1"/>
  <c r="G14282" i="1"/>
  <c r="C14282" i="1"/>
  <c r="G14281" i="1"/>
  <c r="C14281" i="1"/>
  <c r="G14280" i="1"/>
  <c r="C14280" i="1"/>
  <c r="G14279" i="1"/>
  <c r="C14279" i="1"/>
  <c r="G14278" i="1"/>
  <c r="C14278" i="1"/>
  <c r="G14277" i="1"/>
  <c r="C14277" i="1"/>
  <c r="G14276" i="1"/>
  <c r="C14276" i="1"/>
  <c r="G14275" i="1"/>
  <c r="C14275" i="1"/>
  <c r="G14274" i="1"/>
  <c r="C14274" i="1"/>
  <c r="G14273" i="1"/>
  <c r="C14273" i="1"/>
  <c r="G14272" i="1"/>
  <c r="C14272" i="1"/>
  <c r="G14271" i="1"/>
  <c r="C14271" i="1"/>
  <c r="G14270" i="1"/>
  <c r="C14270" i="1"/>
  <c r="G14269" i="1"/>
  <c r="C14269" i="1"/>
  <c r="G14268" i="1"/>
  <c r="C14268" i="1"/>
  <c r="G14267" i="1"/>
  <c r="C14267" i="1"/>
  <c r="G14266" i="1"/>
  <c r="C14266" i="1"/>
  <c r="G14265" i="1"/>
  <c r="C14265" i="1"/>
  <c r="G14264" i="1"/>
  <c r="C14264" i="1"/>
  <c r="G14263" i="1"/>
  <c r="C14263" i="1"/>
  <c r="G14262" i="1"/>
  <c r="C14262" i="1"/>
  <c r="G14261" i="1"/>
  <c r="C14261" i="1"/>
  <c r="G14260" i="1"/>
  <c r="C14260" i="1"/>
  <c r="G14259" i="1"/>
  <c r="C14259" i="1"/>
  <c r="G14258" i="1"/>
  <c r="C14258" i="1"/>
  <c r="G14257" i="1"/>
  <c r="C14257" i="1"/>
  <c r="G14256" i="1"/>
  <c r="C14256" i="1"/>
  <c r="G14255" i="1"/>
  <c r="C14255" i="1"/>
  <c r="G14254" i="1"/>
  <c r="C14254" i="1"/>
  <c r="G14253" i="1"/>
  <c r="C14253" i="1"/>
  <c r="G14252" i="1"/>
  <c r="C14252" i="1"/>
  <c r="G14251" i="1"/>
  <c r="C14251" i="1"/>
  <c r="G14250" i="1"/>
  <c r="C14250" i="1"/>
  <c r="G14249" i="1"/>
  <c r="C14249" i="1"/>
  <c r="G14248" i="1"/>
  <c r="C14248" i="1"/>
  <c r="G14247" i="1"/>
  <c r="C14247" i="1"/>
  <c r="G14246" i="1"/>
  <c r="C14246" i="1"/>
  <c r="G14245" i="1"/>
  <c r="C14245" i="1"/>
  <c r="G14244" i="1"/>
  <c r="C14244" i="1"/>
  <c r="G14243" i="1"/>
  <c r="C14243" i="1"/>
  <c r="G14241" i="1"/>
  <c r="C14241" i="1"/>
  <c r="G14240" i="1"/>
  <c r="C14240" i="1"/>
  <c r="G14239" i="1"/>
  <c r="C14239" i="1"/>
  <c r="G14238" i="1"/>
  <c r="C14238" i="1"/>
  <c r="G14237" i="1"/>
  <c r="C14237" i="1"/>
  <c r="G14236" i="1"/>
  <c r="C14236" i="1"/>
  <c r="G14235" i="1"/>
  <c r="C14235" i="1"/>
  <c r="G14234" i="1"/>
  <c r="C14234" i="1"/>
  <c r="G14233" i="1"/>
  <c r="C14233" i="1"/>
  <c r="G14232" i="1"/>
  <c r="C14232" i="1"/>
  <c r="G14231" i="1"/>
  <c r="C14231" i="1"/>
  <c r="G14230" i="1"/>
  <c r="C14230" i="1"/>
  <c r="G14229" i="1"/>
  <c r="C14229" i="1"/>
  <c r="G14227" i="1"/>
  <c r="C14227" i="1"/>
  <c r="G14226" i="1"/>
  <c r="C14226" i="1"/>
  <c r="G14225" i="1"/>
  <c r="C14225" i="1"/>
  <c r="G14224" i="1"/>
  <c r="C14224" i="1"/>
  <c r="G14223" i="1"/>
  <c r="C14223" i="1"/>
  <c r="G14222" i="1"/>
  <c r="C14222" i="1"/>
  <c r="G14221" i="1"/>
  <c r="C14221" i="1"/>
  <c r="G14220" i="1"/>
  <c r="C14220" i="1"/>
  <c r="G14217" i="1"/>
  <c r="C14217" i="1"/>
  <c r="G14216" i="1"/>
  <c r="C14216" i="1"/>
  <c r="G14215" i="1"/>
  <c r="C14215" i="1"/>
  <c r="G14214" i="1"/>
  <c r="C14214" i="1"/>
  <c r="G14213" i="1"/>
  <c r="C14213" i="1"/>
  <c r="G14212" i="1"/>
  <c r="C14212" i="1"/>
  <c r="G14211" i="1"/>
  <c r="C14211" i="1"/>
  <c r="G14210" i="1"/>
  <c r="C14210" i="1"/>
  <c r="G14209" i="1"/>
  <c r="C14209" i="1"/>
  <c r="G14208" i="1"/>
  <c r="C14208" i="1"/>
  <c r="G14207" i="1"/>
  <c r="C14207" i="1"/>
  <c r="G14205" i="1"/>
  <c r="C14205" i="1"/>
  <c r="G14204" i="1"/>
  <c r="C14204" i="1"/>
  <c r="G14203" i="1"/>
  <c r="C14203" i="1"/>
  <c r="G14202" i="1"/>
  <c r="C14202" i="1"/>
  <c r="G14201" i="1"/>
  <c r="C14201" i="1"/>
  <c r="G14200" i="1"/>
  <c r="C14200" i="1"/>
  <c r="G14199" i="1"/>
  <c r="C14199" i="1"/>
  <c r="G14198" i="1"/>
  <c r="C14198" i="1"/>
  <c r="G14197" i="1"/>
  <c r="C14197" i="1"/>
  <c r="G14196" i="1"/>
  <c r="C14196" i="1"/>
  <c r="G14195" i="1"/>
  <c r="C14195" i="1"/>
  <c r="G14194" i="1"/>
  <c r="C14194" i="1"/>
  <c r="G14193" i="1"/>
  <c r="C14193" i="1"/>
  <c r="G14192" i="1"/>
  <c r="C14192" i="1"/>
  <c r="G14191" i="1"/>
  <c r="C14191" i="1"/>
  <c r="G14190" i="1"/>
  <c r="C14190" i="1"/>
  <c r="G14189" i="1"/>
  <c r="C14189" i="1"/>
  <c r="G14188" i="1"/>
  <c r="C14188" i="1"/>
  <c r="G14187" i="1"/>
  <c r="C14187" i="1"/>
  <c r="G14186" i="1"/>
  <c r="C14186" i="1"/>
  <c r="G14185" i="1"/>
  <c r="C14185" i="1"/>
  <c r="G14184" i="1"/>
  <c r="C14184" i="1"/>
  <c r="G14183" i="1"/>
  <c r="C14183" i="1"/>
  <c r="G14182" i="1"/>
  <c r="C14182" i="1"/>
  <c r="G14181" i="1"/>
  <c r="C14181" i="1"/>
  <c r="G14180" i="1"/>
  <c r="C14180" i="1"/>
  <c r="G14179" i="1"/>
  <c r="C14179" i="1"/>
  <c r="G14178" i="1"/>
  <c r="C14178" i="1"/>
  <c r="G14177" i="1"/>
  <c r="C14177" i="1"/>
  <c r="G14176" i="1"/>
  <c r="C14176" i="1"/>
  <c r="G14175" i="1"/>
  <c r="C14175" i="1"/>
  <c r="G14174" i="1"/>
  <c r="C14174" i="1"/>
  <c r="G14173" i="1"/>
  <c r="C14173" i="1"/>
  <c r="G14172" i="1"/>
  <c r="C14172" i="1"/>
  <c r="G14171" i="1"/>
  <c r="C14171" i="1"/>
  <c r="G14170" i="1"/>
  <c r="C14170" i="1"/>
  <c r="G14169" i="1"/>
  <c r="C14169" i="1"/>
  <c r="G14168" i="1"/>
  <c r="C14168" i="1"/>
  <c r="G14167" i="1"/>
  <c r="C14167" i="1"/>
  <c r="G14166" i="1"/>
  <c r="C14166" i="1"/>
  <c r="G14165" i="1"/>
  <c r="C14165" i="1"/>
  <c r="G14164" i="1"/>
  <c r="C14164" i="1"/>
  <c r="G14163" i="1"/>
  <c r="C14163" i="1"/>
  <c r="G14162" i="1"/>
  <c r="C14162" i="1"/>
  <c r="G14161" i="1"/>
  <c r="C14161" i="1"/>
  <c r="G14160" i="1"/>
  <c r="C14160" i="1"/>
  <c r="G14159" i="1"/>
  <c r="C14159" i="1"/>
  <c r="G14158" i="1"/>
  <c r="C14158" i="1"/>
  <c r="G14157" i="1"/>
  <c r="C14157" i="1"/>
  <c r="G14156" i="1"/>
  <c r="C14156" i="1"/>
  <c r="G14155" i="1"/>
  <c r="C14155" i="1"/>
  <c r="G14154" i="1"/>
  <c r="C14154" i="1"/>
  <c r="G14153" i="1"/>
  <c r="C14153" i="1"/>
  <c r="G14152" i="1"/>
  <c r="C14152" i="1"/>
  <c r="G14151" i="1"/>
  <c r="C14151" i="1"/>
  <c r="G14150" i="1"/>
  <c r="C14150" i="1"/>
  <c r="G14149" i="1"/>
  <c r="C14149" i="1"/>
  <c r="G14148" i="1"/>
  <c r="C14148" i="1"/>
  <c r="G14147" i="1"/>
  <c r="C14147" i="1"/>
  <c r="G14145" i="1"/>
  <c r="C14145" i="1"/>
  <c r="G14144" i="1"/>
  <c r="C14144" i="1"/>
  <c r="G14143" i="1"/>
  <c r="C14143" i="1"/>
  <c r="G14142" i="1"/>
  <c r="C14142" i="1"/>
  <c r="G14141" i="1"/>
  <c r="C14141" i="1"/>
  <c r="G14140" i="1"/>
  <c r="C14140" i="1"/>
  <c r="G14139" i="1"/>
  <c r="C14139" i="1"/>
  <c r="G14138" i="1"/>
  <c r="C14138" i="1"/>
  <c r="G14137" i="1"/>
  <c r="C14137" i="1"/>
  <c r="G14136" i="1"/>
  <c r="C14136" i="1"/>
  <c r="G14135" i="1"/>
  <c r="C14135" i="1"/>
  <c r="G14134" i="1"/>
  <c r="C14134" i="1"/>
  <c r="G14132" i="1"/>
  <c r="C14132" i="1"/>
  <c r="G14131" i="1"/>
  <c r="C14131" i="1"/>
  <c r="G14130" i="1"/>
  <c r="C14130" i="1"/>
  <c r="G14129" i="1"/>
  <c r="C14129" i="1"/>
  <c r="G14128" i="1"/>
  <c r="C14128" i="1"/>
  <c r="G14127" i="1"/>
  <c r="C14127" i="1"/>
  <c r="G14126" i="1"/>
  <c r="C14126" i="1"/>
  <c r="G14125" i="1"/>
  <c r="C14125" i="1"/>
  <c r="G14124" i="1"/>
  <c r="C14124" i="1"/>
  <c r="G14123" i="1"/>
  <c r="C14123" i="1"/>
  <c r="G14122" i="1"/>
  <c r="C14122" i="1"/>
  <c r="G14121" i="1"/>
  <c r="C14121" i="1"/>
  <c r="G14120" i="1"/>
  <c r="C14120" i="1"/>
  <c r="G14119" i="1"/>
  <c r="C14119" i="1"/>
  <c r="G14118" i="1"/>
  <c r="C14118" i="1"/>
  <c r="G14117" i="1"/>
  <c r="C14117" i="1"/>
  <c r="G14116" i="1"/>
  <c r="C14116" i="1"/>
  <c r="G14115" i="1"/>
  <c r="C14115" i="1"/>
  <c r="G14114" i="1"/>
  <c r="C14114" i="1"/>
  <c r="G14112" i="1"/>
  <c r="C14112" i="1"/>
  <c r="G14111" i="1"/>
  <c r="C14111" i="1"/>
  <c r="G14110" i="1"/>
  <c r="C14110" i="1"/>
  <c r="G14109" i="1"/>
  <c r="C14109" i="1"/>
  <c r="G14108" i="1"/>
  <c r="C14108" i="1"/>
  <c r="G14107" i="1"/>
  <c r="C14107" i="1"/>
  <c r="G14106" i="1"/>
  <c r="C14106" i="1"/>
  <c r="G14105" i="1"/>
  <c r="C14105" i="1"/>
  <c r="G14104" i="1"/>
  <c r="C14104" i="1"/>
  <c r="G14103" i="1"/>
  <c r="C14103" i="1"/>
  <c r="G14102" i="1"/>
  <c r="C14102" i="1"/>
  <c r="G14101" i="1"/>
  <c r="C14101" i="1"/>
  <c r="G14100" i="1"/>
  <c r="C14100" i="1"/>
  <c r="G14099" i="1"/>
  <c r="C14099" i="1"/>
  <c r="G14098" i="1"/>
  <c r="C14098" i="1"/>
  <c r="G14097" i="1"/>
  <c r="C14097" i="1"/>
  <c r="G14096" i="1"/>
  <c r="C14096" i="1"/>
  <c r="G14095" i="1"/>
  <c r="C14095" i="1"/>
  <c r="G14094" i="1"/>
  <c r="C14094" i="1"/>
  <c r="G14093" i="1"/>
  <c r="C14093" i="1"/>
  <c r="G14092" i="1"/>
  <c r="C14092" i="1"/>
  <c r="G14091" i="1"/>
  <c r="C14091" i="1"/>
  <c r="G14090" i="1"/>
  <c r="C14090" i="1"/>
  <c r="G14089" i="1"/>
  <c r="C14089" i="1"/>
  <c r="G14088" i="1"/>
  <c r="C14088" i="1"/>
  <c r="G14087" i="1"/>
  <c r="C14087" i="1"/>
  <c r="G14086" i="1"/>
  <c r="C14086" i="1"/>
  <c r="G14085" i="1"/>
  <c r="C14085" i="1"/>
  <c r="G14084" i="1"/>
  <c r="C14084" i="1"/>
  <c r="G14083" i="1"/>
  <c r="C14083" i="1"/>
  <c r="G14082" i="1"/>
  <c r="C14082" i="1"/>
  <c r="G14081" i="1"/>
  <c r="C14081" i="1"/>
  <c r="G14080" i="1"/>
  <c r="C14080" i="1"/>
  <c r="G14079" i="1"/>
  <c r="C14079" i="1"/>
  <c r="G14078" i="1"/>
  <c r="C14078" i="1"/>
  <c r="G14077" i="1"/>
  <c r="C14077" i="1"/>
  <c r="G14076" i="1"/>
  <c r="C14076" i="1"/>
  <c r="G14075" i="1"/>
  <c r="C14075" i="1"/>
  <c r="G14074" i="1"/>
  <c r="C14074" i="1"/>
  <c r="G14072" i="1"/>
  <c r="C14072" i="1"/>
  <c r="G14071" i="1"/>
  <c r="C14071" i="1"/>
  <c r="G14070" i="1"/>
  <c r="C14070" i="1"/>
  <c r="G14069" i="1"/>
  <c r="C14069" i="1"/>
  <c r="G14068" i="1"/>
  <c r="C14068" i="1"/>
  <c r="G14067" i="1"/>
  <c r="C14067" i="1"/>
  <c r="G14066" i="1"/>
  <c r="C14066" i="1"/>
  <c r="G14065" i="1"/>
  <c r="C14065" i="1"/>
  <c r="G14064" i="1"/>
  <c r="C14064" i="1"/>
  <c r="G14063" i="1"/>
  <c r="C14063" i="1"/>
  <c r="G14062" i="1"/>
  <c r="C14062" i="1"/>
  <c r="G14061" i="1"/>
  <c r="C14061" i="1"/>
  <c r="G14060" i="1"/>
  <c r="C14060" i="1"/>
  <c r="G14059" i="1"/>
  <c r="C14059" i="1"/>
  <c r="G14058" i="1"/>
  <c r="C14058" i="1"/>
  <c r="G14057" i="1"/>
  <c r="C14057" i="1"/>
  <c r="G14056" i="1"/>
  <c r="C14056" i="1"/>
  <c r="G14055" i="1"/>
  <c r="C14055" i="1"/>
  <c r="G14054" i="1"/>
  <c r="C14054" i="1"/>
  <c r="G14053" i="1"/>
  <c r="C14053" i="1"/>
  <c r="G14052" i="1"/>
  <c r="C14052" i="1"/>
  <c r="G14051" i="1"/>
  <c r="C14051" i="1"/>
  <c r="G14050" i="1"/>
  <c r="C14050" i="1"/>
  <c r="G14049" i="1"/>
  <c r="C14049" i="1"/>
  <c r="G14048" i="1"/>
  <c r="C14048" i="1"/>
  <c r="G14047" i="1"/>
  <c r="C14047" i="1"/>
  <c r="G14045" i="1"/>
  <c r="C14045" i="1"/>
  <c r="G14044" i="1"/>
  <c r="C14044" i="1"/>
  <c r="G14043" i="1"/>
  <c r="C14043" i="1"/>
  <c r="G14042" i="1"/>
  <c r="C14042" i="1"/>
  <c r="G14041" i="1"/>
  <c r="C14041" i="1"/>
  <c r="G14040" i="1"/>
  <c r="C14040" i="1"/>
  <c r="G14039" i="1"/>
  <c r="C14039" i="1"/>
  <c r="G14038" i="1"/>
  <c r="C14038" i="1"/>
  <c r="G14037" i="1"/>
  <c r="C14037" i="1"/>
  <c r="G14036" i="1"/>
  <c r="C14036" i="1"/>
  <c r="G14035" i="1"/>
  <c r="C14035" i="1"/>
  <c r="G14034" i="1"/>
  <c r="C14034" i="1"/>
  <c r="G14033" i="1"/>
  <c r="C14033" i="1"/>
  <c r="G14032" i="1"/>
  <c r="C14032" i="1"/>
  <c r="G14031" i="1"/>
  <c r="C14031" i="1"/>
  <c r="G14030" i="1"/>
  <c r="C14030" i="1"/>
  <c r="G14029" i="1"/>
  <c r="C14029" i="1"/>
  <c r="G14028" i="1"/>
  <c r="C14028" i="1"/>
  <c r="G14027" i="1"/>
  <c r="C14027" i="1"/>
  <c r="G14026" i="1"/>
  <c r="C14026" i="1"/>
  <c r="G14025" i="1"/>
  <c r="C14025" i="1"/>
  <c r="G14024" i="1"/>
  <c r="C14024" i="1"/>
  <c r="G14023" i="1"/>
  <c r="C14023" i="1"/>
  <c r="G14022" i="1"/>
  <c r="C14022" i="1"/>
  <c r="G14020" i="1"/>
  <c r="C14020" i="1"/>
  <c r="G14019" i="1"/>
  <c r="C14019" i="1"/>
  <c r="G14018" i="1"/>
  <c r="C14018" i="1"/>
  <c r="G14017" i="1"/>
  <c r="C14017" i="1"/>
  <c r="G14016" i="1"/>
  <c r="C14016" i="1"/>
  <c r="G14015" i="1"/>
  <c r="C14015" i="1"/>
  <c r="G14014" i="1"/>
  <c r="C14014" i="1"/>
  <c r="G14013" i="1"/>
  <c r="C14013" i="1"/>
  <c r="G14012" i="1"/>
  <c r="C14012" i="1"/>
  <c r="G14011" i="1"/>
  <c r="C14011" i="1"/>
  <c r="G14010" i="1"/>
  <c r="C14010" i="1"/>
  <c r="G14009" i="1"/>
  <c r="C14009" i="1"/>
  <c r="G14008" i="1"/>
  <c r="C14008" i="1"/>
  <c r="G14007" i="1"/>
  <c r="C14007" i="1"/>
  <c r="G14006" i="1"/>
  <c r="C14006" i="1"/>
  <c r="G14003" i="1"/>
  <c r="C14003" i="1"/>
  <c r="G14002" i="1"/>
  <c r="C14002" i="1"/>
  <c r="G14001" i="1"/>
  <c r="C14001" i="1"/>
  <c r="G14000" i="1"/>
  <c r="C14000" i="1"/>
  <c r="G13999" i="1"/>
  <c r="C13999" i="1"/>
  <c r="G13998" i="1"/>
  <c r="C13998" i="1"/>
  <c r="G13997" i="1"/>
  <c r="C13997" i="1"/>
  <c r="G13996" i="1"/>
  <c r="C13996" i="1"/>
  <c r="G13995" i="1"/>
  <c r="C13995" i="1"/>
  <c r="G13994" i="1"/>
  <c r="C13994" i="1"/>
  <c r="G13993" i="1"/>
  <c r="C13993" i="1"/>
  <c r="G13992" i="1"/>
  <c r="C13992" i="1"/>
  <c r="G13991" i="1"/>
  <c r="C13991" i="1"/>
  <c r="G13989" i="1"/>
  <c r="C13989" i="1"/>
  <c r="G13988" i="1"/>
  <c r="C13988" i="1"/>
  <c r="G13987" i="1"/>
  <c r="C13987" i="1"/>
  <c r="G13986" i="1"/>
  <c r="C13986" i="1"/>
  <c r="G13985" i="1"/>
  <c r="C13985" i="1"/>
  <c r="G13984" i="1"/>
  <c r="C13984" i="1"/>
  <c r="G13983" i="1"/>
  <c r="C13983" i="1"/>
  <c r="G13982" i="1"/>
  <c r="C13982" i="1"/>
  <c r="G13981" i="1"/>
  <c r="C13981" i="1"/>
  <c r="G13980" i="1"/>
  <c r="C13980" i="1"/>
  <c r="G13979" i="1"/>
  <c r="C13979" i="1"/>
  <c r="G13978" i="1"/>
  <c r="C13978" i="1"/>
  <c r="G13977" i="1"/>
  <c r="C13977" i="1"/>
  <c r="G13976" i="1"/>
  <c r="C13976" i="1"/>
  <c r="G13975" i="1"/>
  <c r="C13975" i="1"/>
  <c r="G13974" i="1"/>
  <c r="C13974" i="1"/>
  <c r="G13973" i="1"/>
  <c r="C13973" i="1"/>
  <c r="G13972" i="1"/>
  <c r="C13972" i="1"/>
  <c r="G13971" i="1"/>
  <c r="C13971" i="1"/>
  <c r="G13970" i="1"/>
  <c r="C13970" i="1"/>
  <c r="G13969" i="1"/>
  <c r="C13969" i="1"/>
  <c r="G13968" i="1"/>
  <c r="C13968" i="1"/>
  <c r="G13967" i="1"/>
  <c r="C13967" i="1"/>
  <c r="G13966" i="1"/>
  <c r="C13966" i="1"/>
  <c r="G13965" i="1"/>
  <c r="C13965" i="1"/>
  <c r="G13964" i="1"/>
  <c r="C13964" i="1"/>
  <c r="G13963" i="1"/>
  <c r="C13963" i="1"/>
  <c r="G13962" i="1"/>
  <c r="C13962" i="1"/>
  <c r="G13961" i="1"/>
  <c r="C13961" i="1"/>
  <c r="G13960" i="1"/>
  <c r="C13960" i="1"/>
  <c r="G13959" i="1"/>
  <c r="C13959" i="1"/>
  <c r="G13958" i="1"/>
  <c r="C13958" i="1"/>
  <c r="G13957" i="1"/>
  <c r="C13957" i="1"/>
  <c r="G13956" i="1"/>
  <c r="C13956" i="1"/>
  <c r="G13955" i="1"/>
  <c r="C13955" i="1"/>
  <c r="G13954" i="1"/>
  <c r="C13954" i="1"/>
  <c r="G13953" i="1"/>
  <c r="C13953" i="1"/>
  <c r="G13952" i="1"/>
  <c r="C13952" i="1"/>
  <c r="G13951" i="1"/>
  <c r="C13951" i="1"/>
  <c r="G13950" i="1"/>
  <c r="C13950" i="1"/>
  <c r="G13949" i="1"/>
  <c r="C13949" i="1"/>
  <c r="G13948" i="1"/>
  <c r="C13948" i="1"/>
  <c r="G13947" i="1"/>
  <c r="C13947" i="1"/>
  <c r="G13946" i="1"/>
  <c r="C13946" i="1"/>
  <c r="G13945" i="1"/>
  <c r="C13945" i="1"/>
  <c r="G13943" i="1"/>
  <c r="C13943" i="1"/>
  <c r="G13942" i="1"/>
  <c r="C13942" i="1"/>
  <c r="G13941" i="1"/>
  <c r="C13941" i="1"/>
  <c r="G13940" i="1"/>
  <c r="C13940" i="1"/>
  <c r="G13939" i="1"/>
  <c r="C13939" i="1"/>
  <c r="G13938" i="1"/>
  <c r="C13938" i="1"/>
  <c r="G13937" i="1"/>
  <c r="C13937" i="1"/>
  <c r="G13936" i="1"/>
  <c r="C13936" i="1"/>
  <c r="G13935" i="1"/>
  <c r="C13935" i="1"/>
  <c r="G13934" i="1"/>
  <c r="C13934" i="1"/>
  <c r="G13933" i="1"/>
  <c r="C13933" i="1"/>
  <c r="G13932" i="1"/>
  <c r="C13932" i="1"/>
  <c r="G13931" i="1"/>
  <c r="C13931" i="1"/>
  <c r="G13930" i="1"/>
  <c r="C13930" i="1"/>
  <c r="G13929" i="1"/>
  <c r="C13929" i="1"/>
  <c r="G13928" i="1"/>
  <c r="C13928" i="1"/>
  <c r="G13927" i="1"/>
  <c r="C13927" i="1"/>
  <c r="G13926" i="1"/>
  <c r="C13926" i="1"/>
  <c r="G13925" i="1"/>
  <c r="C13925" i="1"/>
  <c r="G13924" i="1"/>
  <c r="C13924" i="1"/>
  <c r="G13923" i="1"/>
  <c r="C13923" i="1"/>
  <c r="G13922" i="1"/>
  <c r="C13922" i="1"/>
  <c r="G13921" i="1"/>
  <c r="C13921" i="1"/>
  <c r="G13920" i="1"/>
  <c r="C13920" i="1"/>
  <c r="G13919" i="1"/>
  <c r="C13919" i="1"/>
  <c r="G13918" i="1"/>
  <c r="C13918" i="1"/>
  <c r="G13917" i="1"/>
  <c r="C13917" i="1"/>
  <c r="G13916" i="1"/>
  <c r="C13916" i="1"/>
  <c r="G13915" i="1"/>
  <c r="C13915" i="1"/>
  <c r="G13914" i="1"/>
  <c r="C13914" i="1"/>
  <c r="G13913" i="1"/>
  <c r="C13913" i="1"/>
  <c r="G13912" i="1"/>
  <c r="C13912" i="1"/>
  <c r="G13911" i="1"/>
  <c r="C13911" i="1"/>
  <c r="G13910" i="1"/>
  <c r="C13910" i="1"/>
  <c r="G13909" i="1"/>
  <c r="C13909" i="1"/>
  <c r="G13908" i="1"/>
  <c r="C13908" i="1"/>
  <c r="G13907" i="1"/>
  <c r="C13907" i="1"/>
  <c r="G13905" i="1"/>
  <c r="C13905" i="1"/>
  <c r="G13904" i="1"/>
  <c r="C13904" i="1"/>
  <c r="G13903" i="1"/>
  <c r="C13903" i="1"/>
  <c r="G13902" i="1"/>
  <c r="C13902" i="1"/>
  <c r="G13901" i="1"/>
  <c r="C13901" i="1"/>
  <c r="G13900" i="1"/>
  <c r="C13900" i="1"/>
  <c r="G13899" i="1"/>
  <c r="C13899" i="1"/>
  <c r="G13898" i="1"/>
  <c r="C13898" i="1"/>
  <c r="G13897" i="1"/>
  <c r="C13897" i="1"/>
  <c r="G13896" i="1"/>
  <c r="C13896" i="1"/>
  <c r="G13895" i="1"/>
  <c r="C13895" i="1"/>
  <c r="G13894" i="1"/>
  <c r="C13894" i="1"/>
  <c r="G13893" i="1"/>
  <c r="C13893" i="1"/>
  <c r="G13892" i="1"/>
  <c r="C13892" i="1"/>
  <c r="G13891" i="1"/>
  <c r="C13891" i="1"/>
  <c r="G13890" i="1"/>
  <c r="C13890" i="1"/>
  <c r="G13889" i="1"/>
  <c r="C13889" i="1"/>
  <c r="G13888" i="1"/>
  <c r="C13888" i="1"/>
  <c r="G13887" i="1"/>
  <c r="C13887" i="1"/>
  <c r="G13886" i="1"/>
  <c r="C13886" i="1"/>
  <c r="G13885" i="1"/>
  <c r="C13885" i="1"/>
  <c r="G13884" i="1"/>
  <c r="C13884" i="1"/>
  <c r="G13883" i="1"/>
  <c r="C13883" i="1"/>
  <c r="G13882" i="1"/>
  <c r="C13882" i="1"/>
  <c r="G13881" i="1"/>
  <c r="C13881" i="1"/>
  <c r="G13880" i="1"/>
  <c r="C13880" i="1"/>
  <c r="G13879" i="1"/>
  <c r="C13879" i="1"/>
  <c r="G13878" i="1"/>
  <c r="C13878" i="1"/>
  <c r="G13877" i="1"/>
  <c r="C13877" i="1"/>
  <c r="G13876" i="1"/>
  <c r="C13876" i="1"/>
  <c r="G13875" i="1"/>
  <c r="C13875" i="1"/>
  <c r="G13874" i="1"/>
  <c r="C13874" i="1"/>
  <c r="G13873" i="1"/>
  <c r="C13873" i="1"/>
  <c r="G13872" i="1"/>
  <c r="C13872" i="1"/>
  <c r="G13871" i="1"/>
  <c r="C13871" i="1"/>
  <c r="G13870" i="1"/>
  <c r="C13870" i="1"/>
  <c r="G13869" i="1"/>
  <c r="C13869" i="1"/>
  <c r="G13868" i="1"/>
  <c r="C13868" i="1"/>
  <c r="G13867" i="1"/>
  <c r="C13867" i="1"/>
  <c r="G13866" i="1"/>
  <c r="C13866" i="1"/>
  <c r="G13865" i="1"/>
  <c r="C13865" i="1"/>
  <c r="G13864" i="1"/>
  <c r="C13864" i="1"/>
  <c r="G13863" i="1"/>
  <c r="C13863" i="1"/>
  <c r="G13862" i="1"/>
  <c r="C13862" i="1"/>
  <c r="G13861" i="1"/>
  <c r="C13861" i="1"/>
  <c r="G13860" i="1"/>
  <c r="C13860" i="1"/>
  <c r="G13859" i="1"/>
  <c r="C13859" i="1"/>
  <c r="G13858" i="1"/>
  <c r="C13858" i="1"/>
  <c r="G13857" i="1"/>
  <c r="C13857" i="1"/>
  <c r="G13856" i="1"/>
  <c r="C13856" i="1"/>
  <c r="G13855" i="1"/>
  <c r="C13855" i="1"/>
  <c r="G13854" i="1"/>
  <c r="C13854" i="1"/>
  <c r="G13853" i="1"/>
  <c r="C13853" i="1"/>
  <c r="G13852" i="1"/>
  <c r="C13852" i="1"/>
  <c r="G13851" i="1"/>
  <c r="C13851" i="1"/>
  <c r="G13850" i="1"/>
  <c r="C13850" i="1"/>
  <c r="G13849" i="1"/>
  <c r="C13849" i="1"/>
  <c r="G13848" i="1"/>
  <c r="C13848" i="1"/>
  <c r="G13847" i="1"/>
  <c r="C13847" i="1"/>
  <c r="G13846" i="1"/>
  <c r="C13846" i="1"/>
  <c r="G13845" i="1"/>
  <c r="C13845" i="1"/>
  <c r="G13844" i="1"/>
  <c r="C13844" i="1"/>
  <c r="G13843" i="1"/>
  <c r="C13843" i="1"/>
  <c r="G13842" i="1"/>
  <c r="C13842" i="1"/>
  <c r="G13841" i="1"/>
  <c r="C13841" i="1"/>
  <c r="G13840" i="1"/>
  <c r="C13840" i="1"/>
  <c r="G13838" i="1"/>
  <c r="C13838" i="1"/>
  <c r="G13837" i="1"/>
  <c r="C13837" i="1"/>
  <c r="G13836" i="1"/>
  <c r="C13836" i="1"/>
  <c r="G13835" i="1"/>
  <c r="C13835" i="1"/>
  <c r="G13834" i="1"/>
  <c r="C13834" i="1"/>
  <c r="G13833" i="1"/>
  <c r="C13833" i="1"/>
  <c r="G13832" i="1"/>
  <c r="C13832" i="1"/>
  <c r="G13831" i="1"/>
  <c r="C13831" i="1"/>
  <c r="G13830" i="1"/>
  <c r="C13830" i="1"/>
  <c r="G13829" i="1"/>
  <c r="C13829" i="1"/>
  <c r="G13828" i="1"/>
  <c r="C13828" i="1"/>
  <c r="G13827" i="1"/>
  <c r="C13827" i="1"/>
  <c r="G13826" i="1"/>
  <c r="C13826" i="1"/>
  <c r="G13825" i="1"/>
  <c r="C13825" i="1"/>
  <c r="G13824" i="1"/>
  <c r="C13824" i="1"/>
  <c r="G13823" i="1"/>
  <c r="C13823" i="1"/>
  <c r="G13822" i="1"/>
  <c r="C13822" i="1"/>
  <c r="G13821" i="1"/>
  <c r="C13821" i="1"/>
  <c r="G13820" i="1"/>
  <c r="C13820" i="1"/>
  <c r="G13819" i="1"/>
  <c r="C13819" i="1"/>
  <c r="G13818" i="1"/>
  <c r="C13818" i="1"/>
  <c r="G13817" i="1"/>
  <c r="C13817" i="1"/>
  <c r="G13816" i="1"/>
  <c r="C13816" i="1"/>
  <c r="G13815" i="1"/>
  <c r="C13815" i="1"/>
  <c r="G13814" i="1"/>
  <c r="C13814" i="1"/>
  <c r="G13813" i="1"/>
  <c r="C13813" i="1"/>
  <c r="G13812" i="1"/>
  <c r="C13812" i="1"/>
  <c r="G13811" i="1"/>
  <c r="C13811" i="1"/>
  <c r="G13810" i="1"/>
  <c r="C13810" i="1"/>
  <c r="G13809" i="1"/>
  <c r="C13809" i="1"/>
  <c r="G13808" i="1"/>
  <c r="C13808" i="1"/>
  <c r="G13807" i="1"/>
  <c r="C13807" i="1"/>
  <c r="G13806" i="1"/>
  <c r="C13806" i="1"/>
  <c r="G13805" i="1"/>
  <c r="C13805" i="1"/>
  <c r="G13804" i="1"/>
  <c r="C13804" i="1"/>
  <c r="G13803" i="1"/>
  <c r="C13803" i="1"/>
  <c r="G13802" i="1"/>
  <c r="C13802" i="1"/>
  <c r="G13801" i="1"/>
  <c r="C13801" i="1"/>
  <c r="G13800" i="1"/>
  <c r="C13800" i="1"/>
  <c r="G13799" i="1"/>
  <c r="C13799" i="1"/>
  <c r="G13798" i="1"/>
  <c r="C13798" i="1"/>
  <c r="G13797" i="1"/>
  <c r="C13797" i="1"/>
  <c r="G13795" i="1"/>
  <c r="C13795" i="1"/>
  <c r="G13794" i="1"/>
  <c r="C13794" i="1"/>
  <c r="G13793" i="1"/>
  <c r="C13793" i="1"/>
  <c r="G13792" i="1"/>
  <c r="C13792" i="1"/>
  <c r="G13791" i="1"/>
  <c r="C13791" i="1"/>
  <c r="G13790" i="1"/>
  <c r="C13790" i="1"/>
  <c r="G13789" i="1"/>
  <c r="C13789" i="1"/>
  <c r="G13788" i="1"/>
  <c r="C13788" i="1"/>
  <c r="G13787" i="1"/>
  <c r="C13787" i="1"/>
  <c r="G13786" i="1"/>
  <c r="C13786" i="1"/>
  <c r="G13785" i="1"/>
  <c r="C13785" i="1"/>
  <c r="G13784" i="1"/>
  <c r="C13784" i="1"/>
  <c r="G13783" i="1"/>
  <c r="C13783" i="1"/>
  <c r="G13782" i="1"/>
  <c r="C13782" i="1"/>
  <c r="G13781" i="1"/>
  <c r="C13781" i="1"/>
  <c r="G13780" i="1"/>
  <c r="C13780" i="1"/>
  <c r="G13779" i="1"/>
  <c r="C13779" i="1"/>
  <c r="G13778" i="1"/>
  <c r="C13778" i="1"/>
  <c r="G13777" i="1"/>
  <c r="C13777" i="1"/>
  <c r="G13776" i="1"/>
  <c r="C13776" i="1"/>
  <c r="G13775" i="1"/>
  <c r="C13775" i="1"/>
  <c r="G13774" i="1"/>
  <c r="C13774" i="1"/>
  <c r="G13773" i="1"/>
  <c r="C13773" i="1"/>
  <c r="G13772" i="1"/>
  <c r="C13772" i="1"/>
  <c r="G13771" i="1"/>
  <c r="C13771" i="1"/>
  <c r="G13770" i="1"/>
  <c r="C13770" i="1"/>
  <c r="G13769" i="1"/>
  <c r="C13769" i="1"/>
  <c r="G13768" i="1"/>
  <c r="C13768" i="1"/>
  <c r="G13767" i="1"/>
  <c r="C13767" i="1"/>
  <c r="G13765" i="1"/>
  <c r="C13765" i="1"/>
  <c r="G13764" i="1"/>
  <c r="C13764" i="1"/>
  <c r="G13763" i="1"/>
  <c r="C13763" i="1"/>
  <c r="G13762" i="1"/>
  <c r="C13762" i="1"/>
  <c r="G13761" i="1"/>
  <c r="C13761" i="1"/>
  <c r="G13760" i="1"/>
  <c r="C13760" i="1"/>
  <c r="G13759" i="1"/>
  <c r="C13759" i="1"/>
  <c r="G13758" i="1"/>
  <c r="C13758" i="1"/>
  <c r="G13757" i="1"/>
  <c r="C13757" i="1"/>
  <c r="G13756" i="1"/>
  <c r="C13756" i="1"/>
  <c r="G13755" i="1"/>
  <c r="C13755" i="1"/>
  <c r="G13754" i="1"/>
  <c r="C13754" i="1"/>
  <c r="G13753" i="1"/>
  <c r="C13753" i="1"/>
  <c r="G13752" i="1"/>
  <c r="C13752" i="1"/>
  <c r="G13751" i="1"/>
  <c r="C13751" i="1"/>
  <c r="G13750" i="1"/>
  <c r="C13750" i="1"/>
  <c r="G13749" i="1"/>
  <c r="C13749" i="1"/>
  <c r="G13748" i="1"/>
  <c r="C13748" i="1"/>
  <c r="G13747" i="1"/>
  <c r="C13747" i="1"/>
  <c r="G13746" i="1"/>
  <c r="C13746" i="1"/>
  <c r="G13745" i="1"/>
  <c r="C13745" i="1"/>
  <c r="G13744" i="1"/>
  <c r="C13744" i="1"/>
  <c r="G13743" i="1"/>
  <c r="C13743" i="1"/>
  <c r="G13742" i="1"/>
  <c r="C13742" i="1"/>
  <c r="G13741" i="1"/>
  <c r="C13741" i="1"/>
  <c r="G13740" i="1"/>
  <c r="C13740" i="1"/>
  <c r="G13739" i="1"/>
  <c r="C13739" i="1"/>
  <c r="G13738" i="1"/>
  <c r="C13738" i="1"/>
  <c r="G13737" i="1"/>
  <c r="C13737" i="1"/>
  <c r="G13736" i="1"/>
  <c r="C13736" i="1"/>
  <c r="G13735" i="1"/>
  <c r="C13735" i="1"/>
  <c r="G13734" i="1"/>
  <c r="C13734" i="1"/>
  <c r="G13733" i="1"/>
  <c r="C13733" i="1"/>
  <c r="G13732" i="1"/>
  <c r="C13732" i="1"/>
  <c r="G13731" i="1"/>
  <c r="C13731" i="1"/>
  <c r="G13730" i="1"/>
  <c r="C13730" i="1"/>
  <c r="G13729" i="1"/>
  <c r="C13729" i="1"/>
  <c r="G13728" i="1"/>
  <c r="C13728" i="1"/>
  <c r="G13727" i="1"/>
  <c r="C13727" i="1"/>
  <c r="G13726" i="1"/>
  <c r="C13726" i="1"/>
  <c r="G13725" i="1"/>
  <c r="C13725" i="1"/>
  <c r="G13724" i="1"/>
  <c r="C13724" i="1"/>
  <c r="G13723" i="1"/>
  <c r="C13723" i="1"/>
  <c r="G13722" i="1"/>
  <c r="C13722" i="1"/>
  <c r="G13721" i="1"/>
  <c r="C13721" i="1"/>
  <c r="G13720" i="1"/>
  <c r="C13720" i="1"/>
  <c r="G13719" i="1"/>
  <c r="C13719" i="1"/>
  <c r="G13718" i="1"/>
  <c r="C13718" i="1"/>
  <c r="G13717" i="1"/>
  <c r="C13717" i="1"/>
  <c r="G13716" i="1"/>
  <c r="C13716" i="1"/>
  <c r="G13715" i="1"/>
  <c r="C13715" i="1"/>
  <c r="G13714" i="1"/>
  <c r="C13714" i="1"/>
  <c r="G13713" i="1"/>
  <c r="C13713" i="1"/>
  <c r="G13712" i="1"/>
  <c r="C13712" i="1"/>
  <c r="G13711" i="1"/>
  <c r="C13711" i="1"/>
  <c r="G13710" i="1"/>
  <c r="C13710" i="1"/>
  <c r="G13709" i="1"/>
  <c r="C13709" i="1"/>
  <c r="G13708" i="1"/>
  <c r="C13708" i="1"/>
  <c r="G13707" i="1"/>
  <c r="C13707" i="1"/>
  <c r="G13706" i="1"/>
  <c r="C13706" i="1"/>
  <c r="G13705" i="1"/>
  <c r="C13705" i="1"/>
  <c r="G13704" i="1"/>
  <c r="C13704" i="1"/>
  <c r="G13703" i="1"/>
  <c r="C13703" i="1"/>
  <c r="G13702" i="1"/>
  <c r="C13702" i="1"/>
  <c r="G13701" i="1"/>
  <c r="C13701" i="1"/>
  <c r="G13700" i="1"/>
  <c r="C13700" i="1"/>
  <c r="G13699" i="1"/>
  <c r="C13699" i="1"/>
  <c r="G13698" i="1"/>
  <c r="C13698" i="1"/>
  <c r="G13697" i="1"/>
  <c r="C13697" i="1"/>
  <c r="G13696" i="1"/>
  <c r="C13696" i="1"/>
  <c r="G13695" i="1"/>
  <c r="C13695" i="1"/>
  <c r="G13694" i="1"/>
  <c r="C13694" i="1"/>
  <c r="G13693" i="1"/>
  <c r="C13693" i="1"/>
  <c r="G13692" i="1"/>
  <c r="C13692" i="1"/>
  <c r="G13691" i="1"/>
  <c r="C13691" i="1"/>
  <c r="G13690" i="1"/>
  <c r="C13690" i="1"/>
  <c r="G13689" i="1"/>
  <c r="C13689" i="1"/>
  <c r="G13688" i="1"/>
  <c r="C13688" i="1"/>
  <c r="G13687" i="1"/>
  <c r="C13687" i="1"/>
  <c r="G13685" i="1"/>
  <c r="C13685" i="1"/>
  <c r="G13684" i="1"/>
  <c r="C13684" i="1"/>
  <c r="G13683" i="1"/>
  <c r="C13683" i="1"/>
  <c r="G13682" i="1"/>
  <c r="C13682" i="1"/>
  <c r="G13681" i="1"/>
  <c r="C13681" i="1"/>
  <c r="G13680" i="1"/>
  <c r="C13680" i="1"/>
  <c r="G13679" i="1"/>
  <c r="C13679" i="1"/>
  <c r="G13678" i="1"/>
  <c r="C13678" i="1"/>
  <c r="G13677" i="1"/>
  <c r="C13677" i="1"/>
  <c r="G13676" i="1"/>
  <c r="C13676" i="1"/>
  <c r="G13675" i="1"/>
  <c r="C13675" i="1"/>
  <c r="G13674" i="1"/>
  <c r="C13674" i="1"/>
  <c r="G13673" i="1"/>
  <c r="C13673" i="1"/>
  <c r="G13672" i="1"/>
  <c r="C13672" i="1"/>
  <c r="G13671" i="1"/>
  <c r="C13671" i="1"/>
  <c r="G13670" i="1"/>
  <c r="C13670" i="1"/>
  <c r="G13669" i="1"/>
  <c r="C13669" i="1"/>
  <c r="G13668" i="1"/>
  <c r="C13668" i="1"/>
  <c r="G13667" i="1"/>
  <c r="C13667" i="1"/>
  <c r="G13666" i="1"/>
  <c r="C13666" i="1"/>
  <c r="G13665" i="1"/>
  <c r="C13665" i="1"/>
  <c r="G13664" i="1"/>
  <c r="C13664" i="1"/>
  <c r="G13663" i="1"/>
  <c r="C13663" i="1"/>
  <c r="G13662" i="1"/>
  <c r="C13662" i="1"/>
  <c r="G13661" i="1"/>
  <c r="C13661" i="1"/>
  <c r="G13660" i="1"/>
  <c r="C13660" i="1"/>
  <c r="G13659" i="1"/>
  <c r="C13659" i="1"/>
  <c r="G13658" i="1"/>
  <c r="C13658" i="1"/>
  <c r="G13657" i="1"/>
  <c r="C13657" i="1"/>
  <c r="G13656" i="1"/>
  <c r="C13656" i="1"/>
  <c r="G13655" i="1"/>
  <c r="C13655" i="1"/>
  <c r="G13654" i="1"/>
  <c r="C13654" i="1"/>
  <c r="G13653" i="1"/>
  <c r="C13653" i="1"/>
  <c r="G13652" i="1"/>
  <c r="C13652" i="1"/>
  <c r="G13651" i="1"/>
  <c r="C13651" i="1"/>
  <c r="G13650" i="1"/>
  <c r="C13650" i="1"/>
  <c r="G13649" i="1"/>
  <c r="C13649" i="1"/>
  <c r="G13648" i="1"/>
  <c r="C13648" i="1"/>
  <c r="G13647" i="1"/>
  <c r="C13647" i="1"/>
  <c r="G13646" i="1"/>
  <c r="C13646" i="1"/>
  <c r="G13645" i="1"/>
  <c r="C13645" i="1"/>
  <c r="G13644" i="1"/>
  <c r="C13644" i="1"/>
  <c r="G13643" i="1"/>
  <c r="C13643" i="1"/>
  <c r="G13642" i="1"/>
  <c r="C13642" i="1"/>
  <c r="G13641" i="1"/>
  <c r="C13641" i="1"/>
  <c r="G13640" i="1"/>
  <c r="C13640" i="1"/>
  <c r="G13639" i="1"/>
  <c r="C13639" i="1"/>
  <c r="G13638" i="1"/>
  <c r="C13638" i="1"/>
  <c r="G13637" i="1"/>
  <c r="C13637" i="1"/>
  <c r="G13636" i="1"/>
  <c r="C13636" i="1"/>
  <c r="G13635" i="1"/>
  <c r="C13635" i="1"/>
  <c r="G13634" i="1"/>
  <c r="C13634" i="1"/>
  <c r="G13633" i="1"/>
  <c r="C13633" i="1"/>
  <c r="G13632" i="1"/>
  <c r="C13632" i="1"/>
  <c r="G13631" i="1"/>
  <c r="C13631" i="1"/>
  <c r="G13630" i="1"/>
  <c r="C13630" i="1"/>
  <c r="G13629" i="1"/>
  <c r="C13629" i="1"/>
  <c r="G13628" i="1"/>
  <c r="C13628" i="1"/>
  <c r="G13627" i="1"/>
  <c r="C13627" i="1"/>
  <c r="G13626" i="1"/>
  <c r="C13626" i="1"/>
  <c r="G13625" i="1"/>
  <c r="C13625" i="1"/>
  <c r="G13624" i="1"/>
  <c r="C13624" i="1"/>
  <c r="G13623" i="1"/>
  <c r="C13623" i="1"/>
  <c r="G13622" i="1"/>
  <c r="C13622" i="1"/>
  <c r="G13621" i="1"/>
  <c r="C13621" i="1"/>
  <c r="G13620" i="1"/>
  <c r="C13620" i="1"/>
  <c r="G13619" i="1"/>
  <c r="C13619" i="1"/>
  <c r="G13618" i="1"/>
  <c r="C13618" i="1"/>
  <c r="G13617" i="1"/>
  <c r="C13617" i="1"/>
  <c r="G13616" i="1"/>
  <c r="C13616" i="1"/>
  <c r="G13615" i="1"/>
  <c r="C13615" i="1"/>
  <c r="G13614" i="1"/>
  <c r="C13614" i="1"/>
  <c r="G13613" i="1"/>
  <c r="C13613" i="1"/>
  <c r="G13612" i="1"/>
  <c r="C13612" i="1"/>
  <c r="G13611" i="1"/>
  <c r="C13611" i="1"/>
  <c r="G13610" i="1"/>
  <c r="C13610" i="1"/>
  <c r="G13609" i="1"/>
  <c r="C13609" i="1"/>
  <c r="G13608" i="1"/>
  <c r="C13608" i="1"/>
  <c r="G13607" i="1"/>
  <c r="C13607" i="1"/>
  <c r="G13606" i="1"/>
  <c r="C13606" i="1"/>
  <c r="G13605" i="1"/>
  <c r="C13605" i="1"/>
  <c r="G13604" i="1"/>
  <c r="C13604" i="1"/>
  <c r="G13603" i="1"/>
  <c r="C13603" i="1"/>
  <c r="G13602" i="1"/>
  <c r="C13602" i="1"/>
  <c r="G13601" i="1"/>
  <c r="C13601" i="1"/>
  <c r="G13600" i="1"/>
  <c r="C13600" i="1"/>
  <c r="G13599" i="1"/>
  <c r="C13599" i="1"/>
  <c r="G13598" i="1"/>
  <c r="C13598" i="1"/>
  <c r="G13597" i="1"/>
  <c r="C13597" i="1"/>
  <c r="G13596" i="1"/>
  <c r="C13596" i="1"/>
  <c r="G13595" i="1"/>
  <c r="C13595" i="1"/>
  <c r="G13594" i="1"/>
  <c r="C13594" i="1"/>
  <c r="G13593" i="1"/>
  <c r="C13593" i="1"/>
  <c r="G13592" i="1"/>
  <c r="C13592" i="1"/>
  <c r="G13591" i="1"/>
  <c r="C13591" i="1"/>
  <c r="G13590" i="1"/>
  <c r="C13590" i="1"/>
  <c r="G13589" i="1"/>
  <c r="C13589" i="1"/>
  <c r="G13588" i="1"/>
  <c r="C13588" i="1"/>
  <c r="G13587" i="1"/>
  <c r="C13587" i="1"/>
  <c r="G13586" i="1"/>
  <c r="C13586" i="1"/>
  <c r="G13585" i="1"/>
  <c r="C13585" i="1"/>
  <c r="G13584" i="1"/>
  <c r="C13584" i="1"/>
  <c r="G13583" i="1"/>
  <c r="C13583" i="1"/>
  <c r="G13582" i="1"/>
  <c r="C13582" i="1"/>
  <c r="G13581" i="1"/>
  <c r="C13581" i="1"/>
  <c r="G13580" i="1"/>
  <c r="C13580" i="1"/>
  <c r="G13579" i="1"/>
  <c r="C13579" i="1"/>
  <c r="G13578" i="1"/>
  <c r="C13578" i="1"/>
  <c r="G13577" i="1"/>
  <c r="C13577" i="1"/>
  <c r="G13576" i="1"/>
  <c r="C13576" i="1"/>
  <c r="G13575" i="1"/>
  <c r="C13575" i="1"/>
  <c r="G13574" i="1"/>
  <c r="C13574" i="1"/>
  <c r="G13573" i="1"/>
  <c r="C13573" i="1"/>
  <c r="G13571" i="1"/>
  <c r="C13571" i="1"/>
  <c r="G13570" i="1"/>
  <c r="C13570" i="1"/>
  <c r="G13569" i="1"/>
  <c r="C13569" i="1"/>
  <c r="G13568" i="1"/>
  <c r="C13568" i="1"/>
  <c r="G13567" i="1"/>
  <c r="C13567" i="1"/>
  <c r="G13566" i="1"/>
  <c r="C13566" i="1"/>
  <c r="G13565" i="1"/>
  <c r="C13565" i="1"/>
  <c r="G13564" i="1"/>
  <c r="C13564" i="1"/>
  <c r="G13563" i="1"/>
  <c r="C13563" i="1"/>
  <c r="G13562" i="1"/>
  <c r="C13562" i="1"/>
  <c r="G13561" i="1"/>
  <c r="C13561" i="1"/>
  <c r="G13560" i="1"/>
  <c r="C13560" i="1"/>
  <c r="G13559" i="1"/>
  <c r="C13559" i="1"/>
  <c r="G13558" i="1"/>
  <c r="C13558" i="1"/>
  <c r="G13557" i="1"/>
  <c r="C13557" i="1"/>
  <c r="G13556" i="1"/>
  <c r="C13556" i="1"/>
  <c r="G13555" i="1"/>
  <c r="C13555" i="1"/>
  <c r="G13554" i="1"/>
  <c r="C13554" i="1"/>
  <c r="G13553" i="1"/>
  <c r="C13553" i="1"/>
  <c r="G13552" i="1"/>
  <c r="C13552" i="1"/>
  <c r="G13551" i="1"/>
  <c r="C13551" i="1"/>
  <c r="G13550" i="1"/>
  <c r="C13550" i="1"/>
  <c r="G13549" i="1"/>
  <c r="C13549" i="1"/>
  <c r="G13548" i="1"/>
  <c r="C13548" i="1"/>
  <c r="G13547" i="1"/>
  <c r="C13547" i="1"/>
  <c r="G13546" i="1"/>
  <c r="C13546" i="1"/>
  <c r="G13545" i="1"/>
  <c r="C13545" i="1"/>
  <c r="G13544" i="1"/>
  <c r="C13544" i="1"/>
  <c r="G13543" i="1"/>
  <c r="C13543" i="1"/>
  <c r="G13542" i="1"/>
  <c r="C13542" i="1"/>
  <c r="G13541" i="1"/>
  <c r="C13541" i="1"/>
  <c r="G13540" i="1"/>
  <c r="C13540" i="1"/>
  <c r="G13539" i="1"/>
  <c r="C13539" i="1"/>
  <c r="G13538" i="1"/>
  <c r="C13538" i="1"/>
  <c r="G13535" i="1"/>
  <c r="C13535" i="1"/>
  <c r="G13534" i="1"/>
  <c r="C13534" i="1"/>
  <c r="G13533" i="1"/>
  <c r="C13533" i="1"/>
  <c r="G13532" i="1"/>
  <c r="C13532" i="1"/>
  <c r="G13531" i="1"/>
  <c r="C13531" i="1"/>
  <c r="G13530" i="1"/>
  <c r="C13530" i="1"/>
  <c r="G13529" i="1"/>
  <c r="C13529" i="1"/>
  <c r="G13528" i="1"/>
  <c r="C13528" i="1"/>
  <c r="G13527" i="1"/>
  <c r="C13527" i="1"/>
  <c r="G13526" i="1"/>
  <c r="C13526" i="1"/>
  <c r="G13525" i="1"/>
  <c r="C13525" i="1"/>
  <c r="G13524" i="1"/>
  <c r="C13524" i="1"/>
  <c r="G13523" i="1"/>
  <c r="C13523" i="1"/>
  <c r="G13522" i="1"/>
  <c r="C13522" i="1"/>
  <c r="G13521" i="1"/>
  <c r="C13521" i="1"/>
  <c r="G13520" i="1"/>
  <c r="C13520" i="1"/>
  <c r="G13519" i="1"/>
  <c r="C13519" i="1"/>
  <c r="G13518" i="1"/>
  <c r="C13518" i="1"/>
  <c r="G13517" i="1"/>
  <c r="C13517" i="1"/>
  <c r="G13516" i="1"/>
  <c r="C13516" i="1"/>
  <c r="G13515" i="1"/>
  <c r="C13515" i="1"/>
  <c r="G13514" i="1"/>
  <c r="C13514" i="1"/>
  <c r="G13513" i="1"/>
  <c r="C13513" i="1"/>
  <c r="G13512" i="1"/>
  <c r="C13512" i="1"/>
  <c r="G13511" i="1"/>
  <c r="C13511" i="1"/>
  <c r="G13510" i="1"/>
  <c r="C13510" i="1"/>
  <c r="G13509" i="1"/>
  <c r="C13509" i="1"/>
  <c r="G13508" i="1"/>
  <c r="C13508" i="1"/>
  <c r="G13507" i="1"/>
  <c r="C13507" i="1"/>
  <c r="G13506" i="1"/>
  <c r="C13506" i="1"/>
  <c r="G13505" i="1"/>
  <c r="C13505" i="1"/>
  <c r="G13504" i="1"/>
  <c r="C13504" i="1"/>
  <c r="G13503" i="1"/>
  <c r="C13503" i="1"/>
  <c r="G13502" i="1"/>
  <c r="C13502" i="1"/>
  <c r="G13501" i="1"/>
  <c r="C13501" i="1"/>
  <c r="G13500" i="1"/>
  <c r="C13500" i="1"/>
  <c r="G13499" i="1"/>
  <c r="C13499" i="1"/>
  <c r="G13498" i="1"/>
  <c r="C13498" i="1"/>
  <c r="G13497" i="1"/>
  <c r="C13497" i="1"/>
  <c r="G13496" i="1"/>
  <c r="C13496" i="1"/>
  <c r="G13494" i="1"/>
  <c r="C13494" i="1"/>
  <c r="G13493" i="1"/>
  <c r="C13493" i="1"/>
  <c r="G13492" i="1"/>
  <c r="C13492" i="1"/>
  <c r="G13491" i="1"/>
  <c r="C13491" i="1"/>
  <c r="G13490" i="1"/>
  <c r="C13490" i="1"/>
  <c r="G13489" i="1"/>
  <c r="C13489" i="1"/>
  <c r="G13488" i="1"/>
  <c r="C13488" i="1"/>
  <c r="G13487" i="1"/>
  <c r="C13487" i="1"/>
  <c r="G13486" i="1"/>
  <c r="C13486" i="1"/>
  <c r="G13485" i="1"/>
  <c r="C13485" i="1"/>
  <c r="G13484" i="1"/>
  <c r="C13484" i="1"/>
  <c r="G13483" i="1"/>
  <c r="C13483" i="1"/>
  <c r="G13482" i="1"/>
  <c r="C13482" i="1"/>
  <c r="G13481" i="1"/>
  <c r="C13481" i="1"/>
  <c r="G13480" i="1"/>
  <c r="C13480" i="1"/>
  <c r="G13479" i="1"/>
  <c r="C13479" i="1"/>
  <c r="G13478" i="1"/>
  <c r="C13478" i="1"/>
  <c r="G13477" i="1"/>
  <c r="C13477" i="1"/>
  <c r="G13476" i="1"/>
  <c r="C13476" i="1"/>
  <c r="G13475" i="1"/>
  <c r="C13475" i="1"/>
  <c r="G13474" i="1"/>
  <c r="C13474" i="1"/>
  <c r="G13473" i="1"/>
  <c r="C13473" i="1"/>
  <c r="G13472" i="1"/>
  <c r="C13472" i="1"/>
  <c r="G13471" i="1"/>
  <c r="C13471" i="1"/>
  <c r="G13470" i="1"/>
  <c r="C13470" i="1"/>
  <c r="G13469" i="1"/>
  <c r="C13469" i="1"/>
  <c r="G13468" i="1"/>
  <c r="C13468" i="1"/>
  <c r="G13467" i="1"/>
  <c r="C13467" i="1"/>
  <c r="G13466" i="1"/>
  <c r="C13466" i="1"/>
  <c r="G13465" i="1"/>
  <c r="C13465" i="1"/>
  <c r="G13464" i="1"/>
  <c r="C13464" i="1"/>
  <c r="G13463" i="1"/>
  <c r="C13463" i="1"/>
  <c r="G13462" i="1"/>
  <c r="C13462" i="1"/>
  <c r="G13459" i="1"/>
  <c r="C13459" i="1"/>
  <c r="G13458" i="1"/>
  <c r="C13458" i="1"/>
  <c r="G13457" i="1"/>
  <c r="C13457" i="1"/>
  <c r="G13456" i="1"/>
  <c r="C13456" i="1"/>
  <c r="G13455" i="1"/>
  <c r="C13455" i="1"/>
  <c r="G13454" i="1"/>
  <c r="C13454" i="1"/>
  <c r="G13453" i="1"/>
  <c r="C13453" i="1"/>
  <c r="G13452" i="1"/>
  <c r="C13452" i="1"/>
  <c r="G13451" i="1"/>
  <c r="C13451" i="1"/>
  <c r="G13450" i="1"/>
  <c r="C13450" i="1"/>
  <c r="G13449" i="1"/>
  <c r="C13449" i="1"/>
  <c r="G13448" i="1"/>
  <c r="C13448" i="1"/>
  <c r="G13447" i="1"/>
  <c r="C13447" i="1"/>
  <c r="G13446" i="1"/>
  <c r="C13446" i="1"/>
  <c r="G13445" i="1"/>
  <c r="C13445" i="1"/>
  <c r="G13444" i="1"/>
  <c r="C13444" i="1"/>
  <c r="G13443" i="1"/>
  <c r="C13443" i="1"/>
  <c r="G13442" i="1"/>
  <c r="C13442" i="1"/>
  <c r="G13441" i="1"/>
  <c r="C13441" i="1"/>
  <c r="G13440" i="1"/>
  <c r="C13440" i="1"/>
  <c r="G13439" i="1"/>
  <c r="C13439" i="1"/>
  <c r="G13438" i="1"/>
  <c r="C13438" i="1"/>
  <c r="G13437" i="1"/>
  <c r="C13437" i="1"/>
  <c r="G13436" i="1"/>
  <c r="C13436" i="1"/>
  <c r="G13435" i="1"/>
  <c r="C13435" i="1"/>
  <c r="G13434" i="1"/>
  <c r="C13434" i="1"/>
  <c r="G13433" i="1"/>
  <c r="C13433" i="1"/>
  <c r="G13432" i="1"/>
  <c r="C13432" i="1"/>
  <c r="G13431" i="1"/>
  <c r="C13431" i="1"/>
  <c r="G13430" i="1"/>
  <c r="C13430" i="1"/>
  <c r="G13429" i="1"/>
  <c r="C13429" i="1"/>
  <c r="G13428" i="1"/>
  <c r="C13428" i="1"/>
  <c r="G13427" i="1"/>
  <c r="C13427" i="1"/>
  <c r="G13426" i="1"/>
  <c r="C13426" i="1"/>
  <c r="G13425" i="1"/>
  <c r="C13425" i="1"/>
  <c r="G13424" i="1"/>
  <c r="C13424" i="1"/>
  <c r="G13423" i="1"/>
  <c r="C13423" i="1"/>
  <c r="G13422" i="1"/>
  <c r="C13422" i="1"/>
  <c r="G13421" i="1"/>
  <c r="C13421" i="1"/>
  <c r="G13420" i="1"/>
  <c r="C13420" i="1"/>
  <c r="G13419" i="1"/>
  <c r="C13419" i="1"/>
  <c r="G13418" i="1"/>
  <c r="C13418" i="1"/>
  <c r="G13417" i="1"/>
  <c r="C13417" i="1"/>
  <c r="G13416" i="1"/>
  <c r="C13416" i="1"/>
  <c r="G13415" i="1"/>
  <c r="C13415" i="1"/>
  <c r="G13414" i="1"/>
  <c r="C13414" i="1"/>
  <c r="G13413" i="1"/>
  <c r="C13413" i="1"/>
  <c r="G13412" i="1"/>
  <c r="C13412" i="1"/>
  <c r="G13411" i="1"/>
  <c r="C13411" i="1"/>
  <c r="G13410" i="1"/>
  <c r="C13410" i="1"/>
  <c r="G13409" i="1"/>
  <c r="C13409" i="1"/>
  <c r="G13408" i="1"/>
  <c r="C13408" i="1"/>
  <c r="G13406" i="1"/>
  <c r="C13406" i="1"/>
  <c r="G13405" i="1"/>
  <c r="C13405" i="1"/>
  <c r="G13404" i="1"/>
  <c r="C13404" i="1"/>
  <c r="G13403" i="1"/>
  <c r="C13403" i="1"/>
  <c r="G13402" i="1"/>
  <c r="C13402" i="1"/>
  <c r="G13401" i="1"/>
  <c r="C13401" i="1"/>
  <c r="G13400" i="1"/>
  <c r="C13400" i="1"/>
  <c r="G13399" i="1"/>
  <c r="C13399" i="1"/>
  <c r="G13398" i="1"/>
  <c r="C13398" i="1"/>
  <c r="G13397" i="1"/>
  <c r="C13397" i="1"/>
  <c r="G13396" i="1"/>
  <c r="C13396" i="1"/>
  <c r="G13395" i="1"/>
  <c r="C13395" i="1"/>
  <c r="G13394" i="1"/>
  <c r="C13394" i="1"/>
  <c r="G13393" i="1"/>
  <c r="C13393" i="1"/>
  <c r="G13392" i="1"/>
  <c r="C13392" i="1"/>
  <c r="G13391" i="1"/>
  <c r="C13391" i="1"/>
  <c r="G13390" i="1"/>
  <c r="C13390" i="1"/>
  <c r="G13389" i="1"/>
  <c r="C13389" i="1"/>
  <c r="G13388" i="1"/>
  <c r="C13388" i="1"/>
  <c r="G13387" i="1"/>
  <c r="C13387" i="1"/>
  <c r="G13386" i="1"/>
  <c r="C13386" i="1"/>
  <c r="G13385" i="1"/>
  <c r="C13385" i="1"/>
  <c r="G13384" i="1"/>
  <c r="C13384" i="1"/>
  <c r="G13383" i="1"/>
  <c r="C13383" i="1"/>
  <c r="G13382" i="1"/>
  <c r="C13382" i="1"/>
  <c r="G13381" i="1"/>
  <c r="C13381" i="1"/>
  <c r="G13380" i="1"/>
  <c r="C13380" i="1"/>
  <c r="G13379" i="1"/>
  <c r="C13379" i="1"/>
  <c r="G13378" i="1"/>
  <c r="C13378" i="1"/>
  <c r="G13377" i="1"/>
  <c r="C13377" i="1"/>
  <c r="G13376" i="1"/>
  <c r="C13376" i="1"/>
  <c r="G13375" i="1"/>
  <c r="C13375" i="1"/>
  <c r="G13374" i="1"/>
  <c r="C13374" i="1"/>
  <c r="G13373" i="1"/>
  <c r="C13373" i="1"/>
  <c r="G13371" i="1"/>
  <c r="C13371" i="1"/>
  <c r="G13370" i="1"/>
  <c r="C13370" i="1"/>
  <c r="G13369" i="1"/>
  <c r="C13369" i="1"/>
  <c r="G13368" i="1"/>
  <c r="C13368" i="1"/>
  <c r="G13367" i="1"/>
  <c r="C13367" i="1"/>
  <c r="G13366" i="1"/>
  <c r="C13366" i="1"/>
  <c r="G13365" i="1"/>
  <c r="C13365" i="1"/>
  <c r="G13364" i="1"/>
  <c r="C13364" i="1"/>
  <c r="G13363" i="1"/>
  <c r="C13363" i="1"/>
  <c r="G13362" i="1"/>
  <c r="C13362" i="1"/>
  <c r="G13361" i="1"/>
  <c r="C13361" i="1"/>
  <c r="G13360" i="1"/>
  <c r="C13360" i="1"/>
  <c r="G13359" i="1"/>
  <c r="C13359" i="1"/>
  <c r="G13358" i="1"/>
  <c r="C13358" i="1"/>
  <c r="G13357" i="1"/>
  <c r="C13357" i="1"/>
  <c r="G13356" i="1"/>
  <c r="C13356" i="1"/>
  <c r="G13355" i="1"/>
  <c r="C13355" i="1"/>
  <c r="G13354" i="1"/>
  <c r="C13354" i="1"/>
  <c r="G13353" i="1"/>
  <c r="C13353" i="1"/>
  <c r="G13352" i="1"/>
  <c r="C13352" i="1"/>
  <c r="G13351" i="1"/>
  <c r="C13351" i="1"/>
  <c r="G13350" i="1"/>
  <c r="C13350" i="1"/>
  <c r="G13349" i="1"/>
  <c r="C13349" i="1"/>
  <c r="G13348" i="1"/>
  <c r="C13348" i="1"/>
  <c r="G13347" i="1"/>
  <c r="C13347" i="1"/>
  <c r="G13345" i="1"/>
  <c r="C13345" i="1"/>
  <c r="G13344" i="1"/>
  <c r="C13344" i="1"/>
  <c r="G13343" i="1"/>
  <c r="C13343" i="1"/>
  <c r="G13342" i="1"/>
  <c r="C13342" i="1"/>
  <c r="G13341" i="1"/>
  <c r="C13341" i="1"/>
  <c r="G13340" i="1"/>
  <c r="C13340" i="1"/>
  <c r="G13339" i="1"/>
  <c r="C13339" i="1"/>
  <c r="G13338" i="1"/>
  <c r="C13338" i="1"/>
  <c r="G13337" i="1"/>
  <c r="C13337" i="1"/>
  <c r="G13336" i="1"/>
  <c r="C13336" i="1"/>
  <c r="G13335" i="1"/>
  <c r="C13335" i="1"/>
  <c r="G13334" i="1"/>
  <c r="C13334" i="1"/>
  <c r="G13333" i="1"/>
  <c r="C13333" i="1"/>
  <c r="G13332" i="1"/>
  <c r="C13332" i="1"/>
  <c r="G13331" i="1"/>
  <c r="C13331" i="1"/>
  <c r="G13330" i="1"/>
  <c r="C13330" i="1"/>
  <c r="G13329" i="1"/>
  <c r="C13329" i="1"/>
  <c r="G13328" i="1"/>
  <c r="C13328" i="1"/>
  <c r="G13327" i="1"/>
  <c r="C13327" i="1"/>
  <c r="G13325" i="1"/>
  <c r="C13325" i="1"/>
  <c r="G13324" i="1"/>
  <c r="C13324" i="1"/>
  <c r="G13323" i="1"/>
  <c r="C13323" i="1"/>
  <c r="G13322" i="1"/>
  <c r="C13322" i="1"/>
  <c r="G13321" i="1"/>
  <c r="C13321" i="1"/>
  <c r="G13320" i="1"/>
  <c r="C13320" i="1"/>
  <c r="G13319" i="1"/>
  <c r="C13319" i="1"/>
  <c r="G13318" i="1"/>
  <c r="C13318" i="1"/>
  <c r="G13317" i="1"/>
  <c r="C13317" i="1"/>
  <c r="G13316" i="1"/>
  <c r="C13316" i="1"/>
  <c r="G13315" i="1"/>
  <c r="C13315" i="1"/>
  <c r="G13314" i="1"/>
  <c r="C13314" i="1"/>
  <c r="G13313" i="1"/>
  <c r="C13313" i="1"/>
  <c r="G13312" i="1"/>
  <c r="C13312" i="1"/>
  <c r="G13311" i="1"/>
  <c r="C13311" i="1"/>
  <c r="G13310" i="1"/>
  <c r="C13310" i="1"/>
  <c r="G13309" i="1"/>
  <c r="C13309" i="1"/>
  <c r="G13308" i="1"/>
  <c r="C13308" i="1"/>
  <c r="G13307" i="1"/>
  <c r="C13307" i="1"/>
  <c r="G13306" i="1"/>
  <c r="C13306" i="1"/>
  <c r="G13305" i="1"/>
  <c r="C13305" i="1"/>
  <c r="G13304" i="1"/>
  <c r="C13304" i="1"/>
  <c r="G13303" i="1"/>
  <c r="C13303" i="1"/>
  <c r="G13302" i="1"/>
  <c r="C13302" i="1"/>
  <c r="G13301" i="1"/>
  <c r="C13301" i="1"/>
  <c r="G13300" i="1"/>
  <c r="C13300" i="1"/>
  <c r="G13299" i="1"/>
  <c r="C13299" i="1"/>
  <c r="G13298" i="1"/>
  <c r="C13298" i="1"/>
  <c r="G13297" i="1"/>
  <c r="C13297" i="1"/>
  <c r="G13296" i="1"/>
  <c r="C13296" i="1"/>
  <c r="G13295" i="1"/>
  <c r="C13295" i="1"/>
  <c r="G13294" i="1"/>
  <c r="C13294" i="1"/>
  <c r="G13293" i="1"/>
  <c r="C13293" i="1"/>
  <c r="G13292" i="1"/>
  <c r="C13292" i="1"/>
  <c r="G13291" i="1"/>
  <c r="C13291" i="1"/>
  <c r="G13290" i="1"/>
  <c r="C13290" i="1"/>
  <c r="G13289" i="1"/>
  <c r="C13289" i="1"/>
  <c r="G13288" i="1"/>
  <c r="C13288" i="1"/>
  <c r="G13287" i="1"/>
  <c r="C13287" i="1"/>
  <c r="G13286" i="1"/>
  <c r="C13286" i="1"/>
  <c r="G13285" i="1"/>
  <c r="C13285" i="1"/>
  <c r="G13283" i="1"/>
  <c r="C13283" i="1"/>
  <c r="G13282" i="1"/>
  <c r="C13282" i="1"/>
  <c r="G13281" i="1"/>
  <c r="C13281" i="1"/>
  <c r="G13280" i="1"/>
  <c r="C13280" i="1"/>
  <c r="G13279" i="1"/>
  <c r="C13279" i="1"/>
  <c r="G13278" i="1"/>
  <c r="C13278" i="1"/>
  <c r="G13277" i="1"/>
  <c r="C13277" i="1"/>
  <c r="G13276" i="1"/>
  <c r="C13276" i="1"/>
  <c r="G13275" i="1"/>
  <c r="C13275" i="1"/>
  <c r="G13274" i="1"/>
  <c r="C13274" i="1"/>
  <c r="G13273" i="1"/>
  <c r="C13273" i="1"/>
  <c r="G13272" i="1"/>
  <c r="C13272" i="1"/>
  <c r="G13271" i="1"/>
  <c r="C13271" i="1"/>
  <c r="G13270" i="1"/>
  <c r="C13270" i="1"/>
  <c r="G13269" i="1"/>
  <c r="C13269" i="1"/>
  <c r="G13268" i="1"/>
  <c r="C13268" i="1"/>
  <c r="G13267" i="1"/>
  <c r="C13267" i="1"/>
  <c r="G13266" i="1"/>
  <c r="C13266" i="1"/>
  <c r="G13265" i="1"/>
  <c r="C13265" i="1"/>
  <c r="G13264" i="1"/>
  <c r="C13264" i="1"/>
  <c r="G13263" i="1"/>
  <c r="C13263" i="1"/>
  <c r="G13262" i="1"/>
  <c r="C13262" i="1"/>
  <c r="G13261" i="1"/>
  <c r="C13261" i="1"/>
  <c r="G13260" i="1"/>
  <c r="C13260" i="1"/>
  <c r="G13259" i="1"/>
  <c r="C13259" i="1"/>
  <c r="G13258" i="1"/>
  <c r="C13258" i="1"/>
  <c r="G13257" i="1"/>
  <c r="C13257" i="1"/>
  <c r="G13256" i="1"/>
  <c r="C13256" i="1"/>
  <c r="G13255" i="1"/>
  <c r="C13255" i="1"/>
  <c r="G13254" i="1"/>
  <c r="C13254" i="1"/>
  <c r="G13253" i="1"/>
  <c r="C13253" i="1"/>
  <c r="G13252" i="1"/>
  <c r="C13252" i="1"/>
  <c r="G13251" i="1"/>
  <c r="C13251" i="1"/>
  <c r="G13250" i="1"/>
  <c r="C13250" i="1"/>
  <c r="G13249" i="1"/>
  <c r="C13249" i="1"/>
  <c r="G13248" i="1"/>
  <c r="C13248" i="1"/>
  <c r="G13247" i="1"/>
  <c r="C13247" i="1"/>
  <c r="G13246" i="1"/>
  <c r="C13246" i="1"/>
  <c r="G13245" i="1"/>
  <c r="C13245" i="1"/>
  <c r="G13244" i="1"/>
  <c r="C13244" i="1"/>
  <c r="G13243" i="1"/>
  <c r="C13243" i="1"/>
  <c r="G13242" i="1"/>
  <c r="C13242" i="1"/>
  <c r="G13241" i="1"/>
  <c r="C13241" i="1"/>
  <c r="G13240" i="1"/>
  <c r="C13240" i="1"/>
  <c r="G13239" i="1"/>
  <c r="C13239" i="1"/>
  <c r="G13238" i="1"/>
  <c r="C13238" i="1"/>
  <c r="G13237" i="1"/>
  <c r="C13237" i="1"/>
  <c r="G13236" i="1"/>
  <c r="C13236" i="1"/>
  <c r="G13235" i="1"/>
  <c r="C13235" i="1"/>
  <c r="G13234" i="1"/>
  <c r="C13234" i="1"/>
  <c r="G13233" i="1"/>
  <c r="C13233" i="1"/>
  <c r="G13232" i="1"/>
  <c r="C13232" i="1"/>
  <c r="G13231" i="1"/>
  <c r="C13231" i="1"/>
  <c r="G13230" i="1"/>
  <c r="C13230" i="1"/>
  <c r="G13229" i="1"/>
  <c r="C13229" i="1"/>
  <c r="G13228" i="1"/>
  <c r="C13228" i="1"/>
  <c r="G13227" i="1"/>
  <c r="C13227" i="1"/>
  <c r="G13226" i="1"/>
  <c r="C13226" i="1"/>
  <c r="G13225" i="1"/>
  <c r="C13225" i="1"/>
  <c r="G13224" i="1"/>
  <c r="C13224" i="1"/>
  <c r="G13223" i="1"/>
  <c r="C13223" i="1"/>
  <c r="G13220" i="1"/>
  <c r="C13220" i="1"/>
  <c r="G13219" i="1"/>
  <c r="C13219" i="1"/>
  <c r="G13218" i="1"/>
  <c r="C13218" i="1"/>
  <c r="G13217" i="1"/>
  <c r="C13217" i="1"/>
  <c r="G13216" i="1"/>
  <c r="C13216" i="1"/>
  <c r="G13215" i="1"/>
  <c r="C13215" i="1"/>
  <c r="G13214" i="1"/>
  <c r="C13214" i="1"/>
  <c r="G13213" i="1"/>
  <c r="C13213" i="1"/>
  <c r="G13212" i="1"/>
  <c r="C13212" i="1"/>
  <c r="G13211" i="1"/>
  <c r="C13211" i="1"/>
  <c r="G13210" i="1"/>
  <c r="C13210" i="1"/>
  <c r="G13209" i="1"/>
  <c r="C13209" i="1"/>
  <c r="G13208" i="1"/>
  <c r="C13208" i="1"/>
  <c r="G13207" i="1"/>
  <c r="C13207" i="1"/>
  <c r="G13206" i="1"/>
  <c r="C13206" i="1"/>
  <c r="G13205" i="1"/>
  <c r="C13205" i="1"/>
  <c r="G13204" i="1"/>
  <c r="C13204" i="1"/>
  <c r="G13203" i="1"/>
  <c r="C13203" i="1"/>
  <c r="G13202" i="1"/>
  <c r="C13202" i="1"/>
  <c r="G13201" i="1"/>
  <c r="C13201" i="1"/>
  <c r="G13200" i="1"/>
  <c r="C13200" i="1"/>
  <c r="G13199" i="1"/>
  <c r="C13199" i="1"/>
  <c r="G13198" i="1"/>
  <c r="C13198" i="1"/>
  <c r="G13197" i="1"/>
  <c r="C13197" i="1"/>
  <c r="G13196" i="1"/>
  <c r="C13196" i="1"/>
  <c r="G13195" i="1"/>
  <c r="C13195" i="1"/>
  <c r="G13194" i="1"/>
  <c r="C13194" i="1"/>
  <c r="G13193" i="1"/>
  <c r="C13193" i="1"/>
  <c r="G13192" i="1"/>
  <c r="C13192" i="1"/>
  <c r="G13191" i="1"/>
  <c r="C13191" i="1"/>
  <c r="G13190" i="1"/>
  <c r="C13190" i="1"/>
  <c r="G13189" i="1"/>
  <c r="C13189" i="1"/>
  <c r="G13188" i="1"/>
  <c r="C13188" i="1"/>
  <c r="G13187" i="1"/>
  <c r="C13187" i="1"/>
  <c r="G13186" i="1"/>
  <c r="C13186" i="1"/>
  <c r="G13185" i="1"/>
  <c r="C13185" i="1"/>
  <c r="G13184" i="1"/>
  <c r="C13184" i="1"/>
  <c r="G13183" i="1"/>
  <c r="C13183" i="1"/>
  <c r="G13182" i="1"/>
  <c r="C13182" i="1"/>
  <c r="G13181" i="1"/>
  <c r="C13181" i="1"/>
  <c r="G13180" i="1"/>
  <c r="C13180" i="1"/>
  <c r="G13179" i="1"/>
  <c r="C13179" i="1"/>
  <c r="G13177" i="1"/>
  <c r="C13177" i="1"/>
  <c r="G13176" i="1"/>
  <c r="C13176" i="1"/>
  <c r="G13175" i="1"/>
  <c r="C13175" i="1"/>
  <c r="G13174" i="1"/>
  <c r="C13174" i="1"/>
  <c r="G13173" i="1"/>
  <c r="C13173" i="1"/>
  <c r="G13172" i="1"/>
  <c r="C13172" i="1"/>
  <c r="G13171" i="1"/>
  <c r="C13171" i="1"/>
  <c r="G13170" i="1"/>
  <c r="C13170" i="1"/>
  <c r="G13169" i="1"/>
  <c r="C13169" i="1"/>
  <c r="G13168" i="1"/>
  <c r="C13168" i="1"/>
  <c r="G13167" i="1"/>
  <c r="C13167" i="1"/>
  <c r="G13166" i="1"/>
  <c r="C13166" i="1"/>
  <c r="G13165" i="1"/>
  <c r="C13165" i="1"/>
  <c r="G13164" i="1"/>
  <c r="C13164" i="1"/>
  <c r="G13163" i="1"/>
  <c r="C13163" i="1"/>
  <c r="G13162" i="1"/>
  <c r="C13162" i="1"/>
  <c r="G13161" i="1"/>
  <c r="C13161" i="1"/>
  <c r="G13160" i="1"/>
  <c r="C13160" i="1"/>
  <c r="G13159" i="1"/>
  <c r="C13159" i="1"/>
  <c r="G13158" i="1"/>
  <c r="C13158" i="1"/>
  <c r="G13157" i="1"/>
  <c r="C13157" i="1"/>
  <c r="G13156" i="1"/>
  <c r="C13156" i="1"/>
  <c r="G13155" i="1"/>
  <c r="C13155" i="1"/>
  <c r="G13154" i="1"/>
  <c r="C13154" i="1"/>
  <c r="G13153" i="1"/>
  <c r="C13153" i="1"/>
  <c r="G13152" i="1"/>
  <c r="C13152" i="1"/>
  <c r="G13151" i="1"/>
  <c r="C13151" i="1"/>
  <c r="G13150" i="1"/>
  <c r="C13150" i="1"/>
  <c r="G13149" i="1"/>
  <c r="C13149" i="1"/>
  <c r="G13148" i="1"/>
  <c r="C13148" i="1"/>
  <c r="G13147" i="1"/>
  <c r="C13147" i="1"/>
  <c r="G13146" i="1"/>
  <c r="C13146" i="1"/>
  <c r="G13145" i="1"/>
  <c r="C13145" i="1"/>
  <c r="G13144" i="1"/>
  <c r="C13144" i="1"/>
  <c r="G13143" i="1"/>
  <c r="C13143" i="1"/>
  <c r="G13142" i="1"/>
  <c r="C13142" i="1"/>
  <c r="G13141" i="1"/>
  <c r="C13141" i="1"/>
  <c r="G13140" i="1"/>
  <c r="C13140" i="1"/>
  <c r="G13139" i="1"/>
  <c r="C13139" i="1"/>
  <c r="G13138" i="1"/>
  <c r="C13138" i="1"/>
  <c r="G13137" i="1"/>
  <c r="C13137" i="1"/>
  <c r="G13136" i="1"/>
  <c r="C13136" i="1"/>
  <c r="G13135" i="1"/>
  <c r="C13135" i="1"/>
  <c r="G13134" i="1"/>
  <c r="C13134" i="1"/>
  <c r="G13133" i="1"/>
  <c r="C13133" i="1"/>
  <c r="G13132" i="1"/>
  <c r="C13132" i="1"/>
  <c r="G13131" i="1"/>
  <c r="C13131" i="1"/>
  <c r="G13130" i="1"/>
  <c r="C13130" i="1"/>
  <c r="G13129" i="1"/>
  <c r="C13129" i="1"/>
  <c r="G13128" i="1"/>
  <c r="C13128" i="1"/>
  <c r="G13127" i="1"/>
  <c r="C13127" i="1"/>
  <c r="G13126" i="1"/>
  <c r="C13126" i="1"/>
  <c r="G13125" i="1"/>
  <c r="C13125" i="1"/>
  <c r="G13124" i="1"/>
  <c r="C13124" i="1"/>
  <c r="G13123" i="1"/>
  <c r="C13123" i="1"/>
  <c r="G13122" i="1"/>
  <c r="C13122" i="1"/>
  <c r="G13121" i="1"/>
  <c r="C13121" i="1"/>
  <c r="G13120" i="1"/>
  <c r="C13120" i="1"/>
  <c r="G13119" i="1"/>
  <c r="C13119" i="1"/>
  <c r="G13118" i="1"/>
  <c r="C13118" i="1"/>
  <c r="G13117" i="1"/>
  <c r="C13117" i="1"/>
  <c r="G13116" i="1"/>
  <c r="C13116" i="1"/>
  <c r="G13115" i="1"/>
  <c r="C13115" i="1"/>
  <c r="G13114" i="1"/>
  <c r="C13114" i="1"/>
  <c r="G13113" i="1"/>
  <c r="C13113" i="1"/>
  <c r="G13112" i="1"/>
  <c r="C13112" i="1"/>
  <c r="G13110" i="1"/>
  <c r="C13110" i="1"/>
  <c r="G13109" i="1"/>
  <c r="C13109" i="1"/>
  <c r="G13108" i="1"/>
  <c r="C13108" i="1"/>
  <c r="G13107" i="1"/>
  <c r="C13107" i="1"/>
  <c r="G13106" i="1"/>
  <c r="C13106" i="1"/>
  <c r="G13105" i="1"/>
  <c r="C13105" i="1"/>
  <c r="G13104" i="1"/>
  <c r="C13104" i="1"/>
  <c r="G13103" i="1"/>
  <c r="C13103" i="1"/>
  <c r="G13102" i="1"/>
  <c r="C13102" i="1"/>
  <c r="G13101" i="1"/>
  <c r="C13101" i="1"/>
  <c r="G13100" i="1"/>
  <c r="C13100" i="1"/>
  <c r="G13099" i="1"/>
  <c r="C13099" i="1"/>
  <c r="G13098" i="1"/>
  <c r="C13098" i="1"/>
  <c r="G13097" i="1"/>
  <c r="C13097" i="1"/>
  <c r="G13096" i="1"/>
  <c r="C13096" i="1"/>
  <c r="G13095" i="1"/>
  <c r="C13095" i="1"/>
  <c r="G13094" i="1"/>
  <c r="C13094" i="1"/>
  <c r="G13093" i="1"/>
  <c r="C13093" i="1"/>
  <c r="G13092" i="1"/>
  <c r="C13092" i="1"/>
  <c r="G13091" i="1"/>
  <c r="C13091" i="1"/>
  <c r="G13090" i="1"/>
  <c r="C13090" i="1"/>
  <c r="G13089" i="1"/>
  <c r="C13089" i="1"/>
  <c r="G13088" i="1"/>
  <c r="C13088" i="1"/>
  <c r="G13087" i="1"/>
  <c r="C13087" i="1"/>
  <c r="G13086" i="1"/>
  <c r="C13086" i="1"/>
  <c r="G13085" i="1"/>
  <c r="C13085" i="1"/>
  <c r="G13084" i="1"/>
  <c r="C13084" i="1"/>
  <c r="G13083" i="1"/>
  <c r="C13083" i="1"/>
  <c r="G13082" i="1"/>
  <c r="C13082" i="1"/>
  <c r="G13081" i="1"/>
  <c r="C13081" i="1"/>
  <c r="G13080" i="1"/>
  <c r="C13080" i="1"/>
  <c r="G13079" i="1"/>
  <c r="C13079" i="1"/>
  <c r="G13078" i="1"/>
  <c r="C13078" i="1"/>
  <c r="G13077" i="1"/>
  <c r="C13077" i="1"/>
  <c r="G13076" i="1"/>
  <c r="C13076" i="1"/>
  <c r="G13075" i="1"/>
  <c r="C13075" i="1"/>
  <c r="G13074" i="1"/>
  <c r="C13074" i="1"/>
  <c r="G13073" i="1"/>
  <c r="C13073" i="1"/>
  <c r="G13072" i="1"/>
  <c r="C13072" i="1"/>
  <c r="G13071" i="1"/>
  <c r="C13071" i="1"/>
  <c r="G13070" i="1"/>
  <c r="C13070" i="1"/>
  <c r="G13069" i="1"/>
  <c r="C13069" i="1"/>
  <c r="G13068" i="1"/>
  <c r="C13068" i="1"/>
  <c r="G13067" i="1"/>
  <c r="C13067" i="1"/>
  <c r="G13066" i="1"/>
  <c r="C13066" i="1"/>
  <c r="G13065" i="1"/>
  <c r="C13065" i="1"/>
  <c r="G13064" i="1"/>
  <c r="C13064" i="1"/>
  <c r="G13063" i="1"/>
  <c r="C13063" i="1"/>
  <c r="G13062" i="1"/>
  <c r="C13062" i="1"/>
  <c r="G13061" i="1"/>
  <c r="C13061" i="1"/>
  <c r="G13060" i="1"/>
  <c r="C13060" i="1"/>
  <c r="G13059" i="1"/>
  <c r="C13059" i="1"/>
  <c r="G13058" i="1"/>
  <c r="C13058" i="1"/>
  <c r="G13057" i="1"/>
  <c r="C13057" i="1"/>
  <c r="G13055" i="1"/>
  <c r="C13055" i="1"/>
  <c r="G13054" i="1"/>
  <c r="C13054" i="1"/>
  <c r="G13053" i="1"/>
  <c r="C13053" i="1"/>
  <c r="G13052" i="1"/>
  <c r="C13052" i="1"/>
  <c r="G13051" i="1"/>
  <c r="C13051" i="1"/>
  <c r="G13050" i="1"/>
  <c r="C13050" i="1"/>
  <c r="G13049" i="1"/>
  <c r="C13049" i="1"/>
  <c r="G13048" i="1"/>
  <c r="C13048" i="1"/>
  <c r="G13047" i="1"/>
  <c r="C13047" i="1"/>
  <c r="G13046" i="1"/>
  <c r="C13046" i="1"/>
  <c r="G13044" i="1"/>
  <c r="C13044" i="1"/>
  <c r="G13043" i="1"/>
  <c r="C13043" i="1"/>
  <c r="G13042" i="1"/>
  <c r="C13042" i="1"/>
  <c r="G13041" i="1"/>
  <c r="C13041" i="1"/>
  <c r="G13040" i="1"/>
  <c r="C13040" i="1"/>
  <c r="G13039" i="1"/>
  <c r="C13039" i="1"/>
  <c r="G13038" i="1"/>
  <c r="C13038" i="1"/>
  <c r="G13037" i="1"/>
  <c r="C13037" i="1"/>
  <c r="G13036" i="1"/>
  <c r="C13036" i="1"/>
  <c r="G13035" i="1"/>
  <c r="C13035" i="1"/>
  <c r="G13034" i="1"/>
  <c r="C13034" i="1"/>
  <c r="G13033" i="1"/>
  <c r="C13033" i="1"/>
  <c r="G13032" i="1"/>
  <c r="C13032" i="1"/>
  <c r="G13031" i="1"/>
  <c r="C13031" i="1"/>
  <c r="G13030" i="1"/>
  <c r="C13030" i="1"/>
  <c r="G13029" i="1"/>
  <c r="C13029" i="1"/>
  <c r="G13028" i="1"/>
  <c r="C13028" i="1"/>
  <c r="G13027" i="1"/>
  <c r="C13027" i="1"/>
  <c r="G13026" i="1"/>
  <c r="C13026" i="1"/>
  <c r="G13025" i="1"/>
  <c r="C13025" i="1"/>
  <c r="G13024" i="1"/>
  <c r="C13024" i="1"/>
  <c r="G13023" i="1"/>
  <c r="C13023" i="1"/>
  <c r="G13022" i="1"/>
  <c r="C13022" i="1"/>
  <c r="G13021" i="1"/>
  <c r="C13021" i="1"/>
  <c r="G13020" i="1"/>
  <c r="C13020" i="1"/>
  <c r="G13019" i="1"/>
  <c r="C13019" i="1"/>
  <c r="G13018" i="1"/>
  <c r="C13018" i="1"/>
  <c r="G13017" i="1"/>
  <c r="C13017" i="1"/>
  <c r="G13016" i="1"/>
  <c r="C13016" i="1"/>
  <c r="G13015" i="1"/>
  <c r="C13015" i="1"/>
  <c r="G13014" i="1"/>
  <c r="C13014" i="1"/>
  <c r="G13013" i="1"/>
  <c r="C13013" i="1"/>
  <c r="G13012" i="1"/>
  <c r="C13012" i="1"/>
  <c r="G13011" i="1"/>
  <c r="C13011" i="1"/>
  <c r="G13010" i="1"/>
  <c r="C13010" i="1"/>
  <c r="G13009" i="1"/>
  <c r="C13009" i="1"/>
  <c r="G13008" i="1"/>
  <c r="C13008" i="1"/>
  <c r="G13007" i="1"/>
  <c r="C13007" i="1"/>
  <c r="G13006" i="1"/>
  <c r="C13006" i="1"/>
  <c r="G13005" i="1"/>
  <c r="C13005" i="1"/>
  <c r="G13004" i="1"/>
  <c r="C13004" i="1"/>
  <c r="G13003" i="1"/>
  <c r="C13003" i="1"/>
  <c r="G13002" i="1"/>
  <c r="C13002" i="1"/>
  <c r="G13001" i="1"/>
  <c r="C13001" i="1"/>
  <c r="G13000" i="1"/>
  <c r="C13000" i="1"/>
  <c r="G12999" i="1"/>
  <c r="C12999" i="1"/>
  <c r="G12997" i="1"/>
  <c r="C12997" i="1"/>
  <c r="G12996" i="1"/>
  <c r="C12996" i="1"/>
  <c r="G12995" i="1"/>
  <c r="C12995" i="1"/>
  <c r="G12994" i="1"/>
  <c r="C12994" i="1"/>
  <c r="G12993" i="1"/>
  <c r="C12993" i="1"/>
  <c r="G12992" i="1"/>
  <c r="C12992" i="1"/>
  <c r="G12991" i="1"/>
  <c r="C12991" i="1"/>
  <c r="G12990" i="1"/>
  <c r="C12990" i="1"/>
  <c r="G12989" i="1"/>
  <c r="C12989" i="1"/>
  <c r="G12988" i="1"/>
  <c r="C12988" i="1"/>
  <c r="G12987" i="1"/>
  <c r="C12987" i="1"/>
  <c r="G12986" i="1"/>
  <c r="C12986" i="1"/>
  <c r="G12985" i="1"/>
  <c r="C12985" i="1"/>
  <c r="G12984" i="1"/>
  <c r="C12984" i="1"/>
  <c r="G12983" i="1"/>
  <c r="C12983" i="1"/>
  <c r="G12982" i="1"/>
  <c r="C12982" i="1"/>
  <c r="G12981" i="1"/>
  <c r="C12981" i="1"/>
  <c r="G12980" i="1"/>
  <c r="C12980" i="1"/>
  <c r="G12979" i="1"/>
  <c r="C12979" i="1"/>
  <c r="G12978" i="1"/>
  <c r="C12978" i="1"/>
  <c r="G12977" i="1"/>
  <c r="C12977" i="1"/>
  <c r="G12976" i="1"/>
  <c r="C12976" i="1"/>
  <c r="G12975" i="1"/>
  <c r="C12975" i="1"/>
  <c r="G12974" i="1"/>
  <c r="C12974" i="1"/>
  <c r="G12973" i="1"/>
  <c r="C12973" i="1"/>
  <c r="G12972" i="1"/>
  <c r="C12972" i="1"/>
  <c r="G12971" i="1"/>
  <c r="C12971" i="1"/>
  <c r="G12970" i="1"/>
  <c r="C12970" i="1"/>
  <c r="G12969" i="1"/>
  <c r="C12969" i="1"/>
  <c r="G12968" i="1"/>
  <c r="C12968" i="1"/>
  <c r="G12967" i="1"/>
  <c r="C12967" i="1"/>
  <c r="G12966" i="1"/>
  <c r="C12966" i="1"/>
  <c r="G12965" i="1"/>
  <c r="C12965" i="1"/>
  <c r="G12964" i="1"/>
  <c r="C12964" i="1"/>
  <c r="G12963" i="1"/>
  <c r="C12963" i="1"/>
  <c r="G12962" i="1"/>
  <c r="C12962" i="1"/>
  <c r="G12961" i="1"/>
  <c r="C12961" i="1"/>
  <c r="G12960" i="1"/>
  <c r="C12960" i="1"/>
  <c r="G12959" i="1"/>
  <c r="C12959" i="1"/>
  <c r="G12958" i="1"/>
  <c r="C12958" i="1"/>
  <c r="G12957" i="1"/>
  <c r="C12957" i="1"/>
  <c r="G12956" i="1"/>
  <c r="C12956" i="1"/>
  <c r="G12955" i="1"/>
  <c r="C12955" i="1"/>
  <c r="G12954" i="1"/>
  <c r="C12954" i="1"/>
  <c r="G12953" i="1"/>
  <c r="C12953" i="1"/>
  <c r="G12952" i="1"/>
  <c r="C12952" i="1"/>
  <c r="G12951" i="1"/>
  <c r="C12951" i="1"/>
  <c r="G12950" i="1"/>
  <c r="C12950" i="1"/>
  <c r="G12949" i="1"/>
  <c r="C12949" i="1"/>
  <c r="G12948" i="1"/>
  <c r="C12948" i="1"/>
  <c r="G12947" i="1"/>
  <c r="C12947" i="1"/>
  <c r="G12946" i="1"/>
  <c r="C12946" i="1"/>
  <c r="G12944" i="1"/>
  <c r="C12944" i="1"/>
  <c r="G12943" i="1"/>
  <c r="C12943" i="1"/>
  <c r="G12942" i="1"/>
  <c r="C12942" i="1"/>
  <c r="G12941" i="1"/>
  <c r="C12941" i="1"/>
  <c r="G12940" i="1"/>
  <c r="C12940" i="1"/>
  <c r="G12939" i="1"/>
  <c r="C12939" i="1"/>
  <c r="G12938" i="1"/>
  <c r="C12938" i="1"/>
  <c r="G12937" i="1"/>
  <c r="C12937" i="1"/>
  <c r="G12936" i="1"/>
  <c r="C12936" i="1"/>
  <c r="G12935" i="1"/>
  <c r="C12935" i="1"/>
  <c r="G12934" i="1"/>
  <c r="C12934" i="1"/>
  <c r="G12933" i="1"/>
  <c r="C12933" i="1"/>
  <c r="G12932" i="1"/>
  <c r="C12932" i="1"/>
  <c r="G12931" i="1"/>
  <c r="C12931" i="1"/>
  <c r="G12930" i="1"/>
  <c r="C12930" i="1"/>
  <c r="G12929" i="1"/>
  <c r="C12929" i="1"/>
  <c r="G12928" i="1"/>
  <c r="C12928" i="1"/>
  <c r="G12927" i="1"/>
  <c r="C12927" i="1"/>
  <c r="G12926" i="1"/>
  <c r="C12926" i="1"/>
  <c r="G12925" i="1"/>
  <c r="C12925" i="1"/>
  <c r="G12924" i="1"/>
  <c r="C12924" i="1"/>
  <c r="G12923" i="1"/>
  <c r="C12923" i="1"/>
  <c r="G12922" i="1"/>
  <c r="C12922" i="1"/>
  <c r="G12921" i="1"/>
  <c r="C12921" i="1"/>
  <c r="G12920" i="1"/>
  <c r="C12920" i="1"/>
  <c r="G12919" i="1"/>
  <c r="C12919" i="1"/>
  <c r="G12918" i="1"/>
  <c r="C12918" i="1"/>
  <c r="G12917" i="1"/>
  <c r="C12917" i="1"/>
  <c r="G12916" i="1"/>
  <c r="C12916" i="1"/>
  <c r="G12915" i="1"/>
  <c r="C12915" i="1"/>
  <c r="G12914" i="1"/>
  <c r="C12914" i="1"/>
  <c r="G12913" i="1"/>
  <c r="C12913" i="1"/>
  <c r="G12911" i="1"/>
  <c r="C12911" i="1"/>
  <c r="G12910" i="1"/>
  <c r="C12910" i="1"/>
  <c r="G12909" i="1"/>
  <c r="C12909" i="1"/>
  <c r="G12908" i="1"/>
  <c r="C12908" i="1"/>
  <c r="G12907" i="1"/>
  <c r="C12907" i="1"/>
  <c r="G12906" i="1"/>
  <c r="C12906" i="1"/>
  <c r="G12905" i="1"/>
  <c r="C12905" i="1"/>
  <c r="G12904" i="1"/>
  <c r="C12904" i="1"/>
  <c r="G12903" i="1"/>
  <c r="C12903" i="1"/>
  <c r="G12902" i="1"/>
  <c r="C12902" i="1"/>
  <c r="G12901" i="1"/>
  <c r="C12901" i="1"/>
  <c r="G12899" i="1"/>
  <c r="C12899" i="1"/>
  <c r="G12898" i="1"/>
  <c r="C12898" i="1"/>
  <c r="G12897" i="1"/>
  <c r="C12897" i="1"/>
  <c r="G12896" i="1"/>
  <c r="C12896" i="1"/>
  <c r="G12895" i="1"/>
  <c r="C12895" i="1"/>
  <c r="G12894" i="1"/>
  <c r="C12894" i="1"/>
  <c r="G12893" i="1"/>
  <c r="C12893" i="1"/>
  <c r="G12892" i="1"/>
  <c r="C12892" i="1"/>
  <c r="G12891" i="1"/>
  <c r="C12891" i="1"/>
  <c r="G12890" i="1"/>
  <c r="C12890" i="1"/>
  <c r="G12889" i="1"/>
  <c r="C12889" i="1"/>
  <c r="G12888" i="1"/>
  <c r="C12888" i="1"/>
  <c r="G12887" i="1"/>
  <c r="C12887" i="1"/>
  <c r="G12886" i="1"/>
  <c r="C12886" i="1"/>
  <c r="G12885" i="1"/>
  <c r="C12885" i="1"/>
  <c r="G12884" i="1"/>
  <c r="C12884" i="1"/>
  <c r="G12883" i="1"/>
  <c r="C12883" i="1"/>
  <c r="G12882" i="1"/>
  <c r="C12882" i="1"/>
  <c r="G12881" i="1"/>
  <c r="C12881" i="1"/>
  <c r="G12880" i="1"/>
  <c r="C12880" i="1"/>
  <c r="G12879" i="1"/>
  <c r="C12879" i="1"/>
  <c r="G12878" i="1"/>
  <c r="C12878" i="1"/>
  <c r="G12877" i="1"/>
  <c r="C12877" i="1"/>
  <c r="G12876" i="1"/>
  <c r="C12876" i="1"/>
  <c r="G12875" i="1"/>
  <c r="C12875" i="1"/>
  <c r="G12874" i="1"/>
  <c r="C12874" i="1"/>
  <c r="G12873" i="1"/>
  <c r="C12873" i="1"/>
  <c r="G12871" i="1"/>
  <c r="C12871" i="1"/>
  <c r="G12870" i="1"/>
  <c r="C12870" i="1"/>
  <c r="G12869" i="1"/>
  <c r="C12869" i="1"/>
  <c r="G12868" i="1"/>
  <c r="C12868" i="1"/>
  <c r="G12867" i="1"/>
  <c r="C12867" i="1"/>
  <c r="G12866" i="1"/>
  <c r="C12866" i="1"/>
  <c r="G12865" i="1"/>
  <c r="C12865" i="1"/>
  <c r="G12864" i="1"/>
  <c r="C12864" i="1"/>
  <c r="G12863" i="1"/>
  <c r="C12863" i="1"/>
  <c r="G12862" i="1"/>
  <c r="C12862" i="1"/>
  <c r="G12861" i="1"/>
  <c r="C12861" i="1"/>
  <c r="G12860" i="1"/>
  <c r="C12860" i="1"/>
  <c r="G12859" i="1"/>
  <c r="C12859" i="1"/>
  <c r="G12858" i="1"/>
  <c r="C12858" i="1"/>
  <c r="G12857" i="1"/>
  <c r="C12857" i="1"/>
  <c r="G12856" i="1"/>
  <c r="C12856" i="1"/>
  <c r="G12855" i="1"/>
  <c r="C12855" i="1"/>
  <c r="G12854" i="1"/>
  <c r="C12854" i="1"/>
  <c r="G12853" i="1"/>
  <c r="C12853" i="1"/>
  <c r="G12852" i="1"/>
  <c r="C12852" i="1"/>
  <c r="G12851" i="1"/>
  <c r="C12851" i="1"/>
  <c r="G12850" i="1"/>
  <c r="C12850" i="1"/>
  <c r="G12849" i="1"/>
  <c r="C12849" i="1"/>
  <c r="G12848" i="1"/>
  <c r="C12848" i="1"/>
  <c r="G12847" i="1"/>
  <c r="C12847" i="1"/>
  <c r="G12846" i="1"/>
  <c r="C12846" i="1"/>
  <c r="G12845" i="1"/>
  <c r="C12845" i="1"/>
  <c r="G12844" i="1"/>
  <c r="C12844" i="1"/>
  <c r="G12843" i="1"/>
  <c r="C12843" i="1"/>
  <c r="G12842" i="1"/>
  <c r="C12842" i="1"/>
  <c r="G12841" i="1"/>
  <c r="C12841" i="1"/>
  <c r="G12840" i="1"/>
  <c r="C12840" i="1"/>
  <c r="G12839" i="1"/>
  <c r="C12839" i="1"/>
  <c r="G12838" i="1"/>
  <c r="C12838" i="1"/>
  <c r="G12837" i="1"/>
  <c r="C12837" i="1"/>
  <c r="G12836" i="1"/>
  <c r="C12836" i="1"/>
  <c r="G12835" i="1"/>
  <c r="C12835" i="1"/>
  <c r="G12833" i="1"/>
  <c r="C12833" i="1"/>
  <c r="G12832" i="1"/>
  <c r="C12832" i="1"/>
  <c r="G12831" i="1"/>
  <c r="C12831" i="1"/>
  <c r="G12830" i="1"/>
  <c r="C12830" i="1"/>
  <c r="G12829" i="1"/>
  <c r="C12829" i="1"/>
  <c r="G12828" i="1"/>
  <c r="C12828" i="1"/>
  <c r="G12827" i="1"/>
  <c r="C12827" i="1"/>
  <c r="G12826" i="1"/>
  <c r="C12826" i="1"/>
  <c r="G12825" i="1"/>
  <c r="C12825" i="1"/>
  <c r="G12824" i="1"/>
  <c r="C12824" i="1"/>
  <c r="G12822" i="1"/>
  <c r="C12822" i="1"/>
  <c r="G12821" i="1"/>
  <c r="C12821" i="1"/>
  <c r="G12820" i="1"/>
  <c r="C12820" i="1"/>
  <c r="G12819" i="1"/>
  <c r="C12819" i="1"/>
  <c r="G12818" i="1"/>
  <c r="C12818" i="1"/>
  <c r="G12817" i="1"/>
  <c r="C12817" i="1"/>
  <c r="G12816" i="1"/>
  <c r="C12816" i="1"/>
  <c r="G12815" i="1"/>
  <c r="C12815" i="1"/>
  <c r="G12814" i="1"/>
  <c r="C12814" i="1"/>
  <c r="G12813" i="1"/>
  <c r="C12813" i="1"/>
  <c r="G12812" i="1"/>
  <c r="C12812" i="1"/>
  <c r="G12811" i="1"/>
  <c r="C12811" i="1"/>
  <c r="G12810" i="1"/>
  <c r="C12810" i="1"/>
  <c r="G12809" i="1"/>
  <c r="C12809" i="1"/>
  <c r="G12808" i="1"/>
  <c r="C12808" i="1"/>
  <c r="G12807" i="1"/>
  <c r="C12807" i="1"/>
  <c r="G12806" i="1"/>
  <c r="C12806" i="1"/>
  <c r="G12805" i="1"/>
  <c r="C12805" i="1"/>
  <c r="G12804" i="1"/>
  <c r="C12804" i="1"/>
  <c r="G12803" i="1"/>
  <c r="C12803" i="1"/>
  <c r="G12802" i="1"/>
  <c r="C12802" i="1"/>
  <c r="G12801" i="1"/>
  <c r="C12801" i="1"/>
  <c r="G12800" i="1"/>
  <c r="C12800" i="1"/>
  <c r="G12799" i="1"/>
  <c r="C12799" i="1"/>
  <c r="G12798" i="1"/>
  <c r="C12798" i="1"/>
  <c r="G12797" i="1"/>
  <c r="C12797" i="1"/>
  <c r="G12796" i="1"/>
  <c r="C12796" i="1"/>
  <c r="G12795" i="1"/>
  <c r="C12795" i="1"/>
  <c r="G12794" i="1"/>
  <c r="C12794" i="1"/>
  <c r="G12793" i="1"/>
  <c r="C12793" i="1"/>
  <c r="G12792" i="1"/>
  <c r="C12792" i="1"/>
  <c r="G12791" i="1"/>
  <c r="C12791" i="1"/>
  <c r="G12790" i="1"/>
  <c r="C12790" i="1"/>
  <c r="G12789" i="1"/>
  <c r="C12789" i="1"/>
  <c r="G12788" i="1"/>
  <c r="C12788" i="1"/>
  <c r="G12787" i="1"/>
  <c r="C12787" i="1"/>
  <c r="G12786" i="1"/>
  <c r="C12786" i="1"/>
  <c r="G12785" i="1"/>
  <c r="C12785" i="1"/>
  <c r="G12784" i="1"/>
  <c r="C12784" i="1"/>
  <c r="G12783" i="1"/>
  <c r="C12783" i="1"/>
  <c r="G12782" i="1"/>
  <c r="C12782" i="1"/>
  <c r="G12781" i="1"/>
  <c r="C12781" i="1"/>
  <c r="G12780" i="1"/>
  <c r="C12780" i="1"/>
  <c r="G12779" i="1"/>
  <c r="C12779" i="1"/>
  <c r="G12778" i="1"/>
  <c r="C12778" i="1"/>
  <c r="G12777" i="1"/>
  <c r="C12777" i="1"/>
  <c r="G12776" i="1"/>
  <c r="C12776" i="1"/>
  <c r="G12775" i="1"/>
  <c r="C12775" i="1"/>
  <c r="G12774" i="1"/>
  <c r="C12774" i="1"/>
  <c r="G12773" i="1"/>
  <c r="C12773" i="1"/>
  <c r="G12772" i="1"/>
  <c r="C12772" i="1"/>
  <c r="G12771" i="1"/>
  <c r="C12771" i="1"/>
  <c r="G12770" i="1"/>
  <c r="C12770" i="1"/>
  <c r="G12769" i="1"/>
  <c r="C12769" i="1"/>
  <c r="G12768" i="1"/>
  <c r="C12768" i="1"/>
  <c r="G12767" i="1"/>
  <c r="C12767" i="1"/>
  <c r="G12766" i="1"/>
  <c r="C12766" i="1"/>
  <c r="G12765" i="1"/>
  <c r="C12765" i="1"/>
  <c r="G12764" i="1"/>
  <c r="C12764" i="1"/>
  <c r="G12763" i="1"/>
  <c r="C12763" i="1"/>
  <c r="G12762" i="1"/>
  <c r="C12762" i="1"/>
  <c r="G12761" i="1"/>
  <c r="C12761" i="1"/>
  <c r="G12760" i="1"/>
  <c r="C12760" i="1"/>
  <c r="G12759" i="1"/>
  <c r="C12759" i="1"/>
  <c r="G12758" i="1"/>
  <c r="C12758" i="1"/>
  <c r="G12757" i="1"/>
  <c r="C12757" i="1"/>
  <c r="G12756" i="1"/>
  <c r="C12756" i="1"/>
  <c r="G12755" i="1"/>
  <c r="C12755" i="1"/>
  <c r="G12754" i="1"/>
  <c r="C12754" i="1"/>
  <c r="G12753" i="1"/>
  <c r="C12753" i="1"/>
  <c r="G12752" i="1"/>
  <c r="C12752" i="1"/>
  <c r="G12751" i="1"/>
  <c r="C12751" i="1"/>
  <c r="G12750" i="1"/>
  <c r="C12750" i="1"/>
  <c r="G12749" i="1"/>
  <c r="C12749" i="1"/>
  <c r="G12748" i="1"/>
  <c r="C12748" i="1"/>
  <c r="G12747" i="1"/>
  <c r="C12747" i="1"/>
  <c r="G12746" i="1"/>
  <c r="C12746" i="1"/>
  <c r="G12745" i="1"/>
  <c r="C12745" i="1"/>
  <c r="G12744" i="1"/>
  <c r="C12744" i="1"/>
  <c r="G12743" i="1"/>
  <c r="C12743" i="1"/>
  <c r="G12742" i="1"/>
  <c r="C12742" i="1"/>
  <c r="G12741" i="1"/>
  <c r="C12741" i="1"/>
  <c r="G12740" i="1"/>
  <c r="C12740" i="1"/>
  <c r="G12739" i="1"/>
  <c r="C12739" i="1"/>
  <c r="G12738" i="1"/>
  <c r="C12738" i="1"/>
  <c r="G12737" i="1"/>
  <c r="C12737" i="1"/>
  <c r="G12736" i="1"/>
  <c r="C12736" i="1"/>
  <c r="G12735" i="1"/>
  <c r="C12735" i="1"/>
  <c r="G12734" i="1"/>
  <c r="C12734" i="1"/>
  <c r="G12733" i="1"/>
  <c r="C12733" i="1"/>
  <c r="G12732" i="1"/>
  <c r="C12732" i="1"/>
  <c r="G12731" i="1"/>
  <c r="C12731" i="1"/>
  <c r="G12730" i="1"/>
  <c r="C12730" i="1"/>
  <c r="G12729" i="1"/>
  <c r="C12729" i="1"/>
  <c r="G12728" i="1"/>
  <c r="C12728" i="1"/>
  <c r="G12725" i="1"/>
  <c r="C12725" i="1"/>
  <c r="G12724" i="1"/>
  <c r="C12724" i="1"/>
  <c r="G12723" i="1"/>
  <c r="C12723" i="1"/>
  <c r="G12722" i="1"/>
  <c r="C12722" i="1"/>
  <c r="G12721" i="1"/>
  <c r="C12721" i="1"/>
  <c r="G12720" i="1"/>
  <c r="C12720" i="1"/>
  <c r="G12719" i="1"/>
  <c r="C12719" i="1"/>
  <c r="G12718" i="1"/>
  <c r="C12718" i="1"/>
  <c r="G12717" i="1"/>
  <c r="C12717" i="1"/>
  <c r="G12716" i="1"/>
  <c r="C12716" i="1"/>
  <c r="G12715" i="1"/>
  <c r="C12715" i="1"/>
  <c r="G12714" i="1"/>
  <c r="C12714" i="1"/>
  <c r="G12713" i="1"/>
  <c r="C12713" i="1"/>
  <c r="G12712" i="1"/>
  <c r="C12712" i="1"/>
  <c r="G12711" i="1"/>
  <c r="C12711" i="1"/>
  <c r="G12710" i="1"/>
  <c r="C12710" i="1"/>
  <c r="G12709" i="1"/>
  <c r="C12709" i="1"/>
  <c r="G12708" i="1"/>
  <c r="C12708" i="1"/>
  <c r="G12707" i="1"/>
  <c r="C12707" i="1"/>
  <c r="G12706" i="1"/>
  <c r="C12706" i="1"/>
  <c r="G12705" i="1"/>
  <c r="C12705" i="1"/>
  <c r="G12704" i="1"/>
  <c r="C12704" i="1"/>
  <c r="G12703" i="1"/>
  <c r="C12703" i="1"/>
  <c r="G12702" i="1"/>
  <c r="C12702" i="1"/>
  <c r="G12700" i="1"/>
  <c r="C12700" i="1"/>
  <c r="G12699" i="1"/>
  <c r="C12699" i="1"/>
  <c r="G12698" i="1"/>
  <c r="C12698" i="1"/>
  <c r="G12697" i="1"/>
  <c r="C12697" i="1"/>
  <c r="G12696" i="1"/>
  <c r="C12696" i="1"/>
  <c r="G12695" i="1"/>
  <c r="C12695" i="1"/>
  <c r="G12694" i="1"/>
  <c r="C12694" i="1"/>
  <c r="G12693" i="1"/>
  <c r="C12693" i="1"/>
  <c r="G12692" i="1"/>
  <c r="C12692" i="1"/>
  <c r="G12691" i="1"/>
  <c r="C12691" i="1"/>
  <c r="G12690" i="1"/>
  <c r="C12690" i="1"/>
  <c r="G12689" i="1"/>
  <c r="C12689" i="1"/>
  <c r="G12688" i="1"/>
  <c r="C12688" i="1"/>
  <c r="G12687" i="1"/>
  <c r="C12687" i="1"/>
  <c r="G12686" i="1"/>
  <c r="C12686" i="1"/>
  <c r="G12685" i="1"/>
  <c r="C12685" i="1"/>
  <c r="G12684" i="1"/>
  <c r="C12684" i="1"/>
  <c r="G12683" i="1"/>
  <c r="C12683" i="1"/>
  <c r="G12682" i="1"/>
  <c r="C12682" i="1"/>
  <c r="G12681" i="1"/>
  <c r="C12681" i="1"/>
  <c r="G12680" i="1"/>
  <c r="C12680" i="1"/>
  <c r="G12679" i="1"/>
  <c r="C12679" i="1"/>
  <c r="G12678" i="1"/>
  <c r="C12678" i="1"/>
  <c r="G12677" i="1"/>
  <c r="C12677" i="1"/>
  <c r="G12676" i="1"/>
  <c r="C12676" i="1"/>
  <c r="G12675" i="1"/>
  <c r="C12675" i="1"/>
  <c r="G12674" i="1"/>
  <c r="C12674" i="1"/>
  <c r="G12673" i="1"/>
  <c r="C12673" i="1"/>
  <c r="G12672" i="1"/>
  <c r="C12672" i="1"/>
  <c r="G12671" i="1"/>
  <c r="C12671" i="1"/>
  <c r="G12670" i="1"/>
  <c r="C12670" i="1"/>
  <c r="G12669" i="1"/>
  <c r="C12669" i="1"/>
  <c r="G12668" i="1"/>
  <c r="C12668" i="1"/>
  <c r="G12667" i="1"/>
  <c r="C12667" i="1"/>
  <c r="G12666" i="1"/>
  <c r="C12666" i="1"/>
  <c r="G12665" i="1"/>
  <c r="C12665" i="1"/>
  <c r="G12664" i="1"/>
  <c r="C12664" i="1"/>
  <c r="G12663" i="1"/>
  <c r="C12663" i="1"/>
  <c r="G12662" i="1"/>
  <c r="C12662" i="1"/>
  <c r="G12661" i="1"/>
  <c r="C12661" i="1"/>
  <c r="G12660" i="1"/>
  <c r="C12660" i="1"/>
  <c r="G12659" i="1"/>
  <c r="C12659" i="1"/>
  <c r="G12658" i="1"/>
  <c r="C12658" i="1"/>
  <c r="G12657" i="1"/>
  <c r="C12657" i="1"/>
  <c r="G12656" i="1"/>
  <c r="C12656" i="1"/>
  <c r="G12655" i="1"/>
  <c r="C12655" i="1"/>
  <c r="G12654" i="1"/>
  <c r="C12654" i="1"/>
  <c r="G12653" i="1"/>
  <c r="C12653" i="1"/>
  <c r="G12651" i="1"/>
  <c r="C12651" i="1"/>
  <c r="G12650" i="1"/>
  <c r="C12650" i="1"/>
  <c r="G12649" i="1"/>
  <c r="C12649" i="1"/>
  <c r="G12648" i="1"/>
  <c r="C12648" i="1"/>
  <c r="G12647" i="1"/>
  <c r="C12647" i="1"/>
  <c r="G12646" i="1"/>
  <c r="C12646" i="1"/>
  <c r="G12645" i="1"/>
  <c r="C12645" i="1"/>
  <c r="G12644" i="1"/>
  <c r="C12644" i="1"/>
  <c r="G12643" i="1"/>
  <c r="C12643" i="1"/>
  <c r="G12642" i="1"/>
  <c r="C12642" i="1"/>
  <c r="G12641" i="1"/>
  <c r="C12641" i="1"/>
  <c r="G12640" i="1"/>
  <c r="C12640" i="1"/>
  <c r="G12639" i="1"/>
  <c r="C12639" i="1"/>
  <c r="G12638" i="1"/>
  <c r="C12638" i="1"/>
  <c r="G12637" i="1"/>
  <c r="C12637" i="1"/>
  <c r="G12636" i="1"/>
  <c r="C12636" i="1"/>
  <c r="G12635" i="1"/>
  <c r="C12635" i="1"/>
  <c r="G12634" i="1"/>
  <c r="C12634" i="1"/>
  <c r="G12633" i="1"/>
  <c r="C12633" i="1"/>
  <c r="G12632" i="1"/>
  <c r="C12632" i="1"/>
  <c r="G12631" i="1"/>
  <c r="C12631" i="1"/>
  <c r="G12630" i="1"/>
  <c r="C12630" i="1"/>
  <c r="G12629" i="1"/>
  <c r="C12629" i="1"/>
  <c r="G12628" i="1"/>
  <c r="C12628" i="1"/>
  <c r="G12627" i="1"/>
  <c r="C12627" i="1"/>
  <c r="G12626" i="1"/>
  <c r="C12626" i="1"/>
  <c r="G12625" i="1"/>
  <c r="C12625" i="1"/>
  <c r="G12624" i="1"/>
  <c r="C12624" i="1"/>
  <c r="G12623" i="1"/>
  <c r="C12623" i="1"/>
  <c r="G12622" i="1"/>
  <c r="C12622" i="1"/>
  <c r="G12621" i="1"/>
  <c r="C12621" i="1"/>
  <c r="G12619" i="1"/>
  <c r="C12619" i="1"/>
  <c r="G12618" i="1"/>
  <c r="C12618" i="1"/>
  <c r="G12617" i="1"/>
  <c r="C12617" i="1"/>
  <c r="G12616" i="1"/>
  <c r="C12616" i="1"/>
  <c r="G12615" i="1"/>
  <c r="C12615" i="1"/>
  <c r="G12614" i="1"/>
  <c r="C12614" i="1"/>
  <c r="G12613" i="1"/>
  <c r="C12613" i="1"/>
  <c r="G12612" i="1"/>
  <c r="C12612" i="1"/>
  <c r="G12611" i="1"/>
  <c r="C12611" i="1"/>
  <c r="G12610" i="1"/>
  <c r="C12610" i="1"/>
  <c r="G12609" i="1"/>
  <c r="C12609" i="1"/>
  <c r="G12608" i="1"/>
  <c r="C12608" i="1"/>
  <c r="G12607" i="1"/>
  <c r="C12607" i="1"/>
  <c r="G12606" i="1"/>
  <c r="C12606" i="1"/>
  <c r="G12605" i="1"/>
  <c r="C12605" i="1"/>
  <c r="G12604" i="1"/>
  <c r="C12604" i="1"/>
  <c r="G12603" i="1"/>
  <c r="C12603" i="1"/>
  <c r="G12602" i="1"/>
  <c r="C12602" i="1"/>
  <c r="G12601" i="1"/>
  <c r="C12601" i="1"/>
  <c r="G12600" i="1"/>
  <c r="C12600" i="1"/>
  <c r="G12599" i="1"/>
  <c r="C12599" i="1"/>
  <c r="G12598" i="1"/>
  <c r="C12598" i="1"/>
  <c r="G12597" i="1"/>
  <c r="C12597" i="1"/>
  <c r="G12596" i="1"/>
  <c r="C12596" i="1"/>
  <c r="G12595" i="1"/>
  <c r="C12595" i="1"/>
  <c r="G12594" i="1"/>
  <c r="C12594" i="1"/>
  <c r="G12593" i="1"/>
  <c r="C12593" i="1"/>
  <c r="G12592" i="1"/>
  <c r="C12592" i="1"/>
  <c r="G12591" i="1"/>
  <c r="C12591" i="1"/>
  <c r="G12590" i="1"/>
  <c r="C12590" i="1"/>
  <c r="G12589" i="1"/>
  <c r="C12589" i="1"/>
  <c r="G12588" i="1"/>
  <c r="C12588" i="1"/>
  <c r="G12587" i="1"/>
  <c r="C12587" i="1"/>
  <c r="G12586" i="1"/>
  <c r="C12586" i="1"/>
  <c r="G12585" i="1"/>
  <c r="C12585" i="1"/>
  <c r="G12584" i="1"/>
  <c r="C12584" i="1"/>
  <c r="G12583" i="1"/>
  <c r="C12583" i="1"/>
  <c r="G12582" i="1"/>
  <c r="C12582" i="1"/>
  <c r="G12581" i="1"/>
  <c r="C12581" i="1"/>
  <c r="G12580" i="1"/>
  <c r="C12580" i="1"/>
  <c r="G12579" i="1"/>
  <c r="C12579" i="1"/>
  <c r="G12578" i="1"/>
  <c r="C12578" i="1"/>
  <c r="G12577" i="1"/>
  <c r="C12577" i="1"/>
  <c r="G12576" i="1"/>
  <c r="C12576" i="1"/>
  <c r="G12575" i="1"/>
  <c r="C12575" i="1"/>
  <c r="G12574" i="1"/>
  <c r="C12574" i="1"/>
  <c r="G12573" i="1"/>
  <c r="C12573" i="1"/>
  <c r="G12572" i="1"/>
  <c r="C12572" i="1"/>
  <c r="G12571" i="1"/>
  <c r="C12571" i="1"/>
  <c r="G12570" i="1"/>
  <c r="C12570" i="1"/>
  <c r="G12569" i="1"/>
  <c r="C12569" i="1"/>
  <c r="G12568" i="1"/>
  <c r="C12568" i="1"/>
  <c r="G12567" i="1"/>
  <c r="C12567" i="1"/>
  <c r="G12566" i="1"/>
  <c r="C12566" i="1"/>
  <c r="G12565" i="1"/>
  <c r="C12565" i="1"/>
  <c r="G12564" i="1"/>
  <c r="C12564" i="1"/>
  <c r="G12563" i="1"/>
  <c r="C12563" i="1"/>
  <c r="G12562" i="1"/>
  <c r="C12562" i="1"/>
  <c r="G12561" i="1"/>
  <c r="C12561" i="1"/>
  <c r="G12560" i="1"/>
  <c r="C12560" i="1"/>
  <c r="G12559" i="1"/>
  <c r="C12559" i="1"/>
  <c r="G12558" i="1"/>
  <c r="C12558" i="1"/>
  <c r="G12557" i="1"/>
  <c r="C12557" i="1"/>
  <c r="G12556" i="1"/>
  <c r="C12556" i="1"/>
  <c r="G12555" i="1"/>
  <c r="C12555" i="1"/>
  <c r="G12554" i="1"/>
  <c r="C12554" i="1"/>
  <c r="G12553" i="1"/>
  <c r="C12553" i="1"/>
  <c r="G12552" i="1"/>
  <c r="C12552" i="1"/>
  <c r="G12551" i="1"/>
  <c r="C12551" i="1"/>
  <c r="G12550" i="1"/>
  <c r="C12550" i="1"/>
  <c r="G12549" i="1"/>
  <c r="C12549" i="1"/>
  <c r="G12548" i="1"/>
  <c r="C12548" i="1"/>
  <c r="G12547" i="1"/>
  <c r="C12547" i="1"/>
  <c r="G12545" i="1"/>
  <c r="C12545" i="1"/>
  <c r="G12544" i="1"/>
  <c r="C12544" i="1"/>
  <c r="G12543" i="1"/>
  <c r="C12543" i="1"/>
  <c r="G12542" i="1"/>
  <c r="C12542" i="1"/>
  <c r="G12541" i="1"/>
  <c r="C12541" i="1"/>
  <c r="G12540" i="1"/>
  <c r="C12540" i="1"/>
  <c r="G12539" i="1"/>
  <c r="C12539" i="1"/>
  <c r="G12537" i="1"/>
  <c r="C12537" i="1"/>
  <c r="G12536" i="1"/>
  <c r="C12536" i="1"/>
  <c r="G12535" i="1"/>
  <c r="C12535" i="1"/>
  <c r="G12534" i="1"/>
  <c r="C12534" i="1"/>
  <c r="G12533" i="1"/>
  <c r="C12533" i="1"/>
  <c r="G12532" i="1"/>
  <c r="C12532" i="1"/>
  <c r="G12531" i="1"/>
  <c r="C12531" i="1"/>
  <c r="G12530" i="1"/>
  <c r="C12530" i="1"/>
  <c r="G12529" i="1"/>
  <c r="C12529" i="1"/>
  <c r="G12528" i="1"/>
  <c r="C12528" i="1"/>
  <c r="G12527" i="1"/>
  <c r="C12527" i="1"/>
  <c r="G12526" i="1"/>
  <c r="C12526" i="1"/>
  <c r="G12525" i="1"/>
  <c r="C12525" i="1"/>
  <c r="G12524" i="1"/>
  <c r="C12524" i="1"/>
  <c r="G12523" i="1"/>
  <c r="C12523" i="1"/>
  <c r="G12522" i="1"/>
  <c r="C12522" i="1"/>
  <c r="G12521" i="1"/>
  <c r="C12521" i="1"/>
  <c r="G12520" i="1"/>
  <c r="C12520" i="1"/>
  <c r="G12519" i="1"/>
  <c r="C12519" i="1"/>
  <c r="G12518" i="1"/>
  <c r="C12518" i="1"/>
  <c r="G12517" i="1"/>
  <c r="C12517" i="1"/>
  <c r="G12516" i="1"/>
  <c r="C12516" i="1"/>
  <c r="G12515" i="1"/>
  <c r="C12515" i="1"/>
  <c r="G12514" i="1"/>
  <c r="C12514" i="1"/>
  <c r="G12513" i="1"/>
  <c r="C12513" i="1"/>
  <c r="G12512" i="1"/>
  <c r="C12512" i="1"/>
  <c r="G12511" i="1"/>
  <c r="C12511" i="1"/>
  <c r="G12510" i="1"/>
  <c r="C12510" i="1"/>
  <c r="G12509" i="1"/>
  <c r="C12509" i="1"/>
  <c r="G12508" i="1"/>
  <c r="C12508" i="1"/>
  <c r="G12507" i="1"/>
  <c r="C12507" i="1"/>
  <c r="G12506" i="1"/>
  <c r="C12506" i="1"/>
  <c r="G12505" i="1"/>
  <c r="C12505" i="1"/>
  <c r="G12504" i="1"/>
  <c r="C12504" i="1"/>
  <c r="G12503" i="1"/>
  <c r="C12503" i="1"/>
  <c r="G12502" i="1"/>
  <c r="C12502" i="1"/>
  <c r="G12501" i="1"/>
  <c r="C12501" i="1"/>
  <c r="G12500" i="1"/>
  <c r="C12500" i="1"/>
  <c r="G12499" i="1"/>
  <c r="C12499" i="1"/>
  <c r="G12498" i="1"/>
  <c r="C12498" i="1"/>
  <c r="G12497" i="1"/>
  <c r="C12497" i="1"/>
  <c r="G12496" i="1"/>
  <c r="C12496" i="1"/>
  <c r="G12495" i="1"/>
  <c r="C12495" i="1"/>
  <c r="G12494" i="1"/>
  <c r="C12494" i="1"/>
  <c r="G12493" i="1"/>
  <c r="C12493" i="1"/>
  <c r="G12492" i="1"/>
  <c r="C12492" i="1"/>
  <c r="G12491" i="1"/>
  <c r="C12491" i="1"/>
  <c r="G12490" i="1"/>
  <c r="C12490" i="1"/>
  <c r="G12489" i="1"/>
  <c r="C12489" i="1"/>
  <c r="G12488" i="1"/>
  <c r="C12488" i="1"/>
  <c r="G12487" i="1"/>
  <c r="C12487" i="1"/>
  <c r="G12486" i="1"/>
  <c r="C12486" i="1"/>
  <c r="G12485" i="1"/>
  <c r="C12485" i="1"/>
  <c r="G12484" i="1"/>
  <c r="C12484" i="1"/>
  <c r="G12483" i="1"/>
  <c r="C12483" i="1"/>
  <c r="G12482" i="1"/>
  <c r="C12482" i="1"/>
  <c r="G12481" i="1"/>
  <c r="C12481" i="1"/>
  <c r="G12480" i="1"/>
  <c r="C12480" i="1"/>
  <c r="G12479" i="1"/>
  <c r="C12479" i="1"/>
  <c r="G12478" i="1"/>
  <c r="C12478" i="1"/>
  <c r="G12477" i="1"/>
  <c r="C12477" i="1"/>
  <c r="G12476" i="1"/>
  <c r="C12476" i="1"/>
  <c r="G12475" i="1"/>
  <c r="C12475" i="1"/>
  <c r="G12474" i="1"/>
  <c r="C12474" i="1"/>
  <c r="G12473" i="1"/>
  <c r="C12473" i="1"/>
  <c r="G12472" i="1"/>
  <c r="C12472" i="1"/>
  <c r="G12471" i="1"/>
  <c r="C12471" i="1"/>
  <c r="G12470" i="1"/>
  <c r="C12470" i="1"/>
  <c r="G12469" i="1"/>
  <c r="C12469" i="1"/>
  <c r="G12468" i="1"/>
  <c r="C12468" i="1"/>
  <c r="G12467" i="1"/>
  <c r="C12467" i="1"/>
  <c r="G12466" i="1"/>
  <c r="C12466" i="1"/>
  <c r="G12465" i="1"/>
  <c r="C12465" i="1"/>
  <c r="G12464" i="1"/>
  <c r="C12464" i="1"/>
  <c r="G12463" i="1"/>
  <c r="C12463" i="1"/>
  <c r="G12462" i="1"/>
  <c r="C12462" i="1"/>
  <c r="G12461" i="1"/>
  <c r="C12461" i="1"/>
  <c r="G12460" i="1"/>
  <c r="C12460" i="1"/>
  <c r="G12459" i="1"/>
  <c r="C12459" i="1"/>
  <c r="G12458" i="1"/>
  <c r="C12458" i="1"/>
  <c r="G12457" i="1"/>
  <c r="C12457" i="1"/>
  <c r="G12456" i="1"/>
  <c r="C12456" i="1"/>
  <c r="G12455" i="1"/>
  <c r="C12455" i="1"/>
  <c r="G12454" i="1"/>
  <c r="C12454" i="1"/>
  <c r="G12453" i="1"/>
  <c r="C12453" i="1"/>
  <c r="G12452" i="1"/>
  <c r="C12452" i="1"/>
  <c r="G12451" i="1"/>
  <c r="C12451" i="1"/>
  <c r="G12450" i="1"/>
  <c r="C12450" i="1"/>
  <c r="G12449" i="1"/>
  <c r="C12449" i="1"/>
  <c r="G12447" i="1"/>
  <c r="C12447" i="1"/>
  <c r="G12446" i="1"/>
  <c r="C12446" i="1"/>
  <c r="G12445" i="1"/>
  <c r="C12445" i="1"/>
  <c r="G12444" i="1"/>
  <c r="C12444" i="1"/>
  <c r="G12443" i="1"/>
  <c r="C12443" i="1"/>
  <c r="G12442" i="1"/>
  <c r="C12442" i="1"/>
  <c r="G12441" i="1"/>
  <c r="C12441" i="1"/>
  <c r="G12440" i="1"/>
  <c r="C12440" i="1"/>
  <c r="G12439" i="1"/>
  <c r="C12439" i="1"/>
  <c r="G12438" i="1"/>
  <c r="C12438" i="1"/>
  <c r="G12437" i="1"/>
  <c r="C12437" i="1"/>
  <c r="G12436" i="1"/>
  <c r="C12436" i="1"/>
  <c r="G12435" i="1"/>
  <c r="C12435" i="1"/>
  <c r="G12434" i="1"/>
  <c r="C12434" i="1"/>
  <c r="G12433" i="1"/>
  <c r="C12433" i="1"/>
  <c r="G12432" i="1"/>
  <c r="C12432" i="1"/>
  <c r="G12431" i="1"/>
  <c r="C12431" i="1"/>
  <c r="G12430" i="1"/>
  <c r="C12430" i="1"/>
  <c r="G12429" i="1"/>
  <c r="C12429" i="1"/>
  <c r="G12428" i="1"/>
  <c r="C12428" i="1"/>
  <c r="G12427" i="1"/>
  <c r="C12427" i="1"/>
  <c r="G12426" i="1"/>
  <c r="C12426" i="1"/>
  <c r="G12425" i="1"/>
  <c r="C12425" i="1"/>
  <c r="G12424" i="1"/>
  <c r="C12424" i="1"/>
  <c r="G12423" i="1"/>
  <c r="C12423" i="1"/>
  <c r="G12422" i="1"/>
  <c r="C12422" i="1"/>
  <c r="G12421" i="1"/>
  <c r="C12421" i="1"/>
  <c r="G12420" i="1"/>
  <c r="C12420" i="1"/>
  <c r="G12419" i="1"/>
  <c r="C12419" i="1"/>
  <c r="G12418" i="1"/>
  <c r="C12418" i="1"/>
  <c r="G12417" i="1"/>
  <c r="C12417" i="1"/>
  <c r="G12416" i="1"/>
  <c r="C12416" i="1"/>
  <c r="G12415" i="1"/>
  <c r="C12415" i="1"/>
  <c r="G12414" i="1"/>
  <c r="C12414" i="1"/>
  <c r="G12413" i="1"/>
  <c r="C12413" i="1"/>
  <c r="G12412" i="1"/>
  <c r="C12412" i="1"/>
  <c r="G12411" i="1"/>
  <c r="C12411" i="1"/>
  <c r="G12410" i="1"/>
  <c r="C12410" i="1"/>
  <c r="G12409" i="1"/>
  <c r="C12409" i="1"/>
  <c r="G12408" i="1"/>
  <c r="C12408" i="1"/>
  <c r="G12407" i="1"/>
  <c r="C12407" i="1"/>
  <c r="G12406" i="1"/>
  <c r="C12406" i="1"/>
  <c r="G12405" i="1"/>
  <c r="C12405" i="1"/>
  <c r="G12404" i="1"/>
  <c r="C12404" i="1"/>
  <c r="G12403" i="1"/>
  <c r="C12403" i="1"/>
  <c r="G12402" i="1"/>
  <c r="C12402" i="1"/>
  <c r="G12401" i="1"/>
  <c r="C12401" i="1"/>
  <c r="G12400" i="1"/>
  <c r="C12400" i="1"/>
  <c r="G12399" i="1"/>
  <c r="C12399" i="1"/>
  <c r="G12398" i="1"/>
  <c r="C12398" i="1"/>
  <c r="G12397" i="1"/>
  <c r="C12397" i="1"/>
  <c r="G12396" i="1"/>
  <c r="C12396" i="1"/>
  <c r="G12395" i="1"/>
  <c r="C12395" i="1"/>
  <c r="G12394" i="1"/>
  <c r="C12394" i="1"/>
  <c r="G12393" i="1"/>
  <c r="C12393" i="1"/>
  <c r="G12392" i="1"/>
  <c r="C12392" i="1"/>
  <c r="G12391" i="1"/>
  <c r="C12391" i="1"/>
  <c r="G12390" i="1"/>
  <c r="C12390" i="1"/>
  <c r="G12389" i="1"/>
  <c r="C12389" i="1"/>
  <c r="G12388" i="1"/>
  <c r="C12388" i="1"/>
  <c r="G12387" i="1"/>
  <c r="C12387" i="1"/>
  <c r="G12386" i="1"/>
  <c r="C12386" i="1"/>
  <c r="G12385" i="1"/>
  <c r="C12385" i="1"/>
  <c r="G12384" i="1"/>
  <c r="C12384" i="1"/>
  <c r="G12383" i="1"/>
  <c r="C12383" i="1"/>
  <c r="G12382" i="1"/>
  <c r="C12382" i="1"/>
  <c r="G12381" i="1"/>
  <c r="C12381" i="1"/>
  <c r="G12380" i="1"/>
  <c r="C12380" i="1"/>
  <c r="G12379" i="1"/>
  <c r="C12379" i="1"/>
  <c r="G12378" i="1"/>
  <c r="C12378" i="1"/>
  <c r="G12377" i="1"/>
  <c r="C12377" i="1"/>
  <c r="G12376" i="1"/>
  <c r="C12376" i="1"/>
  <c r="G12375" i="1"/>
  <c r="C12375" i="1"/>
  <c r="G12374" i="1"/>
  <c r="C12374" i="1"/>
  <c r="G12371" i="1"/>
  <c r="C12371" i="1"/>
  <c r="G12370" i="1"/>
  <c r="C12370" i="1"/>
  <c r="G12369" i="1"/>
  <c r="C12369" i="1"/>
  <c r="G12368" i="1"/>
  <c r="C12368" i="1"/>
  <c r="G12367" i="1"/>
  <c r="C12367" i="1"/>
  <c r="G12366" i="1"/>
  <c r="C12366" i="1"/>
  <c r="G12365" i="1"/>
  <c r="C12365" i="1"/>
  <c r="G12364" i="1"/>
  <c r="C12364" i="1"/>
  <c r="G12363" i="1"/>
  <c r="C12363" i="1"/>
  <c r="G12362" i="1"/>
  <c r="C12362" i="1"/>
  <c r="G12361" i="1"/>
  <c r="C12361" i="1"/>
  <c r="G12360" i="1"/>
  <c r="C12360" i="1"/>
  <c r="G12359" i="1"/>
  <c r="C12359" i="1"/>
  <c r="G12358" i="1"/>
  <c r="C12358" i="1"/>
  <c r="G12357" i="1"/>
  <c r="C12357" i="1"/>
  <c r="G12356" i="1"/>
  <c r="C12356" i="1"/>
  <c r="G12355" i="1"/>
  <c r="C12355" i="1"/>
  <c r="G12354" i="1"/>
  <c r="C12354" i="1"/>
  <c r="G12353" i="1"/>
  <c r="C12353" i="1"/>
  <c r="G12352" i="1"/>
  <c r="C12352" i="1"/>
  <c r="G12351" i="1"/>
  <c r="C12351" i="1"/>
  <c r="G12350" i="1"/>
  <c r="C12350" i="1"/>
  <c r="G12349" i="1"/>
  <c r="C12349" i="1"/>
  <c r="G12348" i="1"/>
  <c r="C12348" i="1"/>
  <c r="G12347" i="1"/>
  <c r="C12347" i="1"/>
  <c r="G12346" i="1"/>
  <c r="C12346" i="1"/>
  <c r="G12345" i="1"/>
  <c r="C12345" i="1"/>
  <c r="G12344" i="1"/>
  <c r="C12344" i="1"/>
  <c r="G12343" i="1"/>
  <c r="C12343" i="1"/>
  <c r="G12342" i="1"/>
  <c r="C12342" i="1"/>
  <c r="G12341" i="1"/>
  <c r="C12341" i="1"/>
  <c r="G12340" i="1"/>
  <c r="C12340" i="1"/>
  <c r="G12339" i="1"/>
  <c r="C12339" i="1"/>
  <c r="G12338" i="1"/>
  <c r="C12338" i="1"/>
  <c r="G12337" i="1"/>
  <c r="C12337" i="1"/>
  <c r="G12336" i="1"/>
  <c r="C12336" i="1"/>
  <c r="G12335" i="1"/>
  <c r="C12335" i="1"/>
  <c r="G12334" i="1"/>
  <c r="C12334" i="1"/>
  <c r="G12332" i="1"/>
  <c r="C12332" i="1"/>
  <c r="G12331" i="1"/>
  <c r="C12331" i="1"/>
  <c r="G12330" i="1"/>
  <c r="C12330" i="1"/>
  <c r="G12329" i="1"/>
  <c r="C12329" i="1"/>
  <c r="G12328" i="1"/>
  <c r="C12328" i="1"/>
  <c r="G12327" i="1"/>
  <c r="C12327" i="1"/>
  <c r="G12326" i="1"/>
  <c r="C12326" i="1"/>
  <c r="G12325" i="1"/>
  <c r="C12325" i="1"/>
  <c r="G12324" i="1"/>
  <c r="C12324" i="1"/>
  <c r="G12323" i="1"/>
  <c r="C12323" i="1"/>
  <c r="G12322" i="1"/>
  <c r="C12322" i="1"/>
  <c r="G12321" i="1"/>
  <c r="C12321" i="1"/>
  <c r="G12320" i="1"/>
  <c r="C12320" i="1"/>
  <c r="G12319" i="1"/>
  <c r="C12319" i="1"/>
  <c r="G12318" i="1"/>
  <c r="C12318" i="1"/>
  <c r="G12317" i="1"/>
  <c r="C12317" i="1"/>
  <c r="G12316" i="1"/>
  <c r="C12316" i="1"/>
  <c r="G12315" i="1"/>
  <c r="C12315" i="1"/>
  <c r="G12314" i="1"/>
  <c r="C12314" i="1"/>
  <c r="G12313" i="1"/>
  <c r="C12313" i="1"/>
  <c r="G12312" i="1"/>
  <c r="C12312" i="1"/>
  <c r="G12311" i="1"/>
  <c r="C12311" i="1"/>
  <c r="G12310" i="1"/>
  <c r="C12310" i="1"/>
  <c r="G12309" i="1"/>
  <c r="C12309" i="1"/>
  <c r="G12308" i="1"/>
  <c r="C12308" i="1"/>
  <c r="G12307" i="1"/>
  <c r="C12307" i="1"/>
  <c r="G12305" i="1"/>
  <c r="C12305" i="1"/>
  <c r="G12304" i="1"/>
  <c r="C12304" i="1"/>
  <c r="G12303" i="1"/>
  <c r="C12303" i="1"/>
  <c r="G12302" i="1"/>
  <c r="C12302" i="1"/>
  <c r="G12301" i="1"/>
  <c r="C12301" i="1"/>
  <c r="G12300" i="1"/>
  <c r="C12300" i="1"/>
  <c r="G12299" i="1"/>
  <c r="C12299" i="1"/>
  <c r="G12298" i="1"/>
  <c r="C12298" i="1"/>
  <c r="G12297" i="1"/>
  <c r="C12297" i="1"/>
  <c r="G12296" i="1"/>
  <c r="C12296" i="1"/>
  <c r="G12295" i="1"/>
  <c r="C12295" i="1"/>
  <c r="G12294" i="1"/>
  <c r="C12294" i="1"/>
  <c r="G12293" i="1"/>
  <c r="C12293" i="1"/>
  <c r="G12292" i="1"/>
  <c r="C12292" i="1"/>
  <c r="G12291" i="1"/>
  <c r="C12291" i="1"/>
  <c r="G12290" i="1"/>
  <c r="C12290" i="1"/>
  <c r="G12289" i="1"/>
  <c r="C12289" i="1"/>
  <c r="G12288" i="1"/>
  <c r="C12288" i="1"/>
  <c r="G12287" i="1"/>
  <c r="C12287" i="1"/>
  <c r="G12286" i="1"/>
  <c r="C12286" i="1"/>
  <c r="G12285" i="1"/>
  <c r="C12285" i="1"/>
  <c r="G12284" i="1"/>
  <c r="C12284" i="1"/>
  <c r="G12283" i="1"/>
  <c r="C12283" i="1"/>
  <c r="G12282" i="1"/>
  <c r="C12282" i="1"/>
  <c r="G12281" i="1"/>
  <c r="C12281" i="1"/>
  <c r="G12280" i="1"/>
  <c r="C12280" i="1"/>
  <c r="G12279" i="1"/>
  <c r="C12279" i="1"/>
  <c r="G12278" i="1"/>
  <c r="C12278" i="1"/>
  <c r="G12277" i="1"/>
  <c r="C12277" i="1"/>
  <c r="G12276" i="1"/>
  <c r="C12276" i="1"/>
  <c r="G12275" i="1"/>
  <c r="C12275" i="1"/>
  <c r="G12274" i="1"/>
  <c r="C12274" i="1"/>
  <c r="G12273" i="1"/>
  <c r="C12273" i="1"/>
  <c r="G12272" i="1"/>
  <c r="C12272" i="1"/>
  <c r="G12271" i="1"/>
  <c r="C12271" i="1"/>
  <c r="G12270" i="1"/>
  <c r="C12270" i="1"/>
  <c r="G12269" i="1"/>
  <c r="C12269" i="1"/>
  <c r="G12268" i="1"/>
  <c r="C12268" i="1"/>
  <c r="G12267" i="1"/>
  <c r="C12267" i="1"/>
  <c r="G12266" i="1"/>
  <c r="C12266" i="1"/>
  <c r="G12265" i="1"/>
  <c r="C12265" i="1"/>
  <c r="G12264" i="1"/>
  <c r="C12264" i="1"/>
  <c r="G12263" i="1"/>
  <c r="C12263" i="1"/>
  <c r="G12262" i="1"/>
  <c r="C12262" i="1"/>
  <c r="G12261" i="1"/>
  <c r="C12261" i="1"/>
  <c r="G12260" i="1"/>
  <c r="C12260" i="1"/>
  <c r="G12259" i="1"/>
  <c r="C12259" i="1"/>
  <c r="G12258" i="1"/>
  <c r="C12258" i="1"/>
  <c r="G12257" i="1"/>
  <c r="C12257" i="1"/>
  <c r="G12256" i="1"/>
  <c r="C12256" i="1"/>
  <c r="G12255" i="1"/>
  <c r="C12255" i="1"/>
  <c r="G12254" i="1"/>
  <c r="C12254" i="1"/>
  <c r="G12253" i="1"/>
  <c r="C12253" i="1"/>
  <c r="G12252" i="1"/>
  <c r="C12252" i="1"/>
  <c r="G12251" i="1"/>
  <c r="C12251" i="1"/>
  <c r="G12250" i="1"/>
  <c r="C12250" i="1"/>
  <c r="G12249" i="1"/>
  <c r="C12249" i="1"/>
  <c r="G12248" i="1"/>
  <c r="C12248" i="1"/>
  <c r="G12247" i="1"/>
  <c r="C12247" i="1"/>
  <c r="G12246" i="1"/>
  <c r="C12246" i="1"/>
  <c r="G12245" i="1"/>
  <c r="C12245" i="1"/>
  <c r="G12244" i="1"/>
  <c r="C12244" i="1"/>
  <c r="G12243" i="1"/>
  <c r="C12243" i="1"/>
  <c r="G12242" i="1"/>
  <c r="C12242" i="1"/>
  <c r="G12241" i="1"/>
  <c r="C12241" i="1"/>
  <c r="G12240" i="1"/>
  <c r="C12240" i="1"/>
  <c r="G12239" i="1"/>
  <c r="C12239" i="1"/>
  <c r="G12238" i="1"/>
  <c r="C12238" i="1"/>
  <c r="G12237" i="1"/>
  <c r="C12237" i="1"/>
  <c r="G12236" i="1"/>
  <c r="C12236" i="1"/>
  <c r="G12235" i="1"/>
  <c r="C12235" i="1"/>
  <c r="G12234" i="1"/>
  <c r="C12234" i="1"/>
  <c r="G12233" i="1"/>
  <c r="C12233" i="1"/>
  <c r="G12232" i="1"/>
  <c r="C12232" i="1"/>
  <c r="G12231" i="1"/>
  <c r="C12231" i="1"/>
  <c r="G12230" i="1"/>
  <c r="C12230" i="1"/>
  <c r="G12229" i="1"/>
  <c r="C12229" i="1"/>
  <c r="G12228" i="1"/>
  <c r="C12228" i="1"/>
  <c r="G12227" i="1"/>
  <c r="C12227" i="1"/>
  <c r="G12226" i="1"/>
  <c r="C12226" i="1"/>
  <c r="G12225" i="1"/>
  <c r="C12225" i="1"/>
  <c r="G12224" i="1"/>
  <c r="C12224" i="1"/>
  <c r="G12223" i="1"/>
  <c r="C12223" i="1"/>
  <c r="G12222" i="1"/>
  <c r="C12222" i="1"/>
  <c r="G12221" i="1"/>
  <c r="C12221" i="1"/>
  <c r="G12220" i="1"/>
  <c r="C12220" i="1"/>
  <c r="G12219" i="1"/>
  <c r="C12219" i="1"/>
  <c r="G12218" i="1"/>
  <c r="C12218" i="1"/>
  <c r="G12217" i="1"/>
  <c r="C12217" i="1"/>
  <c r="G12216" i="1"/>
  <c r="C12216" i="1"/>
  <c r="G12215" i="1"/>
  <c r="C12215" i="1"/>
  <c r="G12214" i="1"/>
  <c r="C12214" i="1"/>
  <c r="G12213" i="1"/>
  <c r="C12213" i="1"/>
  <c r="G12212" i="1"/>
  <c r="C12212" i="1"/>
  <c r="G12211" i="1"/>
  <c r="C12211" i="1"/>
  <c r="G12210" i="1"/>
  <c r="C12210" i="1"/>
  <c r="G12209" i="1"/>
  <c r="C12209" i="1"/>
  <c r="G12208" i="1"/>
  <c r="C12208" i="1"/>
  <c r="G12207" i="1"/>
  <c r="C12207" i="1"/>
  <c r="G12206" i="1"/>
  <c r="C12206" i="1"/>
  <c r="G12205" i="1"/>
  <c r="C12205" i="1"/>
  <c r="G12204" i="1"/>
  <c r="C12204" i="1"/>
  <c r="G12202" i="1"/>
  <c r="C12202" i="1"/>
  <c r="G12201" i="1"/>
  <c r="C12201" i="1"/>
  <c r="G12200" i="1"/>
  <c r="C12200" i="1"/>
  <c r="G12199" i="1"/>
  <c r="C12199" i="1"/>
  <c r="G12198" i="1"/>
  <c r="C12198" i="1"/>
  <c r="G12197" i="1"/>
  <c r="C12197" i="1"/>
  <c r="G12196" i="1"/>
  <c r="C12196" i="1"/>
  <c r="G12195" i="1"/>
  <c r="C12195" i="1"/>
  <c r="G12194" i="1"/>
  <c r="C12194" i="1"/>
  <c r="G12193" i="1"/>
  <c r="C12193" i="1"/>
  <c r="G12192" i="1"/>
  <c r="C12192" i="1"/>
  <c r="G12191" i="1"/>
  <c r="C12191" i="1"/>
  <c r="G12190" i="1"/>
  <c r="C12190" i="1"/>
  <c r="G12189" i="1"/>
  <c r="C12189" i="1"/>
  <c r="G12188" i="1"/>
  <c r="C12188" i="1"/>
  <c r="G12186" i="1"/>
  <c r="C12186" i="1"/>
  <c r="G12185" i="1"/>
  <c r="C12185" i="1"/>
  <c r="G12184" i="1"/>
  <c r="C12184" i="1"/>
  <c r="G12183" i="1"/>
  <c r="C12183" i="1"/>
  <c r="G12182" i="1"/>
  <c r="C12182" i="1"/>
  <c r="G12181" i="1"/>
  <c r="C12181" i="1"/>
  <c r="G12180" i="1"/>
  <c r="C12180" i="1"/>
  <c r="G12178" i="1"/>
  <c r="C12178" i="1"/>
  <c r="G12177" i="1"/>
  <c r="C12177" i="1"/>
  <c r="G12176" i="1"/>
  <c r="C12176" i="1"/>
  <c r="G12175" i="1"/>
  <c r="C12175" i="1"/>
  <c r="G12174" i="1"/>
  <c r="C12174" i="1"/>
  <c r="G12173" i="1"/>
  <c r="C12173" i="1"/>
  <c r="G12172" i="1"/>
  <c r="C12172" i="1"/>
  <c r="G12171" i="1"/>
  <c r="C12171" i="1"/>
  <c r="G12170" i="1"/>
  <c r="C12170" i="1"/>
  <c r="G12169" i="1"/>
  <c r="C12169" i="1"/>
  <c r="G12168" i="1"/>
  <c r="C12168" i="1"/>
  <c r="G12167" i="1"/>
  <c r="C12167" i="1"/>
  <c r="G12166" i="1"/>
  <c r="C12166" i="1"/>
  <c r="G12165" i="1"/>
  <c r="C12165" i="1"/>
  <c r="G12164" i="1"/>
  <c r="C12164" i="1"/>
  <c r="G12163" i="1"/>
  <c r="C12163" i="1"/>
  <c r="G12162" i="1"/>
  <c r="C12162" i="1"/>
  <c r="G12161" i="1"/>
  <c r="C12161" i="1"/>
  <c r="G12160" i="1"/>
  <c r="C12160" i="1"/>
  <c r="G12159" i="1"/>
  <c r="C12159" i="1"/>
  <c r="G12158" i="1"/>
  <c r="C12158" i="1"/>
  <c r="G12157" i="1"/>
  <c r="C12157" i="1"/>
  <c r="G12156" i="1"/>
  <c r="C12156" i="1"/>
  <c r="G12155" i="1"/>
  <c r="C12155" i="1"/>
  <c r="G12154" i="1"/>
  <c r="C12154" i="1"/>
  <c r="G12153" i="1"/>
  <c r="C12153" i="1"/>
  <c r="G12152" i="1"/>
  <c r="C12152" i="1"/>
  <c r="G12151" i="1"/>
  <c r="C12151" i="1"/>
  <c r="G12150" i="1"/>
  <c r="C12150" i="1"/>
  <c r="G12149" i="1"/>
  <c r="C12149" i="1"/>
  <c r="G12148" i="1"/>
  <c r="C12148" i="1"/>
  <c r="G12147" i="1"/>
  <c r="C12147" i="1"/>
  <c r="G12146" i="1"/>
  <c r="C12146" i="1"/>
  <c r="G12145" i="1"/>
  <c r="C12145" i="1"/>
  <c r="G12143" i="1"/>
  <c r="C12143" i="1"/>
  <c r="G12142" i="1"/>
  <c r="C12142" i="1"/>
  <c r="G12141" i="1"/>
  <c r="C12141" i="1"/>
  <c r="G12140" i="1"/>
  <c r="C12140" i="1"/>
  <c r="G12139" i="1"/>
  <c r="C12139" i="1"/>
  <c r="G12138" i="1"/>
  <c r="C12138" i="1"/>
  <c r="G12137" i="1"/>
  <c r="C12137" i="1"/>
  <c r="G12136" i="1"/>
  <c r="C12136" i="1"/>
  <c r="G12135" i="1"/>
  <c r="C12135" i="1"/>
  <c r="G12134" i="1"/>
  <c r="C12134" i="1"/>
  <c r="G12133" i="1"/>
  <c r="C12133" i="1"/>
  <c r="G12132" i="1"/>
  <c r="C12132" i="1"/>
  <c r="G12131" i="1"/>
  <c r="C12131" i="1"/>
  <c r="G12130" i="1"/>
  <c r="C12130" i="1"/>
  <c r="G12129" i="1"/>
  <c r="C12129" i="1"/>
  <c r="G12128" i="1"/>
  <c r="C12128" i="1"/>
  <c r="G12127" i="1"/>
  <c r="C12127" i="1"/>
  <c r="G12126" i="1"/>
  <c r="C12126" i="1"/>
  <c r="G12125" i="1"/>
  <c r="C12125" i="1"/>
  <c r="G12124" i="1"/>
  <c r="C12124" i="1"/>
  <c r="G12123" i="1"/>
  <c r="C12123" i="1"/>
  <c r="G12122" i="1"/>
  <c r="C12122" i="1"/>
  <c r="G12121" i="1"/>
  <c r="C12121" i="1"/>
  <c r="G12120" i="1"/>
  <c r="C12120" i="1"/>
  <c r="G12119" i="1"/>
  <c r="C12119" i="1"/>
  <c r="G12118" i="1"/>
  <c r="C12118" i="1"/>
  <c r="G12117" i="1"/>
  <c r="C12117" i="1"/>
  <c r="G12116" i="1"/>
  <c r="C12116" i="1"/>
  <c r="G12115" i="1"/>
  <c r="C12115" i="1"/>
  <c r="G12114" i="1"/>
  <c r="C12114" i="1"/>
  <c r="G12113" i="1"/>
  <c r="C12113" i="1"/>
  <c r="G12112" i="1"/>
  <c r="C12112" i="1"/>
  <c r="G12111" i="1"/>
  <c r="C12111" i="1"/>
  <c r="G12110" i="1"/>
  <c r="C12110" i="1"/>
  <c r="G12109" i="1"/>
  <c r="C12109" i="1"/>
  <c r="G12108" i="1"/>
  <c r="C12108" i="1"/>
  <c r="G12107" i="1"/>
  <c r="C12107" i="1"/>
  <c r="G12106" i="1"/>
  <c r="C12106" i="1"/>
  <c r="G12105" i="1"/>
  <c r="C12105" i="1"/>
  <c r="G12104" i="1"/>
  <c r="C12104" i="1"/>
  <c r="G12103" i="1"/>
  <c r="C12103" i="1"/>
  <c r="G12102" i="1"/>
  <c r="C12102" i="1"/>
  <c r="G12101" i="1"/>
  <c r="C12101" i="1"/>
  <c r="G12100" i="1"/>
  <c r="C12100" i="1"/>
  <c r="G12099" i="1"/>
  <c r="C12099" i="1"/>
  <c r="G12098" i="1"/>
  <c r="C12098" i="1"/>
  <c r="G12097" i="1"/>
  <c r="C12097" i="1"/>
  <c r="G12095" i="1"/>
  <c r="C12095" i="1"/>
  <c r="G12094" i="1"/>
  <c r="C12094" i="1"/>
  <c r="G12093" i="1"/>
  <c r="C12093" i="1"/>
  <c r="G12092" i="1"/>
  <c r="C12092" i="1"/>
  <c r="G12091" i="1"/>
  <c r="C12091" i="1"/>
  <c r="G12090" i="1"/>
  <c r="C12090" i="1"/>
  <c r="G12089" i="1"/>
  <c r="C12089" i="1"/>
  <c r="G12088" i="1"/>
  <c r="C12088" i="1"/>
  <c r="G12087" i="1"/>
  <c r="C12087" i="1"/>
  <c r="G12086" i="1"/>
  <c r="C12086" i="1"/>
  <c r="G12085" i="1"/>
  <c r="C12085" i="1"/>
  <c r="G12084" i="1"/>
  <c r="C12084" i="1"/>
  <c r="G12083" i="1"/>
  <c r="C12083" i="1"/>
  <c r="G12082" i="1"/>
  <c r="C12082" i="1"/>
  <c r="G12081" i="1"/>
  <c r="C12081" i="1"/>
  <c r="G12080" i="1"/>
  <c r="C12080" i="1"/>
  <c r="G12079" i="1"/>
  <c r="C12079" i="1"/>
  <c r="G12078" i="1"/>
  <c r="C12078" i="1"/>
  <c r="G12077" i="1"/>
  <c r="C12077" i="1"/>
  <c r="G12076" i="1"/>
  <c r="C12076" i="1"/>
  <c r="G12075" i="1"/>
  <c r="C12075" i="1"/>
  <c r="G12074" i="1"/>
  <c r="C12074" i="1"/>
  <c r="G12073" i="1"/>
  <c r="C12073" i="1"/>
  <c r="G12072" i="1"/>
  <c r="C12072" i="1"/>
  <c r="G12071" i="1"/>
  <c r="C12071" i="1"/>
  <c r="G12070" i="1"/>
  <c r="C12070" i="1"/>
  <c r="G12069" i="1"/>
  <c r="C12069" i="1"/>
  <c r="G12068" i="1"/>
  <c r="C12068" i="1"/>
  <c r="G12067" i="1"/>
  <c r="C12067" i="1"/>
  <c r="G12066" i="1"/>
  <c r="C12066" i="1"/>
  <c r="G12065" i="1"/>
  <c r="C12065" i="1"/>
  <c r="G12064" i="1"/>
  <c r="C12064" i="1"/>
  <c r="G12063" i="1"/>
  <c r="C12063" i="1"/>
  <c r="G12062" i="1"/>
  <c r="C12062" i="1"/>
  <c r="G12061" i="1"/>
  <c r="C12061" i="1"/>
  <c r="G12060" i="1"/>
  <c r="C12060" i="1"/>
  <c r="G12059" i="1"/>
  <c r="C12059" i="1"/>
  <c r="G12058" i="1"/>
  <c r="C12058" i="1"/>
  <c r="G12057" i="1"/>
  <c r="C12057" i="1"/>
  <c r="G12056" i="1"/>
  <c r="C12056" i="1"/>
  <c r="G12055" i="1"/>
  <c r="C12055" i="1"/>
  <c r="G12054" i="1"/>
  <c r="C12054" i="1"/>
  <c r="G12053" i="1"/>
  <c r="C12053" i="1"/>
  <c r="G12052" i="1"/>
  <c r="C12052" i="1"/>
  <c r="G12051" i="1"/>
  <c r="C12051" i="1"/>
  <c r="G12050" i="1"/>
  <c r="C12050" i="1"/>
  <c r="G12049" i="1"/>
  <c r="C12049" i="1"/>
  <c r="G12048" i="1"/>
  <c r="C12048" i="1"/>
  <c r="G12046" i="1"/>
  <c r="C12046" i="1"/>
  <c r="G12045" i="1"/>
  <c r="C12045" i="1"/>
  <c r="G12044" i="1"/>
  <c r="C12044" i="1"/>
  <c r="G12043" i="1"/>
  <c r="C12043" i="1"/>
  <c r="G12042" i="1"/>
  <c r="C12042" i="1"/>
  <c r="G12041" i="1"/>
  <c r="C12041" i="1"/>
  <c r="G12040" i="1"/>
  <c r="C12040" i="1"/>
  <c r="G12039" i="1"/>
  <c r="C12039" i="1"/>
  <c r="G12038" i="1"/>
  <c r="C12038" i="1"/>
  <c r="G12037" i="1"/>
  <c r="C12037" i="1"/>
  <c r="G12036" i="1"/>
  <c r="C12036" i="1"/>
  <c r="G12035" i="1"/>
  <c r="C12035" i="1"/>
  <c r="G12034" i="1"/>
  <c r="C12034" i="1"/>
  <c r="G12033" i="1"/>
  <c r="C12033" i="1"/>
  <c r="G12032" i="1"/>
  <c r="C12032" i="1"/>
  <c r="G12031" i="1"/>
  <c r="C12031" i="1"/>
  <c r="G12030" i="1"/>
  <c r="C12030" i="1"/>
  <c r="G12029" i="1"/>
  <c r="C12029" i="1"/>
  <c r="G12028" i="1"/>
  <c r="C12028" i="1"/>
  <c r="G12027" i="1"/>
  <c r="C12027" i="1"/>
  <c r="G12026" i="1"/>
  <c r="C12026" i="1"/>
  <c r="G12025" i="1"/>
  <c r="C12025" i="1"/>
  <c r="G12024" i="1"/>
  <c r="C12024" i="1"/>
  <c r="G12023" i="1"/>
  <c r="C12023" i="1"/>
  <c r="G12022" i="1"/>
  <c r="C12022" i="1"/>
  <c r="G12019" i="1"/>
  <c r="C12019" i="1"/>
  <c r="G12018" i="1"/>
  <c r="C12018" i="1"/>
  <c r="G12017" i="1"/>
  <c r="C12017" i="1"/>
  <c r="G12016" i="1"/>
  <c r="C12016" i="1"/>
  <c r="G12015" i="1"/>
  <c r="C12015" i="1"/>
  <c r="G12014" i="1"/>
  <c r="C12014" i="1"/>
  <c r="G12013" i="1"/>
  <c r="C12013" i="1"/>
  <c r="G12012" i="1"/>
  <c r="C12012" i="1"/>
  <c r="G12011" i="1"/>
  <c r="C12011" i="1"/>
  <c r="G12010" i="1"/>
  <c r="C12010" i="1"/>
  <c r="G12009" i="1"/>
  <c r="C12009" i="1"/>
  <c r="G12008" i="1"/>
  <c r="C12008" i="1"/>
  <c r="G12007" i="1"/>
  <c r="C12007" i="1"/>
  <c r="G12006" i="1"/>
  <c r="C12006" i="1"/>
  <c r="G12005" i="1"/>
  <c r="C12005" i="1"/>
  <c r="G12004" i="1"/>
  <c r="C12004" i="1"/>
  <c r="G12003" i="1"/>
  <c r="C12003" i="1"/>
  <c r="G12002" i="1"/>
  <c r="C12002" i="1"/>
  <c r="G12001" i="1"/>
  <c r="C12001" i="1"/>
  <c r="G12000" i="1"/>
  <c r="C12000" i="1"/>
  <c r="G11999" i="1"/>
  <c r="C11999" i="1"/>
  <c r="G11998" i="1"/>
  <c r="C11998" i="1"/>
  <c r="G11997" i="1"/>
  <c r="C11997" i="1"/>
  <c r="G11996" i="1"/>
  <c r="C11996" i="1"/>
  <c r="G11995" i="1"/>
  <c r="C11995" i="1"/>
  <c r="G11994" i="1"/>
  <c r="C11994" i="1"/>
  <c r="G11993" i="1"/>
  <c r="C11993" i="1"/>
  <c r="G11992" i="1"/>
  <c r="C11992" i="1"/>
  <c r="G11991" i="1"/>
  <c r="C11991" i="1"/>
  <c r="G11990" i="1"/>
  <c r="C11990" i="1"/>
  <c r="G11989" i="1"/>
  <c r="C11989" i="1"/>
  <c r="G11988" i="1"/>
  <c r="C11988" i="1"/>
  <c r="G11987" i="1"/>
  <c r="C11987" i="1"/>
  <c r="G11986" i="1"/>
  <c r="C11986" i="1"/>
  <c r="G11985" i="1"/>
  <c r="C11985" i="1"/>
  <c r="G11984" i="1"/>
  <c r="C11984" i="1"/>
  <c r="G11983" i="1"/>
  <c r="C11983" i="1"/>
  <c r="G11982" i="1"/>
  <c r="C11982" i="1"/>
  <c r="G11981" i="1"/>
  <c r="C11981" i="1"/>
  <c r="G11980" i="1"/>
  <c r="C11980" i="1"/>
  <c r="G11979" i="1"/>
  <c r="C11979" i="1"/>
  <c r="G11978" i="1"/>
  <c r="C11978" i="1"/>
  <c r="G11977" i="1"/>
  <c r="C11977" i="1"/>
  <c r="G11976" i="1"/>
  <c r="C11976" i="1"/>
  <c r="G11975" i="1"/>
  <c r="C11975" i="1"/>
  <c r="G11974" i="1"/>
  <c r="C11974" i="1"/>
  <c r="G11973" i="1"/>
  <c r="C11973" i="1"/>
  <c r="G11972" i="1"/>
  <c r="C11972" i="1"/>
  <c r="G11971" i="1"/>
  <c r="C11971" i="1"/>
  <c r="G11969" i="1"/>
  <c r="C11969" i="1"/>
  <c r="G11968" i="1"/>
  <c r="C11968" i="1"/>
  <c r="G11967" i="1"/>
  <c r="C11967" i="1"/>
  <c r="G11966" i="1"/>
  <c r="C11966" i="1"/>
  <c r="G11965" i="1"/>
  <c r="C11965" i="1"/>
  <c r="G11964" i="1"/>
  <c r="C11964" i="1"/>
  <c r="G11963" i="1"/>
  <c r="C11963" i="1"/>
  <c r="G11962" i="1"/>
  <c r="C11962" i="1"/>
  <c r="G11961" i="1"/>
  <c r="C11961" i="1"/>
  <c r="G11960" i="1"/>
  <c r="C11960" i="1"/>
  <c r="G11959" i="1"/>
  <c r="C11959" i="1"/>
  <c r="G11958" i="1"/>
  <c r="C11958" i="1"/>
  <c r="G11957" i="1"/>
  <c r="C11957" i="1"/>
  <c r="G11956" i="1"/>
  <c r="C11956" i="1"/>
  <c r="G11955" i="1"/>
  <c r="C11955" i="1"/>
  <c r="G11954" i="1"/>
  <c r="C11954" i="1"/>
  <c r="G11953" i="1"/>
  <c r="C11953" i="1"/>
  <c r="G11952" i="1"/>
  <c r="C11952" i="1"/>
  <c r="G11951" i="1"/>
  <c r="C11951" i="1"/>
  <c r="G11950" i="1"/>
  <c r="C11950" i="1"/>
  <c r="G11949" i="1"/>
  <c r="C11949" i="1"/>
  <c r="G11948" i="1"/>
  <c r="C11948" i="1"/>
  <c r="G11947" i="1"/>
  <c r="C11947" i="1"/>
  <c r="G11946" i="1"/>
  <c r="C11946" i="1"/>
  <c r="G11945" i="1"/>
  <c r="C11945" i="1"/>
  <c r="G11944" i="1"/>
  <c r="C11944" i="1"/>
  <c r="G11943" i="1"/>
  <c r="C11943" i="1"/>
  <c r="G11942" i="1"/>
  <c r="C11942" i="1"/>
  <c r="G11941" i="1"/>
  <c r="C11941" i="1"/>
  <c r="G11940" i="1"/>
  <c r="C11940" i="1"/>
  <c r="G11939" i="1"/>
  <c r="C11939" i="1"/>
  <c r="G11938" i="1"/>
  <c r="C11938" i="1"/>
  <c r="G11937" i="1"/>
  <c r="C11937" i="1"/>
  <c r="G11936" i="1"/>
  <c r="C11936" i="1"/>
  <c r="G11935" i="1"/>
  <c r="C11935" i="1"/>
  <c r="G11934" i="1"/>
  <c r="C11934" i="1"/>
  <c r="G11933" i="1"/>
  <c r="C11933" i="1"/>
  <c r="G11932" i="1"/>
  <c r="C11932" i="1"/>
  <c r="G11931" i="1"/>
  <c r="C11931" i="1"/>
  <c r="G11930" i="1"/>
  <c r="C11930" i="1"/>
  <c r="G11929" i="1"/>
  <c r="C11929" i="1"/>
  <c r="G11928" i="1"/>
  <c r="C11928" i="1"/>
  <c r="G11927" i="1"/>
  <c r="C11927" i="1"/>
  <c r="G11926" i="1"/>
  <c r="C11926" i="1"/>
  <c r="G11925" i="1"/>
  <c r="C11925" i="1"/>
  <c r="G11924" i="1"/>
  <c r="C11924" i="1"/>
  <c r="G11923" i="1"/>
  <c r="C11923" i="1"/>
  <c r="G11922" i="1"/>
  <c r="C11922" i="1"/>
  <c r="G11919" i="1"/>
  <c r="C11919" i="1"/>
  <c r="G11918" i="1"/>
  <c r="C11918" i="1"/>
  <c r="G11917" i="1"/>
  <c r="C11917" i="1"/>
  <c r="G11916" i="1"/>
  <c r="C11916" i="1"/>
  <c r="G11915" i="1"/>
  <c r="C11915" i="1"/>
  <c r="G11914" i="1"/>
  <c r="C11914" i="1"/>
  <c r="G11913" i="1"/>
  <c r="C11913" i="1"/>
  <c r="G11912" i="1"/>
  <c r="C11912" i="1"/>
  <c r="G11911" i="1"/>
  <c r="C11911" i="1"/>
  <c r="G11910" i="1"/>
  <c r="C11910" i="1"/>
  <c r="G11909" i="1"/>
  <c r="C11909" i="1"/>
  <c r="G11908" i="1"/>
  <c r="C11908" i="1"/>
  <c r="G11907" i="1"/>
  <c r="C11907" i="1"/>
  <c r="G11906" i="1"/>
  <c r="C11906" i="1"/>
  <c r="G11905" i="1"/>
  <c r="C11905" i="1"/>
  <c r="G11904" i="1"/>
  <c r="C11904" i="1"/>
  <c r="G11903" i="1"/>
  <c r="C11903" i="1"/>
  <c r="G11902" i="1"/>
  <c r="C11902" i="1"/>
  <c r="G11901" i="1"/>
  <c r="C11901" i="1"/>
  <c r="G11900" i="1"/>
  <c r="C11900" i="1"/>
  <c r="G11899" i="1"/>
  <c r="C11899" i="1"/>
  <c r="G11898" i="1"/>
  <c r="C11898" i="1"/>
  <c r="G11897" i="1"/>
  <c r="C11897" i="1"/>
  <c r="G11896" i="1"/>
  <c r="C11896" i="1"/>
  <c r="G11895" i="1"/>
  <c r="C11895" i="1"/>
  <c r="G11894" i="1"/>
  <c r="C11894" i="1"/>
  <c r="G11893" i="1"/>
  <c r="C11893" i="1"/>
  <c r="G11892" i="1"/>
  <c r="C11892" i="1"/>
  <c r="G11891" i="1"/>
  <c r="C11891" i="1"/>
  <c r="G11890" i="1"/>
  <c r="C11890" i="1"/>
  <c r="G11889" i="1"/>
  <c r="C11889" i="1"/>
  <c r="G11888" i="1"/>
  <c r="C11888" i="1"/>
  <c r="G11887" i="1"/>
  <c r="C11887" i="1"/>
  <c r="G11885" i="1"/>
  <c r="C11885" i="1"/>
  <c r="G11884" i="1"/>
  <c r="C11884" i="1"/>
  <c r="G11883" i="1"/>
  <c r="C11883" i="1"/>
  <c r="G11882" i="1"/>
  <c r="C11882" i="1"/>
  <c r="G11881" i="1"/>
  <c r="C11881" i="1"/>
  <c r="G11880" i="1"/>
  <c r="C11880" i="1"/>
  <c r="G11879" i="1"/>
  <c r="C11879" i="1"/>
  <c r="G11878" i="1"/>
  <c r="C11878" i="1"/>
  <c r="G11877" i="1"/>
  <c r="C11877" i="1"/>
  <c r="G11876" i="1"/>
  <c r="C11876" i="1"/>
  <c r="G11875" i="1"/>
  <c r="C11875" i="1"/>
  <c r="G11874" i="1"/>
  <c r="C11874" i="1"/>
  <c r="G11873" i="1"/>
  <c r="C11873" i="1"/>
  <c r="G11872" i="1"/>
  <c r="C11872" i="1"/>
  <c r="G11871" i="1"/>
  <c r="C11871" i="1"/>
  <c r="G11870" i="1"/>
  <c r="C11870" i="1"/>
  <c r="G11869" i="1"/>
  <c r="C11869" i="1"/>
  <c r="G11868" i="1"/>
  <c r="C11868" i="1"/>
  <c r="G11867" i="1"/>
  <c r="C11867" i="1"/>
  <c r="G11866" i="1"/>
  <c r="C11866" i="1"/>
  <c r="G11865" i="1"/>
  <c r="C11865" i="1"/>
  <c r="G11864" i="1"/>
  <c r="C11864" i="1"/>
  <c r="G11863" i="1"/>
  <c r="C11863" i="1"/>
  <c r="G11862" i="1"/>
  <c r="C11862" i="1"/>
  <c r="G11861" i="1"/>
  <c r="C11861" i="1"/>
  <c r="G11860" i="1"/>
  <c r="C11860" i="1"/>
  <c r="G11859" i="1"/>
  <c r="C11859" i="1"/>
  <c r="G11858" i="1"/>
  <c r="C11858" i="1"/>
  <c r="G11857" i="1"/>
  <c r="C11857" i="1"/>
  <c r="G11856" i="1"/>
  <c r="C11856" i="1"/>
  <c r="G11855" i="1"/>
  <c r="C11855" i="1"/>
  <c r="G11854" i="1"/>
  <c r="C11854" i="1"/>
  <c r="G11853" i="1"/>
  <c r="C11853" i="1"/>
  <c r="G11852" i="1"/>
  <c r="C11852" i="1"/>
  <c r="G11851" i="1"/>
  <c r="C11851" i="1"/>
  <c r="G11850" i="1"/>
  <c r="C11850" i="1"/>
  <c r="G11849" i="1"/>
  <c r="C11849" i="1"/>
  <c r="G11846" i="1"/>
  <c r="C11846" i="1"/>
  <c r="G11845" i="1"/>
  <c r="C11845" i="1"/>
  <c r="G11844" i="1"/>
  <c r="C11844" i="1"/>
  <c r="G11843" i="1"/>
  <c r="C11843" i="1"/>
  <c r="G11842" i="1"/>
  <c r="C11842" i="1"/>
  <c r="G11841" i="1"/>
  <c r="C11841" i="1"/>
  <c r="G11840" i="1"/>
  <c r="C11840" i="1"/>
  <c r="G11839" i="1"/>
  <c r="C11839" i="1"/>
  <c r="G11838" i="1"/>
  <c r="C11838" i="1"/>
  <c r="G11837" i="1"/>
  <c r="C11837" i="1"/>
  <c r="G11835" i="1"/>
  <c r="C11835" i="1"/>
  <c r="G11834" i="1"/>
  <c r="C11834" i="1"/>
  <c r="G11833" i="1"/>
  <c r="C11833" i="1"/>
  <c r="G11832" i="1"/>
  <c r="C11832" i="1"/>
  <c r="G11831" i="1"/>
  <c r="C11831" i="1"/>
  <c r="G11830" i="1"/>
  <c r="C11830" i="1"/>
  <c r="G11829" i="1"/>
  <c r="C11829" i="1"/>
  <c r="G11828" i="1"/>
  <c r="C11828" i="1"/>
  <c r="G11827" i="1"/>
  <c r="C11827" i="1"/>
  <c r="G11826" i="1"/>
  <c r="C11826" i="1"/>
  <c r="G11825" i="1"/>
  <c r="C11825" i="1"/>
  <c r="G11824" i="1"/>
  <c r="C11824" i="1"/>
  <c r="G11823" i="1"/>
  <c r="C11823" i="1"/>
  <c r="G11822" i="1"/>
  <c r="C11822" i="1"/>
  <c r="G11821" i="1"/>
  <c r="C11821" i="1"/>
  <c r="G11820" i="1"/>
  <c r="C11820" i="1"/>
  <c r="G11818" i="1"/>
  <c r="C11818" i="1"/>
  <c r="G11817" i="1"/>
  <c r="C11817" i="1"/>
  <c r="G11816" i="1"/>
  <c r="C11816" i="1"/>
  <c r="G11815" i="1"/>
  <c r="C11815" i="1"/>
  <c r="G11814" i="1"/>
  <c r="C11814" i="1"/>
  <c r="G11813" i="1"/>
  <c r="C11813" i="1"/>
  <c r="G11811" i="1"/>
  <c r="C11811" i="1"/>
  <c r="G11810" i="1"/>
  <c r="C11810" i="1"/>
  <c r="G11809" i="1"/>
  <c r="C11809" i="1"/>
  <c r="G11808" i="1"/>
  <c r="C11808" i="1"/>
  <c r="G11807" i="1"/>
  <c r="C11807" i="1"/>
  <c r="G11806" i="1"/>
  <c r="C11806" i="1"/>
  <c r="G11805" i="1"/>
  <c r="C11805" i="1"/>
  <c r="G11804" i="1"/>
  <c r="C11804" i="1"/>
  <c r="G11803" i="1"/>
  <c r="C11803" i="1"/>
  <c r="G11802" i="1"/>
  <c r="C11802" i="1"/>
  <c r="G11801" i="1"/>
  <c r="C11801" i="1"/>
  <c r="G11800" i="1"/>
  <c r="C11800" i="1"/>
  <c r="G11799" i="1"/>
  <c r="C11799" i="1"/>
  <c r="G11798" i="1"/>
  <c r="C11798" i="1"/>
  <c r="G11797" i="1"/>
  <c r="C11797" i="1"/>
  <c r="G11796" i="1"/>
  <c r="C11796" i="1"/>
  <c r="G11795" i="1"/>
  <c r="C11795" i="1"/>
  <c r="G11794" i="1"/>
  <c r="C11794" i="1"/>
  <c r="G11793" i="1"/>
  <c r="C11793" i="1"/>
  <c r="G11792" i="1"/>
  <c r="C11792" i="1"/>
  <c r="G11791" i="1"/>
  <c r="C11791" i="1"/>
  <c r="G11790" i="1"/>
  <c r="C11790" i="1"/>
  <c r="G11789" i="1"/>
  <c r="C11789" i="1"/>
  <c r="G11788" i="1"/>
  <c r="C11788" i="1"/>
  <c r="G11787" i="1"/>
  <c r="C11787" i="1"/>
  <c r="G11786" i="1"/>
  <c r="C11786" i="1"/>
  <c r="G11785" i="1"/>
  <c r="C11785" i="1"/>
  <c r="G11784" i="1"/>
  <c r="C11784" i="1"/>
  <c r="G11783" i="1"/>
  <c r="C11783" i="1"/>
  <c r="G11782" i="1"/>
  <c r="C11782" i="1"/>
  <c r="G11781" i="1"/>
  <c r="C11781" i="1"/>
  <c r="G11780" i="1"/>
  <c r="C11780" i="1"/>
  <c r="G11779" i="1"/>
  <c r="C11779" i="1"/>
  <c r="G11778" i="1"/>
  <c r="C11778" i="1"/>
  <c r="G11777" i="1"/>
  <c r="C11777" i="1"/>
  <c r="G11776" i="1"/>
  <c r="C11776" i="1"/>
  <c r="G11775" i="1"/>
  <c r="C11775" i="1"/>
  <c r="G11774" i="1"/>
  <c r="C11774" i="1"/>
  <c r="G11773" i="1"/>
  <c r="C11773" i="1"/>
  <c r="G11772" i="1"/>
  <c r="C11772" i="1"/>
  <c r="G11768" i="1"/>
  <c r="C11768" i="1"/>
  <c r="G11767" i="1"/>
  <c r="C11767" i="1"/>
  <c r="G11766" i="1"/>
  <c r="C11766" i="1"/>
  <c r="G11765" i="1"/>
  <c r="C11765" i="1"/>
  <c r="G11764" i="1"/>
  <c r="C11764" i="1"/>
  <c r="G11763" i="1"/>
  <c r="C11763" i="1"/>
  <c r="G11762" i="1"/>
  <c r="C11762" i="1"/>
  <c r="G11761" i="1"/>
  <c r="C11761" i="1"/>
  <c r="G11760" i="1"/>
  <c r="C11760" i="1"/>
  <c r="G11759" i="1"/>
  <c r="C11759" i="1"/>
  <c r="G11758" i="1"/>
  <c r="C11758" i="1"/>
  <c r="G11757" i="1"/>
  <c r="C11757" i="1"/>
  <c r="G11756" i="1"/>
  <c r="C11756" i="1"/>
  <c r="G11755" i="1"/>
  <c r="C11755" i="1"/>
  <c r="G11754" i="1"/>
  <c r="C11754" i="1"/>
  <c r="G11753" i="1"/>
  <c r="C11753" i="1"/>
  <c r="G11752" i="1"/>
  <c r="C11752" i="1"/>
  <c r="G11751" i="1"/>
  <c r="C11751" i="1"/>
  <c r="G11750" i="1"/>
  <c r="C11750" i="1"/>
  <c r="G11749" i="1"/>
  <c r="C11749" i="1"/>
  <c r="G11748" i="1"/>
  <c r="C11748" i="1"/>
  <c r="G11746" i="1"/>
  <c r="C11746" i="1"/>
  <c r="G11745" i="1"/>
  <c r="C11745" i="1"/>
  <c r="G11744" i="1"/>
  <c r="C11744" i="1"/>
  <c r="G11743" i="1"/>
  <c r="C11743" i="1"/>
  <c r="G11742" i="1"/>
  <c r="C11742" i="1"/>
  <c r="G11741" i="1"/>
  <c r="C11741" i="1"/>
  <c r="G11740" i="1"/>
  <c r="C11740" i="1"/>
  <c r="G11739" i="1"/>
  <c r="C11739" i="1"/>
  <c r="G11738" i="1"/>
  <c r="C11738" i="1"/>
  <c r="G11737" i="1"/>
  <c r="C11737" i="1"/>
  <c r="G11736" i="1"/>
  <c r="C11736" i="1"/>
  <c r="G11735" i="1"/>
  <c r="C11735" i="1"/>
  <c r="G11734" i="1"/>
  <c r="C11734" i="1"/>
  <c r="G11733" i="1"/>
  <c r="C11733" i="1"/>
  <c r="G11732" i="1"/>
  <c r="C11732" i="1"/>
  <c r="G11731" i="1"/>
  <c r="C11731" i="1"/>
  <c r="G11730" i="1"/>
  <c r="C11730" i="1"/>
  <c r="G11729" i="1"/>
  <c r="C11729" i="1"/>
  <c r="G11728" i="1"/>
  <c r="C11728" i="1"/>
  <c r="G11727" i="1"/>
  <c r="C11727" i="1"/>
  <c r="G11726" i="1"/>
  <c r="C11726" i="1"/>
  <c r="G11725" i="1"/>
  <c r="C11725" i="1"/>
  <c r="G11724" i="1"/>
  <c r="C11724" i="1"/>
  <c r="G11723" i="1"/>
  <c r="C11723" i="1"/>
  <c r="G11722" i="1"/>
  <c r="C11722" i="1"/>
  <c r="G11721" i="1"/>
  <c r="C11721" i="1"/>
  <c r="G11720" i="1"/>
  <c r="C11720" i="1"/>
  <c r="G11719" i="1"/>
  <c r="C11719" i="1"/>
  <c r="G11718" i="1"/>
  <c r="C11718" i="1"/>
  <c r="G11717" i="1"/>
  <c r="C11717" i="1"/>
  <c r="G11716" i="1"/>
  <c r="C11716" i="1"/>
  <c r="G11715" i="1"/>
  <c r="C11715" i="1"/>
  <c r="G11714" i="1"/>
  <c r="C11714" i="1"/>
  <c r="G11713" i="1"/>
  <c r="C11713" i="1"/>
  <c r="G11712" i="1"/>
  <c r="C11712" i="1"/>
  <c r="G11711" i="1"/>
  <c r="C11711" i="1"/>
  <c r="G11710" i="1"/>
  <c r="C11710" i="1"/>
  <c r="G11709" i="1"/>
  <c r="C11709" i="1"/>
  <c r="G11708" i="1"/>
  <c r="C11708" i="1"/>
  <c r="G11707" i="1"/>
  <c r="C11707" i="1"/>
  <c r="G11706" i="1"/>
  <c r="C11706" i="1"/>
  <c r="G11705" i="1"/>
  <c r="C11705" i="1"/>
  <c r="G11704" i="1"/>
  <c r="C11704" i="1"/>
  <c r="G11703" i="1"/>
  <c r="C11703" i="1"/>
  <c r="G11702" i="1"/>
  <c r="C11702" i="1"/>
  <c r="G11701" i="1"/>
  <c r="C11701" i="1"/>
  <c r="G11700" i="1"/>
  <c r="C11700" i="1"/>
  <c r="G11699" i="1"/>
  <c r="C11699" i="1"/>
  <c r="G11698" i="1"/>
  <c r="C11698" i="1"/>
  <c r="G11697" i="1"/>
  <c r="C11697" i="1"/>
  <c r="G11696" i="1"/>
  <c r="C11696" i="1"/>
  <c r="G11695" i="1"/>
  <c r="C11695" i="1"/>
  <c r="G11694" i="1"/>
  <c r="C11694" i="1"/>
  <c r="G11693" i="1"/>
  <c r="C11693" i="1"/>
  <c r="G11692" i="1"/>
  <c r="C11692" i="1"/>
  <c r="G11691" i="1"/>
  <c r="C11691" i="1"/>
  <c r="G11690" i="1"/>
  <c r="C11690" i="1"/>
  <c r="G11689" i="1"/>
  <c r="C11689" i="1"/>
  <c r="G11688" i="1"/>
  <c r="C11688" i="1"/>
  <c r="G11687" i="1"/>
  <c r="C11687" i="1"/>
  <c r="G11686" i="1"/>
  <c r="C11686" i="1"/>
  <c r="G11685" i="1"/>
  <c r="C11685" i="1"/>
  <c r="G11684" i="1"/>
  <c r="C11684" i="1"/>
  <c r="G11683" i="1"/>
  <c r="C11683" i="1"/>
  <c r="G11682" i="1"/>
  <c r="C11682" i="1"/>
  <c r="G11681" i="1"/>
  <c r="C11681" i="1"/>
  <c r="G11680" i="1"/>
  <c r="C11680" i="1"/>
  <c r="G11679" i="1"/>
  <c r="C11679" i="1"/>
  <c r="G11678" i="1"/>
  <c r="C11678" i="1"/>
  <c r="G11677" i="1"/>
  <c r="C11677" i="1"/>
  <c r="G11676" i="1"/>
  <c r="C11676" i="1"/>
  <c r="G11675" i="1"/>
  <c r="C11675" i="1"/>
  <c r="G11674" i="1"/>
  <c r="C11674" i="1"/>
  <c r="G11673" i="1"/>
  <c r="C11673" i="1"/>
  <c r="G11672" i="1"/>
  <c r="C11672" i="1"/>
  <c r="G11671" i="1"/>
  <c r="C11671" i="1"/>
  <c r="G11670" i="1"/>
  <c r="C11670" i="1"/>
  <c r="G11669" i="1"/>
  <c r="C11669" i="1"/>
  <c r="G11668" i="1"/>
  <c r="C11668" i="1"/>
  <c r="G11666" i="1"/>
  <c r="C11666" i="1"/>
  <c r="G11665" i="1"/>
  <c r="C11665" i="1"/>
  <c r="G11664" i="1"/>
  <c r="C11664" i="1"/>
  <c r="G11663" i="1"/>
  <c r="C11663" i="1"/>
  <c r="G11662" i="1"/>
  <c r="C11662" i="1"/>
  <c r="G11661" i="1"/>
  <c r="C11661" i="1"/>
  <c r="G11660" i="1"/>
  <c r="C11660" i="1"/>
  <c r="G11659" i="1"/>
  <c r="C11659" i="1"/>
  <c r="G11658" i="1"/>
  <c r="C11658" i="1"/>
  <c r="G11657" i="1"/>
  <c r="C11657" i="1"/>
  <c r="G11656" i="1"/>
  <c r="C11656" i="1"/>
  <c r="G11655" i="1"/>
  <c r="C11655" i="1"/>
  <c r="G11654" i="1"/>
  <c r="C11654" i="1"/>
  <c r="G11653" i="1"/>
  <c r="C11653" i="1"/>
  <c r="G11652" i="1"/>
  <c r="C11652" i="1"/>
  <c r="G11651" i="1"/>
  <c r="C11651" i="1"/>
  <c r="G11650" i="1"/>
  <c r="C11650" i="1"/>
  <c r="G11649" i="1"/>
  <c r="C11649" i="1"/>
  <c r="G11648" i="1"/>
  <c r="C11648" i="1"/>
  <c r="G11647" i="1"/>
  <c r="C11647" i="1"/>
  <c r="G11646" i="1"/>
  <c r="C11646" i="1"/>
  <c r="G11645" i="1"/>
  <c r="C11645" i="1"/>
  <c r="G11644" i="1"/>
  <c r="C11644" i="1"/>
  <c r="G11643" i="1"/>
  <c r="C11643" i="1"/>
  <c r="G11642" i="1"/>
  <c r="C11642" i="1"/>
  <c r="G11641" i="1"/>
  <c r="C11641" i="1"/>
  <c r="G11640" i="1"/>
  <c r="C11640" i="1"/>
  <c r="G11639" i="1"/>
  <c r="C11639" i="1"/>
  <c r="G11638" i="1"/>
  <c r="C11638" i="1"/>
  <c r="G11637" i="1"/>
  <c r="C11637" i="1"/>
  <c r="G11636" i="1"/>
  <c r="C11636" i="1"/>
  <c r="G11635" i="1"/>
  <c r="C11635" i="1"/>
  <c r="G11634" i="1"/>
  <c r="C11634" i="1"/>
  <c r="G11633" i="1"/>
  <c r="C11633" i="1"/>
  <c r="G11632" i="1"/>
  <c r="C11632" i="1"/>
  <c r="G11631" i="1"/>
  <c r="C11631" i="1"/>
  <c r="G11630" i="1"/>
  <c r="C11630" i="1"/>
  <c r="G11629" i="1"/>
  <c r="C11629" i="1"/>
  <c r="G11628" i="1"/>
  <c r="C11628" i="1"/>
  <c r="G11627" i="1"/>
  <c r="C11627" i="1"/>
  <c r="G11626" i="1"/>
  <c r="C11626" i="1"/>
  <c r="G11625" i="1"/>
  <c r="C11625" i="1"/>
  <c r="G11623" i="1"/>
  <c r="C11623" i="1"/>
  <c r="G11622" i="1"/>
  <c r="C11622" i="1"/>
  <c r="G11621" i="1"/>
  <c r="C11621" i="1"/>
  <c r="G11620" i="1"/>
  <c r="C11620" i="1"/>
  <c r="G11619" i="1"/>
  <c r="C11619" i="1"/>
  <c r="G11618" i="1"/>
  <c r="C11618" i="1"/>
  <c r="G11617" i="1"/>
  <c r="C11617" i="1"/>
  <c r="G11616" i="1"/>
  <c r="C11616" i="1"/>
  <c r="G11615" i="1"/>
  <c r="C11615" i="1"/>
  <c r="G11614" i="1"/>
  <c r="C11614" i="1"/>
  <c r="G11613" i="1"/>
  <c r="C11613" i="1"/>
  <c r="G11612" i="1"/>
  <c r="C11612" i="1"/>
  <c r="G11611" i="1"/>
  <c r="C11611" i="1"/>
  <c r="G11610" i="1"/>
  <c r="C11610" i="1"/>
  <c r="G11608" i="1"/>
  <c r="C11608" i="1"/>
  <c r="G11607" i="1"/>
  <c r="C11607" i="1"/>
  <c r="G11606" i="1"/>
  <c r="C11606" i="1"/>
  <c r="G11605" i="1"/>
  <c r="C11605" i="1"/>
  <c r="G11604" i="1"/>
  <c r="C11604" i="1"/>
  <c r="G11603" i="1"/>
  <c r="C11603" i="1"/>
  <c r="G11602" i="1"/>
  <c r="C11602" i="1"/>
  <c r="G11601" i="1"/>
  <c r="C11601" i="1"/>
  <c r="G11600" i="1"/>
  <c r="C11600" i="1"/>
  <c r="G11599" i="1"/>
  <c r="C11599" i="1"/>
  <c r="G11598" i="1"/>
  <c r="C11598" i="1"/>
  <c r="G11597" i="1"/>
  <c r="C11597" i="1"/>
  <c r="G11596" i="1"/>
  <c r="C11596" i="1"/>
  <c r="G11595" i="1"/>
  <c r="C11595" i="1"/>
  <c r="G11594" i="1"/>
  <c r="C11594" i="1"/>
  <c r="G11593" i="1"/>
  <c r="C11593" i="1"/>
  <c r="G11592" i="1"/>
  <c r="C11592" i="1"/>
  <c r="G11591" i="1"/>
  <c r="C11591" i="1"/>
  <c r="G11590" i="1"/>
  <c r="C11590" i="1"/>
  <c r="G11589" i="1"/>
  <c r="C11589" i="1"/>
  <c r="G11588" i="1"/>
  <c r="C11588" i="1"/>
  <c r="G11587" i="1"/>
  <c r="C11587" i="1"/>
  <c r="G11586" i="1"/>
  <c r="C11586" i="1"/>
  <c r="G11585" i="1"/>
  <c r="C11585" i="1"/>
  <c r="G11584" i="1"/>
  <c r="C11584" i="1"/>
  <c r="G11583" i="1"/>
  <c r="C11583" i="1"/>
  <c r="G11582" i="1"/>
  <c r="C11582" i="1"/>
  <c r="G11581" i="1"/>
  <c r="C11581" i="1"/>
  <c r="G11580" i="1"/>
  <c r="C11580" i="1"/>
  <c r="G11579" i="1"/>
  <c r="C11579" i="1"/>
  <c r="G11578" i="1"/>
  <c r="C11578" i="1"/>
  <c r="G11577" i="1"/>
  <c r="C11577" i="1"/>
  <c r="G11576" i="1"/>
  <c r="C11576" i="1"/>
  <c r="G11575" i="1"/>
  <c r="C11575" i="1"/>
  <c r="G11574" i="1"/>
  <c r="C11574" i="1"/>
  <c r="G11573" i="1"/>
  <c r="C11573" i="1"/>
  <c r="G11572" i="1"/>
  <c r="C11572" i="1"/>
  <c r="G11571" i="1"/>
  <c r="C11571" i="1"/>
  <c r="G11570" i="1"/>
  <c r="C11570" i="1"/>
  <c r="G11569" i="1"/>
  <c r="C11569" i="1"/>
  <c r="G11568" i="1"/>
  <c r="C11568" i="1"/>
  <c r="G11567" i="1"/>
  <c r="C11567" i="1"/>
  <c r="G11566" i="1"/>
  <c r="C11566" i="1"/>
  <c r="G11565" i="1"/>
  <c r="C11565" i="1"/>
  <c r="G11564" i="1"/>
  <c r="C11564" i="1"/>
  <c r="G11561" i="1"/>
  <c r="C11561" i="1"/>
  <c r="G11560" i="1"/>
  <c r="C11560" i="1"/>
  <c r="G11559" i="1"/>
  <c r="C11559" i="1"/>
  <c r="G11558" i="1"/>
  <c r="C11558" i="1"/>
  <c r="G11557" i="1"/>
  <c r="C11557" i="1"/>
  <c r="G11556" i="1"/>
  <c r="C11556" i="1"/>
  <c r="G11555" i="1"/>
  <c r="C11555" i="1"/>
  <c r="G11554" i="1"/>
  <c r="C11554" i="1"/>
  <c r="G11553" i="1"/>
  <c r="C11553" i="1"/>
  <c r="G11552" i="1"/>
  <c r="C11552" i="1"/>
  <c r="G11551" i="1"/>
  <c r="C11551" i="1"/>
  <c r="G11550" i="1"/>
  <c r="C11550" i="1"/>
  <c r="G11549" i="1"/>
  <c r="C11549" i="1"/>
  <c r="G11548" i="1"/>
  <c r="C11548" i="1"/>
  <c r="G11547" i="1"/>
  <c r="C11547" i="1"/>
  <c r="G11546" i="1"/>
  <c r="C11546" i="1"/>
  <c r="G11545" i="1"/>
  <c r="C11545" i="1"/>
  <c r="G11544" i="1"/>
  <c r="C11544" i="1"/>
  <c r="G11543" i="1"/>
  <c r="C11543" i="1"/>
  <c r="G11542" i="1"/>
  <c r="C11542" i="1"/>
  <c r="G11541" i="1"/>
  <c r="C11541" i="1"/>
  <c r="G11540" i="1"/>
  <c r="C11540" i="1"/>
  <c r="G11539" i="1"/>
  <c r="C11539" i="1"/>
  <c r="G11537" i="1"/>
  <c r="C11537" i="1"/>
  <c r="G11536" i="1"/>
  <c r="C11536" i="1"/>
  <c r="G11535" i="1"/>
  <c r="C11535" i="1"/>
  <c r="G11534" i="1"/>
  <c r="C11534" i="1"/>
  <c r="G11533" i="1"/>
  <c r="C11533" i="1"/>
  <c r="G11532" i="1"/>
  <c r="C11532" i="1"/>
  <c r="G11531" i="1"/>
  <c r="C11531" i="1"/>
  <c r="G11530" i="1"/>
  <c r="C11530" i="1"/>
  <c r="G11529" i="1"/>
  <c r="C11529" i="1"/>
  <c r="G11528" i="1"/>
  <c r="C11528" i="1"/>
  <c r="G11527" i="1"/>
  <c r="C11527" i="1"/>
  <c r="G11526" i="1"/>
  <c r="C11526" i="1"/>
  <c r="G11525" i="1"/>
  <c r="C11525" i="1"/>
  <c r="G11524" i="1"/>
  <c r="C11524" i="1"/>
  <c r="G11523" i="1"/>
  <c r="C11523" i="1"/>
  <c r="G11522" i="1"/>
  <c r="C11522" i="1"/>
  <c r="G11521" i="1"/>
  <c r="C11521" i="1"/>
  <c r="G11520" i="1"/>
  <c r="C11520" i="1"/>
  <c r="G11519" i="1"/>
  <c r="C11519" i="1"/>
  <c r="G11518" i="1"/>
  <c r="C11518" i="1"/>
  <c r="G11517" i="1"/>
  <c r="C11517" i="1"/>
  <c r="G11516" i="1"/>
  <c r="C11516" i="1"/>
  <c r="G11515" i="1"/>
  <c r="C11515" i="1"/>
  <c r="G11514" i="1"/>
  <c r="C11514" i="1"/>
  <c r="G11513" i="1"/>
  <c r="C11513" i="1"/>
  <c r="G11512" i="1"/>
  <c r="C11512" i="1"/>
  <c r="G11511" i="1"/>
  <c r="C11511" i="1"/>
  <c r="G11510" i="1"/>
  <c r="C11510" i="1"/>
  <c r="G11509" i="1"/>
  <c r="C11509" i="1"/>
  <c r="G11508" i="1"/>
  <c r="C11508" i="1"/>
  <c r="G11507" i="1"/>
  <c r="C11507" i="1"/>
  <c r="G11506" i="1"/>
  <c r="C11506" i="1"/>
  <c r="G11505" i="1"/>
  <c r="C11505" i="1"/>
  <c r="G11504" i="1"/>
  <c r="C11504" i="1"/>
  <c r="G11502" i="1"/>
  <c r="C11502" i="1"/>
  <c r="G11501" i="1"/>
  <c r="C11501" i="1"/>
  <c r="G11500" i="1"/>
  <c r="C11500" i="1"/>
  <c r="G11499" i="1"/>
  <c r="C11499" i="1"/>
  <c r="G11498" i="1"/>
  <c r="C11498" i="1"/>
  <c r="G11497" i="1"/>
  <c r="C11497" i="1"/>
  <c r="G11496" i="1"/>
  <c r="C11496" i="1"/>
  <c r="G11495" i="1"/>
  <c r="C11495" i="1"/>
  <c r="G11494" i="1"/>
  <c r="C11494" i="1"/>
  <c r="G11493" i="1"/>
  <c r="C11493" i="1"/>
  <c r="G11492" i="1"/>
  <c r="C11492" i="1"/>
  <c r="G11491" i="1"/>
  <c r="C11491" i="1"/>
  <c r="G11490" i="1"/>
  <c r="C11490" i="1"/>
  <c r="G11489" i="1"/>
  <c r="C11489" i="1"/>
  <c r="G11487" i="1"/>
  <c r="C11487" i="1"/>
  <c r="G11486" i="1"/>
  <c r="C11486" i="1"/>
  <c r="G11485" i="1"/>
  <c r="C11485" i="1"/>
  <c r="G11484" i="1"/>
  <c r="C11484" i="1"/>
  <c r="G11483" i="1"/>
  <c r="C11483" i="1"/>
  <c r="G11482" i="1"/>
  <c r="C11482" i="1"/>
  <c r="G11481" i="1"/>
  <c r="C11481" i="1"/>
  <c r="G11479" i="1"/>
  <c r="C11479" i="1"/>
  <c r="G11478" i="1"/>
  <c r="C11478" i="1"/>
  <c r="G11477" i="1"/>
  <c r="C11477" i="1"/>
  <c r="G11476" i="1"/>
  <c r="C11476" i="1"/>
  <c r="G11475" i="1"/>
  <c r="C11475" i="1"/>
  <c r="G11474" i="1"/>
  <c r="C11474" i="1"/>
  <c r="G11473" i="1"/>
  <c r="C11473" i="1"/>
  <c r="G11472" i="1"/>
  <c r="C11472" i="1"/>
  <c r="G11471" i="1"/>
  <c r="C11471" i="1"/>
  <c r="G11470" i="1"/>
  <c r="C11470" i="1"/>
  <c r="G11469" i="1"/>
  <c r="C11469" i="1"/>
  <c r="G11468" i="1"/>
  <c r="C11468" i="1"/>
  <c r="G11467" i="1"/>
  <c r="C11467" i="1"/>
  <c r="G11466" i="1"/>
  <c r="C11466" i="1"/>
  <c r="G11465" i="1"/>
  <c r="C11465" i="1"/>
  <c r="G11464" i="1"/>
  <c r="C11464" i="1"/>
  <c r="G11463" i="1"/>
  <c r="C11463" i="1"/>
  <c r="G11462" i="1"/>
  <c r="C11462" i="1"/>
  <c r="G11461" i="1"/>
  <c r="C11461" i="1"/>
  <c r="G11460" i="1"/>
  <c r="C11460" i="1"/>
  <c r="G11459" i="1"/>
  <c r="C11459" i="1"/>
  <c r="G11457" i="1"/>
  <c r="C11457" i="1"/>
  <c r="G11456" i="1"/>
  <c r="C11456" i="1"/>
  <c r="G11455" i="1"/>
  <c r="C11455" i="1"/>
  <c r="G11454" i="1"/>
  <c r="C11454" i="1"/>
  <c r="G11453" i="1"/>
  <c r="C11453" i="1"/>
  <c r="G11452" i="1"/>
  <c r="C11452" i="1"/>
  <c r="G11451" i="1"/>
  <c r="C11451" i="1"/>
  <c r="G11450" i="1"/>
  <c r="C11450" i="1"/>
  <c r="G11449" i="1"/>
  <c r="C11449" i="1"/>
  <c r="G11448" i="1"/>
  <c r="C11448" i="1"/>
  <c r="G11447" i="1"/>
  <c r="C11447" i="1"/>
  <c r="G11446" i="1"/>
  <c r="C11446" i="1"/>
  <c r="G11444" i="1"/>
  <c r="C11444" i="1"/>
  <c r="G11443" i="1"/>
  <c r="C11443" i="1"/>
  <c r="G11442" i="1"/>
  <c r="C11442" i="1"/>
  <c r="G11441" i="1"/>
  <c r="C11441" i="1"/>
  <c r="G11440" i="1"/>
  <c r="C11440" i="1"/>
  <c r="G11439" i="1"/>
  <c r="C11439" i="1"/>
  <c r="G11438" i="1"/>
  <c r="C11438" i="1"/>
  <c r="G11437" i="1"/>
  <c r="C11437" i="1"/>
  <c r="G11436" i="1"/>
  <c r="C11436" i="1"/>
  <c r="G11435" i="1"/>
  <c r="C11435" i="1"/>
  <c r="G11434" i="1"/>
  <c r="C11434" i="1"/>
  <c r="G11433" i="1"/>
  <c r="C11433" i="1"/>
  <c r="G11432" i="1"/>
  <c r="C11432" i="1"/>
  <c r="G11431" i="1"/>
  <c r="C11431" i="1"/>
  <c r="G11430" i="1"/>
  <c r="C11430" i="1"/>
  <c r="G11429" i="1"/>
  <c r="C11429" i="1"/>
  <c r="G11428" i="1"/>
  <c r="C11428" i="1"/>
  <c r="G11427" i="1"/>
  <c r="C11427" i="1"/>
  <c r="G11426" i="1"/>
  <c r="C11426" i="1"/>
  <c r="G11425" i="1"/>
  <c r="C11425" i="1"/>
  <c r="G11424" i="1"/>
  <c r="C11424" i="1"/>
  <c r="G11423" i="1"/>
  <c r="C11423" i="1"/>
  <c r="G11422" i="1"/>
  <c r="C11422" i="1"/>
  <c r="G11421" i="1"/>
  <c r="C11421" i="1"/>
  <c r="G11420" i="1"/>
  <c r="C11420" i="1"/>
  <c r="G11419" i="1"/>
  <c r="C11419" i="1"/>
  <c r="G11418" i="1"/>
  <c r="C11418" i="1"/>
  <c r="G11417" i="1"/>
  <c r="C11417" i="1"/>
  <c r="G11416" i="1"/>
  <c r="C11416" i="1"/>
  <c r="G11415" i="1"/>
  <c r="C11415" i="1"/>
  <c r="G11414" i="1"/>
  <c r="C11414" i="1"/>
  <c r="G11413" i="1"/>
  <c r="C11413" i="1"/>
  <c r="G11412" i="1"/>
  <c r="C11412" i="1"/>
  <c r="G11411" i="1"/>
  <c r="C11411" i="1"/>
  <c r="G11410" i="1"/>
  <c r="C11410" i="1"/>
  <c r="G11409" i="1"/>
  <c r="C11409" i="1"/>
  <c r="G11408" i="1"/>
  <c r="C11408" i="1"/>
  <c r="G11407" i="1"/>
  <c r="C11407" i="1"/>
  <c r="G11406" i="1"/>
  <c r="C11406" i="1"/>
  <c r="G11405" i="1"/>
  <c r="C11405" i="1"/>
  <c r="G11404" i="1"/>
  <c r="C11404" i="1"/>
  <c r="G11403" i="1"/>
  <c r="C11403" i="1"/>
  <c r="G11401" i="1"/>
  <c r="C11401" i="1"/>
  <c r="G11400" i="1"/>
  <c r="C11400" i="1"/>
  <c r="G11399" i="1"/>
  <c r="C11399" i="1"/>
  <c r="G11398" i="1"/>
  <c r="C11398" i="1"/>
  <c r="G11397" i="1"/>
  <c r="C11397" i="1"/>
  <c r="G11396" i="1"/>
  <c r="C11396" i="1"/>
  <c r="G11395" i="1"/>
  <c r="C11395" i="1"/>
  <c r="G11394" i="1"/>
  <c r="C11394" i="1"/>
  <c r="G11393" i="1"/>
  <c r="C11393" i="1"/>
  <c r="G11392" i="1"/>
  <c r="C11392" i="1"/>
  <c r="G11391" i="1"/>
  <c r="C11391" i="1"/>
  <c r="G11390" i="1"/>
  <c r="C11390" i="1"/>
  <c r="G11389" i="1"/>
  <c r="C11389" i="1"/>
  <c r="G11388" i="1"/>
  <c r="C11388" i="1"/>
  <c r="G11387" i="1"/>
  <c r="C11387" i="1"/>
  <c r="G11386" i="1"/>
  <c r="C11386" i="1"/>
  <c r="G11385" i="1"/>
  <c r="C11385" i="1"/>
  <c r="G11384" i="1"/>
  <c r="C11384" i="1"/>
  <c r="G11383" i="1"/>
  <c r="C11383" i="1"/>
  <c r="G11382" i="1"/>
  <c r="C11382" i="1"/>
  <c r="G11381" i="1"/>
  <c r="C11381" i="1"/>
  <c r="G11380" i="1"/>
  <c r="C11380" i="1"/>
  <c r="G11379" i="1"/>
  <c r="C11379" i="1"/>
  <c r="G11378" i="1"/>
  <c r="C11378" i="1"/>
  <c r="G11377" i="1"/>
  <c r="C11377" i="1"/>
  <c r="G11376" i="1"/>
  <c r="C11376" i="1"/>
  <c r="G11375" i="1"/>
  <c r="C11375" i="1"/>
  <c r="G11374" i="1"/>
  <c r="C11374" i="1"/>
  <c r="G11373" i="1"/>
  <c r="C11373" i="1"/>
  <c r="G11372" i="1"/>
  <c r="C11372" i="1"/>
  <c r="G11371" i="1"/>
  <c r="C11371" i="1"/>
  <c r="G11370" i="1"/>
  <c r="C11370" i="1"/>
  <c r="G11369" i="1"/>
  <c r="C11369" i="1"/>
  <c r="G11368" i="1"/>
  <c r="C11368" i="1"/>
  <c r="G11367" i="1"/>
  <c r="C11367" i="1"/>
  <c r="G11365" i="1"/>
  <c r="C11365" i="1"/>
  <c r="G11364" i="1"/>
  <c r="C11364" i="1"/>
  <c r="G11363" i="1"/>
  <c r="C11363" i="1"/>
  <c r="G11362" i="1"/>
  <c r="C11362" i="1"/>
  <c r="G11361" i="1"/>
  <c r="C11361" i="1"/>
  <c r="G11360" i="1"/>
  <c r="C11360" i="1"/>
  <c r="G11359" i="1"/>
  <c r="C11359" i="1"/>
  <c r="G11358" i="1"/>
  <c r="C11358" i="1"/>
  <c r="G11357" i="1"/>
  <c r="C11357" i="1"/>
  <c r="G11356" i="1"/>
  <c r="C11356" i="1"/>
  <c r="G11355" i="1"/>
  <c r="C11355" i="1"/>
  <c r="G11354" i="1"/>
  <c r="C11354" i="1"/>
  <c r="G11353" i="1"/>
  <c r="C11353" i="1"/>
  <c r="G11352" i="1"/>
  <c r="C11352" i="1"/>
  <c r="G11351" i="1"/>
  <c r="C11351" i="1"/>
  <c r="G11350" i="1"/>
  <c r="C11350" i="1"/>
  <c r="G11349" i="1"/>
  <c r="C11349" i="1"/>
  <c r="G11348" i="1"/>
  <c r="C11348" i="1"/>
  <c r="G11347" i="1"/>
  <c r="C11347" i="1"/>
  <c r="G11346" i="1"/>
  <c r="C11346" i="1"/>
  <c r="G11345" i="1"/>
  <c r="C11345" i="1"/>
  <c r="G11344" i="1"/>
  <c r="C11344" i="1"/>
  <c r="G11343" i="1"/>
  <c r="C11343" i="1"/>
  <c r="G11342" i="1"/>
  <c r="C11342" i="1"/>
  <c r="G11341" i="1"/>
  <c r="C11341" i="1"/>
  <c r="G11340" i="1"/>
  <c r="C11340" i="1"/>
  <c r="G11339" i="1"/>
  <c r="C11339" i="1"/>
  <c r="G11338" i="1"/>
  <c r="C11338" i="1"/>
  <c r="G11337" i="1"/>
  <c r="C11337" i="1"/>
  <c r="G11336" i="1"/>
  <c r="C11336" i="1"/>
  <c r="G11335" i="1"/>
  <c r="C11335" i="1"/>
  <c r="G11334" i="1"/>
  <c r="C11334" i="1"/>
  <c r="G11333" i="1"/>
  <c r="C11333" i="1"/>
  <c r="G11332" i="1"/>
  <c r="C11332" i="1"/>
  <c r="G11331" i="1"/>
  <c r="C11331" i="1"/>
  <c r="G11329" i="1"/>
  <c r="C11329" i="1"/>
  <c r="G11328" i="1"/>
  <c r="C11328" i="1"/>
  <c r="G11327" i="1"/>
  <c r="C11327" i="1"/>
  <c r="G11326" i="1"/>
  <c r="C11326" i="1"/>
  <c r="G11325" i="1"/>
  <c r="C11325" i="1"/>
  <c r="G11324" i="1"/>
  <c r="C11324" i="1"/>
  <c r="G11323" i="1"/>
  <c r="C11323" i="1"/>
  <c r="G11322" i="1"/>
  <c r="C11322" i="1"/>
  <c r="G11321" i="1"/>
  <c r="C11321" i="1"/>
  <c r="G11320" i="1"/>
  <c r="C11320" i="1"/>
  <c r="G11319" i="1"/>
  <c r="C11319" i="1"/>
  <c r="G11318" i="1"/>
  <c r="C11318" i="1"/>
  <c r="G11317" i="1"/>
  <c r="C11317" i="1"/>
  <c r="G11316" i="1"/>
  <c r="C11316" i="1"/>
  <c r="G11315" i="1"/>
  <c r="C11315" i="1"/>
  <c r="G11314" i="1"/>
  <c r="C11314" i="1"/>
  <c r="G11313" i="1"/>
  <c r="C11313" i="1"/>
  <c r="G11312" i="1"/>
  <c r="C11312" i="1"/>
  <c r="G11311" i="1"/>
  <c r="C11311" i="1"/>
  <c r="G11310" i="1"/>
  <c r="C11310" i="1"/>
  <c r="G11309" i="1"/>
  <c r="C11309" i="1"/>
  <c r="G11308" i="1"/>
  <c r="C11308" i="1"/>
  <c r="G11307" i="1"/>
  <c r="C11307" i="1"/>
  <c r="G11306" i="1"/>
  <c r="C11306" i="1"/>
  <c r="G11305" i="1"/>
  <c r="C11305" i="1"/>
  <c r="G11304" i="1"/>
  <c r="C11304" i="1"/>
  <c r="G11303" i="1"/>
  <c r="C11303" i="1"/>
  <c r="G11302" i="1"/>
  <c r="C11302" i="1"/>
  <c r="G11301" i="1"/>
  <c r="C11301" i="1"/>
  <c r="G11300" i="1"/>
  <c r="C11300" i="1"/>
  <c r="G11299" i="1"/>
  <c r="C11299" i="1"/>
  <c r="G11298" i="1"/>
  <c r="C11298" i="1"/>
  <c r="G11297" i="1"/>
  <c r="C11297" i="1"/>
  <c r="G11296" i="1"/>
  <c r="C11296" i="1"/>
  <c r="G11295" i="1"/>
  <c r="C11295" i="1"/>
  <c r="G11294" i="1"/>
  <c r="C11294" i="1"/>
  <c r="G11293" i="1"/>
  <c r="C11293" i="1"/>
  <c r="G11292" i="1"/>
  <c r="C11292" i="1"/>
  <c r="G11291" i="1"/>
  <c r="C11291" i="1"/>
  <c r="G11290" i="1"/>
  <c r="C11290" i="1"/>
  <c r="G11289" i="1"/>
  <c r="C11289" i="1"/>
  <c r="G11288" i="1"/>
  <c r="C11288" i="1"/>
  <c r="G11287" i="1"/>
  <c r="C11287" i="1"/>
  <c r="G11286" i="1"/>
  <c r="C11286" i="1"/>
  <c r="G11285" i="1"/>
  <c r="C11285" i="1"/>
  <c r="G11284" i="1"/>
  <c r="C11284" i="1"/>
  <c r="G11283" i="1"/>
  <c r="C11283" i="1"/>
  <c r="G11282" i="1"/>
  <c r="C11282" i="1"/>
  <c r="G11281" i="1"/>
  <c r="C11281" i="1"/>
  <c r="G11280" i="1"/>
  <c r="C11280" i="1"/>
  <c r="G11279" i="1"/>
  <c r="C11279" i="1"/>
  <c r="G11278" i="1"/>
  <c r="C11278" i="1"/>
  <c r="G11277" i="1"/>
  <c r="C11277" i="1"/>
  <c r="G11276" i="1"/>
  <c r="C11276" i="1"/>
  <c r="G11275" i="1"/>
  <c r="C11275" i="1"/>
  <c r="G11274" i="1"/>
  <c r="C11274" i="1"/>
  <c r="G11273" i="1"/>
  <c r="C11273" i="1"/>
  <c r="G11272" i="1"/>
  <c r="C11272" i="1"/>
  <c r="G11271" i="1"/>
  <c r="C11271" i="1"/>
  <c r="G11270" i="1"/>
  <c r="C11270" i="1"/>
  <c r="G11269" i="1"/>
  <c r="C11269" i="1"/>
  <c r="G11268" i="1"/>
  <c r="C11268" i="1"/>
  <c r="G11267" i="1"/>
  <c r="C11267" i="1"/>
  <c r="G11266" i="1"/>
  <c r="C11266" i="1"/>
  <c r="G11265" i="1"/>
  <c r="C11265" i="1"/>
  <c r="G11264" i="1"/>
  <c r="C11264" i="1"/>
  <c r="G11263" i="1"/>
  <c r="C11263" i="1"/>
  <c r="G11262" i="1"/>
  <c r="C11262" i="1"/>
  <c r="G11261" i="1"/>
  <c r="C11261" i="1"/>
  <c r="G11260" i="1"/>
  <c r="C11260" i="1"/>
  <c r="G11259" i="1"/>
  <c r="C11259" i="1"/>
  <c r="G11258" i="1"/>
  <c r="C11258" i="1"/>
  <c r="G11257" i="1"/>
  <c r="C11257" i="1"/>
  <c r="G11256" i="1"/>
  <c r="C11256" i="1"/>
  <c r="G11255" i="1"/>
  <c r="C11255" i="1"/>
  <c r="G11254" i="1"/>
  <c r="C11254" i="1"/>
  <c r="G11253" i="1"/>
  <c r="C11253" i="1"/>
  <c r="G11252" i="1"/>
  <c r="C11252" i="1"/>
  <c r="G11251" i="1"/>
  <c r="C11251" i="1"/>
  <c r="G11250" i="1"/>
  <c r="C11250" i="1"/>
  <c r="G11249" i="1"/>
  <c r="C11249" i="1"/>
  <c r="G11248" i="1"/>
  <c r="C11248" i="1"/>
  <c r="G11247" i="1"/>
  <c r="C11247" i="1"/>
  <c r="G11246" i="1"/>
  <c r="C11246" i="1"/>
  <c r="G11245" i="1"/>
  <c r="C11245" i="1"/>
  <c r="G11244" i="1"/>
  <c r="C11244" i="1"/>
  <c r="G11243" i="1"/>
  <c r="C11243" i="1"/>
  <c r="G11242" i="1"/>
  <c r="C11242" i="1"/>
  <c r="G11241" i="1"/>
  <c r="C11241" i="1"/>
  <c r="G11240" i="1"/>
  <c r="C11240" i="1"/>
  <c r="G11239" i="1"/>
  <c r="C11239" i="1"/>
  <c r="G11238" i="1"/>
  <c r="C11238" i="1"/>
  <c r="G11237" i="1"/>
  <c r="C11237" i="1"/>
  <c r="G11236" i="1"/>
  <c r="C11236" i="1"/>
  <c r="G11235" i="1"/>
  <c r="C11235" i="1"/>
  <c r="G11234" i="1"/>
  <c r="C11234" i="1"/>
  <c r="G11233" i="1"/>
  <c r="C11233" i="1"/>
  <c r="G11232" i="1"/>
  <c r="C11232" i="1"/>
  <c r="G11231" i="1"/>
  <c r="C11231" i="1"/>
  <c r="G11230" i="1"/>
  <c r="C11230" i="1"/>
  <c r="G11229" i="1"/>
  <c r="C11229" i="1"/>
  <c r="G11228" i="1"/>
  <c r="C11228" i="1"/>
  <c r="G11227" i="1"/>
  <c r="C11227" i="1"/>
  <c r="G11224" i="1"/>
  <c r="C11224" i="1"/>
  <c r="G11223" i="1"/>
  <c r="C11223" i="1"/>
  <c r="G11222" i="1"/>
  <c r="C11222" i="1"/>
  <c r="G11221" i="1"/>
  <c r="C11221" i="1"/>
  <c r="G11220" i="1"/>
  <c r="C11220" i="1"/>
  <c r="G11219" i="1"/>
  <c r="C11219" i="1"/>
  <c r="G11218" i="1"/>
  <c r="C11218" i="1"/>
  <c r="G11217" i="1"/>
  <c r="C11217" i="1"/>
  <c r="G11216" i="1"/>
  <c r="C11216" i="1"/>
  <c r="G11215" i="1"/>
  <c r="C11215" i="1"/>
  <c r="G11214" i="1"/>
  <c r="C11214" i="1"/>
  <c r="G11213" i="1"/>
  <c r="C11213" i="1"/>
  <c r="G11212" i="1"/>
  <c r="C11212" i="1"/>
  <c r="G11211" i="1"/>
  <c r="C11211" i="1"/>
  <c r="G11210" i="1"/>
  <c r="C11210" i="1"/>
  <c r="G11209" i="1"/>
  <c r="C11209" i="1"/>
  <c r="G11208" i="1"/>
  <c r="C11208" i="1"/>
  <c r="G11207" i="1"/>
  <c r="C11207" i="1"/>
  <c r="G11206" i="1"/>
  <c r="C11206" i="1"/>
  <c r="G11205" i="1"/>
  <c r="C11205" i="1"/>
  <c r="G11204" i="1"/>
  <c r="C11204" i="1"/>
  <c r="G11203" i="1"/>
  <c r="C11203" i="1"/>
  <c r="G11202" i="1"/>
  <c r="C11202" i="1"/>
  <c r="G11201" i="1"/>
  <c r="C11201" i="1"/>
  <c r="G11200" i="1"/>
  <c r="C11200" i="1"/>
  <c r="G11199" i="1"/>
  <c r="C11199" i="1"/>
  <c r="G11198" i="1"/>
  <c r="C11198" i="1"/>
  <c r="G11197" i="1"/>
  <c r="C11197" i="1"/>
  <c r="G11196" i="1"/>
  <c r="C11196" i="1"/>
  <c r="G11195" i="1"/>
  <c r="C11195" i="1"/>
  <c r="G11194" i="1"/>
  <c r="C11194" i="1"/>
  <c r="G11193" i="1"/>
  <c r="C11193" i="1"/>
  <c r="G11192" i="1"/>
  <c r="C11192" i="1"/>
  <c r="G11191" i="1"/>
  <c r="C11191" i="1"/>
  <c r="G11190" i="1"/>
  <c r="C11190" i="1"/>
  <c r="G11189" i="1"/>
  <c r="C11189" i="1"/>
  <c r="G11188" i="1"/>
  <c r="C11188" i="1"/>
  <c r="G11187" i="1"/>
  <c r="C11187" i="1"/>
  <c r="G11186" i="1"/>
  <c r="C11186" i="1"/>
  <c r="G11185" i="1"/>
  <c r="C11185" i="1"/>
  <c r="G11184" i="1"/>
  <c r="C11184" i="1"/>
  <c r="G11182" i="1"/>
  <c r="C11182" i="1"/>
  <c r="G11181" i="1"/>
  <c r="C11181" i="1"/>
  <c r="G11180" i="1"/>
  <c r="C11180" i="1"/>
  <c r="G11179" i="1"/>
  <c r="C11179" i="1"/>
  <c r="G11178" i="1"/>
  <c r="C11178" i="1"/>
  <c r="G11176" i="1"/>
  <c r="C11176" i="1"/>
  <c r="G11175" i="1"/>
  <c r="C11175" i="1"/>
  <c r="G11174" i="1"/>
  <c r="C11174" i="1"/>
  <c r="G11173" i="1"/>
  <c r="C11173" i="1"/>
  <c r="G11171" i="1"/>
  <c r="C11171" i="1"/>
  <c r="G11170" i="1"/>
  <c r="C11170" i="1"/>
  <c r="G11169" i="1"/>
  <c r="C11169" i="1"/>
  <c r="G11168" i="1"/>
  <c r="C11168" i="1"/>
  <c r="G11167" i="1"/>
  <c r="C11167" i="1"/>
  <c r="G11166" i="1"/>
  <c r="C11166" i="1"/>
  <c r="G11165" i="1"/>
  <c r="C11165" i="1"/>
  <c r="G11164" i="1"/>
  <c r="C11164" i="1"/>
  <c r="G11163" i="1"/>
  <c r="C11163" i="1"/>
  <c r="G11162" i="1"/>
  <c r="C11162" i="1"/>
  <c r="G11161" i="1"/>
  <c r="C11161" i="1"/>
  <c r="G11160" i="1"/>
  <c r="C11160" i="1"/>
  <c r="G11159" i="1"/>
  <c r="C11159" i="1"/>
  <c r="G11158" i="1"/>
  <c r="C11158" i="1"/>
  <c r="G11157" i="1"/>
  <c r="C11157" i="1"/>
  <c r="G11156" i="1"/>
  <c r="C11156" i="1"/>
  <c r="G11155" i="1"/>
  <c r="C11155" i="1"/>
  <c r="G11154" i="1"/>
  <c r="C11154" i="1"/>
  <c r="G11153" i="1"/>
  <c r="C11153" i="1"/>
  <c r="G11152" i="1"/>
  <c r="C11152" i="1"/>
  <c r="G11151" i="1"/>
  <c r="C11151" i="1"/>
  <c r="G11150" i="1"/>
  <c r="C11150" i="1"/>
  <c r="G11149" i="1"/>
  <c r="C11149" i="1"/>
  <c r="G11148" i="1"/>
  <c r="C11148" i="1"/>
  <c r="G11147" i="1"/>
  <c r="C11147" i="1"/>
  <c r="G11146" i="1"/>
  <c r="C11146" i="1"/>
  <c r="G11145" i="1"/>
  <c r="C11145" i="1"/>
  <c r="G11144" i="1"/>
  <c r="C11144" i="1"/>
  <c r="G11143" i="1"/>
  <c r="C11143" i="1"/>
  <c r="G11142" i="1"/>
  <c r="C11142" i="1"/>
  <c r="G11141" i="1"/>
  <c r="C11141" i="1"/>
  <c r="G11140" i="1"/>
  <c r="C11140" i="1"/>
  <c r="G11139" i="1"/>
  <c r="C11139" i="1"/>
  <c r="G11138" i="1"/>
  <c r="C11138" i="1"/>
  <c r="G11137" i="1"/>
  <c r="C11137" i="1"/>
  <c r="G11136" i="1"/>
  <c r="C11136" i="1"/>
  <c r="G11135" i="1"/>
  <c r="C11135" i="1"/>
  <c r="G11134" i="1"/>
  <c r="C11134" i="1"/>
  <c r="G11133" i="1"/>
  <c r="C11133" i="1"/>
  <c r="G11132" i="1"/>
  <c r="C11132" i="1"/>
  <c r="G11131" i="1"/>
  <c r="C11131" i="1"/>
  <c r="G11130" i="1"/>
  <c r="C11130" i="1"/>
  <c r="G11129" i="1"/>
  <c r="C11129" i="1"/>
  <c r="G11128" i="1"/>
  <c r="C11128" i="1"/>
  <c r="G11127" i="1"/>
  <c r="C11127" i="1"/>
  <c r="G11126" i="1"/>
  <c r="C11126" i="1"/>
  <c r="G11125" i="1"/>
  <c r="C11125" i="1"/>
  <c r="G11124" i="1"/>
  <c r="C11124" i="1"/>
  <c r="G11123" i="1"/>
  <c r="C11123" i="1"/>
  <c r="G11122" i="1"/>
  <c r="C11122" i="1"/>
  <c r="G11121" i="1"/>
  <c r="C11121" i="1"/>
  <c r="G11119" i="1"/>
  <c r="C11119" i="1"/>
  <c r="G11118" i="1"/>
  <c r="C11118" i="1"/>
  <c r="G11117" i="1"/>
  <c r="C11117" i="1"/>
  <c r="G11116" i="1"/>
  <c r="C11116" i="1"/>
  <c r="G11115" i="1"/>
  <c r="C11115" i="1"/>
  <c r="G11114" i="1"/>
  <c r="C11114" i="1"/>
  <c r="G11113" i="1"/>
  <c r="C11113" i="1"/>
  <c r="G11112" i="1"/>
  <c r="C11112" i="1"/>
  <c r="G11111" i="1"/>
  <c r="C11111" i="1"/>
  <c r="G11110" i="1"/>
  <c r="C11110" i="1"/>
  <c r="G11109" i="1"/>
  <c r="C11109" i="1"/>
  <c r="G11108" i="1"/>
  <c r="C11108" i="1"/>
  <c r="G11107" i="1"/>
  <c r="C11107" i="1"/>
  <c r="G11106" i="1"/>
  <c r="C11106" i="1"/>
  <c r="G11105" i="1"/>
  <c r="C11105" i="1"/>
  <c r="G11104" i="1"/>
  <c r="C11104" i="1"/>
  <c r="G11103" i="1"/>
  <c r="C11103" i="1"/>
  <c r="G11102" i="1"/>
  <c r="C11102" i="1"/>
  <c r="G11101" i="1"/>
  <c r="C11101" i="1"/>
  <c r="G11100" i="1"/>
  <c r="C11100" i="1"/>
  <c r="G11099" i="1"/>
  <c r="C11099" i="1"/>
  <c r="G11098" i="1"/>
  <c r="C11098" i="1"/>
  <c r="G11097" i="1"/>
  <c r="C11097" i="1"/>
  <c r="G11096" i="1"/>
  <c r="C11096" i="1"/>
  <c r="G11095" i="1"/>
  <c r="C11095" i="1"/>
  <c r="G11094" i="1"/>
  <c r="C11094" i="1"/>
  <c r="G11093" i="1"/>
  <c r="C11093" i="1"/>
  <c r="G11092" i="1"/>
  <c r="C11092" i="1"/>
  <c r="G11091" i="1"/>
  <c r="C11091" i="1"/>
  <c r="G11090" i="1"/>
  <c r="C11090" i="1"/>
  <c r="G11089" i="1"/>
  <c r="C11089" i="1"/>
  <c r="G11088" i="1"/>
  <c r="C11088" i="1"/>
  <c r="G11087" i="1"/>
  <c r="C11087" i="1"/>
  <c r="G11086" i="1"/>
  <c r="C11086" i="1"/>
  <c r="G11085" i="1"/>
  <c r="C11085" i="1"/>
  <c r="G11084" i="1"/>
  <c r="C11084" i="1"/>
  <c r="G11083" i="1"/>
  <c r="C11083" i="1"/>
  <c r="G11082" i="1"/>
  <c r="C11082" i="1"/>
  <c r="G11081" i="1"/>
  <c r="C11081" i="1"/>
  <c r="G11080" i="1"/>
  <c r="C11080" i="1"/>
  <c r="G11079" i="1"/>
  <c r="C11079" i="1"/>
  <c r="G11078" i="1"/>
  <c r="C11078" i="1"/>
  <c r="G11077" i="1"/>
  <c r="C11077" i="1"/>
  <c r="G11076" i="1"/>
  <c r="C11076" i="1"/>
  <c r="G11075" i="1"/>
  <c r="C11075" i="1"/>
  <c r="G11074" i="1"/>
  <c r="C11074" i="1"/>
  <c r="G11073" i="1"/>
  <c r="C11073" i="1"/>
  <c r="G11072" i="1"/>
  <c r="C11072" i="1"/>
  <c r="G11071" i="1"/>
  <c r="C11071" i="1"/>
  <c r="G11070" i="1"/>
  <c r="C11070" i="1"/>
  <c r="G11069" i="1"/>
  <c r="C11069" i="1"/>
  <c r="G11068" i="1"/>
  <c r="C11068" i="1"/>
  <c r="G11067" i="1"/>
  <c r="C11067" i="1"/>
  <c r="G11066" i="1"/>
  <c r="C11066" i="1"/>
  <c r="G11065" i="1"/>
  <c r="C11065" i="1"/>
  <c r="G11064" i="1"/>
  <c r="C11064" i="1"/>
  <c r="G11063" i="1"/>
  <c r="C11063" i="1"/>
  <c r="G11062" i="1"/>
  <c r="C11062" i="1"/>
  <c r="G11061" i="1"/>
  <c r="C11061" i="1"/>
  <c r="G11060" i="1"/>
  <c r="C11060" i="1"/>
  <c r="G11059" i="1"/>
  <c r="C11059" i="1"/>
  <c r="G11056" i="1"/>
  <c r="C11056" i="1"/>
  <c r="G11055" i="1"/>
  <c r="C11055" i="1"/>
  <c r="G11054" i="1"/>
  <c r="C11054" i="1"/>
  <c r="G11053" i="1"/>
  <c r="C11053" i="1"/>
  <c r="G11052" i="1"/>
  <c r="C11052" i="1"/>
  <c r="G11051" i="1"/>
  <c r="C11051" i="1"/>
  <c r="G11050" i="1"/>
  <c r="C11050" i="1"/>
  <c r="G11049" i="1"/>
  <c r="C11049" i="1"/>
  <c r="G11048" i="1"/>
  <c r="C11048" i="1"/>
  <c r="G11047" i="1"/>
  <c r="C11047" i="1"/>
  <c r="G11046" i="1"/>
  <c r="C11046" i="1"/>
  <c r="G11045" i="1"/>
  <c r="C11045" i="1"/>
  <c r="G11044" i="1"/>
  <c r="C11044" i="1"/>
  <c r="G11043" i="1"/>
  <c r="C11043" i="1"/>
  <c r="G11042" i="1"/>
  <c r="C11042" i="1"/>
  <c r="G11041" i="1"/>
  <c r="C11041" i="1"/>
  <c r="G11040" i="1"/>
  <c r="C11040" i="1"/>
  <c r="G11039" i="1"/>
  <c r="C11039" i="1"/>
  <c r="G11038" i="1"/>
  <c r="C11038" i="1"/>
  <c r="G11037" i="1"/>
  <c r="C11037" i="1"/>
  <c r="G11036" i="1"/>
  <c r="C11036" i="1"/>
  <c r="G11035" i="1"/>
  <c r="C11035" i="1"/>
  <c r="G11033" i="1"/>
  <c r="C11033" i="1"/>
  <c r="G11032" i="1"/>
  <c r="C11032" i="1"/>
  <c r="G11031" i="1"/>
  <c r="C11031" i="1"/>
  <c r="G11030" i="1"/>
  <c r="C11030" i="1"/>
  <c r="G11029" i="1"/>
  <c r="C11029" i="1"/>
  <c r="G11028" i="1"/>
  <c r="C11028" i="1"/>
  <c r="G11027" i="1"/>
  <c r="C11027" i="1"/>
  <c r="G11026" i="1"/>
  <c r="C11026" i="1"/>
  <c r="G11025" i="1"/>
  <c r="C11025" i="1"/>
  <c r="G11024" i="1"/>
  <c r="C11024" i="1"/>
  <c r="G11023" i="1"/>
  <c r="C11023" i="1"/>
  <c r="G11022" i="1"/>
  <c r="C11022" i="1"/>
  <c r="G11021" i="1"/>
  <c r="C11021" i="1"/>
  <c r="G11020" i="1"/>
  <c r="C11020" i="1"/>
  <c r="G11019" i="1"/>
  <c r="C11019" i="1"/>
  <c r="G11018" i="1"/>
  <c r="C11018" i="1"/>
  <c r="G11017" i="1"/>
  <c r="C11017" i="1"/>
  <c r="G11016" i="1"/>
  <c r="C11016" i="1"/>
  <c r="G11014" i="1"/>
  <c r="C11014" i="1"/>
  <c r="G11013" i="1"/>
  <c r="C11013" i="1"/>
  <c r="G11012" i="1"/>
  <c r="C11012" i="1"/>
  <c r="G11011" i="1"/>
  <c r="C11011" i="1"/>
  <c r="G11010" i="1"/>
  <c r="C11010" i="1"/>
  <c r="G11009" i="1"/>
  <c r="C11009" i="1"/>
  <c r="G11008" i="1"/>
  <c r="C11008" i="1"/>
  <c r="G11007" i="1"/>
  <c r="C11007" i="1"/>
  <c r="G11006" i="1"/>
  <c r="C11006" i="1"/>
  <c r="G11005" i="1"/>
  <c r="C11005" i="1"/>
  <c r="G11004" i="1"/>
  <c r="C11004" i="1"/>
  <c r="G11003" i="1"/>
  <c r="C11003" i="1"/>
  <c r="G11002" i="1"/>
  <c r="C11002" i="1"/>
  <c r="G11001" i="1"/>
  <c r="C11001" i="1"/>
  <c r="G11000" i="1"/>
  <c r="C11000" i="1"/>
  <c r="G10999" i="1"/>
  <c r="C10999" i="1"/>
  <c r="G10998" i="1"/>
  <c r="C10998" i="1"/>
  <c r="G10997" i="1"/>
  <c r="C10997" i="1"/>
  <c r="G10996" i="1"/>
  <c r="C10996" i="1"/>
  <c r="G10995" i="1"/>
  <c r="C10995" i="1"/>
  <c r="G10993" i="1"/>
  <c r="C10993" i="1"/>
  <c r="G10991" i="1"/>
  <c r="C10991" i="1"/>
  <c r="G10990" i="1"/>
  <c r="C10990" i="1"/>
  <c r="G10989" i="1"/>
  <c r="C10989" i="1"/>
  <c r="G10988" i="1"/>
  <c r="C10988" i="1"/>
  <c r="G10986" i="1"/>
  <c r="C10986" i="1"/>
  <c r="G10983" i="1"/>
  <c r="C10983" i="1"/>
  <c r="G10982" i="1"/>
  <c r="C10982" i="1"/>
  <c r="G10981" i="1"/>
  <c r="C10981" i="1"/>
  <c r="G10980" i="1"/>
  <c r="C10980" i="1"/>
  <c r="G10979" i="1"/>
  <c r="C10979" i="1"/>
  <c r="G10978" i="1"/>
  <c r="C10978" i="1"/>
  <c r="G10977" i="1"/>
  <c r="C10977" i="1"/>
  <c r="G10976" i="1"/>
  <c r="C10976" i="1"/>
  <c r="G10975" i="1"/>
  <c r="C10975" i="1"/>
  <c r="G10974" i="1"/>
  <c r="C10974" i="1"/>
  <c r="G10973" i="1"/>
  <c r="C10973" i="1"/>
  <c r="G10972" i="1"/>
  <c r="C10972" i="1"/>
  <c r="G10971" i="1"/>
  <c r="C10971" i="1"/>
  <c r="G10970" i="1"/>
  <c r="C10970" i="1"/>
  <c r="G10969" i="1"/>
  <c r="C10969" i="1"/>
  <c r="G10968" i="1"/>
  <c r="C10968" i="1"/>
  <c r="G10967" i="1"/>
  <c r="C10967" i="1"/>
  <c r="G10966" i="1"/>
  <c r="C10966" i="1"/>
  <c r="G10965" i="1"/>
  <c r="C10965" i="1"/>
  <c r="G10964" i="1"/>
  <c r="C10964" i="1"/>
  <c r="G10963" i="1"/>
  <c r="C10963" i="1"/>
  <c r="G10962" i="1"/>
  <c r="C10962" i="1"/>
  <c r="G10961" i="1"/>
  <c r="C10961" i="1"/>
  <c r="G10959" i="1"/>
  <c r="C10959" i="1"/>
  <c r="G10958" i="1"/>
  <c r="C10958" i="1"/>
  <c r="G10957" i="1"/>
  <c r="C10957" i="1"/>
  <c r="G10956" i="1"/>
  <c r="C10956" i="1"/>
  <c r="G10955" i="1"/>
  <c r="C10955" i="1"/>
  <c r="G10954" i="1"/>
  <c r="C10954" i="1"/>
  <c r="G10953" i="1"/>
  <c r="C10953" i="1"/>
  <c r="G10952" i="1"/>
  <c r="C10952" i="1"/>
  <c r="G10951" i="1"/>
  <c r="C10951" i="1"/>
  <c r="G10950" i="1"/>
  <c r="C10950" i="1"/>
  <c r="G10949" i="1"/>
  <c r="C10949" i="1"/>
  <c r="G10948" i="1"/>
  <c r="C10948" i="1"/>
  <c r="G10947" i="1"/>
  <c r="C10947" i="1"/>
  <c r="G10946" i="1"/>
  <c r="C10946" i="1"/>
  <c r="G10945" i="1"/>
  <c r="C10945" i="1"/>
  <c r="G10944" i="1"/>
  <c r="C10944" i="1"/>
  <c r="G10943" i="1"/>
  <c r="C10943" i="1"/>
  <c r="G10942" i="1"/>
  <c r="C10942" i="1"/>
  <c r="G10941" i="1"/>
  <c r="C10941" i="1"/>
  <c r="G10940" i="1"/>
  <c r="C10940" i="1"/>
  <c r="G10939" i="1"/>
  <c r="C10939" i="1"/>
  <c r="G10938" i="1"/>
  <c r="C10938" i="1"/>
  <c r="G10937" i="1"/>
  <c r="C10937" i="1"/>
  <c r="G10936" i="1"/>
  <c r="C10936" i="1"/>
  <c r="G10935" i="1"/>
  <c r="C10935" i="1"/>
  <c r="G10933" i="1"/>
  <c r="C10933" i="1"/>
  <c r="G10932" i="1"/>
  <c r="C10932" i="1"/>
  <c r="G10931" i="1"/>
  <c r="C10931" i="1"/>
  <c r="G10930" i="1"/>
  <c r="C10930" i="1"/>
  <c r="G10929" i="1"/>
  <c r="C10929" i="1"/>
  <c r="G10928" i="1"/>
  <c r="C10928" i="1"/>
  <c r="G10927" i="1"/>
  <c r="C10927" i="1"/>
  <c r="G10926" i="1"/>
  <c r="C10926" i="1"/>
  <c r="G10925" i="1"/>
  <c r="C10925" i="1"/>
  <c r="G10924" i="1"/>
  <c r="C10924" i="1"/>
  <c r="G10923" i="1"/>
  <c r="C10923" i="1"/>
  <c r="G10922" i="1"/>
  <c r="C10922" i="1"/>
  <c r="G10921" i="1"/>
  <c r="C10921" i="1"/>
  <c r="G10920" i="1"/>
  <c r="C10920" i="1"/>
  <c r="G10919" i="1"/>
  <c r="C10919" i="1"/>
  <c r="G10918" i="1"/>
  <c r="C10918" i="1"/>
  <c r="G10917" i="1"/>
  <c r="C10917" i="1"/>
  <c r="G10916" i="1"/>
  <c r="C10916" i="1"/>
  <c r="G10915" i="1"/>
  <c r="C10915" i="1"/>
  <c r="G10914" i="1"/>
  <c r="C10914" i="1"/>
  <c r="G10913" i="1"/>
  <c r="C10913" i="1"/>
  <c r="G10912" i="1"/>
  <c r="C10912" i="1"/>
  <c r="G10911" i="1"/>
  <c r="C10911" i="1"/>
  <c r="G10910" i="1"/>
  <c r="C10910" i="1"/>
  <c r="G10909" i="1"/>
  <c r="C10909" i="1"/>
  <c r="G10908" i="1"/>
  <c r="C10908" i="1"/>
  <c r="G10907" i="1"/>
  <c r="C10907" i="1"/>
  <c r="G10906" i="1"/>
  <c r="C10906" i="1"/>
  <c r="G10905" i="1"/>
  <c r="C10905" i="1"/>
  <c r="G10904" i="1"/>
  <c r="C10904" i="1"/>
  <c r="G10903" i="1"/>
  <c r="C10903" i="1"/>
  <c r="G10902" i="1"/>
  <c r="C10902" i="1"/>
  <c r="G10901" i="1"/>
  <c r="C10901" i="1"/>
  <c r="G10900" i="1"/>
  <c r="C10900" i="1"/>
  <c r="G10899" i="1"/>
  <c r="C10899" i="1"/>
  <c r="G10898" i="1"/>
  <c r="C10898" i="1"/>
  <c r="G10897" i="1"/>
  <c r="C10897" i="1"/>
  <c r="G10896" i="1"/>
  <c r="C10896" i="1"/>
  <c r="G10895" i="1"/>
  <c r="C10895" i="1"/>
  <c r="G10894" i="1"/>
  <c r="C10894" i="1"/>
  <c r="G10893" i="1"/>
  <c r="C10893" i="1"/>
  <c r="G10892" i="1"/>
  <c r="C10892" i="1"/>
  <c r="G10891" i="1"/>
  <c r="C10891" i="1"/>
  <c r="G10890" i="1"/>
  <c r="C10890" i="1"/>
  <c r="G10888" i="1"/>
  <c r="C10888" i="1"/>
  <c r="G10887" i="1"/>
  <c r="C10887" i="1"/>
  <c r="G10886" i="1"/>
  <c r="C10886" i="1"/>
  <c r="G10885" i="1"/>
  <c r="C10885" i="1"/>
  <c r="G10884" i="1"/>
  <c r="C10884" i="1"/>
  <c r="G10883" i="1"/>
  <c r="C10883" i="1"/>
  <c r="G10882" i="1"/>
  <c r="C10882" i="1"/>
  <c r="G10881" i="1"/>
  <c r="C10881" i="1"/>
  <c r="G10880" i="1"/>
  <c r="C10880" i="1"/>
  <c r="G10879" i="1"/>
  <c r="C10879" i="1"/>
  <c r="G10878" i="1"/>
  <c r="C10878" i="1"/>
  <c r="G10877" i="1"/>
  <c r="C10877" i="1"/>
  <c r="G10876" i="1"/>
  <c r="C10876" i="1"/>
  <c r="G10874" i="1"/>
  <c r="C10874" i="1"/>
  <c r="G10873" i="1"/>
  <c r="C10873" i="1"/>
  <c r="G10872" i="1"/>
  <c r="C10872" i="1"/>
  <c r="G10871" i="1"/>
  <c r="C10871" i="1"/>
  <c r="G10870" i="1"/>
  <c r="C10870" i="1"/>
  <c r="G10869" i="1"/>
  <c r="C10869" i="1"/>
  <c r="G10868" i="1"/>
  <c r="C10868" i="1"/>
  <c r="G10867" i="1"/>
  <c r="C10867" i="1"/>
  <c r="G10866" i="1"/>
  <c r="C10866" i="1"/>
  <c r="G10865" i="1"/>
  <c r="C10865" i="1"/>
  <c r="G10864" i="1"/>
  <c r="C10864" i="1"/>
  <c r="G10863" i="1"/>
  <c r="C10863" i="1"/>
  <c r="G10862" i="1"/>
  <c r="C10862" i="1"/>
  <c r="G10861" i="1"/>
  <c r="C10861" i="1"/>
  <c r="G10860" i="1"/>
  <c r="C10860" i="1"/>
  <c r="G10859" i="1"/>
  <c r="C10859" i="1"/>
  <c r="G10858" i="1"/>
  <c r="C10858" i="1"/>
  <c r="G10857" i="1"/>
  <c r="C10857" i="1"/>
  <c r="G10856" i="1"/>
  <c r="C10856" i="1"/>
  <c r="G10853" i="1"/>
  <c r="C10853" i="1"/>
  <c r="G10852" i="1"/>
  <c r="C10852" i="1"/>
  <c r="G10851" i="1"/>
  <c r="C10851" i="1"/>
  <c r="G10850" i="1"/>
  <c r="C10850" i="1"/>
  <c r="G10849" i="1"/>
  <c r="C10849" i="1"/>
  <c r="G10848" i="1"/>
  <c r="C10848" i="1"/>
  <c r="G10847" i="1"/>
  <c r="C10847" i="1"/>
  <c r="G10846" i="1"/>
  <c r="C10846" i="1"/>
  <c r="G10845" i="1"/>
  <c r="C10845" i="1"/>
  <c r="G10844" i="1"/>
  <c r="C10844" i="1"/>
  <c r="G10843" i="1"/>
  <c r="C10843" i="1"/>
  <c r="G10842" i="1"/>
  <c r="C10842" i="1"/>
  <c r="G10841" i="1"/>
  <c r="C10841" i="1"/>
  <c r="G10840" i="1"/>
  <c r="C10840" i="1"/>
  <c r="G10839" i="1"/>
  <c r="C10839" i="1"/>
  <c r="G10838" i="1"/>
  <c r="C10838" i="1"/>
  <c r="G10837" i="1"/>
  <c r="C10837" i="1"/>
  <c r="G10836" i="1"/>
  <c r="C10836" i="1"/>
  <c r="G10835" i="1"/>
  <c r="C10835" i="1"/>
  <c r="G10834" i="1"/>
  <c r="C10834" i="1"/>
  <c r="G10833" i="1"/>
  <c r="C10833" i="1"/>
  <c r="G10832" i="1"/>
  <c r="C10832" i="1"/>
  <c r="G10831" i="1"/>
  <c r="C10831" i="1"/>
  <c r="G10830" i="1"/>
  <c r="C10830" i="1"/>
  <c r="G10829" i="1"/>
  <c r="C10829" i="1"/>
  <c r="G10828" i="1"/>
  <c r="C10828" i="1"/>
  <c r="G10827" i="1"/>
  <c r="C10827" i="1"/>
  <c r="G10826" i="1"/>
  <c r="C10826" i="1"/>
  <c r="G10825" i="1"/>
  <c r="C10825" i="1"/>
  <c r="G10824" i="1"/>
  <c r="C10824" i="1"/>
  <c r="G10823" i="1"/>
  <c r="C10823" i="1"/>
  <c r="G10821" i="1"/>
  <c r="C10821" i="1"/>
  <c r="G10820" i="1"/>
  <c r="C10820" i="1"/>
  <c r="G10819" i="1"/>
  <c r="C10819" i="1"/>
  <c r="G10818" i="1"/>
  <c r="C10818" i="1"/>
  <c r="G10817" i="1"/>
  <c r="C10817" i="1"/>
  <c r="G10816" i="1"/>
  <c r="C10816" i="1"/>
  <c r="G10815" i="1"/>
  <c r="C10815" i="1"/>
  <c r="G10814" i="1"/>
  <c r="C10814" i="1"/>
  <c r="G10813" i="1"/>
  <c r="C10813" i="1"/>
  <c r="G10812" i="1"/>
  <c r="C10812" i="1"/>
  <c r="G10811" i="1"/>
  <c r="C10811" i="1"/>
  <c r="G10810" i="1"/>
  <c r="C10810" i="1"/>
  <c r="G10809" i="1"/>
  <c r="C10809" i="1"/>
  <c r="G10808" i="1"/>
  <c r="C10808" i="1"/>
  <c r="G10807" i="1"/>
  <c r="C10807" i="1"/>
  <c r="G10806" i="1"/>
  <c r="C10806" i="1"/>
  <c r="G10805" i="1"/>
  <c r="C10805" i="1"/>
  <c r="G10804" i="1"/>
  <c r="C10804" i="1"/>
  <c r="G10803" i="1"/>
  <c r="C10803" i="1"/>
  <c r="G10802" i="1"/>
  <c r="C10802" i="1"/>
  <c r="G10801" i="1"/>
  <c r="C10801" i="1"/>
  <c r="G10800" i="1"/>
  <c r="C10800" i="1"/>
  <c r="G10799" i="1"/>
  <c r="C10799" i="1"/>
  <c r="G10798" i="1"/>
  <c r="C10798" i="1"/>
  <c r="G10797" i="1"/>
  <c r="C10797" i="1"/>
  <c r="G10796" i="1"/>
  <c r="C10796" i="1"/>
  <c r="G10795" i="1"/>
  <c r="C10795" i="1"/>
  <c r="G10794" i="1"/>
  <c r="C10794" i="1"/>
  <c r="G10793" i="1"/>
  <c r="C10793" i="1"/>
  <c r="G10792" i="1"/>
  <c r="C10792" i="1"/>
  <c r="G10791" i="1"/>
  <c r="C10791" i="1"/>
  <c r="G10789" i="1"/>
  <c r="C10789" i="1"/>
  <c r="G10788" i="1"/>
  <c r="C10788" i="1"/>
  <c r="G10787" i="1"/>
  <c r="C10787" i="1"/>
  <c r="G10786" i="1"/>
  <c r="C10786" i="1"/>
  <c r="G10785" i="1"/>
  <c r="C10785" i="1"/>
  <c r="G10784" i="1"/>
  <c r="C10784" i="1"/>
  <c r="G10783" i="1"/>
  <c r="C10783" i="1"/>
  <c r="G10782" i="1"/>
  <c r="C10782" i="1"/>
  <c r="G10780" i="1"/>
  <c r="C10780" i="1"/>
  <c r="G10779" i="1"/>
  <c r="C10779" i="1"/>
  <c r="G10778" i="1"/>
  <c r="C10778" i="1"/>
  <c r="G10777" i="1"/>
  <c r="C10777" i="1"/>
  <c r="G10776" i="1"/>
  <c r="C10776" i="1"/>
  <c r="G10775" i="1"/>
  <c r="C10775" i="1"/>
  <c r="G10774" i="1"/>
  <c r="C10774" i="1"/>
  <c r="G10773" i="1"/>
  <c r="C10773" i="1"/>
  <c r="G10772" i="1"/>
  <c r="C10772" i="1"/>
  <c r="G10771" i="1"/>
  <c r="C10771" i="1"/>
  <c r="G10770" i="1"/>
  <c r="C10770" i="1"/>
  <c r="G10769" i="1"/>
  <c r="C10769" i="1"/>
  <c r="G10768" i="1"/>
  <c r="C10768" i="1"/>
  <c r="G10767" i="1"/>
  <c r="C10767" i="1"/>
  <c r="G10766" i="1"/>
  <c r="C10766" i="1"/>
  <c r="G10765" i="1"/>
  <c r="C10765" i="1"/>
  <c r="G10764" i="1"/>
  <c r="C10764" i="1"/>
  <c r="G10763" i="1"/>
  <c r="C10763" i="1"/>
  <c r="G10762" i="1"/>
  <c r="C10762" i="1"/>
  <c r="G10760" i="1"/>
  <c r="C10760" i="1"/>
  <c r="G10759" i="1"/>
  <c r="C10759" i="1"/>
  <c r="G10758" i="1"/>
  <c r="C10758" i="1"/>
  <c r="G10757" i="1"/>
  <c r="C10757" i="1"/>
  <c r="G10756" i="1"/>
  <c r="C10756" i="1"/>
  <c r="G10755" i="1"/>
  <c r="C10755" i="1"/>
  <c r="G10754" i="1"/>
  <c r="C10754" i="1"/>
  <c r="G10753" i="1"/>
  <c r="C10753" i="1"/>
  <c r="G10752" i="1"/>
  <c r="C10752" i="1"/>
  <c r="G10751" i="1"/>
  <c r="C10751" i="1"/>
  <c r="G10750" i="1"/>
  <c r="C10750" i="1"/>
  <c r="G10749" i="1"/>
  <c r="C10749" i="1"/>
  <c r="G10748" i="1"/>
  <c r="C10748" i="1"/>
  <c r="G10747" i="1"/>
  <c r="C10747" i="1"/>
  <c r="G10746" i="1"/>
  <c r="C10746" i="1"/>
  <c r="G10745" i="1"/>
  <c r="C10745" i="1"/>
  <c r="G10744" i="1"/>
  <c r="C10744" i="1"/>
  <c r="G10743" i="1"/>
  <c r="C10743" i="1"/>
  <c r="G10742" i="1"/>
  <c r="C10742" i="1"/>
  <c r="G10741" i="1"/>
  <c r="C10741" i="1"/>
  <c r="G10740" i="1"/>
  <c r="C10740" i="1"/>
  <c r="G10739" i="1"/>
  <c r="C10739" i="1"/>
  <c r="G10738" i="1"/>
  <c r="C10738" i="1"/>
  <c r="G10737" i="1"/>
  <c r="C10737" i="1"/>
  <c r="G10735" i="1"/>
  <c r="C10735" i="1"/>
  <c r="G10734" i="1"/>
  <c r="C10734" i="1"/>
  <c r="G10733" i="1"/>
  <c r="C10733" i="1"/>
  <c r="G10732" i="1"/>
  <c r="C10732" i="1"/>
  <c r="G10731" i="1"/>
  <c r="C10731" i="1"/>
  <c r="G10730" i="1"/>
  <c r="C10730" i="1"/>
  <c r="G10729" i="1"/>
  <c r="C10729" i="1"/>
  <c r="G10728" i="1"/>
  <c r="C10728" i="1"/>
  <c r="G10727" i="1"/>
  <c r="C10727" i="1"/>
  <c r="G10726" i="1"/>
  <c r="C10726" i="1"/>
  <c r="G10725" i="1"/>
  <c r="C10725" i="1"/>
  <c r="G10724" i="1"/>
  <c r="C10724" i="1"/>
  <c r="G10723" i="1"/>
  <c r="C10723" i="1"/>
  <c r="G10722" i="1"/>
  <c r="C10722" i="1"/>
  <c r="G10721" i="1"/>
  <c r="C10721" i="1"/>
  <c r="G10720" i="1"/>
  <c r="C10720" i="1"/>
  <c r="G10719" i="1"/>
  <c r="C10719" i="1"/>
  <c r="G10717" i="1"/>
  <c r="C10717" i="1"/>
  <c r="G10716" i="1"/>
  <c r="C10716" i="1"/>
  <c r="G10715" i="1"/>
  <c r="C10715" i="1"/>
  <c r="G10714" i="1"/>
  <c r="C10714" i="1"/>
  <c r="G10713" i="1"/>
  <c r="C10713" i="1"/>
  <c r="G10712" i="1"/>
  <c r="C10712" i="1"/>
  <c r="G10711" i="1"/>
  <c r="C10711" i="1"/>
  <c r="G10710" i="1"/>
  <c r="C10710" i="1"/>
  <c r="G10709" i="1"/>
  <c r="C10709" i="1"/>
  <c r="G10708" i="1"/>
  <c r="C10708" i="1"/>
  <c r="G10707" i="1"/>
  <c r="C10707" i="1"/>
  <c r="G10706" i="1"/>
  <c r="C10706" i="1"/>
  <c r="G10705" i="1"/>
  <c r="C10705" i="1"/>
  <c r="G10704" i="1"/>
  <c r="C10704" i="1"/>
  <c r="G10703" i="1"/>
  <c r="C10703" i="1"/>
  <c r="G10702" i="1"/>
  <c r="C10702" i="1"/>
  <c r="G10701" i="1"/>
  <c r="C10701" i="1"/>
  <c r="G10700" i="1"/>
  <c r="C10700" i="1"/>
  <c r="G10699" i="1"/>
  <c r="C10699" i="1"/>
  <c r="G10698" i="1"/>
  <c r="C10698" i="1"/>
  <c r="G10697" i="1"/>
  <c r="C10697" i="1"/>
  <c r="G10696" i="1"/>
  <c r="C10696" i="1"/>
  <c r="G10695" i="1"/>
  <c r="C10695" i="1"/>
  <c r="G10694" i="1"/>
  <c r="C10694" i="1"/>
  <c r="G10693" i="1"/>
  <c r="C10693" i="1"/>
  <c r="G10692" i="1"/>
  <c r="C10692" i="1"/>
  <c r="G10691" i="1"/>
  <c r="C10691" i="1"/>
  <c r="G10690" i="1"/>
  <c r="C10690" i="1"/>
  <c r="G10689" i="1"/>
  <c r="C10689" i="1"/>
  <c r="G10687" i="1"/>
  <c r="C10687" i="1"/>
  <c r="G10686" i="1"/>
  <c r="C10686" i="1"/>
  <c r="G10685" i="1"/>
  <c r="C10685" i="1"/>
  <c r="G10684" i="1"/>
  <c r="C10684" i="1"/>
  <c r="G10683" i="1"/>
  <c r="C10683" i="1"/>
  <c r="G10682" i="1"/>
  <c r="C10682" i="1"/>
  <c r="G10681" i="1"/>
  <c r="C10681" i="1"/>
  <c r="G10680" i="1"/>
  <c r="C10680" i="1"/>
  <c r="G10679" i="1"/>
  <c r="C10679" i="1"/>
  <c r="G10678" i="1"/>
  <c r="C10678" i="1"/>
  <c r="G10677" i="1"/>
  <c r="C10677" i="1"/>
  <c r="G10676" i="1"/>
  <c r="C10676" i="1"/>
  <c r="G10675" i="1"/>
  <c r="C10675" i="1"/>
  <c r="G10674" i="1"/>
  <c r="C10674" i="1"/>
  <c r="G10672" i="1"/>
  <c r="C10672" i="1"/>
  <c r="G10671" i="1"/>
  <c r="C10671" i="1"/>
  <c r="G10670" i="1"/>
  <c r="C10670" i="1"/>
  <c r="G10669" i="1"/>
  <c r="C10669" i="1"/>
  <c r="G10668" i="1"/>
  <c r="C10668" i="1"/>
  <c r="G10667" i="1"/>
  <c r="C10667" i="1"/>
  <c r="G10666" i="1"/>
  <c r="C10666" i="1"/>
  <c r="G10665" i="1"/>
  <c r="C10665" i="1"/>
  <c r="G10664" i="1"/>
  <c r="C10664" i="1"/>
  <c r="G10663" i="1"/>
  <c r="C10663" i="1"/>
  <c r="G10662" i="1"/>
  <c r="C10662" i="1"/>
  <c r="G10661" i="1"/>
  <c r="C10661" i="1"/>
  <c r="G10660" i="1"/>
  <c r="C10660" i="1"/>
  <c r="G10659" i="1"/>
  <c r="C10659" i="1"/>
  <c r="G10658" i="1"/>
  <c r="C10658" i="1"/>
  <c r="G10657" i="1"/>
  <c r="C10657" i="1"/>
  <c r="G10656" i="1"/>
  <c r="C10656" i="1"/>
  <c r="G10655" i="1"/>
  <c r="C10655" i="1"/>
  <c r="G10654" i="1"/>
  <c r="C10654" i="1"/>
  <c r="G10653" i="1"/>
  <c r="C10653" i="1"/>
  <c r="G10652" i="1"/>
  <c r="C10652" i="1"/>
  <c r="G10651" i="1"/>
  <c r="C10651" i="1"/>
  <c r="G10650" i="1"/>
  <c r="C10650" i="1"/>
  <c r="G10649" i="1"/>
  <c r="C10649" i="1"/>
  <c r="G10648" i="1"/>
  <c r="C10648" i="1"/>
  <c r="G10647" i="1"/>
  <c r="C10647" i="1"/>
  <c r="G10646" i="1"/>
  <c r="C10646" i="1"/>
  <c r="G10645" i="1"/>
  <c r="C10645" i="1"/>
  <c r="G10643" i="1"/>
  <c r="C10643" i="1"/>
  <c r="G10642" i="1"/>
  <c r="C10642" i="1"/>
  <c r="G10641" i="1"/>
  <c r="C10641" i="1"/>
  <c r="G10640" i="1"/>
  <c r="C10640" i="1"/>
  <c r="G10639" i="1"/>
  <c r="C10639" i="1"/>
  <c r="G10638" i="1"/>
  <c r="C10638" i="1"/>
  <c r="G10637" i="1"/>
  <c r="C10637" i="1"/>
  <c r="G10636" i="1"/>
  <c r="C10636" i="1"/>
  <c r="G10635" i="1"/>
  <c r="C10635" i="1"/>
  <c r="G10634" i="1"/>
  <c r="C10634" i="1"/>
  <c r="G10633" i="1"/>
  <c r="C10633" i="1"/>
  <c r="G10632" i="1"/>
  <c r="C10632" i="1"/>
  <c r="G10631" i="1"/>
  <c r="C10631" i="1"/>
  <c r="G10630" i="1"/>
  <c r="C10630" i="1"/>
  <c r="G10629" i="1"/>
  <c r="C10629" i="1"/>
  <c r="G10628" i="1"/>
  <c r="C10628" i="1"/>
  <c r="G10627" i="1"/>
  <c r="C10627" i="1"/>
  <c r="G10626" i="1"/>
  <c r="C10626" i="1"/>
  <c r="G10625" i="1"/>
  <c r="C10625" i="1"/>
  <c r="G10624" i="1"/>
  <c r="C10624" i="1"/>
  <c r="G10623" i="1"/>
  <c r="C10623" i="1"/>
  <c r="G10622" i="1"/>
  <c r="C10622" i="1"/>
  <c r="G10621" i="1"/>
  <c r="C10621" i="1"/>
  <c r="G10620" i="1"/>
  <c r="C10620" i="1"/>
  <c r="G10619" i="1"/>
  <c r="C10619" i="1"/>
  <c r="G10618" i="1"/>
  <c r="C10618" i="1"/>
  <c r="G10617" i="1"/>
  <c r="C10617" i="1"/>
  <c r="G10616" i="1"/>
  <c r="C10616" i="1"/>
  <c r="G10615" i="1"/>
  <c r="C10615" i="1"/>
  <c r="G10614" i="1"/>
  <c r="C10614" i="1"/>
  <c r="G10613" i="1"/>
  <c r="C10613" i="1"/>
  <c r="G10612" i="1"/>
  <c r="C10612" i="1"/>
  <c r="G10611" i="1"/>
  <c r="C10611" i="1"/>
  <c r="G10610" i="1"/>
  <c r="C10610" i="1"/>
  <c r="G10609" i="1"/>
  <c r="C10609" i="1"/>
  <c r="G10608" i="1"/>
  <c r="C10608" i="1"/>
  <c r="G10607" i="1"/>
  <c r="C10607" i="1"/>
  <c r="G10606" i="1"/>
  <c r="C10606" i="1"/>
  <c r="G10605" i="1"/>
  <c r="C10605" i="1"/>
  <c r="G10604" i="1"/>
  <c r="C10604" i="1"/>
  <c r="G10603" i="1"/>
  <c r="C10603" i="1"/>
  <c r="G10602" i="1"/>
  <c r="C10602" i="1"/>
  <c r="G10601" i="1"/>
  <c r="C10601" i="1"/>
  <c r="G10600" i="1"/>
  <c r="C10600" i="1"/>
  <c r="G10599" i="1"/>
  <c r="C10599" i="1"/>
  <c r="G10598" i="1"/>
  <c r="C10598" i="1"/>
  <c r="G10597" i="1"/>
  <c r="C10597" i="1"/>
  <c r="G10596" i="1"/>
  <c r="C10596" i="1"/>
  <c r="G10595" i="1"/>
  <c r="C10595" i="1"/>
  <c r="G10594" i="1"/>
  <c r="C10594" i="1"/>
  <c r="G10593" i="1"/>
  <c r="C10593" i="1"/>
  <c r="G10592" i="1"/>
  <c r="C10592" i="1"/>
  <c r="G10591" i="1"/>
  <c r="C10591" i="1"/>
  <c r="G10590" i="1"/>
  <c r="C10590" i="1"/>
  <c r="G10589" i="1"/>
  <c r="C10589" i="1"/>
  <c r="G10588" i="1"/>
  <c r="C10588" i="1"/>
  <c r="G10587" i="1"/>
  <c r="C10587" i="1"/>
  <c r="G10586" i="1"/>
  <c r="C10586" i="1"/>
  <c r="G10585" i="1"/>
  <c r="C10585" i="1"/>
  <c r="G10584" i="1"/>
  <c r="C10584" i="1"/>
  <c r="G10583" i="1"/>
  <c r="C10583" i="1"/>
  <c r="G10582" i="1"/>
  <c r="C10582" i="1"/>
  <c r="G10581" i="1"/>
  <c r="C10581" i="1"/>
  <c r="G10580" i="1"/>
  <c r="C10580" i="1"/>
  <c r="G10579" i="1"/>
  <c r="C10579" i="1"/>
  <c r="G10578" i="1"/>
  <c r="C10578" i="1"/>
  <c r="G10577" i="1"/>
  <c r="C10577" i="1"/>
  <c r="G10576" i="1"/>
  <c r="C10576" i="1"/>
  <c r="G10575" i="1"/>
  <c r="C10575" i="1"/>
  <c r="G10574" i="1"/>
  <c r="C10574" i="1"/>
  <c r="G10573" i="1"/>
  <c r="C10573" i="1"/>
  <c r="G10572" i="1"/>
  <c r="C10572" i="1"/>
  <c r="G10571" i="1"/>
  <c r="C10571" i="1"/>
  <c r="G10570" i="1"/>
  <c r="C10570" i="1"/>
  <c r="G10569" i="1"/>
  <c r="C10569" i="1"/>
  <c r="G10567" i="1"/>
  <c r="C10567" i="1"/>
  <c r="G10566" i="1"/>
  <c r="C10566" i="1"/>
  <c r="G10565" i="1"/>
  <c r="C10565" i="1"/>
  <c r="G10564" i="1"/>
  <c r="C10564" i="1"/>
  <c r="G10563" i="1"/>
  <c r="C10563" i="1"/>
  <c r="G10562" i="1"/>
  <c r="C10562" i="1"/>
  <c r="G10561" i="1"/>
  <c r="C10561" i="1"/>
  <c r="G10560" i="1"/>
  <c r="C10560" i="1"/>
  <c r="G10559" i="1"/>
  <c r="C10559" i="1"/>
  <c r="G10558" i="1"/>
  <c r="C10558" i="1"/>
  <c r="G10557" i="1"/>
  <c r="C10557" i="1"/>
  <c r="G10556" i="1"/>
  <c r="C10556" i="1"/>
  <c r="G10555" i="1"/>
  <c r="C10555" i="1"/>
  <c r="G10553" i="1"/>
  <c r="C10553" i="1"/>
  <c r="G10552" i="1"/>
  <c r="C10552" i="1"/>
  <c r="G10551" i="1"/>
  <c r="C10551" i="1"/>
  <c r="G10550" i="1"/>
  <c r="C10550" i="1"/>
  <c r="G10549" i="1"/>
  <c r="C10549" i="1"/>
  <c r="G10548" i="1"/>
  <c r="C10548" i="1"/>
  <c r="G10547" i="1"/>
  <c r="C10547" i="1"/>
  <c r="G10546" i="1"/>
  <c r="C10546" i="1"/>
  <c r="G10545" i="1"/>
  <c r="C10545" i="1"/>
  <c r="G10544" i="1"/>
  <c r="C10544" i="1"/>
  <c r="G10543" i="1"/>
  <c r="C10543" i="1"/>
  <c r="G10542" i="1"/>
  <c r="C10542" i="1"/>
  <c r="G10541" i="1"/>
  <c r="C10541" i="1"/>
  <c r="G10540" i="1"/>
  <c r="C10540" i="1"/>
  <c r="G10538" i="1"/>
  <c r="C10538" i="1"/>
  <c r="G10537" i="1"/>
  <c r="C10537" i="1"/>
  <c r="G10536" i="1"/>
  <c r="C10536" i="1"/>
  <c r="G10535" i="1"/>
  <c r="C10535" i="1"/>
  <c r="G10534" i="1"/>
  <c r="C10534" i="1"/>
  <c r="G10533" i="1"/>
  <c r="C10533" i="1"/>
  <c r="G10532" i="1"/>
  <c r="C10532" i="1"/>
  <c r="G10531" i="1"/>
  <c r="C10531" i="1"/>
  <c r="G10530" i="1"/>
  <c r="C10530" i="1"/>
  <c r="G10529" i="1"/>
  <c r="C10529" i="1"/>
  <c r="G10528" i="1"/>
  <c r="C10528" i="1"/>
  <c r="G10527" i="1"/>
  <c r="C10527" i="1"/>
  <c r="G10525" i="1"/>
  <c r="C10525" i="1"/>
  <c r="G10524" i="1"/>
  <c r="C10524" i="1"/>
  <c r="G10522" i="1"/>
  <c r="C10522" i="1"/>
  <c r="G10521" i="1"/>
  <c r="C10521" i="1"/>
  <c r="G10520" i="1"/>
  <c r="C10520" i="1"/>
  <c r="G10519" i="1"/>
  <c r="C10519" i="1"/>
  <c r="G10518" i="1"/>
  <c r="C10518" i="1"/>
  <c r="G10517" i="1"/>
  <c r="C10517" i="1"/>
  <c r="G10516" i="1"/>
  <c r="C10516" i="1"/>
  <c r="G10515" i="1"/>
  <c r="C10515" i="1"/>
  <c r="G10514" i="1"/>
  <c r="C10514" i="1"/>
  <c r="G10513" i="1"/>
  <c r="C10513" i="1"/>
  <c r="G10512" i="1"/>
  <c r="C10512" i="1"/>
  <c r="G10511" i="1"/>
  <c r="C10511" i="1"/>
  <c r="G10510" i="1"/>
  <c r="C10510" i="1"/>
  <c r="G10509" i="1"/>
  <c r="C10509" i="1"/>
  <c r="G10508" i="1"/>
  <c r="C10508" i="1"/>
  <c r="G10507" i="1"/>
  <c r="C10507" i="1"/>
  <c r="G10506" i="1"/>
  <c r="C10506" i="1"/>
  <c r="G10505" i="1"/>
  <c r="C10505" i="1"/>
  <c r="G10504" i="1"/>
  <c r="C10504" i="1"/>
  <c r="G10503" i="1"/>
  <c r="C10503" i="1"/>
  <c r="G10502" i="1"/>
  <c r="C10502" i="1"/>
  <c r="G10501" i="1"/>
  <c r="C10501" i="1"/>
  <c r="G10500" i="1"/>
  <c r="C10500" i="1"/>
  <c r="G10499" i="1"/>
  <c r="C10499" i="1"/>
  <c r="G10498" i="1"/>
  <c r="C10498" i="1"/>
  <c r="G10496" i="1"/>
  <c r="C10496" i="1"/>
  <c r="G10495" i="1"/>
  <c r="C10495" i="1"/>
  <c r="G10494" i="1"/>
  <c r="C10494" i="1"/>
  <c r="G10493" i="1"/>
  <c r="C10493" i="1"/>
  <c r="G10491" i="1"/>
  <c r="C10491" i="1"/>
  <c r="G10490" i="1"/>
  <c r="C10490" i="1"/>
  <c r="G10489" i="1"/>
  <c r="C10489" i="1"/>
  <c r="G10488" i="1"/>
  <c r="C10488" i="1"/>
  <c r="G10487" i="1"/>
  <c r="C10487" i="1"/>
  <c r="G10486" i="1"/>
  <c r="C10486" i="1"/>
  <c r="G10483" i="1"/>
  <c r="C10483" i="1"/>
  <c r="G10482" i="1"/>
  <c r="C10482" i="1"/>
  <c r="G10481" i="1"/>
  <c r="C10481" i="1"/>
  <c r="G10480" i="1"/>
  <c r="C10480" i="1"/>
  <c r="G10479" i="1"/>
  <c r="C10479" i="1"/>
  <c r="G10478" i="1"/>
  <c r="C10478" i="1"/>
  <c r="G10477" i="1"/>
  <c r="C10477" i="1"/>
  <c r="G10476" i="1"/>
  <c r="C10476" i="1"/>
  <c r="G10475" i="1"/>
  <c r="C10475" i="1"/>
  <c r="G10474" i="1"/>
  <c r="C10474" i="1"/>
  <c r="G10473" i="1"/>
  <c r="C10473" i="1"/>
  <c r="G10472" i="1"/>
  <c r="C10472" i="1"/>
  <c r="G10471" i="1"/>
  <c r="C10471" i="1"/>
  <c r="G10470" i="1"/>
  <c r="C10470" i="1"/>
  <c r="G10469" i="1"/>
  <c r="C10469" i="1"/>
  <c r="G10468" i="1"/>
  <c r="C10468" i="1"/>
  <c r="G10467" i="1"/>
  <c r="C10467" i="1"/>
  <c r="G10466" i="1"/>
  <c r="C10466" i="1"/>
  <c r="G10465" i="1"/>
  <c r="C10465" i="1"/>
  <c r="G10464" i="1"/>
  <c r="C10464" i="1"/>
  <c r="G10463" i="1"/>
  <c r="C10463" i="1"/>
  <c r="G10462" i="1"/>
  <c r="C10462" i="1"/>
  <c r="G10461" i="1"/>
  <c r="C10461" i="1"/>
  <c r="G10460" i="1"/>
  <c r="C10460" i="1"/>
  <c r="G10459" i="1"/>
  <c r="C10459" i="1"/>
  <c r="G10458" i="1"/>
  <c r="C10458" i="1"/>
  <c r="G10457" i="1"/>
  <c r="C10457" i="1"/>
  <c r="G10456" i="1"/>
  <c r="C10456" i="1"/>
  <c r="G10455" i="1"/>
  <c r="C10455" i="1"/>
  <c r="G10454" i="1"/>
  <c r="C10454" i="1"/>
  <c r="G10453" i="1"/>
  <c r="C10453" i="1"/>
  <c r="G10452" i="1"/>
  <c r="C10452" i="1"/>
  <c r="G10451" i="1"/>
  <c r="C10451" i="1"/>
  <c r="G10450" i="1"/>
  <c r="C10450" i="1"/>
  <c r="G10449" i="1"/>
  <c r="C10449" i="1"/>
  <c r="G10448" i="1"/>
  <c r="C10448" i="1"/>
  <c r="G10447" i="1"/>
  <c r="C10447" i="1"/>
  <c r="G10446" i="1"/>
  <c r="C10446" i="1"/>
  <c r="G10445" i="1"/>
  <c r="C10445" i="1"/>
  <c r="G10444" i="1"/>
  <c r="C10444" i="1"/>
  <c r="G10443" i="1"/>
  <c r="C10443" i="1"/>
  <c r="G10442" i="1"/>
  <c r="C10442" i="1"/>
  <c r="G10441" i="1"/>
  <c r="C10441" i="1"/>
  <c r="G10440" i="1"/>
  <c r="C10440" i="1"/>
  <c r="G10439" i="1"/>
  <c r="C10439" i="1"/>
  <c r="G10438" i="1"/>
  <c r="C10438" i="1"/>
  <c r="G10437" i="1"/>
  <c r="C10437" i="1"/>
  <c r="G10436" i="1"/>
  <c r="C10436" i="1"/>
  <c r="G10435" i="1"/>
  <c r="C10435" i="1"/>
  <c r="G10434" i="1"/>
  <c r="C10434" i="1"/>
  <c r="G10433" i="1"/>
  <c r="C10433" i="1"/>
  <c r="G10432" i="1"/>
  <c r="C10432" i="1"/>
  <c r="G10431" i="1"/>
  <c r="C10431" i="1"/>
  <c r="G10430" i="1"/>
  <c r="C10430" i="1"/>
  <c r="G10429" i="1"/>
  <c r="C10429" i="1"/>
  <c r="G10427" i="1"/>
  <c r="C10427" i="1"/>
  <c r="G10426" i="1"/>
  <c r="C10426" i="1"/>
  <c r="G10425" i="1"/>
  <c r="C10425" i="1"/>
  <c r="G10424" i="1"/>
  <c r="C10424" i="1"/>
  <c r="G10423" i="1"/>
  <c r="C10423" i="1"/>
  <c r="G10422" i="1"/>
  <c r="C10422" i="1"/>
  <c r="G10421" i="1"/>
  <c r="C10421" i="1"/>
  <c r="G10420" i="1"/>
  <c r="C10420" i="1"/>
  <c r="G10419" i="1"/>
  <c r="C10419" i="1"/>
  <c r="G10418" i="1"/>
  <c r="C10418" i="1"/>
  <c r="G10417" i="1"/>
  <c r="C10417" i="1"/>
  <c r="G10416" i="1"/>
  <c r="C10416" i="1"/>
  <c r="G10415" i="1"/>
  <c r="C10415" i="1"/>
  <c r="G10414" i="1"/>
  <c r="C10414" i="1"/>
  <c r="G10413" i="1"/>
  <c r="C10413" i="1"/>
  <c r="G10412" i="1"/>
  <c r="C10412" i="1"/>
  <c r="G10411" i="1"/>
  <c r="C10411" i="1"/>
  <c r="G10410" i="1"/>
  <c r="C10410" i="1"/>
  <c r="G10409" i="1"/>
  <c r="C10409" i="1"/>
  <c r="G10408" i="1"/>
  <c r="C10408" i="1"/>
  <c r="G10407" i="1"/>
  <c r="C10407" i="1"/>
  <c r="G10406" i="1"/>
  <c r="C10406" i="1"/>
  <c r="G10405" i="1"/>
  <c r="C10405" i="1"/>
  <c r="G10404" i="1"/>
  <c r="C10404" i="1"/>
  <c r="G10403" i="1"/>
  <c r="C10403" i="1"/>
  <c r="G10402" i="1"/>
  <c r="C10402" i="1"/>
  <c r="G10401" i="1"/>
  <c r="C10401" i="1"/>
  <c r="G10400" i="1"/>
  <c r="C10400" i="1"/>
  <c r="G10399" i="1"/>
  <c r="C10399" i="1"/>
  <c r="G10398" i="1"/>
  <c r="C10398" i="1"/>
  <c r="G10397" i="1"/>
  <c r="C10397" i="1"/>
  <c r="G10396" i="1"/>
  <c r="C10396" i="1"/>
  <c r="G10395" i="1"/>
  <c r="C10395" i="1"/>
  <c r="G10394" i="1"/>
  <c r="C10394" i="1"/>
  <c r="G10393" i="1"/>
  <c r="C10393" i="1"/>
  <c r="G10392" i="1"/>
  <c r="C10392" i="1"/>
  <c r="G10391" i="1"/>
  <c r="C10391" i="1"/>
  <c r="G10390" i="1"/>
  <c r="C10390" i="1"/>
  <c r="G10389" i="1"/>
  <c r="C10389" i="1"/>
  <c r="G10388" i="1"/>
  <c r="C10388" i="1"/>
  <c r="G10387" i="1"/>
  <c r="C10387" i="1"/>
  <c r="G10386" i="1"/>
  <c r="C10386" i="1"/>
  <c r="G10385" i="1"/>
  <c r="C10385" i="1"/>
  <c r="G10384" i="1"/>
  <c r="C10384" i="1"/>
  <c r="G10383" i="1"/>
  <c r="C10383" i="1"/>
  <c r="G10381" i="1"/>
  <c r="C10381" i="1"/>
  <c r="G10380" i="1"/>
  <c r="C10380" i="1"/>
  <c r="G10377" i="1"/>
  <c r="C10377" i="1"/>
  <c r="G10376" i="1"/>
  <c r="C10376" i="1"/>
  <c r="G10375" i="1"/>
  <c r="C10375" i="1"/>
  <c r="G10374" i="1"/>
  <c r="C10374" i="1"/>
  <c r="G10373" i="1"/>
  <c r="C10373" i="1"/>
  <c r="G10372" i="1"/>
  <c r="C10372" i="1"/>
  <c r="G10371" i="1"/>
  <c r="C10371" i="1"/>
  <c r="G10370" i="1"/>
  <c r="C10370" i="1"/>
  <c r="G10369" i="1"/>
  <c r="C10369" i="1"/>
  <c r="G10368" i="1"/>
  <c r="C10368" i="1"/>
  <c r="G10367" i="1"/>
  <c r="C10367" i="1"/>
  <c r="G10366" i="1"/>
  <c r="C10366" i="1"/>
  <c r="G10365" i="1"/>
  <c r="C10365" i="1"/>
  <c r="G10364" i="1"/>
  <c r="C10364" i="1"/>
  <c r="G10363" i="1"/>
  <c r="C10363" i="1"/>
  <c r="G10362" i="1"/>
  <c r="C10362" i="1"/>
  <c r="G10361" i="1"/>
  <c r="C10361" i="1"/>
  <c r="G10360" i="1"/>
  <c r="C10360" i="1"/>
  <c r="G10359" i="1"/>
  <c r="C10359" i="1"/>
  <c r="G10358" i="1"/>
  <c r="C10358" i="1"/>
  <c r="G10357" i="1"/>
  <c r="C10357" i="1"/>
  <c r="G10356" i="1"/>
  <c r="C10356" i="1"/>
  <c r="G10355" i="1"/>
  <c r="C10355" i="1"/>
  <c r="G10354" i="1"/>
  <c r="C10354" i="1"/>
  <c r="G10353" i="1"/>
  <c r="C10353" i="1"/>
  <c r="G10352" i="1"/>
  <c r="C10352" i="1"/>
  <c r="G10351" i="1"/>
  <c r="C10351" i="1"/>
  <c r="G10350" i="1"/>
  <c r="C10350" i="1"/>
  <c r="G10349" i="1"/>
  <c r="C10349" i="1"/>
  <c r="G10348" i="1"/>
  <c r="C10348" i="1"/>
  <c r="G10347" i="1"/>
  <c r="C10347" i="1"/>
  <c r="G10346" i="1"/>
  <c r="C10346" i="1"/>
  <c r="G10345" i="1"/>
  <c r="C10345" i="1"/>
  <c r="G10344" i="1"/>
  <c r="C10344" i="1"/>
  <c r="G10343" i="1"/>
  <c r="C10343" i="1"/>
  <c r="G10342" i="1"/>
  <c r="C10342" i="1"/>
  <c r="G10341" i="1"/>
  <c r="C10341" i="1"/>
  <c r="G10340" i="1"/>
  <c r="C10340" i="1"/>
  <c r="G10339" i="1"/>
  <c r="C10339" i="1"/>
  <c r="G10338" i="1"/>
  <c r="C10338" i="1"/>
  <c r="G10337" i="1"/>
  <c r="C10337" i="1"/>
  <c r="G10336" i="1"/>
  <c r="C10336" i="1"/>
  <c r="G10335" i="1"/>
  <c r="C10335" i="1"/>
  <c r="G10334" i="1"/>
  <c r="C10334" i="1"/>
  <c r="G10333" i="1"/>
  <c r="C10333" i="1"/>
  <c r="G10332" i="1"/>
  <c r="C10332" i="1"/>
  <c r="G10331" i="1"/>
  <c r="C10331" i="1"/>
  <c r="G10330" i="1"/>
  <c r="C10330" i="1"/>
  <c r="G10329" i="1"/>
  <c r="C10329" i="1"/>
  <c r="G10328" i="1"/>
  <c r="C10328" i="1"/>
  <c r="G10327" i="1"/>
  <c r="C10327" i="1"/>
  <c r="G10326" i="1"/>
  <c r="C10326" i="1"/>
  <c r="G10325" i="1"/>
  <c r="C10325" i="1"/>
  <c r="G10324" i="1"/>
  <c r="C10324" i="1"/>
  <c r="G10323" i="1"/>
  <c r="C10323" i="1"/>
  <c r="G10322" i="1"/>
  <c r="C10322" i="1"/>
  <c r="G10321" i="1"/>
  <c r="C10321" i="1"/>
  <c r="G10320" i="1"/>
  <c r="C10320" i="1"/>
  <c r="G10319" i="1"/>
  <c r="C10319" i="1"/>
  <c r="G10318" i="1"/>
  <c r="C10318" i="1"/>
  <c r="G10317" i="1"/>
  <c r="C10317" i="1"/>
  <c r="G10316" i="1"/>
  <c r="C10316" i="1"/>
  <c r="G10315" i="1"/>
  <c r="C10315" i="1"/>
  <c r="G10314" i="1"/>
  <c r="C10314" i="1"/>
  <c r="G10313" i="1"/>
  <c r="C10313" i="1"/>
  <c r="G10312" i="1"/>
  <c r="C10312" i="1"/>
  <c r="G10311" i="1"/>
  <c r="C10311" i="1"/>
  <c r="G10310" i="1"/>
  <c r="C10310" i="1"/>
  <c r="G10309" i="1"/>
  <c r="C10309" i="1"/>
  <c r="G10308" i="1"/>
  <c r="C10308" i="1"/>
  <c r="G10307" i="1"/>
  <c r="C10307" i="1"/>
  <c r="G10306" i="1"/>
  <c r="C10306" i="1"/>
  <c r="G10305" i="1"/>
  <c r="C10305" i="1"/>
  <c r="G10304" i="1"/>
  <c r="C10304" i="1"/>
  <c r="G10303" i="1"/>
  <c r="C10303" i="1"/>
  <c r="G10302" i="1"/>
  <c r="C10302" i="1"/>
  <c r="G10301" i="1"/>
  <c r="C10301" i="1"/>
  <c r="G10300" i="1"/>
  <c r="C10300" i="1"/>
  <c r="G10299" i="1"/>
  <c r="C10299" i="1"/>
  <c r="G10297" i="1"/>
  <c r="C10297" i="1"/>
  <c r="G10296" i="1"/>
  <c r="C10296" i="1"/>
  <c r="G10295" i="1"/>
  <c r="C10295" i="1"/>
  <c r="G10294" i="1"/>
  <c r="C10294" i="1"/>
  <c r="G10293" i="1"/>
  <c r="C10293" i="1"/>
  <c r="G10292" i="1"/>
  <c r="C10292" i="1"/>
  <c r="G10290" i="1"/>
  <c r="C10290" i="1"/>
  <c r="G10289" i="1"/>
  <c r="C10289" i="1"/>
  <c r="G10288" i="1"/>
  <c r="C10288" i="1"/>
  <c r="G10287" i="1"/>
  <c r="C10287" i="1"/>
  <c r="G10286" i="1"/>
  <c r="C10286" i="1"/>
  <c r="G10285" i="1"/>
  <c r="C10285" i="1"/>
  <c r="G10284" i="1"/>
  <c r="C10284" i="1"/>
  <c r="G10283" i="1"/>
  <c r="C10283" i="1"/>
  <c r="G10282" i="1"/>
  <c r="C10282" i="1"/>
  <c r="G10281" i="1"/>
  <c r="C10281" i="1"/>
  <c r="G10280" i="1"/>
  <c r="C10280" i="1"/>
  <c r="G10279" i="1"/>
  <c r="C10279" i="1"/>
  <c r="G10278" i="1"/>
  <c r="C10278" i="1"/>
  <c r="G10277" i="1"/>
  <c r="C10277" i="1"/>
  <c r="G10276" i="1"/>
  <c r="C10276" i="1"/>
  <c r="G10275" i="1"/>
  <c r="C10275" i="1"/>
  <c r="G10274" i="1"/>
  <c r="C10274" i="1"/>
  <c r="G10273" i="1"/>
  <c r="C10273" i="1"/>
  <c r="G10272" i="1"/>
  <c r="C10272" i="1"/>
  <c r="G10271" i="1"/>
  <c r="C10271" i="1"/>
  <c r="G10270" i="1"/>
  <c r="C10270" i="1"/>
  <c r="G10269" i="1"/>
  <c r="C10269" i="1"/>
  <c r="G10268" i="1"/>
  <c r="C10268" i="1"/>
  <c r="G10267" i="1"/>
  <c r="C10267" i="1"/>
  <c r="G10266" i="1"/>
  <c r="C10266" i="1"/>
  <c r="G10265" i="1"/>
  <c r="C10265" i="1"/>
  <c r="G10264" i="1"/>
  <c r="C10264" i="1"/>
  <c r="G10263" i="1"/>
  <c r="C10263" i="1"/>
  <c r="G10262" i="1"/>
  <c r="C10262" i="1"/>
  <c r="G10261" i="1"/>
  <c r="C10261" i="1"/>
  <c r="G10260" i="1"/>
  <c r="C10260" i="1"/>
  <c r="G10259" i="1"/>
  <c r="C10259" i="1"/>
  <c r="G10258" i="1"/>
  <c r="C10258" i="1"/>
  <c r="G10257" i="1"/>
  <c r="C10257" i="1"/>
  <c r="G10256" i="1"/>
  <c r="C10256" i="1"/>
  <c r="G10255" i="1"/>
  <c r="C10255" i="1"/>
  <c r="G10254" i="1"/>
  <c r="C10254" i="1"/>
  <c r="G10253" i="1"/>
  <c r="C10253" i="1"/>
  <c r="G10252" i="1"/>
  <c r="C10252" i="1"/>
  <c r="G10251" i="1"/>
  <c r="C10251" i="1"/>
  <c r="G10250" i="1"/>
  <c r="C10250" i="1"/>
  <c r="G10249" i="1"/>
  <c r="C10249" i="1"/>
  <c r="G10248" i="1"/>
  <c r="C10248" i="1"/>
  <c r="G10247" i="1"/>
  <c r="C10247" i="1"/>
  <c r="G10246" i="1"/>
  <c r="C10246" i="1"/>
  <c r="G10244" i="1"/>
  <c r="C10244" i="1"/>
  <c r="G10243" i="1"/>
  <c r="C10243" i="1"/>
  <c r="G10242" i="1"/>
  <c r="C10242" i="1"/>
  <c r="G10241" i="1"/>
  <c r="C10241" i="1"/>
  <c r="G10240" i="1"/>
  <c r="C10240" i="1"/>
  <c r="G10239" i="1"/>
  <c r="C10239" i="1"/>
  <c r="G10238" i="1"/>
  <c r="C10238" i="1"/>
  <c r="G10237" i="1"/>
  <c r="C10237" i="1"/>
  <c r="G10236" i="1"/>
  <c r="C10236" i="1"/>
  <c r="G10235" i="1"/>
  <c r="C10235" i="1"/>
  <c r="G10234" i="1"/>
  <c r="C10234" i="1"/>
  <c r="G10233" i="1"/>
  <c r="C10233" i="1"/>
  <c r="G10232" i="1"/>
  <c r="C10232" i="1"/>
  <c r="G10231" i="1"/>
  <c r="C10231" i="1"/>
  <c r="G10230" i="1"/>
  <c r="C10230" i="1"/>
  <c r="G10229" i="1"/>
  <c r="C10229" i="1"/>
  <c r="G10228" i="1"/>
  <c r="C10228" i="1"/>
  <c r="G10227" i="1"/>
  <c r="C10227" i="1"/>
  <c r="G10226" i="1"/>
  <c r="C10226" i="1"/>
  <c r="G10225" i="1"/>
  <c r="C10225" i="1"/>
  <c r="G10224" i="1"/>
  <c r="C10224" i="1"/>
  <c r="G10223" i="1"/>
  <c r="C10223" i="1"/>
  <c r="G10222" i="1"/>
  <c r="C10222" i="1"/>
  <c r="G10221" i="1"/>
  <c r="C10221" i="1"/>
  <c r="G10220" i="1"/>
  <c r="C10220" i="1"/>
  <c r="G10219" i="1"/>
  <c r="C10219" i="1"/>
  <c r="G10218" i="1"/>
  <c r="C10218" i="1"/>
  <c r="G10217" i="1"/>
  <c r="C10217" i="1"/>
  <c r="G10216" i="1"/>
  <c r="C10216" i="1"/>
  <c r="G10215" i="1"/>
  <c r="C10215" i="1"/>
  <c r="G10214" i="1"/>
  <c r="C10214" i="1"/>
  <c r="G10213" i="1"/>
  <c r="C10213" i="1"/>
  <c r="G10212" i="1"/>
  <c r="C10212" i="1"/>
  <c r="G10211" i="1"/>
  <c r="C10211" i="1"/>
  <c r="G10210" i="1"/>
  <c r="C10210" i="1"/>
  <c r="G10209" i="1"/>
  <c r="C10209" i="1"/>
  <c r="G10208" i="1"/>
  <c r="C10208" i="1"/>
  <c r="G10206" i="1"/>
  <c r="C10206" i="1"/>
  <c r="G10205" i="1"/>
  <c r="C10205" i="1"/>
  <c r="G10204" i="1"/>
  <c r="C10204" i="1"/>
  <c r="G10203" i="1"/>
  <c r="C10203" i="1"/>
  <c r="G10202" i="1"/>
  <c r="C10202" i="1"/>
  <c r="G10201" i="1"/>
  <c r="C10201" i="1"/>
  <c r="G10200" i="1"/>
  <c r="C10200" i="1"/>
  <c r="G10199" i="1"/>
  <c r="C10199" i="1"/>
  <c r="G10198" i="1"/>
  <c r="C10198" i="1"/>
  <c r="G10197" i="1"/>
  <c r="C10197" i="1"/>
  <c r="G10196" i="1"/>
  <c r="C10196" i="1"/>
  <c r="G10194" i="1"/>
  <c r="C10194" i="1"/>
  <c r="G10193" i="1"/>
  <c r="C10193" i="1"/>
  <c r="G10192" i="1"/>
  <c r="C10192" i="1"/>
  <c r="G10191" i="1"/>
  <c r="C10191" i="1"/>
  <c r="G10190" i="1"/>
  <c r="C10190" i="1"/>
  <c r="G10189" i="1"/>
  <c r="C10189" i="1"/>
  <c r="G10188" i="1"/>
  <c r="C10188" i="1"/>
  <c r="G10187" i="1"/>
  <c r="C10187" i="1"/>
  <c r="G10186" i="1"/>
  <c r="C10186" i="1"/>
  <c r="G10185" i="1"/>
  <c r="C10185" i="1"/>
  <c r="G10184" i="1"/>
  <c r="C10184" i="1"/>
  <c r="G10183" i="1"/>
  <c r="C10183" i="1"/>
  <c r="G10182" i="1"/>
  <c r="C10182" i="1"/>
  <c r="G10181" i="1"/>
  <c r="C10181" i="1"/>
  <c r="G10180" i="1"/>
  <c r="C10180" i="1"/>
  <c r="G10179" i="1"/>
  <c r="C10179" i="1"/>
  <c r="G10178" i="1"/>
  <c r="C10178" i="1"/>
  <c r="G10177" i="1"/>
  <c r="C10177" i="1"/>
  <c r="G10176" i="1"/>
  <c r="C10176" i="1"/>
  <c r="G10175" i="1"/>
  <c r="C10175" i="1"/>
  <c r="G10174" i="1"/>
  <c r="C10174" i="1"/>
  <c r="G10173" i="1"/>
  <c r="C10173" i="1"/>
  <c r="G10172" i="1"/>
  <c r="C10172" i="1"/>
  <c r="G10171" i="1"/>
  <c r="C10171" i="1"/>
  <c r="G10170" i="1"/>
  <c r="C10170" i="1"/>
  <c r="G10169" i="1"/>
  <c r="C10169" i="1"/>
  <c r="G10168" i="1"/>
  <c r="C10168" i="1"/>
  <c r="G10167" i="1"/>
  <c r="C10167" i="1"/>
  <c r="G10166" i="1"/>
  <c r="C10166" i="1"/>
  <c r="G10165" i="1"/>
  <c r="C10165" i="1"/>
  <c r="G10164" i="1"/>
  <c r="C10164" i="1"/>
  <c r="G10163" i="1"/>
  <c r="C10163" i="1"/>
  <c r="G10162" i="1"/>
  <c r="C10162" i="1"/>
  <c r="G10161" i="1"/>
  <c r="C10161" i="1"/>
  <c r="G10160" i="1"/>
  <c r="C10160" i="1"/>
  <c r="G10159" i="1"/>
  <c r="C10159" i="1"/>
  <c r="G10158" i="1"/>
  <c r="C10158" i="1"/>
  <c r="G10157" i="1"/>
  <c r="C10157" i="1"/>
  <c r="G10156" i="1"/>
  <c r="C10156" i="1"/>
  <c r="G10155" i="1"/>
  <c r="C10155" i="1"/>
  <c r="G10154" i="1"/>
  <c r="C10154" i="1"/>
  <c r="G10153" i="1"/>
  <c r="C10153" i="1"/>
  <c r="G10152" i="1"/>
  <c r="C10152" i="1"/>
  <c r="G10151" i="1"/>
  <c r="C10151" i="1"/>
  <c r="G10150" i="1"/>
  <c r="C10150" i="1"/>
  <c r="G10149" i="1"/>
  <c r="C10149" i="1"/>
  <c r="G10148" i="1"/>
  <c r="C10148" i="1"/>
  <c r="G10147" i="1"/>
  <c r="C10147" i="1"/>
  <c r="G10145" i="1"/>
  <c r="C10145" i="1"/>
  <c r="G10144" i="1"/>
  <c r="C10144" i="1"/>
  <c r="G10143" i="1"/>
  <c r="C10143" i="1"/>
  <c r="G10142" i="1"/>
  <c r="C10142" i="1"/>
  <c r="G10141" i="1"/>
  <c r="C10141" i="1"/>
  <c r="G10140" i="1"/>
  <c r="C10140" i="1"/>
  <c r="G10139" i="1"/>
  <c r="C10139" i="1"/>
  <c r="G10138" i="1"/>
  <c r="C10138" i="1"/>
  <c r="G10137" i="1"/>
  <c r="C10137" i="1"/>
  <c r="G10136" i="1"/>
  <c r="C10136" i="1"/>
  <c r="G10135" i="1"/>
  <c r="C10135" i="1"/>
  <c r="G10134" i="1"/>
  <c r="C10134" i="1"/>
  <c r="G10133" i="1"/>
  <c r="C10133" i="1"/>
  <c r="G10132" i="1"/>
  <c r="C10132" i="1"/>
  <c r="G10131" i="1"/>
  <c r="C10131" i="1"/>
  <c r="G10130" i="1"/>
  <c r="C10130" i="1"/>
  <c r="G10129" i="1"/>
  <c r="C10129" i="1"/>
  <c r="G10128" i="1"/>
  <c r="C10128" i="1"/>
  <c r="G10127" i="1"/>
  <c r="C10127" i="1"/>
  <c r="G10126" i="1"/>
  <c r="C10126" i="1"/>
  <c r="G10125" i="1"/>
  <c r="C10125" i="1"/>
  <c r="G10124" i="1"/>
  <c r="C10124" i="1"/>
  <c r="G10123" i="1"/>
  <c r="C10123" i="1"/>
  <c r="G10122" i="1"/>
  <c r="C10122" i="1"/>
  <c r="G10121" i="1"/>
  <c r="C10121" i="1"/>
  <c r="G10119" i="1"/>
  <c r="C10119" i="1"/>
  <c r="G10118" i="1"/>
  <c r="C10118" i="1"/>
  <c r="G10117" i="1"/>
  <c r="C10117" i="1"/>
  <c r="G10116" i="1"/>
  <c r="C10116" i="1"/>
  <c r="G10115" i="1"/>
  <c r="C10115" i="1"/>
  <c r="G10114" i="1"/>
  <c r="C10114" i="1"/>
  <c r="G10113" i="1"/>
  <c r="C10113" i="1"/>
  <c r="G10112" i="1"/>
  <c r="C10112" i="1"/>
  <c r="G10111" i="1"/>
  <c r="C10111" i="1"/>
  <c r="G10110" i="1"/>
  <c r="C10110" i="1"/>
  <c r="G10109" i="1"/>
  <c r="C10109" i="1"/>
  <c r="G10108" i="1"/>
  <c r="C10108" i="1"/>
  <c r="G10107" i="1"/>
  <c r="C10107" i="1"/>
  <c r="G10106" i="1"/>
  <c r="C10106" i="1"/>
  <c r="G10105" i="1"/>
  <c r="C10105" i="1"/>
  <c r="G10104" i="1"/>
  <c r="C10104" i="1"/>
  <c r="G10103" i="1"/>
  <c r="C10103" i="1"/>
  <c r="G10102" i="1"/>
  <c r="C10102" i="1"/>
  <c r="G10101" i="1"/>
  <c r="C10101" i="1"/>
  <c r="G10100" i="1"/>
  <c r="C10100" i="1"/>
  <c r="G10099" i="1"/>
  <c r="C10099" i="1"/>
  <c r="G10098" i="1"/>
  <c r="C10098" i="1"/>
  <c r="G10097" i="1"/>
  <c r="C10097" i="1"/>
  <c r="G10096" i="1"/>
  <c r="C10096" i="1"/>
  <c r="G10095" i="1"/>
  <c r="C10095" i="1"/>
  <c r="G10094" i="1"/>
  <c r="C10094" i="1"/>
  <c r="G10093" i="1"/>
  <c r="C10093" i="1"/>
  <c r="G10092" i="1"/>
  <c r="C10092" i="1"/>
  <c r="G10091" i="1"/>
  <c r="C10091" i="1"/>
  <c r="G10090" i="1"/>
  <c r="C10090" i="1"/>
  <c r="G10089" i="1"/>
  <c r="C10089" i="1"/>
  <c r="G10088" i="1"/>
  <c r="C10088" i="1"/>
  <c r="G10087" i="1"/>
  <c r="C10087" i="1"/>
  <c r="G10086" i="1"/>
  <c r="C10086" i="1"/>
  <c r="G10085" i="1"/>
  <c r="C10085" i="1"/>
  <c r="G10084" i="1"/>
  <c r="C10084" i="1"/>
  <c r="G10083" i="1"/>
  <c r="C10083" i="1"/>
  <c r="G10082" i="1"/>
  <c r="C10082" i="1"/>
  <c r="G10081" i="1"/>
  <c r="C10081" i="1"/>
  <c r="G10080" i="1"/>
  <c r="C10080" i="1"/>
  <c r="G10079" i="1"/>
  <c r="C10079" i="1"/>
  <c r="G10078" i="1"/>
  <c r="C10078" i="1"/>
  <c r="G10077" i="1"/>
  <c r="C10077" i="1"/>
  <c r="G10076" i="1"/>
  <c r="C10076" i="1"/>
  <c r="G10075" i="1"/>
  <c r="C10075" i="1"/>
  <c r="G10074" i="1"/>
  <c r="C10074" i="1"/>
  <c r="G10073" i="1"/>
  <c r="C10073" i="1"/>
  <c r="G10072" i="1"/>
  <c r="C10072" i="1"/>
  <c r="G10071" i="1"/>
  <c r="C10071" i="1"/>
  <c r="G10070" i="1"/>
  <c r="C10070" i="1"/>
  <c r="G10069" i="1"/>
  <c r="C10069" i="1"/>
  <c r="G10068" i="1"/>
  <c r="C10068" i="1"/>
  <c r="G10067" i="1"/>
  <c r="C10067" i="1"/>
  <c r="G10066" i="1"/>
  <c r="C10066" i="1"/>
  <c r="G10065" i="1"/>
  <c r="C10065" i="1"/>
  <c r="G10064" i="1"/>
  <c r="C10064" i="1"/>
  <c r="G10063" i="1"/>
  <c r="C10063" i="1"/>
  <c r="G10062" i="1"/>
  <c r="C10062" i="1"/>
  <c r="G10061" i="1"/>
  <c r="C10061" i="1"/>
  <c r="G10060" i="1"/>
  <c r="C10060" i="1"/>
  <c r="G10059" i="1"/>
  <c r="C10059" i="1"/>
  <c r="G10058" i="1"/>
  <c r="C10058" i="1"/>
  <c r="G10057" i="1"/>
  <c r="C10057" i="1"/>
  <c r="G10056" i="1"/>
  <c r="C10056" i="1"/>
  <c r="G10055" i="1"/>
  <c r="C10055" i="1"/>
  <c r="G10054" i="1"/>
  <c r="C10054" i="1"/>
  <c r="G10053" i="1"/>
  <c r="C10053" i="1"/>
  <c r="G10052" i="1"/>
  <c r="C10052" i="1"/>
  <c r="G10051" i="1"/>
  <c r="C10051" i="1"/>
  <c r="G10050" i="1"/>
  <c r="C10050" i="1"/>
  <c r="G10049" i="1"/>
  <c r="C10049" i="1"/>
  <c r="G10047" i="1"/>
  <c r="C10047" i="1"/>
  <c r="G10046" i="1"/>
  <c r="C10046" i="1"/>
  <c r="G10045" i="1"/>
  <c r="C10045" i="1"/>
  <c r="G10044" i="1"/>
  <c r="C10044" i="1"/>
  <c r="G10043" i="1"/>
  <c r="C10043" i="1"/>
  <c r="G10042" i="1"/>
  <c r="C10042" i="1"/>
  <c r="G10041" i="1"/>
  <c r="C10041" i="1"/>
  <c r="G10040" i="1"/>
  <c r="C10040" i="1"/>
  <c r="G10039" i="1"/>
  <c r="C10039" i="1"/>
  <c r="G10038" i="1"/>
  <c r="C10038" i="1"/>
  <c r="G10037" i="1"/>
  <c r="C10037" i="1"/>
  <c r="G10036" i="1"/>
  <c r="C10036" i="1"/>
  <c r="G10035" i="1"/>
  <c r="C10035" i="1"/>
  <c r="G10034" i="1"/>
  <c r="C10034" i="1"/>
  <c r="G10033" i="1"/>
  <c r="C10033" i="1"/>
  <c r="G10032" i="1"/>
  <c r="C10032" i="1"/>
  <c r="G10031" i="1"/>
  <c r="C10031" i="1"/>
  <c r="G10030" i="1"/>
  <c r="C10030" i="1"/>
  <c r="G10029" i="1"/>
  <c r="C10029" i="1"/>
  <c r="G10028" i="1"/>
  <c r="C10028" i="1"/>
  <c r="G10027" i="1"/>
  <c r="C10027" i="1"/>
  <c r="G10026" i="1"/>
  <c r="C10026" i="1"/>
  <c r="G10025" i="1"/>
  <c r="C10025" i="1"/>
  <c r="G10024" i="1"/>
  <c r="C10024" i="1"/>
  <c r="G10023" i="1"/>
  <c r="C10023" i="1"/>
  <c r="G10022" i="1"/>
  <c r="C10022" i="1"/>
  <c r="G10021" i="1"/>
  <c r="C10021" i="1"/>
  <c r="G10020" i="1"/>
  <c r="C10020" i="1"/>
  <c r="G10019" i="1"/>
  <c r="C10019" i="1"/>
  <c r="G10018" i="1"/>
  <c r="C10018" i="1"/>
  <c r="G10017" i="1"/>
  <c r="C10017" i="1"/>
  <c r="G10016" i="1"/>
  <c r="C10016" i="1"/>
  <c r="G10015" i="1"/>
  <c r="C10015" i="1"/>
  <c r="G10014" i="1"/>
  <c r="C10014" i="1"/>
  <c r="G10013" i="1"/>
  <c r="C10013" i="1"/>
  <c r="G10012" i="1"/>
  <c r="C10012" i="1"/>
  <c r="G10011" i="1"/>
  <c r="C10011" i="1"/>
  <c r="G10010" i="1"/>
  <c r="C10010" i="1"/>
  <c r="G10009" i="1"/>
  <c r="C10009" i="1"/>
  <c r="G10008" i="1"/>
  <c r="C10008" i="1"/>
  <c r="G10007" i="1"/>
  <c r="C10007" i="1"/>
  <c r="G10006" i="1"/>
  <c r="C10006" i="1"/>
  <c r="G10005" i="1"/>
  <c r="C10005" i="1"/>
  <c r="G10004" i="1"/>
  <c r="C10004" i="1"/>
  <c r="G10003" i="1"/>
  <c r="C10003" i="1"/>
  <c r="G10002" i="1"/>
  <c r="C10002" i="1"/>
  <c r="G10001" i="1"/>
  <c r="C10001" i="1"/>
  <c r="G10000" i="1"/>
  <c r="C10000" i="1"/>
  <c r="G9999" i="1"/>
  <c r="C9999" i="1"/>
  <c r="G9998" i="1"/>
  <c r="C9998" i="1"/>
  <c r="G9997" i="1"/>
  <c r="C9997" i="1"/>
  <c r="G9996" i="1"/>
  <c r="C9996" i="1"/>
  <c r="G9995" i="1"/>
  <c r="C9995" i="1"/>
  <c r="G9994" i="1"/>
  <c r="C9994" i="1"/>
  <c r="G9993" i="1"/>
  <c r="C9993" i="1"/>
  <c r="G9992" i="1"/>
  <c r="C9992" i="1"/>
  <c r="G9991" i="1"/>
  <c r="C9991" i="1"/>
  <c r="G9990" i="1"/>
  <c r="C9990" i="1"/>
  <c r="G9989" i="1"/>
  <c r="C9989" i="1"/>
  <c r="G9988" i="1"/>
  <c r="C9988" i="1"/>
  <c r="G9987" i="1"/>
  <c r="C9987" i="1"/>
  <c r="G9986" i="1"/>
  <c r="C9986" i="1"/>
  <c r="G9985" i="1"/>
  <c r="C9985" i="1"/>
  <c r="G9984" i="1"/>
  <c r="C9984" i="1"/>
  <c r="G9983" i="1"/>
  <c r="C9983" i="1"/>
  <c r="G9982" i="1"/>
  <c r="C9982" i="1"/>
  <c r="G9981" i="1"/>
  <c r="C9981" i="1"/>
  <c r="G9980" i="1"/>
  <c r="C9980" i="1"/>
  <c r="G9979" i="1"/>
  <c r="C9979" i="1"/>
  <c r="G9978" i="1"/>
  <c r="C9978" i="1"/>
  <c r="G9977" i="1"/>
  <c r="C9977" i="1"/>
  <c r="G9976" i="1"/>
  <c r="C9976" i="1"/>
  <c r="G9975" i="1"/>
  <c r="C9975" i="1"/>
  <c r="G9974" i="1"/>
  <c r="C9974" i="1"/>
  <c r="G9973" i="1"/>
  <c r="C9973" i="1"/>
  <c r="G9972" i="1"/>
  <c r="C9972" i="1"/>
  <c r="G9971" i="1"/>
  <c r="C9971" i="1"/>
  <c r="G9970" i="1"/>
  <c r="C9970" i="1"/>
  <c r="G9969" i="1"/>
  <c r="C9969" i="1"/>
  <c r="G9968" i="1"/>
  <c r="C9968" i="1"/>
  <c r="G9967" i="1"/>
  <c r="C9967" i="1"/>
  <c r="G9966" i="1"/>
  <c r="C9966" i="1"/>
  <c r="G9965" i="1"/>
  <c r="C9965" i="1"/>
  <c r="G9964" i="1"/>
  <c r="C9964" i="1"/>
  <c r="G9963" i="1"/>
  <c r="C9963" i="1"/>
  <c r="G9962" i="1"/>
  <c r="C9962" i="1"/>
  <c r="G9961" i="1"/>
  <c r="C9961" i="1"/>
  <c r="G9960" i="1"/>
  <c r="C9960" i="1"/>
  <c r="G9958" i="1"/>
  <c r="C9958" i="1"/>
  <c r="G9957" i="1"/>
  <c r="C9957" i="1"/>
  <c r="G9956" i="1"/>
  <c r="C9956" i="1"/>
  <c r="G9955" i="1"/>
  <c r="C9955" i="1"/>
  <c r="G9954" i="1"/>
  <c r="C9954" i="1"/>
  <c r="G9953" i="1"/>
  <c r="C9953" i="1"/>
  <c r="G9952" i="1"/>
  <c r="C9952" i="1"/>
  <c r="G9951" i="1"/>
  <c r="C9951" i="1"/>
  <c r="G9950" i="1"/>
  <c r="C9950" i="1"/>
  <c r="G9949" i="1"/>
  <c r="C9949" i="1"/>
  <c r="G9948" i="1"/>
  <c r="C9948" i="1"/>
  <c r="G9947" i="1"/>
  <c r="C9947" i="1"/>
  <c r="G9946" i="1"/>
  <c r="C9946" i="1"/>
  <c r="G9945" i="1"/>
  <c r="C9945" i="1"/>
  <c r="G9944" i="1"/>
  <c r="C9944" i="1"/>
  <c r="G9943" i="1"/>
  <c r="C9943" i="1"/>
  <c r="G9942" i="1"/>
  <c r="C9942" i="1"/>
  <c r="G9941" i="1"/>
  <c r="C9941" i="1"/>
  <c r="G9940" i="1"/>
  <c r="C9940" i="1"/>
  <c r="G9939" i="1"/>
  <c r="C9939" i="1"/>
  <c r="G9938" i="1"/>
  <c r="C9938" i="1"/>
  <c r="G9937" i="1"/>
  <c r="C9937" i="1"/>
  <c r="G9936" i="1"/>
  <c r="C9936" i="1"/>
  <c r="G9935" i="1"/>
  <c r="C9935" i="1"/>
  <c r="G9934" i="1"/>
  <c r="C9934" i="1"/>
  <c r="G9932" i="1"/>
  <c r="C9932" i="1"/>
  <c r="G9931" i="1"/>
  <c r="C9931" i="1"/>
  <c r="G9930" i="1"/>
  <c r="C9930" i="1"/>
  <c r="G9929" i="1"/>
  <c r="C9929" i="1"/>
  <c r="G9928" i="1"/>
  <c r="C9928" i="1"/>
  <c r="G9927" i="1"/>
  <c r="C9927" i="1"/>
  <c r="G9926" i="1"/>
  <c r="C9926" i="1"/>
  <c r="G9925" i="1"/>
  <c r="C9925" i="1"/>
  <c r="G9923" i="1"/>
  <c r="C9923" i="1"/>
  <c r="G9922" i="1"/>
  <c r="C9922" i="1"/>
  <c r="G9921" i="1"/>
  <c r="C9921" i="1"/>
  <c r="G9919" i="1"/>
  <c r="C9919" i="1"/>
  <c r="G9918" i="1"/>
  <c r="C9918" i="1"/>
  <c r="G9917" i="1"/>
  <c r="C9917" i="1"/>
  <c r="G9916" i="1"/>
  <c r="C9916" i="1"/>
  <c r="G9915" i="1"/>
  <c r="C9915" i="1"/>
  <c r="G9914" i="1"/>
  <c r="C9914" i="1"/>
  <c r="G9913" i="1"/>
  <c r="C9913" i="1"/>
  <c r="G9912" i="1"/>
  <c r="C9912" i="1"/>
  <c r="G9911" i="1"/>
  <c r="C9911" i="1"/>
  <c r="G9910" i="1"/>
  <c r="C9910" i="1"/>
  <c r="G9909" i="1"/>
  <c r="C9909" i="1"/>
  <c r="G9908" i="1"/>
  <c r="C9908" i="1"/>
  <c r="G9907" i="1"/>
  <c r="C9907" i="1"/>
  <c r="G9906" i="1"/>
  <c r="C9906" i="1"/>
  <c r="G9905" i="1"/>
  <c r="C9905" i="1"/>
  <c r="G9904" i="1"/>
  <c r="C9904" i="1"/>
  <c r="G9902" i="1"/>
  <c r="C9902" i="1"/>
  <c r="G9901" i="1"/>
  <c r="C9901" i="1"/>
  <c r="G9900" i="1"/>
  <c r="C9900" i="1"/>
  <c r="G9899" i="1"/>
  <c r="C9899" i="1"/>
  <c r="G9898" i="1"/>
  <c r="C9898" i="1"/>
  <c r="G9897" i="1"/>
  <c r="C9897" i="1"/>
  <c r="G9896" i="1"/>
  <c r="C9896" i="1"/>
  <c r="G9895" i="1"/>
  <c r="C9895" i="1"/>
  <c r="G9894" i="1"/>
  <c r="C9894" i="1"/>
  <c r="G9893" i="1"/>
  <c r="C9893" i="1"/>
  <c r="G9892" i="1"/>
  <c r="C9892" i="1"/>
  <c r="G9891" i="1"/>
  <c r="C9891" i="1"/>
  <c r="G9890" i="1"/>
  <c r="C9890" i="1"/>
  <c r="G9889" i="1"/>
  <c r="C9889" i="1"/>
  <c r="G9886" i="1"/>
  <c r="C9886" i="1"/>
  <c r="G9885" i="1"/>
  <c r="C9885" i="1"/>
  <c r="G9884" i="1"/>
  <c r="C9884" i="1"/>
  <c r="G9883" i="1"/>
  <c r="C9883" i="1"/>
  <c r="G9882" i="1"/>
  <c r="C9882" i="1"/>
  <c r="G9881" i="1"/>
  <c r="C9881" i="1"/>
  <c r="G9880" i="1"/>
  <c r="C9880" i="1"/>
  <c r="G9879" i="1"/>
  <c r="C9879" i="1"/>
  <c r="G9878" i="1"/>
  <c r="C9878" i="1"/>
  <c r="G9877" i="1"/>
  <c r="C9877" i="1"/>
  <c r="G9876" i="1"/>
  <c r="C9876" i="1"/>
  <c r="G9875" i="1"/>
  <c r="C9875" i="1"/>
  <c r="G9874" i="1"/>
  <c r="C9874" i="1"/>
  <c r="G9873" i="1"/>
  <c r="C9873" i="1"/>
  <c r="G9872" i="1"/>
  <c r="C9872" i="1"/>
  <c r="G9871" i="1"/>
  <c r="C9871" i="1"/>
  <c r="G9870" i="1"/>
  <c r="C9870" i="1"/>
  <c r="G9869" i="1"/>
  <c r="C9869" i="1"/>
  <c r="G9868" i="1"/>
  <c r="C9868" i="1"/>
  <c r="G9867" i="1"/>
  <c r="C9867" i="1"/>
  <c r="G9866" i="1"/>
  <c r="C9866" i="1"/>
  <c r="G9865" i="1"/>
  <c r="C9865" i="1"/>
  <c r="G9864" i="1"/>
  <c r="C9864" i="1"/>
  <c r="G9863" i="1"/>
  <c r="C9863" i="1"/>
  <c r="G9862" i="1"/>
  <c r="C9862" i="1"/>
  <c r="G9861" i="1"/>
  <c r="C9861" i="1"/>
  <c r="G9860" i="1"/>
  <c r="C9860" i="1"/>
  <c r="G9859" i="1"/>
  <c r="C9859" i="1"/>
  <c r="G9858" i="1"/>
  <c r="C9858" i="1"/>
  <c r="G9857" i="1"/>
  <c r="C9857" i="1"/>
  <c r="G9856" i="1"/>
  <c r="C9856" i="1"/>
  <c r="G9855" i="1"/>
  <c r="C9855" i="1"/>
  <c r="G9853" i="1"/>
  <c r="C9853" i="1"/>
  <c r="G9852" i="1"/>
  <c r="C9852" i="1"/>
  <c r="G9851" i="1"/>
  <c r="C9851" i="1"/>
  <c r="G9850" i="1"/>
  <c r="C9850" i="1"/>
  <c r="G9849" i="1"/>
  <c r="C9849" i="1"/>
  <c r="G9848" i="1"/>
  <c r="C9848" i="1"/>
  <c r="G9847" i="1"/>
  <c r="C9847" i="1"/>
  <c r="G9846" i="1"/>
  <c r="C9846" i="1"/>
  <c r="G9845" i="1"/>
  <c r="C9845" i="1"/>
  <c r="G9843" i="1"/>
  <c r="C9843" i="1"/>
  <c r="G9842" i="1"/>
  <c r="C9842" i="1"/>
  <c r="G9841" i="1"/>
  <c r="C9841" i="1"/>
  <c r="G9840" i="1"/>
  <c r="C9840" i="1"/>
  <c r="G9839" i="1"/>
  <c r="C9839" i="1"/>
  <c r="G9838" i="1"/>
  <c r="C9838" i="1"/>
  <c r="G9837" i="1"/>
  <c r="C9837" i="1"/>
  <c r="G9836" i="1"/>
  <c r="C9836" i="1"/>
  <c r="G9835" i="1"/>
  <c r="C9835" i="1"/>
  <c r="G9834" i="1"/>
  <c r="C9834" i="1"/>
  <c r="G9832" i="1"/>
  <c r="C9832" i="1"/>
  <c r="G9831" i="1"/>
  <c r="C9831" i="1"/>
  <c r="G9830" i="1"/>
  <c r="C9830" i="1"/>
  <c r="G9829" i="1"/>
  <c r="C9829" i="1"/>
  <c r="G9828" i="1"/>
  <c r="C9828" i="1"/>
  <c r="G9827" i="1"/>
  <c r="C9827" i="1"/>
  <c r="G9826" i="1"/>
  <c r="C9826" i="1"/>
  <c r="G9825" i="1"/>
  <c r="C9825" i="1"/>
  <c r="G9824" i="1"/>
  <c r="C9824" i="1"/>
  <c r="G9823" i="1"/>
  <c r="C9823" i="1"/>
  <c r="G9822" i="1"/>
  <c r="C9822" i="1"/>
  <c r="G9821" i="1"/>
  <c r="C9821" i="1"/>
  <c r="G9820" i="1"/>
  <c r="C9820" i="1"/>
  <c r="G9819" i="1"/>
  <c r="C9819" i="1"/>
  <c r="G9818" i="1"/>
  <c r="C9818" i="1"/>
  <c r="G9816" i="1"/>
  <c r="C9816" i="1"/>
  <c r="G9815" i="1"/>
  <c r="C9815" i="1"/>
  <c r="G9814" i="1"/>
  <c r="C9814" i="1"/>
  <c r="G9813" i="1"/>
  <c r="C9813" i="1"/>
  <c r="G9812" i="1"/>
  <c r="C9812" i="1"/>
  <c r="G9811" i="1"/>
  <c r="C9811" i="1"/>
  <c r="G9810" i="1"/>
  <c r="C9810" i="1"/>
  <c r="G9809" i="1"/>
  <c r="C9809" i="1"/>
  <c r="G9808" i="1"/>
  <c r="C9808" i="1"/>
  <c r="G9807" i="1"/>
  <c r="C9807" i="1"/>
  <c r="G9806" i="1"/>
  <c r="C9806" i="1"/>
  <c r="G9805" i="1"/>
  <c r="C9805" i="1"/>
  <c r="G9804" i="1"/>
  <c r="C9804" i="1"/>
  <c r="G9803" i="1"/>
  <c r="C9803" i="1"/>
  <c r="G9802" i="1"/>
  <c r="C9802" i="1"/>
  <c r="G9801" i="1"/>
  <c r="C9801" i="1"/>
  <c r="G9800" i="1"/>
  <c r="C9800" i="1"/>
  <c r="G9799" i="1"/>
  <c r="C9799" i="1"/>
  <c r="G9798" i="1"/>
  <c r="C9798" i="1"/>
  <c r="G9797" i="1"/>
  <c r="C9797" i="1"/>
  <c r="G9796" i="1"/>
  <c r="C9796" i="1"/>
  <c r="G9795" i="1"/>
  <c r="C9795" i="1"/>
  <c r="G9794" i="1"/>
  <c r="C9794" i="1"/>
  <c r="G9793" i="1"/>
  <c r="C9793" i="1"/>
  <c r="G9792" i="1"/>
  <c r="C9792" i="1"/>
  <c r="G9791" i="1"/>
  <c r="C9791" i="1"/>
  <c r="G9790" i="1"/>
  <c r="C9790" i="1"/>
  <c r="G9789" i="1"/>
  <c r="C9789" i="1"/>
  <c r="G9788" i="1"/>
  <c r="C9788" i="1"/>
  <c r="G9787" i="1"/>
  <c r="C9787" i="1"/>
  <c r="G9786" i="1"/>
  <c r="C9786" i="1"/>
  <c r="G9785" i="1"/>
  <c r="C9785" i="1"/>
  <c r="G9784" i="1"/>
  <c r="C9784" i="1"/>
  <c r="G9783" i="1"/>
  <c r="C9783" i="1"/>
  <c r="G9782" i="1"/>
  <c r="C9782" i="1"/>
  <c r="G9781" i="1"/>
  <c r="C9781" i="1"/>
  <c r="G9780" i="1"/>
  <c r="C9780" i="1"/>
  <c r="G9778" i="1"/>
  <c r="C9778" i="1"/>
  <c r="G9777" i="1"/>
  <c r="C9777" i="1"/>
  <c r="G9776" i="1"/>
  <c r="C9776" i="1"/>
  <c r="G9775" i="1"/>
  <c r="C9775" i="1"/>
  <c r="G9774" i="1"/>
  <c r="C9774" i="1"/>
  <c r="G9773" i="1"/>
  <c r="C9773" i="1"/>
  <c r="G9772" i="1"/>
  <c r="C9772" i="1"/>
  <c r="G9771" i="1"/>
  <c r="C9771" i="1"/>
  <c r="G9770" i="1"/>
  <c r="C9770" i="1"/>
  <c r="G9769" i="1"/>
  <c r="C9769" i="1"/>
  <c r="G9768" i="1"/>
  <c r="C9768" i="1"/>
  <c r="G9767" i="1"/>
  <c r="C9767" i="1"/>
  <c r="G9766" i="1"/>
  <c r="C9766" i="1"/>
  <c r="G9765" i="1"/>
  <c r="C9765" i="1"/>
  <c r="G9764" i="1"/>
  <c r="C9764" i="1"/>
  <c r="G9763" i="1"/>
  <c r="C9763" i="1"/>
  <c r="G9762" i="1"/>
  <c r="C9762" i="1"/>
  <c r="G9761" i="1"/>
  <c r="C9761" i="1"/>
  <c r="G9760" i="1"/>
  <c r="C9760" i="1"/>
  <c r="G9759" i="1"/>
  <c r="C9759" i="1"/>
  <c r="G9758" i="1"/>
  <c r="C9758" i="1"/>
  <c r="G9757" i="1"/>
  <c r="C9757" i="1"/>
  <c r="G9756" i="1"/>
  <c r="C9756" i="1"/>
  <c r="G9755" i="1"/>
  <c r="C9755" i="1"/>
  <c r="G9754" i="1"/>
  <c r="C9754" i="1"/>
  <c r="G9753" i="1"/>
  <c r="C9753" i="1"/>
  <c r="G9752" i="1"/>
  <c r="C9752" i="1"/>
  <c r="G9751" i="1"/>
  <c r="C9751" i="1"/>
  <c r="G9750" i="1"/>
  <c r="C9750" i="1"/>
  <c r="G9749" i="1"/>
  <c r="C9749" i="1"/>
  <c r="G9748" i="1"/>
  <c r="C9748" i="1"/>
  <c r="G9747" i="1"/>
  <c r="C9747" i="1"/>
  <c r="G9746" i="1"/>
  <c r="C9746" i="1"/>
  <c r="G9745" i="1"/>
  <c r="C9745" i="1"/>
  <c r="G9744" i="1"/>
  <c r="C9744" i="1"/>
  <c r="G9743" i="1"/>
  <c r="C9743" i="1"/>
  <c r="G9742" i="1"/>
  <c r="C9742" i="1"/>
  <c r="G9741" i="1"/>
  <c r="C9741" i="1"/>
  <c r="G9740" i="1"/>
  <c r="C9740" i="1"/>
  <c r="G9738" i="1"/>
  <c r="C9738" i="1"/>
  <c r="G9737" i="1"/>
  <c r="C9737" i="1"/>
  <c r="G9736" i="1"/>
  <c r="C9736" i="1"/>
  <c r="G9735" i="1"/>
  <c r="C9735" i="1"/>
  <c r="G9734" i="1"/>
  <c r="C9734" i="1"/>
  <c r="G9733" i="1"/>
  <c r="C9733" i="1"/>
  <c r="G9732" i="1"/>
  <c r="C9732" i="1"/>
  <c r="G9731" i="1"/>
  <c r="C9731" i="1"/>
  <c r="G9730" i="1"/>
  <c r="C9730" i="1"/>
  <c r="G9729" i="1"/>
  <c r="C9729" i="1"/>
  <c r="G9728" i="1"/>
  <c r="C9728" i="1"/>
  <c r="G9727" i="1"/>
  <c r="C9727" i="1"/>
  <c r="G9726" i="1"/>
  <c r="C9726" i="1"/>
  <c r="G9725" i="1"/>
  <c r="C9725" i="1"/>
  <c r="G9724" i="1"/>
  <c r="C9724" i="1"/>
  <c r="G9723" i="1"/>
  <c r="C9723" i="1"/>
  <c r="G9722" i="1"/>
  <c r="C9722" i="1"/>
  <c r="G9721" i="1"/>
  <c r="C9721" i="1"/>
  <c r="G9720" i="1"/>
  <c r="C9720" i="1"/>
  <c r="G9719" i="1"/>
  <c r="C9719" i="1"/>
  <c r="G9718" i="1"/>
  <c r="C9718" i="1"/>
  <c r="G9717" i="1"/>
  <c r="C9717" i="1"/>
  <c r="G9716" i="1"/>
  <c r="C9716" i="1"/>
  <c r="G9715" i="1"/>
  <c r="C9715" i="1"/>
  <c r="G9714" i="1"/>
  <c r="C9714" i="1"/>
  <c r="G9713" i="1"/>
  <c r="C9713" i="1"/>
  <c r="G9712" i="1"/>
  <c r="C9712" i="1"/>
  <c r="G9711" i="1"/>
  <c r="C9711" i="1"/>
  <c r="G9710" i="1"/>
  <c r="C9710" i="1"/>
  <c r="G9709" i="1"/>
  <c r="C9709" i="1"/>
  <c r="G9708" i="1"/>
  <c r="C9708" i="1"/>
  <c r="G9707" i="1"/>
  <c r="C9707" i="1"/>
  <c r="G9706" i="1"/>
  <c r="C9706" i="1"/>
  <c r="G9705" i="1"/>
  <c r="C9705" i="1"/>
  <c r="G9704" i="1"/>
  <c r="C9704" i="1"/>
  <c r="G9703" i="1"/>
  <c r="C9703" i="1"/>
  <c r="G9702" i="1"/>
  <c r="C9702" i="1"/>
  <c r="G9701" i="1"/>
  <c r="C9701" i="1"/>
  <c r="G9700" i="1"/>
  <c r="C9700" i="1"/>
  <c r="G9699" i="1"/>
  <c r="C9699" i="1"/>
  <c r="G9698" i="1"/>
  <c r="C9698" i="1"/>
  <c r="G9697" i="1"/>
  <c r="C9697" i="1"/>
  <c r="G9696" i="1"/>
  <c r="C9696" i="1"/>
  <c r="G9695" i="1"/>
  <c r="C9695" i="1"/>
  <c r="G9694" i="1"/>
  <c r="C9694" i="1"/>
  <c r="G9693" i="1"/>
  <c r="C9693" i="1"/>
  <c r="G9692" i="1"/>
  <c r="C9692" i="1"/>
  <c r="G9691" i="1"/>
  <c r="C9691" i="1"/>
  <c r="G9690" i="1"/>
  <c r="C9690" i="1"/>
  <c r="G9689" i="1"/>
  <c r="C9689" i="1"/>
  <c r="G9688" i="1"/>
  <c r="C9688" i="1"/>
  <c r="G9687" i="1"/>
  <c r="C9687" i="1"/>
  <c r="G9686" i="1"/>
  <c r="C9686" i="1"/>
  <c r="G9685" i="1"/>
  <c r="C9685" i="1"/>
  <c r="G9684" i="1"/>
  <c r="C9684" i="1"/>
  <c r="G9683" i="1"/>
  <c r="C9683" i="1"/>
  <c r="G9682" i="1"/>
  <c r="C9682" i="1"/>
  <c r="G9681" i="1"/>
  <c r="C9681" i="1"/>
  <c r="G9680" i="1"/>
  <c r="C9680" i="1"/>
  <c r="G9679" i="1"/>
  <c r="C9679" i="1"/>
  <c r="G9677" i="1"/>
  <c r="C9677" i="1"/>
  <c r="G9676" i="1"/>
  <c r="C9676" i="1"/>
  <c r="G9675" i="1"/>
  <c r="C9675" i="1"/>
  <c r="G9674" i="1"/>
  <c r="C9674" i="1"/>
  <c r="G9673" i="1"/>
  <c r="C9673" i="1"/>
  <c r="G9672" i="1"/>
  <c r="C9672" i="1"/>
  <c r="G9671" i="1"/>
  <c r="C9671" i="1"/>
  <c r="G9670" i="1"/>
  <c r="C9670" i="1"/>
  <c r="G9669" i="1"/>
  <c r="C9669" i="1"/>
  <c r="G9668" i="1"/>
  <c r="C9668" i="1"/>
  <c r="G9667" i="1"/>
  <c r="C9667" i="1"/>
  <c r="G9666" i="1"/>
  <c r="C9666" i="1"/>
  <c r="G9665" i="1"/>
  <c r="C9665" i="1"/>
  <c r="G9664" i="1"/>
  <c r="C9664" i="1"/>
  <c r="G9663" i="1"/>
  <c r="C9663" i="1"/>
  <c r="G9662" i="1"/>
  <c r="C9662" i="1"/>
  <c r="G9661" i="1"/>
  <c r="C9661" i="1"/>
  <c r="G9660" i="1"/>
  <c r="C9660" i="1"/>
  <c r="G9659" i="1"/>
  <c r="C9659" i="1"/>
  <c r="G9658" i="1"/>
  <c r="C9658" i="1"/>
  <c r="G9657" i="1"/>
  <c r="C9657" i="1"/>
  <c r="G9656" i="1"/>
  <c r="C9656" i="1"/>
  <c r="G9655" i="1"/>
  <c r="C9655" i="1"/>
  <c r="G9654" i="1"/>
  <c r="C9654" i="1"/>
  <c r="G9653" i="1"/>
  <c r="C9653" i="1"/>
  <c r="G9652" i="1"/>
  <c r="C9652" i="1"/>
  <c r="G9651" i="1"/>
  <c r="C9651" i="1"/>
  <c r="G9650" i="1"/>
  <c r="C9650" i="1"/>
  <c r="G9649" i="1"/>
  <c r="C9649" i="1"/>
  <c r="G9648" i="1"/>
  <c r="C9648" i="1"/>
  <c r="G9647" i="1"/>
  <c r="C9647" i="1"/>
  <c r="G9646" i="1"/>
  <c r="C9646" i="1"/>
  <c r="G9645" i="1"/>
  <c r="C9645" i="1"/>
  <c r="G9644" i="1"/>
  <c r="C9644" i="1"/>
  <c r="G9643" i="1"/>
  <c r="C9643" i="1"/>
  <c r="G9642" i="1"/>
  <c r="C9642" i="1"/>
  <c r="G9641" i="1"/>
  <c r="C9641" i="1"/>
  <c r="G9640" i="1"/>
  <c r="C9640" i="1"/>
  <c r="G9639" i="1"/>
  <c r="C9639" i="1"/>
  <c r="G9638" i="1"/>
  <c r="C9638" i="1"/>
  <c r="G9637" i="1"/>
  <c r="C9637" i="1"/>
  <c r="G9636" i="1"/>
  <c r="C9636" i="1"/>
  <c r="G9635" i="1"/>
  <c r="C9635" i="1"/>
  <c r="G9634" i="1"/>
  <c r="C9634" i="1"/>
  <c r="G9633" i="1"/>
  <c r="C9633" i="1"/>
  <c r="G9632" i="1"/>
  <c r="C9632" i="1"/>
  <c r="G9631" i="1"/>
  <c r="C9631" i="1"/>
  <c r="G9630" i="1"/>
  <c r="C9630" i="1"/>
  <c r="G9629" i="1"/>
  <c r="C9629" i="1"/>
  <c r="G9628" i="1"/>
  <c r="C9628" i="1"/>
  <c r="G9627" i="1"/>
  <c r="C9627" i="1"/>
  <c r="G9626" i="1"/>
  <c r="C9626" i="1"/>
  <c r="G9625" i="1"/>
  <c r="C9625" i="1"/>
  <c r="G9624" i="1"/>
  <c r="C9624" i="1"/>
  <c r="G9623" i="1"/>
  <c r="C9623" i="1"/>
  <c r="G9622" i="1"/>
  <c r="C9622" i="1"/>
  <c r="G9621" i="1"/>
  <c r="C9621" i="1"/>
  <c r="G9620" i="1"/>
  <c r="C9620" i="1"/>
  <c r="G9619" i="1"/>
  <c r="C9619" i="1"/>
  <c r="G9618" i="1"/>
  <c r="C9618" i="1"/>
  <c r="G9617" i="1"/>
  <c r="C9617" i="1"/>
  <c r="G9616" i="1"/>
  <c r="C9616" i="1"/>
  <c r="G9615" i="1"/>
  <c r="C9615" i="1"/>
  <c r="G9614" i="1"/>
  <c r="C9614" i="1"/>
  <c r="G9613" i="1"/>
  <c r="C9613" i="1"/>
  <c r="G9612" i="1"/>
  <c r="C9612" i="1"/>
  <c r="G9610" i="1"/>
  <c r="C9610" i="1"/>
  <c r="G9609" i="1"/>
  <c r="C9609" i="1"/>
  <c r="G9608" i="1"/>
  <c r="C9608" i="1"/>
  <c r="G9607" i="1"/>
  <c r="C9607" i="1"/>
  <c r="G9606" i="1"/>
  <c r="C9606" i="1"/>
  <c r="G9605" i="1"/>
  <c r="C9605" i="1"/>
  <c r="G9604" i="1"/>
  <c r="C9604" i="1"/>
  <c r="G9603" i="1"/>
  <c r="C9603" i="1"/>
  <c r="G9602" i="1"/>
  <c r="C9602" i="1"/>
  <c r="G9601" i="1"/>
  <c r="C9601" i="1"/>
  <c r="G9600" i="1"/>
  <c r="C9600" i="1"/>
  <c r="G9599" i="1"/>
  <c r="C9599" i="1"/>
  <c r="G9598" i="1"/>
  <c r="C9598" i="1"/>
  <c r="G9597" i="1"/>
  <c r="C9597" i="1"/>
  <c r="G9596" i="1"/>
  <c r="C9596" i="1"/>
  <c r="G9595" i="1"/>
  <c r="C9595" i="1"/>
  <c r="G9594" i="1"/>
  <c r="C9594" i="1"/>
  <c r="G9593" i="1"/>
  <c r="C9593" i="1"/>
  <c r="G9592" i="1"/>
  <c r="C9592" i="1"/>
  <c r="G9591" i="1"/>
  <c r="C9591" i="1"/>
  <c r="G9590" i="1"/>
  <c r="C9590" i="1"/>
  <c r="G9589" i="1"/>
  <c r="C9589" i="1"/>
  <c r="G9588" i="1"/>
  <c r="C9588" i="1"/>
  <c r="G9587" i="1"/>
  <c r="C9587" i="1"/>
  <c r="G9586" i="1"/>
  <c r="C9586" i="1"/>
  <c r="G9585" i="1"/>
  <c r="C9585" i="1"/>
  <c r="G9584" i="1"/>
  <c r="C9584" i="1"/>
  <c r="G9583" i="1"/>
  <c r="C9583" i="1"/>
  <c r="G9582" i="1"/>
  <c r="C9582" i="1"/>
  <c r="G9581" i="1"/>
  <c r="C9581" i="1"/>
  <c r="G9580" i="1"/>
  <c r="C9580" i="1"/>
  <c r="G9579" i="1"/>
  <c r="C9579" i="1"/>
  <c r="G9578" i="1"/>
  <c r="C9578" i="1"/>
  <c r="G9577" i="1"/>
  <c r="C9577" i="1"/>
  <c r="G9576" i="1"/>
  <c r="C9576" i="1"/>
  <c r="G9575" i="1"/>
  <c r="C9575" i="1"/>
  <c r="G9574" i="1"/>
  <c r="C9574" i="1"/>
  <c r="G9573" i="1"/>
  <c r="C9573" i="1"/>
  <c r="G9572" i="1"/>
  <c r="C9572" i="1"/>
  <c r="G9571" i="1"/>
  <c r="C9571" i="1"/>
  <c r="G9570" i="1"/>
  <c r="C9570" i="1"/>
  <c r="G9569" i="1"/>
  <c r="C9569" i="1"/>
  <c r="G9568" i="1"/>
  <c r="C9568" i="1"/>
  <c r="G9567" i="1"/>
  <c r="C9567" i="1"/>
  <c r="G9566" i="1"/>
  <c r="C9566" i="1"/>
  <c r="G9565" i="1"/>
  <c r="C9565" i="1"/>
  <c r="G9564" i="1"/>
  <c r="C9564" i="1"/>
  <c r="G9563" i="1"/>
  <c r="C9563" i="1"/>
  <c r="G9562" i="1"/>
  <c r="C9562" i="1"/>
  <c r="G9561" i="1"/>
  <c r="C9561" i="1"/>
  <c r="G9560" i="1"/>
  <c r="C9560" i="1"/>
  <c r="G9559" i="1"/>
  <c r="C9559" i="1"/>
  <c r="G9558" i="1"/>
  <c r="C9558" i="1"/>
  <c r="G9557" i="1"/>
  <c r="C9557" i="1"/>
  <c r="G9556" i="1"/>
  <c r="C9556" i="1"/>
  <c r="G9555" i="1"/>
  <c r="C9555" i="1"/>
  <c r="G9554" i="1"/>
  <c r="C9554" i="1"/>
  <c r="G9553" i="1"/>
  <c r="C9553" i="1"/>
  <c r="G9552" i="1"/>
  <c r="C9552" i="1"/>
  <c r="G9551" i="1"/>
  <c r="C9551" i="1"/>
  <c r="G9550" i="1"/>
  <c r="C9550" i="1"/>
  <c r="G9549" i="1"/>
  <c r="C9549" i="1"/>
  <c r="G9548" i="1"/>
  <c r="C9548" i="1"/>
  <c r="G9547" i="1"/>
  <c r="C9547" i="1"/>
  <c r="G9546" i="1"/>
  <c r="C9546" i="1"/>
  <c r="G9545" i="1"/>
  <c r="C9545" i="1"/>
  <c r="G9544" i="1"/>
  <c r="C9544" i="1"/>
  <c r="G9543" i="1"/>
  <c r="C9543" i="1"/>
  <c r="G9542" i="1"/>
  <c r="C9542" i="1"/>
  <c r="G9541" i="1"/>
  <c r="C9541" i="1"/>
  <c r="G9540" i="1"/>
  <c r="C9540" i="1"/>
  <c r="G9539" i="1"/>
  <c r="C9539" i="1"/>
  <c r="G9538" i="1"/>
  <c r="C9538" i="1"/>
  <c r="G9537" i="1"/>
  <c r="C9537" i="1"/>
  <c r="G9536" i="1"/>
  <c r="C9536" i="1"/>
  <c r="G9535" i="1"/>
  <c r="C9535" i="1"/>
  <c r="G9534" i="1"/>
  <c r="C9534" i="1"/>
  <c r="G9533" i="1"/>
  <c r="C9533" i="1"/>
  <c r="G9532" i="1"/>
  <c r="C9532" i="1"/>
  <c r="G9531" i="1"/>
  <c r="C9531" i="1"/>
  <c r="G9530" i="1"/>
  <c r="C9530" i="1"/>
  <c r="G9529" i="1"/>
  <c r="C9529" i="1"/>
  <c r="G9528" i="1"/>
  <c r="C9528" i="1"/>
  <c r="G9527" i="1"/>
  <c r="C9527" i="1"/>
  <c r="G9526" i="1"/>
  <c r="C9526" i="1"/>
  <c r="G9525" i="1"/>
  <c r="C9525" i="1"/>
  <c r="G9524" i="1"/>
  <c r="C9524" i="1"/>
  <c r="G9523" i="1"/>
  <c r="C9523" i="1"/>
  <c r="G9522" i="1"/>
  <c r="C9522" i="1"/>
  <c r="G9521" i="1"/>
  <c r="C9521" i="1"/>
  <c r="G9520" i="1"/>
  <c r="C9520" i="1"/>
  <c r="G9519" i="1"/>
  <c r="C9519" i="1"/>
  <c r="G9518" i="1"/>
  <c r="C9518" i="1"/>
  <c r="G9516" i="1"/>
  <c r="C9516" i="1"/>
  <c r="G9515" i="1"/>
  <c r="C9515" i="1"/>
  <c r="G9514" i="1"/>
  <c r="C9514" i="1"/>
  <c r="G9513" i="1"/>
  <c r="C9513" i="1"/>
  <c r="G9512" i="1"/>
  <c r="C9512" i="1"/>
  <c r="G9511" i="1"/>
  <c r="C9511" i="1"/>
  <c r="G9510" i="1"/>
  <c r="C9510" i="1"/>
  <c r="G9509" i="1"/>
  <c r="C9509" i="1"/>
  <c r="G9508" i="1"/>
  <c r="C9508" i="1"/>
  <c r="G9507" i="1"/>
  <c r="C9507" i="1"/>
  <c r="G9506" i="1"/>
  <c r="C9506" i="1"/>
  <c r="G9505" i="1"/>
  <c r="C9505" i="1"/>
  <c r="G9504" i="1"/>
  <c r="C9504" i="1"/>
  <c r="G9503" i="1"/>
  <c r="C9503" i="1"/>
  <c r="G9502" i="1"/>
  <c r="C9502" i="1"/>
  <c r="G9501" i="1"/>
  <c r="C9501" i="1"/>
  <c r="G9500" i="1"/>
  <c r="C9500" i="1"/>
  <c r="G9499" i="1"/>
  <c r="C9499" i="1"/>
  <c r="G9498" i="1"/>
  <c r="C9498" i="1"/>
  <c r="G9497" i="1"/>
  <c r="C9497" i="1"/>
  <c r="G9496" i="1"/>
  <c r="C9496" i="1"/>
  <c r="G9494" i="1"/>
  <c r="C9494" i="1"/>
  <c r="G9493" i="1"/>
  <c r="C9493" i="1"/>
  <c r="G9492" i="1"/>
  <c r="C9492" i="1"/>
  <c r="G9491" i="1"/>
  <c r="C9491" i="1"/>
  <c r="G9490" i="1"/>
  <c r="C9490" i="1"/>
  <c r="G9489" i="1"/>
  <c r="C9489" i="1"/>
  <c r="G9488" i="1"/>
  <c r="C9488" i="1"/>
  <c r="G9487" i="1"/>
  <c r="C9487" i="1"/>
  <c r="G9485" i="1"/>
  <c r="C9485" i="1"/>
  <c r="G9484" i="1"/>
  <c r="C9484" i="1"/>
  <c r="G9483" i="1"/>
  <c r="C9483" i="1"/>
  <c r="G9482" i="1"/>
  <c r="C9482" i="1"/>
  <c r="G9481" i="1"/>
  <c r="C9481" i="1"/>
  <c r="G9480" i="1"/>
  <c r="C9480" i="1"/>
  <c r="G9479" i="1"/>
  <c r="C9479" i="1"/>
  <c r="G9478" i="1"/>
  <c r="C9478" i="1"/>
  <c r="G9477" i="1"/>
  <c r="C9477" i="1"/>
  <c r="G9476" i="1"/>
  <c r="C9476" i="1"/>
  <c r="G9475" i="1"/>
  <c r="C9475" i="1"/>
  <c r="G9474" i="1"/>
  <c r="C9474" i="1"/>
  <c r="G9473" i="1"/>
  <c r="C9473" i="1"/>
  <c r="G9472" i="1"/>
  <c r="C9472" i="1"/>
  <c r="G9471" i="1"/>
  <c r="C9471" i="1"/>
  <c r="G9470" i="1"/>
  <c r="C9470" i="1"/>
  <c r="G9469" i="1"/>
  <c r="C9469" i="1"/>
  <c r="G9468" i="1"/>
  <c r="C9468" i="1"/>
  <c r="G9467" i="1"/>
  <c r="C9467" i="1"/>
  <c r="G9466" i="1"/>
  <c r="C9466" i="1"/>
  <c r="G9465" i="1"/>
  <c r="C9465" i="1"/>
  <c r="G9464" i="1"/>
  <c r="C9464" i="1"/>
  <c r="G9463" i="1"/>
  <c r="C9463" i="1"/>
  <c r="G9462" i="1"/>
  <c r="C9462" i="1"/>
  <c r="G9461" i="1"/>
  <c r="C9461" i="1"/>
  <c r="G9459" i="1"/>
  <c r="C9459" i="1"/>
  <c r="G9458" i="1"/>
  <c r="C9458" i="1"/>
  <c r="G9457" i="1"/>
  <c r="C9457" i="1"/>
  <c r="G9456" i="1"/>
  <c r="C9456" i="1"/>
  <c r="G9455" i="1"/>
  <c r="C9455" i="1"/>
  <c r="G9454" i="1"/>
  <c r="C9454" i="1"/>
  <c r="G9453" i="1"/>
  <c r="C9453" i="1"/>
  <c r="G9452" i="1"/>
  <c r="C9452" i="1"/>
  <c r="G9451" i="1"/>
  <c r="C9451" i="1"/>
  <c r="G9450" i="1"/>
  <c r="C9450" i="1"/>
  <c r="G9449" i="1"/>
  <c r="C9449" i="1"/>
  <c r="G9448" i="1"/>
  <c r="C9448" i="1"/>
  <c r="G9447" i="1"/>
  <c r="C9447" i="1"/>
  <c r="G9446" i="1"/>
  <c r="C9446" i="1"/>
  <c r="G9445" i="1"/>
  <c r="C9445" i="1"/>
  <c r="G9444" i="1"/>
  <c r="C9444" i="1"/>
  <c r="G9443" i="1"/>
  <c r="C9443" i="1"/>
  <c r="G9442" i="1"/>
  <c r="C9442" i="1"/>
  <c r="G9441" i="1"/>
  <c r="C9441" i="1"/>
  <c r="G9440" i="1"/>
  <c r="C9440" i="1"/>
  <c r="G9439" i="1"/>
  <c r="C9439" i="1"/>
  <c r="G9438" i="1"/>
  <c r="C9438" i="1"/>
  <c r="G9437" i="1"/>
  <c r="C9437" i="1"/>
  <c r="G9436" i="1"/>
  <c r="C9436" i="1"/>
  <c r="G9435" i="1"/>
  <c r="C9435" i="1"/>
  <c r="G9434" i="1"/>
  <c r="C9434" i="1"/>
  <c r="G9433" i="1"/>
  <c r="C9433" i="1"/>
  <c r="G9432" i="1"/>
  <c r="C9432" i="1"/>
  <c r="G9431" i="1"/>
  <c r="C9431" i="1"/>
  <c r="G9430" i="1"/>
  <c r="C9430" i="1"/>
  <c r="G9429" i="1"/>
  <c r="C9429" i="1"/>
  <c r="G9428" i="1"/>
  <c r="C9428" i="1"/>
  <c r="G9427" i="1"/>
  <c r="C9427" i="1"/>
  <c r="G9426" i="1"/>
  <c r="C9426" i="1"/>
  <c r="G9425" i="1"/>
  <c r="C9425" i="1"/>
  <c r="G9424" i="1"/>
  <c r="C9424" i="1"/>
  <c r="G9423" i="1"/>
  <c r="C9423" i="1"/>
  <c r="G9422" i="1"/>
  <c r="C9422" i="1"/>
  <c r="G9421" i="1"/>
  <c r="C9421" i="1"/>
  <c r="G9420" i="1"/>
  <c r="C9420" i="1"/>
  <c r="G9419" i="1"/>
  <c r="C9419" i="1"/>
  <c r="G9418" i="1"/>
  <c r="C9418" i="1"/>
  <c r="G9417" i="1"/>
  <c r="C9417" i="1"/>
  <c r="G9416" i="1"/>
  <c r="C9416" i="1"/>
  <c r="G9415" i="1"/>
  <c r="C9415" i="1"/>
  <c r="G9414" i="1"/>
  <c r="C9414" i="1"/>
  <c r="G9413" i="1"/>
  <c r="C9413" i="1"/>
  <c r="G9412" i="1"/>
  <c r="C9412" i="1"/>
  <c r="G9411" i="1"/>
  <c r="C9411" i="1"/>
  <c r="G9410" i="1"/>
  <c r="C9410" i="1"/>
  <c r="G9409" i="1"/>
  <c r="C9409" i="1"/>
  <c r="G9408" i="1"/>
  <c r="C9408" i="1"/>
  <c r="G9407" i="1"/>
  <c r="C9407" i="1"/>
  <c r="G9406" i="1"/>
  <c r="C9406" i="1"/>
  <c r="G9405" i="1"/>
  <c r="C9405" i="1"/>
  <c r="G9404" i="1"/>
  <c r="C9404" i="1"/>
  <c r="G9403" i="1"/>
  <c r="C9403" i="1"/>
  <c r="G9402" i="1"/>
  <c r="C9402" i="1"/>
  <c r="G9401" i="1"/>
  <c r="C9401" i="1"/>
  <c r="G9400" i="1"/>
  <c r="C9400" i="1"/>
  <c r="G9399" i="1"/>
  <c r="C9399" i="1"/>
  <c r="G9398" i="1"/>
  <c r="C9398" i="1"/>
  <c r="G9397" i="1"/>
  <c r="C9397" i="1"/>
  <c r="G9396" i="1"/>
  <c r="C9396" i="1"/>
  <c r="G9395" i="1"/>
  <c r="C9395" i="1"/>
  <c r="G9394" i="1"/>
  <c r="C9394" i="1"/>
  <c r="G9393" i="1"/>
  <c r="C9393" i="1"/>
  <c r="G9392" i="1"/>
  <c r="C9392" i="1"/>
  <c r="G9391" i="1"/>
  <c r="C9391" i="1"/>
  <c r="G9390" i="1"/>
  <c r="C9390" i="1"/>
  <c r="G9389" i="1"/>
  <c r="C9389" i="1"/>
  <c r="G9388" i="1"/>
  <c r="C9388" i="1"/>
  <c r="G9387" i="1"/>
  <c r="C9387" i="1"/>
  <c r="G9386" i="1"/>
  <c r="C9386" i="1"/>
  <c r="G9385" i="1"/>
  <c r="C9385" i="1"/>
  <c r="G9384" i="1"/>
  <c r="C9384" i="1"/>
  <c r="G9383" i="1"/>
  <c r="C9383" i="1"/>
  <c r="G9382" i="1"/>
  <c r="C9382" i="1"/>
  <c r="G9381" i="1"/>
  <c r="C9381" i="1"/>
  <c r="G9380" i="1"/>
  <c r="C9380" i="1"/>
  <c r="G9378" i="1"/>
  <c r="C9378" i="1"/>
  <c r="G9377" i="1"/>
  <c r="C9377" i="1"/>
  <c r="G9376" i="1"/>
  <c r="C9376" i="1"/>
  <c r="G9375" i="1"/>
  <c r="C9375" i="1"/>
  <c r="G9374" i="1"/>
  <c r="C9374" i="1"/>
  <c r="G9373" i="1"/>
  <c r="C9373" i="1"/>
  <c r="G9372" i="1"/>
  <c r="C9372" i="1"/>
  <c r="G9371" i="1"/>
  <c r="C9371" i="1"/>
  <c r="G9370" i="1"/>
  <c r="C9370" i="1"/>
  <c r="G9369" i="1"/>
  <c r="C9369" i="1"/>
  <c r="G9368" i="1"/>
  <c r="C9368" i="1"/>
  <c r="G9367" i="1"/>
  <c r="C9367" i="1"/>
  <c r="G9366" i="1"/>
  <c r="C9366" i="1"/>
  <c r="G9365" i="1"/>
  <c r="C9365" i="1"/>
  <c r="G9364" i="1"/>
  <c r="C9364" i="1"/>
  <c r="G9363" i="1"/>
  <c r="C9363" i="1"/>
  <c r="G9362" i="1"/>
  <c r="C9362" i="1"/>
  <c r="G9361" i="1"/>
  <c r="C9361" i="1"/>
  <c r="G9360" i="1"/>
  <c r="C9360" i="1"/>
  <c r="G9359" i="1"/>
  <c r="C9359" i="1"/>
  <c r="G9358" i="1"/>
  <c r="C9358" i="1"/>
  <c r="G9357" i="1"/>
  <c r="C9357" i="1"/>
  <c r="G9356" i="1"/>
  <c r="C9356" i="1"/>
  <c r="G9355" i="1"/>
  <c r="C9355" i="1"/>
  <c r="G9354" i="1"/>
  <c r="C9354" i="1"/>
  <c r="G9353" i="1"/>
  <c r="C9353" i="1"/>
  <c r="G9352" i="1"/>
  <c r="C9352" i="1"/>
  <c r="G9351" i="1"/>
  <c r="C9351" i="1"/>
  <c r="G9350" i="1"/>
  <c r="C9350" i="1"/>
  <c r="G9349" i="1"/>
  <c r="C9349" i="1"/>
  <c r="G9348" i="1"/>
  <c r="C9348" i="1"/>
  <c r="G9347" i="1"/>
  <c r="C9347" i="1"/>
  <c r="G9346" i="1"/>
  <c r="C9346" i="1"/>
  <c r="G9345" i="1"/>
  <c r="C9345" i="1"/>
  <c r="G9344" i="1"/>
  <c r="C9344" i="1"/>
  <c r="G9343" i="1"/>
  <c r="C9343" i="1"/>
  <c r="G9342" i="1"/>
  <c r="C9342" i="1"/>
  <c r="G9341" i="1"/>
  <c r="C9341" i="1"/>
  <c r="G9340" i="1"/>
  <c r="C9340" i="1"/>
  <c r="G9339" i="1"/>
  <c r="C9339" i="1"/>
  <c r="G9338" i="1"/>
  <c r="C9338" i="1"/>
  <c r="G9337" i="1"/>
  <c r="C9337" i="1"/>
  <c r="G9336" i="1"/>
  <c r="C9336" i="1"/>
  <c r="G9335" i="1"/>
  <c r="C9335" i="1"/>
  <c r="G9334" i="1"/>
  <c r="C9334" i="1"/>
  <c r="G9333" i="1"/>
  <c r="C9333" i="1"/>
  <c r="G9332" i="1"/>
  <c r="C9332" i="1"/>
  <c r="G9331" i="1"/>
  <c r="C9331" i="1"/>
  <c r="G9329" i="1"/>
  <c r="C9329" i="1"/>
  <c r="G9328" i="1"/>
  <c r="C9328" i="1"/>
  <c r="G9327" i="1"/>
  <c r="C9327" i="1"/>
  <c r="G9326" i="1"/>
  <c r="C9326" i="1"/>
  <c r="G9324" i="1"/>
  <c r="C9324" i="1"/>
  <c r="G9323" i="1"/>
  <c r="C9323" i="1"/>
  <c r="G9322" i="1"/>
  <c r="C9322" i="1"/>
  <c r="G9321" i="1"/>
  <c r="C9321" i="1"/>
  <c r="G9320" i="1"/>
  <c r="C9320" i="1"/>
  <c r="G9319" i="1"/>
  <c r="C9319" i="1"/>
  <c r="G9318" i="1"/>
  <c r="C9318" i="1"/>
  <c r="G9317" i="1"/>
  <c r="C9317" i="1"/>
  <c r="G9315" i="1"/>
  <c r="C9315" i="1"/>
  <c r="G9314" i="1"/>
  <c r="C9314" i="1"/>
  <c r="G9313" i="1"/>
  <c r="C9313" i="1"/>
  <c r="G9312" i="1"/>
  <c r="C9312" i="1"/>
  <c r="G9311" i="1"/>
  <c r="C9311" i="1"/>
  <c r="G9310" i="1"/>
  <c r="C9310" i="1"/>
  <c r="G9309" i="1"/>
  <c r="C9309" i="1"/>
  <c r="G9308" i="1"/>
  <c r="C9308" i="1"/>
  <c r="G9307" i="1"/>
  <c r="C9307" i="1"/>
  <c r="G9306" i="1"/>
  <c r="C9306" i="1"/>
  <c r="G9305" i="1"/>
  <c r="C9305" i="1"/>
  <c r="G9304" i="1"/>
  <c r="C9304" i="1"/>
  <c r="G9303" i="1"/>
  <c r="C9303" i="1"/>
  <c r="G9302" i="1"/>
  <c r="C9302" i="1"/>
  <c r="G9301" i="1"/>
  <c r="C9301" i="1"/>
  <c r="G9300" i="1"/>
  <c r="C9300" i="1"/>
  <c r="G9299" i="1"/>
  <c r="C9299" i="1"/>
  <c r="G9298" i="1"/>
  <c r="C9298" i="1"/>
  <c r="G9297" i="1"/>
  <c r="C9297" i="1"/>
  <c r="G9296" i="1"/>
  <c r="C9296" i="1"/>
  <c r="G9295" i="1"/>
  <c r="C9295" i="1"/>
  <c r="G9294" i="1"/>
  <c r="C9294" i="1"/>
  <c r="G9293" i="1"/>
  <c r="C9293" i="1"/>
  <c r="G9292" i="1"/>
  <c r="C9292" i="1"/>
  <c r="G9291" i="1"/>
  <c r="C9291" i="1"/>
  <c r="G9290" i="1"/>
  <c r="C9290" i="1"/>
  <c r="G9289" i="1"/>
  <c r="C9289" i="1"/>
  <c r="G9288" i="1"/>
  <c r="C9288" i="1"/>
  <c r="G9287" i="1"/>
  <c r="C9287" i="1"/>
  <c r="G9286" i="1"/>
  <c r="C9286" i="1"/>
  <c r="G9285" i="1"/>
  <c r="C9285" i="1"/>
  <c r="G9284" i="1"/>
  <c r="C9284" i="1"/>
  <c r="G9283" i="1"/>
  <c r="C9283" i="1"/>
  <c r="G9282" i="1"/>
  <c r="C9282" i="1"/>
  <c r="G9280" i="1"/>
  <c r="C9280" i="1"/>
  <c r="G9279" i="1"/>
  <c r="C9279" i="1"/>
  <c r="G9278" i="1"/>
  <c r="C9278" i="1"/>
  <c r="G9277" i="1"/>
  <c r="C9277" i="1"/>
  <c r="G9276" i="1"/>
  <c r="C9276" i="1"/>
  <c r="G9275" i="1"/>
  <c r="C9275" i="1"/>
  <c r="G9274" i="1"/>
  <c r="C9274" i="1"/>
  <c r="G9273" i="1"/>
  <c r="C9273" i="1"/>
  <c r="G9272" i="1"/>
  <c r="C9272" i="1"/>
  <c r="G9271" i="1"/>
  <c r="C9271" i="1"/>
  <c r="G9270" i="1"/>
  <c r="C9270" i="1"/>
  <c r="G9269" i="1"/>
  <c r="C9269" i="1"/>
  <c r="G9268" i="1"/>
  <c r="C9268" i="1"/>
  <c r="G9267" i="1"/>
  <c r="C9267" i="1"/>
  <c r="G9266" i="1"/>
  <c r="C9266" i="1"/>
  <c r="G9265" i="1"/>
  <c r="C9265" i="1"/>
  <c r="G9264" i="1"/>
  <c r="C9264" i="1"/>
  <c r="G9263" i="1"/>
  <c r="C9263" i="1"/>
  <c r="G9262" i="1"/>
  <c r="C9262" i="1"/>
  <c r="G9261" i="1"/>
  <c r="C9261" i="1"/>
  <c r="G9260" i="1"/>
  <c r="C9260" i="1"/>
  <c r="G9259" i="1"/>
  <c r="C9259" i="1"/>
  <c r="G9258" i="1"/>
  <c r="C9258" i="1"/>
  <c r="G9257" i="1"/>
  <c r="C9257" i="1"/>
  <c r="G9256" i="1"/>
  <c r="C9256" i="1"/>
  <c r="G9255" i="1"/>
  <c r="C9255" i="1"/>
  <c r="G9253" i="1"/>
  <c r="C9253" i="1"/>
  <c r="G9252" i="1"/>
  <c r="C9252" i="1"/>
  <c r="G9251" i="1"/>
  <c r="C9251" i="1"/>
  <c r="G9250" i="1"/>
  <c r="C9250" i="1"/>
  <c r="G9249" i="1"/>
  <c r="C9249" i="1"/>
  <c r="G9248" i="1"/>
  <c r="C9248" i="1"/>
  <c r="G9247" i="1"/>
  <c r="C9247" i="1"/>
  <c r="G9246" i="1"/>
  <c r="C9246" i="1"/>
  <c r="G9245" i="1"/>
  <c r="C9245" i="1"/>
  <c r="G9244" i="1"/>
  <c r="C9244" i="1"/>
  <c r="G9243" i="1"/>
  <c r="C9243" i="1"/>
  <c r="G9242" i="1"/>
  <c r="C9242" i="1"/>
  <c r="G9241" i="1"/>
  <c r="C9241" i="1"/>
  <c r="G9240" i="1"/>
  <c r="C9240" i="1"/>
  <c r="G9239" i="1"/>
  <c r="C9239" i="1"/>
  <c r="G9238" i="1"/>
  <c r="C9238" i="1"/>
  <c r="G9237" i="1"/>
  <c r="C9237" i="1"/>
  <c r="G9236" i="1"/>
  <c r="C9236" i="1"/>
  <c r="G9235" i="1"/>
  <c r="C9235" i="1"/>
  <c r="G9234" i="1"/>
  <c r="C9234" i="1"/>
  <c r="G9233" i="1"/>
  <c r="C9233" i="1"/>
  <c r="G9232" i="1"/>
  <c r="C9232" i="1"/>
  <c r="G9231" i="1"/>
  <c r="C9231" i="1"/>
  <c r="G9230" i="1"/>
  <c r="C9230" i="1"/>
  <c r="G9229" i="1"/>
  <c r="C9229" i="1"/>
  <c r="G9228" i="1"/>
  <c r="C9228" i="1"/>
  <c r="G9227" i="1"/>
  <c r="C9227" i="1"/>
  <c r="G9226" i="1"/>
  <c r="C9226" i="1"/>
  <c r="G9225" i="1"/>
  <c r="C9225" i="1"/>
  <c r="G9224" i="1"/>
  <c r="C9224" i="1"/>
  <c r="G9223" i="1"/>
  <c r="C9223" i="1"/>
  <c r="G9222" i="1"/>
  <c r="C9222" i="1"/>
  <c r="G9221" i="1"/>
  <c r="C9221" i="1"/>
  <c r="G9220" i="1"/>
  <c r="C9220" i="1"/>
  <c r="G9219" i="1"/>
  <c r="C9219" i="1"/>
  <c r="G9217" i="1"/>
  <c r="C9217" i="1"/>
  <c r="G9216" i="1"/>
  <c r="C9216" i="1"/>
  <c r="G9215" i="1"/>
  <c r="C9215" i="1"/>
  <c r="G9214" i="1"/>
  <c r="C9214" i="1"/>
  <c r="G9213" i="1"/>
  <c r="C9213" i="1"/>
  <c r="G9212" i="1"/>
  <c r="C9212" i="1"/>
  <c r="G9211" i="1"/>
  <c r="C9211" i="1"/>
  <c r="G9210" i="1"/>
  <c r="C9210" i="1"/>
  <c r="G9209" i="1"/>
  <c r="C9209" i="1"/>
  <c r="G9208" i="1"/>
  <c r="C9208" i="1"/>
  <c r="G9207" i="1"/>
  <c r="C9207" i="1"/>
  <c r="G9206" i="1"/>
  <c r="C9206" i="1"/>
  <c r="G9205" i="1"/>
  <c r="C9205" i="1"/>
  <c r="G9204" i="1"/>
  <c r="C9204" i="1"/>
  <c r="G9203" i="1"/>
  <c r="C9203" i="1"/>
  <c r="G9202" i="1"/>
  <c r="C9202" i="1"/>
  <c r="G9201" i="1"/>
  <c r="C9201" i="1"/>
  <c r="G9200" i="1"/>
  <c r="C9200" i="1"/>
  <c r="G9199" i="1"/>
  <c r="C9199" i="1"/>
  <c r="G9198" i="1"/>
  <c r="C9198" i="1"/>
  <c r="G9197" i="1"/>
  <c r="C9197" i="1"/>
  <c r="G9196" i="1"/>
  <c r="C9196" i="1"/>
  <c r="G9195" i="1"/>
  <c r="C9195" i="1"/>
  <c r="G9194" i="1"/>
  <c r="C9194" i="1"/>
  <c r="G9193" i="1"/>
  <c r="C9193" i="1"/>
  <c r="G9192" i="1"/>
  <c r="C9192" i="1"/>
  <c r="G9191" i="1"/>
  <c r="C9191" i="1"/>
  <c r="G9190" i="1"/>
  <c r="C9190" i="1"/>
  <c r="G9189" i="1"/>
  <c r="C9189" i="1"/>
  <c r="G9188" i="1"/>
  <c r="C9188" i="1"/>
  <c r="G9187" i="1"/>
  <c r="C9187" i="1"/>
  <c r="G9186" i="1"/>
  <c r="C9186" i="1"/>
  <c r="G9185" i="1"/>
  <c r="C9185" i="1"/>
  <c r="G9183" i="1"/>
  <c r="C9183" i="1"/>
  <c r="G9182" i="1"/>
  <c r="C9182" i="1"/>
  <c r="G9181" i="1"/>
  <c r="C9181" i="1"/>
  <c r="G9180" i="1"/>
  <c r="C9180" i="1"/>
  <c r="G9179" i="1"/>
  <c r="C9179" i="1"/>
  <c r="G9178" i="1"/>
  <c r="C9178" i="1"/>
  <c r="G9177" i="1"/>
  <c r="C9177" i="1"/>
  <c r="G9176" i="1"/>
  <c r="C9176" i="1"/>
  <c r="G9175" i="1"/>
  <c r="C9175" i="1"/>
  <c r="G9174" i="1"/>
  <c r="C9174" i="1"/>
  <c r="G9173" i="1"/>
  <c r="C9173" i="1"/>
  <c r="G9172" i="1"/>
  <c r="C9172" i="1"/>
  <c r="G9171" i="1"/>
  <c r="C9171" i="1"/>
  <c r="G9170" i="1"/>
  <c r="C9170" i="1"/>
  <c r="G9169" i="1"/>
  <c r="C9169" i="1"/>
  <c r="G9168" i="1"/>
  <c r="C9168" i="1"/>
  <c r="G9167" i="1"/>
  <c r="C9167" i="1"/>
  <c r="G9166" i="1"/>
  <c r="C9166" i="1"/>
  <c r="G9165" i="1"/>
  <c r="C9165" i="1"/>
  <c r="G9164" i="1"/>
  <c r="C9164" i="1"/>
  <c r="G9163" i="1"/>
  <c r="C9163" i="1"/>
  <c r="G9162" i="1"/>
  <c r="C9162" i="1"/>
  <c r="G9161" i="1"/>
  <c r="C9161" i="1"/>
  <c r="G9160" i="1"/>
  <c r="C9160" i="1"/>
  <c r="G9159" i="1"/>
  <c r="C9159" i="1"/>
  <c r="G9158" i="1"/>
  <c r="C9158" i="1"/>
  <c r="G9157" i="1"/>
  <c r="C9157" i="1"/>
  <c r="G9156" i="1"/>
  <c r="C9156" i="1"/>
  <c r="G9155" i="1"/>
  <c r="C9155" i="1"/>
  <c r="G9154" i="1"/>
  <c r="C9154" i="1"/>
  <c r="G9152" i="1"/>
  <c r="C9152" i="1"/>
  <c r="G9151" i="1"/>
  <c r="C9151" i="1"/>
  <c r="G9150" i="1"/>
  <c r="C9150" i="1"/>
  <c r="G9149" i="1"/>
  <c r="C9149" i="1"/>
  <c r="G9148" i="1"/>
  <c r="C9148" i="1"/>
  <c r="G9147" i="1"/>
  <c r="C9147" i="1"/>
  <c r="G9146" i="1"/>
  <c r="C9146" i="1"/>
  <c r="G9145" i="1"/>
  <c r="C9145" i="1"/>
  <c r="G9144" i="1"/>
  <c r="C9144" i="1"/>
  <c r="G9143" i="1"/>
  <c r="C9143" i="1"/>
  <c r="G9142" i="1"/>
  <c r="C9142" i="1"/>
  <c r="G9141" i="1"/>
  <c r="C9141" i="1"/>
  <c r="G9140" i="1"/>
  <c r="C9140" i="1"/>
  <c r="G9139" i="1"/>
  <c r="C9139" i="1"/>
  <c r="G9138" i="1"/>
  <c r="C9138" i="1"/>
  <c r="G9137" i="1"/>
  <c r="C9137" i="1"/>
  <c r="G9136" i="1"/>
  <c r="C9136" i="1"/>
  <c r="G9135" i="1"/>
  <c r="C9135" i="1"/>
  <c r="G9134" i="1"/>
  <c r="C9134" i="1"/>
  <c r="G9133" i="1"/>
  <c r="C9133" i="1"/>
  <c r="G9132" i="1"/>
  <c r="C9132" i="1"/>
  <c r="G9131" i="1"/>
  <c r="C9131" i="1"/>
  <c r="G9130" i="1"/>
  <c r="C9130" i="1"/>
  <c r="G9129" i="1"/>
  <c r="C9129" i="1"/>
  <c r="G9128" i="1"/>
  <c r="C9128" i="1"/>
  <c r="G9127" i="1"/>
  <c r="C9127" i="1"/>
  <c r="G9125" i="1"/>
  <c r="C9125" i="1"/>
  <c r="G9124" i="1"/>
  <c r="C9124" i="1"/>
  <c r="G9123" i="1"/>
  <c r="C9123" i="1"/>
  <c r="G9122" i="1"/>
  <c r="C9122" i="1"/>
  <c r="G9121" i="1"/>
  <c r="C9121" i="1"/>
  <c r="G9120" i="1"/>
  <c r="C9120" i="1"/>
  <c r="G9119" i="1"/>
  <c r="C9119" i="1"/>
  <c r="G9116" i="1"/>
  <c r="C9116" i="1"/>
  <c r="G9115" i="1"/>
  <c r="C9115" i="1"/>
  <c r="G9114" i="1"/>
  <c r="C9114" i="1"/>
  <c r="G9113" i="1"/>
  <c r="C9113" i="1"/>
  <c r="G9112" i="1"/>
  <c r="C9112" i="1"/>
  <c r="G9111" i="1"/>
  <c r="C9111" i="1"/>
  <c r="G9110" i="1"/>
  <c r="C9110" i="1"/>
  <c r="G9108" i="1"/>
  <c r="C9108" i="1"/>
  <c r="G9107" i="1"/>
  <c r="C9107" i="1"/>
  <c r="G9106" i="1"/>
  <c r="C9106" i="1"/>
  <c r="G9105" i="1"/>
  <c r="C9105" i="1"/>
  <c r="G9104" i="1"/>
  <c r="C9104" i="1"/>
  <c r="G9103" i="1"/>
  <c r="C9103" i="1"/>
  <c r="G9102" i="1"/>
  <c r="C9102" i="1"/>
  <c r="G9101" i="1"/>
  <c r="C9101" i="1"/>
  <c r="G9100" i="1"/>
  <c r="C9100" i="1"/>
  <c r="G9099" i="1"/>
  <c r="C9099" i="1"/>
  <c r="G9097" i="1"/>
  <c r="C9097" i="1"/>
  <c r="G9096" i="1"/>
  <c r="C9096" i="1"/>
  <c r="G9095" i="1"/>
  <c r="C9095" i="1"/>
  <c r="G9094" i="1"/>
  <c r="C9094" i="1"/>
  <c r="G9093" i="1"/>
  <c r="C9093" i="1"/>
  <c r="G9092" i="1"/>
  <c r="C9092" i="1"/>
  <c r="G9091" i="1"/>
  <c r="C9091" i="1"/>
  <c r="G9090" i="1"/>
  <c r="C9090" i="1"/>
  <c r="G9089" i="1"/>
  <c r="C9089" i="1"/>
  <c r="G9088" i="1"/>
  <c r="C9088" i="1"/>
  <c r="G9087" i="1"/>
  <c r="C9087" i="1"/>
  <c r="G9086" i="1"/>
  <c r="C9086" i="1"/>
  <c r="G9085" i="1"/>
  <c r="C9085" i="1"/>
  <c r="G9084" i="1"/>
  <c r="C9084" i="1"/>
  <c r="G9083" i="1"/>
  <c r="C9083" i="1"/>
  <c r="G9082" i="1"/>
  <c r="C9082" i="1"/>
  <c r="G9081" i="1"/>
  <c r="C9081" i="1"/>
  <c r="G9080" i="1"/>
  <c r="C9080" i="1"/>
  <c r="G9079" i="1"/>
  <c r="C9079" i="1"/>
  <c r="G9078" i="1"/>
  <c r="C9078" i="1"/>
  <c r="G9077" i="1"/>
  <c r="C9077" i="1"/>
  <c r="G9076" i="1"/>
  <c r="C9076" i="1"/>
  <c r="G9075" i="1"/>
  <c r="C9075" i="1"/>
  <c r="G9074" i="1"/>
  <c r="C9074" i="1"/>
  <c r="G9073" i="1"/>
  <c r="C9073" i="1"/>
  <c r="G9072" i="1"/>
  <c r="C9072" i="1"/>
  <c r="G9071" i="1"/>
  <c r="C9071" i="1"/>
  <c r="G9070" i="1"/>
  <c r="C9070" i="1"/>
  <c r="G9069" i="1"/>
  <c r="C9069" i="1"/>
  <c r="G9068" i="1"/>
  <c r="C9068" i="1"/>
  <c r="G9067" i="1"/>
  <c r="C9067" i="1"/>
  <c r="G9066" i="1"/>
  <c r="C9066" i="1"/>
  <c r="G9065" i="1"/>
  <c r="C9065" i="1"/>
  <c r="G9064" i="1"/>
  <c r="C9064" i="1"/>
  <c r="G9063" i="1"/>
  <c r="C9063" i="1"/>
  <c r="G9062" i="1"/>
  <c r="C9062" i="1"/>
  <c r="G9061" i="1"/>
  <c r="C9061" i="1"/>
  <c r="G9060" i="1"/>
  <c r="C9060" i="1"/>
  <c r="G9059" i="1"/>
  <c r="C9059" i="1"/>
  <c r="G9058" i="1"/>
  <c r="C9058" i="1"/>
  <c r="G9057" i="1"/>
  <c r="C9057" i="1"/>
  <c r="G9056" i="1"/>
  <c r="C9056" i="1"/>
  <c r="G9055" i="1"/>
  <c r="C9055" i="1"/>
  <c r="G9054" i="1"/>
  <c r="C9054" i="1"/>
  <c r="G9053" i="1"/>
  <c r="C9053" i="1"/>
  <c r="G9052" i="1"/>
  <c r="C9052" i="1"/>
  <c r="G9051" i="1"/>
  <c r="C9051" i="1"/>
  <c r="G9050" i="1"/>
  <c r="C9050" i="1"/>
  <c r="G9049" i="1"/>
  <c r="C9049" i="1"/>
  <c r="G9048" i="1"/>
  <c r="C9048" i="1"/>
  <c r="G9047" i="1"/>
  <c r="C9047" i="1"/>
  <c r="G9046" i="1"/>
  <c r="C9046" i="1"/>
  <c r="G9045" i="1"/>
  <c r="C9045" i="1"/>
  <c r="G9044" i="1"/>
  <c r="C9044" i="1"/>
  <c r="G9042" i="1"/>
  <c r="C9042" i="1"/>
  <c r="G9041" i="1"/>
  <c r="C9041" i="1"/>
  <c r="G9040" i="1"/>
  <c r="C9040" i="1"/>
  <c r="G9039" i="1"/>
  <c r="C9039" i="1"/>
  <c r="G9038" i="1"/>
  <c r="C9038" i="1"/>
  <c r="G9037" i="1"/>
  <c r="C9037" i="1"/>
  <c r="G9036" i="1"/>
  <c r="C9036" i="1"/>
  <c r="G9035" i="1"/>
  <c r="C9035" i="1"/>
  <c r="G9034" i="1"/>
  <c r="C9034" i="1"/>
  <c r="G9033" i="1"/>
  <c r="C9033" i="1"/>
  <c r="G9032" i="1"/>
  <c r="C9032" i="1"/>
  <c r="G9031" i="1"/>
  <c r="C9031" i="1"/>
  <c r="G9030" i="1"/>
  <c r="C9030" i="1"/>
  <c r="G9029" i="1"/>
  <c r="C9029" i="1"/>
  <c r="G9028" i="1"/>
  <c r="C9028" i="1"/>
  <c r="G9027" i="1"/>
  <c r="C9027" i="1"/>
  <c r="G9026" i="1"/>
  <c r="C9026" i="1"/>
  <c r="G9025" i="1"/>
  <c r="C9025" i="1"/>
  <c r="G9024" i="1"/>
  <c r="C9024" i="1"/>
  <c r="G9023" i="1"/>
  <c r="C9023" i="1"/>
  <c r="G9022" i="1"/>
  <c r="C9022" i="1"/>
  <c r="G9021" i="1"/>
  <c r="C9021" i="1"/>
  <c r="G9020" i="1"/>
  <c r="C9020" i="1"/>
  <c r="G9019" i="1"/>
  <c r="C9019" i="1"/>
  <c r="G9018" i="1"/>
  <c r="C9018" i="1"/>
  <c r="G9017" i="1"/>
  <c r="C9017" i="1"/>
  <c r="G9016" i="1"/>
  <c r="C9016" i="1"/>
  <c r="G9015" i="1"/>
  <c r="C9015" i="1"/>
  <c r="G9014" i="1"/>
  <c r="C9014" i="1"/>
  <c r="G9013" i="1"/>
  <c r="C9013" i="1"/>
  <c r="G9012" i="1"/>
  <c r="C9012" i="1"/>
  <c r="G9011" i="1"/>
  <c r="C9011" i="1"/>
  <c r="G9010" i="1"/>
  <c r="C9010" i="1"/>
  <c r="G9008" i="1"/>
  <c r="C9008" i="1"/>
  <c r="G9007" i="1"/>
  <c r="C9007" i="1"/>
  <c r="G9006" i="1"/>
  <c r="C9006" i="1"/>
  <c r="G9005" i="1"/>
  <c r="C9005" i="1"/>
  <c r="G9004" i="1"/>
  <c r="C9004" i="1"/>
  <c r="G9003" i="1"/>
  <c r="C9003" i="1"/>
  <c r="G9002" i="1"/>
  <c r="C9002" i="1"/>
  <c r="G9001" i="1"/>
  <c r="C9001" i="1"/>
  <c r="G9000" i="1"/>
  <c r="C9000" i="1"/>
  <c r="G8999" i="1"/>
  <c r="C8999" i="1"/>
  <c r="G8998" i="1"/>
  <c r="C8998" i="1"/>
  <c r="G8997" i="1"/>
  <c r="C8997" i="1"/>
  <c r="G8996" i="1"/>
  <c r="C8996" i="1"/>
  <c r="G8995" i="1"/>
  <c r="C8995" i="1"/>
  <c r="G8994" i="1"/>
  <c r="C8994" i="1"/>
  <c r="G8993" i="1"/>
  <c r="C8993" i="1"/>
  <c r="G8992" i="1"/>
  <c r="C8992" i="1"/>
  <c r="G8991" i="1"/>
  <c r="C8991" i="1"/>
  <c r="G8990" i="1"/>
  <c r="C8990" i="1"/>
  <c r="G8989" i="1"/>
  <c r="C8989" i="1"/>
  <c r="G8988" i="1"/>
  <c r="C8988" i="1"/>
  <c r="G8987" i="1"/>
  <c r="C8987" i="1"/>
  <c r="G8986" i="1"/>
  <c r="C8986" i="1"/>
  <c r="G8985" i="1"/>
  <c r="C8985" i="1"/>
  <c r="G8984" i="1"/>
  <c r="C8984" i="1"/>
  <c r="G8983" i="1"/>
  <c r="C8983" i="1"/>
  <c r="G8982" i="1"/>
  <c r="C8982" i="1"/>
  <c r="G8981" i="1"/>
  <c r="C8981" i="1"/>
  <c r="G8980" i="1"/>
  <c r="C8980" i="1"/>
  <c r="G8979" i="1"/>
  <c r="C8979" i="1"/>
  <c r="G8978" i="1"/>
  <c r="C8978" i="1"/>
  <c r="G8977" i="1"/>
  <c r="C8977" i="1"/>
  <c r="G8976" i="1"/>
  <c r="C8976" i="1"/>
  <c r="G8975" i="1"/>
  <c r="C8975" i="1"/>
  <c r="G8974" i="1"/>
  <c r="C8974" i="1"/>
  <c r="G8973" i="1"/>
  <c r="C8973" i="1"/>
  <c r="G8972" i="1"/>
  <c r="C8972" i="1"/>
  <c r="G8971" i="1"/>
  <c r="C8971" i="1"/>
  <c r="G8970" i="1"/>
  <c r="C8970" i="1"/>
  <c r="G8968" i="1"/>
  <c r="C8968" i="1"/>
  <c r="G8967" i="1"/>
  <c r="C8967" i="1"/>
  <c r="G8966" i="1"/>
  <c r="C8966" i="1"/>
  <c r="G8965" i="1"/>
  <c r="C8965" i="1"/>
  <c r="G8964" i="1"/>
  <c r="C8964" i="1"/>
  <c r="G8963" i="1"/>
  <c r="C8963" i="1"/>
  <c r="G8962" i="1"/>
  <c r="C8962" i="1"/>
  <c r="G8960" i="1"/>
  <c r="C8960" i="1"/>
  <c r="G8959" i="1"/>
  <c r="C8959" i="1"/>
  <c r="G8958" i="1"/>
  <c r="C8958" i="1"/>
  <c r="G8956" i="1"/>
  <c r="C8956" i="1"/>
  <c r="G8955" i="1"/>
  <c r="C8955" i="1"/>
  <c r="G8954" i="1"/>
  <c r="C8954" i="1"/>
  <c r="G8953" i="1"/>
  <c r="C8953" i="1"/>
  <c r="G8951" i="1"/>
  <c r="C8951" i="1"/>
  <c r="G8950" i="1"/>
  <c r="C8950" i="1"/>
  <c r="G8949" i="1"/>
  <c r="C8949" i="1"/>
  <c r="G8948" i="1"/>
  <c r="C8948" i="1"/>
  <c r="G8947" i="1"/>
  <c r="C8947" i="1"/>
  <c r="G8946" i="1"/>
  <c r="C8946" i="1"/>
  <c r="G8945" i="1"/>
  <c r="C8945" i="1"/>
  <c r="G8944" i="1"/>
  <c r="C8944" i="1"/>
  <c r="G8943" i="1"/>
  <c r="C8943" i="1"/>
  <c r="G8942" i="1"/>
  <c r="C8942" i="1"/>
  <c r="G8941" i="1"/>
  <c r="C8941" i="1"/>
  <c r="G8940" i="1"/>
  <c r="C8940" i="1"/>
  <c r="G8939" i="1"/>
  <c r="C8939" i="1"/>
  <c r="G8938" i="1"/>
  <c r="C8938" i="1"/>
  <c r="G8937" i="1"/>
  <c r="C8937" i="1"/>
  <c r="G8936" i="1"/>
  <c r="C8936" i="1"/>
  <c r="G8935" i="1"/>
  <c r="C8935" i="1"/>
  <c r="G8934" i="1"/>
  <c r="C8934" i="1"/>
  <c r="G8933" i="1"/>
  <c r="C8933" i="1"/>
  <c r="G8932" i="1"/>
  <c r="C8932" i="1"/>
  <c r="G8931" i="1"/>
  <c r="C8931" i="1"/>
  <c r="G8930" i="1"/>
  <c r="C8930" i="1"/>
  <c r="G8929" i="1"/>
  <c r="C8929" i="1"/>
  <c r="G8927" i="1"/>
  <c r="C8927" i="1"/>
  <c r="G8926" i="1"/>
  <c r="C8926" i="1"/>
  <c r="G8925" i="1"/>
  <c r="C8925" i="1"/>
  <c r="G8924" i="1"/>
  <c r="C8924" i="1"/>
  <c r="G8923" i="1"/>
  <c r="C8923" i="1"/>
  <c r="G8922" i="1"/>
  <c r="C8922" i="1"/>
  <c r="G8921" i="1"/>
  <c r="C8921" i="1"/>
  <c r="G8920" i="1"/>
  <c r="C8920" i="1"/>
  <c r="G8919" i="1"/>
  <c r="C8919" i="1"/>
  <c r="G8918" i="1"/>
  <c r="C8918" i="1"/>
  <c r="G8917" i="1"/>
  <c r="C8917" i="1"/>
  <c r="G8916" i="1"/>
  <c r="C8916" i="1"/>
  <c r="G8915" i="1"/>
  <c r="C8915" i="1"/>
  <c r="G8914" i="1"/>
  <c r="C8914" i="1"/>
  <c r="G8913" i="1"/>
  <c r="C8913" i="1"/>
  <c r="G8912" i="1"/>
  <c r="C8912" i="1"/>
  <c r="G8911" i="1"/>
  <c r="C8911" i="1"/>
  <c r="G8910" i="1"/>
  <c r="C8910" i="1"/>
  <c r="G8909" i="1"/>
  <c r="C8909" i="1"/>
  <c r="G8908" i="1"/>
  <c r="C8908" i="1"/>
  <c r="G8907" i="1"/>
  <c r="C8907" i="1"/>
  <c r="G8906" i="1"/>
  <c r="C8906" i="1"/>
  <c r="G8905" i="1"/>
  <c r="C8905" i="1"/>
  <c r="G8904" i="1"/>
  <c r="C8904" i="1"/>
  <c r="G8903" i="1"/>
  <c r="C8903" i="1"/>
  <c r="G8902" i="1"/>
  <c r="C8902" i="1"/>
  <c r="G8901" i="1"/>
  <c r="C8901" i="1"/>
  <c r="G8900" i="1"/>
  <c r="C8900" i="1"/>
  <c r="G8899" i="1"/>
  <c r="C8899" i="1"/>
  <c r="G8898" i="1"/>
  <c r="C8898" i="1"/>
  <c r="G8897" i="1"/>
  <c r="C8897" i="1"/>
  <c r="G8896" i="1"/>
  <c r="C8896" i="1"/>
  <c r="G8895" i="1"/>
  <c r="C8895" i="1"/>
  <c r="G8894" i="1"/>
  <c r="C8894" i="1"/>
  <c r="G8893" i="1"/>
  <c r="C8893" i="1"/>
  <c r="G8892" i="1"/>
  <c r="C8892" i="1"/>
  <c r="G8891" i="1"/>
  <c r="C8891" i="1"/>
  <c r="G8890" i="1"/>
  <c r="C8890" i="1"/>
  <c r="G8889" i="1"/>
  <c r="C8889" i="1"/>
  <c r="G8888" i="1"/>
  <c r="C8888" i="1"/>
  <c r="G8887" i="1"/>
  <c r="C8887" i="1"/>
  <c r="G8884" i="1"/>
  <c r="C8884" i="1"/>
  <c r="G8883" i="1"/>
  <c r="C8883" i="1"/>
  <c r="G8882" i="1"/>
  <c r="C8882" i="1"/>
  <c r="G8881" i="1"/>
  <c r="C8881" i="1"/>
  <c r="G8880" i="1"/>
  <c r="C8880" i="1"/>
  <c r="G8879" i="1"/>
  <c r="C8879" i="1"/>
  <c r="G8877" i="1"/>
  <c r="C8877" i="1"/>
  <c r="G8876" i="1"/>
  <c r="C8876" i="1"/>
  <c r="G8875" i="1"/>
  <c r="C8875" i="1"/>
  <c r="G8874" i="1"/>
  <c r="C8874" i="1"/>
  <c r="G8873" i="1"/>
  <c r="C8873" i="1"/>
  <c r="G8872" i="1"/>
  <c r="C8872" i="1"/>
  <c r="G8871" i="1"/>
  <c r="C8871" i="1"/>
  <c r="G8870" i="1"/>
  <c r="C8870" i="1"/>
  <c r="G8869" i="1"/>
  <c r="C8869" i="1"/>
  <c r="G8868" i="1"/>
  <c r="C8868" i="1"/>
  <c r="G8867" i="1"/>
  <c r="C8867" i="1"/>
  <c r="G8866" i="1"/>
  <c r="C8866" i="1"/>
  <c r="G8865" i="1"/>
  <c r="C8865" i="1"/>
  <c r="G8864" i="1"/>
  <c r="C8864" i="1"/>
  <c r="G8863" i="1"/>
  <c r="C8863" i="1"/>
  <c r="G8861" i="1"/>
  <c r="C8861" i="1"/>
  <c r="G8860" i="1"/>
  <c r="C8860" i="1"/>
  <c r="G8859" i="1"/>
  <c r="C8859" i="1"/>
  <c r="G8858" i="1"/>
  <c r="C8858" i="1"/>
  <c r="G8857" i="1"/>
  <c r="C8857" i="1"/>
  <c r="G8856" i="1"/>
  <c r="C8856" i="1"/>
  <c r="G8855" i="1"/>
  <c r="C8855" i="1"/>
  <c r="G8854" i="1"/>
  <c r="C8854" i="1"/>
  <c r="G8853" i="1"/>
  <c r="C8853" i="1"/>
  <c r="G8852" i="1"/>
  <c r="C8852" i="1"/>
  <c r="G8851" i="1"/>
  <c r="C8851" i="1"/>
  <c r="G8850" i="1"/>
  <c r="C8850" i="1"/>
  <c r="G8849" i="1"/>
  <c r="C8849" i="1"/>
  <c r="G8848" i="1"/>
  <c r="C8848" i="1"/>
  <c r="G8847" i="1"/>
  <c r="C8847" i="1"/>
  <c r="G8846" i="1"/>
  <c r="C8846" i="1"/>
  <c r="G8845" i="1"/>
  <c r="C8845" i="1"/>
  <c r="G8844" i="1"/>
  <c r="C8844" i="1"/>
  <c r="G8843" i="1"/>
  <c r="C8843" i="1"/>
  <c r="G8842" i="1"/>
  <c r="C8842" i="1"/>
  <c r="G8841" i="1"/>
  <c r="C8841" i="1"/>
  <c r="G8840" i="1"/>
  <c r="C8840" i="1"/>
  <c r="G8839" i="1"/>
  <c r="C8839" i="1"/>
  <c r="G8838" i="1"/>
  <c r="C8838" i="1"/>
  <c r="G8837" i="1"/>
  <c r="C8837" i="1"/>
  <c r="G8836" i="1"/>
  <c r="C8836" i="1"/>
  <c r="G8835" i="1"/>
  <c r="C8835" i="1"/>
  <c r="G8834" i="1"/>
  <c r="C8834" i="1"/>
  <c r="G8833" i="1"/>
  <c r="C8833" i="1"/>
  <c r="G8832" i="1"/>
  <c r="C8832" i="1"/>
  <c r="G8831" i="1"/>
  <c r="C8831" i="1"/>
  <c r="G8830" i="1"/>
  <c r="C8830" i="1"/>
  <c r="G8829" i="1"/>
  <c r="C8829" i="1"/>
  <c r="G8828" i="1"/>
  <c r="C8828" i="1"/>
  <c r="G8827" i="1"/>
  <c r="C8827" i="1"/>
  <c r="G8826" i="1"/>
  <c r="C8826" i="1"/>
  <c r="G8825" i="1"/>
  <c r="C8825" i="1"/>
  <c r="G8824" i="1"/>
  <c r="C8824" i="1"/>
  <c r="G8823" i="1"/>
  <c r="C8823" i="1"/>
  <c r="G8822" i="1"/>
  <c r="C8822" i="1"/>
  <c r="G8821" i="1"/>
  <c r="C8821" i="1"/>
  <c r="G8820" i="1"/>
  <c r="C8820" i="1"/>
  <c r="G8819" i="1"/>
  <c r="C8819" i="1"/>
  <c r="G8818" i="1"/>
  <c r="C8818" i="1"/>
  <c r="G8817" i="1"/>
  <c r="C8817" i="1"/>
  <c r="G8816" i="1"/>
  <c r="C8816" i="1"/>
  <c r="G8815" i="1"/>
  <c r="C8815" i="1"/>
  <c r="G8814" i="1"/>
  <c r="C8814" i="1"/>
  <c r="G8813" i="1"/>
  <c r="C8813" i="1"/>
  <c r="G8812" i="1"/>
  <c r="C8812" i="1"/>
  <c r="G8811" i="1"/>
  <c r="C8811" i="1"/>
  <c r="G8810" i="1"/>
  <c r="C8810" i="1"/>
  <c r="G8809" i="1"/>
  <c r="C8809" i="1"/>
  <c r="G8808" i="1"/>
  <c r="C8808" i="1"/>
  <c r="G8807" i="1"/>
  <c r="C8807" i="1"/>
  <c r="G8806" i="1"/>
  <c r="C8806" i="1"/>
  <c r="G8805" i="1"/>
  <c r="C8805" i="1"/>
  <c r="G8804" i="1"/>
  <c r="C8804" i="1"/>
  <c r="G8803" i="1"/>
  <c r="C8803" i="1"/>
  <c r="G8802" i="1"/>
  <c r="C8802" i="1"/>
  <c r="G8801" i="1"/>
  <c r="C8801" i="1"/>
  <c r="G8800" i="1"/>
  <c r="C8800" i="1"/>
  <c r="G8799" i="1"/>
  <c r="C8799" i="1"/>
  <c r="G8798" i="1"/>
  <c r="C8798" i="1"/>
  <c r="G8797" i="1"/>
  <c r="C8797" i="1"/>
  <c r="G8796" i="1"/>
  <c r="C8796" i="1"/>
  <c r="G8795" i="1"/>
  <c r="C8795" i="1"/>
  <c r="G8794" i="1"/>
  <c r="C8794" i="1"/>
  <c r="G8793" i="1"/>
  <c r="C8793" i="1"/>
  <c r="G8792" i="1"/>
  <c r="C8792" i="1"/>
  <c r="G8791" i="1"/>
  <c r="C8791" i="1"/>
  <c r="G8790" i="1"/>
  <c r="C8790" i="1"/>
  <c r="G8789" i="1"/>
  <c r="C8789" i="1"/>
  <c r="G8788" i="1"/>
  <c r="C8788" i="1"/>
  <c r="G8787" i="1"/>
  <c r="C8787" i="1"/>
  <c r="G8786" i="1"/>
  <c r="C8786" i="1"/>
  <c r="G8785" i="1"/>
  <c r="C8785" i="1"/>
  <c r="G8784" i="1"/>
  <c r="C8784" i="1"/>
  <c r="G8783" i="1"/>
  <c r="C8783" i="1"/>
  <c r="G8782" i="1"/>
  <c r="C8782" i="1"/>
  <c r="G8781" i="1"/>
  <c r="C8781" i="1"/>
  <c r="G8780" i="1"/>
  <c r="C8780" i="1"/>
  <c r="G8779" i="1"/>
  <c r="C8779" i="1"/>
  <c r="G8778" i="1"/>
  <c r="C8778" i="1"/>
  <c r="G8777" i="1"/>
  <c r="C8777" i="1"/>
  <c r="G8776" i="1"/>
  <c r="C8776" i="1"/>
  <c r="G8775" i="1"/>
  <c r="C8775" i="1"/>
  <c r="G8774" i="1"/>
  <c r="C8774" i="1"/>
  <c r="G8773" i="1"/>
  <c r="C8773" i="1"/>
  <c r="G8772" i="1"/>
  <c r="C8772" i="1"/>
  <c r="G8771" i="1"/>
  <c r="C8771" i="1"/>
  <c r="G8770" i="1"/>
  <c r="C8770" i="1"/>
  <c r="G8769" i="1"/>
  <c r="C8769" i="1"/>
  <c r="G8768" i="1"/>
  <c r="C8768" i="1"/>
  <c r="G8767" i="1"/>
  <c r="C8767" i="1"/>
  <c r="G8766" i="1"/>
  <c r="C8766" i="1"/>
  <c r="G8765" i="1"/>
  <c r="C8765" i="1"/>
  <c r="G8764" i="1"/>
  <c r="C8764" i="1"/>
  <c r="G8762" i="1"/>
  <c r="C8762" i="1"/>
  <c r="G8761" i="1"/>
  <c r="C8761" i="1"/>
  <c r="G8760" i="1"/>
  <c r="C8760" i="1"/>
  <c r="G8759" i="1"/>
  <c r="C8759" i="1"/>
  <c r="G8758" i="1"/>
  <c r="C8758" i="1"/>
  <c r="G8757" i="1"/>
  <c r="C8757" i="1"/>
  <c r="G8756" i="1"/>
  <c r="C8756" i="1"/>
  <c r="G8755" i="1"/>
  <c r="C8755" i="1"/>
  <c r="G8754" i="1"/>
  <c r="C8754" i="1"/>
  <c r="G8753" i="1"/>
  <c r="C8753" i="1"/>
  <c r="G8752" i="1"/>
  <c r="C8752" i="1"/>
  <c r="G8751" i="1"/>
  <c r="C8751" i="1"/>
  <c r="G8750" i="1"/>
  <c r="C8750" i="1"/>
  <c r="G8749" i="1"/>
  <c r="C8749" i="1"/>
  <c r="G8748" i="1"/>
  <c r="C8748" i="1"/>
  <c r="G8747" i="1"/>
  <c r="C8747" i="1"/>
  <c r="G8746" i="1"/>
  <c r="C8746" i="1"/>
  <c r="G8745" i="1"/>
  <c r="C8745" i="1"/>
  <c r="G8744" i="1"/>
  <c r="C8744" i="1"/>
  <c r="G8743" i="1"/>
  <c r="C8743" i="1"/>
  <c r="G8742" i="1"/>
  <c r="C8742" i="1"/>
  <c r="G8741" i="1"/>
  <c r="C8741" i="1"/>
  <c r="G8740" i="1"/>
  <c r="C8740" i="1"/>
  <c r="G8739" i="1"/>
  <c r="C8739" i="1"/>
  <c r="G8738" i="1"/>
  <c r="C8738" i="1"/>
  <c r="G8737" i="1"/>
  <c r="C8737" i="1"/>
  <c r="G8736" i="1"/>
  <c r="C8736" i="1"/>
  <c r="G8735" i="1"/>
  <c r="C8735" i="1"/>
  <c r="G8734" i="1"/>
  <c r="C8734" i="1"/>
  <c r="G8733" i="1"/>
  <c r="C8733" i="1"/>
  <c r="G8732" i="1"/>
  <c r="C8732" i="1"/>
  <c r="G8731" i="1"/>
  <c r="C8731" i="1"/>
  <c r="G8730" i="1"/>
  <c r="C8730" i="1"/>
  <c r="G8729" i="1"/>
  <c r="C8729" i="1"/>
  <c r="G8728" i="1"/>
  <c r="C8728" i="1"/>
  <c r="G8727" i="1"/>
  <c r="C8727" i="1"/>
  <c r="G8726" i="1"/>
  <c r="C8726" i="1"/>
  <c r="G8725" i="1"/>
  <c r="C8725" i="1"/>
  <c r="G8724" i="1"/>
  <c r="C8724" i="1"/>
  <c r="G8723" i="1"/>
  <c r="C8723" i="1"/>
  <c r="G8722" i="1"/>
  <c r="C8722" i="1"/>
  <c r="G8721" i="1"/>
  <c r="C8721" i="1"/>
  <c r="G8720" i="1"/>
  <c r="C8720" i="1"/>
  <c r="G8719" i="1"/>
  <c r="C8719" i="1"/>
  <c r="G8718" i="1"/>
  <c r="C8718" i="1"/>
  <c r="G8717" i="1"/>
  <c r="C8717" i="1"/>
  <c r="G8715" i="1"/>
  <c r="C8715" i="1"/>
  <c r="G8714" i="1"/>
  <c r="C8714" i="1"/>
  <c r="G8713" i="1"/>
  <c r="C8713" i="1"/>
  <c r="G8712" i="1"/>
  <c r="C8712" i="1"/>
  <c r="G8711" i="1"/>
  <c r="C8711" i="1"/>
  <c r="G8710" i="1"/>
  <c r="C8710" i="1"/>
  <c r="G8709" i="1"/>
  <c r="C8709" i="1"/>
  <c r="G8708" i="1"/>
  <c r="C8708" i="1"/>
  <c r="G8707" i="1"/>
  <c r="C8707" i="1"/>
  <c r="G8706" i="1"/>
  <c r="C8706" i="1"/>
  <c r="G8705" i="1"/>
  <c r="C8705" i="1"/>
  <c r="G8704" i="1"/>
  <c r="C8704" i="1"/>
  <c r="G8703" i="1"/>
  <c r="C8703" i="1"/>
  <c r="G8702" i="1"/>
  <c r="C8702" i="1"/>
  <c r="G8701" i="1"/>
  <c r="C8701" i="1"/>
  <c r="G8700" i="1"/>
  <c r="C8700" i="1"/>
  <c r="G8699" i="1"/>
  <c r="C8699" i="1"/>
  <c r="G8698" i="1"/>
  <c r="C8698" i="1"/>
  <c r="G8697" i="1"/>
  <c r="C8697" i="1"/>
  <c r="G8696" i="1"/>
  <c r="C8696" i="1"/>
  <c r="G8695" i="1"/>
  <c r="C8695" i="1"/>
  <c r="G8694" i="1"/>
  <c r="C8694" i="1"/>
  <c r="G8693" i="1"/>
  <c r="C8693" i="1"/>
  <c r="G8692" i="1"/>
  <c r="C8692" i="1"/>
  <c r="G8691" i="1"/>
  <c r="C8691" i="1"/>
  <c r="G8690" i="1"/>
  <c r="C8690" i="1"/>
  <c r="G8689" i="1"/>
  <c r="C8689" i="1"/>
  <c r="G8688" i="1"/>
  <c r="C8688" i="1"/>
  <c r="G8687" i="1"/>
  <c r="C8687" i="1"/>
  <c r="G8686" i="1"/>
  <c r="C8686" i="1"/>
  <c r="G8685" i="1"/>
  <c r="C8685" i="1"/>
  <c r="G8684" i="1"/>
  <c r="C8684" i="1"/>
  <c r="G8683" i="1"/>
  <c r="C8683" i="1"/>
  <c r="G8682" i="1"/>
  <c r="C8682" i="1"/>
  <c r="G8681" i="1"/>
  <c r="C8681" i="1"/>
  <c r="G8680" i="1"/>
  <c r="C8680" i="1"/>
  <c r="G8679" i="1"/>
  <c r="C8679" i="1"/>
  <c r="G8678" i="1"/>
  <c r="C8678" i="1"/>
  <c r="G8677" i="1"/>
  <c r="C8677" i="1"/>
  <c r="G8676" i="1"/>
  <c r="C8676" i="1"/>
  <c r="G8675" i="1"/>
  <c r="C8675" i="1"/>
  <c r="G8674" i="1"/>
  <c r="C8674" i="1"/>
  <c r="G8673" i="1"/>
  <c r="C8673" i="1"/>
  <c r="G8672" i="1"/>
  <c r="C8672" i="1"/>
  <c r="G8671" i="1"/>
  <c r="C8671" i="1"/>
  <c r="G8670" i="1"/>
  <c r="C8670" i="1"/>
  <c r="G8669" i="1"/>
  <c r="C8669" i="1"/>
  <c r="G8668" i="1"/>
  <c r="C8668" i="1"/>
  <c r="G8667" i="1"/>
  <c r="C8667" i="1"/>
  <c r="G8666" i="1"/>
  <c r="C8666" i="1"/>
  <c r="G8665" i="1"/>
  <c r="C8665" i="1"/>
  <c r="G8664" i="1"/>
  <c r="C8664" i="1"/>
  <c r="G8663" i="1"/>
  <c r="C8663" i="1"/>
  <c r="G8662" i="1"/>
  <c r="C8662" i="1"/>
  <c r="G8661" i="1"/>
  <c r="C8661" i="1"/>
  <c r="G8660" i="1"/>
  <c r="C8660" i="1"/>
  <c r="G8659" i="1"/>
  <c r="C8659" i="1"/>
  <c r="G8658" i="1"/>
  <c r="C8658" i="1"/>
  <c r="G8657" i="1"/>
  <c r="C8657" i="1"/>
  <c r="G8656" i="1"/>
  <c r="C8656" i="1"/>
  <c r="G8655" i="1"/>
  <c r="C8655" i="1"/>
  <c r="G8654" i="1"/>
  <c r="C8654" i="1"/>
  <c r="G8653" i="1"/>
  <c r="C8653" i="1"/>
  <c r="G8652" i="1"/>
  <c r="C8652" i="1"/>
  <c r="G8651" i="1"/>
  <c r="C8651" i="1"/>
  <c r="G8650" i="1"/>
  <c r="C8650" i="1"/>
  <c r="G8649" i="1"/>
  <c r="C8649" i="1"/>
  <c r="G8648" i="1"/>
  <c r="C8648" i="1"/>
  <c r="G8647" i="1"/>
  <c r="C8647" i="1"/>
  <c r="G8646" i="1"/>
  <c r="C8646" i="1"/>
  <c r="G8645" i="1"/>
  <c r="C8645" i="1"/>
  <c r="G8643" i="1"/>
  <c r="C8643" i="1"/>
  <c r="G8641" i="1"/>
  <c r="C8641" i="1"/>
  <c r="G8640" i="1"/>
  <c r="C8640" i="1"/>
  <c r="G8639" i="1"/>
  <c r="C8639" i="1"/>
  <c r="G8638" i="1"/>
  <c r="C8638" i="1"/>
  <c r="G8637" i="1"/>
  <c r="C8637" i="1"/>
  <c r="G8636" i="1"/>
  <c r="C8636" i="1"/>
  <c r="G8635" i="1"/>
  <c r="C8635" i="1"/>
  <c r="G8634" i="1"/>
  <c r="C8634" i="1"/>
  <c r="G8633" i="1"/>
  <c r="C8633" i="1"/>
  <c r="G8632" i="1"/>
  <c r="C8632" i="1"/>
  <c r="G8631" i="1"/>
  <c r="C8631" i="1"/>
  <c r="G8630" i="1"/>
  <c r="C8630" i="1"/>
  <c r="G8629" i="1"/>
  <c r="C8629" i="1"/>
  <c r="G8628" i="1"/>
  <c r="C8628" i="1"/>
  <c r="G8627" i="1"/>
  <c r="C8627" i="1"/>
  <c r="G8626" i="1"/>
  <c r="C8626" i="1"/>
  <c r="G8625" i="1"/>
  <c r="C8625" i="1"/>
  <c r="G8624" i="1"/>
  <c r="C8624" i="1"/>
  <c r="G8623" i="1"/>
  <c r="C8623" i="1"/>
  <c r="G8622" i="1"/>
  <c r="C8622" i="1"/>
  <c r="G8621" i="1"/>
  <c r="C8621" i="1"/>
  <c r="G8620" i="1"/>
  <c r="C8620" i="1"/>
  <c r="G8619" i="1"/>
  <c r="C8619" i="1"/>
  <c r="G8618" i="1"/>
  <c r="C8618" i="1"/>
  <c r="G8617" i="1"/>
  <c r="C8617" i="1"/>
  <c r="G8616" i="1"/>
  <c r="C8616" i="1"/>
  <c r="G8615" i="1"/>
  <c r="C8615" i="1"/>
  <c r="G8614" i="1"/>
  <c r="C8614" i="1"/>
  <c r="G8613" i="1"/>
  <c r="C8613" i="1"/>
  <c r="G8612" i="1"/>
  <c r="C8612" i="1"/>
  <c r="G8611" i="1"/>
  <c r="C8611" i="1"/>
  <c r="G8610" i="1"/>
  <c r="C8610" i="1"/>
  <c r="G8609" i="1"/>
  <c r="C8609" i="1"/>
  <c r="G8608" i="1"/>
  <c r="C8608" i="1"/>
  <c r="G8607" i="1"/>
  <c r="C8607" i="1"/>
  <c r="G8606" i="1"/>
  <c r="C8606" i="1"/>
  <c r="G8605" i="1"/>
  <c r="C8605" i="1"/>
  <c r="G8604" i="1"/>
  <c r="C8604" i="1"/>
  <c r="G8603" i="1"/>
  <c r="C8603" i="1"/>
  <c r="G8602" i="1"/>
  <c r="C8602" i="1"/>
  <c r="G8601" i="1"/>
  <c r="C8601" i="1"/>
  <c r="G8600" i="1"/>
  <c r="C8600" i="1"/>
  <c r="G8598" i="1"/>
  <c r="C8598" i="1"/>
  <c r="G8597" i="1"/>
  <c r="C8597" i="1"/>
  <c r="G8596" i="1"/>
  <c r="C8596" i="1"/>
  <c r="G8595" i="1"/>
  <c r="C8595" i="1"/>
  <c r="G8594" i="1"/>
  <c r="C8594" i="1"/>
  <c r="G8593" i="1"/>
  <c r="C8593" i="1"/>
  <c r="G8592" i="1"/>
  <c r="C8592" i="1"/>
  <c r="G8591" i="1"/>
  <c r="C8591" i="1"/>
  <c r="G8590" i="1"/>
  <c r="C8590" i="1"/>
  <c r="G8589" i="1"/>
  <c r="C8589" i="1"/>
  <c r="G8588" i="1"/>
  <c r="C8588" i="1"/>
  <c r="G8587" i="1"/>
  <c r="C8587" i="1"/>
  <c r="G8586" i="1"/>
  <c r="C8586" i="1"/>
  <c r="G8585" i="1"/>
  <c r="C8585" i="1"/>
  <c r="G8584" i="1"/>
  <c r="C8584" i="1"/>
  <c r="G8583" i="1"/>
  <c r="C8583" i="1"/>
  <c r="G8582" i="1"/>
  <c r="C8582" i="1"/>
  <c r="G8581" i="1"/>
  <c r="C8581" i="1"/>
  <c r="G8580" i="1"/>
  <c r="C8580" i="1"/>
  <c r="G8579" i="1"/>
  <c r="C8579" i="1"/>
  <c r="G8578" i="1"/>
  <c r="C8578" i="1"/>
  <c r="G8577" i="1"/>
  <c r="C8577" i="1"/>
  <c r="G8576" i="1"/>
  <c r="C8576" i="1"/>
  <c r="G8575" i="1"/>
  <c r="C8575" i="1"/>
  <c r="G8574" i="1"/>
  <c r="C8574" i="1"/>
  <c r="G8573" i="1"/>
  <c r="C8573" i="1"/>
  <c r="G8572" i="1"/>
  <c r="C8572" i="1"/>
  <c r="G8571" i="1"/>
  <c r="C8571" i="1"/>
  <c r="G8570" i="1"/>
  <c r="C8570" i="1"/>
  <c r="G8569" i="1"/>
  <c r="C8569" i="1"/>
  <c r="G8568" i="1"/>
  <c r="C8568" i="1"/>
  <c r="G8567" i="1"/>
  <c r="C8567" i="1"/>
  <c r="G8566" i="1"/>
  <c r="C8566" i="1"/>
  <c r="G8565" i="1"/>
  <c r="C8565" i="1"/>
  <c r="G8564" i="1"/>
  <c r="C8564" i="1"/>
  <c r="G8563" i="1"/>
  <c r="C8563" i="1"/>
  <c r="G8561" i="1"/>
  <c r="C8561" i="1"/>
  <c r="G8560" i="1"/>
  <c r="C8560" i="1"/>
  <c r="G8559" i="1"/>
  <c r="C8559" i="1"/>
  <c r="G8558" i="1"/>
  <c r="C8558" i="1"/>
  <c r="G8557" i="1"/>
  <c r="C8557" i="1"/>
  <c r="G8556" i="1"/>
  <c r="C8556" i="1"/>
  <c r="G8555" i="1"/>
  <c r="C8555" i="1"/>
  <c r="G8554" i="1"/>
  <c r="C8554" i="1"/>
  <c r="G8553" i="1"/>
  <c r="C8553" i="1"/>
  <c r="G8552" i="1"/>
  <c r="C8552" i="1"/>
  <c r="G8551" i="1"/>
  <c r="C8551" i="1"/>
  <c r="G8550" i="1"/>
  <c r="C8550" i="1"/>
  <c r="G8549" i="1"/>
  <c r="C8549" i="1"/>
  <c r="G8548" i="1"/>
  <c r="C8548" i="1"/>
  <c r="G8547" i="1"/>
  <c r="C8547" i="1"/>
  <c r="G8546" i="1"/>
  <c r="C8546" i="1"/>
  <c r="G8545" i="1"/>
  <c r="C8545" i="1"/>
  <c r="G8544" i="1"/>
  <c r="C8544" i="1"/>
  <c r="G8543" i="1"/>
  <c r="C8543" i="1"/>
  <c r="G8542" i="1"/>
  <c r="C8542" i="1"/>
  <c r="G8541" i="1"/>
  <c r="C8541" i="1"/>
  <c r="G8540" i="1"/>
  <c r="C8540" i="1"/>
  <c r="G8539" i="1"/>
  <c r="C8539" i="1"/>
  <c r="G8538" i="1"/>
  <c r="C8538" i="1"/>
  <c r="G8537" i="1"/>
  <c r="C8537" i="1"/>
  <c r="G8536" i="1"/>
  <c r="C8536" i="1"/>
  <c r="G8535" i="1"/>
  <c r="C8535" i="1"/>
  <c r="G8534" i="1"/>
  <c r="C8534" i="1"/>
  <c r="G8533" i="1"/>
  <c r="C8533" i="1"/>
  <c r="G8532" i="1"/>
  <c r="C8532" i="1"/>
  <c r="G8530" i="1"/>
  <c r="C8530" i="1"/>
  <c r="G8529" i="1"/>
  <c r="C8529" i="1"/>
  <c r="G8528" i="1"/>
  <c r="C8528" i="1"/>
  <c r="G8527" i="1"/>
  <c r="C8527" i="1"/>
  <c r="G8526" i="1"/>
  <c r="C8526" i="1"/>
  <c r="G8525" i="1"/>
  <c r="C8525" i="1"/>
  <c r="G8524" i="1"/>
  <c r="C8524" i="1"/>
  <c r="G8523" i="1"/>
  <c r="C8523" i="1"/>
  <c r="G8522" i="1"/>
  <c r="C8522" i="1"/>
  <c r="G8521" i="1"/>
  <c r="C8521" i="1"/>
  <c r="G8520" i="1"/>
  <c r="C8520" i="1"/>
  <c r="G8519" i="1"/>
  <c r="C8519" i="1"/>
  <c r="G8518" i="1"/>
  <c r="C8518" i="1"/>
  <c r="G8517" i="1"/>
  <c r="C8517" i="1"/>
  <c r="G8516" i="1"/>
  <c r="C8516" i="1"/>
  <c r="G8514" i="1"/>
  <c r="C8514" i="1"/>
  <c r="G8513" i="1"/>
  <c r="C8513" i="1"/>
  <c r="G8512" i="1"/>
  <c r="C8512" i="1"/>
  <c r="G8511" i="1"/>
  <c r="C8511" i="1"/>
  <c r="G8510" i="1"/>
  <c r="C8510" i="1"/>
  <c r="G8509" i="1"/>
  <c r="C8509" i="1"/>
  <c r="G8508" i="1"/>
  <c r="C8508" i="1"/>
  <c r="G8507" i="1"/>
  <c r="C8507" i="1"/>
  <c r="G8506" i="1"/>
  <c r="C8506" i="1"/>
  <c r="G8505" i="1"/>
  <c r="C8505" i="1"/>
  <c r="G8504" i="1"/>
  <c r="C8504" i="1"/>
  <c r="G8503" i="1"/>
  <c r="C8503" i="1"/>
  <c r="G8502" i="1"/>
  <c r="C8502" i="1"/>
  <c r="G8501" i="1"/>
  <c r="C8501" i="1"/>
  <c r="G8500" i="1"/>
  <c r="C8500" i="1"/>
  <c r="G8499" i="1"/>
  <c r="C8499" i="1"/>
  <c r="G8498" i="1"/>
  <c r="C8498" i="1"/>
  <c r="G8497" i="1"/>
  <c r="C8497" i="1"/>
  <c r="G8496" i="1"/>
  <c r="C8496" i="1"/>
  <c r="G8495" i="1"/>
  <c r="C8495" i="1"/>
  <c r="G8494" i="1"/>
  <c r="C8494" i="1"/>
  <c r="G8493" i="1"/>
  <c r="C8493" i="1"/>
  <c r="G8492" i="1"/>
  <c r="C8492" i="1"/>
  <c r="G8491" i="1"/>
  <c r="C8491" i="1"/>
  <c r="G8490" i="1"/>
  <c r="C8490" i="1"/>
  <c r="G8489" i="1"/>
  <c r="C8489" i="1"/>
  <c r="G8488" i="1"/>
  <c r="C8488" i="1"/>
  <c r="G8487" i="1"/>
  <c r="C8487" i="1"/>
  <c r="G8486" i="1"/>
  <c r="C8486" i="1"/>
  <c r="G8485" i="1"/>
  <c r="C8485" i="1"/>
  <c r="G8484" i="1"/>
  <c r="C8484" i="1"/>
  <c r="G8483" i="1"/>
  <c r="C8483" i="1"/>
  <c r="G8482" i="1"/>
  <c r="C8482" i="1"/>
  <c r="G8481" i="1"/>
  <c r="C8481" i="1"/>
  <c r="G8480" i="1"/>
  <c r="C8480" i="1"/>
  <c r="G8479" i="1"/>
  <c r="C8479" i="1"/>
  <c r="G8478" i="1"/>
  <c r="C8478" i="1"/>
  <c r="G8477" i="1"/>
  <c r="C8477" i="1"/>
  <c r="G8476" i="1"/>
  <c r="C8476" i="1"/>
  <c r="G8475" i="1"/>
  <c r="C8475" i="1"/>
  <c r="G8474" i="1"/>
  <c r="C8474" i="1"/>
  <c r="G8473" i="1"/>
  <c r="C8473" i="1"/>
  <c r="G8472" i="1"/>
  <c r="C8472" i="1"/>
  <c r="G8471" i="1"/>
  <c r="C8471" i="1"/>
  <c r="G8470" i="1"/>
  <c r="C8470" i="1"/>
  <c r="G8469" i="1"/>
  <c r="C8469" i="1"/>
  <c r="G8468" i="1"/>
  <c r="C8468" i="1"/>
  <c r="G8467" i="1"/>
  <c r="C8467" i="1"/>
  <c r="G8466" i="1"/>
  <c r="C8466" i="1"/>
  <c r="G8465" i="1"/>
  <c r="C8465" i="1"/>
  <c r="G8464" i="1"/>
  <c r="C8464" i="1"/>
  <c r="G8463" i="1"/>
  <c r="C8463" i="1"/>
  <c r="G8462" i="1"/>
  <c r="C8462" i="1"/>
  <c r="G8461" i="1"/>
  <c r="C8461" i="1"/>
  <c r="G8460" i="1"/>
  <c r="C8460" i="1"/>
  <c r="G8459" i="1"/>
  <c r="C8459" i="1"/>
  <c r="G8458" i="1"/>
  <c r="C8458" i="1"/>
  <c r="G8457" i="1"/>
  <c r="C8457" i="1"/>
  <c r="G8456" i="1"/>
  <c r="C8456" i="1"/>
  <c r="G8455" i="1"/>
  <c r="C8455" i="1"/>
  <c r="G8454" i="1"/>
  <c r="C8454" i="1"/>
  <c r="G8453" i="1"/>
  <c r="C8453" i="1"/>
  <c r="G8452" i="1"/>
  <c r="C8452" i="1"/>
  <c r="G8451" i="1"/>
  <c r="C8451" i="1"/>
  <c r="G8450" i="1"/>
  <c r="C8450" i="1"/>
  <c r="G8449" i="1"/>
  <c r="C8449" i="1"/>
  <c r="G8448" i="1"/>
  <c r="C8448" i="1"/>
  <c r="G8447" i="1"/>
  <c r="C8447" i="1"/>
  <c r="G8446" i="1"/>
  <c r="C8446" i="1"/>
  <c r="G8445" i="1"/>
  <c r="C8445" i="1"/>
  <c r="G8444" i="1"/>
  <c r="C8444" i="1"/>
  <c r="G8443" i="1"/>
  <c r="C8443" i="1"/>
  <c r="G8442" i="1"/>
  <c r="C8442" i="1"/>
  <c r="G8441" i="1"/>
  <c r="C8441" i="1"/>
  <c r="G8440" i="1"/>
  <c r="C8440" i="1"/>
  <c r="G8439" i="1"/>
  <c r="C8439" i="1"/>
  <c r="G8438" i="1"/>
  <c r="C8438" i="1"/>
  <c r="G8437" i="1"/>
  <c r="C8437" i="1"/>
  <c r="G8436" i="1"/>
  <c r="C8436" i="1"/>
  <c r="G8435" i="1"/>
  <c r="C8435" i="1"/>
  <c r="G8434" i="1"/>
  <c r="C8434" i="1"/>
  <c r="G8433" i="1"/>
  <c r="C8433" i="1"/>
  <c r="G8432" i="1"/>
  <c r="C8432" i="1"/>
  <c r="G8431" i="1"/>
  <c r="C8431" i="1"/>
  <c r="G8430" i="1"/>
  <c r="C8430" i="1"/>
  <c r="G8429" i="1"/>
  <c r="C8429" i="1"/>
  <c r="G8428" i="1"/>
  <c r="C8428" i="1"/>
  <c r="G8427" i="1"/>
  <c r="C8427" i="1"/>
  <c r="G8426" i="1"/>
  <c r="C8426" i="1"/>
  <c r="G8425" i="1"/>
  <c r="C8425" i="1"/>
  <c r="G8424" i="1"/>
  <c r="C8424" i="1"/>
  <c r="G8423" i="1"/>
  <c r="C8423" i="1"/>
  <c r="G8422" i="1"/>
  <c r="C8422" i="1"/>
  <c r="G8421" i="1"/>
  <c r="C8421" i="1"/>
  <c r="G8420" i="1"/>
  <c r="C8420" i="1"/>
  <c r="G8419" i="1"/>
  <c r="C8419" i="1"/>
  <c r="G8418" i="1"/>
  <c r="C8418" i="1"/>
  <c r="G8417" i="1"/>
  <c r="C8417" i="1"/>
  <c r="G8416" i="1"/>
  <c r="C8416" i="1"/>
  <c r="G8415" i="1"/>
  <c r="C8415" i="1"/>
  <c r="G8414" i="1"/>
  <c r="C8414" i="1"/>
  <c r="G8413" i="1"/>
  <c r="C8413" i="1"/>
  <c r="G8412" i="1"/>
  <c r="C8412" i="1"/>
  <c r="G8411" i="1"/>
  <c r="C8411" i="1"/>
  <c r="G8410" i="1"/>
  <c r="C8410" i="1"/>
  <c r="G8409" i="1"/>
  <c r="C8409" i="1"/>
  <c r="G8408" i="1"/>
  <c r="C8408" i="1"/>
  <c r="G8407" i="1"/>
  <c r="C8407" i="1"/>
  <c r="G8406" i="1"/>
  <c r="C8406" i="1"/>
  <c r="G8405" i="1"/>
  <c r="C8405" i="1"/>
  <c r="G8404" i="1"/>
  <c r="C8404" i="1"/>
  <c r="G8403" i="1"/>
  <c r="C8403" i="1"/>
  <c r="G8402" i="1"/>
  <c r="C8402" i="1"/>
  <c r="G8401" i="1"/>
  <c r="C8401" i="1"/>
  <c r="G8400" i="1"/>
  <c r="C8400" i="1"/>
  <c r="G8399" i="1"/>
  <c r="C8399" i="1"/>
  <c r="G8398" i="1"/>
  <c r="C8398" i="1"/>
  <c r="G8397" i="1"/>
  <c r="C8397" i="1"/>
  <c r="G8396" i="1"/>
  <c r="C8396" i="1"/>
  <c r="G8395" i="1"/>
  <c r="C8395" i="1"/>
  <c r="G8394" i="1"/>
  <c r="C8394" i="1"/>
  <c r="G8393" i="1"/>
  <c r="C8393" i="1"/>
  <c r="G8392" i="1"/>
  <c r="C8392" i="1"/>
  <c r="G8391" i="1"/>
  <c r="C8391" i="1"/>
  <c r="G8390" i="1"/>
  <c r="C8390" i="1"/>
  <c r="G8389" i="1"/>
  <c r="C8389" i="1"/>
  <c r="G8388" i="1"/>
  <c r="C8388" i="1"/>
  <c r="G8387" i="1"/>
  <c r="C8387" i="1"/>
  <c r="G8386" i="1"/>
  <c r="C8386" i="1"/>
  <c r="G8385" i="1"/>
  <c r="C8385" i="1"/>
  <c r="G8384" i="1"/>
  <c r="C8384" i="1"/>
  <c r="G8383" i="1"/>
  <c r="C8383" i="1"/>
  <c r="G8382" i="1"/>
  <c r="C8382" i="1"/>
  <c r="G8381" i="1"/>
  <c r="C8381" i="1"/>
  <c r="G8380" i="1"/>
  <c r="C8380" i="1"/>
  <c r="G8377" i="1"/>
  <c r="C8377" i="1"/>
  <c r="G8376" i="1"/>
  <c r="C8376" i="1"/>
  <c r="G8375" i="1"/>
  <c r="C8375" i="1"/>
  <c r="G8374" i="1"/>
  <c r="C8374" i="1"/>
  <c r="G8373" i="1"/>
  <c r="C8373" i="1"/>
  <c r="G8372" i="1"/>
  <c r="C8372" i="1"/>
  <c r="G8371" i="1"/>
  <c r="C8371" i="1"/>
  <c r="G8370" i="1"/>
  <c r="C8370" i="1"/>
  <c r="G8369" i="1"/>
  <c r="C8369" i="1"/>
  <c r="G8368" i="1"/>
  <c r="C8368" i="1"/>
  <c r="G8367" i="1"/>
  <c r="C8367" i="1"/>
  <c r="G8366" i="1"/>
  <c r="C8366" i="1"/>
  <c r="G8365" i="1"/>
  <c r="C8365" i="1"/>
  <c r="G8364" i="1"/>
  <c r="C8364" i="1"/>
  <c r="G8363" i="1"/>
  <c r="C8363" i="1"/>
  <c r="G8362" i="1"/>
  <c r="C8362" i="1"/>
  <c r="G8361" i="1"/>
  <c r="C8361" i="1"/>
  <c r="G8360" i="1"/>
  <c r="C8360" i="1"/>
  <c r="G8359" i="1"/>
  <c r="C8359" i="1"/>
  <c r="G8358" i="1"/>
  <c r="C8358" i="1"/>
  <c r="G8357" i="1"/>
  <c r="C8357" i="1"/>
  <c r="G8355" i="1"/>
  <c r="C8355" i="1"/>
  <c r="G8354" i="1"/>
  <c r="C8354" i="1"/>
  <c r="G8353" i="1"/>
  <c r="C8353" i="1"/>
  <c r="G8352" i="1"/>
  <c r="C8352" i="1"/>
  <c r="G8351" i="1"/>
  <c r="C8351" i="1"/>
  <c r="G8350" i="1"/>
  <c r="C8350" i="1"/>
  <c r="G8349" i="1"/>
  <c r="C8349" i="1"/>
  <c r="G8348" i="1"/>
  <c r="C8348" i="1"/>
  <c r="G8347" i="1"/>
  <c r="C8347" i="1"/>
  <c r="G8346" i="1"/>
  <c r="C8346" i="1"/>
  <c r="G8345" i="1"/>
  <c r="C8345" i="1"/>
  <c r="G8344" i="1"/>
  <c r="C8344" i="1"/>
  <c r="G8343" i="1"/>
  <c r="C8343" i="1"/>
  <c r="G8342" i="1"/>
  <c r="C8342" i="1"/>
  <c r="G8341" i="1"/>
  <c r="C8341" i="1"/>
  <c r="G8340" i="1"/>
  <c r="C8340" i="1"/>
  <c r="G8339" i="1"/>
  <c r="C8339" i="1"/>
  <c r="G8338" i="1"/>
  <c r="C8338" i="1"/>
  <c r="G8337" i="1"/>
  <c r="C8337" i="1"/>
  <c r="G8336" i="1"/>
  <c r="C8336" i="1"/>
  <c r="G8335" i="1"/>
  <c r="C8335" i="1"/>
  <c r="G8334" i="1"/>
  <c r="C8334" i="1"/>
  <c r="G8333" i="1"/>
  <c r="C8333" i="1"/>
  <c r="G8332" i="1"/>
  <c r="C8332" i="1"/>
  <c r="G8331" i="1"/>
  <c r="C8331" i="1"/>
  <c r="G8330" i="1"/>
  <c r="C8330" i="1"/>
  <c r="G8329" i="1"/>
  <c r="C8329" i="1"/>
  <c r="G8328" i="1"/>
  <c r="C8328" i="1"/>
  <c r="G8327" i="1"/>
  <c r="C8327" i="1"/>
  <c r="G8326" i="1"/>
  <c r="C8326" i="1"/>
  <c r="G8325" i="1"/>
  <c r="C8325" i="1"/>
  <c r="G8324" i="1"/>
  <c r="C8324" i="1"/>
  <c r="G8323" i="1"/>
  <c r="C8323" i="1"/>
  <c r="G8322" i="1"/>
  <c r="C8322" i="1"/>
  <c r="G8321" i="1"/>
  <c r="C8321" i="1"/>
  <c r="G8320" i="1"/>
  <c r="C8320" i="1"/>
  <c r="G8319" i="1"/>
  <c r="C8319" i="1"/>
  <c r="G8318" i="1"/>
  <c r="C8318" i="1"/>
  <c r="G8317" i="1"/>
  <c r="C8317" i="1"/>
  <c r="G8316" i="1"/>
  <c r="C8316" i="1"/>
  <c r="G8315" i="1"/>
  <c r="C8315" i="1"/>
  <c r="G8314" i="1"/>
  <c r="C8314" i="1"/>
  <c r="G8313" i="1"/>
  <c r="C8313" i="1"/>
  <c r="G8312" i="1"/>
  <c r="C8312" i="1"/>
  <c r="G8310" i="1"/>
  <c r="C8310" i="1"/>
  <c r="G8309" i="1"/>
  <c r="C8309" i="1"/>
  <c r="G8308" i="1"/>
  <c r="C8308" i="1"/>
  <c r="G8307" i="1"/>
  <c r="C8307" i="1"/>
  <c r="G8306" i="1"/>
  <c r="C8306" i="1"/>
  <c r="G8305" i="1"/>
  <c r="C8305" i="1"/>
  <c r="G8304" i="1"/>
  <c r="C8304" i="1"/>
  <c r="G8303" i="1"/>
  <c r="C8303" i="1"/>
  <c r="G8302" i="1"/>
  <c r="C8302" i="1"/>
  <c r="G8301" i="1"/>
  <c r="C8301" i="1"/>
  <c r="G8300" i="1"/>
  <c r="C8300" i="1"/>
  <c r="G8299" i="1"/>
  <c r="C8299" i="1"/>
  <c r="G8298" i="1"/>
  <c r="C8298" i="1"/>
  <c r="G8297" i="1"/>
  <c r="C8297" i="1"/>
  <c r="G8296" i="1"/>
  <c r="C8296" i="1"/>
  <c r="G8294" i="1"/>
  <c r="C8294" i="1"/>
  <c r="G8293" i="1"/>
  <c r="C8293" i="1"/>
  <c r="G8292" i="1"/>
  <c r="C8292" i="1"/>
  <c r="G8291" i="1"/>
  <c r="C8291" i="1"/>
  <c r="G8290" i="1"/>
  <c r="C8290" i="1"/>
  <c r="G8289" i="1"/>
  <c r="C8289" i="1"/>
  <c r="G8288" i="1"/>
  <c r="C8288" i="1"/>
  <c r="G8287" i="1"/>
  <c r="C8287" i="1"/>
  <c r="G8286" i="1"/>
  <c r="C8286" i="1"/>
  <c r="G8285" i="1"/>
  <c r="C8285" i="1"/>
  <c r="G8284" i="1"/>
  <c r="C8284" i="1"/>
  <c r="G8283" i="1"/>
  <c r="C8283" i="1"/>
  <c r="G8282" i="1"/>
  <c r="C8282" i="1"/>
  <c r="G8281" i="1"/>
  <c r="C8281" i="1"/>
  <c r="G8280" i="1"/>
  <c r="C8280" i="1"/>
  <c r="G8279" i="1"/>
  <c r="C8279" i="1"/>
  <c r="G8278" i="1"/>
  <c r="C8278" i="1"/>
  <c r="G8277" i="1"/>
  <c r="C8277" i="1"/>
  <c r="G8276" i="1"/>
  <c r="C8276" i="1"/>
  <c r="G8275" i="1"/>
  <c r="C8275" i="1"/>
  <c r="G8274" i="1"/>
  <c r="C8274" i="1"/>
  <c r="G8273" i="1"/>
  <c r="C8273" i="1"/>
  <c r="G8272" i="1"/>
  <c r="C8272" i="1"/>
  <c r="G8271" i="1"/>
  <c r="C8271" i="1"/>
  <c r="G8270" i="1"/>
  <c r="C8270" i="1"/>
  <c r="G8269" i="1"/>
  <c r="C8269" i="1"/>
  <c r="G8268" i="1"/>
  <c r="C8268" i="1"/>
  <c r="G8267" i="1"/>
  <c r="C8267" i="1"/>
  <c r="G8266" i="1"/>
  <c r="C8266" i="1"/>
  <c r="G8265" i="1"/>
  <c r="C8265" i="1"/>
  <c r="G8264" i="1"/>
  <c r="C8264" i="1"/>
  <c r="G8263" i="1"/>
  <c r="C8263" i="1"/>
  <c r="G8262" i="1"/>
  <c r="C8262" i="1"/>
  <c r="G8261" i="1"/>
  <c r="C8261" i="1"/>
  <c r="G8260" i="1"/>
  <c r="C8260" i="1"/>
  <c r="G8259" i="1"/>
  <c r="C8259" i="1"/>
  <c r="G8258" i="1"/>
  <c r="C8258" i="1"/>
  <c r="G8257" i="1"/>
  <c r="C8257" i="1"/>
  <c r="G8256" i="1"/>
  <c r="C8256" i="1"/>
  <c r="G8255" i="1"/>
  <c r="C8255" i="1"/>
  <c r="G8253" i="1"/>
  <c r="C8253" i="1"/>
  <c r="G8252" i="1"/>
  <c r="C8252" i="1"/>
  <c r="G8251" i="1"/>
  <c r="C8251" i="1"/>
  <c r="G8250" i="1"/>
  <c r="C8250" i="1"/>
  <c r="G8249" i="1"/>
  <c r="C8249" i="1"/>
  <c r="G8248" i="1"/>
  <c r="C8248" i="1"/>
  <c r="G8247" i="1"/>
  <c r="C8247" i="1"/>
  <c r="G8246" i="1"/>
  <c r="C8246" i="1"/>
  <c r="G8245" i="1"/>
  <c r="C8245" i="1"/>
  <c r="G8244" i="1"/>
  <c r="C8244" i="1"/>
  <c r="G8243" i="1"/>
  <c r="C8243" i="1"/>
  <c r="G8242" i="1"/>
  <c r="C8242" i="1"/>
  <c r="G8241" i="1"/>
  <c r="C8241" i="1"/>
  <c r="G8240" i="1"/>
  <c r="C8240" i="1"/>
  <c r="G8239" i="1"/>
  <c r="C8239" i="1"/>
  <c r="G8238" i="1"/>
  <c r="C8238" i="1"/>
  <c r="G8237" i="1"/>
  <c r="C8237" i="1"/>
  <c r="G8236" i="1"/>
  <c r="C8236" i="1"/>
  <c r="G8235" i="1"/>
  <c r="C8235" i="1"/>
  <c r="G8234" i="1"/>
  <c r="C8234" i="1"/>
  <c r="G8233" i="1"/>
  <c r="C8233" i="1"/>
  <c r="G8232" i="1"/>
  <c r="C8232" i="1"/>
  <c r="G8231" i="1"/>
  <c r="C8231" i="1"/>
  <c r="G8230" i="1"/>
  <c r="C8230" i="1"/>
  <c r="G8228" i="1"/>
  <c r="C8228" i="1"/>
  <c r="G8227" i="1"/>
  <c r="C8227" i="1"/>
  <c r="G8226" i="1"/>
  <c r="C8226" i="1"/>
  <c r="G8225" i="1"/>
  <c r="C8225" i="1"/>
  <c r="G8224" i="1"/>
  <c r="C8224" i="1"/>
  <c r="G8223" i="1"/>
  <c r="C8223" i="1"/>
  <c r="G8222" i="1"/>
  <c r="C8222" i="1"/>
  <c r="G8221" i="1"/>
  <c r="C8221" i="1"/>
  <c r="G8220" i="1"/>
  <c r="C8220" i="1"/>
  <c r="G8219" i="1"/>
  <c r="C8219" i="1"/>
  <c r="G8218" i="1"/>
  <c r="C8218" i="1"/>
  <c r="G8217" i="1"/>
  <c r="C8217" i="1"/>
  <c r="G8216" i="1"/>
  <c r="C8216" i="1"/>
  <c r="G8215" i="1"/>
  <c r="C8215" i="1"/>
  <c r="G8214" i="1"/>
  <c r="C8214" i="1"/>
  <c r="G8213" i="1"/>
  <c r="C8213" i="1"/>
  <c r="G8212" i="1"/>
  <c r="C8212" i="1"/>
  <c r="G8211" i="1"/>
  <c r="C8211" i="1"/>
  <c r="G8210" i="1"/>
  <c r="C8210" i="1"/>
  <c r="G8209" i="1"/>
  <c r="C8209" i="1"/>
  <c r="G8208" i="1"/>
  <c r="C8208" i="1"/>
  <c r="G8207" i="1"/>
  <c r="C8207" i="1"/>
  <c r="G8206" i="1"/>
  <c r="C8206" i="1"/>
  <c r="G8204" i="1"/>
  <c r="C8204" i="1"/>
  <c r="G8203" i="1"/>
  <c r="C8203" i="1"/>
  <c r="G8202" i="1"/>
  <c r="C8202" i="1"/>
  <c r="G8201" i="1"/>
  <c r="C8201" i="1"/>
  <c r="G8200" i="1"/>
  <c r="C8200" i="1"/>
  <c r="G8199" i="1"/>
  <c r="C8199" i="1"/>
  <c r="G8198" i="1"/>
  <c r="C8198" i="1"/>
  <c r="G8197" i="1"/>
  <c r="C8197" i="1"/>
  <c r="G8196" i="1"/>
  <c r="C8196" i="1"/>
  <c r="G8195" i="1"/>
  <c r="C8195" i="1"/>
  <c r="G8194" i="1"/>
  <c r="C8194" i="1"/>
  <c r="G8192" i="1"/>
  <c r="C8192" i="1"/>
  <c r="G8191" i="1"/>
  <c r="C8191" i="1"/>
  <c r="G8190" i="1"/>
  <c r="C8190" i="1"/>
  <c r="G8189" i="1"/>
  <c r="C8189" i="1"/>
  <c r="G8188" i="1"/>
  <c r="C8188" i="1"/>
  <c r="G8187" i="1"/>
  <c r="C8187" i="1"/>
  <c r="G8186" i="1"/>
  <c r="C8186" i="1"/>
  <c r="G8185" i="1"/>
  <c r="C8185" i="1"/>
  <c r="G8184" i="1"/>
  <c r="C8184" i="1"/>
  <c r="G8183" i="1"/>
  <c r="C8183" i="1"/>
  <c r="G8182" i="1"/>
  <c r="C8182" i="1"/>
  <c r="G8181" i="1"/>
  <c r="C8181" i="1"/>
  <c r="G8180" i="1"/>
  <c r="C8180" i="1"/>
  <c r="G8179" i="1"/>
  <c r="C8179" i="1"/>
  <c r="G8178" i="1"/>
  <c r="C8178" i="1"/>
  <c r="G8177" i="1"/>
  <c r="C8177" i="1"/>
  <c r="G8175" i="1"/>
  <c r="C8175" i="1"/>
  <c r="G8174" i="1"/>
  <c r="C8174" i="1"/>
  <c r="G8173" i="1"/>
  <c r="C8173" i="1"/>
  <c r="G8172" i="1"/>
  <c r="C8172" i="1"/>
  <c r="G8171" i="1"/>
  <c r="C8171" i="1"/>
  <c r="G8170" i="1"/>
  <c r="C8170" i="1"/>
  <c r="G8169" i="1"/>
  <c r="C8169" i="1"/>
  <c r="G8168" i="1"/>
  <c r="C8168" i="1"/>
  <c r="G8167" i="1"/>
  <c r="C8167" i="1"/>
  <c r="G8166" i="1"/>
  <c r="C8166" i="1"/>
  <c r="G8165" i="1"/>
  <c r="C8165" i="1"/>
  <c r="G8164" i="1"/>
  <c r="C8164" i="1"/>
  <c r="G8163" i="1"/>
  <c r="C8163" i="1"/>
  <c r="G8162" i="1"/>
  <c r="C8162" i="1"/>
  <c r="G8161" i="1"/>
  <c r="C8161" i="1"/>
  <c r="G8160" i="1"/>
  <c r="C8160" i="1"/>
  <c r="G8159" i="1"/>
  <c r="C8159" i="1"/>
  <c r="G8158" i="1"/>
  <c r="C8158" i="1"/>
  <c r="G8157" i="1"/>
  <c r="C8157" i="1"/>
  <c r="G8156" i="1"/>
  <c r="C8156" i="1"/>
  <c r="G8155" i="1"/>
  <c r="C8155" i="1"/>
  <c r="G8154" i="1"/>
  <c r="C8154" i="1"/>
  <c r="G8153" i="1"/>
  <c r="C8153" i="1"/>
  <c r="G8152" i="1"/>
  <c r="C8152" i="1"/>
  <c r="G8151" i="1"/>
  <c r="C8151" i="1"/>
  <c r="G8150" i="1"/>
  <c r="C8150" i="1"/>
  <c r="G8148" i="1"/>
  <c r="C8148" i="1"/>
  <c r="G8147" i="1"/>
  <c r="C8147" i="1"/>
  <c r="G8146" i="1"/>
  <c r="C8146" i="1"/>
  <c r="G8145" i="1"/>
  <c r="C8145" i="1"/>
  <c r="G8144" i="1"/>
  <c r="C8144" i="1"/>
  <c r="G8143" i="1"/>
  <c r="C8143" i="1"/>
  <c r="G8142" i="1"/>
  <c r="C8142" i="1"/>
  <c r="G8141" i="1"/>
  <c r="C8141" i="1"/>
  <c r="G8140" i="1"/>
  <c r="C8140" i="1"/>
  <c r="G8139" i="1"/>
  <c r="C8139" i="1"/>
  <c r="G8138" i="1"/>
  <c r="C8138" i="1"/>
  <c r="G8136" i="1"/>
  <c r="C8136" i="1"/>
  <c r="G8135" i="1"/>
  <c r="C8135" i="1"/>
  <c r="G8134" i="1"/>
  <c r="C8134" i="1"/>
  <c r="G8133" i="1"/>
  <c r="C8133" i="1"/>
  <c r="G8131" i="1"/>
  <c r="C8131" i="1"/>
  <c r="G8130" i="1"/>
  <c r="C8130" i="1"/>
  <c r="G8129" i="1"/>
  <c r="C8129" i="1"/>
  <c r="G8128" i="1"/>
  <c r="C8128" i="1"/>
  <c r="G8126" i="1"/>
  <c r="C8126" i="1"/>
  <c r="G8125" i="1"/>
  <c r="C8125" i="1"/>
  <c r="G8124" i="1"/>
  <c r="C8124" i="1"/>
  <c r="G8123" i="1"/>
  <c r="C8123" i="1"/>
  <c r="G8122" i="1"/>
  <c r="C8122" i="1"/>
  <c r="G8121" i="1"/>
  <c r="C8121" i="1"/>
  <c r="G8120" i="1"/>
  <c r="C8120" i="1"/>
  <c r="G8119" i="1"/>
  <c r="C8119" i="1"/>
  <c r="G8118" i="1"/>
  <c r="C8118" i="1"/>
  <c r="G8117" i="1"/>
  <c r="C8117" i="1"/>
  <c r="G8116" i="1"/>
  <c r="C8116" i="1"/>
  <c r="G8115" i="1"/>
  <c r="C8115" i="1"/>
  <c r="G8114" i="1"/>
  <c r="C8114" i="1"/>
  <c r="G8113" i="1"/>
  <c r="C8113" i="1"/>
  <c r="G8111" i="1"/>
  <c r="C8111" i="1"/>
  <c r="G8110" i="1"/>
  <c r="C8110" i="1"/>
  <c r="G8109" i="1"/>
  <c r="C8109" i="1"/>
  <c r="G8108" i="1"/>
  <c r="C8108" i="1"/>
  <c r="G8107" i="1"/>
  <c r="C8107" i="1"/>
  <c r="G8106" i="1"/>
  <c r="C8106" i="1"/>
  <c r="G8105" i="1"/>
  <c r="C8105" i="1"/>
  <c r="G8104" i="1"/>
  <c r="C8104" i="1"/>
  <c r="G8103" i="1"/>
  <c r="C8103" i="1"/>
  <c r="G8102" i="1"/>
  <c r="C8102" i="1"/>
  <c r="G8101" i="1"/>
  <c r="C8101" i="1"/>
  <c r="G8100" i="1"/>
  <c r="C8100" i="1"/>
  <c r="G8099" i="1"/>
  <c r="C8099" i="1"/>
  <c r="G8098" i="1"/>
  <c r="C8098" i="1"/>
  <c r="G8097" i="1"/>
  <c r="C8097" i="1"/>
  <c r="G8096" i="1"/>
  <c r="C8096" i="1"/>
  <c r="G8095" i="1"/>
  <c r="C8095" i="1"/>
  <c r="G8094" i="1"/>
  <c r="C8094" i="1"/>
  <c r="G8093" i="1"/>
  <c r="C8093" i="1"/>
  <c r="G8092" i="1"/>
  <c r="C8092" i="1"/>
  <c r="G8091" i="1"/>
  <c r="C8091" i="1"/>
  <c r="G8090" i="1"/>
  <c r="C8090" i="1"/>
  <c r="G8089" i="1"/>
  <c r="C8089" i="1"/>
  <c r="G8088" i="1"/>
  <c r="C8088" i="1"/>
  <c r="G8087" i="1"/>
  <c r="C8087" i="1"/>
  <c r="G8086" i="1"/>
  <c r="C8086" i="1"/>
  <c r="G8085" i="1"/>
  <c r="C8085" i="1"/>
  <c r="G8084" i="1"/>
  <c r="C8084" i="1"/>
  <c r="G8083" i="1"/>
  <c r="C8083" i="1"/>
  <c r="G8082" i="1"/>
  <c r="C8082" i="1"/>
  <c r="G8081" i="1"/>
  <c r="C8081" i="1"/>
  <c r="G8080" i="1"/>
  <c r="C8080" i="1"/>
  <c r="G8079" i="1"/>
  <c r="C8079" i="1"/>
  <c r="G8078" i="1"/>
  <c r="C8078" i="1"/>
  <c r="G8077" i="1"/>
  <c r="C8077" i="1"/>
  <c r="G8075" i="1"/>
  <c r="C8075" i="1"/>
  <c r="G8073" i="1"/>
  <c r="C8073" i="1"/>
  <c r="G8072" i="1"/>
  <c r="C8072" i="1"/>
  <c r="G8071" i="1"/>
  <c r="C8071" i="1"/>
  <c r="G8070" i="1"/>
  <c r="C8070" i="1"/>
  <c r="G8069" i="1"/>
  <c r="C8069" i="1"/>
  <c r="G8068" i="1"/>
  <c r="C8068" i="1"/>
  <c r="G8067" i="1"/>
  <c r="C8067" i="1"/>
  <c r="G8066" i="1"/>
  <c r="C8066" i="1"/>
  <c r="G8065" i="1"/>
  <c r="C8065" i="1"/>
  <c r="G8064" i="1"/>
  <c r="C8064" i="1"/>
  <c r="G8063" i="1"/>
  <c r="C8063" i="1"/>
  <c r="G8062" i="1"/>
  <c r="C8062" i="1"/>
  <c r="G8061" i="1"/>
  <c r="C8061" i="1"/>
  <c r="G8060" i="1"/>
  <c r="C8060" i="1"/>
  <c r="G8059" i="1"/>
  <c r="C8059" i="1"/>
  <c r="G8058" i="1"/>
  <c r="C8058" i="1"/>
  <c r="G8057" i="1"/>
  <c r="C8057" i="1"/>
  <c r="G8056" i="1"/>
  <c r="C8056" i="1"/>
  <c r="G8055" i="1"/>
  <c r="C8055" i="1"/>
  <c r="G8054" i="1"/>
  <c r="C8054" i="1"/>
  <c r="G8053" i="1"/>
  <c r="C8053" i="1"/>
  <c r="G8052" i="1"/>
  <c r="C8052" i="1"/>
  <c r="G8051" i="1"/>
  <c r="C8051" i="1"/>
  <c r="G8050" i="1"/>
  <c r="C8050" i="1"/>
  <c r="G8049" i="1"/>
  <c r="C8049" i="1"/>
  <c r="G8048" i="1"/>
  <c r="C8048" i="1"/>
  <c r="G8047" i="1"/>
  <c r="C8047" i="1"/>
  <c r="G8046" i="1"/>
  <c r="C8046" i="1"/>
  <c r="G8045" i="1"/>
  <c r="C8045" i="1"/>
  <c r="G8044" i="1"/>
  <c r="C8044" i="1"/>
  <c r="G8043" i="1"/>
  <c r="C8043" i="1"/>
  <c r="G8042" i="1"/>
  <c r="C8042" i="1"/>
  <c r="G8041" i="1"/>
  <c r="C8041" i="1"/>
  <c r="G8040" i="1"/>
  <c r="C8040" i="1"/>
  <c r="G8039" i="1"/>
  <c r="C8039" i="1"/>
  <c r="G8038" i="1"/>
  <c r="C8038" i="1"/>
  <c r="G8037" i="1"/>
  <c r="C8037" i="1"/>
  <c r="G8035" i="1"/>
  <c r="C8035" i="1"/>
  <c r="G8034" i="1"/>
  <c r="C8034" i="1"/>
  <c r="G8033" i="1"/>
  <c r="C8033" i="1"/>
  <c r="G8032" i="1"/>
  <c r="C8032" i="1"/>
  <c r="G8031" i="1"/>
  <c r="C8031" i="1"/>
  <c r="G8030" i="1"/>
  <c r="C8030" i="1"/>
  <c r="G8029" i="1"/>
  <c r="C8029" i="1"/>
  <c r="G8028" i="1"/>
  <c r="C8028" i="1"/>
  <c r="G8027" i="1"/>
  <c r="C8027" i="1"/>
  <c r="G8026" i="1"/>
  <c r="C8026" i="1"/>
  <c r="G8025" i="1"/>
  <c r="C8025" i="1"/>
  <c r="G8024" i="1"/>
  <c r="C8024" i="1"/>
  <c r="G8023" i="1"/>
  <c r="C8023" i="1"/>
  <c r="G8022" i="1"/>
  <c r="C8022" i="1"/>
  <c r="G8021" i="1"/>
  <c r="C8021" i="1"/>
  <c r="G8020" i="1"/>
  <c r="C8020" i="1"/>
  <c r="G8019" i="1"/>
  <c r="C8019" i="1"/>
  <c r="G8018" i="1"/>
  <c r="C8018" i="1"/>
  <c r="G8017" i="1"/>
  <c r="C8017" i="1"/>
  <c r="G8016" i="1"/>
  <c r="C8016" i="1"/>
  <c r="G8015" i="1"/>
  <c r="C8015" i="1"/>
  <c r="G8014" i="1"/>
  <c r="C8014" i="1"/>
  <c r="G8013" i="1"/>
  <c r="C8013" i="1"/>
  <c r="G8012" i="1"/>
  <c r="C8012" i="1"/>
  <c r="G8011" i="1"/>
  <c r="C8011" i="1"/>
  <c r="G8010" i="1"/>
  <c r="C8010" i="1"/>
  <c r="G8009" i="1"/>
  <c r="C8009" i="1"/>
  <c r="G8008" i="1"/>
  <c r="C8008" i="1"/>
  <c r="G8007" i="1"/>
  <c r="C8007" i="1"/>
  <c r="G8006" i="1"/>
  <c r="C8006" i="1"/>
  <c r="G8005" i="1"/>
  <c r="C8005" i="1"/>
  <c r="G8004" i="1"/>
  <c r="C8004" i="1"/>
  <c r="G8003" i="1"/>
  <c r="C8003" i="1"/>
  <c r="G8002" i="1"/>
  <c r="C8002" i="1"/>
  <c r="G8001" i="1"/>
  <c r="C8001" i="1"/>
  <c r="G7999" i="1"/>
  <c r="C7999" i="1"/>
  <c r="G7998" i="1"/>
  <c r="C7998" i="1"/>
  <c r="G7997" i="1"/>
  <c r="C7997" i="1"/>
  <c r="G7996" i="1"/>
  <c r="C7996" i="1"/>
  <c r="G7995" i="1"/>
  <c r="C7995" i="1"/>
  <c r="G7994" i="1"/>
  <c r="C7994" i="1"/>
  <c r="G7993" i="1"/>
  <c r="C7993" i="1"/>
  <c r="G7992" i="1"/>
  <c r="C7992" i="1"/>
  <c r="G7991" i="1"/>
  <c r="C7991" i="1"/>
  <c r="G7990" i="1"/>
  <c r="C7990" i="1"/>
  <c r="G7989" i="1"/>
  <c r="C7989" i="1"/>
  <c r="G7988" i="1"/>
  <c r="C7988" i="1"/>
  <c r="G7987" i="1"/>
  <c r="C7987" i="1"/>
  <c r="G7986" i="1"/>
  <c r="C7986" i="1"/>
  <c r="G7985" i="1"/>
  <c r="C7985" i="1"/>
  <c r="G7983" i="1"/>
  <c r="C7983" i="1"/>
  <c r="G7982" i="1"/>
  <c r="C7982" i="1"/>
  <c r="G7981" i="1"/>
  <c r="C7981" i="1"/>
  <c r="G7980" i="1"/>
  <c r="C7980" i="1"/>
  <c r="G7978" i="1"/>
  <c r="C7978" i="1"/>
  <c r="G7977" i="1"/>
  <c r="C7977" i="1"/>
  <c r="G7976" i="1"/>
  <c r="C7976" i="1"/>
  <c r="G7975" i="1"/>
  <c r="C7975" i="1"/>
  <c r="G7974" i="1"/>
  <c r="C7974" i="1"/>
  <c r="G7973" i="1"/>
  <c r="C7973" i="1"/>
  <c r="G7972" i="1"/>
  <c r="C7972" i="1"/>
  <c r="G7971" i="1"/>
  <c r="C7971" i="1"/>
  <c r="G7970" i="1"/>
  <c r="C7970" i="1"/>
  <c r="G7969" i="1"/>
  <c r="C7969" i="1"/>
  <c r="G7968" i="1"/>
  <c r="C7968" i="1"/>
  <c r="G7966" i="1"/>
  <c r="C7966" i="1"/>
  <c r="G7965" i="1"/>
  <c r="C7965" i="1"/>
  <c r="G7964" i="1"/>
  <c r="C7964" i="1"/>
  <c r="G7963" i="1"/>
  <c r="C7963" i="1"/>
  <c r="G7962" i="1"/>
  <c r="C7962" i="1"/>
  <c r="G7961" i="1"/>
  <c r="C7961" i="1"/>
  <c r="G7960" i="1"/>
  <c r="C7960" i="1"/>
  <c r="G7959" i="1"/>
  <c r="C7959" i="1"/>
  <c r="G7958" i="1"/>
  <c r="C7958" i="1"/>
  <c r="G7957" i="1"/>
  <c r="C7957" i="1"/>
  <c r="G7956" i="1"/>
  <c r="C7956" i="1"/>
  <c r="G7955" i="1"/>
  <c r="C7955" i="1"/>
  <c r="G7954" i="1"/>
  <c r="C7954" i="1"/>
  <c r="G7953" i="1"/>
  <c r="C7953" i="1"/>
  <c r="G7952" i="1"/>
  <c r="C7952" i="1"/>
  <c r="G7951" i="1"/>
  <c r="C7951" i="1"/>
  <c r="G7950" i="1"/>
  <c r="C7950" i="1"/>
  <c r="G7949" i="1"/>
  <c r="C7949" i="1"/>
  <c r="G7948" i="1"/>
  <c r="C7948" i="1"/>
  <c r="G7947" i="1"/>
  <c r="C7947" i="1"/>
  <c r="G7946" i="1"/>
  <c r="C7946" i="1"/>
  <c r="G7945" i="1"/>
  <c r="C7945" i="1"/>
  <c r="G7943" i="1"/>
  <c r="C7943" i="1"/>
  <c r="G7942" i="1"/>
  <c r="C7942" i="1"/>
  <c r="G7941" i="1"/>
  <c r="C7941" i="1"/>
  <c r="G7940" i="1"/>
  <c r="C7940" i="1"/>
  <c r="G7939" i="1"/>
  <c r="C7939" i="1"/>
  <c r="G7938" i="1"/>
  <c r="C7938" i="1"/>
  <c r="G7937" i="1"/>
  <c r="C7937" i="1"/>
  <c r="G7936" i="1"/>
  <c r="C7936" i="1"/>
  <c r="G7935" i="1"/>
  <c r="C7935" i="1"/>
  <c r="G7934" i="1"/>
  <c r="C7934" i="1"/>
  <c r="G7933" i="1"/>
  <c r="C7933" i="1"/>
  <c r="G7932" i="1"/>
  <c r="C7932" i="1"/>
  <c r="G7931" i="1"/>
  <c r="C7931" i="1"/>
  <c r="G7930" i="1"/>
  <c r="C7930" i="1"/>
  <c r="G7928" i="1"/>
  <c r="C7928" i="1"/>
  <c r="G7927" i="1"/>
  <c r="C7927" i="1"/>
  <c r="G7926" i="1"/>
  <c r="C7926" i="1"/>
  <c r="G7925" i="1"/>
  <c r="C7925" i="1"/>
  <c r="G7924" i="1"/>
  <c r="C7924" i="1"/>
  <c r="G7923" i="1"/>
  <c r="C7923" i="1"/>
  <c r="G7922" i="1"/>
  <c r="C7922" i="1"/>
  <c r="G7921" i="1"/>
  <c r="C7921" i="1"/>
  <c r="G7920" i="1"/>
  <c r="C7920" i="1"/>
  <c r="G7919" i="1"/>
  <c r="C7919" i="1"/>
  <c r="G7918" i="1"/>
  <c r="C7918" i="1"/>
  <c r="G7917" i="1"/>
  <c r="C7917" i="1"/>
  <c r="G7916" i="1"/>
  <c r="C7916" i="1"/>
  <c r="G7914" i="1"/>
  <c r="C7914" i="1"/>
  <c r="G7913" i="1"/>
  <c r="C7913" i="1"/>
  <c r="G7912" i="1"/>
  <c r="C7912" i="1"/>
  <c r="G7911" i="1"/>
  <c r="C7911" i="1"/>
  <c r="G7910" i="1"/>
  <c r="C7910" i="1"/>
  <c r="G7909" i="1"/>
  <c r="C7909" i="1"/>
  <c r="G7908" i="1"/>
  <c r="C7908" i="1"/>
  <c r="G7907" i="1"/>
  <c r="C7907" i="1"/>
  <c r="G7906" i="1"/>
  <c r="C7906" i="1"/>
  <c r="G7905" i="1"/>
  <c r="C7905" i="1"/>
  <c r="G7904" i="1"/>
  <c r="C7904" i="1"/>
  <c r="G7903" i="1"/>
  <c r="C7903" i="1"/>
  <c r="G7902" i="1"/>
  <c r="C7902" i="1"/>
  <c r="G7901" i="1"/>
  <c r="C7901" i="1"/>
  <c r="G7900" i="1"/>
  <c r="C7900" i="1"/>
  <c r="G7899" i="1"/>
  <c r="C7899" i="1"/>
  <c r="G7898" i="1"/>
  <c r="C7898" i="1"/>
  <c r="G7897" i="1"/>
  <c r="C7897" i="1"/>
  <c r="G7896" i="1"/>
  <c r="C7896" i="1"/>
  <c r="G7895" i="1"/>
  <c r="C7895" i="1"/>
  <c r="G7894" i="1"/>
  <c r="C7894" i="1"/>
  <c r="G7893" i="1"/>
  <c r="C7893" i="1"/>
  <c r="G7892" i="1"/>
  <c r="C7892" i="1"/>
  <c r="G7891" i="1"/>
  <c r="C7891" i="1"/>
  <c r="G7890" i="1"/>
  <c r="C7890" i="1"/>
  <c r="G7889" i="1"/>
  <c r="C7889" i="1"/>
  <c r="G7888" i="1"/>
  <c r="C7888" i="1"/>
  <c r="G7887" i="1"/>
  <c r="C7887" i="1"/>
  <c r="G7886" i="1"/>
  <c r="C7886" i="1"/>
  <c r="G7885" i="1"/>
  <c r="C7885" i="1"/>
  <c r="G7884" i="1"/>
  <c r="C7884" i="1"/>
  <c r="G7883" i="1"/>
  <c r="C7883" i="1"/>
  <c r="G7882" i="1"/>
  <c r="C7882" i="1"/>
  <c r="G7881" i="1"/>
  <c r="C7881" i="1"/>
  <c r="G7880" i="1"/>
  <c r="C7880" i="1"/>
  <c r="G7879" i="1"/>
  <c r="C7879" i="1"/>
  <c r="G7878" i="1"/>
  <c r="C7878" i="1"/>
  <c r="G7877" i="1"/>
  <c r="C7877" i="1"/>
  <c r="G7876" i="1"/>
  <c r="C7876" i="1"/>
  <c r="G7875" i="1"/>
  <c r="C7875" i="1"/>
  <c r="G7874" i="1"/>
  <c r="C7874" i="1"/>
  <c r="G7873" i="1"/>
  <c r="C7873" i="1"/>
  <c r="G7872" i="1"/>
  <c r="C7872" i="1"/>
  <c r="G7869" i="1"/>
  <c r="C7869" i="1"/>
  <c r="G7868" i="1"/>
  <c r="C7868" i="1"/>
  <c r="G7867" i="1"/>
  <c r="C7867" i="1"/>
  <c r="G7866" i="1"/>
  <c r="C7866" i="1"/>
  <c r="G7865" i="1"/>
  <c r="C7865" i="1"/>
  <c r="G7864" i="1"/>
  <c r="C7864" i="1"/>
  <c r="G7863" i="1"/>
  <c r="C7863" i="1"/>
  <c r="G7862" i="1"/>
  <c r="C7862" i="1"/>
  <c r="G7861" i="1"/>
  <c r="C7861" i="1"/>
  <c r="G7860" i="1"/>
  <c r="C7860" i="1"/>
  <c r="G7859" i="1"/>
  <c r="C7859" i="1"/>
  <c r="G7858" i="1"/>
  <c r="C7858" i="1"/>
  <c r="G7857" i="1"/>
  <c r="C7857" i="1"/>
  <c r="G7856" i="1"/>
  <c r="C7856" i="1"/>
  <c r="G7855" i="1"/>
  <c r="C7855" i="1"/>
  <c r="G7854" i="1"/>
  <c r="C7854" i="1"/>
  <c r="G7853" i="1"/>
  <c r="C7853" i="1"/>
  <c r="G7852" i="1"/>
  <c r="C7852" i="1"/>
  <c r="G7851" i="1"/>
  <c r="C7851" i="1"/>
  <c r="G7850" i="1"/>
  <c r="C7850" i="1"/>
  <c r="G7849" i="1"/>
  <c r="C7849" i="1"/>
  <c r="G7848" i="1"/>
  <c r="C7848" i="1"/>
  <c r="G7847" i="1"/>
  <c r="C7847" i="1"/>
  <c r="G7846" i="1"/>
  <c r="C7846" i="1"/>
  <c r="G7845" i="1"/>
  <c r="C7845" i="1"/>
  <c r="G7844" i="1"/>
  <c r="C7844" i="1"/>
  <c r="G7843" i="1"/>
  <c r="C7843" i="1"/>
  <c r="G7842" i="1"/>
  <c r="C7842" i="1"/>
  <c r="G7841" i="1"/>
  <c r="C7841" i="1"/>
  <c r="G7840" i="1"/>
  <c r="C7840" i="1"/>
  <c r="G7839" i="1"/>
  <c r="C7839" i="1"/>
  <c r="G7838" i="1"/>
  <c r="C7838" i="1"/>
  <c r="G7837" i="1"/>
  <c r="C7837" i="1"/>
  <c r="G7836" i="1"/>
  <c r="C7836" i="1"/>
  <c r="G7835" i="1"/>
  <c r="C7835" i="1"/>
  <c r="G7834" i="1"/>
  <c r="C7834" i="1"/>
  <c r="G7833" i="1"/>
  <c r="C7833" i="1"/>
  <c r="G7832" i="1"/>
  <c r="C7832" i="1"/>
  <c r="G7831" i="1"/>
  <c r="C7831" i="1"/>
  <c r="G7830" i="1"/>
  <c r="C7830" i="1"/>
  <c r="G7829" i="1"/>
  <c r="C7829" i="1"/>
  <c r="G7827" i="1"/>
  <c r="C7827" i="1"/>
  <c r="G7826" i="1"/>
  <c r="C7826" i="1"/>
  <c r="G7825" i="1"/>
  <c r="C7825" i="1"/>
  <c r="G7824" i="1"/>
  <c r="C7824" i="1"/>
  <c r="G7823" i="1"/>
  <c r="C7823" i="1"/>
  <c r="G7822" i="1"/>
  <c r="C7822" i="1"/>
  <c r="G7821" i="1"/>
  <c r="C7821" i="1"/>
  <c r="G7820" i="1"/>
  <c r="C7820" i="1"/>
  <c r="G7819" i="1"/>
  <c r="C7819" i="1"/>
  <c r="G7818" i="1"/>
  <c r="C7818" i="1"/>
  <c r="G7817" i="1"/>
  <c r="C7817" i="1"/>
  <c r="G7816" i="1"/>
  <c r="C7816" i="1"/>
  <c r="G7815" i="1"/>
  <c r="C7815" i="1"/>
  <c r="G7814" i="1"/>
  <c r="C7814" i="1"/>
  <c r="G7813" i="1"/>
  <c r="C7813" i="1"/>
  <c r="G7811" i="1"/>
  <c r="C7811" i="1"/>
  <c r="G7810" i="1"/>
  <c r="C7810" i="1"/>
  <c r="G7809" i="1"/>
  <c r="C7809" i="1"/>
  <c r="G7808" i="1"/>
  <c r="C7808" i="1"/>
  <c r="G7807" i="1"/>
  <c r="C7807" i="1"/>
  <c r="G7806" i="1"/>
  <c r="C7806" i="1"/>
  <c r="G7804" i="1"/>
  <c r="C7804" i="1"/>
  <c r="G7803" i="1"/>
  <c r="C7803" i="1"/>
  <c r="G7802" i="1"/>
  <c r="C7802" i="1"/>
  <c r="G7801" i="1"/>
  <c r="C7801" i="1"/>
  <c r="G7800" i="1"/>
  <c r="C7800" i="1"/>
  <c r="G7799" i="1"/>
  <c r="C7799" i="1"/>
  <c r="G7798" i="1"/>
  <c r="C7798" i="1"/>
  <c r="G7796" i="1"/>
  <c r="C7796" i="1"/>
  <c r="G7795" i="1"/>
  <c r="C7795" i="1"/>
  <c r="G7794" i="1"/>
  <c r="C7794" i="1"/>
  <c r="G7793" i="1"/>
  <c r="C7793" i="1"/>
  <c r="G7792" i="1"/>
  <c r="C7792" i="1"/>
  <c r="G7791" i="1"/>
  <c r="C7791" i="1"/>
  <c r="G7790" i="1"/>
  <c r="C7790" i="1"/>
  <c r="G7789" i="1"/>
  <c r="C7789" i="1"/>
  <c r="G7788" i="1"/>
  <c r="C7788" i="1"/>
  <c r="G7787" i="1"/>
  <c r="C7787" i="1"/>
  <c r="G7786" i="1"/>
  <c r="C7786" i="1"/>
  <c r="G7785" i="1"/>
  <c r="C7785" i="1"/>
  <c r="G7784" i="1"/>
  <c r="C7784" i="1"/>
  <c r="G7783" i="1"/>
  <c r="C7783" i="1"/>
  <c r="G7782" i="1"/>
  <c r="C7782" i="1"/>
  <c r="G7781" i="1"/>
  <c r="C7781" i="1"/>
  <c r="G7780" i="1"/>
  <c r="C7780" i="1"/>
  <c r="G7779" i="1"/>
  <c r="C7779" i="1"/>
  <c r="G7778" i="1"/>
  <c r="C7778" i="1"/>
  <c r="G7777" i="1"/>
  <c r="C7777" i="1"/>
  <c r="G7776" i="1"/>
  <c r="C7776" i="1"/>
  <c r="G7775" i="1"/>
  <c r="C7775" i="1"/>
  <c r="G7774" i="1"/>
  <c r="C7774" i="1"/>
  <c r="G7773" i="1"/>
  <c r="C7773" i="1"/>
  <c r="G7772" i="1"/>
  <c r="C7772" i="1"/>
  <c r="G7771" i="1"/>
  <c r="C7771" i="1"/>
  <c r="G7770" i="1"/>
  <c r="C7770" i="1"/>
  <c r="G7769" i="1"/>
  <c r="C7769" i="1"/>
  <c r="G7768" i="1"/>
  <c r="C7768" i="1"/>
  <c r="G7767" i="1"/>
  <c r="C7767" i="1"/>
  <c r="G7766" i="1"/>
  <c r="C7766" i="1"/>
  <c r="G7765" i="1"/>
  <c r="C7765" i="1"/>
  <c r="G7764" i="1"/>
  <c r="C7764" i="1"/>
  <c r="G7763" i="1"/>
  <c r="C7763" i="1"/>
  <c r="G7762" i="1"/>
  <c r="C7762" i="1"/>
  <c r="G7761" i="1"/>
  <c r="C7761" i="1"/>
  <c r="G7760" i="1"/>
  <c r="C7760" i="1"/>
  <c r="G7759" i="1"/>
  <c r="C7759" i="1"/>
  <c r="G7758" i="1"/>
  <c r="C7758" i="1"/>
  <c r="G7757" i="1"/>
  <c r="C7757" i="1"/>
  <c r="G7756" i="1"/>
  <c r="C7756" i="1"/>
  <c r="G7755" i="1"/>
  <c r="C7755" i="1"/>
  <c r="G7754" i="1"/>
  <c r="C7754" i="1"/>
  <c r="G7753" i="1"/>
  <c r="C7753" i="1"/>
  <c r="G7752" i="1"/>
  <c r="C7752" i="1"/>
  <c r="G7751" i="1"/>
  <c r="C7751" i="1"/>
  <c r="G7750" i="1"/>
  <c r="C7750" i="1"/>
  <c r="G7749" i="1"/>
  <c r="C7749" i="1"/>
  <c r="G7748" i="1"/>
  <c r="C7748" i="1"/>
  <c r="G7747" i="1"/>
  <c r="C7747" i="1"/>
  <c r="G7746" i="1"/>
  <c r="C7746" i="1"/>
  <c r="G7745" i="1"/>
  <c r="C7745" i="1"/>
  <c r="G7744" i="1"/>
  <c r="C7744" i="1"/>
  <c r="G7743" i="1"/>
  <c r="C7743" i="1"/>
  <c r="G7742" i="1"/>
  <c r="C7742" i="1"/>
  <c r="G7741" i="1"/>
  <c r="C7741" i="1"/>
  <c r="G7740" i="1"/>
  <c r="C7740" i="1"/>
  <c r="G7739" i="1"/>
  <c r="C7739" i="1"/>
  <c r="G7738" i="1"/>
  <c r="C7738" i="1"/>
  <c r="G7737" i="1"/>
  <c r="C7737" i="1"/>
  <c r="G7736" i="1"/>
  <c r="C7736" i="1"/>
  <c r="G7735" i="1"/>
  <c r="C7735" i="1"/>
  <c r="G7734" i="1"/>
  <c r="C7734" i="1"/>
  <c r="G7733" i="1"/>
  <c r="C7733" i="1"/>
  <c r="G7732" i="1"/>
  <c r="C7732" i="1"/>
  <c r="G7730" i="1"/>
  <c r="C7730" i="1"/>
  <c r="G7729" i="1"/>
  <c r="C7729" i="1"/>
  <c r="G7728" i="1"/>
  <c r="C7728" i="1"/>
  <c r="G7727" i="1"/>
  <c r="C7727" i="1"/>
  <c r="G7726" i="1"/>
  <c r="C7726" i="1"/>
  <c r="G7725" i="1"/>
  <c r="C7725" i="1"/>
  <c r="G7724" i="1"/>
  <c r="C7724" i="1"/>
  <c r="G7723" i="1"/>
  <c r="C7723" i="1"/>
  <c r="G7722" i="1"/>
  <c r="C7722" i="1"/>
  <c r="G7721" i="1"/>
  <c r="C7721" i="1"/>
  <c r="G7720" i="1"/>
  <c r="C7720" i="1"/>
  <c r="G7719" i="1"/>
  <c r="C7719" i="1"/>
  <c r="G7718" i="1"/>
  <c r="C7718" i="1"/>
  <c r="G7717" i="1"/>
  <c r="C7717" i="1"/>
  <c r="G7716" i="1"/>
  <c r="C7716" i="1"/>
  <c r="G7715" i="1"/>
  <c r="C7715" i="1"/>
  <c r="G7714" i="1"/>
  <c r="C7714" i="1"/>
  <c r="G7711" i="1"/>
  <c r="C7711" i="1"/>
  <c r="G7710" i="1"/>
  <c r="C7710" i="1"/>
  <c r="G7709" i="1"/>
  <c r="C7709" i="1"/>
  <c r="G7708" i="1"/>
  <c r="C7708" i="1"/>
  <c r="G7707" i="1"/>
  <c r="C7707" i="1"/>
  <c r="G7706" i="1"/>
  <c r="C7706" i="1"/>
  <c r="G7705" i="1"/>
  <c r="C7705" i="1"/>
  <c r="G7704" i="1"/>
  <c r="C7704" i="1"/>
  <c r="G7703" i="1"/>
  <c r="C7703" i="1"/>
  <c r="G7702" i="1"/>
  <c r="C7702" i="1"/>
  <c r="G7701" i="1"/>
  <c r="C7701" i="1"/>
  <c r="G7700" i="1"/>
  <c r="C7700" i="1"/>
  <c r="G7699" i="1"/>
  <c r="C7699" i="1"/>
  <c r="G7698" i="1"/>
  <c r="C7698" i="1"/>
  <c r="G7697" i="1"/>
  <c r="C7697" i="1"/>
  <c r="G7696" i="1"/>
  <c r="C7696" i="1"/>
  <c r="G7695" i="1"/>
  <c r="C7695" i="1"/>
  <c r="G7694" i="1"/>
  <c r="C7694" i="1"/>
  <c r="G7693" i="1"/>
  <c r="C7693" i="1"/>
  <c r="G7692" i="1"/>
  <c r="C7692" i="1"/>
  <c r="G7690" i="1"/>
  <c r="C7690" i="1"/>
  <c r="G7689" i="1"/>
  <c r="C7689" i="1"/>
  <c r="G7688" i="1"/>
  <c r="C7688" i="1"/>
  <c r="G7687" i="1"/>
  <c r="C7687" i="1"/>
  <c r="G7686" i="1"/>
  <c r="C7686" i="1"/>
  <c r="G7685" i="1"/>
  <c r="C7685" i="1"/>
  <c r="G7684" i="1"/>
  <c r="C7684" i="1"/>
  <c r="G7683" i="1"/>
  <c r="C7683" i="1"/>
  <c r="G7682" i="1"/>
  <c r="C7682" i="1"/>
  <c r="G7681" i="1"/>
  <c r="C7681" i="1"/>
  <c r="G7680" i="1"/>
  <c r="C7680" i="1"/>
  <c r="G7679" i="1"/>
  <c r="C7679" i="1"/>
  <c r="G7678" i="1"/>
  <c r="C7678" i="1"/>
  <c r="G7677" i="1"/>
  <c r="C7677" i="1"/>
  <c r="G7676" i="1"/>
  <c r="C7676" i="1"/>
  <c r="G7675" i="1"/>
  <c r="C7675" i="1"/>
  <c r="G7674" i="1"/>
  <c r="C7674" i="1"/>
  <c r="G7673" i="1"/>
  <c r="C7673" i="1"/>
  <c r="G7672" i="1"/>
  <c r="C7672" i="1"/>
  <c r="G7671" i="1"/>
  <c r="C7671" i="1"/>
  <c r="G7670" i="1"/>
  <c r="C7670" i="1"/>
  <c r="G7669" i="1"/>
  <c r="C7669" i="1"/>
  <c r="G7668" i="1"/>
  <c r="C7668" i="1"/>
  <c r="G7667" i="1"/>
  <c r="C7667" i="1"/>
  <c r="G7666" i="1"/>
  <c r="C7666" i="1"/>
  <c r="G7665" i="1"/>
  <c r="C7665" i="1"/>
  <c r="G7664" i="1"/>
  <c r="C7664" i="1"/>
  <c r="G7663" i="1"/>
  <c r="C7663" i="1"/>
  <c r="G7662" i="1"/>
  <c r="C7662" i="1"/>
  <c r="G7661" i="1"/>
  <c r="C7661" i="1"/>
  <c r="G7660" i="1"/>
  <c r="C7660" i="1"/>
  <c r="G7659" i="1"/>
  <c r="C7659" i="1"/>
  <c r="G7658" i="1"/>
  <c r="C7658" i="1"/>
  <c r="G7657" i="1"/>
  <c r="C7657" i="1"/>
  <c r="G7656" i="1"/>
  <c r="C7656" i="1"/>
  <c r="G7653" i="1"/>
  <c r="C7653" i="1"/>
  <c r="G7652" i="1"/>
  <c r="C7652" i="1"/>
  <c r="G7651" i="1"/>
  <c r="C7651" i="1"/>
  <c r="G7650" i="1"/>
  <c r="C7650" i="1"/>
  <c r="G7649" i="1"/>
  <c r="C7649" i="1"/>
  <c r="G7648" i="1"/>
  <c r="C7648" i="1"/>
  <c r="G7647" i="1"/>
  <c r="C7647" i="1"/>
  <c r="G7646" i="1"/>
  <c r="C7646" i="1"/>
  <c r="G7645" i="1"/>
  <c r="C7645" i="1"/>
  <c r="G7644" i="1"/>
  <c r="C7644" i="1"/>
  <c r="G7643" i="1"/>
  <c r="C7643" i="1"/>
  <c r="G7642" i="1"/>
  <c r="C7642" i="1"/>
  <c r="G7641" i="1"/>
  <c r="C7641" i="1"/>
  <c r="G7640" i="1"/>
  <c r="C7640" i="1"/>
  <c r="G7639" i="1"/>
  <c r="C7639" i="1"/>
  <c r="G7638" i="1"/>
  <c r="C7638" i="1"/>
  <c r="G7637" i="1"/>
  <c r="C7637" i="1"/>
  <c r="G7636" i="1"/>
  <c r="C7636" i="1"/>
  <c r="G7635" i="1"/>
  <c r="C7635" i="1"/>
  <c r="G7634" i="1"/>
  <c r="C7634" i="1"/>
  <c r="G7633" i="1"/>
  <c r="C7633" i="1"/>
  <c r="G7632" i="1"/>
  <c r="C7632" i="1"/>
  <c r="G7631" i="1"/>
  <c r="C7631" i="1"/>
  <c r="G7630" i="1"/>
  <c r="C7630" i="1"/>
  <c r="G7629" i="1"/>
  <c r="C7629" i="1"/>
  <c r="G7627" i="1"/>
  <c r="C7627" i="1"/>
  <c r="G7626" i="1"/>
  <c r="C7626" i="1"/>
  <c r="G7625" i="1"/>
  <c r="C7625" i="1"/>
  <c r="G7624" i="1"/>
  <c r="C7624" i="1"/>
  <c r="G7623" i="1"/>
  <c r="C7623" i="1"/>
  <c r="G7622" i="1"/>
  <c r="C7622" i="1"/>
  <c r="G7621" i="1"/>
  <c r="C7621" i="1"/>
  <c r="G7620" i="1"/>
  <c r="C7620" i="1"/>
  <c r="G7619" i="1"/>
  <c r="C7619" i="1"/>
  <c r="G7618" i="1"/>
  <c r="C7618" i="1"/>
  <c r="G7617" i="1"/>
  <c r="C7617" i="1"/>
  <c r="G7616" i="1"/>
  <c r="C7616" i="1"/>
  <c r="G7615" i="1"/>
  <c r="C7615" i="1"/>
  <c r="G7613" i="1"/>
  <c r="C7613" i="1"/>
  <c r="G7612" i="1"/>
  <c r="C7612" i="1"/>
  <c r="G7611" i="1"/>
  <c r="C7611" i="1"/>
  <c r="G7610" i="1"/>
  <c r="C7610" i="1"/>
  <c r="G7609" i="1"/>
  <c r="C7609" i="1"/>
  <c r="G7608" i="1"/>
  <c r="C7608" i="1"/>
  <c r="G7607" i="1"/>
  <c r="C7607" i="1"/>
  <c r="G7606" i="1"/>
  <c r="C7606" i="1"/>
  <c r="G7605" i="1"/>
  <c r="C7605" i="1"/>
  <c r="G7604" i="1"/>
  <c r="C7604" i="1"/>
  <c r="G7603" i="1"/>
  <c r="C7603" i="1"/>
  <c r="G7602" i="1"/>
  <c r="C7602" i="1"/>
  <c r="G7601" i="1"/>
  <c r="C7601" i="1"/>
  <c r="G7600" i="1"/>
  <c r="C7600" i="1"/>
  <c r="G7599" i="1"/>
  <c r="C7599" i="1"/>
  <c r="G7598" i="1"/>
  <c r="C7598" i="1"/>
  <c r="G7597" i="1"/>
  <c r="C7597" i="1"/>
  <c r="G7596" i="1"/>
  <c r="C7596" i="1"/>
  <c r="G7595" i="1"/>
  <c r="C7595" i="1"/>
  <c r="G7594" i="1"/>
  <c r="C7594" i="1"/>
  <c r="G7593" i="1"/>
  <c r="C7593" i="1"/>
  <c r="G7592" i="1"/>
  <c r="C7592" i="1"/>
  <c r="G7591" i="1"/>
  <c r="C7591" i="1"/>
  <c r="G7590" i="1"/>
  <c r="C7590" i="1"/>
  <c r="G7589" i="1"/>
  <c r="C7589" i="1"/>
  <c r="G7588" i="1"/>
  <c r="C7588" i="1"/>
  <c r="G7586" i="1"/>
  <c r="C7586" i="1"/>
  <c r="G7585" i="1"/>
  <c r="C7585" i="1"/>
  <c r="G7584" i="1"/>
  <c r="C7584" i="1"/>
  <c r="G7583" i="1"/>
  <c r="C7583" i="1"/>
  <c r="G7582" i="1"/>
  <c r="C7582" i="1"/>
  <c r="G7581" i="1"/>
  <c r="C7581" i="1"/>
  <c r="G7580" i="1"/>
  <c r="C7580" i="1"/>
  <c r="G7579" i="1"/>
  <c r="C7579" i="1"/>
  <c r="G7578" i="1"/>
  <c r="C7578" i="1"/>
  <c r="G7577" i="1"/>
  <c r="C7577" i="1"/>
  <c r="G7576" i="1"/>
  <c r="C7576" i="1"/>
  <c r="G7575" i="1"/>
  <c r="C7575" i="1"/>
  <c r="G7574" i="1"/>
  <c r="C7574" i="1"/>
  <c r="G7573" i="1"/>
  <c r="C7573" i="1"/>
  <c r="G7572" i="1"/>
  <c r="C7572" i="1"/>
  <c r="G7571" i="1"/>
  <c r="C7571" i="1"/>
  <c r="G7570" i="1"/>
  <c r="C7570" i="1"/>
  <c r="G7569" i="1"/>
  <c r="C7569" i="1"/>
  <c r="G7568" i="1"/>
  <c r="C7568" i="1"/>
  <c r="G7567" i="1"/>
  <c r="C7567" i="1"/>
  <c r="G7566" i="1"/>
  <c r="C7566" i="1"/>
  <c r="G7565" i="1"/>
  <c r="C7565" i="1"/>
  <c r="G7564" i="1"/>
  <c r="C7564" i="1"/>
  <c r="G7563" i="1"/>
  <c r="C7563" i="1"/>
  <c r="G7562" i="1"/>
  <c r="C7562" i="1"/>
  <c r="G7561" i="1"/>
  <c r="C7561" i="1"/>
  <c r="G7560" i="1"/>
  <c r="C7560" i="1"/>
  <c r="G7559" i="1"/>
  <c r="C7559" i="1"/>
  <c r="G7558" i="1"/>
  <c r="C7558" i="1"/>
  <c r="G7557" i="1"/>
  <c r="C7557" i="1"/>
  <c r="G7556" i="1"/>
  <c r="C7556" i="1"/>
  <c r="G7555" i="1"/>
  <c r="C7555" i="1"/>
  <c r="G7554" i="1"/>
  <c r="C7554" i="1"/>
  <c r="G7553" i="1"/>
  <c r="C7553" i="1"/>
  <c r="G7552" i="1"/>
  <c r="C7552" i="1"/>
  <c r="G7551" i="1"/>
  <c r="C7551" i="1"/>
  <c r="G7550" i="1"/>
  <c r="C7550" i="1"/>
  <c r="G7549" i="1"/>
  <c r="C7549" i="1"/>
  <c r="G7548" i="1"/>
  <c r="C7548" i="1"/>
  <c r="G7547" i="1"/>
  <c r="C7547" i="1"/>
  <c r="G7546" i="1"/>
  <c r="C7546" i="1"/>
  <c r="G7545" i="1"/>
  <c r="C7545" i="1"/>
  <c r="G7543" i="1"/>
  <c r="C7543" i="1"/>
  <c r="G7542" i="1"/>
  <c r="C7542" i="1"/>
  <c r="G7541" i="1"/>
  <c r="C7541" i="1"/>
  <c r="G7540" i="1"/>
  <c r="C7540" i="1"/>
  <c r="G7539" i="1"/>
  <c r="C7539" i="1"/>
  <c r="G7538" i="1"/>
  <c r="C7538" i="1"/>
  <c r="G7537" i="1"/>
  <c r="C7537" i="1"/>
  <c r="G7536" i="1"/>
  <c r="C7536" i="1"/>
  <c r="G7535" i="1"/>
  <c r="C7535" i="1"/>
  <c r="G7534" i="1"/>
  <c r="C7534" i="1"/>
  <c r="G7533" i="1"/>
  <c r="C7533" i="1"/>
  <c r="G7532" i="1"/>
  <c r="C7532" i="1"/>
  <c r="G7531" i="1"/>
  <c r="C7531" i="1"/>
  <c r="G7530" i="1"/>
  <c r="C7530" i="1"/>
  <c r="G7529" i="1"/>
  <c r="C7529" i="1"/>
  <c r="G7528" i="1"/>
  <c r="C7528" i="1"/>
  <c r="G7527" i="1"/>
  <c r="C7527" i="1"/>
  <c r="G7526" i="1"/>
  <c r="C7526" i="1"/>
  <c r="G7525" i="1"/>
  <c r="C7525" i="1"/>
  <c r="G7524" i="1"/>
  <c r="C7524" i="1"/>
  <c r="G7523" i="1"/>
  <c r="C7523" i="1"/>
  <c r="G7522" i="1"/>
  <c r="C7522" i="1"/>
  <c r="G7521" i="1"/>
  <c r="C7521" i="1"/>
  <c r="G7520" i="1"/>
  <c r="C7520" i="1"/>
  <c r="G7519" i="1"/>
  <c r="C7519" i="1"/>
  <c r="G7518" i="1"/>
  <c r="C7518" i="1"/>
  <c r="G7517" i="1"/>
  <c r="C7517" i="1"/>
  <c r="G7516" i="1"/>
  <c r="C7516" i="1"/>
  <c r="G7515" i="1"/>
  <c r="C7515" i="1"/>
  <c r="G7514" i="1"/>
  <c r="C7514" i="1"/>
  <c r="G7512" i="1"/>
  <c r="C7512" i="1"/>
  <c r="G7511" i="1"/>
  <c r="C7511" i="1"/>
  <c r="G7510" i="1"/>
  <c r="C7510" i="1"/>
  <c r="G7509" i="1"/>
  <c r="C7509" i="1"/>
  <c r="G7508" i="1"/>
  <c r="C7508" i="1"/>
  <c r="G7507" i="1"/>
  <c r="C7507" i="1"/>
  <c r="G7506" i="1"/>
  <c r="C7506" i="1"/>
  <c r="G7505" i="1"/>
  <c r="C7505" i="1"/>
  <c r="G7504" i="1"/>
  <c r="C7504" i="1"/>
  <c r="G7503" i="1"/>
  <c r="C7503" i="1"/>
  <c r="G7502" i="1"/>
  <c r="C7502" i="1"/>
  <c r="G7501" i="1"/>
  <c r="C7501" i="1"/>
  <c r="G7500" i="1"/>
  <c r="C7500" i="1"/>
  <c r="G7499" i="1"/>
  <c r="C7499" i="1"/>
  <c r="G7498" i="1"/>
  <c r="C7498" i="1"/>
  <c r="G7497" i="1"/>
  <c r="C7497" i="1"/>
  <c r="G7496" i="1"/>
  <c r="C7496" i="1"/>
  <c r="G7495" i="1"/>
  <c r="C7495" i="1"/>
  <c r="G7494" i="1"/>
  <c r="C7494" i="1"/>
  <c r="G7493" i="1"/>
  <c r="C7493" i="1"/>
  <c r="G7492" i="1"/>
  <c r="C7492" i="1"/>
  <c r="G7491" i="1"/>
  <c r="C7491" i="1"/>
  <c r="G7490" i="1"/>
  <c r="C7490" i="1"/>
  <c r="G7489" i="1"/>
  <c r="C7489" i="1"/>
  <c r="G7488" i="1"/>
  <c r="C7488" i="1"/>
  <c r="G7487" i="1"/>
  <c r="C7487" i="1"/>
  <c r="G7486" i="1"/>
  <c r="C7486" i="1"/>
  <c r="G7485" i="1"/>
  <c r="C7485" i="1"/>
  <c r="G7484" i="1"/>
  <c r="C7484" i="1"/>
  <c r="G7483" i="1"/>
  <c r="C7483" i="1"/>
  <c r="G7482" i="1"/>
  <c r="C7482" i="1"/>
  <c r="G7481" i="1"/>
  <c r="C7481" i="1"/>
  <c r="G7480" i="1"/>
  <c r="C7480" i="1"/>
  <c r="G7479" i="1"/>
  <c r="C7479" i="1"/>
  <c r="G7478" i="1"/>
  <c r="C7478" i="1"/>
  <c r="G7476" i="1"/>
  <c r="C7476" i="1"/>
  <c r="G7475" i="1"/>
  <c r="C7475" i="1"/>
  <c r="G7474" i="1"/>
  <c r="C7474" i="1"/>
  <c r="G7473" i="1"/>
  <c r="C7473" i="1"/>
  <c r="G7472" i="1"/>
  <c r="C7472" i="1"/>
  <c r="G7471" i="1"/>
  <c r="C7471" i="1"/>
  <c r="G7470" i="1"/>
  <c r="C7470" i="1"/>
  <c r="G7469" i="1"/>
  <c r="C7469" i="1"/>
  <c r="G7468" i="1"/>
  <c r="C7468" i="1"/>
  <c r="G7467" i="1"/>
  <c r="C7467" i="1"/>
  <c r="G7465" i="1"/>
  <c r="C7465" i="1"/>
  <c r="G7464" i="1"/>
  <c r="C7464" i="1"/>
  <c r="G7463" i="1"/>
  <c r="C7463" i="1"/>
  <c r="G7462" i="1"/>
  <c r="C7462" i="1"/>
  <c r="G7461" i="1"/>
  <c r="C7461" i="1"/>
  <c r="G7460" i="1"/>
  <c r="C7460" i="1"/>
  <c r="G7459" i="1"/>
  <c r="C7459" i="1"/>
  <c r="G7458" i="1"/>
  <c r="C7458" i="1"/>
  <c r="G7457" i="1"/>
  <c r="C7457" i="1"/>
  <c r="G7456" i="1"/>
  <c r="C7456" i="1"/>
  <c r="G7455" i="1"/>
  <c r="C7455" i="1"/>
  <c r="G7454" i="1"/>
  <c r="C7454" i="1"/>
  <c r="G7453" i="1"/>
  <c r="C7453" i="1"/>
  <c r="G7452" i="1"/>
  <c r="C7452" i="1"/>
  <c r="G7451" i="1"/>
  <c r="C7451" i="1"/>
  <c r="G7450" i="1"/>
  <c r="C7450" i="1"/>
  <c r="G7449" i="1"/>
  <c r="C7449" i="1"/>
  <c r="G7448" i="1"/>
  <c r="C7448" i="1"/>
  <c r="G7446" i="1"/>
  <c r="C7446" i="1"/>
  <c r="G7445" i="1"/>
  <c r="C7445" i="1"/>
  <c r="G7444" i="1"/>
  <c r="C7444" i="1"/>
  <c r="G7443" i="1"/>
  <c r="C7443" i="1"/>
  <c r="G7442" i="1"/>
  <c r="C7442" i="1"/>
  <c r="G7441" i="1"/>
  <c r="C7441" i="1"/>
  <c r="G7440" i="1"/>
  <c r="C7440" i="1"/>
  <c r="G7439" i="1"/>
  <c r="C7439" i="1"/>
  <c r="G7438" i="1"/>
  <c r="C7438" i="1"/>
  <c r="G7437" i="1"/>
  <c r="C7437" i="1"/>
  <c r="G7436" i="1"/>
  <c r="C7436" i="1"/>
  <c r="G7435" i="1"/>
  <c r="C7435" i="1"/>
  <c r="G7434" i="1"/>
  <c r="C7434" i="1"/>
  <c r="G7433" i="1"/>
  <c r="C7433" i="1"/>
  <c r="G7432" i="1"/>
  <c r="C7432" i="1"/>
  <c r="G7431" i="1"/>
  <c r="C7431" i="1"/>
  <c r="G7430" i="1"/>
  <c r="C7430" i="1"/>
  <c r="G7429" i="1"/>
  <c r="C7429" i="1"/>
  <c r="G7428" i="1"/>
  <c r="C7428" i="1"/>
  <c r="G7427" i="1"/>
  <c r="C7427" i="1"/>
  <c r="G7426" i="1"/>
  <c r="C7426" i="1"/>
  <c r="G7425" i="1"/>
  <c r="C7425" i="1"/>
  <c r="G7424" i="1"/>
  <c r="C7424" i="1"/>
  <c r="G7423" i="1"/>
  <c r="C7423" i="1"/>
  <c r="G7422" i="1"/>
  <c r="C7422" i="1"/>
  <c r="G7421" i="1"/>
  <c r="C7421" i="1"/>
  <c r="G7420" i="1"/>
  <c r="C7420" i="1"/>
  <c r="G7419" i="1"/>
  <c r="C7419" i="1"/>
  <c r="G7418" i="1"/>
  <c r="C7418" i="1"/>
  <c r="G7417" i="1"/>
  <c r="C7417" i="1"/>
  <c r="G7416" i="1"/>
  <c r="C7416" i="1"/>
  <c r="G7414" i="1"/>
  <c r="C7414" i="1"/>
  <c r="G7413" i="1"/>
  <c r="C7413" i="1"/>
  <c r="G7412" i="1"/>
  <c r="C7412" i="1"/>
  <c r="G7411" i="1"/>
  <c r="C7411" i="1"/>
  <c r="G7410" i="1"/>
  <c r="C7410" i="1"/>
  <c r="G7409" i="1"/>
  <c r="C7409" i="1"/>
  <c r="G7407" i="1"/>
  <c r="C7407" i="1"/>
  <c r="G7406" i="1"/>
  <c r="C7406" i="1"/>
  <c r="G7405" i="1"/>
  <c r="C7405" i="1"/>
  <c r="G7404" i="1"/>
  <c r="C7404" i="1"/>
  <c r="G7403" i="1"/>
  <c r="C7403" i="1"/>
  <c r="G7402" i="1"/>
  <c r="C7402" i="1"/>
  <c r="G7401" i="1"/>
  <c r="C7401" i="1"/>
  <c r="G7400" i="1"/>
  <c r="C7400" i="1"/>
  <c r="G7399" i="1"/>
  <c r="C7399" i="1"/>
  <c r="G7398" i="1"/>
  <c r="C7398" i="1"/>
  <c r="G7396" i="1"/>
  <c r="C7396" i="1"/>
  <c r="G7395" i="1"/>
  <c r="C7395" i="1"/>
  <c r="G7394" i="1"/>
  <c r="C7394" i="1"/>
  <c r="G7393" i="1"/>
  <c r="C7393" i="1"/>
  <c r="G7392" i="1"/>
  <c r="C7392" i="1"/>
  <c r="G7391" i="1"/>
  <c r="C7391" i="1"/>
  <c r="G7390" i="1"/>
  <c r="C7390" i="1"/>
  <c r="G7389" i="1"/>
  <c r="C7389" i="1"/>
  <c r="G7388" i="1"/>
  <c r="C7388" i="1"/>
  <c r="G7387" i="1"/>
  <c r="C7387" i="1"/>
  <c r="G7386" i="1"/>
  <c r="C7386" i="1"/>
  <c r="G7385" i="1"/>
  <c r="C7385" i="1"/>
  <c r="G7384" i="1"/>
  <c r="C7384" i="1"/>
  <c r="G7383" i="1"/>
  <c r="C7383" i="1"/>
  <c r="G7382" i="1"/>
  <c r="C7382" i="1"/>
  <c r="G7381" i="1"/>
  <c r="C7381" i="1"/>
  <c r="G7380" i="1"/>
  <c r="C7380" i="1"/>
  <c r="G7378" i="1"/>
  <c r="C7378" i="1"/>
  <c r="G7377" i="1"/>
  <c r="C7377" i="1"/>
  <c r="G7376" i="1"/>
  <c r="C7376" i="1"/>
  <c r="G7375" i="1"/>
  <c r="C7375" i="1"/>
  <c r="G7374" i="1"/>
  <c r="C7374" i="1"/>
  <c r="G7373" i="1"/>
  <c r="C7373" i="1"/>
  <c r="G7372" i="1"/>
  <c r="C7372" i="1"/>
  <c r="G7371" i="1"/>
  <c r="C7371" i="1"/>
  <c r="G7370" i="1"/>
  <c r="C7370" i="1"/>
  <c r="G7369" i="1"/>
  <c r="C7369" i="1"/>
  <c r="G7368" i="1"/>
  <c r="C7368" i="1"/>
  <c r="G7367" i="1"/>
  <c r="C7367" i="1"/>
  <c r="G7366" i="1"/>
  <c r="C7366" i="1"/>
  <c r="G7365" i="1"/>
  <c r="C7365" i="1"/>
  <c r="G7363" i="1"/>
  <c r="C7363" i="1"/>
  <c r="G7362" i="1"/>
  <c r="C7362" i="1"/>
  <c r="G7361" i="1"/>
  <c r="C7361" i="1"/>
  <c r="G7360" i="1"/>
  <c r="C7360" i="1"/>
  <c r="G7359" i="1"/>
  <c r="C7359" i="1"/>
  <c r="G7358" i="1"/>
  <c r="C7358" i="1"/>
  <c r="G7357" i="1"/>
  <c r="C7357" i="1"/>
  <c r="G7356" i="1"/>
  <c r="C7356" i="1"/>
  <c r="G7355" i="1"/>
  <c r="C7355" i="1"/>
  <c r="G7354" i="1"/>
  <c r="C7354" i="1"/>
  <c r="G7353" i="1"/>
  <c r="C7353" i="1"/>
  <c r="G7352" i="1"/>
  <c r="C7352" i="1"/>
  <c r="G7351" i="1"/>
  <c r="C7351" i="1"/>
  <c r="G7350" i="1"/>
  <c r="C7350" i="1"/>
  <c r="G7349" i="1"/>
  <c r="C7349" i="1"/>
  <c r="G7348" i="1"/>
  <c r="C7348" i="1"/>
  <c r="G7347" i="1"/>
  <c r="C7347" i="1"/>
  <c r="G7346" i="1"/>
  <c r="C7346" i="1"/>
  <c r="G7345" i="1"/>
  <c r="C7345" i="1"/>
  <c r="G7344" i="1"/>
  <c r="C7344" i="1"/>
  <c r="G7343" i="1"/>
  <c r="C7343" i="1"/>
  <c r="G7342" i="1"/>
  <c r="C7342" i="1"/>
  <c r="G7341" i="1"/>
  <c r="C7341" i="1"/>
  <c r="G7340" i="1"/>
  <c r="C7340" i="1"/>
  <c r="G7339" i="1"/>
  <c r="C7339" i="1"/>
  <c r="G7337" i="1"/>
  <c r="C7337" i="1"/>
  <c r="G7336" i="1"/>
  <c r="C7336" i="1"/>
  <c r="G7335" i="1"/>
  <c r="C7335" i="1"/>
  <c r="G7334" i="1"/>
  <c r="C7334" i="1"/>
  <c r="G7333" i="1"/>
  <c r="C7333" i="1"/>
  <c r="G7332" i="1"/>
  <c r="C7332" i="1"/>
  <c r="G7331" i="1"/>
  <c r="C7331" i="1"/>
  <c r="G7330" i="1"/>
  <c r="C7330" i="1"/>
  <c r="G7329" i="1"/>
  <c r="C7329" i="1"/>
  <c r="G7328" i="1"/>
  <c r="C7328" i="1"/>
  <c r="G7327" i="1"/>
  <c r="C7327" i="1"/>
  <c r="G7326" i="1"/>
  <c r="C7326" i="1"/>
  <c r="G7325" i="1"/>
  <c r="C7325" i="1"/>
  <c r="G7324" i="1"/>
  <c r="C7324" i="1"/>
  <c r="G7323" i="1"/>
  <c r="C7323" i="1"/>
  <c r="G7322" i="1"/>
  <c r="C7322" i="1"/>
  <c r="G7319" i="1"/>
  <c r="C7319" i="1"/>
  <c r="G7318" i="1"/>
  <c r="C7318" i="1"/>
  <c r="G7316" i="1"/>
  <c r="C7316" i="1"/>
  <c r="G7315" i="1"/>
  <c r="C7315" i="1"/>
  <c r="G7314" i="1"/>
  <c r="C7314" i="1"/>
  <c r="G7312" i="1"/>
  <c r="C7312" i="1"/>
  <c r="G7311" i="1"/>
  <c r="C7311" i="1"/>
  <c r="G7310" i="1"/>
  <c r="C7310" i="1"/>
  <c r="G7309" i="1"/>
  <c r="C7309" i="1"/>
  <c r="G7308" i="1"/>
  <c r="C7308" i="1"/>
  <c r="G7307" i="1"/>
  <c r="C7307" i="1"/>
  <c r="G7306" i="1"/>
  <c r="C7306" i="1"/>
  <c r="G7305" i="1"/>
  <c r="C7305" i="1"/>
  <c r="G7304" i="1"/>
  <c r="C7304" i="1"/>
  <c r="G7303" i="1"/>
  <c r="C7303" i="1"/>
  <c r="G7302" i="1"/>
  <c r="C7302" i="1"/>
  <c r="G7301" i="1"/>
  <c r="C7301" i="1"/>
  <c r="G7300" i="1"/>
  <c r="C7300" i="1"/>
  <c r="G7298" i="1"/>
  <c r="C7298" i="1"/>
  <c r="G7297" i="1"/>
  <c r="C7297" i="1"/>
  <c r="G7296" i="1"/>
  <c r="C7296" i="1"/>
  <c r="G7295" i="1"/>
  <c r="C7295" i="1"/>
  <c r="G7294" i="1"/>
  <c r="C7294" i="1"/>
  <c r="G7293" i="1"/>
  <c r="C7293" i="1"/>
  <c r="G7292" i="1"/>
  <c r="C7292" i="1"/>
  <c r="G7291" i="1"/>
  <c r="C7291" i="1"/>
  <c r="G7289" i="1"/>
  <c r="C7289" i="1"/>
  <c r="G7287" i="1"/>
  <c r="C7287" i="1"/>
  <c r="G7286" i="1"/>
  <c r="C7286" i="1"/>
  <c r="G7285" i="1"/>
  <c r="C7285" i="1"/>
  <c r="G7284" i="1"/>
  <c r="C7284" i="1"/>
  <c r="G7283" i="1"/>
  <c r="C7283" i="1"/>
  <c r="G7282" i="1"/>
  <c r="C7282" i="1"/>
  <c r="G7281" i="1"/>
  <c r="C7281" i="1"/>
  <c r="G7280" i="1"/>
  <c r="C7280" i="1"/>
  <c r="G7279" i="1"/>
  <c r="C7279" i="1"/>
  <c r="G7278" i="1"/>
  <c r="C7278" i="1"/>
  <c r="G7277" i="1"/>
  <c r="C7277" i="1"/>
  <c r="G7275" i="1"/>
  <c r="C7275" i="1"/>
  <c r="G7274" i="1"/>
  <c r="C7274" i="1"/>
  <c r="G7273" i="1"/>
  <c r="C7273" i="1"/>
  <c r="G7271" i="1"/>
  <c r="C7271" i="1"/>
  <c r="G7270" i="1"/>
  <c r="C7270" i="1"/>
  <c r="G7269" i="1"/>
  <c r="C7269" i="1"/>
  <c r="G7268" i="1"/>
  <c r="C7268" i="1"/>
  <c r="G7267" i="1"/>
  <c r="C7267" i="1"/>
  <c r="G7266" i="1"/>
  <c r="C7266" i="1"/>
  <c r="G7265" i="1"/>
  <c r="C7265" i="1"/>
  <c r="G7264" i="1"/>
  <c r="C7264" i="1"/>
  <c r="G7263" i="1"/>
  <c r="C7263" i="1"/>
  <c r="G7262" i="1"/>
  <c r="C7262" i="1"/>
  <c r="G7261" i="1"/>
  <c r="C7261" i="1"/>
  <c r="G7259" i="1"/>
  <c r="C7259" i="1"/>
  <c r="G7258" i="1"/>
  <c r="C7258" i="1"/>
  <c r="G7257" i="1"/>
  <c r="C7257" i="1"/>
  <c r="G7256" i="1"/>
  <c r="C7256" i="1"/>
  <c r="G7255" i="1"/>
  <c r="C7255" i="1"/>
  <c r="G7254" i="1"/>
  <c r="C7254" i="1"/>
  <c r="G7253" i="1"/>
  <c r="C7253" i="1"/>
  <c r="G7252" i="1"/>
  <c r="C7252" i="1"/>
  <c r="G7251" i="1"/>
  <c r="C7251" i="1"/>
  <c r="G7250" i="1"/>
  <c r="C7250" i="1"/>
  <c r="G7249" i="1"/>
  <c r="C7249" i="1"/>
  <c r="G7248" i="1"/>
  <c r="C7248" i="1"/>
  <c r="G7247" i="1"/>
  <c r="C7247" i="1"/>
  <c r="G7246" i="1"/>
  <c r="C7246" i="1"/>
  <c r="G7245" i="1"/>
  <c r="C7245" i="1"/>
  <c r="G7244" i="1"/>
  <c r="C7244" i="1"/>
  <c r="G7243" i="1"/>
  <c r="C7243" i="1"/>
  <c r="G7242" i="1"/>
  <c r="C7242" i="1"/>
  <c r="G7241" i="1"/>
  <c r="C7241" i="1"/>
  <c r="G7240" i="1"/>
  <c r="C7240" i="1"/>
  <c r="G7239" i="1"/>
  <c r="C7239" i="1"/>
  <c r="G7238" i="1"/>
  <c r="C7238" i="1"/>
  <c r="G7237" i="1"/>
  <c r="C7237" i="1"/>
  <c r="G7236" i="1"/>
  <c r="C7236" i="1"/>
  <c r="G7234" i="1"/>
  <c r="C7234" i="1"/>
  <c r="G7233" i="1"/>
  <c r="C7233" i="1"/>
  <c r="G7232" i="1"/>
  <c r="C7232" i="1"/>
  <c r="G7231" i="1"/>
  <c r="C7231" i="1"/>
  <c r="G7230" i="1"/>
  <c r="C7230" i="1"/>
  <c r="G7229" i="1"/>
  <c r="C7229" i="1"/>
  <c r="G7228" i="1"/>
  <c r="C7228" i="1"/>
  <c r="G7227" i="1"/>
  <c r="C7227" i="1"/>
  <c r="G7226" i="1"/>
  <c r="C7226" i="1"/>
  <c r="G7225" i="1"/>
  <c r="C7225" i="1"/>
  <c r="G7224" i="1"/>
  <c r="C7224" i="1"/>
  <c r="G7223" i="1"/>
  <c r="C7223" i="1"/>
  <c r="G7222" i="1"/>
  <c r="C7222" i="1"/>
  <c r="G7221" i="1"/>
  <c r="C7221" i="1"/>
  <c r="G7220" i="1"/>
  <c r="C7220" i="1"/>
  <c r="G7218" i="1"/>
  <c r="C7218" i="1"/>
  <c r="G7217" i="1"/>
  <c r="C7217" i="1"/>
  <c r="G7216" i="1"/>
  <c r="C7216" i="1"/>
  <c r="G7215" i="1"/>
  <c r="C7215" i="1"/>
  <c r="G7214" i="1"/>
  <c r="C7214" i="1"/>
  <c r="G7213" i="1"/>
  <c r="C7213" i="1"/>
  <c r="G7212" i="1"/>
  <c r="C7212" i="1"/>
  <c r="G7211" i="1"/>
  <c r="C7211" i="1"/>
  <c r="G7210" i="1"/>
  <c r="C7210" i="1"/>
  <c r="G7209" i="1"/>
  <c r="C7209" i="1"/>
  <c r="G7208" i="1"/>
  <c r="C7208" i="1"/>
  <c r="G7207" i="1"/>
  <c r="C7207" i="1"/>
  <c r="G7206" i="1"/>
  <c r="C7206" i="1"/>
  <c r="G7205" i="1"/>
  <c r="C7205" i="1"/>
  <c r="G7203" i="1"/>
  <c r="C7203" i="1"/>
  <c r="G7202" i="1"/>
  <c r="C7202" i="1"/>
  <c r="G7201" i="1"/>
  <c r="C7201" i="1"/>
  <c r="G7200" i="1"/>
  <c r="C7200" i="1"/>
  <c r="G7199" i="1"/>
  <c r="C7199" i="1"/>
  <c r="G7198" i="1"/>
  <c r="C7198" i="1"/>
  <c r="G7197" i="1"/>
  <c r="C7197" i="1"/>
  <c r="G7196" i="1"/>
  <c r="C7196" i="1"/>
  <c r="G7195" i="1"/>
  <c r="C7195" i="1"/>
  <c r="G7194" i="1"/>
  <c r="C7194" i="1"/>
  <c r="G7193" i="1"/>
  <c r="C7193" i="1"/>
  <c r="G7192" i="1"/>
  <c r="C7192" i="1"/>
  <c r="G7190" i="1"/>
  <c r="C7190" i="1"/>
  <c r="G7189" i="1"/>
  <c r="C7189" i="1"/>
  <c r="G7188" i="1"/>
  <c r="C7188" i="1"/>
  <c r="G7187" i="1"/>
  <c r="C7187" i="1"/>
  <c r="G7186" i="1"/>
  <c r="C7186" i="1"/>
  <c r="G7185" i="1"/>
  <c r="C7185" i="1"/>
  <c r="G7184" i="1"/>
  <c r="C7184" i="1"/>
  <c r="G7183" i="1"/>
  <c r="C7183" i="1"/>
  <c r="G7182" i="1"/>
  <c r="C7182" i="1"/>
  <c r="G7181" i="1"/>
  <c r="C7181" i="1"/>
  <c r="G7180" i="1"/>
  <c r="C7180" i="1"/>
  <c r="G7179" i="1"/>
  <c r="C7179" i="1"/>
  <c r="G7178" i="1"/>
  <c r="C7178" i="1"/>
  <c r="G7177" i="1"/>
  <c r="C7177" i="1"/>
  <c r="G7176" i="1"/>
  <c r="C7176" i="1"/>
  <c r="G7175" i="1"/>
  <c r="C7175" i="1"/>
  <c r="G7174" i="1"/>
  <c r="C7174" i="1"/>
  <c r="G7173" i="1"/>
  <c r="C7173" i="1"/>
  <c r="G7172" i="1"/>
  <c r="C7172" i="1"/>
  <c r="G7171" i="1"/>
  <c r="C7171" i="1"/>
  <c r="G7170" i="1"/>
  <c r="C7170" i="1"/>
  <c r="G7169" i="1"/>
  <c r="C7169" i="1"/>
  <c r="G7168" i="1"/>
  <c r="C7168" i="1"/>
  <c r="G7167" i="1"/>
  <c r="C7167" i="1"/>
  <c r="G7166" i="1"/>
  <c r="C7166" i="1"/>
  <c r="G7165" i="1"/>
  <c r="C7165" i="1"/>
  <c r="G7164" i="1"/>
  <c r="C7164" i="1"/>
  <c r="G7163" i="1"/>
  <c r="C7163" i="1"/>
  <c r="G7162" i="1"/>
  <c r="C7162" i="1"/>
  <c r="G7161" i="1"/>
  <c r="C7161" i="1"/>
  <c r="G7160" i="1"/>
  <c r="C7160" i="1"/>
  <c r="G7159" i="1"/>
  <c r="C7159" i="1"/>
  <c r="G7158" i="1"/>
  <c r="C7158" i="1"/>
  <c r="G7155" i="1"/>
  <c r="C7155" i="1"/>
  <c r="G7154" i="1"/>
  <c r="C7154" i="1"/>
  <c r="G7153" i="1"/>
  <c r="C7153" i="1"/>
  <c r="G7152" i="1"/>
  <c r="C7152" i="1"/>
  <c r="G7151" i="1"/>
  <c r="C7151" i="1"/>
  <c r="G7150" i="1"/>
  <c r="C7150" i="1"/>
  <c r="G7149" i="1"/>
  <c r="C7149" i="1"/>
  <c r="G7148" i="1"/>
  <c r="C7148" i="1"/>
  <c r="G7147" i="1"/>
  <c r="C7147" i="1"/>
  <c r="G7146" i="1"/>
  <c r="C7146" i="1"/>
  <c r="G7145" i="1"/>
  <c r="C7145" i="1"/>
  <c r="G7144" i="1"/>
  <c r="C7144" i="1"/>
  <c r="G7143" i="1"/>
  <c r="C7143" i="1"/>
  <c r="G7142" i="1"/>
  <c r="C7142" i="1"/>
  <c r="G7141" i="1"/>
  <c r="C7141" i="1"/>
  <c r="G7140" i="1"/>
  <c r="C7140" i="1"/>
  <c r="G7139" i="1"/>
  <c r="C7139" i="1"/>
  <c r="G7137" i="1"/>
  <c r="C7137" i="1"/>
  <c r="G7136" i="1"/>
  <c r="C7136" i="1"/>
  <c r="G7135" i="1"/>
  <c r="C7135" i="1"/>
  <c r="G7134" i="1"/>
  <c r="C7134" i="1"/>
  <c r="G7133" i="1"/>
  <c r="C7133" i="1"/>
  <c r="G7132" i="1"/>
  <c r="C7132" i="1"/>
  <c r="G7131" i="1"/>
  <c r="C7131" i="1"/>
  <c r="G7130" i="1"/>
  <c r="C7130" i="1"/>
  <c r="G7129" i="1"/>
  <c r="C7129" i="1"/>
  <c r="G7128" i="1"/>
  <c r="C7128" i="1"/>
  <c r="G7127" i="1"/>
  <c r="C7127" i="1"/>
  <c r="G7126" i="1"/>
  <c r="C7126" i="1"/>
  <c r="G7125" i="1"/>
  <c r="C7125" i="1"/>
  <c r="G7124" i="1"/>
  <c r="C7124" i="1"/>
  <c r="G7123" i="1"/>
  <c r="C7123" i="1"/>
  <c r="G7122" i="1"/>
  <c r="C7122" i="1"/>
  <c r="G7121" i="1"/>
  <c r="C7121" i="1"/>
  <c r="G7120" i="1"/>
  <c r="C7120" i="1"/>
  <c r="G7119" i="1"/>
  <c r="C7119" i="1"/>
  <c r="G7118" i="1"/>
  <c r="C7118" i="1"/>
  <c r="G7117" i="1"/>
  <c r="C7117" i="1"/>
  <c r="G7116" i="1"/>
  <c r="C7116" i="1"/>
  <c r="G7115" i="1"/>
  <c r="C7115" i="1"/>
  <c r="G7114" i="1"/>
  <c r="C7114" i="1"/>
  <c r="G7113" i="1"/>
  <c r="C7113" i="1"/>
  <c r="G7112" i="1"/>
  <c r="C7112" i="1"/>
  <c r="G7111" i="1"/>
  <c r="C7111" i="1"/>
  <c r="G7109" i="1"/>
  <c r="C7109" i="1"/>
  <c r="G7108" i="1"/>
  <c r="C7108" i="1"/>
  <c r="G7107" i="1"/>
  <c r="C7107" i="1"/>
  <c r="G7106" i="1"/>
  <c r="C7106" i="1"/>
  <c r="G7105" i="1"/>
  <c r="C7105" i="1"/>
  <c r="G7104" i="1"/>
  <c r="C7104" i="1"/>
  <c r="G7103" i="1"/>
  <c r="C7103" i="1"/>
  <c r="G7102" i="1"/>
  <c r="C7102" i="1"/>
  <c r="G7101" i="1"/>
  <c r="C7101" i="1"/>
  <c r="G7100" i="1"/>
  <c r="C7100" i="1"/>
  <c r="G7099" i="1"/>
  <c r="C7099" i="1"/>
  <c r="G7098" i="1"/>
  <c r="C7098" i="1"/>
  <c r="G7097" i="1"/>
  <c r="C7097" i="1"/>
  <c r="G7096" i="1"/>
  <c r="C7096" i="1"/>
  <c r="G7095" i="1"/>
  <c r="C7095" i="1"/>
  <c r="G7094" i="1"/>
  <c r="C7094" i="1"/>
  <c r="G7093" i="1"/>
  <c r="C7093" i="1"/>
  <c r="G7092" i="1"/>
  <c r="C7092" i="1"/>
  <c r="G7091" i="1"/>
  <c r="C7091" i="1"/>
  <c r="G7090" i="1"/>
  <c r="C7090" i="1"/>
  <c r="G7089" i="1"/>
  <c r="C7089" i="1"/>
  <c r="G7088" i="1"/>
  <c r="C7088" i="1"/>
  <c r="G7087" i="1"/>
  <c r="C7087" i="1"/>
  <c r="G7086" i="1"/>
  <c r="C7086" i="1"/>
  <c r="G7085" i="1"/>
  <c r="C7085" i="1"/>
  <c r="G7084" i="1"/>
  <c r="C7084" i="1"/>
  <c r="G7083" i="1"/>
  <c r="C7083" i="1"/>
  <c r="G7082" i="1"/>
  <c r="C7082" i="1"/>
  <c r="G7081" i="1"/>
  <c r="C7081" i="1"/>
  <c r="G7080" i="1"/>
  <c r="C7080" i="1"/>
  <c r="G7077" i="1"/>
  <c r="C7077" i="1"/>
  <c r="G7076" i="1"/>
  <c r="C7076" i="1"/>
  <c r="G7075" i="1"/>
  <c r="C7075" i="1"/>
  <c r="G7074" i="1"/>
  <c r="C7074" i="1"/>
  <c r="G7073" i="1"/>
  <c r="C7073" i="1"/>
  <c r="G7072" i="1"/>
  <c r="C7072" i="1"/>
  <c r="G7070" i="1"/>
  <c r="C7070" i="1"/>
  <c r="G7069" i="1"/>
  <c r="C7069" i="1"/>
  <c r="G7068" i="1"/>
  <c r="C7068" i="1"/>
  <c r="G7067" i="1"/>
  <c r="C7067" i="1"/>
  <c r="G7066" i="1"/>
  <c r="C7066" i="1"/>
  <c r="G7065" i="1"/>
  <c r="C7065" i="1"/>
  <c r="G7064" i="1"/>
  <c r="C7064" i="1"/>
  <c r="G7063" i="1"/>
  <c r="C7063" i="1"/>
  <c r="G7062" i="1"/>
  <c r="C7062" i="1"/>
  <c r="G7061" i="1"/>
  <c r="C7061" i="1"/>
  <c r="G7060" i="1"/>
  <c r="C7060" i="1"/>
  <c r="G7059" i="1"/>
  <c r="C7059" i="1"/>
  <c r="G7058" i="1"/>
  <c r="C7058" i="1"/>
  <c r="G7057" i="1"/>
  <c r="C7057" i="1"/>
  <c r="G7056" i="1"/>
  <c r="C7056" i="1"/>
  <c r="G7055" i="1"/>
  <c r="C7055" i="1"/>
  <c r="G7054" i="1"/>
  <c r="C7054" i="1"/>
  <c r="G7053" i="1"/>
  <c r="C7053" i="1"/>
  <c r="G7052" i="1"/>
  <c r="C7052" i="1"/>
  <c r="G7051" i="1"/>
  <c r="C7051" i="1"/>
  <c r="G7050" i="1"/>
  <c r="C7050" i="1"/>
  <c r="G7049" i="1"/>
  <c r="C7049" i="1"/>
  <c r="G7048" i="1"/>
  <c r="C7048" i="1"/>
  <c r="G7047" i="1"/>
  <c r="C7047" i="1"/>
  <c r="G7046" i="1"/>
  <c r="C7046" i="1"/>
  <c r="G7045" i="1"/>
  <c r="C7045" i="1"/>
  <c r="G7044" i="1"/>
  <c r="C7044" i="1"/>
  <c r="G7043" i="1"/>
  <c r="C7043" i="1"/>
  <c r="G7042" i="1"/>
  <c r="C7042" i="1"/>
  <c r="G7041" i="1"/>
  <c r="C7041" i="1"/>
  <c r="G7040" i="1"/>
  <c r="C7040" i="1"/>
  <c r="G7039" i="1"/>
  <c r="C7039" i="1"/>
  <c r="G7038" i="1"/>
  <c r="C7038" i="1"/>
  <c r="G7037" i="1"/>
  <c r="C7037" i="1"/>
  <c r="G7036" i="1"/>
  <c r="C7036" i="1"/>
  <c r="G7035" i="1"/>
  <c r="C7035" i="1"/>
  <c r="G7034" i="1"/>
  <c r="C7034" i="1"/>
  <c r="G7033" i="1"/>
  <c r="C7033" i="1"/>
  <c r="G7032" i="1"/>
  <c r="C7032" i="1"/>
  <c r="G7031" i="1"/>
  <c r="C7031" i="1"/>
  <c r="G7030" i="1"/>
  <c r="C7030" i="1"/>
  <c r="G7029" i="1"/>
  <c r="C7029" i="1"/>
  <c r="G7028" i="1"/>
  <c r="C7028" i="1"/>
  <c r="G7027" i="1"/>
  <c r="C7027" i="1"/>
  <c r="G7026" i="1"/>
  <c r="C7026" i="1"/>
  <c r="G7025" i="1"/>
  <c r="C7025" i="1"/>
  <c r="G7024" i="1"/>
  <c r="C7024" i="1"/>
  <c r="G7023" i="1"/>
  <c r="C7023" i="1"/>
  <c r="G7022" i="1"/>
  <c r="C7022" i="1"/>
  <c r="G7021" i="1"/>
  <c r="C7021" i="1"/>
  <c r="G7019" i="1"/>
  <c r="C7019" i="1"/>
  <c r="G7018" i="1"/>
  <c r="C7018" i="1"/>
  <c r="G7017" i="1"/>
  <c r="C7017" i="1"/>
  <c r="G7016" i="1"/>
  <c r="C7016" i="1"/>
  <c r="G7015" i="1"/>
  <c r="C7015" i="1"/>
  <c r="G7014" i="1"/>
  <c r="C7014" i="1"/>
  <c r="G7013" i="1"/>
  <c r="C7013" i="1"/>
  <c r="G7012" i="1"/>
  <c r="C7012" i="1"/>
  <c r="G7011" i="1"/>
  <c r="C7011" i="1"/>
  <c r="G7010" i="1"/>
  <c r="C7010" i="1"/>
  <c r="G7009" i="1"/>
  <c r="C7009" i="1"/>
  <c r="G7008" i="1"/>
  <c r="C7008" i="1"/>
  <c r="G7006" i="1"/>
  <c r="C7006" i="1"/>
  <c r="G7005" i="1"/>
  <c r="C7005" i="1"/>
  <c r="G7004" i="1"/>
  <c r="C7004" i="1"/>
  <c r="G7003" i="1"/>
  <c r="C7003" i="1"/>
  <c r="G7002" i="1"/>
  <c r="C7002" i="1"/>
  <c r="G7001" i="1"/>
  <c r="C7001" i="1"/>
  <c r="G7000" i="1"/>
  <c r="C7000" i="1"/>
  <c r="G6999" i="1"/>
  <c r="C6999" i="1"/>
  <c r="G6998" i="1"/>
  <c r="C6998" i="1"/>
  <c r="G6997" i="1"/>
  <c r="C6997" i="1"/>
  <c r="G6996" i="1"/>
  <c r="C6996" i="1"/>
  <c r="G6995" i="1"/>
  <c r="C6995" i="1"/>
  <c r="G6994" i="1"/>
  <c r="C6994" i="1"/>
  <c r="G6993" i="1"/>
  <c r="C6993" i="1"/>
  <c r="G6992" i="1"/>
  <c r="C6992" i="1"/>
  <c r="G6991" i="1"/>
  <c r="C6991" i="1"/>
  <c r="G6989" i="1"/>
  <c r="C6989" i="1"/>
  <c r="G6988" i="1"/>
  <c r="C6988" i="1"/>
  <c r="G6987" i="1"/>
  <c r="C6987" i="1"/>
  <c r="G6986" i="1"/>
  <c r="C6986" i="1"/>
  <c r="G6985" i="1"/>
  <c r="C6985" i="1"/>
  <c r="G6984" i="1"/>
  <c r="C6984" i="1"/>
  <c r="G6983" i="1"/>
  <c r="C6983" i="1"/>
  <c r="G6982" i="1"/>
  <c r="C6982" i="1"/>
  <c r="G6981" i="1"/>
  <c r="C6981" i="1"/>
  <c r="G6980" i="1"/>
  <c r="C6980" i="1"/>
  <c r="G6979" i="1"/>
  <c r="C6979" i="1"/>
  <c r="G6978" i="1"/>
  <c r="C6978" i="1"/>
  <c r="G6977" i="1"/>
  <c r="C6977" i="1"/>
  <c r="G6976" i="1"/>
  <c r="C6976" i="1"/>
  <c r="G6975" i="1"/>
  <c r="C6975" i="1"/>
  <c r="G6974" i="1"/>
  <c r="C6974" i="1"/>
  <c r="G6973" i="1"/>
  <c r="C6973" i="1"/>
  <c r="G6972" i="1"/>
  <c r="C6972" i="1"/>
  <c r="G6971" i="1"/>
  <c r="C6971" i="1"/>
  <c r="G6970" i="1"/>
  <c r="C6970" i="1"/>
  <c r="G6969" i="1"/>
  <c r="C6969" i="1"/>
  <c r="G6968" i="1"/>
  <c r="C6968" i="1"/>
  <c r="G6967" i="1"/>
  <c r="C6967" i="1"/>
  <c r="G6966" i="1"/>
  <c r="C6966" i="1"/>
  <c r="G6965" i="1"/>
  <c r="C6965" i="1"/>
  <c r="G6964" i="1"/>
  <c r="C6964" i="1"/>
  <c r="G6963" i="1"/>
  <c r="C6963" i="1"/>
  <c r="G6962" i="1"/>
  <c r="C6962" i="1"/>
  <c r="G6961" i="1"/>
  <c r="C6961" i="1"/>
  <c r="G6960" i="1"/>
  <c r="C6960" i="1"/>
  <c r="G6959" i="1"/>
  <c r="C6959" i="1"/>
  <c r="G6958" i="1"/>
  <c r="C6958" i="1"/>
  <c r="G6957" i="1"/>
  <c r="C6957" i="1"/>
  <c r="G6956" i="1"/>
  <c r="C6956" i="1"/>
  <c r="G6955" i="1"/>
  <c r="C6955" i="1"/>
  <c r="G6953" i="1"/>
  <c r="C6953" i="1"/>
  <c r="G6952" i="1"/>
  <c r="C6952" i="1"/>
  <c r="G6951" i="1"/>
  <c r="C6951" i="1"/>
  <c r="G6950" i="1"/>
  <c r="C6950" i="1"/>
  <c r="G6949" i="1"/>
  <c r="C6949" i="1"/>
  <c r="G6948" i="1"/>
  <c r="C6948" i="1"/>
  <c r="G6947" i="1"/>
  <c r="C6947" i="1"/>
  <c r="G6946" i="1"/>
  <c r="C6946" i="1"/>
  <c r="G6945" i="1"/>
  <c r="C6945" i="1"/>
  <c r="G6944" i="1"/>
  <c r="C6944" i="1"/>
  <c r="G6943" i="1"/>
  <c r="C6943" i="1"/>
  <c r="G6942" i="1"/>
  <c r="C6942" i="1"/>
  <c r="G6941" i="1"/>
  <c r="C6941" i="1"/>
  <c r="G6940" i="1"/>
  <c r="C6940" i="1"/>
  <c r="G6939" i="1"/>
  <c r="C6939" i="1"/>
  <c r="G6938" i="1"/>
  <c r="C6938" i="1"/>
  <c r="G6937" i="1"/>
  <c r="C6937" i="1"/>
  <c r="G6936" i="1"/>
  <c r="C6936" i="1"/>
  <c r="G6935" i="1"/>
  <c r="C6935" i="1"/>
  <c r="G6934" i="1"/>
  <c r="C6934" i="1"/>
  <c r="G6933" i="1"/>
  <c r="C6933" i="1"/>
  <c r="G6932" i="1"/>
  <c r="C6932" i="1"/>
  <c r="G6931" i="1"/>
  <c r="C6931" i="1"/>
  <c r="G6930" i="1"/>
  <c r="C6930" i="1"/>
  <c r="G6929" i="1"/>
  <c r="C6929" i="1"/>
  <c r="G6928" i="1"/>
  <c r="C6928" i="1"/>
  <c r="G6927" i="1"/>
  <c r="C6927" i="1"/>
  <c r="G6926" i="1"/>
  <c r="C6926" i="1"/>
  <c r="G6925" i="1"/>
  <c r="C6925" i="1"/>
  <c r="G6924" i="1"/>
  <c r="C6924" i="1"/>
  <c r="G6923" i="1"/>
  <c r="C6923" i="1"/>
  <c r="G6922" i="1"/>
  <c r="C6922" i="1"/>
  <c r="G6921" i="1"/>
  <c r="C6921" i="1"/>
  <c r="G6920" i="1"/>
  <c r="C6920" i="1"/>
  <c r="G6919" i="1"/>
  <c r="C6919" i="1"/>
  <c r="G6918" i="1"/>
  <c r="C6918" i="1"/>
  <c r="G6917" i="1"/>
  <c r="C6917" i="1"/>
  <c r="G6916" i="1"/>
  <c r="C6916" i="1"/>
  <c r="G6915" i="1"/>
  <c r="C6915" i="1"/>
  <c r="G6914" i="1"/>
  <c r="C6914" i="1"/>
  <c r="G6913" i="1"/>
  <c r="C6913" i="1"/>
  <c r="G6912" i="1"/>
  <c r="C6912" i="1"/>
  <c r="G6911" i="1"/>
  <c r="C6911" i="1"/>
  <c r="G6910" i="1"/>
  <c r="C6910" i="1"/>
  <c r="G6909" i="1"/>
  <c r="C6909" i="1"/>
  <c r="G6908" i="1"/>
  <c r="C6908" i="1"/>
  <c r="G6907" i="1"/>
  <c r="C6907" i="1"/>
  <c r="G6906" i="1"/>
  <c r="C6906" i="1"/>
  <c r="G6905" i="1"/>
  <c r="C6905" i="1"/>
  <c r="G6904" i="1"/>
  <c r="C6904" i="1"/>
  <c r="G6903" i="1"/>
  <c r="C6903" i="1"/>
  <c r="G6902" i="1"/>
  <c r="C6902" i="1"/>
  <c r="G6901" i="1"/>
  <c r="C6901" i="1"/>
  <c r="G6900" i="1"/>
  <c r="C6900" i="1"/>
  <c r="G6899" i="1"/>
  <c r="C6899" i="1"/>
  <c r="G6898" i="1"/>
  <c r="C6898" i="1"/>
  <c r="G6897" i="1"/>
  <c r="C6897" i="1"/>
  <c r="G6896" i="1"/>
  <c r="C6896" i="1"/>
  <c r="G6895" i="1"/>
  <c r="C6895" i="1"/>
  <c r="G6894" i="1"/>
  <c r="C6894" i="1"/>
  <c r="G6893" i="1"/>
  <c r="C6893" i="1"/>
  <c r="G6892" i="1"/>
  <c r="C6892" i="1"/>
  <c r="G6891" i="1"/>
  <c r="C6891" i="1"/>
  <c r="G6890" i="1"/>
  <c r="C6890" i="1"/>
  <c r="G6889" i="1"/>
  <c r="C6889" i="1"/>
  <c r="G6888" i="1"/>
  <c r="C6888" i="1"/>
  <c r="G6887" i="1"/>
  <c r="C6887" i="1"/>
  <c r="G6885" i="1"/>
  <c r="C6885" i="1"/>
  <c r="G6884" i="1"/>
  <c r="C6884" i="1"/>
  <c r="G6883" i="1"/>
  <c r="C6883" i="1"/>
  <c r="G6882" i="1"/>
  <c r="C6882" i="1"/>
  <c r="G6881" i="1"/>
  <c r="C6881" i="1"/>
  <c r="G6880" i="1"/>
  <c r="C6880" i="1"/>
  <c r="G6879" i="1"/>
  <c r="C6879" i="1"/>
  <c r="G6878" i="1"/>
  <c r="C6878" i="1"/>
  <c r="G6877" i="1"/>
  <c r="C6877" i="1"/>
  <c r="G6876" i="1"/>
  <c r="C6876" i="1"/>
  <c r="G6875" i="1"/>
  <c r="C6875" i="1"/>
  <c r="G6874" i="1"/>
  <c r="C6874" i="1"/>
  <c r="G6873" i="1"/>
  <c r="C6873" i="1"/>
  <c r="G6872" i="1"/>
  <c r="C6872" i="1"/>
  <c r="G6871" i="1"/>
  <c r="C6871" i="1"/>
  <c r="G6870" i="1"/>
  <c r="C6870" i="1"/>
  <c r="G6869" i="1"/>
  <c r="C6869" i="1"/>
  <c r="G6868" i="1"/>
  <c r="C6868" i="1"/>
  <c r="G6867" i="1"/>
  <c r="C6867" i="1"/>
  <c r="G6866" i="1"/>
  <c r="C6866" i="1"/>
  <c r="G6865" i="1"/>
  <c r="C6865" i="1"/>
  <c r="G6864" i="1"/>
  <c r="C6864" i="1"/>
  <c r="G6863" i="1"/>
  <c r="C6863" i="1"/>
  <c r="G6862" i="1"/>
  <c r="C6862" i="1"/>
  <c r="G6861" i="1"/>
  <c r="C6861" i="1"/>
  <c r="G6860" i="1"/>
  <c r="C6860" i="1"/>
  <c r="G6859" i="1"/>
  <c r="C6859" i="1"/>
  <c r="G6858" i="1"/>
  <c r="C6858" i="1"/>
  <c r="G6857" i="1"/>
  <c r="C6857" i="1"/>
  <c r="G6856" i="1"/>
  <c r="C6856" i="1"/>
  <c r="G6855" i="1"/>
  <c r="C6855" i="1"/>
  <c r="G6854" i="1"/>
  <c r="C6854" i="1"/>
  <c r="G6853" i="1"/>
  <c r="C6853" i="1"/>
  <c r="G6852" i="1"/>
  <c r="C6852" i="1"/>
  <c r="G6851" i="1"/>
  <c r="C6851" i="1"/>
  <c r="G6850" i="1"/>
  <c r="C6850" i="1"/>
  <c r="G6849" i="1"/>
  <c r="C6849" i="1"/>
  <c r="G6848" i="1"/>
  <c r="C6848" i="1"/>
  <c r="G6847" i="1"/>
  <c r="C6847" i="1"/>
  <c r="G6846" i="1"/>
  <c r="C6846" i="1"/>
  <c r="G6845" i="1"/>
  <c r="C6845" i="1"/>
  <c r="G6844" i="1"/>
  <c r="C6844" i="1"/>
  <c r="G6843" i="1"/>
  <c r="C6843" i="1"/>
  <c r="G6842" i="1"/>
  <c r="C6842" i="1"/>
  <c r="G6841" i="1"/>
  <c r="C6841" i="1"/>
  <c r="G6840" i="1"/>
  <c r="C6840" i="1"/>
  <c r="G6839" i="1"/>
  <c r="C6839" i="1"/>
  <c r="G6838" i="1"/>
  <c r="C6838" i="1"/>
  <c r="G6837" i="1"/>
  <c r="C6837" i="1"/>
  <c r="G6836" i="1"/>
  <c r="C6836" i="1"/>
  <c r="G6835" i="1"/>
  <c r="C6835" i="1"/>
  <c r="G6834" i="1"/>
  <c r="C6834" i="1"/>
  <c r="G6833" i="1"/>
  <c r="C6833" i="1"/>
  <c r="G6832" i="1"/>
  <c r="C6832" i="1"/>
  <c r="G6831" i="1"/>
  <c r="C6831" i="1"/>
  <c r="G6830" i="1"/>
  <c r="C6830" i="1"/>
  <c r="G6829" i="1"/>
  <c r="C6829" i="1"/>
  <c r="G6828" i="1"/>
  <c r="C6828" i="1"/>
  <c r="G6827" i="1"/>
  <c r="C6827" i="1"/>
  <c r="G6826" i="1"/>
  <c r="C6826" i="1"/>
  <c r="G6825" i="1"/>
  <c r="C6825" i="1"/>
  <c r="G6824" i="1"/>
  <c r="C6824" i="1"/>
  <c r="G6823" i="1"/>
  <c r="C6823" i="1"/>
  <c r="G6822" i="1"/>
  <c r="C6822" i="1"/>
  <c r="G6821" i="1"/>
  <c r="C6821" i="1"/>
  <c r="G6820" i="1"/>
  <c r="C6820" i="1"/>
  <c r="G6819" i="1"/>
  <c r="C6819" i="1"/>
  <c r="G6818" i="1"/>
  <c r="C6818" i="1"/>
  <c r="G6817" i="1"/>
  <c r="C6817" i="1"/>
  <c r="G6816" i="1"/>
  <c r="C6816" i="1"/>
  <c r="G6814" i="1"/>
  <c r="C6814" i="1"/>
  <c r="G6813" i="1"/>
  <c r="C6813" i="1"/>
  <c r="G6812" i="1"/>
  <c r="C6812" i="1"/>
  <c r="G6811" i="1"/>
  <c r="C6811" i="1"/>
  <c r="G6810" i="1"/>
  <c r="C6810" i="1"/>
  <c r="G6809" i="1"/>
  <c r="C6809" i="1"/>
  <c r="G6808" i="1"/>
  <c r="C6808" i="1"/>
  <c r="G6807" i="1"/>
  <c r="C6807" i="1"/>
  <c r="G6806" i="1"/>
  <c r="C6806" i="1"/>
  <c r="G6805" i="1"/>
  <c r="C6805" i="1"/>
  <c r="G6804" i="1"/>
  <c r="C6804" i="1"/>
  <c r="G6803" i="1"/>
  <c r="C6803" i="1"/>
  <c r="G6802" i="1"/>
  <c r="C6802" i="1"/>
  <c r="G6801" i="1"/>
  <c r="C6801" i="1"/>
  <c r="G6800" i="1"/>
  <c r="C6800" i="1"/>
  <c r="G6799" i="1"/>
  <c r="C6799" i="1"/>
  <c r="G6798" i="1"/>
  <c r="C6798" i="1"/>
  <c r="G6797" i="1"/>
  <c r="C6797" i="1"/>
  <c r="G6796" i="1"/>
  <c r="C6796" i="1"/>
  <c r="G6795" i="1"/>
  <c r="C6795" i="1"/>
  <c r="G6794" i="1"/>
  <c r="C6794" i="1"/>
  <c r="G6793" i="1"/>
  <c r="C6793" i="1"/>
  <c r="G6792" i="1"/>
  <c r="C6792" i="1"/>
  <c r="G6791" i="1"/>
  <c r="C6791" i="1"/>
  <c r="G6790" i="1"/>
  <c r="C6790" i="1"/>
  <c r="G6789" i="1"/>
  <c r="C6789" i="1"/>
  <c r="G6788" i="1"/>
  <c r="C6788" i="1"/>
  <c r="G6787" i="1"/>
  <c r="C6787" i="1"/>
  <c r="G6786" i="1"/>
  <c r="C6786" i="1"/>
  <c r="G6785" i="1"/>
  <c r="C6785" i="1"/>
  <c r="G6784" i="1"/>
  <c r="C6784" i="1"/>
  <c r="G6783" i="1"/>
  <c r="C6783" i="1"/>
  <c r="G6782" i="1"/>
  <c r="C6782" i="1"/>
  <c r="G6781" i="1"/>
  <c r="C6781" i="1"/>
  <c r="G6780" i="1"/>
  <c r="C6780" i="1"/>
  <c r="G6779" i="1"/>
  <c r="C6779" i="1"/>
  <c r="G6778" i="1"/>
  <c r="C6778" i="1"/>
  <c r="G6777" i="1"/>
  <c r="C6777" i="1"/>
  <c r="G6776" i="1"/>
  <c r="C6776" i="1"/>
  <c r="G6775" i="1"/>
  <c r="C6775" i="1"/>
  <c r="G6774" i="1"/>
  <c r="C6774" i="1"/>
  <c r="G6773" i="1"/>
  <c r="C6773" i="1"/>
  <c r="G6772" i="1"/>
  <c r="C6772" i="1"/>
  <c r="G6771" i="1"/>
  <c r="C6771" i="1"/>
  <c r="G6770" i="1"/>
  <c r="C6770" i="1"/>
  <c r="G6769" i="1"/>
  <c r="C6769" i="1"/>
  <c r="G6768" i="1"/>
  <c r="C6768" i="1"/>
  <c r="G6767" i="1"/>
  <c r="C6767" i="1"/>
  <c r="G6766" i="1"/>
  <c r="C6766" i="1"/>
  <c r="G6765" i="1"/>
  <c r="C6765" i="1"/>
  <c r="G6764" i="1"/>
  <c r="C6764" i="1"/>
  <c r="G6763" i="1"/>
  <c r="C6763" i="1"/>
  <c r="G6762" i="1"/>
  <c r="C6762" i="1"/>
  <c r="G6761" i="1"/>
  <c r="C6761" i="1"/>
  <c r="G6760" i="1"/>
  <c r="C6760" i="1"/>
  <c r="G6759" i="1"/>
  <c r="C6759" i="1"/>
  <c r="G6758" i="1"/>
  <c r="C6758" i="1"/>
  <c r="G6757" i="1"/>
  <c r="C6757" i="1"/>
  <c r="G6756" i="1"/>
  <c r="C6756" i="1"/>
  <c r="G6755" i="1"/>
  <c r="C6755" i="1"/>
  <c r="G6754" i="1"/>
  <c r="C6754" i="1"/>
  <c r="G6753" i="1"/>
  <c r="C6753" i="1"/>
  <c r="G6752" i="1"/>
  <c r="C6752" i="1"/>
  <c r="G6751" i="1"/>
  <c r="C6751" i="1"/>
  <c r="G6750" i="1"/>
  <c r="C6750" i="1"/>
  <c r="G6749" i="1"/>
  <c r="C6749" i="1"/>
  <c r="G6748" i="1"/>
  <c r="C6748" i="1"/>
  <c r="G6747" i="1"/>
  <c r="C6747" i="1"/>
  <c r="G6746" i="1"/>
  <c r="C6746" i="1"/>
  <c r="G6745" i="1"/>
  <c r="C6745" i="1"/>
  <c r="G6744" i="1"/>
  <c r="C6744" i="1"/>
  <c r="G6743" i="1"/>
  <c r="C6743" i="1"/>
  <c r="G6742" i="1"/>
  <c r="C6742" i="1"/>
  <c r="G6741" i="1"/>
  <c r="C6741" i="1"/>
  <c r="G6740" i="1"/>
  <c r="C6740" i="1"/>
  <c r="G6739" i="1"/>
  <c r="C6739" i="1"/>
  <c r="G6738" i="1"/>
  <c r="C6738" i="1"/>
  <c r="G6737" i="1"/>
  <c r="C6737" i="1"/>
  <c r="G6736" i="1"/>
  <c r="C6736" i="1"/>
  <c r="G6735" i="1"/>
  <c r="C6735" i="1"/>
  <c r="G6734" i="1"/>
  <c r="C6734" i="1"/>
  <c r="G6733" i="1"/>
  <c r="C6733" i="1"/>
  <c r="G6732" i="1"/>
  <c r="C6732" i="1"/>
  <c r="G6731" i="1"/>
  <c r="C6731" i="1"/>
  <c r="G6730" i="1"/>
  <c r="C6730" i="1"/>
  <c r="G6729" i="1"/>
  <c r="C6729" i="1"/>
  <c r="G6728" i="1"/>
  <c r="C6728" i="1"/>
  <c r="G6727" i="1"/>
  <c r="C6727" i="1"/>
  <c r="G6726" i="1"/>
  <c r="C6726" i="1"/>
  <c r="G6725" i="1"/>
  <c r="C6725" i="1"/>
  <c r="G6724" i="1"/>
  <c r="C6724" i="1"/>
  <c r="G6723" i="1"/>
  <c r="C6723" i="1"/>
  <c r="G6722" i="1"/>
  <c r="C6722" i="1"/>
  <c r="G6721" i="1"/>
  <c r="C6721" i="1"/>
  <c r="G6720" i="1"/>
  <c r="C6720" i="1"/>
  <c r="G6719" i="1"/>
  <c r="C6719" i="1"/>
  <c r="G6718" i="1"/>
  <c r="C6718" i="1"/>
  <c r="G6717" i="1"/>
  <c r="C6717" i="1"/>
  <c r="G6716" i="1"/>
  <c r="C6716" i="1"/>
  <c r="G6715" i="1"/>
  <c r="C6715" i="1"/>
  <c r="G6714" i="1"/>
  <c r="C6714" i="1"/>
  <c r="G6713" i="1"/>
  <c r="C6713" i="1"/>
  <c r="G6712" i="1"/>
  <c r="C6712" i="1"/>
  <c r="G6711" i="1"/>
  <c r="C6711" i="1"/>
  <c r="G6710" i="1"/>
  <c r="C6710" i="1"/>
  <c r="G6709" i="1"/>
  <c r="C6709" i="1"/>
  <c r="G6707" i="1"/>
  <c r="C6707" i="1"/>
  <c r="G6706" i="1"/>
  <c r="C6706" i="1"/>
  <c r="G6705" i="1"/>
  <c r="C6705" i="1"/>
  <c r="G6704" i="1"/>
  <c r="C6704" i="1"/>
  <c r="G6703" i="1"/>
  <c r="C6703" i="1"/>
  <c r="G6702" i="1"/>
  <c r="C6702" i="1"/>
  <c r="G6701" i="1"/>
  <c r="C6701" i="1"/>
  <c r="G6700" i="1"/>
  <c r="C6700" i="1"/>
  <c r="G6699" i="1"/>
  <c r="C6699" i="1"/>
  <c r="G6698" i="1"/>
  <c r="C6698" i="1"/>
  <c r="G6697" i="1"/>
  <c r="C6697" i="1"/>
  <c r="G6696" i="1"/>
  <c r="C6696" i="1"/>
  <c r="G6695" i="1"/>
  <c r="C6695" i="1"/>
  <c r="G6694" i="1"/>
  <c r="C6694" i="1"/>
  <c r="G6693" i="1"/>
  <c r="C6693" i="1"/>
  <c r="G6692" i="1"/>
  <c r="C6692" i="1"/>
  <c r="G6691" i="1"/>
  <c r="C6691" i="1"/>
  <c r="G6690" i="1"/>
  <c r="C6690" i="1"/>
  <c r="G6689" i="1"/>
  <c r="C6689" i="1"/>
  <c r="G6688" i="1"/>
  <c r="C6688" i="1"/>
  <c r="G6687" i="1"/>
  <c r="C6687" i="1"/>
  <c r="G6686" i="1"/>
  <c r="C6686" i="1"/>
  <c r="G6685" i="1"/>
  <c r="C6685" i="1"/>
  <c r="G6684" i="1"/>
  <c r="C6684" i="1"/>
  <c r="G6683" i="1"/>
  <c r="C6683" i="1"/>
  <c r="G6682" i="1"/>
  <c r="C6682" i="1"/>
  <c r="G6681" i="1"/>
  <c r="C6681" i="1"/>
  <c r="G6680" i="1"/>
  <c r="C6680" i="1"/>
  <c r="G6679" i="1"/>
  <c r="C6679" i="1"/>
  <c r="G6678" i="1"/>
  <c r="C6678" i="1"/>
  <c r="G6677" i="1"/>
  <c r="C6677" i="1"/>
  <c r="G6676" i="1"/>
  <c r="C6676" i="1"/>
  <c r="G6675" i="1"/>
  <c r="C6675" i="1"/>
  <c r="G6674" i="1"/>
  <c r="C6674" i="1"/>
  <c r="G6670" i="1"/>
  <c r="C6670" i="1"/>
  <c r="G6669" i="1"/>
  <c r="C6669" i="1"/>
  <c r="G6668" i="1"/>
  <c r="C6668" i="1"/>
  <c r="G6667" i="1"/>
  <c r="C6667" i="1"/>
  <c r="G6666" i="1"/>
  <c r="C6666" i="1"/>
  <c r="G6665" i="1"/>
  <c r="C6665" i="1"/>
  <c r="G6664" i="1"/>
  <c r="C6664" i="1"/>
  <c r="G6663" i="1"/>
  <c r="C6663" i="1"/>
  <c r="G6662" i="1"/>
  <c r="C6662" i="1"/>
  <c r="G6661" i="1"/>
  <c r="C6661" i="1"/>
  <c r="G6660" i="1"/>
  <c r="C6660" i="1"/>
  <c r="G6659" i="1"/>
  <c r="C6659" i="1"/>
  <c r="G6658" i="1"/>
  <c r="C6658" i="1"/>
  <c r="G6657" i="1"/>
  <c r="C6657" i="1"/>
  <c r="G6656" i="1"/>
  <c r="C6656" i="1"/>
  <c r="G6655" i="1"/>
  <c r="C6655" i="1"/>
  <c r="G6654" i="1"/>
  <c r="C6654" i="1"/>
  <c r="G6653" i="1"/>
  <c r="C6653" i="1"/>
  <c r="G6652" i="1"/>
  <c r="C6652" i="1"/>
  <c r="G6651" i="1"/>
  <c r="C6651" i="1"/>
  <c r="G6650" i="1"/>
  <c r="C6650" i="1"/>
  <c r="G6649" i="1"/>
  <c r="C6649" i="1"/>
  <c r="G6648" i="1"/>
  <c r="C6648" i="1"/>
  <c r="G6647" i="1"/>
  <c r="C6647" i="1"/>
  <c r="G6645" i="1"/>
  <c r="C6645" i="1"/>
  <c r="G6644" i="1"/>
  <c r="C6644" i="1"/>
  <c r="G6643" i="1"/>
  <c r="C6643" i="1"/>
  <c r="G6642" i="1"/>
  <c r="C6642" i="1"/>
  <c r="G6641" i="1"/>
  <c r="C6641" i="1"/>
  <c r="G6640" i="1"/>
  <c r="C6640" i="1"/>
  <c r="G6639" i="1"/>
  <c r="C6639" i="1"/>
  <c r="G6638" i="1"/>
  <c r="C6638" i="1"/>
  <c r="G6637" i="1"/>
  <c r="C6637" i="1"/>
  <c r="G6636" i="1"/>
  <c r="C6636" i="1"/>
  <c r="G6635" i="1"/>
  <c r="C6635" i="1"/>
  <c r="G6634" i="1"/>
  <c r="C6634" i="1"/>
  <c r="G6633" i="1"/>
  <c r="C6633" i="1"/>
  <c r="G6632" i="1"/>
  <c r="C6632" i="1"/>
  <c r="G6631" i="1"/>
  <c r="C6631" i="1"/>
  <c r="G6629" i="1"/>
  <c r="C6629" i="1"/>
  <c r="G6628" i="1"/>
  <c r="C6628" i="1"/>
  <c r="G6627" i="1"/>
  <c r="C6627" i="1"/>
  <c r="G6626" i="1"/>
  <c r="C6626" i="1"/>
  <c r="G6625" i="1"/>
  <c r="C6625" i="1"/>
  <c r="G6624" i="1"/>
  <c r="C6624" i="1"/>
  <c r="G6623" i="1"/>
  <c r="C6623" i="1"/>
  <c r="G6622" i="1"/>
  <c r="C6622" i="1"/>
  <c r="G6621" i="1"/>
  <c r="C6621" i="1"/>
  <c r="G6620" i="1"/>
  <c r="C6620" i="1"/>
  <c r="G6619" i="1"/>
  <c r="C6619" i="1"/>
  <c r="G6618" i="1"/>
  <c r="C6618" i="1"/>
  <c r="G6617" i="1"/>
  <c r="C6617" i="1"/>
  <c r="G6616" i="1"/>
  <c r="C6616" i="1"/>
  <c r="G6615" i="1"/>
  <c r="C6615" i="1"/>
  <c r="G6614" i="1"/>
  <c r="C6614" i="1"/>
  <c r="G6613" i="1"/>
  <c r="C6613" i="1"/>
  <c r="G6612" i="1"/>
  <c r="C6612" i="1"/>
  <c r="G6611" i="1"/>
  <c r="C6611" i="1"/>
  <c r="G6610" i="1"/>
  <c r="C6610" i="1"/>
  <c r="G6609" i="1"/>
  <c r="C6609" i="1"/>
  <c r="G6608" i="1"/>
  <c r="C6608" i="1"/>
  <c r="G6607" i="1"/>
  <c r="C6607" i="1"/>
  <c r="G6606" i="1"/>
  <c r="C6606" i="1"/>
  <c r="G6605" i="1"/>
  <c r="C6605" i="1"/>
  <c r="G6604" i="1"/>
  <c r="C6604" i="1"/>
  <c r="G6603" i="1"/>
  <c r="C6603" i="1"/>
  <c r="G6602" i="1"/>
  <c r="C6602" i="1"/>
  <c r="G6601" i="1"/>
  <c r="C6601" i="1"/>
  <c r="G6600" i="1"/>
  <c r="C6600" i="1"/>
  <c r="G6599" i="1"/>
  <c r="C6599" i="1"/>
  <c r="G6598" i="1"/>
  <c r="C6598" i="1"/>
  <c r="G6597" i="1"/>
  <c r="C6597" i="1"/>
  <c r="G6596" i="1"/>
  <c r="C6596" i="1"/>
  <c r="G6595" i="1"/>
  <c r="C6595" i="1"/>
  <c r="G6594" i="1"/>
  <c r="C6594" i="1"/>
  <c r="G6593" i="1"/>
  <c r="C6593" i="1"/>
  <c r="G6592" i="1"/>
  <c r="C6592" i="1"/>
  <c r="G6591" i="1"/>
  <c r="C6591" i="1"/>
  <c r="G6590" i="1"/>
  <c r="C6590" i="1"/>
  <c r="G6589" i="1"/>
  <c r="C6589" i="1"/>
  <c r="G6588" i="1"/>
  <c r="C6588" i="1"/>
  <c r="G6587" i="1"/>
  <c r="C6587" i="1"/>
  <c r="G6586" i="1"/>
  <c r="C6586" i="1"/>
  <c r="G6585" i="1"/>
  <c r="C6585" i="1"/>
  <c r="G6584" i="1"/>
  <c r="C6584" i="1"/>
  <c r="G6583" i="1"/>
  <c r="C6583" i="1"/>
  <c r="G6582" i="1"/>
  <c r="C6582" i="1"/>
  <c r="G6581" i="1"/>
  <c r="C6581" i="1"/>
  <c r="G6580" i="1"/>
  <c r="C6580" i="1"/>
  <c r="G6579" i="1"/>
  <c r="C6579" i="1"/>
  <c r="G6578" i="1"/>
  <c r="C6578" i="1"/>
  <c r="G6577" i="1"/>
  <c r="C6577" i="1"/>
  <c r="G6576" i="1"/>
  <c r="C6576" i="1"/>
  <c r="G6575" i="1"/>
  <c r="C6575" i="1"/>
  <c r="G6574" i="1"/>
  <c r="C6574" i="1"/>
  <c r="G6573" i="1"/>
  <c r="C6573" i="1"/>
  <c r="G6572" i="1"/>
  <c r="C6572" i="1"/>
  <c r="G6571" i="1"/>
  <c r="C6571" i="1"/>
  <c r="G6570" i="1"/>
  <c r="C6570" i="1"/>
  <c r="G6569" i="1"/>
  <c r="C6569" i="1"/>
  <c r="G6568" i="1"/>
  <c r="C6568" i="1"/>
  <c r="G6567" i="1"/>
  <c r="C6567" i="1"/>
  <c r="G6566" i="1"/>
  <c r="C6566" i="1"/>
  <c r="G6565" i="1"/>
  <c r="C6565" i="1"/>
  <c r="G6564" i="1"/>
  <c r="C6564" i="1"/>
  <c r="G6563" i="1"/>
  <c r="C6563" i="1"/>
  <c r="G6561" i="1"/>
  <c r="C6561" i="1"/>
  <c r="G6560" i="1"/>
  <c r="C6560" i="1"/>
  <c r="G6559" i="1"/>
  <c r="C6559" i="1"/>
  <c r="G6558" i="1"/>
  <c r="C6558" i="1"/>
  <c r="G6557" i="1"/>
  <c r="C6557" i="1"/>
  <c r="G6556" i="1"/>
  <c r="C6556" i="1"/>
  <c r="G6555" i="1"/>
  <c r="C6555" i="1"/>
  <c r="G6554" i="1"/>
  <c r="C6554" i="1"/>
  <c r="G6553" i="1"/>
  <c r="C6553" i="1"/>
  <c r="G6552" i="1"/>
  <c r="C6552" i="1"/>
  <c r="G6551" i="1"/>
  <c r="C6551" i="1"/>
  <c r="G6550" i="1"/>
  <c r="C6550" i="1"/>
  <c r="G6549" i="1"/>
  <c r="C6549" i="1"/>
  <c r="G6548" i="1"/>
  <c r="C6548" i="1"/>
  <c r="G6547" i="1"/>
  <c r="C6547" i="1"/>
  <c r="G6546" i="1"/>
  <c r="C6546" i="1"/>
  <c r="G6545" i="1"/>
  <c r="C6545" i="1"/>
  <c r="G6544" i="1"/>
  <c r="C6544" i="1"/>
  <c r="G6543" i="1"/>
  <c r="C6543" i="1"/>
  <c r="G6542" i="1"/>
  <c r="C6542" i="1"/>
  <c r="G6541" i="1"/>
  <c r="C6541" i="1"/>
  <c r="G6540" i="1"/>
  <c r="C6540" i="1"/>
  <c r="G6539" i="1"/>
  <c r="C6539" i="1"/>
  <c r="G6538" i="1"/>
  <c r="C6538" i="1"/>
  <c r="G6537" i="1"/>
  <c r="C6537" i="1"/>
  <c r="G6536" i="1"/>
  <c r="C6536" i="1"/>
  <c r="G6535" i="1"/>
  <c r="C6535" i="1"/>
  <c r="G6534" i="1"/>
  <c r="C6534" i="1"/>
  <c r="G6533" i="1"/>
  <c r="C6533" i="1"/>
  <c r="G6532" i="1"/>
  <c r="C6532" i="1"/>
  <c r="G6531" i="1"/>
  <c r="C6531" i="1"/>
  <c r="G6530" i="1"/>
  <c r="C6530" i="1"/>
  <c r="G6529" i="1"/>
  <c r="C6529" i="1"/>
  <c r="G6528" i="1"/>
  <c r="C6528" i="1"/>
  <c r="G6527" i="1"/>
  <c r="C6527" i="1"/>
  <c r="G6526" i="1"/>
  <c r="C6526" i="1"/>
  <c r="G6525" i="1"/>
  <c r="C6525" i="1"/>
  <c r="G6524" i="1"/>
  <c r="C6524" i="1"/>
  <c r="G6523" i="1"/>
  <c r="C6523" i="1"/>
  <c r="G6522" i="1"/>
  <c r="C6522" i="1"/>
  <c r="G6521" i="1"/>
  <c r="C6521" i="1"/>
  <c r="G6519" i="1"/>
  <c r="C6519" i="1"/>
  <c r="G6518" i="1"/>
  <c r="C6518" i="1"/>
  <c r="G6517" i="1"/>
  <c r="C6517" i="1"/>
  <c r="G6516" i="1"/>
  <c r="C6516" i="1"/>
  <c r="G6515" i="1"/>
  <c r="C6515" i="1"/>
  <c r="G6514" i="1"/>
  <c r="C6514" i="1"/>
  <c r="G6513" i="1"/>
  <c r="C6513" i="1"/>
  <c r="G6512" i="1"/>
  <c r="C6512" i="1"/>
  <c r="G6511" i="1"/>
  <c r="C6511" i="1"/>
  <c r="G6510" i="1"/>
  <c r="C6510" i="1"/>
  <c r="G6509" i="1"/>
  <c r="C6509" i="1"/>
  <c r="G6508" i="1"/>
  <c r="C6508" i="1"/>
  <c r="G6507" i="1"/>
  <c r="C6507" i="1"/>
  <c r="G6506" i="1"/>
  <c r="C6506" i="1"/>
  <c r="G6505" i="1"/>
  <c r="C6505" i="1"/>
  <c r="G6503" i="1"/>
  <c r="C6503" i="1"/>
  <c r="G6502" i="1"/>
  <c r="C6502" i="1"/>
  <c r="G6501" i="1"/>
  <c r="C6501" i="1"/>
  <c r="G6500" i="1"/>
  <c r="C6500" i="1"/>
  <c r="G6499" i="1"/>
  <c r="C6499" i="1"/>
  <c r="G6498" i="1"/>
  <c r="C6498" i="1"/>
  <c r="G6497" i="1"/>
  <c r="C6497" i="1"/>
  <c r="G6496" i="1"/>
  <c r="C6496" i="1"/>
  <c r="G6495" i="1"/>
  <c r="C6495" i="1"/>
  <c r="G6494" i="1"/>
  <c r="C6494" i="1"/>
  <c r="G6493" i="1"/>
  <c r="C6493" i="1"/>
  <c r="G6492" i="1"/>
  <c r="C6492" i="1"/>
  <c r="G6491" i="1"/>
  <c r="C6491" i="1"/>
  <c r="G6490" i="1"/>
  <c r="C6490" i="1"/>
  <c r="G6489" i="1"/>
  <c r="C6489" i="1"/>
  <c r="G6488" i="1"/>
  <c r="C6488" i="1"/>
  <c r="G6487" i="1"/>
  <c r="C6487" i="1"/>
  <c r="G6486" i="1"/>
  <c r="C6486" i="1"/>
  <c r="G6485" i="1"/>
  <c r="C6485" i="1"/>
  <c r="G6484" i="1"/>
  <c r="C6484" i="1"/>
  <c r="G6483" i="1"/>
  <c r="C6483" i="1"/>
  <c r="G6482" i="1"/>
  <c r="C6482" i="1"/>
  <c r="G6481" i="1"/>
  <c r="C6481" i="1"/>
  <c r="G6480" i="1"/>
  <c r="C6480" i="1"/>
  <c r="G6479" i="1"/>
  <c r="C6479" i="1"/>
  <c r="G6478" i="1"/>
  <c r="C6478" i="1"/>
  <c r="G6477" i="1"/>
  <c r="C6477" i="1"/>
  <c r="G6476" i="1"/>
  <c r="C6476" i="1"/>
  <c r="G6475" i="1"/>
  <c r="C6475" i="1"/>
  <c r="G6474" i="1"/>
  <c r="C6474" i="1"/>
  <c r="G6473" i="1"/>
  <c r="C6473" i="1"/>
  <c r="G6472" i="1"/>
  <c r="C6472" i="1"/>
  <c r="G6471" i="1"/>
  <c r="C6471" i="1"/>
  <c r="G6470" i="1"/>
  <c r="C6470" i="1"/>
  <c r="G6469" i="1"/>
  <c r="C6469" i="1"/>
  <c r="G6468" i="1"/>
  <c r="C6468" i="1"/>
  <c r="G6467" i="1"/>
  <c r="C6467" i="1"/>
  <c r="G6466" i="1"/>
  <c r="C6466" i="1"/>
  <c r="G6465" i="1"/>
  <c r="C6465" i="1"/>
  <c r="G6464" i="1"/>
  <c r="C6464" i="1"/>
  <c r="G6463" i="1"/>
  <c r="C6463" i="1"/>
  <c r="G6462" i="1"/>
  <c r="C6462" i="1"/>
  <c r="G6461" i="1"/>
  <c r="C6461" i="1"/>
  <c r="G6460" i="1"/>
  <c r="C6460" i="1"/>
  <c r="G6459" i="1"/>
  <c r="C6459" i="1"/>
  <c r="G6458" i="1"/>
  <c r="C6458" i="1"/>
  <c r="G6457" i="1"/>
  <c r="C6457" i="1"/>
  <c r="G6456" i="1"/>
  <c r="C6456" i="1"/>
  <c r="G6455" i="1"/>
  <c r="C6455" i="1"/>
  <c r="G6454" i="1"/>
  <c r="C6454" i="1"/>
  <c r="G6453" i="1"/>
  <c r="C6453" i="1"/>
  <c r="G6452" i="1"/>
  <c r="C6452" i="1"/>
  <c r="G6451" i="1"/>
  <c r="C6451" i="1"/>
  <c r="G6450" i="1"/>
  <c r="C6450" i="1"/>
  <c r="G6449" i="1"/>
  <c r="C6449" i="1"/>
  <c r="G6448" i="1"/>
  <c r="C6448" i="1"/>
  <c r="G6447" i="1"/>
  <c r="C6447" i="1"/>
  <c r="G6446" i="1"/>
  <c r="C6446" i="1"/>
  <c r="G6445" i="1"/>
  <c r="C6445" i="1"/>
  <c r="G6444" i="1"/>
  <c r="C6444" i="1"/>
  <c r="G6443" i="1"/>
  <c r="C6443" i="1"/>
  <c r="G6442" i="1"/>
  <c r="C6442" i="1"/>
  <c r="G6441" i="1"/>
  <c r="C6441" i="1"/>
  <c r="G6440" i="1"/>
  <c r="C6440" i="1"/>
  <c r="G6439" i="1"/>
  <c r="C6439" i="1"/>
  <c r="G6438" i="1"/>
  <c r="C6438" i="1"/>
  <c r="G6437" i="1"/>
  <c r="C6437" i="1"/>
  <c r="G6436" i="1"/>
  <c r="C6436" i="1"/>
  <c r="G6435" i="1"/>
  <c r="C6435" i="1"/>
  <c r="G6434" i="1"/>
  <c r="C6434" i="1"/>
  <c r="G6433" i="1"/>
  <c r="C6433" i="1"/>
  <c r="G6432" i="1"/>
  <c r="C6432" i="1"/>
  <c r="G6431" i="1"/>
  <c r="C6431" i="1"/>
  <c r="G6430" i="1"/>
  <c r="C6430" i="1"/>
  <c r="G6429" i="1"/>
  <c r="C6429" i="1"/>
  <c r="G6428" i="1"/>
  <c r="C6428" i="1"/>
  <c r="G6427" i="1"/>
  <c r="C6427" i="1"/>
  <c r="G6426" i="1"/>
  <c r="C6426" i="1"/>
  <c r="G6425" i="1"/>
  <c r="C6425" i="1"/>
  <c r="G6424" i="1"/>
  <c r="C6424" i="1"/>
  <c r="G6423" i="1"/>
  <c r="C6423" i="1"/>
  <c r="G6422" i="1"/>
  <c r="C6422" i="1"/>
  <c r="G6421" i="1"/>
  <c r="C6421" i="1"/>
  <c r="G6420" i="1"/>
  <c r="C6420" i="1"/>
  <c r="G6419" i="1"/>
  <c r="C6419" i="1"/>
  <c r="G6418" i="1"/>
  <c r="C6418" i="1"/>
  <c r="G6417" i="1"/>
  <c r="C6417" i="1"/>
  <c r="G6416" i="1"/>
  <c r="C6416" i="1"/>
  <c r="G6415" i="1"/>
  <c r="C6415" i="1"/>
  <c r="G6414" i="1"/>
  <c r="C6414" i="1"/>
  <c r="G6413" i="1"/>
  <c r="C6413" i="1"/>
  <c r="G6412" i="1"/>
  <c r="C6412" i="1"/>
  <c r="G6411" i="1"/>
  <c r="C6411" i="1"/>
  <c r="G6410" i="1"/>
  <c r="C6410" i="1"/>
  <c r="G6409" i="1"/>
  <c r="C6409" i="1"/>
  <c r="G6408" i="1"/>
  <c r="C6408" i="1"/>
  <c r="G6407" i="1"/>
  <c r="C6407" i="1"/>
  <c r="G6406" i="1"/>
  <c r="C6406" i="1"/>
  <c r="G6405" i="1"/>
  <c r="C6405" i="1"/>
  <c r="G6404" i="1"/>
  <c r="C6404" i="1"/>
  <c r="G6403" i="1"/>
  <c r="C6403" i="1"/>
  <c r="G6402" i="1"/>
  <c r="C6402" i="1"/>
  <c r="G6401" i="1"/>
  <c r="C6401" i="1"/>
  <c r="G6400" i="1"/>
  <c r="C6400" i="1"/>
  <c r="G6399" i="1"/>
  <c r="C6399" i="1"/>
  <c r="G6398" i="1"/>
  <c r="C6398" i="1"/>
  <c r="G6397" i="1"/>
  <c r="C6397" i="1"/>
  <c r="G6396" i="1"/>
  <c r="C6396" i="1"/>
  <c r="G6395" i="1"/>
  <c r="C6395" i="1"/>
  <c r="G6394" i="1"/>
  <c r="C6394" i="1"/>
  <c r="G6393" i="1"/>
  <c r="C6393" i="1"/>
  <c r="G6392" i="1"/>
  <c r="C6392" i="1"/>
  <c r="G6391" i="1"/>
  <c r="C6391" i="1"/>
  <c r="G6390" i="1"/>
  <c r="C6390" i="1"/>
  <c r="G6389" i="1"/>
  <c r="C6389" i="1"/>
  <c r="G6388" i="1"/>
  <c r="C6388" i="1"/>
  <c r="G6387" i="1"/>
  <c r="C6387" i="1"/>
  <c r="G6385" i="1"/>
  <c r="C6385" i="1"/>
  <c r="G6384" i="1"/>
  <c r="C6384" i="1"/>
  <c r="G6383" i="1"/>
  <c r="C6383" i="1"/>
  <c r="G6382" i="1"/>
  <c r="C6382" i="1"/>
  <c r="G6381" i="1"/>
  <c r="C6381" i="1"/>
  <c r="G6380" i="1"/>
  <c r="C6380" i="1"/>
  <c r="G6379" i="1"/>
  <c r="C6379" i="1"/>
  <c r="G6377" i="1"/>
  <c r="C6377" i="1"/>
  <c r="G6376" i="1"/>
  <c r="C6376" i="1"/>
  <c r="G6375" i="1"/>
  <c r="C6375" i="1"/>
  <c r="G6374" i="1"/>
  <c r="C6374" i="1"/>
  <c r="G6373" i="1"/>
  <c r="C6373" i="1"/>
  <c r="G6372" i="1"/>
  <c r="C6372" i="1"/>
  <c r="G6371" i="1"/>
  <c r="C6371" i="1"/>
  <c r="G6370" i="1"/>
  <c r="C6370" i="1"/>
  <c r="G6369" i="1"/>
  <c r="C6369" i="1"/>
  <c r="G6368" i="1"/>
  <c r="C6368" i="1"/>
  <c r="G6367" i="1"/>
  <c r="C6367" i="1"/>
  <c r="G6366" i="1"/>
  <c r="C6366" i="1"/>
  <c r="G6365" i="1"/>
  <c r="C6365" i="1"/>
  <c r="G6364" i="1"/>
  <c r="C6364" i="1"/>
  <c r="G6363" i="1"/>
  <c r="C6363" i="1"/>
  <c r="G6362" i="1"/>
  <c r="C6362" i="1"/>
  <c r="G6361" i="1"/>
  <c r="C6361" i="1"/>
  <c r="G6360" i="1"/>
  <c r="C6360" i="1"/>
  <c r="G6359" i="1"/>
  <c r="C6359" i="1"/>
  <c r="G6358" i="1"/>
  <c r="C6358" i="1"/>
  <c r="G6357" i="1"/>
  <c r="C6357" i="1"/>
  <c r="G6356" i="1"/>
  <c r="C6356" i="1"/>
  <c r="G6355" i="1"/>
  <c r="C6355" i="1"/>
  <c r="G6354" i="1"/>
  <c r="C6354" i="1"/>
  <c r="G6353" i="1"/>
  <c r="C6353" i="1"/>
  <c r="G6352" i="1"/>
  <c r="C6352" i="1"/>
  <c r="G6351" i="1"/>
  <c r="C6351" i="1"/>
  <c r="G6350" i="1"/>
  <c r="C6350" i="1"/>
  <c r="G6349" i="1"/>
  <c r="C6349" i="1"/>
  <c r="G6348" i="1"/>
  <c r="C6348" i="1"/>
  <c r="G6347" i="1"/>
  <c r="C6347" i="1"/>
  <c r="G6346" i="1"/>
  <c r="C6346" i="1"/>
  <c r="G6345" i="1"/>
  <c r="C6345" i="1"/>
  <c r="G6343" i="1"/>
  <c r="C6343" i="1"/>
  <c r="G6342" i="1"/>
  <c r="C6342" i="1"/>
  <c r="G6341" i="1"/>
  <c r="C6341" i="1"/>
  <c r="G6340" i="1"/>
  <c r="C6340" i="1"/>
  <c r="G6339" i="1"/>
  <c r="C6339" i="1"/>
  <c r="G6338" i="1"/>
  <c r="C6338" i="1"/>
  <c r="G6337" i="1"/>
  <c r="C6337" i="1"/>
  <c r="G6336" i="1"/>
  <c r="C6336" i="1"/>
  <c r="G6335" i="1"/>
  <c r="C6335" i="1"/>
  <c r="G6334" i="1"/>
  <c r="C6334" i="1"/>
  <c r="G6333" i="1"/>
  <c r="C6333" i="1"/>
  <c r="G6332" i="1"/>
  <c r="C6332" i="1"/>
  <c r="G6331" i="1"/>
  <c r="C6331" i="1"/>
  <c r="G6330" i="1"/>
  <c r="C6330" i="1"/>
  <c r="G6329" i="1"/>
  <c r="C6329" i="1"/>
  <c r="G6328" i="1"/>
  <c r="C6328" i="1"/>
  <c r="G6327" i="1"/>
  <c r="C6327" i="1"/>
  <c r="G6326" i="1"/>
  <c r="C6326" i="1"/>
  <c r="G6325" i="1"/>
  <c r="C6325" i="1"/>
  <c r="G6324" i="1"/>
  <c r="C6324" i="1"/>
  <c r="G6323" i="1"/>
  <c r="C6323" i="1"/>
  <c r="G6322" i="1"/>
  <c r="C6322" i="1"/>
  <c r="G6321" i="1"/>
  <c r="C6321" i="1"/>
  <c r="G6320" i="1"/>
  <c r="C6320" i="1"/>
  <c r="G6319" i="1"/>
  <c r="C6319" i="1"/>
  <c r="G6318" i="1"/>
  <c r="C6318" i="1"/>
  <c r="G6317" i="1"/>
  <c r="C6317" i="1"/>
  <c r="G6316" i="1"/>
  <c r="C6316" i="1"/>
  <c r="G6315" i="1"/>
  <c r="C6315" i="1"/>
  <c r="G6314" i="1"/>
  <c r="C6314" i="1"/>
  <c r="G6313" i="1"/>
  <c r="C6313" i="1"/>
  <c r="G6312" i="1"/>
  <c r="C6312" i="1"/>
  <c r="G6311" i="1"/>
  <c r="C6311" i="1"/>
  <c r="G6310" i="1"/>
  <c r="C6310" i="1"/>
  <c r="G6309" i="1"/>
  <c r="C6309" i="1"/>
  <c r="G6308" i="1"/>
  <c r="C6308" i="1"/>
  <c r="G6307" i="1"/>
  <c r="C6307" i="1"/>
  <c r="G6306" i="1"/>
  <c r="C6306" i="1"/>
  <c r="G6305" i="1"/>
  <c r="C6305" i="1"/>
  <c r="G6304" i="1"/>
  <c r="C6304" i="1"/>
  <c r="G6303" i="1"/>
  <c r="C6303" i="1"/>
  <c r="G6302" i="1"/>
  <c r="C6302" i="1"/>
  <c r="G6301" i="1"/>
  <c r="C6301" i="1"/>
  <c r="G6300" i="1"/>
  <c r="C6300" i="1"/>
  <c r="G6299" i="1"/>
  <c r="C6299" i="1"/>
  <c r="G6298" i="1"/>
  <c r="C6298" i="1"/>
  <c r="G6297" i="1"/>
  <c r="C6297" i="1"/>
  <c r="G6296" i="1"/>
  <c r="C6296" i="1"/>
  <c r="G6295" i="1"/>
  <c r="C6295" i="1"/>
  <c r="G6294" i="1"/>
  <c r="C6294" i="1"/>
  <c r="G6293" i="1"/>
  <c r="C6293" i="1"/>
  <c r="G6292" i="1"/>
  <c r="C6292" i="1"/>
  <c r="G6291" i="1"/>
  <c r="C6291" i="1"/>
  <c r="G6290" i="1"/>
  <c r="C6290" i="1"/>
  <c r="G6288" i="1"/>
  <c r="C6288" i="1"/>
  <c r="G6287" i="1"/>
  <c r="C6287" i="1"/>
  <c r="G6286" i="1"/>
  <c r="C6286" i="1"/>
  <c r="G6285" i="1"/>
  <c r="C6285" i="1"/>
  <c r="G6284" i="1"/>
  <c r="C6284" i="1"/>
  <c r="G6283" i="1"/>
  <c r="C6283" i="1"/>
  <c r="G6282" i="1"/>
  <c r="C6282" i="1"/>
  <c r="G6281" i="1"/>
  <c r="C6281" i="1"/>
  <c r="G6280" i="1"/>
  <c r="C6280" i="1"/>
  <c r="G6279" i="1"/>
  <c r="C6279" i="1"/>
  <c r="G6278" i="1"/>
  <c r="C6278" i="1"/>
  <c r="G6277" i="1"/>
  <c r="C6277" i="1"/>
  <c r="G6276" i="1"/>
  <c r="C6276" i="1"/>
  <c r="G6275" i="1"/>
  <c r="C6275" i="1"/>
  <c r="G6274" i="1"/>
  <c r="C6274" i="1"/>
  <c r="G6273" i="1"/>
  <c r="C6273" i="1"/>
  <c r="G6272" i="1"/>
  <c r="C6272" i="1"/>
  <c r="G6271" i="1"/>
  <c r="C6271" i="1"/>
  <c r="G6270" i="1"/>
  <c r="C6270" i="1"/>
  <c r="G6269" i="1"/>
  <c r="C6269" i="1"/>
  <c r="G6268" i="1"/>
  <c r="C6268" i="1"/>
  <c r="G6267" i="1"/>
  <c r="C6267" i="1"/>
  <c r="G6266" i="1"/>
  <c r="C6266" i="1"/>
  <c r="G6265" i="1"/>
  <c r="C6265" i="1"/>
  <c r="G6264" i="1"/>
  <c r="C6264" i="1"/>
  <c r="G6263" i="1"/>
  <c r="C6263" i="1"/>
  <c r="G6262" i="1"/>
  <c r="C6262" i="1"/>
  <c r="G6261" i="1"/>
  <c r="C6261" i="1"/>
  <c r="G6260" i="1"/>
  <c r="C6260" i="1"/>
  <c r="G6259" i="1"/>
  <c r="C6259" i="1"/>
  <c r="G6258" i="1"/>
  <c r="C6258" i="1"/>
  <c r="G6257" i="1"/>
  <c r="C6257" i="1"/>
  <c r="G6255" i="1"/>
  <c r="C6255" i="1"/>
  <c r="G6254" i="1"/>
  <c r="C6254" i="1"/>
  <c r="G6253" i="1"/>
  <c r="C6253" i="1"/>
  <c r="G6252" i="1"/>
  <c r="C6252" i="1"/>
  <c r="G6251" i="1"/>
  <c r="C6251" i="1"/>
  <c r="G6250" i="1"/>
  <c r="C6250" i="1"/>
  <c r="G6249" i="1"/>
  <c r="C6249" i="1"/>
  <c r="G6248" i="1"/>
  <c r="C6248" i="1"/>
  <c r="G6247" i="1"/>
  <c r="C6247" i="1"/>
  <c r="G6246" i="1"/>
  <c r="C6246" i="1"/>
  <c r="G6245" i="1"/>
  <c r="C6245" i="1"/>
  <c r="G6244" i="1"/>
  <c r="C6244" i="1"/>
  <c r="G6243" i="1"/>
  <c r="C6243" i="1"/>
  <c r="G6242" i="1"/>
  <c r="C6242" i="1"/>
  <c r="G6241" i="1"/>
  <c r="C6241" i="1"/>
  <c r="G6240" i="1"/>
  <c r="C6240" i="1"/>
  <c r="G6239" i="1"/>
  <c r="C6239" i="1"/>
  <c r="G6238" i="1"/>
  <c r="C6238" i="1"/>
  <c r="G6237" i="1"/>
  <c r="C6237" i="1"/>
  <c r="G6236" i="1"/>
  <c r="C6236" i="1"/>
  <c r="G6235" i="1"/>
  <c r="C6235" i="1"/>
  <c r="G6234" i="1"/>
  <c r="C6234" i="1"/>
  <c r="G6233" i="1"/>
  <c r="C6233" i="1"/>
  <c r="G6232" i="1"/>
  <c r="C6232" i="1"/>
  <c r="G6231" i="1"/>
  <c r="C6231" i="1"/>
  <c r="G6230" i="1"/>
  <c r="C6230" i="1"/>
  <c r="G6229" i="1"/>
  <c r="C6229" i="1"/>
  <c r="G6228" i="1"/>
  <c r="C6228" i="1"/>
  <c r="G6227" i="1"/>
  <c r="C6227" i="1"/>
  <c r="G6226" i="1"/>
  <c r="C6226" i="1"/>
  <c r="G6225" i="1"/>
  <c r="C6225" i="1"/>
  <c r="G6224" i="1"/>
  <c r="C6224" i="1"/>
  <c r="G6223" i="1"/>
  <c r="C6223" i="1"/>
  <c r="G6222" i="1"/>
  <c r="C6222" i="1"/>
  <c r="G6221" i="1"/>
  <c r="C6221" i="1"/>
  <c r="G6220" i="1"/>
  <c r="C6220" i="1"/>
  <c r="G6219" i="1"/>
  <c r="C6219" i="1"/>
  <c r="G6218" i="1"/>
  <c r="C6218" i="1"/>
  <c r="G6217" i="1"/>
  <c r="C6217" i="1"/>
  <c r="G6216" i="1"/>
  <c r="C6216" i="1"/>
  <c r="G6215" i="1"/>
  <c r="C6215" i="1"/>
  <c r="G6214" i="1"/>
  <c r="C6214" i="1"/>
  <c r="G6213" i="1"/>
  <c r="C6213" i="1"/>
  <c r="G6212" i="1"/>
  <c r="C6212" i="1"/>
  <c r="G6211" i="1"/>
  <c r="C6211" i="1"/>
  <c r="G6210" i="1"/>
  <c r="C6210" i="1"/>
  <c r="G6209" i="1"/>
  <c r="C6209" i="1"/>
  <c r="G6208" i="1"/>
  <c r="C6208" i="1"/>
  <c r="G6207" i="1"/>
  <c r="C6207" i="1"/>
  <c r="G6206" i="1"/>
  <c r="C6206" i="1"/>
  <c r="G6203" i="1"/>
  <c r="C6203" i="1"/>
  <c r="G6202" i="1"/>
  <c r="C6202" i="1"/>
  <c r="G6201" i="1"/>
  <c r="C6201" i="1"/>
  <c r="G6200" i="1"/>
  <c r="C6200" i="1"/>
  <c r="G6199" i="1"/>
  <c r="C6199" i="1"/>
  <c r="G6198" i="1"/>
  <c r="C6198" i="1"/>
  <c r="G6197" i="1"/>
  <c r="C6197" i="1"/>
  <c r="G6196" i="1"/>
  <c r="C6196" i="1"/>
  <c r="G6195" i="1"/>
  <c r="C6195" i="1"/>
  <c r="G6194" i="1"/>
  <c r="C6194" i="1"/>
  <c r="G6193" i="1"/>
  <c r="C6193" i="1"/>
  <c r="G6192" i="1"/>
  <c r="C6192" i="1"/>
  <c r="G6191" i="1"/>
  <c r="C6191" i="1"/>
  <c r="G6190" i="1"/>
  <c r="C6190" i="1"/>
  <c r="G6189" i="1"/>
  <c r="C6189" i="1"/>
  <c r="G6188" i="1"/>
  <c r="C6188" i="1"/>
  <c r="G6187" i="1"/>
  <c r="C6187" i="1"/>
  <c r="G6186" i="1"/>
  <c r="C6186" i="1"/>
  <c r="G6185" i="1"/>
  <c r="C6185" i="1"/>
  <c r="G6184" i="1"/>
  <c r="C6184" i="1"/>
  <c r="G6183" i="1"/>
  <c r="C6183" i="1"/>
  <c r="G6182" i="1"/>
  <c r="C6182" i="1"/>
  <c r="G6181" i="1"/>
  <c r="C6181" i="1"/>
  <c r="G6180" i="1"/>
  <c r="C6180" i="1"/>
  <c r="G6179" i="1"/>
  <c r="C6179" i="1"/>
  <c r="G6178" i="1"/>
  <c r="C6178" i="1"/>
  <c r="G6177" i="1"/>
  <c r="C6177" i="1"/>
  <c r="G6176" i="1"/>
  <c r="C6176" i="1"/>
  <c r="G6175" i="1"/>
  <c r="C6175" i="1"/>
  <c r="G6174" i="1"/>
  <c r="C6174" i="1"/>
  <c r="G6173" i="1"/>
  <c r="C6173" i="1"/>
  <c r="G6172" i="1"/>
  <c r="C6172" i="1"/>
  <c r="G6171" i="1"/>
  <c r="C6171" i="1"/>
  <c r="G6170" i="1"/>
  <c r="C6170" i="1"/>
  <c r="G6169" i="1"/>
  <c r="C6169" i="1"/>
  <c r="G6168" i="1"/>
  <c r="C6168" i="1"/>
  <c r="G6167" i="1"/>
  <c r="C6167" i="1"/>
  <c r="G6166" i="1"/>
  <c r="C6166" i="1"/>
  <c r="G6165" i="1"/>
  <c r="C6165" i="1"/>
  <c r="G6164" i="1"/>
  <c r="C6164" i="1"/>
  <c r="G6163" i="1"/>
  <c r="C6163" i="1"/>
  <c r="G6162" i="1"/>
  <c r="C6162" i="1"/>
  <c r="G6161" i="1"/>
  <c r="C6161" i="1"/>
  <c r="G6160" i="1"/>
  <c r="C6160" i="1"/>
  <c r="G6159" i="1"/>
  <c r="C6159" i="1"/>
  <c r="G6158" i="1"/>
  <c r="C6158" i="1"/>
  <c r="G6157" i="1"/>
  <c r="C6157" i="1"/>
  <c r="G6156" i="1"/>
  <c r="C6156" i="1"/>
  <c r="G6155" i="1"/>
  <c r="C6155" i="1"/>
  <c r="G6154" i="1"/>
  <c r="C6154" i="1"/>
  <c r="G6153" i="1"/>
  <c r="C6153" i="1"/>
  <c r="G6152" i="1"/>
  <c r="C6152" i="1"/>
  <c r="G6150" i="1"/>
  <c r="C6150" i="1"/>
  <c r="G6149" i="1"/>
  <c r="C6149" i="1"/>
  <c r="G6148" i="1"/>
  <c r="C6148" i="1"/>
  <c r="G6147" i="1"/>
  <c r="C6147" i="1"/>
  <c r="G6146" i="1"/>
  <c r="C6146" i="1"/>
  <c r="G6145" i="1"/>
  <c r="C6145" i="1"/>
  <c r="G6144" i="1"/>
  <c r="C6144" i="1"/>
  <c r="G6143" i="1"/>
  <c r="C6143" i="1"/>
  <c r="G6142" i="1"/>
  <c r="C6142" i="1"/>
  <c r="G6141" i="1"/>
  <c r="C6141" i="1"/>
  <c r="G6140" i="1"/>
  <c r="C6140" i="1"/>
  <c r="G6139" i="1"/>
  <c r="C6139" i="1"/>
  <c r="G6138" i="1"/>
  <c r="C6138" i="1"/>
  <c r="G6137" i="1"/>
  <c r="C6137" i="1"/>
  <c r="G6136" i="1"/>
  <c r="C6136" i="1"/>
  <c r="G6135" i="1"/>
  <c r="C6135" i="1"/>
  <c r="G6134" i="1"/>
  <c r="C6134" i="1"/>
  <c r="G6133" i="1"/>
  <c r="C6133" i="1"/>
  <c r="G6132" i="1"/>
  <c r="C6132" i="1"/>
  <c r="G6131" i="1"/>
  <c r="C6131" i="1"/>
  <c r="G6130" i="1"/>
  <c r="C6130" i="1"/>
  <c r="G6129" i="1"/>
  <c r="C6129" i="1"/>
  <c r="G6128" i="1"/>
  <c r="C6128" i="1"/>
  <c r="G6126" i="1"/>
  <c r="C6126" i="1"/>
  <c r="G6125" i="1"/>
  <c r="C6125" i="1"/>
  <c r="G6124" i="1"/>
  <c r="C6124" i="1"/>
  <c r="G6123" i="1"/>
  <c r="C6123" i="1"/>
  <c r="G6122" i="1"/>
  <c r="C6122" i="1"/>
  <c r="G6121" i="1"/>
  <c r="C6121" i="1"/>
  <c r="G6120" i="1"/>
  <c r="C6120" i="1"/>
  <c r="G6119" i="1"/>
  <c r="C6119" i="1"/>
  <c r="G6118" i="1"/>
  <c r="C6118" i="1"/>
  <c r="G6117" i="1"/>
  <c r="C6117" i="1"/>
  <c r="G6116" i="1"/>
  <c r="C6116" i="1"/>
  <c r="G6115" i="1"/>
  <c r="C6115" i="1"/>
  <c r="G6114" i="1"/>
  <c r="C6114" i="1"/>
  <c r="G6113" i="1"/>
  <c r="C6113" i="1"/>
  <c r="G6112" i="1"/>
  <c r="C6112" i="1"/>
  <c r="G6111" i="1"/>
  <c r="C6111" i="1"/>
  <c r="G6110" i="1"/>
  <c r="C6110" i="1"/>
  <c r="G6108" i="1"/>
  <c r="C6108" i="1"/>
  <c r="G6107" i="1"/>
  <c r="C6107" i="1"/>
  <c r="G6106" i="1"/>
  <c r="C6106" i="1"/>
  <c r="G6105" i="1"/>
  <c r="C6105" i="1"/>
  <c r="G6104" i="1"/>
  <c r="C6104" i="1"/>
  <c r="G6103" i="1"/>
  <c r="C6103" i="1"/>
  <c r="G6102" i="1"/>
  <c r="C6102" i="1"/>
  <c r="G6101" i="1"/>
  <c r="C6101" i="1"/>
  <c r="G6100" i="1"/>
  <c r="C6100" i="1"/>
  <c r="G6099" i="1"/>
  <c r="C6099" i="1"/>
  <c r="G6098" i="1"/>
  <c r="C6098" i="1"/>
  <c r="G6097" i="1"/>
  <c r="C6097" i="1"/>
  <c r="G6096" i="1"/>
  <c r="C6096" i="1"/>
  <c r="G6095" i="1"/>
  <c r="C6095" i="1"/>
  <c r="G6094" i="1"/>
  <c r="C6094" i="1"/>
  <c r="G6093" i="1"/>
  <c r="C6093" i="1"/>
  <c r="G6092" i="1"/>
  <c r="C6092" i="1"/>
  <c r="G6091" i="1"/>
  <c r="C6091" i="1"/>
  <c r="G6090" i="1"/>
  <c r="C6090" i="1"/>
  <c r="G6089" i="1"/>
  <c r="C6089" i="1"/>
  <c r="G6088" i="1"/>
  <c r="C6088" i="1"/>
  <c r="G6087" i="1"/>
  <c r="C6087" i="1"/>
  <c r="G6086" i="1"/>
  <c r="C6086" i="1"/>
  <c r="G6085" i="1"/>
  <c r="C6085" i="1"/>
  <c r="G6084" i="1"/>
  <c r="C6084" i="1"/>
  <c r="G6083" i="1"/>
  <c r="C6083" i="1"/>
  <c r="G6082" i="1"/>
  <c r="C6082" i="1"/>
  <c r="G6081" i="1"/>
  <c r="C6081" i="1"/>
  <c r="G6080" i="1"/>
  <c r="C6080" i="1"/>
  <c r="G6079" i="1"/>
  <c r="C6079" i="1"/>
  <c r="G6078" i="1"/>
  <c r="C6078" i="1"/>
  <c r="G6077" i="1"/>
  <c r="C6077" i="1"/>
  <c r="G6076" i="1"/>
  <c r="C6076" i="1"/>
  <c r="G6075" i="1"/>
  <c r="C6075" i="1"/>
  <c r="G6074" i="1"/>
  <c r="C6074" i="1"/>
  <c r="G6073" i="1"/>
  <c r="C6073" i="1"/>
  <c r="G6072" i="1"/>
  <c r="C6072" i="1"/>
  <c r="G6071" i="1"/>
  <c r="C6071" i="1"/>
  <c r="G6070" i="1"/>
  <c r="C6070" i="1"/>
  <c r="G6069" i="1"/>
  <c r="C6069" i="1"/>
  <c r="G6068" i="1"/>
  <c r="C6068" i="1"/>
  <c r="G6067" i="1"/>
  <c r="C6067" i="1"/>
  <c r="G6066" i="1"/>
  <c r="C6066" i="1"/>
  <c r="G6065" i="1"/>
  <c r="C6065" i="1"/>
  <c r="G6064" i="1"/>
  <c r="C6064" i="1"/>
  <c r="G6063" i="1"/>
  <c r="C6063" i="1"/>
  <c r="G6062" i="1"/>
  <c r="C6062" i="1"/>
  <c r="G6061" i="1"/>
  <c r="C6061" i="1"/>
  <c r="G6060" i="1"/>
  <c r="C6060" i="1"/>
  <c r="G6059" i="1"/>
  <c r="C6059" i="1"/>
  <c r="G6058" i="1"/>
  <c r="C6058" i="1"/>
  <c r="G6057" i="1"/>
  <c r="C6057" i="1"/>
  <c r="G6056" i="1"/>
  <c r="C6056" i="1"/>
  <c r="G6055" i="1"/>
  <c r="C6055" i="1"/>
  <c r="G6054" i="1"/>
  <c r="C6054" i="1"/>
  <c r="G6053" i="1"/>
  <c r="C6053" i="1"/>
  <c r="G6052" i="1"/>
  <c r="C6052" i="1"/>
  <c r="G6051" i="1"/>
  <c r="C6051" i="1"/>
  <c r="G6050" i="1"/>
  <c r="C6050" i="1"/>
  <c r="G6049" i="1"/>
  <c r="C6049" i="1"/>
  <c r="G6048" i="1"/>
  <c r="C6048" i="1"/>
  <c r="G6047" i="1"/>
  <c r="C6047" i="1"/>
  <c r="G6046" i="1"/>
  <c r="C6046" i="1"/>
  <c r="G6045" i="1"/>
  <c r="C6045" i="1"/>
  <c r="G6044" i="1"/>
  <c r="C6044" i="1"/>
  <c r="G6043" i="1"/>
  <c r="C6043" i="1"/>
  <c r="G6042" i="1"/>
  <c r="C6042" i="1"/>
  <c r="G6041" i="1"/>
  <c r="C6041" i="1"/>
  <c r="G6040" i="1"/>
  <c r="C6040" i="1"/>
  <c r="G6039" i="1"/>
  <c r="C6039" i="1"/>
  <c r="G6038" i="1"/>
  <c r="C6038" i="1"/>
  <c r="G6037" i="1"/>
  <c r="C6037" i="1"/>
  <c r="G6035" i="1"/>
  <c r="C6035" i="1"/>
  <c r="G6034" i="1"/>
  <c r="C6034" i="1"/>
  <c r="G6033" i="1"/>
  <c r="C6033" i="1"/>
  <c r="G6032" i="1"/>
  <c r="C6032" i="1"/>
  <c r="G6031" i="1"/>
  <c r="C6031" i="1"/>
  <c r="G6030" i="1"/>
  <c r="C6030" i="1"/>
  <c r="G6029" i="1"/>
  <c r="C6029" i="1"/>
  <c r="G6028" i="1"/>
  <c r="C6028" i="1"/>
  <c r="G6027" i="1"/>
  <c r="C6027" i="1"/>
  <c r="G6026" i="1"/>
  <c r="C6026" i="1"/>
  <c r="G6025" i="1"/>
  <c r="C6025" i="1"/>
  <c r="G6024" i="1"/>
  <c r="C6024" i="1"/>
  <c r="G6023" i="1"/>
  <c r="C6023" i="1"/>
  <c r="G6022" i="1"/>
  <c r="C6022" i="1"/>
  <c r="G6021" i="1"/>
  <c r="C6021" i="1"/>
  <c r="G6020" i="1"/>
  <c r="C6020" i="1"/>
  <c r="G6019" i="1"/>
  <c r="C6019" i="1"/>
  <c r="G6018" i="1"/>
  <c r="C6018" i="1"/>
  <c r="G6017" i="1"/>
  <c r="C6017" i="1"/>
  <c r="G6016" i="1"/>
  <c r="C6016" i="1"/>
  <c r="G6015" i="1"/>
  <c r="C6015" i="1"/>
  <c r="G6014" i="1"/>
  <c r="C6014" i="1"/>
  <c r="G6013" i="1"/>
  <c r="C6013" i="1"/>
  <c r="G6012" i="1"/>
  <c r="C6012" i="1"/>
  <c r="G6011" i="1"/>
  <c r="C6011" i="1"/>
  <c r="G6010" i="1"/>
  <c r="C6010" i="1"/>
  <c r="G6009" i="1"/>
  <c r="C6009" i="1"/>
  <c r="G6008" i="1"/>
  <c r="C6008" i="1"/>
  <c r="G6007" i="1"/>
  <c r="C6007" i="1"/>
  <c r="G6006" i="1"/>
  <c r="C6006" i="1"/>
  <c r="G6005" i="1"/>
  <c r="C6005" i="1"/>
  <c r="G6004" i="1"/>
  <c r="C6004" i="1"/>
  <c r="G6002" i="1"/>
  <c r="C6002" i="1"/>
  <c r="G6001" i="1"/>
  <c r="C6001" i="1"/>
  <c r="G6000" i="1"/>
  <c r="C6000" i="1"/>
  <c r="G5999" i="1"/>
  <c r="C5999" i="1"/>
  <c r="G5998" i="1"/>
  <c r="C5998" i="1"/>
  <c r="G5997" i="1"/>
  <c r="C5997" i="1"/>
  <c r="G5996" i="1"/>
  <c r="C5996" i="1"/>
  <c r="G5995" i="1"/>
  <c r="C5995" i="1"/>
  <c r="G5994" i="1"/>
  <c r="C5994" i="1"/>
  <c r="G5993" i="1"/>
  <c r="C5993" i="1"/>
  <c r="G5992" i="1"/>
  <c r="C5992" i="1"/>
  <c r="G5991" i="1"/>
  <c r="C5991" i="1"/>
  <c r="G5990" i="1"/>
  <c r="C5990" i="1"/>
  <c r="G5989" i="1"/>
  <c r="C5989" i="1"/>
  <c r="G5988" i="1"/>
  <c r="C5988" i="1"/>
  <c r="G5987" i="1"/>
  <c r="C5987" i="1"/>
  <c r="G5986" i="1"/>
  <c r="C5986" i="1"/>
  <c r="G5985" i="1"/>
  <c r="C5985" i="1"/>
  <c r="G5984" i="1"/>
  <c r="C5984" i="1"/>
  <c r="G5983" i="1"/>
  <c r="C5983" i="1"/>
  <c r="G5982" i="1"/>
  <c r="C5982" i="1"/>
  <c r="G5981" i="1"/>
  <c r="C5981" i="1"/>
  <c r="G5980" i="1"/>
  <c r="C5980" i="1"/>
  <c r="G5979" i="1"/>
  <c r="C5979" i="1"/>
  <c r="G5978" i="1"/>
  <c r="C5978" i="1"/>
  <c r="G5977" i="1"/>
  <c r="C5977" i="1"/>
  <c r="G5976" i="1"/>
  <c r="C5976" i="1"/>
  <c r="G5975" i="1"/>
  <c r="C5975" i="1"/>
  <c r="G5974" i="1"/>
  <c r="C5974" i="1"/>
  <c r="G5973" i="1"/>
  <c r="C5973" i="1"/>
  <c r="G5972" i="1"/>
  <c r="C5972" i="1"/>
  <c r="G5971" i="1"/>
  <c r="C5971" i="1"/>
  <c r="G5970" i="1"/>
  <c r="C5970" i="1"/>
  <c r="G5969" i="1"/>
  <c r="C5969" i="1"/>
  <c r="G5968" i="1"/>
  <c r="C5968" i="1"/>
  <c r="G5967" i="1"/>
  <c r="C5967" i="1"/>
  <c r="G5966" i="1"/>
  <c r="C5966" i="1"/>
  <c r="G5965" i="1"/>
  <c r="C5965" i="1"/>
  <c r="G5964" i="1"/>
  <c r="C5964" i="1"/>
  <c r="G5963" i="1"/>
  <c r="C5963" i="1"/>
  <c r="G5962" i="1"/>
  <c r="C5962" i="1"/>
  <c r="G5961" i="1"/>
  <c r="C5961" i="1"/>
  <c r="G5960" i="1"/>
  <c r="C5960" i="1"/>
  <c r="G5959" i="1"/>
  <c r="C5959" i="1"/>
  <c r="G5958" i="1"/>
  <c r="C5958" i="1"/>
  <c r="G5957" i="1"/>
  <c r="C5957" i="1"/>
  <c r="G5956" i="1"/>
  <c r="C5956" i="1"/>
  <c r="G5955" i="1"/>
  <c r="C5955" i="1"/>
  <c r="G5953" i="1"/>
  <c r="C5953" i="1"/>
  <c r="G5952" i="1"/>
  <c r="C5952" i="1"/>
  <c r="G5951" i="1"/>
  <c r="C5951" i="1"/>
  <c r="G5950" i="1"/>
  <c r="C5950" i="1"/>
  <c r="G5949" i="1"/>
  <c r="C5949" i="1"/>
  <c r="G5948" i="1"/>
  <c r="C5948" i="1"/>
  <c r="G5947" i="1"/>
  <c r="C5947" i="1"/>
  <c r="G5946" i="1"/>
  <c r="C5946" i="1"/>
  <c r="G5945" i="1"/>
  <c r="C5945" i="1"/>
  <c r="G5944" i="1"/>
  <c r="C5944" i="1"/>
  <c r="G5942" i="1"/>
  <c r="C5942" i="1"/>
  <c r="G5941" i="1"/>
  <c r="C5941" i="1"/>
  <c r="G5940" i="1"/>
  <c r="C5940" i="1"/>
  <c r="G5939" i="1"/>
  <c r="C5939" i="1"/>
  <c r="G5938" i="1"/>
  <c r="C5938" i="1"/>
  <c r="G5937" i="1"/>
  <c r="C5937" i="1"/>
  <c r="G5936" i="1"/>
  <c r="C5936" i="1"/>
  <c r="G5935" i="1"/>
  <c r="C5935" i="1"/>
  <c r="G5934" i="1"/>
  <c r="C5934" i="1"/>
  <c r="G5933" i="1"/>
  <c r="C5933" i="1"/>
  <c r="G5932" i="1"/>
  <c r="C5932" i="1"/>
  <c r="G5931" i="1"/>
  <c r="C5931" i="1"/>
  <c r="G5930" i="1"/>
  <c r="C5930" i="1"/>
  <c r="G5929" i="1"/>
  <c r="C5929" i="1"/>
  <c r="G5928" i="1"/>
  <c r="C5928" i="1"/>
  <c r="G5927" i="1"/>
  <c r="C5927" i="1"/>
  <c r="G5926" i="1"/>
  <c r="C5926" i="1"/>
  <c r="G5925" i="1"/>
  <c r="C5925" i="1"/>
  <c r="G5924" i="1"/>
  <c r="C5924" i="1"/>
  <c r="G5923" i="1"/>
  <c r="C5923" i="1"/>
  <c r="G5922" i="1"/>
  <c r="C5922" i="1"/>
  <c r="G5921" i="1"/>
  <c r="C5921" i="1"/>
  <c r="G5920" i="1"/>
  <c r="C5920" i="1"/>
  <c r="G5919" i="1"/>
  <c r="C5919" i="1"/>
  <c r="G5918" i="1"/>
  <c r="C5918" i="1"/>
  <c r="G5917" i="1"/>
  <c r="C5917" i="1"/>
  <c r="G5916" i="1"/>
  <c r="C5916" i="1"/>
  <c r="G5915" i="1"/>
  <c r="C5915" i="1"/>
  <c r="G5914" i="1"/>
  <c r="C5914" i="1"/>
  <c r="G5913" i="1"/>
  <c r="C5913" i="1"/>
  <c r="G5912" i="1"/>
  <c r="C5912" i="1"/>
  <c r="G5911" i="1"/>
  <c r="C5911" i="1"/>
  <c r="G5910" i="1"/>
  <c r="C5910" i="1"/>
  <c r="G5909" i="1"/>
  <c r="C5909" i="1"/>
  <c r="G5908" i="1"/>
  <c r="C5908" i="1"/>
  <c r="G5907" i="1"/>
  <c r="C5907" i="1"/>
  <c r="G5906" i="1"/>
  <c r="C5906" i="1"/>
  <c r="G5905" i="1"/>
  <c r="C5905" i="1"/>
  <c r="G5904" i="1"/>
  <c r="C5904" i="1"/>
  <c r="G5902" i="1"/>
  <c r="C5902" i="1"/>
  <c r="G5901" i="1"/>
  <c r="C5901" i="1"/>
  <c r="G5900" i="1"/>
  <c r="C5900" i="1"/>
  <c r="G5899" i="1"/>
  <c r="C5899" i="1"/>
  <c r="G5898" i="1"/>
  <c r="C5898" i="1"/>
  <c r="G5897" i="1"/>
  <c r="C5897" i="1"/>
  <c r="G5896" i="1"/>
  <c r="C5896" i="1"/>
  <c r="G5895" i="1"/>
  <c r="C5895" i="1"/>
  <c r="G5894" i="1"/>
  <c r="C5894" i="1"/>
  <c r="G5893" i="1"/>
  <c r="C5893" i="1"/>
  <c r="G5892" i="1"/>
  <c r="C5892" i="1"/>
  <c r="G5891" i="1"/>
  <c r="C5891" i="1"/>
  <c r="G5890" i="1"/>
  <c r="C5890" i="1"/>
  <c r="G5889" i="1"/>
  <c r="C5889" i="1"/>
  <c r="G5888" i="1"/>
  <c r="C5888" i="1"/>
  <c r="G5887" i="1"/>
  <c r="C5887" i="1"/>
  <c r="G5886" i="1"/>
  <c r="C5886" i="1"/>
  <c r="G5885" i="1"/>
  <c r="C5885" i="1"/>
  <c r="G5884" i="1"/>
  <c r="C5884" i="1"/>
  <c r="G5883" i="1"/>
  <c r="C5883" i="1"/>
  <c r="G5882" i="1"/>
  <c r="C5882" i="1"/>
  <c r="G5881" i="1"/>
  <c r="C5881" i="1"/>
  <c r="G5880" i="1"/>
  <c r="C5880" i="1"/>
  <c r="G5879" i="1"/>
  <c r="C5879" i="1"/>
  <c r="G5878" i="1"/>
  <c r="C5878" i="1"/>
  <c r="G5877" i="1"/>
  <c r="C5877" i="1"/>
  <c r="G5876" i="1"/>
  <c r="C5876" i="1"/>
  <c r="G5875" i="1"/>
  <c r="C5875" i="1"/>
  <c r="G5874" i="1"/>
  <c r="C5874" i="1"/>
  <c r="G5873" i="1"/>
  <c r="C5873" i="1"/>
  <c r="G5872" i="1"/>
  <c r="C5872" i="1"/>
  <c r="G5871" i="1"/>
  <c r="C5871" i="1"/>
  <c r="G5870" i="1"/>
  <c r="C5870" i="1"/>
  <c r="G5869" i="1"/>
  <c r="C5869" i="1"/>
  <c r="G5868" i="1"/>
  <c r="C5868" i="1"/>
  <c r="G5867" i="1"/>
  <c r="C5867" i="1"/>
  <c r="G5866" i="1"/>
  <c r="C5866" i="1"/>
  <c r="G5865" i="1"/>
  <c r="C5865" i="1"/>
  <c r="G5864" i="1"/>
  <c r="C5864" i="1"/>
  <c r="G5863" i="1"/>
  <c r="C5863" i="1"/>
  <c r="G5862" i="1"/>
  <c r="C5862" i="1"/>
  <c r="G5861" i="1"/>
  <c r="C5861" i="1"/>
  <c r="G5860" i="1"/>
  <c r="C5860" i="1"/>
  <c r="G5859" i="1"/>
  <c r="C5859" i="1"/>
  <c r="G5858" i="1"/>
  <c r="C5858" i="1"/>
  <c r="G5857" i="1"/>
  <c r="C5857" i="1"/>
  <c r="G5856" i="1"/>
  <c r="C5856" i="1"/>
  <c r="G5855" i="1"/>
  <c r="C5855" i="1"/>
  <c r="G5854" i="1"/>
  <c r="C5854" i="1"/>
  <c r="G5853" i="1"/>
  <c r="C5853" i="1"/>
  <c r="G5852" i="1"/>
  <c r="C5852" i="1"/>
  <c r="G5851" i="1"/>
  <c r="C5851" i="1"/>
  <c r="G5850" i="1"/>
  <c r="C5850" i="1"/>
  <c r="G5849" i="1"/>
  <c r="C5849" i="1"/>
  <c r="G5848" i="1"/>
  <c r="C5848" i="1"/>
  <c r="G5847" i="1"/>
  <c r="C5847" i="1"/>
  <c r="G5846" i="1"/>
  <c r="C5846" i="1"/>
  <c r="G5845" i="1"/>
  <c r="C5845" i="1"/>
  <c r="G5844" i="1"/>
  <c r="C5844" i="1"/>
  <c r="G5843" i="1"/>
  <c r="C5843" i="1"/>
  <c r="G5842" i="1"/>
  <c r="C5842" i="1"/>
  <c r="G5841" i="1"/>
  <c r="C5841" i="1"/>
  <c r="G5840" i="1"/>
  <c r="C5840" i="1"/>
  <c r="G5839" i="1"/>
  <c r="C5839" i="1"/>
  <c r="G5838" i="1"/>
  <c r="C5838" i="1"/>
  <c r="G5837" i="1"/>
  <c r="C5837" i="1"/>
  <c r="G5836" i="1"/>
  <c r="C5836" i="1"/>
  <c r="G5835" i="1"/>
  <c r="C5835" i="1"/>
  <c r="G5834" i="1"/>
  <c r="C5834" i="1"/>
  <c r="G5833" i="1"/>
  <c r="C5833" i="1"/>
  <c r="G5832" i="1"/>
  <c r="C5832" i="1"/>
  <c r="G5830" i="1"/>
  <c r="C5830" i="1"/>
  <c r="G5829" i="1"/>
  <c r="C5829" i="1"/>
  <c r="G5828" i="1"/>
  <c r="C5828" i="1"/>
  <c r="G5827" i="1"/>
  <c r="C5827" i="1"/>
  <c r="G5826" i="1"/>
  <c r="C5826" i="1"/>
  <c r="G5825" i="1"/>
  <c r="C5825" i="1"/>
  <c r="G5824" i="1"/>
  <c r="C5824" i="1"/>
  <c r="G5823" i="1"/>
  <c r="C5823" i="1"/>
  <c r="G5822" i="1"/>
  <c r="C5822" i="1"/>
  <c r="G5821" i="1"/>
  <c r="C5821" i="1"/>
  <c r="G5820" i="1"/>
  <c r="C5820" i="1"/>
  <c r="G5819" i="1"/>
  <c r="C5819" i="1"/>
  <c r="G5818" i="1"/>
  <c r="C5818" i="1"/>
  <c r="G5817" i="1"/>
  <c r="C5817" i="1"/>
  <c r="G5816" i="1"/>
  <c r="C5816" i="1"/>
  <c r="G5815" i="1"/>
  <c r="C5815" i="1"/>
  <c r="G5814" i="1"/>
  <c r="C5814" i="1"/>
  <c r="G5813" i="1"/>
  <c r="C5813" i="1"/>
  <c r="G5812" i="1"/>
  <c r="C5812" i="1"/>
  <c r="G5811" i="1"/>
  <c r="C5811" i="1"/>
  <c r="G5810" i="1"/>
  <c r="C5810" i="1"/>
  <c r="G5809" i="1"/>
  <c r="C5809" i="1"/>
  <c r="G5808" i="1"/>
  <c r="C5808" i="1"/>
  <c r="G5807" i="1"/>
  <c r="C5807" i="1"/>
  <c r="G5806" i="1"/>
  <c r="C5806" i="1"/>
  <c r="G5805" i="1"/>
  <c r="C5805" i="1"/>
  <c r="G5804" i="1"/>
  <c r="C5804" i="1"/>
  <c r="G5803" i="1"/>
  <c r="C5803" i="1"/>
  <c r="G5802" i="1"/>
  <c r="C5802" i="1"/>
  <c r="G5801" i="1"/>
  <c r="C5801" i="1"/>
  <c r="G5800" i="1"/>
  <c r="C5800" i="1"/>
  <c r="G5799" i="1"/>
  <c r="C5799" i="1"/>
  <c r="G5798" i="1"/>
  <c r="C5798" i="1"/>
  <c r="G5797" i="1"/>
  <c r="C5797" i="1"/>
  <c r="G5796" i="1"/>
  <c r="C5796" i="1"/>
  <c r="G5795" i="1"/>
  <c r="C5795" i="1"/>
  <c r="G5794" i="1"/>
  <c r="C5794" i="1"/>
  <c r="G5793" i="1"/>
  <c r="C5793" i="1"/>
  <c r="G5792" i="1"/>
  <c r="C5792" i="1"/>
  <c r="G5790" i="1"/>
  <c r="C5790" i="1"/>
  <c r="G5789" i="1"/>
  <c r="C5789" i="1"/>
  <c r="G5788" i="1"/>
  <c r="C5788" i="1"/>
  <c r="G5787" i="1"/>
  <c r="C5787" i="1"/>
  <c r="G5786" i="1"/>
  <c r="C5786" i="1"/>
  <c r="G5785" i="1"/>
  <c r="C5785" i="1"/>
  <c r="G5784" i="1"/>
  <c r="C5784" i="1"/>
  <c r="G5783" i="1"/>
  <c r="C5783" i="1"/>
  <c r="G5782" i="1"/>
  <c r="C5782" i="1"/>
  <c r="G5781" i="1"/>
  <c r="C5781" i="1"/>
  <c r="G5780" i="1"/>
  <c r="C5780" i="1"/>
  <c r="G5779" i="1"/>
  <c r="C5779" i="1"/>
  <c r="G5778" i="1"/>
  <c r="C5778" i="1"/>
  <c r="G5777" i="1"/>
  <c r="C5777" i="1"/>
  <c r="G5776" i="1"/>
  <c r="C5776" i="1"/>
  <c r="G5775" i="1"/>
  <c r="C5775" i="1"/>
  <c r="G5774" i="1"/>
  <c r="C5774" i="1"/>
  <c r="G5772" i="1"/>
  <c r="C5772" i="1"/>
  <c r="G5771" i="1"/>
  <c r="C5771" i="1"/>
  <c r="G5770" i="1"/>
  <c r="C5770" i="1"/>
  <c r="G5769" i="1"/>
  <c r="C5769" i="1"/>
  <c r="G5768" i="1"/>
  <c r="C5768" i="1"/>
  <c r="G5767" i="1"/>
  <c r="C5767" i="1"/>
  <c r="G5766" i="1"/>
  <c r="C5766" i="1"/>
  <c r="G5765" i="1"/>
  <c r="C5765" i="1"/>
  <c r="G5764" i="1"/>
  <c r="C5764" i="1"/>
  <c r="G5763" i="1"/>
  <c r="C5763" i="1"/>
  <c r="G5762" i="1"/>
  <c r="C5762" i="1"/>
  <c r="G5761" i="1"/>
  <c r="C5761" i="1"/>
  <c r="G5760" i="1"/>
  <c r="C5760" i="1"/>
  <c r="G5759" i="1"/>
  <c r="C5759" i="1"/>
  <c r="G5758" i="1"/>
  <c r="C5758" i="1"/>
  <c r="G5757" i="1"/>
  <c r="C5757" i="1"/>
  <c r="G5756" i="1"/>
  <c r="C5756" i="1"/>
  <c r="G5755" i="1"/>
  <c r="C5755" i="1"/>
  <c r="G5754" i="1"/>
  <c r="C5754" i="1"/>
  <c r="G5753" i="1"/>
  <c r="C5753" i="1"/>
  <c r="G5752" i="1"/>
  <c r="C5752" i="1"/>
  <c r="G5751" i="1"/>
  <c r="C5751" i="1"/>
  <c r="G5750" i="1"/>
  <c r="C5750" i="1"/>
  <c r="G5749" i="1"/>
  <c r="C5749" i="1"/>
  <c r="G5748" i="1"/>
  <c r="C5748" i="1"/>
  <c r="G5747" i="1"/>
  <c r="C5747" i="1"/>
  <c r="G5746" i="1"/>
  <c r="C5746" i="1"/>
  <c r="G5745" i="1"/>
  <c r="C5745" i="1"/>
  <c r="G5744" i="1"/>
  <c r="C5744" i="1"/>
  <c r="G5743" i="1"/>
  <c r="C5743" i="1"/>
  <c r="G5742" i="1"/>
  <c r="C5742" i="1"/>
  <c r="G5741" i="1"/>
  <c r="C5741" i="1"/>
  <c r="G5740" i="1"/>
  <c r="C5740" i="1"/>
  <c r="G5739" i="1"/>
  <c r="C5739" i="1"/>
  <c r="G5738" i="1"/>
  <c r="C5738" i="1"/>
  <c r="G5737" i="1"/>
  <c r="C5737" i="1"/>
  <c r="G5736" i="1"/>
  <c r="C5736" i="1"/>
  <c r="G5735" i="1"/>
  <c r="C5735" i="1"/>
  <c r="G5734" i="1"/>
  <c r="C5734" i="1"/>
  <c r="G5733" i="1"/>
  <c r="C5733" i="1"/>
  <c r="G5732" i="1"/>
  <c r="C5732" i="1"/>
  <c r="G5731" i="1"/>
  <c r="C5731" i="1"/>
  <c r="G5730" i="1"/>
  <c r="C5730" i="1"/>
  <c r="G5728" i="1"/>
  <c r="C5728" i="1"/>
  <c r="G5727" i="1"/>
  <c r="C5727" i="1"/>
  <c r="G5726" i="1"/>
  <c r="C5726" i="1"/>
  <c r="G5725" i="1"/>
  <c r="C5725" i="1"/>
  <c r="G5724" i="1"/>
  <c r="C5724" i="1"/>
  <c r="G5723" i="1"/>
  <c r="C5723" i="1"/>
  <c r="G5722" i="1"/>
  <c r="C5722" i="1"/>
  <c r="G5721" i="1"/>
  <c r="C5721" i="1"/>
  <c r="G5720" i="1"/>
  <c r="C5720" i="1"/>
  <c r="G5719" i="1"/>
  <c r="C5719" i="1"/>
  <c r="G5718" i="1"/>
  <c r="C5718" i="1"/>
  <c r="G5717" i="1"/>
  <c r="C5717" i="1"/>
  <c r="G5716" i="1"/>
  <c r="C5716" i="1"/>
  <c r="G5715" i="1"/>
  <c r="C5715" i="1"/>
  <c r="G5714" i="1"/>
  <c r="C5714" i="1"/>
  <c r="G5713" i="1"/>
  <c r="C5713" i="1"/>
  <c r="G5712" i="1"/>
  <c r="C5712" i="1"/>
  <c r="G5711" i="1"/>
  <c r="C5711" i="1"/>
  <c r="G5710" i="1"/>
  <c r="C5710" i="1"/>
  <c r="G5709" i="1"/>
  <c r="C5709" i="1"/>
  <c r="G5708" i="1"/>
  <c r="C5708" i="1"/>
  <c r="G5707" i="1"/>
  <c r="C5707" i="1"/>
  <c r="G5706" i="1"/>
  <c r="C5706" i="1"/>
  <c r="G5705" i="1"/>
  <c r="C5705" i="1"/>
  <c r="G5704" i="1"/>
  <c r="C5704" i="1"/>
  <c r="G5703" i="1"/>
  <c r="C5703" i="1"/>
  <c r="G5702" i="1"/>
  <c r="C5702" i="1"/>
  <c r="G5701" i="1"/>
  <c r="C5701" i="1"/>
  <c r="G5700" i="1"/>
  <c r="C5700" i="1"/>
  <c r="G5699" i="1"/>
  <c r="C5699" i="1"/>
  <c r="G5698" i="1"/>
  <c r="C5698" i="1"/>
  <c r="G5697" i="1"/>
  <c r="C5697" i="1"/>
  <c r="G5696" i="1"/>
  <c r="C5696" i="1"/>
  <c r="G5695" i="1"/>
  <c r="C5695" i="1"/>
  <c r="G5694" i="1"/>
  <c r="C5694" i="1"/>
  <c r="G5693" i="1"/>
  <c r="C5693" i="1"/>
  <c r="G5692" i="1"/>
  <c r="C5692" i="1"/>
  <c r="G5691" i="1"/>
  <c r="C5691" i="1"/>
  <c r="G5690" i="1"/>
  <c r="C5690" i="1"/>
  <c r="G5689" i="1"/>
  <c r="C5689" i="1"/>
  <c r="G5688" i="1"/>
  <c r="C5688" i="1"/>
  <c r="G5687" i="1"/>
  <c r="C5687" i="1"/>
  <c r="G5686" i="1"/>
  <c r="C5686" i="1"/>
  <c r="G5685" i="1"/>
  <c r="C5685" i="1"/>
  <c r="G5684" i="1"/>
  <c r="C5684" i="1"/>
  <c r="G5683" i="1"/>
  <c r="C5683" i="1"/>
  <c r="G5682" i="1"/>
  <c r="C5682" i="1"/>
  <c r="G5681" i="1"/>
  <c r="C5681" i="1"/>
  <c r="G5679" i="1"/>
  <c r="C5679" i="1"/>
  <c r="G5678" i="1"/>
  <c r="C5678" i="1"/>
  <c r="G5677" i="1"/>
  <c r="C5677" i="1"/>
  <c r="G5676" i="1"/>
  <c r="C5676" i="1"/>
  <c r="G5675" i="1"/>
  <c r="C5675" i="1"/>
  <c r="G5674" i="1"/>
  <c r="C5674" i="1"/>
  <c r="G5673" i="1"/>
  <c r="C5673" i="1"/>
  <c r="G5672" i="1"/>
  <c r="C5672" i="1"/>
  <c r="G5671" i="1"/>
  <c r="C5671" i="1"/>
  <c r="G5670" i="1"/>
  <c r="C5670" i="1"/>
  <c r="G5669" i="1"/>
  <c r="C5669" i="1"/>
  <c r="G5668" i="1"/>
  <c r="C5668" i="1"/>
  <c r="G5667" i="1"/>
  <c r="C5667" i="1"/>
  <c r="G5666" i="1"/>
  <c r="C5666" i="1"/>
  <c r="G5664" i="1"/>
  <c r="C5664" i="1"/>
  <c r="G5663" i="1"/>
  <c r="C5663" i="1"/>
  <c r="G5662" i="1"/>
  <c r="C5662" i="1"/>
  <c r="G5661" i="1"/>
  <c r="C5661" i="1"/>
  <c r="G5660" i="1"/>
  <c r="C5660" i="1"/>
  <c r="G5659" i="1"/>
  <c r="C5659" i="1"/>
  <c r="G5658" i="1"/>
  <c r="C5658" i="1"/>
  <c r="G5657" i="1"/>
  <c r="C5657" i="1"/>
  <c r="G5656" i="1"/>
  <c r="C5656" i="1"/>
  <c r="G5655" i="1"/>
  <c r="C5655" i="1"/>
  <c r="G5654" i="1"/>
  <c r="C5654" i="1"/>
  <c r="G5653" i="1"/>
  <c r="C5653" i="1"/>
  <c r="G5652" i="1"/>
  <c r="C5652" i="1"/>
  <c r="G5651" i="1"/>
  <c r="C5651" i="1"/>
  <c r="G5650" i="1"/>
  <c r="C5650" i="1"/>
  <c r="G5649" i="1"/>
  <c r="C5649" i="1"/>
  <c r="G5648" i="1"/>
  <c r="C5648" i="1"/>
  <c r="G5647" i="1"/>
  <c r="C5647" i="1"/>
  <c r="G5646" i="1"/>
  <c r="C5646" i="1"/>
  <c r="G5645" i="1"/>
  <c r="C5645" i="1"/>
  <c r="G5644" i="1"/>
  <c r="C5644" i="1"/>
  <c r="G5643" i="1"/>
  <c r="C5643" i="1"/>
  <c r="G5642" i="1"/>
  <c r="C5642" i="1"/>
  <c r="G5641" i="1"/>
  <c r="C5641" i="1"/>
  <c r="G5640" i="1"/>
  <c r="C5640" i="1"/>
  <c r="G5639" i="1"/>
  <c r="C5639" i="1"/>
  <c r="G5638" i="1"/>
  <c r="C5638" i="1"/>
  <c r="G5637" i="1"/>
  <c r="C5637" i="1"/>
  <c r="G5636" i="1"/>
  <c r="C5636" i="1"/>
  <c r="G5635" i="1"/>
  <c r="C5635" i="1"/>
  <c r="G5634" i="1"/>
  <c r="C5634" i="1"/>
  <c r="G5633" i="1"/>
  <c r="C5633" i="1"/>
  <c r="G5632" i="1"/>
  <c r="C5632" i="1"/>
  <c r="G5631" i="1"/>
  <c r="C5631" i="1"/>
  <c r="G5630" i="1"/>
  <c r="C5630" i="1"/>
  <c r="G5629" i="1"/>
  <c r="C5629" i="1"/>
  <c r="G5628" i="1"/>
  <c r="C5628" i="1"/>
  <c r="G5627" i="1"/>
  <c r="C5627" i="1"/>
  <c r="G5626" i="1"/>
  <c r="C5626" i="1"/>
  <c r="G5625" i="1"/>
  <c r="C5625" i="1"/>
  <c r="G5624" i="1"/>
  <c r="C5624" i="1"/>
  <c r="G5623" i="1"/>
  <c r="C5623" i="1"/>
  <c r="G5622" i="1"/>
  <c r="C5622" i="1"/>
  <c r="G5621" i="1"/>
  <c r="C5621" i="1"/>
  <c r="G5620" i="1"/>
  <c r="C5620" i="1"/>
  <c r="G5619" i="1"/>
  <c r="C5619" i="1"/>
  <c r="G5618" i="1"/>
  <c r="C5618" i="1"/>
  <c r="G5617" i="1"/>
  <c r="C5617" i="1"/>
  <c r="G5616" i="1"/>
  <c r="C5616" i="1"/>
  <c r="G5615" i="1"/>
  <c r="C5615" i="1"/>
  <c r="G5614" i="1"/>
  <c r="C5614" i="1"/>
  <c r="G5613" i="1"/>
  <c r="C5613" i="1"/>
  <c r="G5612" i="1"/>
  <c r="C5612" i="1"/>
  <c r="G5611" i="1"/>
  <c r="C5611" i="1"/>
  <c r="G5610" i="1"/>
  <c r="C5610" i="1"/>
  <c r="G5609" i="1"/>
  <c r="C5609" i="1"/>
  <c r="G5608" i="1"/>
  <c r="C5608" i="1"/>
  <c r="G5607" i="1"/>
  <c r="C5607" i="1"/>
  <c r="G5606" i="1"/>
  <c r="C5606" i="1"/>
  <c r="G5605" i="1"/>
  <c r="C5605" i="1"/>
  <c r="G5604" i="1"/>
  <c r="C5604" i="1"/>
  <c r="G5603" i="1"/>
  <c r="C5603" i="1"/>
  <c r="G5602" i="1"/>
  <c r="C5602" i="1"/>
  <c r="G5601" i="1"/>
  <c r="C5601" i="1"/>
  <c r="G5600" i="1"/>
  <c r="C5600" i="1"/>
  <c r="G5599" i="1"/>
  <c r="C5599" i="1"/>
  <c r="G5598" i="1"/>
  <c r="C5598" i="1"/>
  <c r="G5597" i="1"/>
  <c r="C5597" i="1"/>
  <c r="G5596" i="1"/>
  <c r="C5596" i="1"/>
  <c r="G5595" i="1"/>
  <c r="C5595" i="1"/>
  <c r="G5594" i="1"/>
  <c r="C5594" i="1"/>
  <c r="G5593" i="1"/>
  <c r="C5593" i="1"/>
  <c r="G5591" i="1"/>
  <c r="C5591" i="1"/>
  <c r="G5590" i="1"/>
  <c r="C5590" i="1"/>
  <c r="G5589" i="1"/>
  <c r="C5589" i="1"/>
  <c r="G5588" i="1"/>
  <c r="C5588" i="1"/>
  <c r="G5587" i="1"/>
  <c r="C5587" i="1"/>
  <c r="G5586" i="1"/>
  <c r="C5586" i="1"/>
  <c r="G5585" i="1"/>
  <c r="C5585" i="1"/>
  <c r="G5584" i="1"/>
  <c r="C5584" i="1"/>
  <c r="G5583" i="1"/>
  <c r="C5583" i="1"/>
  <c r="G5582" i="1"/>
  <c r="C5582" i="1"/>
  <c r="G5581" i="1"/>
  <c r="C5581" i="1"/>
  <c r="G5580" i="1"/>
  <c r="C5580" i="1"/>
  <c r="G5579" i="1"/>
  <c r="C5579" i="1"/>
  <c r="G5578" i="1"/>
  <c r="C5578" i="1"/>
  <c r="G5577" i="1"/>
  <c r="C5577" i="1"/>
  <c r="G5576" i="1"/>
  <c r="C5576" i="1"/>
  <c r="G5575" i="1"/>
  <c r="C5575" i="1"/>
  <c r="G5574" i="1"/>
  <c r="C5574" i="1"/>
  <c r="G5573" i="1"/>
  <c r="C5573" i="1"/>
  <c r="G5572" i="1"/>
  <c r="C5572" i="1"/>
  <c r="G5571" i="1"/>
  <c r="C5571" i="1"/>
  <c r="G5570" i="1"/>
  <c r="C5570" i="1"/>
  <c r="G5569" i="1"/>
  <c r="C5569" i="1"/>
  <c r="G5568" i="1"/>
  <c r="C5568" i="1"/>
  <c r="G5567" i="1"/>
  <c r="C5567" i="1"/>
  <c r="G5566" i="1"/>
  <c r="C5566" i="1"/>
  <c r="G5565" i="1"/>
  <c r="C5565" i="1"/>
  <c r="G5564" i="1"/>
  <c r="C5564" i="1"/>
  <c r="G5562" i="1"/>
  <c r="C5562" i="1"/>
  <c r="G5561" i="1"/>
  <c r="C5561" i="1"/>
  <c r="G5560" i="1"/>
  <c r="C5560" i="1"/>
  <c r="G5559" i="1"/>
  <c r="C5559" i="1"/>
  <c r="G5558" i="1"/>
  <c r="C5558" i="1"/>
  <c r="G5557" i="1"/>
  <c r="C5557" i="1"/>
  <c r="G5556" i="1"/>
  <c r="C5556" i="1"/>
  <c r="G5555" i="1"/>
  <c r="C5555" i="1"/>
  <c r="G5554" i="1"/>
  <c r="C5554" i="1"/>
  <c r="G5553" i="1"/>
  <c r="C5553" i="1"/>
  <c r="G5552" i="1"/>
  <c r="C5552" i="1"/>
  <c r="G5551" i="1"/>
  <c r="C5551" i="1"/>
  <c r="G5550" i="1"/>
  <c r="C5550" i="1"/>
  <c r="G5549" i="1"/>
  <c r="C5549" i="1"/>
  <c r="G5548" i="1"/>
  <c r="C5548" i="1"/>
  <c r="G5547" i="1"/>
  <c r="C5547" i="1"/>
  <c r="G5546" i="1"/>
  <c r="C5546" i="1"/>
  <c r="G5545" i="1"/>
  <c r="C5545" i="1"/>
  <c r="G5544" i="1"/>
  <c r="C5544" i="1"/>
  <c r="G5543" i="1"/>
  <c r="C5543" i="1"/>
  <c r="G5542" i="1"/>
  <c r="C5542" i="1"/>
  <c r="G5541" i="1"/>
  <c r="C5541" i="1"/>
  <c r="G5540" i="1"/>
  <c r="C5540" i="1"/>
  <c r="G5538" i="1"/>
  <c r="C5538" i="1"/>
  <c r="G5537" i="1"/>
  <c r="C5537" i="1"/>
  <c r="G5536" i="1"/>
  <c r="C5536" i="1"/>
  <c r="G5535" i="1"/>
  <c r="C5535" i="1"/>
  <c r="G5534" i="1"/>
  <c r="C5534" i="1"/>
  <c r="G5533" i="1"/>
  <c r="C5533" i="1"/>
  <c r="G5532" i="1"/>
  <c r="C5532" i="1"/>
  <c r="G5531" i="1"/>
  <c r="C5531" i="1"/>
  <c r="G5530" i="1"/>
  <c r="C5530" i="1"/>
  <c r="G5529" i="1"/>
  <c r="C5529" i="1"/>
  <c r="G5528" i="1"/>
  <c r="C5528" i="1"/>
  <c r="G5527" i="1"/>
  <c r="C5527" i="1"/>
  <c r="G5526" i="1"/>
  <c r="C5526" i="1"/>
  <c r="G5525" i="1"/>
  <c r="C5525" i="1"/>
  <c r="G5524" i="1"/>
  <c r="C5524" i="1"/>
  <c r="G5523" i="1"/>
  <c r="C5523" i="1"/>
  <c r="G5522" i="1"/>
  <c r="C5522" i="1"/>
  <c r="G5521" i="1"/>
  <c r="C5521" i="1"/>
  <c r="G5520" i="1"/>
  <c r="C5520" i="1"/>
  <c r="G5519" i="1"/>
  <c r="C5519" i="1"/>
  <c r="G5518" i="1"/>
  <c r="C5518" i="1"/>
  <c r="G5517" i="1"/>
  <c r="C5517" i="1"/>
  <c r="G5516" i="1"/>
  <c r="C5516" i="1"/>
  <c r="G5514" i="1"/>
  <c r="C5514" i="1"/>
  <c r="G5513" i="1"/>
  <c r="C5513" i="1"/>
  <c r="G5512" i="1"/>
  <c r="C5512" i="1"/>
  <c r="G5511" i="1"/>
  <c r="C5511" i="1"/>
  <c r="G5510" i="1"/>
  <c r="C5510" i="1"/>
  <c r="G5509" i="1"/>
  <c r="C5509" i="1"/>
  <c r="G5508" i="1"/>
  <c r="C5508" i="1"/>
  <c r="G5507" i="1"/>
  <c r="C5507" i="1"/>
  <c r="G5506" i="1"/>
  <c r="C5506" i="1"/>
  <c r="G5505" i="1"/>
  <c r="C5505" i="1"/>
  <c r="G5504" i="1"/>
  <c r="C5504" i="1"/>
  <c r="G5503" i="1"/>
  <c r="C5503" i="1"/>
  <c r="G5502" i="1"/>
  <c r="C5502" i="1"/>
  <c r="G5501" i="1"/>
  <c r="C5501" i="1"/>
  <c r="G5500" i="1"/>
  <c r="C5500" i="1"/>
  <c r="G5499" i="1"/>
  <c r="C5499" i="1"/>
  <c r="G5497" i="1"/>
  <c r="C5497" i="1"/>
  <c r="G5496" i="1"/>
  <c r="C5496" i="1"/>
  <c r="G5495" i="1"/>
  <c r="C5495" i="1"/>
  <c r="G5494" i="1"/>
  <c r="C5494" i="1"/>
  <c r="G5493" i="1"/>
  <c r="C5493" i="1"/>
  <c r="G5492" i="1"/>
  <c r="C5492" i="1"/>
  <c r="G5491" i="1"/>
  <c r="C5491" i="1"/>
  <c r="G5490" i="1"/>
  <c r="C5490" i="1"/>
  <c r="G5489" i="1"/>
  <c r="C5489" i="1"/>
  <c r="G5488" i="1"/>
  <c r="C5488" i="1"/>
  <c r="G5487" i="1"/>
  <c r="C5487" i="1"/>
  <c r="G5486" i="1"/>
  <c r="C5486" i="1"/>
  <c r="G5485" i="1"/>
  <c r="C5485" i="1"/>
  <c r="G5484" i="1"/>
  <c r="C5484" i="1"/>
  <c r="G5483" i="1"/>
  <c r="C5483" i="1"/>
  <c r="G5482" i="1"/>
  <c r="C5482" i="1"/>
  <c r="G5481" i="1"/>
  <c r="C5481" i="1"/>
  <c r="G5480" i="1"/>
  <c r="C5480" i="1"/>
  <c r="G5479" i="1"/>
  <c r="C5479" i="1"/>
  <c r="G5478" i="1"/>
  <c r="C5478" i="1"/>
  <c r="G5477" i="1"/>
  <c r="C5477" i="1"/>
  <c r="G5476" i="1"/>
  <c r="C5476" i="1"/>
  <c r="G5475" i="1"/>
  <c r="C5475" i="1"/>
  <c r="G5474" i="1"/>
  <c r="C5474" i="1"/>
  <c r="G5473" i="1"/>
  <c r="C5473" i="1"/>
  <c r="G5472" i="1"/>
  <c r="C5472" i="1"/>
  <c r="G5469" i="1"/>
  <c r="C5469" i="1"/>
  <c r="G5468" i="1"/>
  <c r="C5468" i="1"/>
  <c r="G5467" i="1"/>
  <c r="C5467" i="1"/>
  <c r="G5466" i="1"/>
  <c r="C5466" i="1"/>
  <c r="G5465" i="1"/>
  <c r="C5465" i="1"/>
  <c r="G5464" i="1"/>
  <c r="C5464" i="1"/>
  <c r="G5463" i="1"/>
  <c r="C5463" i="1"/>
  <c r="G5462" i="1"/>
  <c r="C5462" i="1"/>
  <c r="G5461" i="1"/>
  <c r="C5461" i="1"/>
  <c r="G5460" i="1"/>
  <c r="C5460" i="1"/>
  <c r="G5459" i="1"/>
  <c r="C5459" i="1"/>
  <c r="G5458" i="1"/>
  <c r="C5458" i="1"/>
  <c r="G5457" i="1"/>
  <c r="C5457" i="1"/>
  <c r="G5456" i="1"/>
  <c r="C5456" i="1"/>
  <c r="G5455" i="1"/>
  <c r="C5455" i="1"/>
  <c r="G5454" i="1"/>
  <c r="C5454" i="1"/>
  <c r="G5453" i="1"/>
  <c r="C5453" i="1"/>
  <c r="G5452" i="1"/>
  <c r="C5452" i="1"/>
  <c r="G5451" i="1"/>
  <c r="C5451" i="1"/>
  <c r="G5450" i="1"/>
  <c r="C5450" i="1"/>
  <c r="G5449" i="1"/>
  <c r="C5449" i="1"/>
  <c r="G5448" i="1"/>
  <c r="C5448" i="1"/>
  <c r="G5447" i="1"/>
  <c r="C5447" i="1"/>
  <c r="G5446" i="1"/>
  <c r="C5446" i="1"/>
  <c r="G5445" i="1"/>
  <c r="C5445" i="1"/>
  <c r="G5444" i="1"/>
  <c r="C5444" i="1"/>
  <c r="G5443" i="1"/>
  <c r="C5443" i="1"/>
  <c r="G5442" i="1"/>
  <c r="C5442" i="1"/>
  <c r="G5441" i="1"/>
  <c r="C5441" i="1"/>
  <c r="G5440" i="1"/>
  <c r="C5440" i="1"/>
  <c r="G5439" i="1"/>
  <c r="C5439" i="1"/>
  <c r="G5438" i="1"/>
  <c r="C5438" i="1"/>
  <c r="G5437" i="1"/>
  <c r="C5437" i="1"/>
  <c r="G5436" i="1"/>
  <c r="C5436" i="1"/>
  <c r="G5435" i="1"/>
  <c r="C5435" i="1"/>
  <c r="G5434" i="1"/>
  <c r="C5434" i="1"/>
  <c r="G5433" i="1"/>
  <c r="C5433" i="1"/>
  <c r="G5432" i="1"/>
  <c r="C5432" i="1"/>
  <c r="G5431" i="1"/>
  <c r="C5431" i="1"/>
  <c r="G5430" i="1"/>
  <c r="C5430" i="1"/>
  <c r="G5429" i="1"/>
  <c r="C5429" i="1"/>
  <c r="G5428" i="1"/>
  <c r="C5428" i="1"/>
  <c r="G5427" i="1"/>
  <c r="C5427" i="1"/>
  <c r="G5426" i="1"/>
  <c r="C5426" i="1"/>
  <c r="G5425" i="1"/>
  <c r="C5425" i="1"/>
  <c r="G5424" i="1"/>
  <c r="C5424" i="1"/>
  <c r="G5423" i="1"/>
  <c r="C5423" i="1"/>
  <c r="G5422" i="1"/>
  <c r="C5422" i="1"/>
  <c r="G5420" i="1"/>
  <c r="C5420" i="1"/>
  <c r="G5419" i="1"/>
  <c r="C5419" i="1"/>
  <c r="G5418" i="1"/>
  <c r="C5418" i="1"/>
  <c r="G5417" i="1"/>
  <c r="C5417" i="1"/>
  <c r="G5416" i="1"/>
  <c r="C5416" i="1"/>
  <c r="G5415" i="1"/>
  <c r="C5415" i="1"/>
  <c r="G5414" i="1"/>
  <c r="C5414" i="1"/>
  <c r="G5413" i="1"/>
  <c r="C5413" i="1"/>
  <c r="G5412" i="1"/>
  <c r="C5412" i="1"/>
  <c r="G5411" i="1"/>
  <c r="C5411" i="1"/>
  <c r="G5410" i="1"/>
  <c r="C5410" i="1"/>
  <c r="G5409" i="1"/>
  <c r="C5409" i="1"/>
  <c r="G5408" i="1"/>
  <c r="C5408" i="1"/>
  <c r="G5407" i="1"/>
  <c r="C5407" i="1"/>
  <c r="G5406" i="1"/>
  <c r="C5406" i="1"/>
  <c r="G5405" i="1"/>
  <c r="C5405" i="1"/>
  <c r="G5404" i="1"/>
  <c r="C5404" i="1"/>
  <c r="G5403" i="1"/>
  <c r="C5403" i="1"/>
  <c r="G5402" i="1"/>
  <c r="C5402" i="1"/>
  <c r="G5401" i="1"/>
  <c r="C5401" i="1"/>
  <c r="G5400" i="1"/>
  <c r="C5400" i="1"/>
  <c r="G5399" i="1"/>
  <c r="C5399" i="1"/>
  <c r="G5398" i="1"/>
  <c r="C5398" i="1"/>
  <c r="G5397" i="1"/>
  <c r="C5397" i="1"/>
  <c r="G5396" i="1"/>
  <c r="C5396" i="1"/>
  <c r="G5395" i="1"/>
  <c r="C5395" i="1"/>
  <c r="G5394" i="1"/>
  <c r="C5394" i="1"/>
  <c r="G5392" i="1"/>
  <c r="C5392" i="1"/>
  <c r="G5391" i="1"/>
  <c r="C5391" i="1"/>
  <c r="G5390" i="1"/>
  <c r="C5390" i="1"/>
  <c r="G5389" i="1"/>
  <c r="C5389" i="1"/>
  <c r="G5388" i="1"/>
  <c r="C5388" i="1"/>
  <c r="G5387" i="1"/>
  <c r="C5387" i="1"/>
  <c r="G5386" i="1"/>
  <c r="C5386" i="1"/>
  <c r="G5385" i="1"/>
  <c r="C5385" i="1"/>
  <c r="G5384" i="1"/>
  <c r="C5384" i="1"/>
  <c r="G5383" i="1"/>
  <c r="C5383" i="1"/>
  <c r="G5382" i="1"/>
  <c r="C5382" i="1"/>
  <c r="G5381" i="1"/>
  <c r="C5381" i="1"/>
  <c r="G5380" i="1"/>
  <c r="C5380" i="1"/>
  <c r="G5379" i="1"/>
  <c r="C5379" i="1"/>
  <c r="G5378" i="1"/>
  <c r="C5378" i="1"/>
  <c r="G5377" i="1"/>
  <c r="C5377" i="1"/>
  <c r="G5376" i="1"/>
  <c r="C5376" i="1"/>
  <c r="G5374" i="1"/>
  <c r="C5374" i="1"/>
  <c r="G5373" i="1"/>
  <c r="C5373" i="1"/>
  <c r="G5372" i="1"/>
  <c r="C5372" i="1"/>
  <c r="G5371" i="1"/>
  <c r="C5371" i="1"/>
  <c r="G5370" i="1"/>
  <c r="C5370" i="1"/>
  <c r="G5369" i="1"/>
  <c r="C5369" i="1"/>
  <c r="G5368" i="1"/>
  <c r="C5368" i="1"/>
  <c r="G5367" i="1"/>
  <c r="C5367" i="1"/>
  <c r="G5366" i="1"/>
  <c r="C5366" i="1"/>
  <c r="G5365" i="1"/>
  <c r="C5365" i="1"/>
  <c r="G5364" i="1"/>
  <c r="C5364" i="1"/>
  <c r="G5363" i="1"/>
  <c r="C5363" i="1"/>
  <c r="G5362" i="1"/>
  <c r="C5362" i="1"/>
  <c r="G5361" i="1"/>
  <c r="C5361" i="1"/>
  <c r="G5360" i="1"/>
  <c r="C5360" i="1"/>
  <c r="G5359" i="1"/>
  <c r="C5359" i="1"/>
  <c r="G5358" i="1"/>
  <c r="C5358" i="1"/>
  <c r="G5357" i="1"/>
  <c r="C5357" i="1"/>
  <c r="G5356" i="1"/>
  <c r="C5356" i="1"/>
  <c r="G5355" i="1"/>
  <c r="C5355" i="1"/>
  <c r="G5354" i="1"/>
  <c r="C5354" i="1"/>
  <c r="G5353" i="1"/>
  <c r="C5353" i="1"/>
  <c r="G5352" i="1"/>
  <c r="C5352" i="1"/>
  <c r="G5351" i="1"/>
  <c r="C5351" i="1"/>
  <c r="G5350" i="1"/>
  <c r="C5350" i="1"/>
  <c r="G5349" i="1"/>
  <c r="C5349" i="1"/>
  <c r="G5348" i="1"/>
  <c r="C5348" i="1"/>
  <c r="G5347" i="1"/>
  <c r="C5347" i="1"/>
  <c r="G5346" i="1"/>
  <c r="C5346" i="1"/>
  <c r="G5345" i="1"/>
  <c r="C5345" i="1"/>
  <c r="G5344" i="1"/>
  <c r="C5344" i="1"/>
  <c r="G5343" i="1"/>
  <c r="C5343" i="1"/>
  <c r="G5341" i="1"/>
  <c r="C5341" i="1"/>
  <c r="G5340" i="1"/>
  <c r="C5340" i="1"/>
  <c r="G5339" i="1"/>
  <c r="C5339" i="1"/>
  <c r="G5338" i="1"/>
  <c r="C5338" i="1"/>
  <c r="G5337" i="1"/>
  <c r="C5337" i="1"/>
  <c r="G5336" i="1"/>
  <c r="C5336" i="1"/>
  <c r="G5335" i="1"/>
  <c r="C5335" i="1"/>
  <c r="G5334" i="1"/>
  <c r="C5334" i="1"/>
  <c r="G5333" i="1"/>
  <c r="C5333" i="1"/>
  <c r="G5332" i="1"/>
  <c r="C5332" i="1"/>
  <c r="G5331" i="1"/>
  <c r="C5331" i="1"/>
  <c r="G5330" i="1"/>
  <c r="C5330" i="1"/>
  <c r="G5329" i="1"/>
  <c r="C5329" i="1"/>
  <c r="G5328" i="1"/>
  <c r="C5328" i="1"/>
  <c r="G5326" i="1"/>
  <c r="C5326" i="1"/>
  <c r="G5325" i="1"/>
  <c r="C5325" i="1"/>
  <c r="G5324" i="1"/>
  <c r="C5324" i="1"/>
  <c r="G5323" i="1"/>
  <c r="C5323" i="1"/>
  <c r="G5322" i="1"/>
  <c r="C5322" i="1"/>
  <c r="G5321" i="1"/>
  <c r="C5321" i="1"/>
  <c r="G5320" i="1"/>
  <c r="C5320" i="1"/>
  <c r="G5319" i="1"/>
  <c r="C5319" i="1"/>
  <c r="G5318" i="1"/>
  <c r="C5318" i="1"/>
  <c r="G5317" i="1"/>
  <c r="C5317" i="1"/>
  <c r="G5316" i="1"/>
  <c r="C5316" i="1"/>
  <c r="G5315" i="1"/>
  <c r="C5315" i="1"/>
  <c r="G5314" i="1"/>
  <c r="C5314" i="1"/>
  <c r="G5313" i="1"/>
  <c r="C5313" i="1"/>
  <c r="G5312" i="1"/>
  <c r="C5312" i="1"/>
  <c r="G5311" i="1"/>
  <c r="C5311" i="1"/>
  <c r="G5310" i="1"/>
  <c r="C5310" i="1"/>
  <c r="G5309" i="1"/>
  <c r="C5309" i="1"/>
  <c r="G5308" i="1"/>
  <c r="C5308" i="1"/>
  <c r="G5307" i="1"/>
  <c r="C5307" i="1"/>
  <c r="G5306" i="1"/>
  <c r="C5306" i="1"/>
  <c r="G5305" i="1"/>
  <c r="C5305" i="1"/>
  <c r="G5304" i="1"/>
  <c r="C5304" i="1"/>
  <c r="G5303" i="1"/>
  <c r="C5303" i="1"/>
  <c r="G5302" i="1"/>
  <c r="C5302" i="1"/>
  <c r="G5301" i="1"/>
  <c r="C5301" i="1"/>
  <c r="G5300" i="1"/>
  <c r="C5300" i="1"/>
  <c r="G5299" i="1"/>
  <c r="C5299" i="1"/>
  <c r="G5298" i="1"/>
  <c r="C5298" i="1"/>
  <c r="G5297" i="1"/>
  <c r="C5297" i="1"/>
  <c r="G5296" i="1"/>
  <c r="C5296" i="1"/>
  <c r="G5295" i="1"/>
  <c r="C5295" i="1"/>
  <c r="G5294" i="1"/>
  <c r="C5294" i="1"/>
  <c r="G5293" i="1"/>
  <c r="C5293" i="1"/>
  <c r="G5292" i="1"/>
  <c r="C5292" i="1"/>
  <c r="G5291" i="1"/>
  <c r="C5291" i="1"/>
  <c r="G5290" i="1"/>
  <c r="C5290" i="1"/>
  <c r="G5289" i="1"/>
  <c r="C5289" i="1"/>
  <c r="G5288" i="1"/>
  <c r="C5288" i="1"/>
  <c r="G5287" i="1"/>
  <c r="C5287" i="1"/>
  <c r="G5286" i="1"/>
  <c r="C5286" i="1"/>
  <c r="G5285" i="1"/>
  <c r="C5285" i="1"/>
  <c r="G5284" i="1"/>
  <c r="C5284" i="1"/>
  <c r="G5283" i="1"/>
  <c r="C5283" i="1"/>
  <c r="G5282" i="1"/>
  <c r="C5282" i="1"/>
  <c r="G5281" i="1"/>
  <c r="C5281" i="1"/>
  <c r="G5280" i="1"/>
  <c r="C5280" i="1"/>
  <c r="G5279" i="1"/>
  <c r="C5279" i="1"/>
  <c r="G5278" i="1"/>
  <c r="C5278" i="1"/>
  <c r="G5277" i="1"/>
  <c r="C5277" i="1"/>
  <c r="G5276" i="1"/>
  <c r="C5276" i="1"/>
  <c r="G5275" i="1"/>
  <c r="C5275" i="1"/>
  <c r="G5274" i="1"/>
  <c r="C5274" i="1"/>
  <c r="G5273" i="1"/>
  <c r="C5273" i="1"/>
  <c r="G5272" i="1"/>
  <c r="C5272" i="1"/>
  <c r="G5271" i="1"/>
  <c r="C5271" i="1"/>
  <c r="G5270" i="1"/>
  <c r="C5270" i="1"/>
  <c r="G5268" i="1"/>
  <c r="C5268" i="1"/>
  <c r="G5267" i="1"/>
  <c r="C5267" i="1"/>
  <c r="G5266" i="1"/>
  <c r="C5266" i="1"/>
  <c r="G5265" i="1"/>
  <c r="C5265" i="1"/>
  <c r="G5264" i="1"/>
  <c r="C5264" i="1"/>
  <c r="G5263" i="1"/>
  <c r="C5263" i="1"/>
  <c r="G5262" i="1"/>
  <c r="C5262" i="1"/>
  <c r="G5261" i="1"/>
  <c r="C5261" i="1"/>
  <c r="G5260" i="1"/>
  <c r="C5260" i="1"/>
  <c r="G5259" i="1"/>
  <c r="C5259" i="1"/>
  <c r="G5258" i="1"/>
  <c r="C5258" i="1"/>
  <c r="G5257" i="1"/>
  <c r="C5257" i="1"/>
  <c r="G5256" i="1"/>
  <c r="C5256" i="1"/>
  <c r="G5255" i="1"/>
  <c r="C5255" i="1"/>
  <c r="G5254" i="1"/>
  <c r="C5254" i="1"/>
  <c r="G5253" i="1"/>
  <c r="C5253" i="1"/>
  <c r="G5252" i="1"/>
  <c r="C5252" i="1"/>
  <c r="G5251" i="1"/>
  <c r="C5251" i="1"/>
  <c r="G5250" i="1"/>
  <c r="C5250" i="1"/>
  <c r="G5249" i="1"/>
  <c r="C5249" i="1"/>
  <c r="G5248" i="1"/>
  <c r="C5248" i="1"/>
  <c r="G5247" i="1"/>
  <c r="C5247" i="1"/>
  <c r="G5245" i="1"/>
  <c r="C5245" i="1"/>
  <c r="G5244" i="1"/>
  <c r="C5244" i="1"/>
  <c r="G5243" i="1"/>
  <c r="C5243" i="1"/>
  <c r="G5242" i="1"/>
  <c r="C5242" i="1"/>
  <c r="G5241" i="1"/>
  <c r="C5241" i="1"/>
  <c r="G5240" i="1"/>
  <c r="C5240" i="1"/>
  <c r="G5239" i="1"/>
  <c r="C5239" i="1"/>
  <c r="G5238" i="1"/>
  <c r="C5238" i="1"/>
  <c r="G5237" i="1"/>
  <c r="C5237" i="1"/>
  <c r="G5236" i="1"/>
  <c r="C5236" i="1"/>
  <c r="G5235" i="1"/>
  <c r="C5235" i="1"/>
  <c r="G5234" i="1"/>
  <c r="C5234" i="1"/>
  <c r="G5233" i="1"/>
  <c r="C5233" i="1"/>
  <c r="G5232" i="1"/>
  <c r="C5232" i="1"/>
  <c r="G5231" i="1"/>
  <c r="C5231" i="1"/>
  <c r="G5230" i="1"/>
  <c r="C5230" i="1"/>
  <c r="G5229" i="1"/>
  <c r="C5229" i="1"/>
  <c r="G5228" i="1"/>
  <c r="C5228" i="1"/>
  <c r="G5227" i="1"/>
  <c r="C5227" i="1"/>
  <c r="G5226" i="1"/>
  <c r="C5226" i="1"/>
  <c r="G5225" i="1"/>
  <c r="C5225" i="1"/>
  <c r="G5224" i="1"/>
  <c r="C5224" i="1"/>
  <c r="G5223" i="1"/>
  <c r="C5223" i="1"/>
  <c r="G5222" i="1"/>
  <c r="C5222" i="1"/>
  <c r="G5221" i="1"/>
  <c r="C5221" i="1"/>
  <c r="G5220" i="1"/>
  <c r="C5220" i="1"/>
  <c r="G5219" i="1"/>
  <c r="C5219" i="1"/>
  <c r="G5218" i="1"/>
  <c r="C5218" i="1"/>
  <c r="G5217" i="1"/>
  <c r="C5217" i="1"/>
  <c r="G5216" i="1"/>
  <c r="C5216" i="1"/>
  <c r="G5215" i="1"/>
  <c r="C5215" i="1"/>
  <c r="G5214" i="1"/>
  <c r="C5214" i="1"/>
  <c r="G5213" i="1"/>
  <c r="C5213" i="1"/>
  <c r="G5212" i="1"/>
  <c r="C5212" i="1"/>
  <c r="G5211" i="1"/>
  <c r="C5211" i="1"/>
  <c r="G5210" i="1"/>
  <c r="C5210" i="1"/>
  <c r="G5208" i="1"/>
  <c r="C5208" i="1"/>
  <c r="G5207" i="1"/>
  <c r="C5207" i="1"/>
  <c r="G5206" i="1"/>
  <c r="C5206" i="1"/>
  <c r="G5205" i="1"/>
  <c r="C5205" i="1"/>
  <c r="G5204" i="1"/>
  <c r="C5204" i="1"/>
  <c r="G5203" i="1"/>
  <c r="C5203" i="1"/>
  <c r="G5202" i="1"/>
  <c r="C5202" i="1"/>
  <c r="G5201" i="1"/>
  <c r="C5201" i="1"/>
  <c r="G5200" i="1"/>
  <c r="C5200" i="1"/>
  <c r="G5199" i="1"/>
  <c r="C5199" i="1"/>
  <c r="G5198" i="1"/>
  <c r="C5198" i="1"/>
  <c r="G5197" i="1"/>
  <c r="C5197" i="1"/>
  <c r="G5196" i="1"/>
  <c r="C5196" i="1"/>
  <c r="G5195" i="1"/>
  <c r="C5195" i="1"/>
  <c r="G5194" i="1"/>
  <c r="C5194" i="1"/>
  <c r="G5193" i="1"/>
  <c r="C5193" i="1"/>
  <c r="G5192" i="1"/>
  <c r="C5192" i="1"/>
  <c r="G5191" i="1"/>
  <c r="C5191" i="1"/>
  <c r="G5190" i="1"/>
  <c r="C5190" i="1"/>
  <c r="G5189" i="1"/>
  <c r="C5189" i="1"/>
  <c r="G5188" i="1"/>
  <c r="C5188" i="1"/>
  <c r="G5187" i="1"/>
  <c r="C5187" i="1"/>
  <c r="G5186" i="1"/>
  <c r="C5186" i="1"/>
  <c r="G5185" i="1"/>
  <c r="C5185" i="1"/>
  <c r="G5184" i="1"/>
  <c r="C5184" i="1"/>
  <c r="G5183" i="1"/>
  <c r="C5183" i="1"/>
  <c r="G5182" i="1"/>
  <c r="C5182" i="1"/>
  <c r="G5181" i="1"/>
  <c r="C5181" i="1"/>
  <c r="G5180" i="1"/>
  <c r="C5180" i="1"/>
  <c r="G5179" i="1"/>
  <c r="C5179" i="1"/>
  <c r="G5178" i="1"/>
  <c r="C5178" i="1"/>
  <c r="G5176" i="1"/>
  <c r="C5176" i="1"/>
  <c r="G5175" i="1"/>
  <c r="C5175" i="1"/>
  <c r="G5174" i="1"/>
  <c r="C5174" i="1"/>
  <c r="G5173" i="1"/>
  <c r="C5173" i="1"/>
  <c r="G5172" i="1"/>
  <c r="C5172" i="1"/>
  <c r="G5171" i="1"/>
  <c r="C5171" i="1"/>
  <c r="G5170" i="1"/>
  <c r="C5170" i="1"/>
  <c r="G5169" i="1"/>
  <c r="C5169" i="1"/>
  <c r="G5168" i="1"/>
  <c r="C5168" i="1"/>
  <c r="G5167" i="1"/>
  <c r="C5167" i="1"/>
  <c r="G5166" i="1"/>
  <c r="C5166" i="1"/>
  <c r="G5165" i="1"/>
  <c r="C5165" i="1"/>
  <c r="G5164" i="1"/>
  <c r="C5164" i="1"/>
  <c r="G5163" i="1"/>
  <c r="C5163" i="1"/>
  <c r="G5162" i="1"/>
  <c r="C5162" i="1"/>
  <c r="G5161" i="1"/>
  <c r="C5161" i="1"/>
  <c r="G5160" i="1"/>
  <c r="C5160" i="1"/>
  <c r="G5159" i="1"/>
  <c r="C5159" i="1"/>
  <c r="G5158" i="1"/>
  <c r="C5158" i="1"/>
  <c r="G5157" i="1"/>
  <c r="C5157" i="1"/>
  <c r="G5156" i="1"/>
  <c r="C5156" i="1"/>
  <c r="G5155" i="1"/>
  <c r="C5155" i="1"/>
  <c r="G5154" i="1"/>
  <c r="C5154" i="1"/>
  <c r="G5153" i="1"/>
  <c r="C5153" i="1"/>
  <c r="G5152" i="1"/>
  <c r="C5152" i="1"/>
  <c r="G5151" i="1"/>
  <c r="C5151" i="1"/>
  <c r="G5150" i="1"/>
  <c r="C5150" i="1"/>
  <c r="G5149" i="1"/>
  <c r="C5149" i="1"/>
  <c r="G5147" i="1"/>
  <c r="C5147" i="1"/>
  <c r="G5146" i="1"/>
  <c r="C5146" i="1"/>
  <c r="G5145" i="1"/>
  <c r="C5145" i="1"/>
  <c r="G5144" i="1"/>
  <c r="C5144" i="1"/>
  <c r="G5143" i="1"/>
  <c r="C5143" i="1"/>
  <c r="G5142" i="1"/>
  <c r="C5142" i="1"/>
  <c r="G5141" i="1"/>
  <c r="C5141" i="1"/>
  <c r="G5140" i="1"/>
  <c r="C5140" i="1"/>
  <c r="G5139" i="1"/>
  <c r="C5139" i="1"/>
  <c r="G5138" i="1"/>
  <c r="C5138" i="1"/>
  <c r="G5137" i="1"/>
  <c r="C5137" i="1"/>
  <c r="G5136" i="1"/>
  <c r="C5136" i="1"/>
  <c r="G5135" i="1"/>
  <c r="C5135" i="1"/>
  <c r="G5134" i="1"/>
  <c r="C5134" i="1"/>
  <c r="G5133" i="1"/>
  <c r="C5133" i="1"/>
  <c r="G5132" i="1"/>
  <c r="C5132" i="1"/>
  <c r="G5131" i="1"/>
  <c r="C5131" i="1"/>
  <c r="G5130" i="1"/>
  <c r="C5130" i="1"/>
  <c r="G5129" i="1"/>
  <c r="C5129" i="1"/>
  <c r="G5128" i="1"/>
  <c r="C5128" i="1"/>
  <c r="G5127" i="1"/>
  <c r="C5127" i="1"/>
  <c r="G5126" i="1"/>
  <c r="C5126" i="1"/>
  <c r="G5125" i="1"/>
  <c r="C5125" i="1"/>
  <c r="G5124" i="1"/>
  <c r="C5124" i="1"/>
  <c r="G5123" i="1"/>
  <c r="C5123" i="1"/>
  <c r="G5122" i="1"/>
  <c r="C5122" i="1"/>
  <c r="G5121" i="1"/>
  <c r="C5121" i="1"/>
  <c r="G5120" i="1"/>
  <c r="C5120" i="1"/>
  <c r="G5119" i="1"/>
  <c r="C5119" i="1"/>
  <c r="G5118" i="1"/>
  <c r="C5118" i="1"/>
  <c r="G5117" i="1"/>
  <c r="C5117" i="1"/>
  <c r="G5116" i="1"/>
  <c r="C5116" i="1"/>
  <c r="G5115" i="1"/>
  <c r="C5115" i="1"/>
  <c r="G5114" i="1"/>
  <c r="C5114" i="1"/>
  <c r="G5113" i="1"/>
  <c r="C5113" i="1"/>
  <c r="G5112" i="1"/>
  <c r="C5112" i="1"/>
  <c r="G5111" i="1"/>
  <c r="C5111" i="1"/>
  <c r="G5110" i="1"/>
  <c r="C5110" i="1"/>
  <c r="G5109" i="1"/>
  <c r="C5109" i="1"/>
  <c r="G5108" i="1"/>
  <c r="C5108" i="1"/>
  <c r="G5107" i="1"/>
  <c r="C5107" i="1"/>
  <c r="G5106" i="1"/>
  <c r="C5106" i="1"/>
  <c r="G5105" i="1"/>
  <c r="C5105" i="1"/>
  <c r="G5104" i="1"/>
  <c r="C5104" i="1"/>
  <c r="G5103" i="1"/>
  <c r="C5103" i="1"/>
  <c r="G5102" i="1"/>
  <c r="C5102" i="1"/>
  <c r="G5101" i="1"/>
  <c r="C5101" i="1"/>
  <c r="G5100" i="1"/>
  <c r="C5100" i="1"/>
  <c r="G5099" i="1"/>
  <c r="C5099" i="1"/>
  <c r="G5098" i="1"/>
  <c r="C5098" i="1"/>
  <c r="G5097" i="1"/>
  <c r="C5097" i="1"/>
  <c r="G5096" i="1"/>
  <c r="C5096" i="1"/>
  <c r="G5095" i="1"/>
  <c r="C5095" i="1"/>
  <c r="G5094" i="1"/>
  <c r="C5094" i="1"/>
  <c r="G5093" i="1"/>
  <c r="C5093" i="1"/>
  <c r="G5092" i="1"/>
  <c r="C5092" i="1"/>
  <c r="G5091" i="1"/>
  <c r="C5091" i="1"/>
  <c r="G5090" i="1"/>
  <c r="C5090" i="1"/>
  <c r="G5089" i="1"/>
  <c r="C5089" i="1"/>
  <c r="G5088" i="1"/>
  <c r="C5088" i="1"/>
  <c r="G5087" i="1"/>
  <c r="C5087" i="1"/>
  <c r="G5086" i="1"/>
  <c r="C5086" i="1"/>
  <c r="G5085" i="1"/>
  <c r="C5085" i="1"/>
  <c r="G5084" i="1"/>
  <c r="C5084" i="1"/>
  <c r="G5083" i="1"/>
  <c r="C5083" i="1"/>
  <c r="G5082" i="1"/>
  <c r="C5082" i="1"/>
  <c r="G5081" i="1"/>
  <c r="C5081" i="1"/>
  <c r="G5080" i="1"/>
  <c r="C5080" i="1"/>
  <c r="G5079" i="1"/>
  <c r="C5079" i="1"/>
  <c r="G5078" i="1"/>
  <c r="C5078" i="1"/>
  <c r="G5077" i="1"/>
  <c r="C5077" i="1"/>
  <c r="G5076" i="1"/>
  <c r="C5076" i="1"/>
  <c r="G5075" i="1"/>
  <c r="C5075" i="1"/>
  <c r="G5074" i="1"/>
  <c r="C5074" i="1"/>
  <c r="G5073" i="1"/>
  <c r="C5073" i="1"/>
  <c r="G5071" i="1"/>
  <c r="C5071" i="1"/>
  <c r="G5070" i="1"/>
  <c r="C5070" i="1"/>
  <c r="G5069" i="1"/>
  <c r="C5069" i="1"/>
  <c r="G5068" i="1"/>
  <c r="C5068" i="1"/>
  <c r="G5067" i="1"/>
  <c r="C5067" i="1"/>
  <c r="G5066" i="1"/>
  <c r="C5066" i="1"/>
  <c r="G5065" i="1"/>
  <c r="C5065" i="1"/>
  <c r="G5064" i="1"/>
  <c r="C5064" i="1"/>
  <c r="G5063" i="1"/>
  <c r="C5063" i="1"/>
  <c r="G5062" i="1"/>
  <c r="C5062" i="1"/>
  <c r="G5061" i="1"/>
  <c r="C5061" i="1"/>
  <c r="G5060" i="1"/>
  <c r="C5060" i="1"/>
  <c r="G5059" i="1"/>
  <c r="C5059" i="1"/>
  <c r="G5058" i="1"/>
  <c r="C5058" i="1"/>
  <c r="G5057" i="1"/>
  <c r="C5057" i="1"/>
  <c r="G5056" i="1"/>
  <c r="C5056" i="1"/>
  <c r="G5055" i="1"/>
  <c r="C5055" i="1"/>
  <c r="G5054" i="1"/>
  <c r="C5054" i="1"/>
  <c r="G5053" i="1"/>
  <c r="C5053" i="1"/>
  <c r="G5051" i="1"/>
  <c r="C5051" i="1"/>
  <c r="G5050" i="1"/>
  <c r="C5050" i="1"/>
  <c r="G5049" i="1"/>
  <c r="C5049" i="1"/>
  <c r="G5048" i="1"/>
  <c r="C5048" i="1"/>
  <c r="G5047" i="1"/>
  <c r="C5047" i="1"/>
  <c r="G5046" i="1"/>
  <c r="C5046" i="1"/>
  <c r="G5045" i="1"/>
  <c r="C5045" i="1"/>
  <c r="G5044" i="1"/>
  <c r="C5044" i="1"/>
  <c r="G5043" i="1"/>
  <c r="C5043" i="1"/>
  <c r="G5042" i="1"/>
  <c r="C5042" i="1"/>
  <c r="G5041" i="1"/>
  <c r="C5041" i="1"/>
  <c r="G5040" i="1"/>
  <c r="C5040" i="1"/>
  <c r="G5039" i="1"/>
  <c r="C5039" i="1"/>
  <c r="G5038" i="1"/>
  <c r="C5038" i="1"/>
  <c r="G5037" i="1"/>
  <c r="C5037" i="1"/>
  <c r="G5036" i="1"/>
  <c r="C5036" i="1"/>
  <c r="G5035" i="1"/>
  <c r="C5035" i="1"/>
  <c r="G5034" i="1"/>
  <c r="C5034" i="1"/>
  <c r="G5033" i="1"/>
  <c r="C5033" i="1"/>
  <c r="G5032" i="1"/>
  <c r="C5032" i="1"/>
  <c r="G5031" i="1"/>
  <c r="C5031" i="1"/>
  <c r="G5030" i="1"/>
  <c r="C5030" i="1"/>
  <c r="G5029" i="1"/>
  <c r="C5029" i="1"/>
  <c r="G5028" i="1"/>
  <c r="C5028" i="1"/>
  <c r="G5027" i="1"/>
  <c r="C5027" i="1"/>
  <c r="G5026" i="1"/>
  <c r="C5026" i="1"/>
  <c r="G5025" i="1"/>
  <c r="C5025" i="1"/>
  <c r="G5024" i="1"/>
  <c r="C5024" i="1"/>
  <c r="G5023" i="1"/>
  <c r="C5023" i="1"/>
  <c r="G5021" i="1"/>
  <c r="C5021" i="1"/>
  <c r="G5020" i="1"/>
  <c r="C5020" i="1"/>
  <c r="G5019" i="1"/>
  <c r="C5019" i="1"/>
  <c r="G5018" i="1"/>
  <c r="C5018" i="1"/>
  <c r="G5017" i="1"/>
  <c r="C5017" i="1"/>
  <c r="G5016" i="1"/>
  <c r="C5016" i="1"/>
  <c r="G5015" i="1"/>
  <c r="C5015" i="1"/>
  <c r="G5014" i="1"/>
  <c r="C5014" i="1"/>
  <c r="G5013" i="1"/>
  <c r="C5013" i="1"/>
  <c r="G5012" i="1"/>
  <c r="C5012" i="1"/>
  <c r="G5011" i="1"/>
  <c r="C5011" i="1"/>
  <c r="G5010" i="1"/>
  <c r="C5010" i="1"/>
  <c r="G5009" i="1"/>
  <c r="C5009" i="1"/>
  <c r="G5008" i="1"/>
  <c r="C5008" i="1"/>
  <c r="G5007" i="1"/>
  <c r="C5007" i="1"/>
  <c r="G5006" i="1"/>
  <c r="C5006" i="1"/>
  <c r="G5005" i="1"/>
  <c r="C5005" i="1"/>
  <c r="G5004" i="1"/>
  <c r="C5004" i="1"/>
  <c r="G5003" i="1"/>
  <c r="C5003" i="1"/>
  <c r="G5002" i="1"/>
  <c r="C5002" i="1"/>
  <c r="G5001" i="1"/>
  <c r="C5001" i="1"/>
  <c r="G5000" i="1"/>
  <c r="C5000" i="1"/>
  <c r="G4999" i="1"/>
  <c r="C4999" i="1"/>
  <c r="G4998" i="1"/>
  <c r="C4998" i="1"/>
  <c r="G4997" i="1"/>
  <c r="C4997" i="1"/>
  <c r="G4996" i="1"/>
  <c r="C4996" i="1"/>
  <c r="G4995" i="1"/>
  <c r="C4995" i="1"/>
  <c r="G4994" i="1"/>
  <c r="C4994" i="1"/>
  <c r="G4993" i="1"/>
  <c r="C4993" i="1"/>
  <c r="G4992" i="1"/>
  <c r="C4992" i="1"/>
  <c r="G4991" i="1"/>
  <c r="C4991" i="1"/>
  <c r="G4990" i="1"/>
  <c r="C4990" i="1"/>
  <c r="G4989" i="1"/>
  <c r="C4989" i="1"/>
  <c r="G4988" i="1"/>
  <c r="C4988" i="1"/>
  <c r="G4987" i="1"/>
  <c r="C4987" i="1"/>
  <c r="G4986" i="1"/>
  <c r="C4986" i="1"/>
  <c r="G4985" i="1"/>
  <c r="C4985" i="1"/>
  <c r="G4984" i="1"/>
  <c r="C4984" i="1"/>
  <c r="G4983" i="1"/>
  <c r="C4983" i="1"/>
  <c r="G4982" i="1"/>
  <c r="C4982" i="1"/>
  <c r="G4981" i="1"/>
  <c r="C4981" i="1"/>
  <c r="G4980" i="1"/>
  <c r="C4980" i="1"/>
  <c r="G4979" i="1"/>
  <c r="C4979" i="1"/>
  <c r="G4978" i="1"/>
  <c r="C4978" i="1"/>
  <c r="G4977" i="1"/>
  <c r="C4977" i="1"/>
  <c r="G4976" i="1"/>
  <c r="C4976" i="1"/>
  <c r="G4975" i="1"/>
  <c r="C4975" i="1"/>
  <c r="G4974" i="1"/>
  <c r="C4974" i="1"/>
  <c r="G4972" i="1"/>
  <c r="C4972" i="1"/>
  <c r="G4971" i="1"/>
  <c r="C4971" i="1"/>
  <c r="G4970" i="1"/>
  <c r="C4970" i="1"/>
  <c r="G4969" i="1"/>
  <c r="C4969" i="1"/>
  <c r="G4968" i="1"/>
  <c r="C4968" i="1"/>
  <c r="G4967" i="1"/>
  <c r="C4967" i="1"/>
  <c r="G4966" i="1"/>
  <c r="C4966" i="1"/>
  <c r="G4965" i="1"/>
  <c r="C4965" i="1"/>
  <c r="G4964" i="1"/>
  <c r="C4964" i="1"/>
  <c r="G4963" i="1"/>
  <c r="C4963" i="1"/>
  <c r="G4962" i="1"/>
  <c r="C4962" i="1"/>
  <c r="G4961" i="1"/>
  <c r="C4961" i="1"/>
  <c r="G4960" i="1"/>
  <c r="C4960" i="1"/>
  <c r="G4959" i="1"/>
  <c r="C4959" i="1"/>
  <c r="G4958" i="1"/>
  <c r="C4958" i="1"/>
  <c r="G4957" i="1"/>
  <c r="C4957" i="1"/>
  <c r="G4956" i="1"/>
  <c r="C4956" i="1"/>
  <c r="G4955" i="1"/>
  <c r="C4955" i="1"/>
  <c r="G4954" i="1"/>
  <c r="C4954" i="1"/>
  <c r="G4953" i="1"/>
  <c r="C4953" i="1"/>
  <c r="G4952" i="1"/>
  <c r="C4952" i="1"/>
  <c r="G4951" i="1"/>
  <c r="C4951" i="1"/>
  <c r="G4950" i="1"/>
  <c r="C4950" i="1"/>
  <c r="G4949" i="1"/>
  <c r="C4949" i="1"/>
  <c r="G4948" i="1"/>
  <c r="C4948" i="1"/>
  <c r="G4947" i="1"/>
  <c r="C4947" i="1"/>
  <c r="G4946" i="1"/>
  <c r="C4946" i="1"/>
  <c r="G4945" i="1"/>
  <c r="C4945" i="1"/>
  <c r="G4944" i="1"/>
  <c r="C4944" i="1"/>
  <c r="G4943" i="1"/>
  <c r="C4943" i="1"/>
  <c r="G4942" i="1"/>
  <c r="C4942" i="1"/>
  <c r="G4941" i="1"/>
  <c r="C4941" i="1"/>
  <c r="G4940" i="1"/>
  <c r="C4940" i="1"/>
  <c r="G4939" i="1"/>
  <c r="C4939" i="1"/>
  <c r="G4938" i="1"/>
  <c r="C4938" i="1"/>
  <c r="G4937" i="1"/>
  <c r="C4937" i="1"/>
  <c r="G4936" i="1"/>
  <c r="C4936" i="1"/>
  <c r="G4935" i="1"/>
  <c r="C4935" i="1"/>
  <c r="G4934" i="1"/>
  <c r="C4934" i="1"/>
  <c r="G4933" i="1"/>
  <c r="C4933" i="1"/>
  <c r="G4932" i="1"/>
  <c r="C4932" i="1"/>
  <c r="G4930" i="1"/>
  <c r="C4930" i="1"/>
  <c r="G4929" i="1"/>
  <c r="C4929" i="1"/>
  <c r="G4928" i="1"/>
  <c r="C4928" i="1"/>
  <c r="G4927" i="1"/>
  <c r="C4927" i="1"/>
  <c r="G4926" i="1"/>
  <c r="C4926" i="1"/>
  <c r="G4925" i="1"/>
  <c r="C4925" i="1"/>
  <c r="G4924" i="1"/>
  <c r="C4924" i="1"/>
  <c r="G4923" i="1"/>
  <c r="C4923" i="1"/>
  <c r="G4922" i="1"/>
  <c r="C4922" i="1"/>
  <c r="G4921" i="1"/>
  <c r="C4921" i="1"/>
  <c r="G4920" i="1"/>
  <c r="C4920" i="1"/>
  <c r="G4919" i="1"/>
  <c r="C4919" i="1"/>
  <c r="G4918" i="1"/>
  <c r="C4918" i="1"/>
  <c r="G4917" i="1"/>
  <c r="C4917" i="1"/>
  <c r="G4916" i="1"/>
  <c r="C4916" i="1"/>
  <c r="G4915" i="1"/>
  <c r="C4915" i="1"/>
  <c r="G4914" i="1"/>
  <c r="C4914" i="1"/>
  <c r="G4913" i="1"/>
  <c r="C4913" i="1"/>
  <c r="G4912" i="1"/>
  <c r="C4912" i="1"/>
  <c r="G4911" i="1"/>
  <c r="C4911" i="1"/>
  <c r="G4910" i="1"/>
  <c r="C4910" i="1"/>
  <c r="G4909" i="1"/>
  <c r="C4909" i="1"/>
  <c r="G4908" i="1"/>
  <c r="C4908" i="1"/>
  <c r="G4907" i="1"/>
  <c r="C4907" i="1"/>
  <c r="G4906" i="1"/>
  <c r="C4906" i="1"/>
  <c r="G4905" i="1"/>
  <c r="C4905" i="1"/>
  <c r="G4904" i="1"/>
  <c r="C4904" i="1"/>
  <c r="G4903" i="1"/>
  <c r="C4903" i="1"/>
  <c r="G4902" i="1"/>
  <c r="C4902" i="1"/>
  <c r="G4901" i="1"/>
  <c r="C4901" i="1"/>
  <c r="G4900" i="1"/>
  <c r="C4900" i="1"/>
  <c r="G4899" i="1"/>
  <c r="C4899" i="1"/>
  <c r="G4898" i="1"/>
  <c r="C4898" i="1"/>
  <c r="G4897" i="1"/>
  <c r="C4897" i="1"/>
  <c r="G4896" i="1"/>
  <c r="C4896" i="1"/>
  <c r="G4895" i="1"/>
  <c r="C4895" i="1"/>
  <c r="G4894" i="1"/>
  <c r="C4894" i="1"/>
  <c r="G4892" i="1"/>
  <c r="C4892" i="1"/>
  <c r="G4891" i="1"/>
  <c r="C4891" i="1"/>
  <c r="G4890" i="1"/>
  <c r="C4890" i="1"/>
  <c r="G4889" i="1"/>
  <c r="C4889" i="1"/>
  <c r="G4888" i="1"/>
  <c r="C4888" i="1"/>
  <c r="G4887" i="1"/>
  <c r="C4887" i="1"/>
  <c r="G4886" i="1"/>
  <c r="C4886" i="1"/>
  <c r="G4885" i="1"/>
  <c r="C4885" i="1"/>
  <c r="G4884" i="1"/>
  <c r="C4884" i="1"/>
  <c r="G4883" i="1"/>
  <c r="C4883" i="1"/>
  <c r="G4882" i="1"/>
  <c r="C4882" i="1"/>
  <c r="G4881" i="1"/>
  <c r="C4881" i="1"/>
  <c r="G4880" i="1"/>
  <c r="C4880" i="1"/>
  <c r="G4879" i="1"/>
  <c r="C4879" i="1"/>
  <c r="G4878" i="1"/>
  <c r="C4878" i="1"/>
  <c r="G4877" i="1"/>
  <c r="C4877" i="1"/>
  <c r="G4876" i="1"/>
  <c r="C4876" i="1"/>
  <c r="G4875" i="1"/>
  <c r="C4875" i="1"/>
  <c r="G4872" i="1"/>
  <c r="C4872" i="1"/>
  <c r="G4871" i="1"/>
  <c r="C4871" i="1"/>
  <c r="G4870" i="1"/>
  <c r="C4870" i="1"/>
  <c r="G4869" i="1"/>
  <c r="C4869" i="1"/>
  <c r="G4868" i="1"/>
  <c r="C4868" i="1"/>
  <c r="G4867" i="1"/>
  <c r="C4867" i="1"/>
  <c r="G4866" i="1"/>
  <c r="C4866" i="1"/>
  <c r="G4865" i="1"/>
  <c r="C4865" i="1"/>
  <c r="G4864" i="1"/>
  <c r="C4864" i="1"/>
  <c r="G4863" i="1"/>
  <c r="C4863" i="1"/>
  <c r="G4862" i="1"/>
  <c r="C4862" i="1"/>
  <c r="G4861" i="1"/>
  <c r="C4861" i="1"/>
  <c r="G4860" i="1"/>
  <c r="C4860" i="1"/>
  <c r="G4859" i="1"/>
  <c r="C4859" i="1"/>
  <c r="G4858" i="1"/>
  <c r="C4858" i="1"/>
  <c r="G4857" i="1"/>
  <c r="C4857" i="1"/>
  <c r="G4856" i="1"/>
  <c r="C4856" i="1"/>
  <c r="G4855" i="1"/>
  <c r="C4855" i="1"/>
  <c r="G4854" i="1"/>
  <c r="C4854" i="1"/>
  <c r="G4853" i="1"/>
  <c r="C4853" i="1"/>
  <c r="G4852" i="1"/>
  <c r="C4852" i="1"/>
  <c r="G4851" i="1"/>
  <c r="C4851" i="1"/>
  <c r="G4850" i="1"/>
  <c r="C4850" i="1"/>
  <c r="G4849" i="1"/>
  <c r="C4849" i="1"/>
  <c r="G4848" i="1"/>
  <c r="C4848" i="1"/>
  <c r="G4847" i="1"/>
  <c r="C4847" i="1"/>
  <c r="G4846" i="1"/>
  <c r="C4846" i="1"/>
  <c r="G4845" i="1"/>
  <c r="C4845" i="1"/>
  <c r="G4844" i="1"/>
  <c r="C4844" i="1"/>
  <c r="G4843" i="1"/>
  <c r="C4843" i="1"/>
  <c r="G4842" i="1"/>
  <c r="C4842" i="1"/>
  <c r="G4841" i="1"/>
  <c r="C4841" i="1"/>
  <c r="G4840" i="1"/>
  <c r="C4840" i="1"/>
  <c r="G4839" i="1"/>
  <c r="C4839" i="1"/>
  <c r="G4838" i="1"/>
  <c r="C4838" i="1"/>
  <c r="G4837" i="1"/>
  <c r="C4837" i="1"/>
  <c r="G4836" i="1"/>
  <c r="C4836" i="1"/>
  <c r="G4835" i="1"/>
  <c r="C4835" i="1"/>
  <c r="G4834" i="1"/>
  <c r="C4834" i="1"/>
  <c r="G4832" i="1"/>
  <c r="C4832" i="1"/>
  <c r="G4831" i="1"/>
  <c r="C4831" i="1"/>
  <c r="G4830" i="1"/>
  <c r="C4830" i="1"/>
  <c r="G4829" i="1"/>
  <c r="C4829" i="1"/>
  <c r="G4828" i="1"/>
  <c r="C4828" i="1"/>
  <c r="G4827" i="1"/>
  <c r="C4827" i="1"/>
  <c r="G4826" i="1"/>
  <c r="C4826" i="1"/>
  <c r="G4825" i="1"/>
  <c r="C4825" i="1"/>
  <c r="G4824" i="1"/>
  <c r="C4824" i="1"/>
  <c r="G4823" i="1"/>
  <c r="C4823" i="1"/>
  <c r="G4822" i="1"/>
  <c r="C4822" i="1"/>
  <c r="G4821" i="1"/>
  <c r="C4821" i="1"/>
  <c r="G4820" i="1"/>
  <c r="C4820" i="1"/>
  <c r="G4819" i="1"/>
  <c r="C4819" i="1"/>
  <c r="G4818" i="1"/>
  <c r="C4818" i="1"/>
  <c r="G4817" i="1"/>
  <c r="C4817" i="1"/>
  <c r="G4816" i="1"/>
  <c r="C4816" i="1"/>
  <c r="G4815" i="1"/>
  <c r="C4815" i="1"/>
  <c r="G4814" i="1"/>
  <c r="C4814" i="1"/>
  <c r="G4813" i="1"/>
  <c r="C4813" i="1"/>
  <c r="G4812" i="1"/>
  <c r="C4812" i="1"/>
  <c r="G4811" i="1"/>
  <c r="C4811" i="1"/>
  <c r="G4810" i="1"/>
  <c r="C4810" i="1"/>
  <c r="G4809" i="1"/>
  <c r="C4809" i="1"/>
  <c r="G4807" i="1"/>
  <c r="C4807" i="1"/>
  <c r="G4806" i="1"/>
  <c r="C4806" i="1"/>
  <c r="G4805" i="1"/>
  <c r="C4805" i="1"/>
  <c r="G4804" i="1"/>
  <c r="C4804" i="1"/>
  <c r="G4803" i="1"/>
  <c r="C4803" i="1"/>
  <c r="G4802" i="1"/>
  <c r="C4802" i="1"/>
  <c r="G4801" i="1"/>
  <c r="C4801" i="1"/>
  <c r="G4800" i="1"/>
  <c r="C4800" i="1"/>
  <c r="G4799" i="1"/>
  <c r="C4799" i="1"/>
  <c r="G4798" i="1"/>
  <c r="C4798" i="1"/>
  <c r="G4797" i="1"/>
  <c r="C4797" i="1"/>
  <c r="G4795" i="1"/>
  <c r="C4795" i="1"/>
  <c r="G4794" i="1"/>
  <c r="C4794" i="1"/>
  <c r="G4793" i="1"/>
  <c r="C4793" i="1"/>
  <c r="G4792" i="1"/>
  <c r="C4792" i="1"/>
  <c r="G4791" i="1"/>
  <c r="C4791" i="1"/>
  <c r="G4790" i="1"/>
  <c r="C4790" i="1"/>
  <c r="G4789" i="1"/>
  <c r="C4789" i="1"/>
  <c r="G4788" i="1"/>
  <c r="C4788" i="1"/>
  <c r="G4787" i="1"/>
  <c r="C4787" i="1"/>
  <c r="G4785" i="1"/>
  <c r="C4785" i="1"/>
  <c r="G4784" i="1"/>
  <c r="C4784" i="1"/>
  <c r="G4783" i="1"/>
  <c r="C4783" i="1"/>
  <c r="G4782" i="1"/>
  <c r="C4782" i="1"/>
  <c r="G4781" i="1"/>
  <c r="C4781" i="1"/>
  <c r="G4780" i="1"/>
  <c r="C4780" i="1"/>
  <c r="G4779" i="1"/>
  <c r="C4779" i="1"/>
  <c r="G4778" i="1"/>
  <c r="C4778" i="1"/>
  <c r="G4777" i="1"/>
  <c r="C4777" i="1"/>
  <c r="G4776" i="1"/>
  <c r="C4776" i="1"/>
  <c r="G4775" i="1"/>
  <c r="C4775" i="1"/>
  <c r="G4774" i="1"/>
  <c r="C4774" i="1"/>
  <c r="G4773" i="1"/>
  <c r="C4773" i="1"/>
  <c r="G4772" i="1"/>
  <c r="C4772" i="1"/>
  <c r="G4771" i="1"/>
  <c r="C4771" i="1"/>
  <c r="G4770" i="1"/>
  <c r="C4770" i="1"/>
  <c r="G4769" i="1"/>
  <c r="C4769" i="1"/>
  <c r="G4768" i="1"/>
  <c r="C4768" i="1"/>
  <c r="G4767" i="1"/>
  <c r="C4767" i="1"/>
  <c r="G4764" i="1"/>
  <c r="C4764" i="1"/>
  <c r="G4763" i="1"/>
  <c r="C4763" i="1"/>
  <c r="G4762" i="1"/>
  <c r="C4762" i="1"/>
  <c r="G4761" i="1"/>
  <c r="C4761" i="1"/>
  <c r="G4760" i="1"/>
  <c r="C4760" i="1"/>
  <c r="G4759" i="1"/>
  <c r="C4759" i="1"/>
  <c r="G4758" i="1"/>
  <c r="C4758" i="1"/>
  <c r="G4757" i="1"/>
  <c r="C4757" i="1"/>
  <c r="G4756" i="1"/>
  <c r="C4756" i="1"/>
  <c r="G4755" i="1"/>
  <c r="C4755" i="1"/>
  <c r="G4754" i="1"/>
  <c r="C4754" i="1"/>
  <c r="G4753" i="1"/>
  <c r="C4753" i="1"/>
  <c r="G4752" i="1"/>
  <c r="C4752" i="1"/>
  <c r="G4751" i="1"/>
  <c r="C4751" i="1"/>
  <c r="G4750" i="1"/>
  <c r="C4750" i="1"/>
  <c r="G4749" i="1"/>
  <c r="C4749" i="1"/>
  <c r="G4748" i="1"/>
  <c r="C4748" i="1"/>
  <c r="G4747" i="1"/>
  <c r="C4747" i="1"/>
  <c r="G4746" i="1"/>
  <c r="C4746" i="1"/>
  <c r="G4745" i="1"/>
  <c r="C4745" i="1"/>
  <c r="G4744" i="1"/>
  <c r="C4744" i="1"/>
  <c r="G4743" i="1"/>
  <c r="C4743" i="1"/>
  <c r="G4742" i="1"/>
  <c r="C4742" i="1"/>
  <c r="G4741" i="1"/>
  <c r="C4741" i="1"/>
  <c r="G4740" i="1"/>
  <c r="C4740" i="1"/>
  <c r="G4739" i="1"/>
  <c r="C4739" i="1"/>
  <c r="G4738" i="1"/>
  <c r="C4738" i="1"/>
  <c r="G4737" i="1"/>
  <c r="C4737" i="1"/>
  <c r="G4736" i="1"/>
  <c r="C4736" i="1"/>
  <c r="G4735" i="1"/>
  <c r="C4735" i="1"/>
  <c r="G4734" i="1"/>
  <c r="C4734" i="1"/>
  <c r="G4733" i="1"/>
  <c r="C4733" i="1"/>
  <c r="G4732" i="1"/>
  <c r="C4732" i="1"/>
  <c r="G4731" i="1"/>
  <c r="C4731" i="1"/>
  <c r="G4730" i="1"/>
  <c r="C4730" i="1"/>
  <c r="G4729" i="1"/>
  <c r="C4729" i="1"/>
  <c r="G4728" i="1"/>
  <c r="C4728" i="1"/>
  <c r="G4727" i="1"/>
  <c r="C4727" i="1"/>
  <c r="G4726" i="1"/>
  <c r="C4726" i="1"/>
  <c r="G4725" i="1"/>
  <c r="C4725" i="1"/>
  <c r="G4723" i="1"/>
  <c r="C4723" i="1"/>
  <c r="G4722" i="1"/>
  <c r="C4722" i="1"/>
  <c r="G4721" i="1"/>
  <c r="C4721" i="1"/>
  <c r="G4720" i="1"/>
  <c r="C4720" i="1"/>
  <c r="G4719" i="1"/>
  <c r="C4719" i="1"/>
  <c r="G4718" i="1"/>
  <c r="C4718" i="1"/>
  <c r="G4717" i="1"/>
  <c r="C4717" i="1"/>
  <c r="G4716" i="1"/>
  <c r="C4716" i="1"/>
  <c r="G4715" i="1"/>
  <c r="C4715" i="1"/>
  <c r="G4714" i="1"/>
  <c r="C4714" i="1"/>
  <c r="G4713" i="1"/>
  <c r="C4713" i="1"/>
  <c r="G4712" i="1"/>
  <c r="C4712" i="1"/>
  <c r="G4711" i="1"/>
  <c r="C4711" i="1"/>
  <c r="G4710" i="1"/>
  <c r="C4710" i="1"/>
  <c r="G4709" i="1"/>
  <c r="C4709" i="1"/>
  <c r="G4708" i="1"/>
  <c r="C4708" i="1"/>
  <c r="G4707" i="1"/>
  <c r="C4707" i="1"/>
  <c r="G4706" i="1"/>
  <c r="C4706" i="1"/>
  <c r="G4705" i="1"/>
  <c r="C4705" i="1"/>
  <c r="G4704" i="1"/>
  <c r="C4704" i="1"/>
  <c r="G4703" i="1"/>
  <c r="C4703" i="1"/>
  <c r="G4702" i="1"/>
  <c r="C4702" i="1"/>
  <c r="G4701" i="1"/>
  <c r="C4701" i="1"/>
  <c r="G4700" i="1"/>
  <c r="C4700" i="1"/>
  <c r="G4699" i="1"/>
  <c r="C4699" i="1"/>
  <c r="G4698" i="1"/>
  <c r="C4698" i="1"/>
  <c r="G4697" i="1"/>
  <c r="C4697" i="1"/>
  <c r="G4696" i="1"/>
  <c r="C4696" i="1"/>
  <c r="G4695" i="1"/>
  <c r="C4695" i="1"/>
  <c r="G4693" i="1"/>
  <c r="C4693" i="1"/>
  <c r="G4692" i="1"/>
  <c r="C4692" i="1"/>
  <c r="G4691" i="1"/>
  <c r="C4691" i="1"/>
  <c r="G4690" i="1"/>
  <c r="C4690" i="1"/>
  <c r="G4689" i="1"/>
  <c r="C4689" i="1"/>
  <c r="G4688" i="1"/>
  <c r="C4688" i="1"/>
  <c r="G4687" i="1"/>
  <c r="C4687" i="1"/>
  <c r="G4686" i="1"/>
  <c r="C4686" i="1"/>
  <c r="G4685" i="1"/>
  <c r="C4685" i="1"/>
  <c r="G4684" i="1"/>
  <c r="C4684" i="1"/>
  <c r="G4683" i="1"/>
  <c r="C4683" i="1"/>
  <c r="G4682" i="1"/>
  <c r="C4682" i="1"/>
  <c r="G4681" i="1"/>
  <c r="C4681" i="1"/>
  <c r="G4680" i="1"/>
  <c r="C4680" i="1"/>
  <c r="G4679" i="1"/>
  <c r="C4679" i="1"/>
  <c r="G4678" i="1"/>
  <c r="C4678" i="1"/>
  <c r="G4677" i="1"/>
  <c r="C4677" i="1"/>
  <c r="G4676" i="1"/>
  <c r="C4676" i="1"/>
  <c r="G4675" i="1"/>
  <c r="C4675" i="1"/>
  <c r="G4674" i="1"/>
  <c r="C4674" i="1"/>
  <c r="G4673" i="1"/>
  <c r="C4673" i="1"/>
  <c r="G4672" i="1"/>
  <c r="C4672" i="1"/>
  <c r="G4671" i="1"/>
  <c r="C4671" i="1"/>
  <c r="G4670" i="1"/>
  <c r="C4670" i="1"/>
  <c r="G4669" i="1"/>
  <c r="C4669" i="1"/>
  <c r="G4668" i="1"/>
  <c r="C4668" i="1"/>
  <c r="G4667" i="1"/>
  <c r="C4667" i="1"/>
  <c r="G4666" i="1"/>
  <c r="C4666" i="1"/>
  <c r="G4665" i="1"/>
  <c r="C4665" i="1"/>
  <c r="G4664" i="1"/>
  <c r="C4664" i="1"/>
  <c r="G4663" i="1"/>
  <c r="C4663" i="1"/>
  <c r="G4662" i="1"/>
  <c r="C4662" i="1"/>
  <c r="G4661" i="1"/>
  <c r="C4661" i="1"/>
  <c r="G4660" i="1"/>
  <c r="C4660" i="1"/>
  <c r="G4659" i="1"/>
  <c r="C4659" i="1"/>
  <c r="G4658" i="1"/>
  <c r="C4658" i="1"/>
  <c r="G4657" i="1"/>
  <c r="C4657" i="1"/>
  <c r="G4655" i="1"/>
  <c r="C4655" i="1"/>
  <c r="G4654" i="1"/>
  <c r="C4654" i="1"/>
  <c r="G4653" i="1"/>
  <c r="C4653" i="1"/>
  <c r="G4652" i="1"/>
  <c r="C4652" i="1"/>
  <c r="G4651" i="1"/>
  <c r="C4651" i="1"/>
  <c r="G4650" i="1"/>
  <c r="C4650" i="1"/>
  <c r="G4649" i="1"/>
  <c r="C4649" i="1"/>
  <c r="G4648" i="1"/>
  <c r="C4648" i="1"/>
  <c r="G4647" i="1"/>
  <c r="C4647" i="1"/>
  <c r="G4646" i="1"/>
  <c r="C4646" i="1"/>
  <c r="G4645" i="1"/>
  <c r="C4645" i="1"/>
  <c r="G4644" i="1"/>
  <c r="C4644" i="1"/>
  <c r="G4643" i="1"/>
  <c r="C4643" i="1"/>
  <c r="G4642" i="1"/>
  <c r="C4642" i="1"/>
  <c r="G4641" i="1"/>
  <c r="C4641" i="1"/>
  <c r="G4640" i="1"/>
  <c r="C4640" i="1"/>
  <c r="G4639" i="1"/>
  <c r="C4639" i="1"/>
  <c r="G4638" i="1"/>
  <c r="C4638" i="1"/>
  <c r="G4637" i="1"/>
  <c r="C4637" i="1"/>
  <c r="G4636" i="1"/>
  <c r="C4636" i="1"/>
  <c r="G4635" i="1"/>
  <c r="C4635" i="1"/>
  <c r="G4634" i="1"/>
  <c r="C4634" i="1"/>
  <c r="G4632" i="1"/>
  <c r="C4632" i="1"/>
  <c r="G4631" i="1"/>
  <c r="C4631" i="1"/>
  <c r="G4630" i="1"/>
  <c r="C4630" i="1"/>
  <c r="G4629" i="1"/>
  <c r="C4629" i="1"/>
  <c r="G4628" i="1"/>
  <c r="C4628" i="1"/>
  <c r="G4627" i="1"/>
  <c r="C4627" i="1"/>
  <c r="G4626" i="1"/>
  <c r="C4626" i="1"/>
  <c r="G4625" i="1"/>
  <c r="C4625" i="1"/>
  <c r="G4624" i="1"/>
  <c r="C4624" i="1"/>
  <c r="G4623" i="1"/>
  <c r="C4623" i="1"/>
  <c r="G4622" i="1"/>
  <c r="C4622" i="1"/>
  <c r="G4621" i="1"/>
  <c r="C4621" i="1"/>
  <c r="G4620" i="1"/>
  <c r="C4620" i="1"/>
  <c r="G4619" i="1"/>
  <c r="C4619" i="1"/>
  <c r="G4618" i="1"/>
  <c r="C4618" i="1"/>
  <c r="G4617" i="1"/>
  <c r="C4617" i="1"/>
  <c r="G4616" i="1"/>
  <c r="C4616" i="1"/>
  <c r="G4615" i="1"/>
  <c r="C4615" i="1"/>
  <c r="G4614" i="1"/>
  <c r="C4614" i="1"/>
  <c r="G4613" i="1"/>
  <c r="C4613" i="1"/>
  <c r="G4612" i="1"/>
  <c r="C4612" i="1"/>
  <c r="G4611" i="1"/>
  <c r="C4611" i="1"/>
  <c r="G4610" i="1"/>
  <c r="C4610" i="1"/>
  <c r="G4609" i="1"/>
  <c r="C4609" i="1"/>
  <c r="G4608" i="1"/>
  <c r="C4608" i="1"/>
  <c r="G4607" i="1"/>
  <c r="C4607" i="1"/>
  <c r="G4606" i="1"/>
  <c r="C4606" i="1"/>
  <c r="G4605" i="1"/>
  <c r="C4605" i="1"/>
  <c r="G4604" i="1"/>
  <c r="C4604" i="1"/>
  <c r="G4603" i="1"/>
  <c r="C4603" i="1"/>
  <c r="G4602" i="1"/>
  <c r="C4602" i="1"/>
  <c r="G4601" i="1"/>
  <c r="C4601" i="1"/>
  <c r="G4600" i="1"/>
  <c r="C4600" i="1"/>
  <c r="G4597" i="1"/>
  <c r="C4597" i="1"/>
  <c r="G4596" i="1"/>
  <c r="C4596" i="1"/>
  <c r="G4595" i="1"/>
  <c r="C4595" i="1"/>
  <c r="G4594" i="1"/>
  <c r="C4594" i="1"/>
  <c r="G4593" i="1"/>
  <c r="C4593" i="1"/>
  <c r="G4592" i="1"/>
  <c r="C4592" i="1"/>
  <c r="G4591" i="1"/>
  <c r="C4591" i="1"/>
  <c r="G4590" i="1"/>
  <c r="C4590" i="1"/>
  <c r="G4589" i="1"/>
  <c r="C4589" i="1"/>
  <c r="G4588" i="1"/>
  <c r="C4588" i="1"/>
  <c r="G4587" i="1"/>
  <c r="C4587" i="1"/>
  <c r="G4586" i="1"/>
  <c r="C4586" i="1"/>
  <c r="G4585" i="1"/>
  <c r="C4585" i="1"/>
  <c r="G4584" i="1"/>
  <c r="C4584" i="1"/>
  <c r="G4583" i="1"/>
  <c r="C4583" i="1"/>
  <c r="G4582" i="1"/>
  <c r="C4582" i="1"/>
  <c r="G4581" i="1"/>
  <c r="C4581" i="1"/>
  <c r="G4580" i="1"/>
  <c r="C4580" i="1"/>
  <c r="G4579" i="1"/>
  <c r="C4579" i="1"/>
  <c r="G4578" i="1"/>
  <c r="C4578" i="1"/>
  <c r="G4577" i="1"/>
  <c r="C4577" i="1"/>
  <c r="G4576" i="1"/>
  <c r="C4576" i="1"/>
  <c r="G4575" i="1"/>
  <c r="C4575" i="1"/>
  <c r="G4574" i="1"/>
  <c r="C4574" i="1"/>
  <c r="G4573" i="1"/>
  <c r="C4573" i="1"/>
  <c r="G4572" i="1"/>
  <c r="C4572" i="1"/>
  <c r="G4571" i="1"/>
  <c r="C4571" i="1"/>
  <c r="G4569" i="1"/>
  <c r="C4569" i="1"/>
  <c r="G4568" i="1"/>
  <c r="C4568" i="1"/>
  <c r="G4567" i="1"/>
  <c r="C4567" i="1"/>
  <c r="G4566" i="1"/>
  <c r="C4566" i="1"/>
  <c r="G4565" i="1"/>
  <c r="C4565" i="1"/>
  <c r="G4564" i="1"/>
  <c r="C4564" i="1"/>
  <c r="G4563" i="1"/>
  <c r="C4563" i="1"/>
  <c r="G4562" i="1"/>
  <c r="C4562" i="1"/>
  <c r="G4561" i="1"/>
  <c r="C4561" i="1"/>
  <c r="G4560" i="1"/>
  <c r="C4560" i="1"/>
  <c r="G4559" i="1"/>
  <c r="C4559" i="1"/>
  <c r="G4558" i="1"/>
  <c r="C4558" i="1"/>
  <c r="G4557" i="1"/>
  <c r="C4557" i="1"/>
  <c r="G4556" i="1"/>
  <c r="C4556" i="1"/>
  <c r="G4555" i="1"/>
  <c r="C4555" i="1"/>
  <c r="G4554" i="1"/>
  <c r="C4554" i="1"/>
  <c r="G4553" i="1"/>
  <c r="C4553" i="1"/>
  <c r="G4552" i="1"/>
  <c r="C4552" i="1"/>
  <c r="G4551" i="1"/>
  <c r="C4551" i="1"/>
  <c r="G4550" i="1"/>
  <c r="C4550" i="1"/>
  <c r="G4549" i="1"/>
  <c r="C4549" i="1"/>
  <c r="G4548" i="1"/>
  <c r="C4548" i="1"/>
  <c r="G4547" i="1"/>
  <c r="C4547" i="1"/>
  <c r="G4546" i="1"/>
  <c r="C4546" i="1"/>
  <c r="G4545" i="1"/>
  <c r="C4545" i="1"/>
  <c r="G4544" i="1"/>
  <c r="C4544" i="1"/>
  <c r="G4543" i="1"/>
  <c r="C4543" i="1"/>
  <c r="G4542" i="1"/>
  <c r="C4542" i="1"/>
  <c r="G4541" i="1"/>
  <c r="C4541" i="1"/>
  <c r="G4540" i="1"/>
  <c r="C4540" i="1"/>
  <c r="G4539" i="1"/>
  <c r="C4539" i="1"/>
  <c r="G4538" i="1"/>
  <c r="C4538" i="1"/>
  <c r="G4537" i="1"/>
  <c r="C4537" i="1"/>
  <c r="G4536" i="1"/>
  <c r="C4536" i="1"/>
  <c r="G4535" i="1"/>
  <c r="C4535" i="1"/>
  <c r="G4534" i="1"/>
  <c r="C4534" i="1"/>
  <c r="G4533" i="1"/>
  <c r="C4533" i="1"/>
  <c r="G4532" i="1"/>
  <c r="C4532" i="1"/>
  <c r="G4531" i="1"/>
  <c r="C4531" i="1"/>
  <c r="G4530" i="1"/>
  <c r="C4530" i="1"/>
  <c r="G4529" i="1"/>
  <c r="C4529" i="1"/>
  <c r="G4528" i="1"/>
  <c r="C4528" i="1"/>
  <c r="G4527" i="1"/>
  <c r="C4527" i="1"/>
  <c r="G4526" i="1"/>
  <c r="C4526" i="1"/>
  <c r="G4525" i="1"/>
  <c r="C4525" i="1"/>
  <c r="G4524" i="1"/>
  <c r="C4524" i="1"/>
  <c r="G4523" i="1"/>
  <c r="C4523" i="1"/>
  <c r="G4521" i="1"/>
  <c r="C4521" i="1"/>
  <c r="G4520" i="1"/>
  <c r="C4520" i="1"/>
  <c r="G4519" i="1"/>
  <c r="C4519" i="1"/>
  <c r="G4518" i="1"/>
  <c r="C4518" i="1"/>
  <c r="G4517" i="1"/>
  <c r="C4517" i="1"/>
  <c r="G4516" i="1"/>
  <c r="C4516" i="1"/>
  <c r="G4515" i="1"/>
  <c r="C4515" i="1"/>
  <c r="G4514" i="1"/>
  <c r="C4514" i="1"/>
  <c r="G4513" i="1"/>
  <c r="C4513" i="1"/>
  <c r="G4512" i="1"/>
  <c r="C4512" i="1"/>
  <c r="G4511" i="1"/>
  <c r="C4511" i="1"/>
  <c r="G4510" i="1"/>
  <c r="C4510" i="1"/>
  <c r="G4509" i="1"/>
  <c r="C4509" i="1"/>
  <c r="G4508" i="1"/>
  <c r="C4508" i="1"/>
  <c r="G4507" i="1"/>
  <c r="C4507" i="1"/>
  <c r="G4506" i="1"/>
  <c r="C4506" i="1"/>
  <c r="G4505" i="1"/>
  <c r="C4505" i="1"/>
  <c r="G4504" i="1"/>
  <c r="C4504" i="1"/>
  <c r="G4503" i="1"/>
  <c r="C4503" i="1"/>
  <c r="G4502" i="1"/>
  <c r="C4502" i="1"/>
  <c r="G4501" i="1"/>
  <c r="C4501" i="1"/>
  <c r="G4500" i="1"/>
  <c r="C4500" i="1"/>
  <c r="G4499" i="1"/>
  <c r="C4499" i="1"/>
  <c r="G4498" i="1"/>
  <c r="C4498" i="1"/>
  <c r="G4497" i="1"/>
  <c r="C4497" i="1"/>
  <c r="G4496" i="1"/>
  <c r="C4496" i="1"/>
  <c r="G4495" i="1"/>
  <c r="C4495" i="1"/>
  <c r="G4494" i="1"/>
  <c r="C4494" i="1"/>
  <c r="G4493" i="1"/>
  <c r="C4493" i="1"/>
  <c r="G4492" i="1"/>
  <c r="C4492" i="1"/>
  <c r="G4491" i="1"/>
  <c r="C4491" i="1"/>
  <c r="G4490" i="1"/>
  <c r="C4490" i="1"/>
  <c r="G4489" i="1"/>
  <c r="C4489" i="1"/>
  <c r="G4488" i="1"/>
  <c r="C4488" i="1"/>
  <c r="G4487" i="1"/>
  <c r="C4487" i="1"/>
  <c r="G4486" i="1"/>
  <c r="C4486" i="1"/>
  <c r="G4485" i="1"/>
  <c r="C4485" i="1"/>
  <c r="G4484" i="1"/>
  <c r="C4484" i="1"/>
  <c r="G4483" i="1"/>
  <c r="C4483" i="1"/>
  <c r="G4482" i="1"/>
  <c r="C4482" i="1"/>
  <c r="G4481" i="1"/>
  <c r="C4481" i="1"/>
  <c r="G4480" i="1"/>
  <c r="C4480" i="1"/>
  <c r="G4478" i="1"/>
  <c r="C4478" i="1"/>
  <c r="G4477" i="1"/>
  <c r="C4477" i="1"/>
  <c r="G4476" i="1"/>
  <c r="C4476" i="1"/>
  <c r="G4475" i="1"/>
  <c r="C4475" i="1"/>
  <c r="G4474" i="1"/>
  <c r="C4474" i="1"/>
  <c r="G4473" i="1"/>
  <c r="C4473" i="1"/>
  <c r="G4472" i="1"/>
  <c r="C4472" i="1"/>
  <c r="G4471" i="1"/>
  <c r="C4471" i="1"/>
  <c r="G4470" i="1"/>
  <c r="C4470" i="1"/>
  <c r="G4469" i="1"/>
  <c r="C4469" i="1"/>
  <c r="G4468" i="1"/>
  <c r="C4468" i="1"/>
  <c r="G4467" i="1"/>
  <c r="C4467" i="1"/>
  <c r="G4466" i="1"/>
  <c r="C4466" i="1"/>
  <c r="G4465" i="1"/>
  <c r="C4465" i="1"/>
  <c r="G4464" i="1"/>
  <c r="C4464" i="1"/>
  <c r="G4463" i="1"/>
  <c r="C4463" i="1"/>
  <c r="G4462" i="1"/>
  <c r="C4462" i="1"/>
  <c r="G4461" i="1"/>
  <c r="C4461" i="1"/>
  <c r="G4460" i="1"/>
  <c r="C4460" i="1"/>
  <c r="G4459" i="1"/>
  <c r="C4459" i="1"/>
  <c r="G4458" i="1"/>
  <c r="C4458" i="1"/>
  <c r="G4457" i="1"/>
  <c r="C4457" i="1"/>
  <c r="G4456" i="1"/>
  <c r="C4456" i="1"/>
  <c r="G4455" i="1"/>
  <c r="C4455" i="1"/>
  <c r="G4454" i="1"/>
  <c r="C4454" i="1"/>
  <c r="G4453" i="1"/>
  <c r="C4453" i="1"/>
  <c r="G4452" i="1"/>
  <c r="C4452" i="1"/>
  <c r="G4451" i="1"/>
  <c r="C4451" i="1"/>
  <c r="G4450" i="1"/>
  <c r="C4450" i="1"/>
  <c r="G4449" i="1"/>
  <c r="C4449" i="1"/>
  <c r="G4448" i="1"/>
  <c r="C4448" i="1"/>
  <c r="G4447" i="1"/>
  <c r="C4447" i="1"/>
  <c r="G4446" i="1"/>
  <c r="C4446" i="1"/>
  <c r="G4445" i="1"/>
  <c r="C4445" i="1"/>
  <c r="G4444" i="1"/>
  <c r="C4444" i="1"/>
  <c r="G4443" i="1"/>
  <c r="C4443" i="1"/>
  <c r="G4442" i="1"/>
  <c r="C4442" i="1"/>
  <c r="G4441" i="1"/>
  <c r="C4441" i="1"/>
  <c r="G4440" i="1"/>
  <c r="C4440" i="1"/>
  <c r="G4439" i="1"/>
  <c r="C4439" i="1"/>
  <c r="G4438" i="1"/>
  <c r="C4438" i="1"/>
  <c r="G4437" i="1"/>
  <c r="C4437" i="1"/>
  <c r="G4436" i="1"/>
  <c r="C4436" i="1"/>
  <c r="G4435" i="1"/>
  <c r="C4435" i="1"/>
  <c r="G4434" i="1"/>
  <c r="C4434" i="1"/>
  <c r="G4433" i="1"/>
  <c r="C4433" i="1"/>
  <c r="G4432" i="1"/>
  <c r="C4432" i="1"/>
  <c r="G4431" i="1"/>
  <c r="C4431" i="1"/>
  <c r="G4430" i="1"/>
  <c r="C4430" i="1"/>
  <c r="G4429" i="1"/>
  <c r="C4429" i="1"/>
  <c r="G4428" i="1"/>
  <c r="C4428" i="1"/>
  <c r="G4427" i="1"/>
  <c r="C4427" i="1"/>
  <c r="G4426" i="1"/>
  <c r="C4426" i="1"/>
  <c r="G4425" i="1"/>
  <c r="C4425" i="1"/>
  <c r="G4424" i="1"/>
  <c r="C4424" i="1"/>
  <c r="G4423" i="1"/>
  <c r="C4423" i="1"/>
  <c r="G4422" i="1"/>
  <c r="C4422" i="1"/>
  <c r="G4421" i="1"/>
  <c r="C4421" i="1"/>
  <c r="G4420" i="1"/>
  <c r="C4420" i="1"/>
  <c r="G4419" i="1"/>
  <c r="C4419" i="1"/>
  <c r="G4418" i="1"/>
  <c r="C4418" i="1"/>
  <c r="G4417" i="1"/>
  <c r="C4417" i="1"/>
  <c r="G4416" i="1"/>
  <c r="C4416" i="1"/>
  <c r="G4415" i="1"/>
  <c r="C4415" i="1"/>
  <c r="G4413" i="1"/>
  <c r="C4413" i="1"/>
  <c r="G4412" i="1"/>
  <c r="C4412" i="1"/>
  <c r="G4411" i="1"/>
  <c r="C4411" i="1"/>
  <c r="G4410" i="1"/>
  <c r="C4410" i="1"/>
  <c r="G4409" i="1"/>
  <c r="C4409" i="1"/>
  <c r="G4408" i="1"/>
  <c r="C4408" i="1"/>
  <c r="G4407" i="1"/>
  <c r="C4407" i="1"/>
  <c r="G4406" i="1"/>
  <c r="C4406" i="1"/>
  <c r="G4405" i="1"/>
  <c r="C4405" i="1"/>
  <c r="G4404" i="1"/>
  <c r="C4404" i="1"/>
  <c r="G4403" i="1"/>
  <c r="C4403" i="1"/>
  <c r="G4402" i="1"/>
  <c r="C4402" i="1"/>
  <c r="G4401" i="1"/>
  <c r="C4401" i="1"/>
  <c r="G4400" i="1"/>
  <c r="C4400" i="1"/>
  <c r="G4399" i="1"/>
  <c r="C4399" i="1"/>
  <c r="G4398" i="1"/>
  <c r="C4398" i="1"/>
  <c r="G4397" i="1"/>
  <c r="C4397" i="1"/>
  <c r="G4396" i="1"/>
  <c r="C4396" i="1"/>
  <c r="G4395" i="1"/>
  <c r="C4395" i="1"/>
  <c r="G4394" i="1"/>
  <c r="C4394" i="1"/>
  <c r="G4393" i="1"/>
  <c r="C4393" i="1"/>
  <c r="G4392" i="1"/>
  <c r="C4392" i="1"/>
  <c r="G4391" i="1"/>
  <c r="C4391" i="1"/>
  <c r="G4390" i="1"/>
  <c r="C4390" i="1"/>
  <c r="G4389" i="1"/>
  <c r="C4389" i="1"/>
  <c r="G4388" i="1"/>
  <c r="C4388" i="1"/>
  <c r="G4387" i="1"/>
  <c r="C4387" i="1"/>
  <c r="G4386" i="1"/>
  <c r="C4386" i="1"/>
  <c r="G4385" i="1"/>
  <c r="C4385" i="1"/>
  <c r="G4384" i="1"/>
  <c r="C4384" i="1"/>
  <c r="G4383" i="1"/>
  <c r="C4383" i="1"/>
  <c r="G4382" i="1"/>
  <c r="C4382" i="1"/>
  <c r="G4380" i="1"/>
  <c r="C4380" i="1"/>
  <c r="G4379" i="1"/>
  <c r="C4379" i="1"/>
  <c r="G4378" i="1"/>
  <c r="C4378" i="1"/>
  <c r="G4377" i="1"/>
  <c r="C4377" i="1"/>
  <c r="G4376" i="1"/>
  <c r="C4376" i="1"/>
  <c r="G4375" i="1"/>
  <c r="C4375" i="1"/>
  <c r="G4374" i="1"/>
  <c r="C4374" i="1"/>
  <c r="G4373" i="1"/>
  <c r="C4373" i="1"/>
  <c r="G4372" i="1"/>
  <c r="C4372" i="1"/>
  <c r="G4371" i="1"/>
  <c r="C4371" i="1"/>
  <c r="G4370" i="1"/>
  <c r="C4370" i="1"/>
  <c r="G4369" i="1"/>
  <c r="C4369" i="1"/>
  <c r="G4368" i="1"/>
  <c r="C4368" i="1"/>
  <c r="G4367" i="1"/>
  <c r="C4367" i="1"/>
  <c r="G4366" i="1"/>
  <c r="C4366" i="1"/>
  <c r="G4365" i="1"/>
  <c r="C4365" i="1"/>
  <c r="G4364" i="1"/>
  <c r="C4364" i="1"/>
  <c r="G4363" i="1"/>
  <c r="C4363" i="1"/>
  <c r="G4362" i="1"/>
  <c r="C4362" i="1"/>
  <c r="G4360" i="1"/>
  <c r="C4360" i="1"/>
  <c r="G4359" i="1"/>
  <c r="C4359" i="1"/>
  <c r="G4358" i="1"/>
  <c r="C4358" i="1"/>
  <c r="G4357" i="1"/>
  <c r="C4357" i="1"/>
  <c r="G4356" i="1"/>
  <c r="C4356" i="1"/>
  <c r="G4355" i="1"/>
  <c r="C4355" i="1"/>
  <c r="G4354" i="1"/>
  <c r="C4354" i="1"/>
  <c r="G4353" i="1"/>
  <c r="C4353" i="1"/>
  <c r="G4352" i="1"/>
  <c r="C4352" i="1"/>
  <c r="G4351" i="1"/>
  <c r="C4351" i="1"/>
  <c r="G4350" i="1"/>
  <c r="C4350" i="1"/>
  <c r="G4349" i="1"/>
  <c r="C4349" i="1"/>
  <c r="G4348" i="1"/>
  <c r="C4348" i="1"/>
  <c r="G4347" i="1"/>
  <c r="C4347" i="1"/>
  <c r="G4346" i="1"/>
  <c r="C4346" i="1"/>
  <c r="G4345" i="1"/>
  <c r="C4345" i="1"/>
  <c r="G4344" i="1"/>
  <c r="C4344" i="1"/>
  <c r="G4343" i="1"/>
  <c r="C4343" i="1"/>
  <c r="G4342" i="1"/>
  <c r="C4342" i="1"/>
  <c r="G4341" i="1"/>
  <c r="C4341" i="1"/>
  <c r="G4340" i="1"/>
  <c r="C4340" i="1"/>
  <c r="G4339" i="1"/>
  <c r="C4339" i="1"/>
  <c r="G4338" i="1"/>
  <c r="C4338" i="1"/>
  <c r="G4337" i="1"/>
  <c r="C4337" i="1"/>
  <c r="G4336" i="1"/>
  <c r="C4336" i="1"/>
  <c r="G4335" i="1"/>
  <c r="C4335" i="1"/>
  <c r="G4334" i="1"/>
  <c r="C4334" i="1"/>
  <c r="G4333" i="1"/>
  <c r="C4333" i="1"/>
  <c r="G4332" i="1"/>
  <c r="C4332" i="1"/>
  <c r="G4331" i="1"/>
  <c r="C4331" i="1"/>
  <c r="G4330" i="1"/>
  <c r="C4330" i="1"/>
  <c r="G4329" i="1"/>
  <c r="C4329" i="1"/>
  <c r="G4328" i="1"/>
  <c r="C4328" i="1"/>
  <c r="G4327" i="1"/>
  <c r="C4327" i="1"/>
  <c r="G4326" i="1"/>
  <c r="C4326" i="1"/>
  <c r="G4325" i="1"/>
  <c r="C4325" i="1"/>
  <c r="G4324" i="1"/>
  <c r="C4324" i="1"/>
  <c r="G4323" i="1"/>
  <c r="C4323" i="1"/>
  <c r="G4322" i="1"/>
  <c r="C4322" i="1"/>
  <c r="G4321" i="1"/>
  <c r="C4321" i="1"/>
  <c r="G4320" i="1"/>
  <c r="C4320" i="1"/>
  <c r="G4319" i="1"/>
  <c r="C4319" i="1"/>
  <c r="G4318" i="1"/>
  <c r="C4318" i="1"/>
  <c r="G4317" i="1"/>
  <c r="C4317" i="1"/>
  <c r="G4316" i="1"/>
  <c r="C4316" i="1"/>
  <c r="G4315" i="1"/>
  <c r="C4315" i="1"/>
  <c r="G4314" i="1"/>
  <c r="C4314" i="1"/>
  <c r="G4313" i="1"/>
  <c r="C4313" i="1"/>
  <c r="G4312" i="1"/>
  <c r="C4312" i="1"/>
  <c r="G4311" i="1"/>
  <c r="C4311" i="1"/>
  <c r="G4310" i="1"/>
  <c r="C4310" i="1"/>
  <c r="G4309" i="1"/>
  <c r="C4309" i="1"/>
  <c r="G4308" i="1"/>
  <c r="C4308" i="1"/>
  <c r="G4307" i="1"/>
  <c r="C4307" i="1"/>
  <c r="G4306" i="1"/>
  <c r="C4306" i="1"/>
  <c r="G4305" i="1"/>
  <c r="C4305" i="1"/>
  <c r="G4304" i="1"/>
  <c r="C4304" i="1"/>
  <c r="G4303" i="1"/>
  <c r="C4303" i="1"/>
  <c r="G4302" i="1"/>
  <c r="C4302" i="1"/>
  <c r="G4301" i="1"/>
  <c r="C4301" i="1"/>
  <c r="G4300" i="1"/>
  <c r="C4300" i="1"/>
  <c r="G4299" i="1"/>
  <c r="C4299" i="1"/>
  <c r="G4298" i="1"/>
  <c r="C4298" i="1"/>
  <c r="G4296" i="1"/>
  <c r="C4296" i="1"/>
  <c r="G4295" i="1"/>
  <c r="C4295" i="1"/>
  <c r="G4294" i="1"/>
  <c r="C4294" i="1"/>
  <c r="G4293" i="1"/>
  <c r="C4293" i="1"/>
  <c r="G4292" i="1"/>
  <c r="C4292" i="1"/>
  <c r="G4291" i="1"/>
  <c r="C4291" i="1"/>
  <c r="G4290" i="1"/>
  <c r="C4290" i="1"/>
  <c r="G4289" i="1"/>
  <c r="C4289" i="1"/>
  <c r="G4288" i="1"/>
  <c r="C4288" i="1"/>
  <c r="G4287" i="1"/>
  <c r="C4287" i="1"/>
  <c r="G4286" i="1"/>
  <c r="C4286" i="1"/>
  <c r="G4285" i="1"/>
  <c r="C4285" i="1"/>
  <c r="G4284" i="1"/>
  <c r="C4284" i="1"/>
  <c r="G4283" i="1"/>
  <c r="C4283" i="1"/>
  <c r="G4282" i="1"/>
  <c r="C4282" i="1"/>
  <c r="G4281" i="1"/>
  <c r="C4281" i="1"/>
  <c r="G4280" i="1"/>
  <c r="C4280" i="1"/>
  <c r="G4279" i="1"/>
  <c r="C4279" i="1"/>
  <c r="G4278" i="1"/>
  <c r="C4278" i="1"/>
  <c r="G4277" i="1"/>
  <c r="C4277" i="1"/>
  <c r="G4276" i="1"/>
  <c r="C4276" i="1"/>
  <c r="G4275" i="1"/>
  <c r="C4275" i="1"/>
  <c r="G4274" i="1"/>
  <c r="C4274" i="1"/>
  <c r="G4273" i="1"/>
  <c r="C4273" i="1"/>
  <c r="G4272" i="1"/>
  <c r="C4272" i="1"/>
  <c r="G4271" i="1"/>
  <c r="C4271" i="1"/>
  <c r="G4270" i="1"/>
  <c r="C4270" i="1"/>
  <c r="G4269" i="1"/>
  <c r="C4269" i="1"/>
  <c r="G4268" i="1"/>
  <c r="C4268" i="1"/>
  <c r="G4266" i="1"/>
  <c r="C4266" i="1"/>
  <c r="G4265" i="1"/>
  <c r="C4265" i="1"/>
  <c r="G4264" i="1"/>
  <c r="C4264" i="1"/>
  <c r="G4263" i="1"/>
  <c r="C4263" i="1"/>
  <c r="G4262" i="1"/>
  <c r="C4262" i="1"/>
  <c r="G4261" i="1"/>
  <c r="C4261" i="1"/>
  <c r="G4260" i="1"/>
  <c r="C4260" i="1"/>
  <c r="G4259" i="1"/>
  <c r="C4259" i="1"/>
  <c r="G4258" i="1"/>
  <c r="C4258" i="1"/>
  <c r="G4257" i="1"/>
  <c r="C4257" i="1"/>
  <c r="G4256" i="1"/>
  <c r="C4256" i="1"/>
  <c r="G4255" i="1"/>
  <c r="C4255" i="1"/>
  <c r="G4253" i="1"/>
  <c r="C4253" i="1"/>
  <c r="G4252" i="1"/>
  <c r="C4252" i="1"/>
  <c r="G4251" i="1"/>
  <c r="C4251" i="1"/>
  <c r="G4250" i="1"/>
  <c r="C4250" i="1"/>
  <c r="G4249" i="1"/>
  <c r="C4249" i="1"/>
  <c r="G4248" i="1"/>
  <c r="C4248" i="1"/>
  <c r="G4247" i="1"/>
  <c r="C4247" i="1"/>
  <c r="G4246" i="1"/>
  <c r="C4246" i="1"/>
  <c r="G4245" i="1"/>
  <c r="C4245" i="1"/>
  <c r="G4243" i="1"/>
  <c r="C4243" i="1"/>
  <c r="G4242" i="1"/>
  <c r="C4242" i="1"/>
  <c r="G4241" i="1"/>
  <c r="C4241" i="1"/>
  <c r="G4240" i="1"/>
  <c r="C4240" i="1"/>
  <c r="G4239" i="1"/>
  <c r="C4239" i="1"/>
  <c r="G4238" i="1"/>
  <c r="C4238" i="1"/>
  <c r="G4237" i="1"/>
  <c r="C4237" i="1"/>
  <c r="G4234" i="1"/>
  <c r="C4234" i="1"/>
  <c r="G4233" i="1"/>
  <c r="C4233" i="1"/>
  <c r="G4232" i="1"/>
  <c r="C4232" i="1"/>
  <c r="G4231" i="1"/>
  <c r="C4231" i="1"/>
  <c r="G4230" i="1"/>
  <c r="C4230" i="1"/>
  <c r="G4229" i="1"/>
  <c r="C4229" i="1"/>
  <c r="G4228" i="1"/>
  <c r="C4228" i="1"/>
  <c r="G4227" i="1"/>
  <c r="C4227" i="1"/>
  <c r="G4226" i="1"/>
  <c r="C4226" i="1"/>
  <c r="G4225" i="1"/>
  <c r="C4225" i="1"/>
  <c r="G4224" i="1"/>
  <c r="C4224" i="1"/>
  <c r="G4223" i="1"/>
  <c r="C4223" i="1"/>
  <c r="G4222" i="1"/>
  <c r="C4222" i="1"/>
  <c r="G4221" i="1"/>
  <c r="C4221" i="1"/>
  <c r="G4220" i="1"/>
  <c r="C4220" i="1"/>
  <c r="G4218" i="1"/>
  <c r="C4218" i="1"/>
  <c r="G4217" i="1"/>
  <c r="C4217" i="1"/>
  <c r="G4216" i="1"/>
  <c r="C4216" i="1"/>
  <c r="G4215" i="1"/>
  <c r="C4215" i="1"/>
  <c r="G4214" i="1"/>
  <c r="C4214" i="1"/>
  <c r="G4213" i="1"/>
  <c r="C4213" i="1"/>
  <c r="G4211" i="1"/>
  <c r="C4211" i="1"/>
  <c r="G4210" i="1"/>
  <c r="C4210" i="1"/>
  <c r="G4209" i="1"/>
  <c r="C4209" i="1"/>
  <c r="G4208" i="1"/>
  <c r="C4208" i="1"/>
  <c r="G4207" i="1"/>
  <c r="C4207" i="1"/>
  <c r="G4205" i="1"/>
  <c r="C4205" i="1"/>
  <c r="G4204" i="1"/>
  <c r="C4204" i="1"/>
  <c r="G4203" i="1"/>
  <c r="C4203" i="1"/>
  <c r="G4202" i="1"/>
  <c r="C4202" i="1"/>
  <c r="G4201" i="1"/>
  <c r="C4201" i="1"/>
  <c r="G4200" i="1"/>
  <c r="C4200" i="1"/>
  <c r="G4199" i="1"/>
  <c r="C4199" i="1"/>
  <c r="G4198" i="1"/>
  <c r="C4198" i="1"/>
  <c r="G4196" i="1"/>
  <c r="C4196" i="1"/>
  <c r="G4195" i="1"/>
  <c r="C4195" i="1"/>
  <c r="G4194" i="1"/>
  <c r="C4194" i="1"/>
  <c r="G4193" i="1"/>
  <c r="C4193" i="1"/>
  <c r="G4192" i="1"/>
  <c r="C4192" i="1"/>
  <c r="G4191" i="1"/>
  <c r="C4191" i="1"/>
  <c r="G4190" i="1"/>
  <c r="C4190" i="1"/>
  <c r="G4189" i="1"/>
  <c r="C4189" i="1"/>
  <c r="G4188" i="1"/>
  <c r="C4188" i="1"/>
  <c r="G4187" i="1"/>
  <c r="C4187" i="1"/>
  <c r="G4186" i="1"/>
  <c r="C4186" i="1"/>
  <c r="G4185" i="1"/>
  <c r="C4185" i="1"/>
  <c r="G4184" i="1"/>
  <c r="C4184" i="1"/>
  <c r="G4183" i="1"/>
  <c r="C4183" i="1"/>
  <c r="G4182" i="1"/>
  <c r="C4182" i="1"/>
  <c r="G4181" i="1"/>
  <c r="C4181" i="1"/>
  <c r="G4180" i="1"/>
  <c r="C4180" i="1"/>
  <c r="G4179" i="1"/>
  <c r="C4179" i="1"/>
  <c r="G4178" i="1"/>
  <c r="C4178" i="1"/>
  <c r="G4177" i="1"/>
  <c r="C4177" i="1"/>
  <c r="G4176" i="1"/>
  <c r="C4176" i="1"/>
  <c r="G4175" i="1"/>
  <c r="C4175" i="1"/>
  <c r="G4174" i="1"/>
  <c r="C4174" i="1"/>
  <c r="G4173" i="1"/>
  <c r="C4173" i="1"/>
  <c r="G4172" i="1"/>
  <c r="C4172" i="1"/>
  <c r="G4171" i="1"/>
  <c r="C4171" i="1"/>
  <c r="G4170" i="1"/>
  <c r="C4170" i="1"/>
  <c r="G4169" i="1"/>
  <c r="C4169" i="1"/>
  <c r="G4168" i="1"/>
  <c r="C4168" i="1"/>
  <c r="G4167" i="1"/>
  <c r="C4167" i="1"/>
  <c r="G4166" i="1"/>
  <c r="C4166" i="1"/>
  <c r="G4165" i="1"/>
  <c r="C4165" i="1"/>
  <c r="G4164" i="1"/>
  <c r="C4164" i="1"/>
  <c r="G4163" i="1"/>
  <c r="C4163" i="1"/>
  <c r="G4162" i="1"/>
  <c r="C4162" i="1"/>
  <c r="G4161" i="1"/>
  <c r="C4161" i="1"/>
  <c r="G4160" i="1"/>
  <c r="C4160" i="1"/>
  <c r="G4159" i="1"/>
  <c r="C4159" i="1"/>
  <c r="G4158" i="1"/>
  <c r="C4158" i="1"/>
  <c r="G4157" i="1"/>
  <c r="C4157" i="1"/>
  <c r="G4156" i="1"/>
  <c r="C4156" i="1"/>
  <c r="G4155" i="1"/>
  <c r="C4155" i="1"/>
  <c r="G4154" i="1"/>
  <c r="C4154" i="1"/>
  <c r="G4153" i="1"/>
  <c r="C4153" i="1"/>
  <c r="G4152" i="1"/>
  <c r="C4152" i="1"/>
  <c r="G4151" i="1"/>
  <c r="C4151" i="1"/>
  <c r="G4150" i="1"/>
  <c r="C4150" i="1"/>
  <c r="G4149" i="1"/>
  <c r="C4149" i="1"/>
  <c r="G4148" i="1"/>
  <c r="C4148" i="1"/>
  <c r="G4147" i="1"/>
  <c r="C4147" i="1"/>
  <c r="G4146" i="1"/>
  <c r="C4146" i="1"/>
  <c r="G4145" i="1"/>
  <c r="C4145" i="1"/>
  <c r="G4144" i="1"/>
  <c r="C4144" i="1"/>
  <c r="G4143" i="1"/>
  <c r="C4143" i="1"/>
  <c r="G4142" i="1"/>
  <c r="C4142" i="1"/>
  <c r="G4141" i="1"/>
  <c r="C4141" i="1"/>
  <c r="G4140" i="1"/>
  <c r="C4140" i="1"/>
  <c r="G4139" i="1"/>
  <c r="C4139" i="1"/>
  <c r="G4138" i="1"/>
  <c r="C4138" i="1"/>
  <c r="G4137" i="1"/>
  <c r="C4137" i="1"/>
  <c r="G4135" i="1"/>
  <c r="C4135" i="1"/>
  <c r="G4134" i="1"/>
  <c r="C4134" i="1"/>
  <c r="G4133" i="1"/>
  <c r="C4133" i="1"/>
  <c r="G4132" i="1"/>
  <c r="C4132" i="1"/>
  <c r="G4131" i="1"/>
  <c r="C4131" i="1"/>
  <c r="G4130" i="1"/>
  <c r="C4130" i="1"/>
  <c r="G4129" i="1"/>
  <c r="C4129" i="1"/>
  <c r="G4128" i="1"/>
  <c r="C4128" i="1"/>
  <c r="G4127" i="1"/>
  <c r="C4127" i="1"/>
  <c r="G4126" i="1"/>
  <c r="C4126" i="1"/>
  <c r="G4125" i="1"/>
  <c r="C4125" i="1"/>
  <c r="G4124" i="1"/>
  <c r="C4124" i="1"/>
  <c r="G4123" i="1"/>
  <c r="C4123" i="1"/>
  <c r="G4122" i="1"/>
  <c r="C4122" i="1"/>
  <c r="G4121" i="1"/>
  <c r="C4121" i="1"/>
  <c r="G4120" i="1"/>
  <c r="C4120" i="1"/>
  <c r="G4119" i="1"/>
  <c r="C4119" i="1"/>
  <c r="G4118" i="1"/>
  <c r="C4118" i="1"/>
  <c r="G4117" i="1"/>
  <c r="C4117" i="1"/>
  <c r="G4116" i="1"/>
  <c r="C4116" i="1"/>
  <c r="G4115" i="1"/>
  <c r="C4115" i="1"/>
  <c r="G4114" i="1"/>
  <c r="C4114" i="1"/>
  <c r="G4113" i="1"/>
  <c r="C4113" i="1"/>
  <c r="G4112" i="1"/>
  <c r="C4112" i="1"/>
  <c r="G4111" i="1"/>
  <c r="C4111" i="1"/>
  <c r="G4110" i="1"/>
  <c r="C4110" i="1"/>
  <c r="G4109" i="1"/>
  <c r="C4109" i="1"/>
  <c r="G4108" i="1"/>
  <c r="C4108" i="1"/>
  <c r="G4107" i="1"/>
  <c r="C4107" i="1"/>
  <c r="G4106" i="1"/>
  <c r="C4106" i="1"/>
  <c r="G4105" i="1"/>
  <c r="C4105" i="1"/>
  <c r="G4104" i="1"/>
  <c r="C4104" i="1"/>
  <c r="G4103" i="1"/>
  <c r="C4103" i="1"/>
  <c r="G4102" i="1"/>
  <c r="C4102" i="1"/>
  <c r="G4101" i="1"/>
  <c r="C4101" i="1"/>
  <c r="G4100" i="1"/>
  <c r="C4100" i="1"/>
  <c r="G4099" i="1"/>
  <c r="C4099" i="1"/>
  <c r="G4097" i="1"/>
  <c r="C4097" i="1"/>
  <c r="G4096" i="1"/>
  <c r="C4096" i="1"/>
  <c r="G4095" i="1"/>
  <c r="C4095" i="1"/>
  <c r="G4094" i="1"/>
  <c r="C4094" i="1"/>
  <c r="G4093" i="1"/>
  <c r="C4093" i="1"/>
  <c r="G4092" i="1"/>
  <c r="C4092" i="1"/>
  <c r="G4091" i="1"/>
  <c r="C4091" i="1"/>
  <c r="G4090" i="1"/>
  <c r="C4090" i="1"/>
  <c r="G4089" i="1"/>
  <c r="C4089" i="1"/>
  <c r="G4086" i="1"/>
  <c r="C4086" i="1"/>
  <c r="G4085" i="1"/>
  <c r="C4085" i="1"/>
  <c r="G4084" i="1"/>
  <c r="C4084" i="1"/>
  <c r="G4083" i="1"/>
  <c r="C4083" i="1"/>
  <c r="G4082" i="1"/>
  <c r="C4082" i="1"/>
  <c r="G4081" i="1"/>
  <c r="C4081" i="1"/>
  <c r="G4080" i="1"/>
  <c r="C4080" i="1"/>
  <c r="G4079" i="1"/>
  <c r="C4079" i="1"/>
  <c r="G4078" i="1"/>
  <c r="C4078" i="1"/>
  <c r="G4077" i="1"/>
  <c r="C4077" i="1"/>
  <c r="G4076" i="1"/>
  <c r="C4076" i="1"/>
  <c r="G4075" i="1"/>
  <c r="C4075" i="1"/>
  <c r="G4074" i="1"/>
  <c r="C4074" i="1"/>
  <c r="G4073" i="1"/>
  <c r="C4073" i="1"/>
  <c r="G4072" i="1"/>
  <c r="C4072" i="1"/>
  <c r="G4071" i="1"/>
  <c r="C4071" i="1"/>
  <c r="G4070" i="1"/>
  <c r="C4070" i="1"/>
  <c r="G4069" i="1"/>
  <c r="C4069" i="1"/>
  <c r="G4068" i="1"/>
  <c r="C4068" i="1"/>
  <c r="G4067" i="1"/>
  <c r="C4067" i="1"/>
  <c r="G4066" i="1"/>
  <c r="C4066" i="1"/>
  <c r="G4065" i="1"/>
  <c r="C4065" i="1"/>
  <c r="G4064" i="1"/>
  <c r="C4064" i="1"/>
  <c r="G4063" i="1"/>
  <c r="C4063" i="1"/>
  <c r="G4062" i="1"/>
  <c r="C4062" i="1"/>
  <c r="G4061" i="1"/>
  <c r="C4061" i="1"/>
  <c r="G4060" i="1"/>
  <c r="C4060" i="1"/>
  <c r="G4059" i="1"/>
  <c r="C4059" i="1"/>
  <c r="G4058" i="1"/>
  <c r="C4058" i="1"/>
  <c r="G4057" i="1"/>
  <c r="C4057" i="1"/>
  <c r="G4056" i="1"/>
  <c r="C4056" i="1"/>
  <c r="G4055" i="1"/>
  <c r="C4055" i="1"/>
  <c r="G4054" i="1"/>
  <c r="C4054" i="1"/>
  <c r="G4053" i="1"/>
  <c r="C4053" i="1"/>
  <c r="G4052" i="1"/>
  <c r="C4052" i="1"/>
  <c r="G4051" i="1"/>
  <c r="C4051" i="1"/>
  <c r="G4050" i="1"/>
  <c r="C4050" i="1"/>
  <c r="G4049" i="1"/>
  <c r="C4049" i="1"/>
  <c r="G4048" i="1"/>
  <c r="C4048" i="1"/>
  <c r="G4047" i="1"/>
  <c r="C4047" i="1"/>
  <c r="G4046" i="1"/>
  <c r="C4046" i="1"/>
  <c r="G4045" i="1"/>
  <c r="C4045" i="1"/>
  <c r="G4044" i="1"/>
  <c r="C4044" i="1"/>
  <c r="G4043" i="1"/>
  <c r="C4043" i="1"/>
  <c r="G4042" i="1"/>
  <c r="C4042" i="1"/>
  <c r="G4041" i="1"/>
  <c r="C4041" i="1"/>
  <c r="G4040" i="1"/>
  <c r="C4040" i="1"/>
  <c r="G4039" i="1"/>
  <c r="C4039" i="1"/>
  <c r="G4038" i="1"/>
  <c r="C4038" i="1"/>
  <c r="G4037" i="1"/>
  <c r="C4037" i="1"/>
  <c r="G4036" i="1"/>
  <c r="C4036" i="1"/>
  <c r="G4035" i="1"/>
  <c r="C4035" i="1"/>
  <c r="G4034" i="1"/>
  <c r="C4034" i="1"/>
  <c r="G4033" i="1"/>
  <c r="C4033" i="1"/>
  <c r="G4031" i="1"/>
  <c r="C4031" i="1"/>
  <c r="G4030" i="1"/>
  <c r="C4030" i="1"/>
  <c r="G4029" i="1"/>
  <c r="C4029" i="1"/>
  <c r="G4028" i="1"/>
  <c r="C4028" i="1"/>
  <c r="G4027" i="1"/>
  <c r="C4027" i="1"/>
  <c r="G4026" i="1"/>
  <c r="C4026" i="1"/>
  <c r="G4025" i="1"/>
  <c r="C4025" i="1"/>
  <c r="G4024" i="1"/>
  <c r="C4024" i="1"/>
  <c r="G4023" i="1"/>
  <c r="C4023" i="1"/>
  <c r="G4022" i="1"/>
  <c r="C4022" i="1"/>
  <c r="G4021" i="1"/>
  <c r="C4021" i="1"/>
  <c r="G4020" i="1"/>
  <c r="C4020" i="1"/>
  <c r="G4019" i="1"/>
  <c r="C4019" i="1"/>
  <c r="G4018" i="1"/>
  <c r="C4018" i="1"/>
  <c r="G4017" i="1"/>
  <c r="C4017" i="1"/>
  <c r="G4016" i="1"/>
  <c r="C4016" i="1"/>
  <c r="G4015" i="1"/>
  <c r="C4015" i="1"/>
  <c r="G4014" i="1"/>
  <c r="C4014" i="1"/>
  <c r="G4013" i="1"/>
  <c r="C4013" i="1"/>
  <c r="G4012" i="1"/>
  <c r="C4012" i="1"/>
  <c r="G4011" i="1"/>
  <c r="C4011" i="1"/>
  <c r="G4010" i="1"/>
  <c r="C4010" i="1"/>
  <c r="G4009" i="1"/>
  <c r="C4009" i="1"/>
  <c r="G4008" i="1"/>
  <c r="C4008" i="1"/>
  <c r="G4007" i="1"/>
  <c r="C4007" i="1"/>
  <c r="G4006" i="1"/>
  <c r="C4006" i="1"/>
  <c r="G4005" i="1"/>
  <c r="C4005" i="1"/>
  <c r="G4004" i="1"/>
  <c r="C4004" i="1"/>
  <c r="G4003" i="1"/>
  <c r="C4003" i="1"/>
  <c r="G4002" i="1"/>
  <c r="C4002" i="1"/>
  <c r="G4001" i="1"/>
  <c r="C4001" i="1"/>
  <c r="G4000" i="1"/>
  <c r="C4000" i="1"/>
  <c r="G3999" i="1"/>
  <c r="C3999" i="1"/>
  <c r="G3998" i="1"/>
  <c r="C3998" i="1"/>
  <c r="G3997" i="1"/>
  <c r="C3997" i="1"/>
  <c r="G3996" i="1"/>
  <c r="C3996" i="1"/>
  <c r="G3995" i="1"/>
  <c r="C3995" i="1"/>
  <c r="G3994" i="1"/>
  <c r="C3994" i="1"/>
  <c r="G3992" i="1"/>
  <c r="C3992" i="1"/>
  <c r="G3991" i="1"/>
  <c r="C3991" i="1"/>
  <c r="G3990" i="1"/>
  <c r="C3990" i="1"/>
  <c r="G3989" i="1"/>
  <c r="C3989" i="1"/>
  <c r="G3988" i="1"/>
  <c r="C3988" i="1"/>
  <c r="G3987" i="1"/>
  <c r="C3987" i="1"/>
  <c r="G3986" i="1"/>
  <c r="C3986" i="1"/>
  <c r="G3985" i="1"/>
  <c r="C3985" i="1"/>
  <c r="G3984" i="1"/>
  <c r="C3984" i="1"/>
  <c r="G3983" i="1"/>
  <c r="C3983" i="1"/>
  <c r="G3982" i="1"/>
  <c r="C3982" i="1"/>
  <c r="G3981" i="1"/>
  <c r="C3981" i="1"/>
  <c r="G3980" i="1"/>
  <c r="C3980" i="1"/>
  <c r="G3979" i="1"/>
  <c r="C3979" i="1"/>
  <c r="G3978" i="1"/>
  <c r="C3978" i="1"/>
  <c r="G3977" i="1"/>
  <c r="C3977" i="1"/>
  <c r="G3976" i="1"/>
  <c r="C3976" i="1"/>
  <c r="G3975" i="1"/>
  <c r="C3975" i="1"/>
  <c r="G3974" i="1"/>
  <c r="C3974" i="1"/>
  <c r="G3973" i="1"/>
  <c r="C3973" i="1"/>
  <c r="G3972" i="1"/>
  <c r="C3972" i="1"/>
  <c r="G3971" i="1"/>
  <c r="C3971" i="1"/>
  <c r="G3970" i="1"/>
  <c r="C3970" i="1"/>
  <c r="G3969" i="1"/>
  <c r="C3969" i="1"/>
  <c r="G3968" i="1"/>
  <c r="C3968" i="1"/>
  <c r="G3967" i="1"/>
  <c r="C3967" i="1"/>
  <c r="G3966" i="1"/>
  <c r="C3966" i="1"/>
  <c r="G3965" i="1"/>
  <c r="C3965" i="1"/>
  <c r="G3964" i="1"/>
  <c r="C3964" i="1"/>
  <c r="G3963" i="1"/>
  <c r="C3963" i="1"/>
  <c r="G3962" i="1"/>
  <c r="C3962" i="1"/>
  <c r="G3961" i="1"/>
  <c r="C3961" i="1"/>
  <c r="G3960" i="1"/>
  <c r="C3960" i="1"/>
  <c r="G3959" i="1"/>
  <c r="C3959" i="1"/>
  <c r="G3958" i="1"/>
  <c r="C3958" i="1"/>
  <c r="G3957" i="1"/>
  <c r="C3957" i="1"/>
  <c r="G3956" i="1"/>
  <c r="C3956" i="1"/>
  <c r="G3955" i="1"/>
  <c r="C3955" i="1"/>
  <c r="G3954" i="1"/>
  <c r="C3954" i="1"/>
  <c r="G3953" i="1"/>
  <c r="C3953" i="1"/>
  <c r="G3952" i="1"/>
  <c r="C3952" i="1"/>
  <c r="G3951" i="1"/>
  <c r="C3951" i="1"/>
  <c r="G3950" i="1"/>
  <c r="C3950" i="1"/>
  <c r="G3949" i="1"/>
  <c r="C3949" i="1"/>
  <c r="G3948" i="1"/>
  <c r="C3948" i="1"/>
  <c r="G3947" i="1"/>
  <c r="C3947" i="1"/>
  <c r="G3946" i="1"/>
  <c r="C3946" i="1"/>
  <c r="G3945" i="1"/>
  <c r="C3945" i="1"/>
  <c r="G3944" i="1"/>
  <c r="C3944" i="1"/>
  <c r="G3943" i="1"/>
  <c r="C3943" i="1"/>
  <c r="G3942" i="1"/>
  <c r="C3942" i="1"/>
  <c r="G3941" i="1"/>
  <c r="C3941" i="1"/>
  <c r="G3940" i="1"/>
  <c r="C3940" i="1"/>
  <c r="G3939" i="1"/>
  <c r="C3939" i="1"/>
  <c r="G3938" i="1"/>
  <c r="C3938" i="1"/>
  <c r="G3937" i="1"/>
  <c r="C3937" i="1"/>
  <c r="G3936" i="1"/>
  <c r="C3936" i="1"/>
  <c r="G3935" i="1"/>
  <c r="C3935" i="1"/>
  <c r="G3934" i="1"/>
  <c r="C3934" i="1"/>
  <c r="G3933" i="1"/>
  <c r="C3933" i="1"/>
  <c r="G3932" i="1"/>
  <c r="C3932" i="1"/>
  <c r="G3931" i="1"/>
  <c r="C3931" i="1"/>
  <c r="G3930" i="1"/>
  <c r="C3930" i="1"/>
  <c r="G3929" i="1"/>
  <c r="C3929" i="1"/>
  <c r="G3928" i="1"/>
  <c r="C3928" i="1"/>
  <c r="G3927" i="1"/>
  <c r="C3927" i="1"/>
  <c r="G3926" i="1"/>
  <c r="C3926" i="1"/>
  <c r="G3925" i="1"/>
  <c r="C3925" i="1"/>
  <c r="G3924" i="1"/>
  <c r="C3924" i="1"/>
  <c r="G3923" i="1"/>
  <c r="C3923" i="1"/>
  <c r="G3922" i="1"/>
  <c r="C3922" i="1"/>
  <c r="G3921" i="1"/>
  <c r="C3921" i="1"/>
  <c r="G3920" i="1"/>
  <c r="C3920" i="1"/>
  <c r="G3919" i="1"/>
  <c r="C3919" i="1"/>
  <c r="G3918" i="1"/>
  <c r="C3918" i="1"/>
  <c r="G3917" i="1"/>
  <c r="C3917" i="1"/>
  <c r="G3916" i="1"/>
  <c r="C3916" i="1"/>
  <c r="G3915" i="1"/>
  <c r="C3915" i="1"/>
  <c r="G3913" i="1"/>
  <c r="C3913" i="1"/>
  <c r="G3912" i="1"/>
  <c r="C3912" i="1"/>
  <c r="G3911" i="1"/>
  <c r="C3911" i="1"/>
  <c r="G3910" i="1"/>
  <c r="C3910" i="1"/>
  <c r="G3909" i="1"/>
  <c r="C3909" i="1"/>
  <c r="G3908" i="1"/>
  <c r="C3908" i="1"/>
  <c r="G3907" i="1"/>
  <c r="C3907" i="1"/>
  <c r="G3906" i="1"/>
  <c r="C3906" i="1"/>
  <c r="G3905" i="1"/>
  <c r="C3905" i="1"/>
  <c r="G3904" i="1"/>
  <c r="C3904" i="1"/>
  <c r="G3903" i="1"/>
  <c r="C3903" i="1"/>
  <c r="G3902" i="1"/>
  <c r="C3902" i="1"/>
  <c r="G3901" i="1"/>
  <c r="C3901" i="1"/>
  <c r="G3900" i="1"/>
  <c r="C3900" i="1"/>
  <c r="G3899" i="1"/>
  <c r="C3899" i="1"/>
  <c r="G3898" i="1"/>
  <c r="C3898" i="1"/>
  <c r="G3897" i="1"/>
  <c r="C3897" i="1"/>
  <c r="G3896" i="1"/>
  <c r="C3896" i="1"/>
  <c r="G3895" i="1"/>
  <c r="C3895" i="1"/>
  <c r="G3894" i="1"/>
  <c r="C3894" i="1"/>
  <c r="G3893" i="1"/>
  <c r="C3893" i="1"/>
  <c r="G3892" i="1"/>
  <c r="C3892" i="1"/>
  <c r="G3891" i="1"/>
  <c r="C3891" i="1"/>
  <c r="G3890" i="1"/>
  <c r="C3890" i="1"/>
  <c r="G3889" i="1"/>
  <c r="C3889" i="1"/>
  <c r="G3888" i="1"/>
  <c r="C3888" i="1"/>
  <c r="G3887" i="1"/>
  <c r="C3887" i="1"/>
  <c r="G3886" i="1"/>
  <c r="C3886" i="1"/>
  <c r="G3885" i="1"/>
  <c r="C3885" i="1"/>
  <c r="G3884" i="1"/>
  <c r="C3884" i="1"/>
  <c r="G3883" i="1"/>
  <c r="C3883" i="1"/>
  <c r="G3882" i="1"/>
  <c r="C3882" i="1"/>
  <c r="G3881" i="1"/>
  <c r="C3881" i="1"/>
  <c r="G3880" i="1"/>
  <c r="C3880" i="1"/>
  <c r="G3879" i="1"/>
  <c r="C3879" i="1"/>
  <c r="G3878" i="1"/>
  <c r="C3878" i="1"/>
  <c r="G3877" i="1"/>
  <c r="C3877" i="1"/>
  <c r="G3876" i="1"/>
  <c r="C3876" i="1"/>
  <c r="G3875" i="1"/>
  <c r="C3875" i="1"/>
  <c r="G3874" i="1"/>
  <c r="C3874" i="1"/>
  <c r="G3873" i="1"/>
  <c r="C3873" i="1"/>
  <c r="G3872" i="1"/>
  <c r="C3872" i="1"/>
  <c r="G3871" i="1"/>
  <c r="C3871" i="1"/>
  <c r="G3870" i="1"/>
  <c r="C3870" i="1"/>
  <c r="G3869" i="1"/>
  <c r="C3869" i="1"/>
  <c r="G3868" i="1"/>
  <c r="C3868" i="1"/>
  <c r="G3867" i="1"/>
  <c r="C3867" i="1"/>
  <c r="G3866" i="1"/>
  <c r="C3866" i="1"/>
  <c r="G3865" i="1"/>
  <c r="C3865" i="1"/>
  <c r="G3864" i="1"/>
  <c r="C3864" i="1"/>
  <c r="G3862" i="1"/>
  <c r="C3862" i="1"/>
  <c r="G3861" i="1"/>
  <c r="C3861" i="1"/>
  <c r="G3860" i="1"/>
  <c r="C3860" i="1"/>
  <c r="G3859" i="1"/>
  <c r="C3859" i="1"/>
  <c r="G3858" i="1"/>
  <c r="C3858" i="1"/>
  <c r="G3857" i="1"/>
  <c r="C3857" i="1"/>
  <c r="G3856" i="1"/>
  <c r="C3856" i="1"/>
  <c r="G3855" i="1"/>
  <c r="C3855" i="1"/>
  <c r="G3854" i="1"/>
  <c r="C3854" i="1"/>
  <c r="G3853" i="1"/>
  <c r="C3853" i="1"/>
  <c r="G3852" i="1"/>
  <c r="C3852" i="1"/>
  <c r="G3851" i="1"/>
  <c r="C3851" i="1"/>
  <c r="G3850" i="1"/>
  <c r="C3850" i="1"/>
  <c r="G3849" i="1"/>
  <c r="C3849" i="1"/>
  <c r="G3848" i="1"/>
  <c r="C3848" i="1"/>
  <c r="G3847" i="1"/>
  <c r="C3847" i="1"/>
  <c r="G3846" i="1"/>
  <c r="C3846" i="1"/>
  <c r="G3845" i="1"/>
  <c r="C3845" i="1"/>
  <c r="G3844" i="1"/>
  <c r="C3844" i="1"/>
  <c r="G3843" i="1"/>
  <c r="C3843" i="1"/>
  <c r="G3842" i="1"/>
  <c r="C3842" i="1"/>
  <c r="G3841" i="1"/>
  <c r="C3841" i="1"/>
  <c r="G3840" i="1"/>
  <c r="C3840" i="1"/>
  <c r="G3839" i="1"/>
  <c r="C3839" i="1"/>
  <c r="G3838" i="1"/>
  <c r="C3838" i="1"/>
  <c r="G3837" i="1"/>
  <c r="C3837" i="1"/>
  <c r="G3836" i="1"/>
  <c r="C3836" i="1"/>
  <c r="G3835" i="1"/>
  <c r="C3835" i="1"/>
  <c r="G3834" i="1"/>
  <c r="C3834" i="1"/>
  <c r="G3833" i="1"/>
  <c r="C3833" i="1"/>
  <c r="G3832" i="1"/>
  <c r="C3832" i="1"/>
  <c r="G3831" i="1"/>
  <c r="C3831" i="1"/>
  <c r="G3830" i="1"/>
  <c r="C3830" i="1"/>
  <c r="G3829" i="1"/>
  <c r="C3829" i="1"/>
  <c r="G3828" i="1"/>
  <c r="C3828" i="1"/>
  <c r="G3827" i="1"/>
  <c r="C3827" i="1"/>
  <c r="G3826" i="1"/>
  <c r="C3826" i="1"/>
  <c r="G3825" i="1"/>
  <c r="C3825" i="1"/>
  <c r="G3824" i="1"/>
  <c r="C3824" i="1"/>
  <c r="G3823" i="1"/>
  <c r="C3823" i="1"/>
  <c r="G3822" i="1"/>
  <c r="C3822" i="1"/>
  <c r="G3821" i="1"/>
  <c r="C3821" i="1"/>
  <c r="G3820" i="1"/>
  <c r="C3820" i="1"/>
  <c r="G3818" i="1"/>
  <c r="C3818" i="1"/>
  <c r="G3817" i="1"/>
  <c r="C3817" i="1"/>
  <c r="G3816" i="1"/>
  <c r="C3816" i="1"/>
  <c r="G3815" i="1"/>
  <c r="C3815" i="1"/>
  <c r="G3814" i="1"/>
  <c r="C3814" i="1"/>
  <c r="G3813" i="1"/>
  <c r="C3813" i="1"/>
  <c r="G3812" i="1"/>
  <c r="C3812" i="1"/>
  <c r="G3811" i="1"/>
  <c r="C3811" i="1"/>
  <c r="G3810" i="1"/>
  <c r="C3810" i="1"/>
  <c r="G3809" i="1"/>
  <c r="C3809" i="1"/>
  <c r="G3808" i="1"/>
  <c r="C3808" i="1"/>
  <c r="G3807" i="1"/>
  <c r="C3807" i="1"/>
  <c r="G3806" i="1"/>
  <c r="C3806" i="1"/>
  <c r="G3805" i="1"/>
  <c r="C3805" i="1"/>
  <c r="G3804" i="1"/>
  <c r="C3804" i="1"/>
  <c r="G3803" i="1"/>
  <c r="C3803" i="1"/>
  <c r="G3802" i="1"/>
  <c r="C3802" i="1"/>
  <c r="G3801" i="1"/>
  <c r="C3801" i="1"/>
  <c r="G3800" i="1"/>
  <c r="C3800" i="1"/>
  <c r="G3799" i="1"/>
  <c r="C3799" i="1"/>
  <c r="G3798" i="1"/>
  <c r="C3798" i="1"/>
  <c r="G3797" i="1"/>
  <c r="C3797" i="1"/>
  <c r="G3796" i="1"/>
  <c r="C3796" i="1"/>
  <c r="G3795" i="1"/>
  <c r="C3795" i="1"/>
  <c r="G3794" i="1"/>
  <c r="C3794" i="1"/>
  <c r="G3793" i="1"/>
  <c r="C3793" i="1"/>
  <c r="G3792" i="1"/>
  <c r="C3792" i="1"/>
  <c r="G3791" i="1"/>
  <c r="C3791" i="1"/>
  <c r="G3790" i="1"/>
  <c r="C3790" i="1"/>
  <c r="G3789" i="1"/>
  <c r="C3789" i="1"/>
  <c r="G3788" i="1"/>
  <c r="C3788" i="1"/>
  <c r="G3787" i="1"/>
  <c r="C3787" i="1"/>
  <c r="G3786" i="1"/>
  <c r="C3786" i="1"/>
  <c r="G3785" i="1"/>
  <c r="C3785" i="1"/>
  <c r="G3784" i="1"/>
  <c r="C3784" i="1"/>
  <c r="G3783" i="1"/>
  <c r="C3783" i="1"/>
  <c r="G3782" i="1"/>
  <c r="C3782" i="1"/>
  <c r="G3781" i="1"/>
  <c r="C3781" i="1"/>
  <c r="G3780" i="1"/>
  <c r="C3780" i="1"/>
  <c r="G3779" i="1"/>
  <c r="C3779" i="1"/>
  <c r="G3778" i="1"/>
  <c r="C3778" i="1"/>
  <c r="G3777" i="1"/>
  <c r="C3777" i="1"/>
  <c r="G3776" i="1"/>
  <c r="C3776" i="1"/>
  <c r="G3775" i="1"/>
  <c r="C3775" i="1"/>
  <c r="G3774" i="1"/>
  <c r="C3774" i="1"/>
  <c r="G3773" i="1"/>
  <c r="C3773" i="1"/>
  <c r="G3772" i="1"/>
  <c r="C3772" i="1"/>
  <c r="G3771" i="1"/>
  <c r="C3771" i="1"/>
  <c r="G3770" i="1"/>
  <c r="C3770" i="1"/>
  <c r="G3769" i="1"/>
  <c r="C3769" i="1"/>
  <c r="G3768" i="1"/>
  <c r="C3768" i="1"/>
  <c r="G3767" i="1"/>
  <c r="C3767" i="1"/>
  <c r="G3766" i="1"/>
  <c r="C3766" i="1"/>
  <c r="G3765" i="1"/>
  <c r="C3765" i="1"/>
  <c r="G3764" i="1"/>
  <c r="C3764" i="1"/>
  <c r="G3763" i="1"/>
  <c r="C3763" i="1"/>
  <c r="G3762" i="1"/>
  <c r="C3762" i="1"/>
  <c r="G3761" i="1"/>
  <c r="C3761" i="1"/>
  <c r="G3760" i="1"/>
  <c r="C3760" i="1"/>
  <c r="G3759" i="1"/>
  <c r="C3759" i="1"/>
  <c r="G3758" i="1"/>
  <c r="C3758" i="1"/>
  <c r="G3757" i="1"/>
  <c r="C3757" i="1"/>
  <c r="G3756" i="1"/>
  <c r="C3756" i="1"/>
  <c r="G3755" i="1"/>
  <c r="C3755" i="1"/>
  <c r="G3754" i="1"/>
  <c r="C3754" i="1"/>
  <c r="G3753" i="1"/>
  <c r="C3753" i="1"/>
  <c r="G3751" i="1"/>
  <c r="C3751" i="1"/>
  <c r="G3750" i="1"/>
  <c r="C3750" i="1"/>
  <c r="G3749" i="1"/>
  <c r="C3749" i="1"/>
  <c r="G3748" i="1"/>
  <c r="C3748" i="1"/>
  <c r="G3747" i="1"/>
  <c r="C3747" i="1"/>
  <c r="G3746" i="1"/>
  <c r="C3746" i="1"/>
  <c r="G3745" i="1"/>
  <c r="C3745" i="1"/>
  <c r="G3744" i="1"/>
  <c r="C3744" i="1"/>
  <c r="G3743" i="1"/>
  <c r="C3743" i="1"/>
  <c r="G3742" i="1"/>
  <c r="C3742" i="1"/>
  <c r="G3741" i="1"/>
  <c r="C3741" i="1"/>
  <c r="G3740" i="1"/>
  <c r="C3740" i="1"/>
  <c r="G3739" i="1"/>
  <c r="C3739" i="1"/>
  <c r="G3738" i="1"/>
  <c r="C3738" i="1"/>
  <c r="G3737" i="1"/>
  <c r="C3737" i="1"/>
  <c r="G3736" i="1"/>
  <c r="C3736" i="1"/>
  <c r="G3735" i="1"/>
  <c r="C3735" i="1"/>
  <c r="G3734" i="1"/>
  <c r="C3734" i="1"/>
  <c r="G3733" i="1"/>
  <c r="C3733" i="1"/>
  <c r="G3732" i="1"/>
  <c r="C3732" i="1"/>
  <c r="G3731" i="1"/>
  <c r="C3731" i="1"/>
  <c r="G3730" i="1"/>
  <c r="C3730" i="1"/>
  <c r="G3729" i="1"/>
  <c r="C3729" i="1"/>
  <c r="G3728" i="1"/>
  <c r="C3728" i="1"/>
  <c r="G3727" i="1"/>
  <c r="C3727" i="1"/>
  <c r="G3726" i="1"/>
  <c r="C3726" i="1"/>
  <c r="G3725" i="1"/>
  <c r="C3725" i="1"/>
  <c r="G3724" i="1"/>
  <c r="C3724" i="1"/>
  <c r="G3723" i="1"/>
  <c r="C3723" i="1"/>
  <c r="G3722" i="1"/>
  <c r="C3722" i="1"/>
  <c r="G3721" i="1"/>
  <c r="C3721" i="1"/>
  <c r="G3720" i="1"/>
  <c r="C3720" i="1"/>
  <c r="G3719" i="1"/>
  <c r="C3719" i="1"/>
  <c r="G3718" i="1"/>
  <c r="C3718" i="1"/>
  <c r="G3717" i="1"/>
  <c r="C3717" i="1"/>
  <c r="G3716" i="1"/>
  <c r="C3716" i="1"/>
  <c r="G3715" i="1"/>
  <c r="C3715" i="1"/>
  <c r="G3713" i="1"/>
  <c r="C3713" i="1"/>
  <c r="G3712" i="1"/>
  <c r="C3712" i="1"/>
  <c r="G3711" i="1"/>
  <c r="C3711" i="1"/>
  <c r="G3710" i="1"/>
  <c r="C3710" i="1"/>
  <c r="G3709" i="1"/>
  <c r="C3709" i="1"/>
  <c r="G3708" i="1"/>
  <c r="C3708" i="1"/>
  <c r="G3707" i="1"/>
  <c r="C3707" i="1"/>
  <c r="G3706" i="1"/>
  <c r="C3706" i="1"/>
  <c r="G3705" i="1"/>
  <c r="C3705" i="1"/>
  <c r="G3704" i="1"/>
  <c r="C3704" i="1"/>
  <c r="G3703" i="1"/>
  <c r="C3703" i="1"/>
  <c r="G3702" i="1"/>
  <c r="C3702" i="1"/>
  <c r="G3701" i="1"/>
  <c r="C3701" i="1"/>
  <c r="G3700" i="1"/>
  <c r="C3700" i="1"/>
  <c r="G3699" i="1"/>
  <c r="C3699" i="1"/>
  <c r="G3698" i="1"/>
  <c r="C3698" i="1"/>
  <c r="G3697" i="1"/>
  <c r="C3697" i="1"/>
  <c r="G3696" i="1"/>
  <c r="C3696" i="1"/>
  <c r="G3695" i="1"/>
  <c r="C3695" i="1"/>
  <c r="G3694" i="1"/>
  <c r="C3694" i="1"/>
  <c r="G3693" i="1"/>
  <c r="C3693" i="1"/>
  <c r="G3692" i="1"/>
  <c r="C3692" i="1"/>
  <c r="G3691" i="1"/>
  <c r="C3691" i="1"/>
  <c r="G3690" i="1"/>
  <c r="C3690" i="1"/>
  <c r="G3689" i="1"/>
  <c r="C3689" i="1"/>
  <c r="G3688" i="1"/>
  <c r="C3688" i="1"/>
  <c r="G3687" i="1"/>
  <c r="C3687" i="1"/>
  <c r="G3686" i="1"/>
  <c r="C3686" i="1"/>
  <c r="G3685" i="1"/>
  <c r="C3685" i="1"/>
  <c r="G3684" i="1"/>
  <c r="C3684" i="1"/>
  <c r="G3683" i="1"/>
  <c r="C3683" i="1"/>
  <c r="G3682" i="1"/>
  <c r="C3682" i="1"/>
  <c r="G3681" i="1"/>
  <c r="C3681" i="1"/>
  <c r="G3680" i="1"/>
  <c r="C3680" i="1"/>
  <c r="G3679" i="1"/>
  <c r="C3679" i="1"/>
  <c r="G3678" i="1"/>
  <c r="C3678" i="1"/>
  <c r="G3677" i="1"/>
  <c r="C3677" i="1"/>
  <c r="G3676" i="1"/>
  <c r="C3676" i="1"/>
  <c r="G3675" i="1"/>
  <c r="C3675" i="1"/>
  <c r="G3674" i="1"/>
  <c r="C3674" i="1"/>
  <c r="G3673" i="1"/>
  <c r="C3673" i="1"/>
  <c r="G3672" i="1"/>
  <c r="C3672" i="1"/>
  <c r="G3671" i="1"/>
  <c r="C3671" i="1"/>
  <c r="G3670" i="1"/>
  <c r="C3670" i="1"/>
  <c r="G3669" i="1"/>
  <c r="C3669" i="1"/>
  <c r="G3668" i="1"/>
  <c r="C3668" i="1"/>
  <c r="G3667" i="1"/>
  <c r="C3667" i="1"/>
  <c r="G3666" i="1"/>
  <c r="C3666" i="1"/>
  <c r="G3665" i="1"/>
  <c r="C3665" i="1"/>
  <c r="G3663" i="1"/>
  <c r="C3663" i="1"/>
  <c r="G3662" i="1"/>
  <c r="C3662" i="1"/>
  <c r="G3661" i="1"/>
  <c r="C3661" i="1"/>
  <c r="G3660" i="1"/>
  <c r="C3660" i="1"/>
  <c r="G3659" i="1"/>
  <c r="C3659" i="1"/>
  <c r="G3658" i="1"/>
  <c r="C3658" i="1"/>
  <c r="G3657" i="1"/>
  <c r="C3657" i="1"/>
  <c r="G3656" i="1"/>
  <c r="C3656" i="1"/>
  <c r="G3655" i="1"/>
  <c r="C3655" i="1"/>
  <c r="G3654" i="1"/>
  <c r="C3654" i="1"/>
  <c r="G3653" i="1"/>
  <c r="C3653" i="1"/>
  <c r="G3652" i="1"/>
  <c r="C3652" i="1"/>
  <c r="G3651" i="1"/>
  <c r="C3651" i="1"/>
  <c r="G3650" i="1"/>
  <c r="C3650" i="1"/>
  <c r="G3649" i="1"/>
  <c r="C3649" i="1"/>
  <c r="G3648" i="1"/>
  <c r="C3648" i="1"/>
  <c r="G3647" i="1"/>
  <c r="C3647" i="1"/>
  <c r="G3646" i="1"/>
  <c r="C3646" i="1"/>
  <c r="G3645" i="1"/>
  <c r="C3645" i="1"/>
  <c r="G3644" i="1"/>
  <c r="C3644" i="1"/>
  <c r="G3643" i="1"/>
  <c r="C3643" i="1"/>
  <c r="G3642" i="1"/>
  <c r="C3642" i="1"/>
  <c r="G3641" i="1"/>
  <c r="C3641" i="1"/>
  <c r="G3640" i="1"/>
  <c r="C3640" i="1"/>
  <c r="G3639" i="1"/>
  <c r="C3639" i="1"/>
  <c r="G3638" i="1"/>
  <c r="C3638" i="1"/>
  <c r="G3637" i="1"/>
  <c r="C3637" i="1"/>
  <c r="G3636" i="1"/>
  <c r="C3636" i="1"/>
  <c r="G3635" i="1"/>
  <c r="C3635" i="1"/>
  <c r="G3634" i="1"/>
  <c r="C3634" i="1"/>
  <c r="G3633" i="1"/>
  <c r="C3633" i="1"/>
  <c r="G3632" i="1"/>
  <c r="C3632" i="1"/>
  <c r="G3631" i="1"/>
  <c r="C3631" i="1"/>
  <c r="G3630" i="1"/>
  <c r="C3630" i="1"/>
  <c r="G3629" i="1"/>
  <c r="C3629" i="1"/>
  <c r="G3628" i="1"/>
  <c r="C3628" i="1"/>
  <c r="G3627" i="1"/>
  <c r="C3627" i="1"/>
  <c r="G3626" i="1"/>
  <c r="C3626" i="1"/>
  <c r="G3625" i="1"/>
  <c r="C3625" i="1"/>
  <c r="G3624" i="1"/>
  <c r="C3624" i="1"/>
  <c r="G3623" i="1"/>
  <c r="C3623" i="1"/>
  <c r="G3622" i="1"/>
  <c r="C3622" i="1"/>
  <c r="G3621" i="1"/>
  <c r="C3621" i="1"/>
  <c r="G3620" i="1"/>
  <c r="C3620" i="1"/>
  <c r="G3618" i="1"/>
  <c r="C3618" i="1"/>
  <c r="G3617" i="1"/>
  <c r="C3617" i="1"/>
  <c r="G3616" i="1"/>
  <c r="C3616" i="1"/>
  <c r="G3615" i="1"/>
  <c r="C3615" i="1"/>
  <c r="G3614" i="1"/>
  <c r="C3614" i="1"/>
  <c r="G3613" i="1"/>
  <c r="C3613" i="1"/>
  <c r="G3612" i="1"/>
  <c r="C3612" i="1"/>
  <c r="G3611" i="1"/>
  <c r="C3611" i="1"/>
  <c r="G3610" i="1"/>
  <c r="C3610" i="1"/>
  <c r="G3609" i="1"/>
  <c r="C3609" i="1"/>
  <c r="G3608" i="1"/>
  <c r="C3608" i="1"/>
  <c r="G3607" i="1"/>
  <c r="C3607" i="1"/>
  <c r="G3606" i="1"/>
  <c r="C3606" i="1"/>
  <c r="G3605" i="1"/>
  <c r="C3605" i="1"/>
  <c r="G3604" i="1"/>
  <c r="C3604" i="1"/>
  <c r="G3603" i="1"/>
  <c r="C3603" i="1"/>
  <c r="G3602" i="1"/>
  <c r="C3602" i="1"/>
  <c r="G3601" i="1"/>
  <c r="C3601" i="1"/>
  <c r="G3600" i="1"/>
  <c r="C3600" i="1"/>
  <c r="G3599" i="1"/>
  <c r="C3599" i="1"/>
  <c r="G3598" i="1"/>
  <c r="C3598" i="1"/>
  <c r="G3597" i="1"/>
  <c r="C3597" i="1"/>
  <c r="G3596" i="1"/>
  <c r="C3596" i="1"/>
  <c r="G3595" i="1"/>
  <c r="C3595" i="1"/>
  <c r="G3594" i="1"/>
  <c r="C3594" i="1"/>
  <c r="G3593" i="1"/>
  <c r="C3593" i="1"/>
  <c r="G3592" i="1"/>
  <c r="C3592" i="1"/>
  <c r="G3591" i="1"/>
  <c r="C3591" i="1"/>
  <c r="G3590" i="1"/>
  <c r="C3590" i="1"/>
  <c r="G3589" i="1"/>
  <c r="C3589" i="1"/>
  <c r="G3588" i="1"/>
  <c r="C3588" i="1"/>
  <c r="G3587" i="1"/>
  <c r="C3587" i="1"/>
  <c r="G3586" i="1"/>
  <c r="C3586" i="1"/>
  <c r="G3585" i="1"/>
  <c r="C3585" i="1"/>
  <c r="G3584" i="1"/>
  <c r="C3584" i="1"/>
  <c r="G3583" i="1"/>
  <c r="C3583" i="1"/>
  <c r="G3582" i="1"/>
  <c r="C3582" i="1"/>
  <c r="G3581" i="1"/>
  <c r="C3581" i="1"/>
  <c r="G3580" i="1"/>
  <c r="C3580" i="1"/>
  <c r="G3579" i="1"/>
  <c r="C3579" i="1"/>
  <c r="G3578" i="1"/>
  <c r="C3578" i="1"/>
  <c r="G3577" i="1"/>
  <c r="C3577" i="1"/>
  <c r="G3576" i="1"/>
  <c r="C3576" i="1"/>
  <c r="G3574" i="1"/>
  <c r="C3574" i="1"/>
  <c r="G3573" i="1"/>
  <c r="C3573" i="1"/>
  <c r="G3572" i="1"/>
  <c r="C3572" i="1"/>
  <c r="G3571" i="1"/>
  <c r="C3571" i="1"/>
  <c r="G3570" i="1"/>
  <c r="C3570" i="1"/>
  <c r="G3569" i="1"/>
  <c r="C3569" i="1"/>
  <c r="G3568" i="1"/>
  <c r="C3568" i="1"/>
  <c r="G3567" i="1"/>
  <c r="C3567" i="1"/>
  <c r="G3566" i="1"/>
  <c r="C3566" i="1"/>
  <c r="G3565" i="1"/>
  <c r="C3565" i="1"/>
  <c r="G3564" i="1"/>
  <c r="C3564" i="1"/>
  <c r="G3563" i="1"/>
  <c r="C3563" i="1"/>
  <c r="G3562" i="1"/>
  <c r="C3562" i="1"/>
  <c r="G3561" i="1"/>
  <c r="C3561" i="1"/>
  <c r="G3560" i="1"/>
  <c r="C3560" i="1"/>
  <c r="G3559" i="1"/>
  <c r="C3559" i="1"/>
  <c r="G3558" i="1"/>
  <c r="C3558" i="1"/>
  <c r="G3557" i="1"/>
  <c r="C3557" i="1"/>
  <c r="G3556" i="1"/>
  <c r="C3556" i="1"/>
  <c r="G3555" i="1"/>
  <c r="C3555" i="1"/>
  <c r="G3554" i="1"/>
  <c r="C3554" i="1"/>
  <c r="G3553" i="1"/>
  <c r="C3553" i="1"/>
  <c r="G3552" i="1"/>
  <c r="C3552" i="1"/>
  <c r="G3551" i="1"/>
  <c r="C3551" i="1"/>
  <c r="G3550" i="1"/>
  <c r="C3550" i="1"/>
  <c r="G3549" i="1"/>
  <c r="C3549" i="1"/>
  <c r="G3548" i="1"/>
  <c r="C3548" i="1"/>
  <c r="G3547" i="1"/>
  <c r="C3547" i="1"/>
  <c r="G3546" i="1"/>
  <c r="C3546" i="1"/>
  <c r="G3545" i="1"/>
  <c r="C3545" i="1"/>
  <c r="G3544" i="1"/>
  <c r="C3544" i="1"/>
  <c r="G3543" i="1"/>
  <c r="C3543" i="1"/>
  <c r="G3542" i="1"/>
  <c r="C3542" i="1"/>
  <c r="G3541" i="1"/>
  <c r="C3541" i="1"/>
  <c r="G3540" i="1"/>
  <c r="C3540" i="1"/>
  <c r="G3539" i="1"/>
  <c r="C3539" i="1"/>
  <c r="G3536" i="1"/>
  <c r="C3536" i="1"/>
  <c r="G3535" i="1"/>
  <c r="C3535" i="1"/>
  <c r="G3534" i="1"/>
  <c r="C3534" i="1"/>
  <c r="G3533" i="1"/>
  <c r="C3533" i="1"/>
  <c r="G3532" i="1"/>
  <c r="C3532" i="1"/>
  <c r="G3531" i="1"/>
  <c r="C3531" i="1"/>
  <c r="G3530" i="1"/>
  <c r="C3530" i="1"/>
  <c r="G3529" i="1"/>
  <c r="C3529" i="1"/>
  <c r="G3528" i="1"/>
  <c r="C3528" i="1"/>
  <c r="G3527" i="1"/>
  <c r="C3527" i="1"/>
  <c r="G3526" i="1"/>
  <c r="C3526" i="1"/>
  <c r="G3525" i="1"/>
  <c r="C3525" i="1"/>
  <c r="G3524" i="1"/>
  <c r="C3524" i="1"/>
  <c r="G3523" i="1"/>
  <c r="C3523" i="1"/>
  <c r="G3522" i="1"/>
  <c r="C3522" i="1"/>
  <c r="G3520" i="1"/>
  <c r="C3520" i="1"/>
  <c r="G3519" i="1"/>
  <c r="C3519" i="1"/>
  <c r="G3518" i="1"/>
  <c r="C3518" i="1"/>
  <c r="G3517" i="1"/>
  <c r="C3517" i="1"/>
  <c r="G3516" i="1"/>
  <c r="C3516" i="1"/>
  <c r="G3515" i="1"/>
  <c r="C3515" i="1"/>
  <c r="G3514" i="1"/>
  <c r="C3514" i="1"/>
  <c r="G3513" i="1"/>
  <c r="C3513" i="1"/>
  <c r="G3512" i="1"/>
  <c r="C3512" i="1"/>
  <c r="G3511" i="1"/>
  <c r="C3511" i="1"/>
  <c r="G3510" i="1"/>
  <c r="C3510" i="1"/>
  <c r="G3509" i="1"/>
  <c r="C3509" i="1"/>
  <c r="G3508" i="1"/>
  <c r="C3508" i="1"/>
  <c r="G3507" i="1"/>
  <c r="C3507" i="1"/>
  <c r="G3506" i="1"/>
  <c r="C3506" i="1"/>
  <c r="G3505" i="1"/>
  <c r="C3505" i="1"/>
  <c r="G3504" i="1"/>
  <c r="C3504" i="1"/>
  <c r="G3503" i="1"/>
  <c r="C3503" i="1"/>
  <c r="G3502" i="1"/>
  <c r="C3502" i="1"/>
  <c r="G3501" i="1"/>
  <c r="C3501" i="1"/>
  <c r="G3500" i="1"/>
  <c r="C3500" i="1"/>
  <c r="G3499" i="1"/>
  <c r="C3499" i="1"/>
  <c r="G3498" i="1"/>
  <c r="C3498" i="1"/>
  <c r="G3497" i="1"/>
  <c r="C3497" i="1"/>
  <c r="G3496" i="1"/>
  <c r="C3496" i="1"/>
  <c r="G3495" i="1"/>
  <c r="C3495" i="1"/>
  <c r="G3494" i="1"/>
  <c r="C3494" i="1"/>
  <c r="G3493" i="1"/>
  <c r="C3493" i="1"/>
  <c r="G3492" i="1"/>
  <c r="C3492" i="1"/>
  <c r="G3491" i="1"/>
  <c r="C3491" i="1"/>
  <c r="G3490" i="1"/>
  <c r="C3490" i="1"/>
  <c r="G3489" i="1"/>
  <c r="C3489" i="1"/>
  <c r="G3488" i="1"/>
  <c r="C3488" i="1"/>
  <c r="G3487" i="1"/>
  <c r="C3487" i="1"/>
  <c r="G3486" i="1"/>
  <c r="C3486" i="1"/>
  <c r="G3485" i="1"/>
  <c r="C3485" i="1"/>
  <c r="G3484" i="1"/>
  <c r="C3484" i="1"/>
  <c r="G3482" i="1"/>
  <c r="C3482" i="1"/>
  <c r="G3481" i="1"/>
  <c r="C3481" i="1"/>
  <c r="G3480" i="1"/>
  <c r="C3480" i="1"/>
  <c r="G3479" i="1"/>
  <c r="C3479" i="1"/>
  <c r="G3478" i="1"/>
  <c r="C3478" i="1"/>
  <c r="G3477" i="1"/>
  <c r="C3477" i="1"/>
  <c r="G3476" i="1"/>
  <c r="C3476" i="1"/>
  <c r="G3475" i="1"/>
  <c r="C3475" i="1"/>
  <c r="G3474" i="1"/>
  <c r="C3474" i="1"/>
  <c r="G3473" i="1"/>
  <c r="C3473" i="1"/>
  <c r="G3472" i="1"/>
  <c r="C3472" i="1"/>
  <c r="G3471" i="1"/>
  <c r="C3471" i="1"/>
  <c r="G3470" i="1"/>
  <c r="C3470" i="1"/>
  <c r="G3469" i="1"/>
  <c r="C3469" i="1"/>
  <c r="G3468" i="1"/>
  <c r="C3468" i="1"/>
  <c r="G3467" i="1"/>
  <c r="C3467" i="1"/>
  <c r="G3466" i="1"/>
  <c r="C3466" i="1"/>
  <c r="G3465" i="1"/>
  <c r="C3465" i="1"/>
  <c r="G3464" i="1"/>
  <c r="C3464" i="1"/>
  <c r="G3463" i="1"/>
  <c r="C3463" i="1"/>
  <c r="G3462" i="1"/>
  <c r="C3462" i="1"/>
  <c r="G3461" i="1"/>
  <c r="C3461" i="1"/>
  <c r="G3460" i="1"/>
  <c r="C3460" i="1"/>
  <c r="G3459" i="1"/>
  <c r="C3459" i="1"/>
  <c r="G3458" i="1"/>
  <c r="C3458" i="1"/>
  <c r="G3457" i="1"/>
  <c r="C3457" i="1"/>
  <c r="G3455" i="1"/>
  <c r="C3455" i="1"/>
  <c r="G3454" i="1"/>
  <c r="C3454" i="1"/>
  <c r="G3453" i="1"/>
  <c r="C3453" i="1"/>
  <c r="G3452" i="1"/>
  <c r="C3452" i="1"/>
  <c r="G3451" i="1"/>
  <c r="C3451" i="1"/>
  <c r="G3450" i="1"/>
  <c r="C3450" i="1"/>
  <c r="G3449" i="1"/>
  <c r="C3449" i="1"/>
  <c r="G3448" i="1"/>
  <c r="C3448" i="1"/>
  <c r="G3447" i="1"/>
  <c r="C3447" i="1"/>
  <c r="G3446" i="1"/>
  <c r="C3446" i="1"/>
  <c r="G3445" i="1"/>
  <c r="C3445" i="1"/>
  <c r="G3444" i="1"/>
  <c r="C3444" i="1"/>
  <c r="G3443" i="1"/>
  <c r="C3443" i="1"/>
  <c r="G3442" i="1"/>
  <c r="C3442" i="1"/>
  <c r="G3441" i="1"/>
  <c r="C3441" i="1"/>
  <c r="G3440" i="1"/>
  <c r="C3440" i="1"/>
  <c r="G3439" i="1"/>
  <c r="C3439" i="1"/>
  <c r="G3438" i="1"/>
  <c r="C3438" i="1"/>
  <c r="G3437" i="1"/>
  <c r="C3437" i="1"/>
  <c r="G3436" i="1"/>
  <c r="C3436" i="1"/>
  <c r="G3435" i="1"/>
  <c r="C3435" i="1"/>
  <c r="G3434" i="1"/>
  <c r="C3434" i="1"/>
  <c r="G3433" i="1"/>
  <c r="C3433" i="1"/>
  <c r="G3432" i="1"/>
  <c r="C3432" i="1"/>
  <c r="G3431" i="1"/>
  <c r="C3431" i="1"/>
  <c r="G3430" i="1"/>
  <c r="C3430" i="1"/>
  <c r="G3429" i="1"/>
  <c r="C3429" i="1"/>
  <c r="G3428" i="1"/>
  <c r="C3428" i="1"/>
  <c r="G3427" i="1"/>
  <c r="C3427" i="1"/>
  <c r="G3426" i="1"/>
  <c r="C3426" i="1"/>
  <c r="G3425" i="1"/>
  <c r="C3425" i="1"/>
  <c r="G3424" i="1"/>
  <c r="C3424" i="1"/>
  <c r="G3423" i="1"/>
  <c r="C3423" i="1"/>
  <c r="G3422" i="1"/>
  <c r="C3422" i="1"/>
  <c r="G3421" i="1"/>
  <c r="C3421" i="1"/>
  <c r="G3420" i="1"/>
  <c r="C3420" i="1"/>
  <c r="G3419" i="1"/>
  <c r="C3419" i="1"/>
  <c r="G3418" i="1"/>
  <c r="C3418" i="1"/>
  <c r="G3417" i="1"/>
  <c r="C3417" i="1"/>
  <c r="G3416" i="1"/>
  <c r="C3416" i="1"/>
  <c r="G3415" i="1"/>
  <c r="C3415" i="1"/>
  <c r="G3414" i="1"/>
  <c r="C3414" i="1"/>
  <c r="G3413" i="1"/>
  <c r="C3413" i="1"/>
  <c r="G3412" i="1"/>
  <c r="C3412" i="1"/>
  <c r="G3411" i="1"/>
  <c r="C3411" i="1"/>
  <c r="G3410" i="1"/>
  <c r="C3410" i="1"/>
  <c r="G3409" i="1"/>
  <c r="C3409" i="1"/>
  <c r="G3408" i="1"/>
  <c r="C3408" i="1"/>
  <c r="G3407" i="1"/>
  <c r="C3407" i="1"/>
  <c r="G3406" i="1"/>
  <c r="C3406" i="1"/>
  <c r="G3405" i="1"/>
  <c r="C3405" i="1"/>
  <c r="G3404" i="1"/>
  <c r="C3404" i="1"/>
  <c r="G3403" i="1"/>
  <c r="C3403" i="1"/>
  <c r="G3402" i="1"/>
  <c r="C3402" i="1"/>
  <c r="G3401" i="1"/>
  <c r="C3401" i="1"/>
  <c r="G3400" i="1"/>
  <c r="C3400" i="1"/>
  <c r="G3399" i="1"/>
  <c r="C3399" i="1"/>
  <c r="G3398" i="1"/>
  <c r="C3398" i="1"/>
  <c r="G3396" i="1"/>
  <c r="C3396" i="1"/>
  <c r="G3395" i="1"/>
  <c r="C3395" i="1"/>
  <c r="G3394" i="1"/>
  <c r="C3394" i="1"/>
  <c r="G3393" i="1"/>
  <c r="C3393" i="1"/>
  <c r="G3392" i="1"/>
  <c r="C3392" i="1"/>
  <c r="G3391" i="1"/>
  <c r="C3391" i="1"/>
  <c r="G3390" i="1"/>
  <c r="C3390" i="1"/>
  <c r="G3389" i="1"/>
  <c r="C3389" i="1"/>
  <c r="G3388" i="1"/>
  <c r="C3388" i="1"/>
  <c r="G3387" i="1"/>
  <c r="C3387" i="1"/>
  <c r="G3386" i="1"/>
  <c r="C3386" i="1"/>
  <c r="G3385" i="1"/>
  <c r="C3385" i="1"/>
  <c r="G3384" i="1"/>
  <c r="C3384" i="1"/>
  <c r="G3383" i="1"/>
  <c r="C3383" i="1"/>
  <c r="G3382" i="1"/>
  <c r="C3382" i="1"/>
  <c r="G3381" i="1"/>
  <c r="C3381" i="1"/>
  <c r="G3380" i="1"/>
  <c r="C3380" i="1"/>
  <c r="G3379" i="1"/>
  <c r="C3379" i="1"/>
  <c r="G3378" i="1"/>
  <c r="C3378" i="1"/>
  <c r="G3377" i="1"/>
  <c r="C3377" i="1"/>
  <c r="G3376" i="1"/>
  <c r="C3376" i="1"/>
  <c r="G3374" i="1"/>
  <c r="C3374" i="1"/>
  <c r="G3373" i="1"/>
  <c r="C3373" i="1"/>
  <c r="G3372" i="1"/>
  <c r="C3372" i="1"/>
  <c r="G3371" i="1"/>
  <c r="C3371" i="1"/>
  <c r="G3370" i="1"/>
  <c r="C3370" i="1"/>
  <c r="G3369" i="1"/>
  <c r="C3369" i="1"/>
  <c r="G3368" i="1"/>
  <c r="C3368" i="1"/>
  <c r="G3367" i="1"/>
  <c r="C3367" i="1"/>
  <c r="G3366" i="1"/>
  <c r="C3366" i="1"/>
  <c r="G3365" i="1"/>
  <c r="C3365" i="1"/>
  <c r="G3364" i="1"/>
  <c r="C3364" i="1"/>
  <c r="G3363" i="1"/>
  <c r="C3363" i="1"/>
  <c r="G3362" i="1"/>
  <c r="C3362" i="1"/>
  <c r="G3361" i="1"/>
  <c r="C3361" i="1"/>
  <c r="G3360" i="1"/>
  <c r="C3360" i="1"/>
  <c r="G3359" i="1"/>
  <c r="C3359" i="1"/>
  <c r="G3358" i="1"/>
  <c r="C3358" i="1"/>
  <c r="G3357" i="1"/>
  <c r="C3357" i="1"/>
  <c r="G3356" i="1"/>
  <c r="C3356" i="1"/>
  <c r="G3355" i="1"/>
  <c r="C3355" i="1"/>
  <c r="G3354" i="1"/>
  <c r="C3354" i="1"/>
  <c r="G3353" i="1"/>
  <c r="C3353" i="1"/>
  <c r="G3352" i="1"/>
  <c r="C3352" i="1"/>
  <c r="G3351" i="1"/>
  <c r="C3351" i="1"/>
  <c r="G3350" i="1"/>
  <c r="C3350" i="1"/>
  <c r="G3349" i="1"/>
  <c r="C3349" i="1"/>
  <c r="G3348" i="1"/>
  <c r="C3348" i="1"/>
  <c r="G3347" i="1"/>
  <c r="C3347" i="1"/>
  <c r="G3346" i="1"/>
  <c r="C3346" i="1"/>
  <c r="G3345" i="1"/>
  <c r="C3345" i="1"/>
  <c r="G3344" i="1"/>
  <c r="C3344" i="1"/>
  <c r="G3343" i="1"/>
  <c r="C3343" i="1"/>
  <c r="G3342" i="1"/>
  <c r="C3342" i="1"/>
  <c r="G3341" i="1"/>
  <c r="C3341" i="1"/>
  <c r="G3340" i="1"/>
  <c r="C3340" i="1"/>
  <c r="G3339" i="1"/>
  <c r="C3339" i="1"/>
  <c r="G3338" i="1"/>
  <c r="C3338" i="1"/>
  <c r="G3337" i="1"/>
  <c r="C3337" i="1"/>
  <c r="G3336" i="1"/>
  <c r="C3336" i="1"/>
  <c r="G3335" i="1"/>
  <c r="C3335" i="1"/>
  <c r="G3334" i="1"/>
  <c r="C3334" i="1"/>
  <c r="G3333" i="1"/>
  <c r="C3333" i="1"/>
  <c r="G3332" i="1"/>
  <c r="C3332" i="1"/>
  <c r="G3331" i="1"/>
  <c r="C3331" i="1"/>
  <c r="G3330" i="1"/>
  <c r="C3330" i="1"/>
  <c r="G3329" i="1"/>
  <c r="C3329" i="1"/>
  <c r="G3328" i="1"/>
  <c r="C3328" i="1"/>
  <c r="G3327" i="1"/>
  <c r="C3327" i="1"/>
  <c r="G3326" i="1"/>
  <c r="C3326" i="1"/>
  <c r="G3325" i="1"/>
  <c r="C3325" i="1"/>
  <c r="G3324" i="1"/>
  <c r="C3324" i="1"/>
  <c r="G3323" i="1"/>
  <c r="C3323" i="1"/>
  <c r="G3322" i="1"/>
  <c r="C3322" i="1"/>
  <c r="G3321" i="1"/>
  <c r="C3321" i="1"/>
  <c r="G3320" i="1"/>
  <c r="C3320" i="1"/>
  <c r="G3319" i="1"/>
  <c r="C3319" i="1"/>
  <c r="G3318" i="1"/>
  <c r="C3318" i="1"/>
  <c r="G3317" i="1"/>
  <c r="C3317" i="1"/>
  <c r="G3316" i="1"/>
  <c r="C3316" i="1"/>
  <c r="G3315" i="1"/>
  <c r="C3315" i="1"/>
  <c r="G3314" i="1"/>
  <c r="C3314" i="1"/>
  <c r="G3313" i="1"/>
  <c r="C3313" i="1"/>
  <c r="G3312" i="1"/>
  <c r="C3312" i="1"/>
  <c r="G3311" i="1"/>
  <c r="C3311" i="1"/>
  <c r="G3310" i="1"/>
  <c r="C3310" i="1"/>
  <c r="G3309" i="1"/>
  <c r="C3309" i="1"/>
  <c r="G3308" i="1"/>
  <c r="C3308" i="1"/>
  <c r="G3306" i="1"/>
  <c r="C3306" i="1"/>
  <c r="G3305" i="1"/>
  <c r="C3305" i="1"/>
  <c r="G3304" i="1"/>
  <c r="C3304" i="1"/>
  <c r="G3303" i="1"/>
  <c r="C3303" i="1"/>
  <c r="G3302" i="1"/>
  <c r="C3302" i="1"/>
  <c r="G3301" i="1"/>
  <c r="C3301" i="1"/>
  <c r="G3300" i="1"/>
  <c r="C3300" i="1"/>
  <c r="G3299" i="1"/>
  <c r="C3299" i="1"/>
  <c r="G3298" i="1"/>
  <c r="C3298" i="1"/>
  <c r="G3297" i="1"/>
  <c r="C3297" i="1"/>
  <c r="G3296" i="1"/>
  <c r="C3296" i="1"/>
  <c r="G3295" i="1"/>
  <c r="C3295" i="1"/>
  <c r="G3294" i="1"/>
  <c r="C3294" i="1"/>
  <c r="G3293" i="1"/>
  <c r="C3293" i="1"/>
  <c r="G3292" i="1"/>
  <c r="C3292" i="1"/>
  <c r="G3291" i="1"/>
  <c r="C3291" i="1"/>
  <c r="G3290" i="1"/>
  <c r="C3290" i="1"/>
  <c r="G3289" i="1"/>
  <c r="C3289" i="1"/>
  <c r="G3288" i="1"/>
  <c r="C3288" i="1"/>
  <c r="G3287" i="1"/>
  <c r="C3287" i="1"/>
  <c r="G3286" i="1"/>
  <c r="C3286" i="1"/>
  <c r="G3285" i="1"/>
  <c r="C3285" i="1"/>
  <c r="G3284" i="1"/>
  <c r="C3284" i="1"/>
  <c r="G3283" i="1"/>
  <c r="C3283" i="1"/>
  <c r="G3282" i="1"/>
  <c r="C3282" i="1"/>
  <c r="G3281" i="1"/>
  <c r="C3281" i="1"/>
  <c r="G3280" i="1"/>
  <c r="C3280" i="1"/>
  <c r="G3279" i="1"/>
  <c r="C3279" i="1"/>
  <c r="G3278" i="1"/>
  <c r="C3278" i="1"/>
  <c r="G3277" i="1"/>
  <c r="C3277" i="1"/>
  <c r="G3276" i="1"/>
  <c r="C3276" i="1"/>
  <c r="G3275" i="1"/>
  <c r="C3275" i="1"/>
  <c r="G3274" i="1"/>
  <c r="C3274" i="1"/>
  <c r="G3273" i="1"/>
  <c r="C3273" i="1"/>
  <c r="G3272" i="1"/>
  <c r="C3272" i="1"/>
  <c r="G3271" i="1"/>
  <c r="C3271" i="1"/>
  <c r="G3270" i="1"/>
  <c r="C3270" i="1"/>
  <c r="G3269" i="1"/>
  <c r="C3269" i="1"/>
  <c r="G3268" i="1"/>
  <c r="C3268" i="1"/>
  <c r="G3267" i="1"/>
  <c r="C3267" i="1"/>
  <c r="G3266" i="1"/>
  <c r="C3266" i="1"/>
  <c r="G3265" i="1"/>
  <c r="C3265" i="1"/>
  <c r="G3264" i="1"/>
  <c r="C3264" i="1"/>
  <c r="G3262" i="1"/>
  <c r="C3262" i="1"/>
  <c r="G3261" i="1"/>
  <c r="C3261" i="1"/>
  <c r="G3260" i="1"/>
  <c r="C3260" i="1"/>
  <c r="G3259" i="1"/>
  <c r="C3259" i="1"/>
  <c r="G3258" i="1"/>
  <c r="C3258" i="1"/>
  <c r="G3257" i="1"/>
  <c r="C3257" i="1"/>
  <c r="G3256" i="1"/>
  <c r="C3256" i="1"/>
  <c r="G3255" i="1"/>
  <c r="C3255" i="1"/>
  <c r="G3254" i="1"/>
  <c r="C3254" i="1"/>
  <c r="G3253" i="1"/>
  <c r="C3253" i="1"/>
  <c r="G3252" i="1"/>
  <c r="C3252" i="1"/>
  <c r="G3251" i="1"/>
  <c r="C3251" i="1"/>
  <c r="G3250" i="1"/>
  <c r="C3250" i="1"/>
  <c r="G3248" i="1"/>
  <c r="C3248" i="1"/>
  <c r="G3247" i="1"/>
  <c r="C3247" i="1"/>
  <c r="G3246" i="1"/>
  <c r="C3246" i="1"/>
  <c r="G3245" i="1"/>
  <c r="C3245" i="1"/>
  <c r="G3244" i="1"/>
  <c r="C3244" i="1"/>
  <c r="G3243" i="1"/>
  <c r="C3243" i="1"/>
  <c r="G3242" i="1"/>
  <c r="C3242" i="1"/>
  <c r="G3241" i="1"/>
  <c r="C3241" i="1"/>
  <c r="G3240" i="1"/>
  <c r="C3240" i="1"/>
  <c r="G3239" i="1"/>
  <c r="C3239" i="1"/>
  <c r="G3238" i="1"/>
  <c r="C3238" i="1"/>
  <c r="G3237" i="1"/>
  <c r="C3237" i="1"/>
  <c r="G3236" i="1"/>
  <c r="C3236" i="1"/>
  <c r="G3235" i="1"/>
  <c r="C3235" i="1"/>
  <c r="G3234" i="1"/>
  <c r="C3234" i="1"/>
  <c r="G3233" i="1"/>
  <c r="C3233" i="1"/>
  <c r="G3232" i="1"/>
  <c r="C3232" i="1"/>
  <c r="G3231" i="1"/>
  <c r="C3231" i="1"/>
  <c r="G3230" i="1"/>
  <c r="C3230" i="1"/>
  <c r="G3229" i="1"/>
  <c r="C3229" i="1"/>
  <c r="G3228" i="1"/>
  <c r="C3228" i="1"/>
  <c r="G3227" i="1"/>
  <c r="C3227" i="1"/>
  <c r="G3226" i="1"/>
  <c r="C3226" i="1"/>
  <c r="G3225" i="1"/>
  <c r="C3225" i="1"/>
  <c r="G3224" i="1"/>
  <c r="C3224" i="1"/>
  <c r="G3223" i="1"/>
  <c r="C3223" i="1"/>
  <c r="G3222" i="1"/>
  <c r="C3222" i="1"/>
  <c r="G3220" i="1"/>
  <c r="C3220" i="1"/>
  <c r="G3219" i="1"/>
  <c r="C3219" i="1"/>
  <c r="G3218" i="1"/>
  <c r="C3218" i="1"/>
  <c r="G3217" i="1"/>
  <c r="C3217" i="1"/>
  <c r="G3216" i="1"/>
  <c r="C3216" i="1"/>
  <c r="G3215" i="1"/>
  <c r="C3215" i="1"/>
  <c r="G3214" i="1"/>
  <c r="C3214" i="1"/>
  <c r="G3213" i="1"/>
  <c r="C3213" i="1"/>
  <c r="G3212" i="1"/>
  <c r="C3212" i="1"/>
  <c r="G3211" i="1"/>
  <c r="C3211" i="1"/>
  <c r="G3210" i="1"/>
  <c r="C3210" i="1"/>
  <c r="G3209" i="1"/>
  <c r="C3209" i="1"/>
  <c r="G3207" i="1"/>
  <c r="C3207" i="1"/>
  <c r="G3206" i="1"/>
  <c r="C3206" i="1"/>
  <c r="G3205" i="1"/>
  <c r="C3205" i="1"/>
  <c r="G3204" i="1"/>
  <c r="C3204" i="1"/>
  <c r="G3203" i="1"/>
  <c r="C3203" i="1"/>
  <c r="G3202" i="1"/>
  <c r="C3202" i="1"/>
  <c r="G3201" i="1"/>
  <c r="C3201" i="1"/>
  <c r="G3200" i="1"/>
  <c r="C3200" i="1"/>
  <c r="G3199" i="1"/>
  <c r="C3199" i="1"/>
  <c r="G3198" i="1"/>
  <c r="C3198" i="1"/>
  <c r="G3197" i="1"/>
  <c r="C3197" i="1"/>
  <c r="G3196" i="1"/>
  <c r="C3196" i="1"/>
  <c r="G3195" i="1"/>
  <c r="C3195" i="1"/>
  <c r="G3194" i="1"/>
  <c r="C3194" i="1"/>
  <c r="G3193" i="1"/>
  <c r="C3193" i="1"/>
  <c r="G3192" i="1"/>
  <c r="C3192" i="1"/>
  <c r="G3191" i="1"/>
  <c r="C3191" i="1"/>
  <c r="G3190" i="1"/>
  <c r="C3190" i="1"/>
  <c r="G3189" i="1"/>
  <c r="C3189" i="1"/>
  <c r="G3188" i="1"/>
  <c r="C3188" i="1"/>
  <c r="G3187" i="1"/>
  <c r="C3187" i="1"/>
  <c r="G3186" i="1"/>
  <c r="C3186" i="1"/>
  <c r="G3185" i="1"/>
  <c r="C3185" i="1"/>
  <c r="G3184" i="1"/>
  <c r="C3184" i="1"/>
  <c r="G3183" i="1"/>
  <c r="C3183" i="1"/>
  <c r="G3182" i="1"/>
  <c r="C3182" i="1"/>
  <c r="G3181" i="1"/>
  <c r="C3181" i="1"/>
  <c r="G3180" i="1"/>
  <c r="C3180" i="1"/>
  <c r="G3179" i="1"/>
  <c r="C3179" i="1"/>
  <c r="G3178" i="1"/>
  <c r="C3178" i="1"/>
  <c r="G3177" i="1"/>
  <c r="C3177" i="1"/>
  <c r="G3176" i="1"/>
  <c r="C3176" i="1"/>
  <c r="G3174" i="1"/>
  <c r="C3174" i="1"/>
  <c r="G3173" i="1"/>
  <c r="C3173" i="1"/>
  <c r="G3172" i="1"/>
  <c r="C3172" i="1"/>
  <c r="G3171" i="1"/>
  <c r="C3171" i="1"/>
  <c r="G3170" i="1"/>
  <c r="C3170" i="1"/>
  <c r="G3169" i="1"/>
  <c r="C3169" i="1"/>
  <c r="G3168" i="1"/>
  <c r="C3168" i="1"/>
  <c r="G3167" i="1"/>
  <c r="C3167" i="1"/>
  <c r="G3166" i="1"/>
  <c r="C3166" i="1"/>
  <c r="G3165" i="1"/>
  <c r="C3165" i="1"/>
  <c r="G3164" i="1"/>
  <c r="C3164" i="1"/>
  <c r="G3163" i="1"/>
  <c r="C3163" i="1"/>
  <c r="G3162" i="1"/>
  <c r="C3162" i="1"/>
  <c r="G3161" i="1"/>
  <c r="C3161" i="1"/>
  <c r="G3160" i="1"/>
  <c r="C3160" i="1"/>
  <c r="G3159" i="1"/>
  <c r="C3159" i="1"/>
  <c r="G3158" i="1"/>
  <c r="C3158" i="1"/>
  <c r="G3157" i="1"/>
  <c r="C3157" i="1"/>
  <c r="G3156" i="1"/>
  <c r="C3156" i="1"/>
  <c r="G3155" i="1"/>
  <c r="C3155" i="1"/>
  <c r="G3154" i="1"/>
  <c r="C3154" i="1"/>
  <c r="G3153" i="1"/>
  <c r="C3153" i="1"/>
  <c r="G3152" i="1"/>
  <c r="C3152" i="1"/>
  <c r="G3151" i="1"/>
  <c r="C3151" i="1"/>
  <c r="G3150" i="1"/>
  <c r="C3150" i="1"/>
  <c r="G3149" i="1"/>
  <c r="C3149" i="1"/>
  <c r="G3148" i="1"/>
  <c r="C3148" i="1"/>
  <c r="G3147" i="1"/>
  <c r="C3147" i="1"/>
  <c r="G3146" i="1"/>
  <c r="C3146" i="1"/>
  <c r="G3145" i="1"/>
  <c r="C3145" i="1"/>
  <c r="G3144" i="1"/>
  <c r="C3144" i="1"/>
  <c r="G3143" i="1"/>
  <c r="C3143" i="1"/>
  <c r="G3142" i="1"/>
  <c r="C3142" i="1"/>
  <c r="G3141" i="1"/>
  <c r="C3141" i="1"/>
  <c r="G3140" i="1"/>
  <c r="C3140" i="1"/>
  <c r="G3139" i="1"/>
  <c r="C3139" i="1"/>
  <c r="G3138" i="1"/>
  <c r="C3138" i="1"/>
  <c r="G3137" i="1"/>
  <c r="C3137" i="1"/>
  <c r="G3136" i="1"/>
  <c r="C3136" i="1"/>
  <c r="G3135" i="1"/>
  <c r="C3135" i="1"/>
  <c r="G3134" i="1"/>
  <c r="C3134" i="1"/>
  <c r="G3133" i="1"/>
  <c r="C3133" i="1"/>
  <c r="G3132" i="1"/>
  <c r="C3132" i="1"/>
  <c r="G3131" i="1"/>
  <c r="C3131" i="1"/>
  <c r="G3129" i="1"/>
  <c r="C3129" i="1"/>
  <c r="G3128" i="1"/>
  <c r="C3128" i="1"/>
  <c r="G3127" i="1"/>
  <c r="C3127" i="1"/>
  <c r="G3126" i="1"/>
  <c r="C3126" i="1"/>
  <c r="G3125" i="1"/>
  <c r="C3125" i="1"/>
  <c r="G3124" i="1"/>
  <c r="C3124" i="1"/>
  <c r="G3123" i="1"/>
  <c r="C3123" i="1"/>
  <c r="G3122" i="1"/>
  <c r="C3122" i="1"/>
  <c r="G3121" i="1"/>
  <c r="C3121" i="1"/>
  <c r="G3120" i="1"/>
  <c r="C3120" i="1"/>
  <c r="G3119" i="1"/>
  <c r="C3119" i="1"/>
  <c r="G3118" i="1"/>
  <c r="C3118" i="1"/>
  <c r="G3117" i="1"/>
  <c r="C3117" i="1"/>
  <c r="G3116" i="1"/>
  <c r="C3116" i="1"/>
  <c r="G3115" i="1"/>
  <c r="C3115" i="1"/>
  <c r="G3114" i="1"/>
  <c r="C3114" i="1"/>
  <c r="G3113" i="1"/>
  <c r="C3113" i="1"/>
  <c r="G3112" i="1"/>
  <c r="C3112" i="1"/>
  <c r="G3111" i="1"/>
  <c r="C3111" i="1"/>
  <c r="G3110" i="1"/>
  <c r="C3110" i="1"/>
  <c r="G3109" i="1"/>
  <c r="C3109" i="1"/>
  <c r="G3108" i="1"/>
  <c r="C3108" i="1"/>
  <c r="G3107" i="1"/>
  <c r="C3107" i="1"/>
  <c r="G3106" i="1"/>
  <c r="C3106" i="1"/>
  <c r="G3105" i="1"/>
  <c r="C3105" i="1"/>
  <c r="G3104" i="1"/>
  <c r="C3104" i="1"/>
  <c r="G3103" i="1"/>
  <c r="C3103" i="1"/>
  <c r="G3102" i="1"/>
  <c r="C3102" i="1"/>
  <c r="G3101" i="1"/>
  <c r="C3101" i="1"/>
  <c r="G3100" i="1"/>
  <c r="C3100" i="1"/>
  <c r="G3099" i="1"/>
  <c r="C3099" i="1"/>
  <c r="G3098" i="1"/>
  <c r="C3098" i="1"/>
  <c r="G3097" i="1"/>
  <c r="C3097" i="1"/>
  <c r="G3096" i="1"/>
  <c r="C3096" i="1"/>
  <c r="G3095" i="1"/>
  <c r="C3095" i="1"/>
  <c r="G3094" i="1"/>
  <c r="C3094" i="1"/>
  <c r="G3093" i="1"/>
  <c r="C3093" i="1"/>
  <c r="G3092" i="1"/>
  <c r="C3092" i="1"/>
  <c r="G3090" i="1"/>
  <c r="C3090" i="1"/>
  <c r="G3089" i="1"/>
  <c r="C3089" i="1"/>
  <c r="G3088" i="1"/>
  <c r="C3088" i="1"/>
  <c r="G3087" i="1"/>
  <c r="C3087" i="1"/>
  <c r="G3086" i="1"/>
  <c r="C3086" i="1"/>
  <c r="G3085" i="1"/>
  <c r="C3085" i="1"/>
  <c r="G3084" i="1"/>
  <c r="C3084" i="1"/>
  <c r="G3083" i="1"/>
  <c r="C3083" i="1"/>
  <c r="G3082" i="1"/>
  <c r="C3082" i="1"/>
  <c r="G3081" i="1"/>
  <c r="C3081" i="1"/>
  <c r="G3080" i="1"/>
  <c r="C3080" i="1"/>
  <c r="G3079" i="1"/>
  <c r="C3079" i="1"/>
  <c r="G3078" i="1"/>
  <c r="C3078" i="1"/>
  <c r="G3077" i="1"/>
  <c r="C3077" i="1"/>
  <c r="G3076" i="1"/>
  <c r="C3076" i="1"/>
  <c r="G3075" i="1"/>
  <c r="C3075" i="1"/>
  <c r="G3074" i="1"/>
  <c r="C3074" i="1"/>
  <c r="G3073" i="1"/>
  <c r="C3073" i="1"/>
  <c r="G3072" i="1"/>
  <c r="C3072" i="1"/>
  <c r="G3071" i="1"/>
  <c r="C3071" i="1"/>
  <c r="G3070" i="1"/>
  <c r="C3070" i="1"/>
  <c r="G3069" i="1"/>
  <c r="C3069" i="1"/>
  <c r="G3068" i="1"/>
  <c r="C3068" i="1"/>
  <c r="G3067" i="1"/>
  <c r="C3067" i="1"/>
  <c r="G3066" i="1"/>
  <c r="C3066" i="1"/>
  <c r="G3065" i="1"/>
  <c r="C3065" i="1"/>
  <c r="G3064" i="1"/>
  <c r="C3064" i="1"/>
  <c r="G3063" i="1"/>
  <c r="C3063" i="1"/>
  <c r="G3062" i="1"/>
  <c r="C3062" i="1"/>
  <c r="G3061" i="1"/>
  <c r="C3061" i="1"/>
  <c r="G3060" i="1"/>
  <c r="C3060" i="1"/>
  <c r="G3059" i="1"/>
  <c r="C3059" i="1"/>
  <c r="G3058" i="1"/>
  <c r="C3058" i="1"/>
  <c r="G3057" i="1"/>
  <c r="C3057" i="1"/>
  <c r="G3056" i="1"/>
  <c r="C3056" i="1"/>
  <c r="G3055" i="1"/>
  <c r="C3055" i="1"/>
  <c r="G3054" i="1"/>
  <c r="C3054" i="1"/>
  <c r="G3053" i="1"/>
  <c r="C3053" i="1"/>
  <c r="G3052" i="1"/>
  <c r="C3052" i="1"/>
  <c r="G3051" i="1"/>
  <c r="C3051" i="1"/>
  <c r="G3050" i="1"/>
  <c r="C3050" i="1"/>
  <c r="G3049" i="1"/>
  <c r="C3049" i="1"/>
  <c r="G3048" i="1"/>
  <c r="C3048" i="1"/>
  <c r="G3047" i="1"/>
  <c r="C3047" i="1"/>
  <c r="G3046" i="1"/>
  <c r="C3046" i="1"/>
  <c r="G3045" i="1"/>
  <c r="C3045" i="1"/>
  <c r="G3044" i="1"/>
  <c r="C3044" i="1"/>
  <c r="G3043" i="1"/>
  <c r="C3043" i="1"/>
  <c r="G3042" i="1"/>
  <c r="C3042" i="1"/>
  <c r="G3041" i="1"/>
  <c r="C3041" i="1"/>
  <c r="G3040" i="1"/>
  <c r="C3040" i="1"/>
  <c r="G3039" i="1"/>
  <c r="C3039" i="1"/>
  <c r="G3038" i="1"/>
  <c r="C3038" i="1"/>
  <c r="G3037" i="1"/>
  <c r="C3037" i="1"/>
  <c r="G3036" i="1"/>
  <c r="C3036" i="1"/>
  <c r="G3035" i="1"/>
  <c r="C3035" i="1"/>
  <c r="G3034" i="1"/>
  <c r="C3034" i="1"/>
  <c r="G3033" i="1"/>
  <c r="C3033" i="1"/>
  <c r="G3032" i="1"/>
  <c r="C3032" i="1"/>
  <c r="G3031" i="1"/>
  <c r="C3031" i="1"/>
  <c r="G3030" i="1"/>
  <c r="C3030" i="1"/>
  <c r="G3029" i="1"/>
  <c r="C3029" i="1"/>
  <c r="G3028" i="1"/>
  <c r="C3028" i="1"/>
  <c r="G3027" i="1"/>
  <c r="C3027" i="1"/>
  <c r="G3026" i="1"/>
  <c r="C3026" i="1"/>
  <c r="G3025" i="1"/>
  <c r="C3025" i="1"/>
  <c r="G3024" i="1"/>
  <c r="C3024" i="1"/>
  <c r="G3023" i="1"/>
  <c r="C3023" i="1"/>
  <c r="G3022" i="1"/>
  <c r="C3022" i="1"/>
  <c r="G3021" i="1"/>
  <c r="C3021" i="1"/>
  <c r="G3020" i="1"/>
  <c r="C3020" i="1"/>
  <c r="G3019" i="1"/>
  <c r="C3019" i="1"/>
  <c r="G3018" i="1"/>
  <c r="C3018" i="1"/>
  <c r="G3017" i="1"/>
  <c r="C3017" i="1"/>
  <c r="G3016" i="1"/>
  <c r="C3016" i="1"/>
  <c r="G3015" i="1"/>
  <c r="C3015" i="1"/>
  <c r="G3014" i="1"/>
  <c r="C3014" i="1"/>
  <c r="G3013" i="1"/>
  <c r="C3013" i="1"/>
  <c r="G3011" i="1"/>
  <c r="C3011" i="1"/>
  <c r="G3010" i="1"/>
  <c r="C3010" i="1"/>
  <c r="G3009" i="1"/>
  <c r="C3009" i="1"/>
  <c r="G3008" i="1"/>
  <c r="C3008" i="1"/>
  <c r="G3007" i="1"/>
  <c r="C3007" i="1"/>
  <c r="G3006" i="1"/>
  <c r="C3006" i="1"/>
  <c r="G3005" i="1"/>
  <c r="C3005" i="1"/>
  <c r="G3004" i="1"/>
  <c r="C3004" i="1"/>
  <c r="G3003" i="1"/>
  <c r="C3003" i="1"/>
  <c r="G3002" i="1"/>
  <c r="C3002" i="1"/>
  <c r="G3001" i="1"/>
  <c r="C3001" i="1"/>
  <c r="G3000" i="1"/>
  <c r="C3000" i="1"/>
  <c r="G2999" i="1"/>
  <c r="C2999" i="1"/>
  <c r="G2998" i="1"/>
  <c r="C2998" i="1"/>
  <c r="G2997" i="1"/>
  <c r="C2997" i="1"/>
  <c r="G2996" i="1"/>
  <c r="C2996" i="1"/>
  <c r="G2995" i="1"/>
  <c r="C2995" i="1"/>
  <c r="G2994" i="1"/>
  <c r="C2994" i="1"/>
  <c r="G2993" i="1"/>
  <c r="C2993" i="1"/>
  <c r="G2992" i="1"/>
  <c r="C2992" i="1"/>
  <c r="G2991" i="1"/>
  <c r="C2991" i="1"/>
  <c r="G2990" i="1"/>
  <c r="C2990" i="1"/>
  <c r="G2989" i="1"/>
  <c r="C2989" i="1"/>
  <c r="G2988" i="1"/>
  <c r="C2988" i="1"/>
  <c r="G2987" i="1"/>
  <c r="C2987" i="1"/>
  <c r="G2986" i="1"/>
  <c r="C2986" i="1"/>
  <c r="G2985" i="1"/>
  <c r="C2985" i="1"/>
  <c r="G2984" i="1"/>
  <c r="C2984" i="1"/>
  <c r="G2982" i="1"/>
  <c r="C2982" i="1"/>
  <c r="G2981" i="1"/>
  <c r="C2981" i="1"/>
  <c r="G2980" i="1"/>
  <c r="C2980" i="1"/>
  <c r="G2979" i="1"/>
  <c r="C2979" i="1"/>
  <c r="G2978" i="1"/>
  <c r="C2978" i="1"/>
  <c r="G2977" i="1"/>
  <c r="C2977" i="1"/>
  <c r="G2976" i="1"/>
  <c r="C2976" i="1"/>
  <c r="G2975" i="1"/>
  <c r="C2975" i="1"/>
  <c r="G2974" i="1"/>
  <c r="C2974" i="1"/>
  <c r="G2973" i="1"/>
  <c r="C2973" i="1"/>
  <c r="G2972" i="1"/>
  <c r="C2972" i="1"/>
  <c r="G2971" i="1"/>
  <c r="C2971" i="1"/>
  <c r="G2970" i="1"/>
  <c r="C2970" i="1"/>
  <c r="G2969" i="1"/>
  <c r="C2969" i="1"/>
  <c r="G2968" i="1"/>
  <c r="C2968" i="1"/>
  <c r="G2967" i="1"/>
  <c r="C2967" i="1"/>
  <c r="G2966" i="1"/>
  <c r="C2966" i="1"/>
  <c r="G2965" i="1"/>
  <c r="C2965" i="1"/>
  <c r="G2964" i="1"/>
  <c r="C2964" i="1"/>
  <c r="G2963" i="1"/>
  <c r="C2963" i="1"/>
  <c r="G2962" i="1"/>
  <c r="C2962" i="1"/>
  <c r="G2961" i="1"/>
  <c r="C2961" i="1"/>
  <c r="G2960" i="1"/>
  <c r="C2960" i="1"/>
  <c r="G2959" i="1"/>
  <c r="C2959" i="1"/>
  <c r="G2958" i="1"/>
  <c r="C2958" i="1"/>
  <c r="G2957" i="1"/>
  <c r="C2957" i="1"/>
  <c r="G2956" i="1"/>
  <c r="C2956" i="1"/>
  <c r="G2955" i="1"/>
  <c r="C2955" i="1"/>
  <c r="G2954" i="1"/>
  <c r="C2954" i="1"/>
  <c r="G2953" i="1"/>
  <c r="C2953" i="1"/>
  <c r="G2952" i="1"/>
  <c r="C2952" i="1"/>
  <c r="G2951" i="1"/>
  <c r="C2951" i="1"/>
  <c r="G2950" i="1"/>
  <c r="C2950" i="1"/>
  <c r="G2949" i="1"/>
  <c r="C2949" i="1"/>
  <c r="G2948" i="1"/>
  <c r="C2948" i="1"/>
  <c r="G2947" i="1"/>
  <c r="C2947" i="1"/>
  <c r="G2946" i="1"/>
  <c r="C2946" i="1"/>
  <c r="G2945" i="1"/>
  <c r="C2945" i="1"/>
  <c r="G2944" i="1"/>
  <c r="C2944" i="1"/>
  <c r="G2943" i="1"/>
  <c r="C2943" i="1"/>
  <c r="G2942" i="1"/>
  <c r="C2942" i="1"/>
  <c r="G2941" i="1"/>
  <c r="C2941" i="1"/>
  <c r="G2940" i="1"/>
  <c r="C2940" i="1"/>
  <c r="G2939" i="1"/>
  <c r="C2939" i="1"/>
  <c r="G2938" i="1"/>
  <c r="C2938" i="1"/>
  <c r="G2934" i="1"/>
  <c r="C2934" i="1"/>
  <c r="G2933" i="1"/>
  <c r="C2933" i="1"/>
  <c r="G2932" i="1"/>
  <c r="C2932" i="1"/>
  <c r="G2931" i="1"/>
  <c r="C2931" i="1"/>
  <c r="G2930" i="1"/>
  <c r="C2930" i="1"/>
  <c r="G2929" i="1"/>
  <c r="C2929" i="1"/>
  <c r="G2928" i="1"/>
  <c r="C2928" i="1"/>
  <c r="G2927" i="1"/>
  <c r="C2927" i="1"/>
  <c r="G2926" i="1"/>
  <c r="C2926" i="1"/>
  <c r="G2925" i="1"/>
  <c r="C2925" i="1"/>
  <c r="G2924" i="1"/>
  <c r="C2924" i="1"/>
  <c r="G2923" i="1"/>
  <c r="C2923" i="1"/>
  <c r="G2922" i="1"/>
  <c r="C2922" i="1"/>
  <c r="G2921" i="1"/>
  <c r="C2921" i="1"/>
  <c r="G2920" i="1"/>
  <c r="C2920" i="1"/>
  <c r="G2919" i="1"/>
  <c r="C2919" i="1"/>
  <c r="G2918" i="1"/>
  <c r="C2918" i="1"/>
  <c r="G2917" i="1"/>
  <c r="C2917" i="1"/>
  <c r="G2915" i="1"/>
  <c r="C2915" i="1"/>
  <c r="G2914" i="1"/>
  <c r="C2914" i="1"/>
  <c r="G2913" i="1"/>
  <c r="C2913" i="1"/>
  <c r="G2912" i="1"/>
  <c r="C2912" i="1"/>
  <c r="G2911" i="1"/>
  <c r="C2911" i="1"/>
  <c r="G2910" i="1"/>
  <c r="C2910" i="1"/>
  <c r="G2909" i="1"/>
  <c r="C2909" i="1"/>
  <c r="G2908" i="1"/>
  <c r="C2908" i="1"/>
  <c r="G2907" i="1"/>
  <c r="C2907" i="1"/>
  <c r="G2906" i="1"/>
  <c r="C2906" i="1"/>
  <c r="G2905" i="1"/>
  <c r="C2905" i="1"/>
  <c r="G2904" i="1"/>
  <c r="C2904" i="1"/>
  <c r="G2903" i="1"/>
  <c r="C2903" i="1"/>
  <c r="G2902" i="1"/>
  <c r="C2902" i="1"/>
  <c r="G2901" i="1"/>
  <c r="C2901" i="1"/>
  <c r="G2900" i="1"/>
  <c r="C2900" i="1"/>
  <c r="G2899" i="1"/>
  <c r="C2899" i="1"/>
  <c r="G2898" i="1"/>
  <c r="C2898" i="1"/>
  <c r="G2897" i="1"/>
  <c r="C2897" i="1"/>
  <c r="G2896" i="1"/>
  <c r="C2896" i="1"/>
  <c r="G2895" i="1"/>
  <c r="C2895" i="1"/>
  <c r="G2894" i="1"/>
  <c r="C2894" i="1"/>
  <c r="G2893" i="1"/>
  <c r="C2893" i="1"/>
  <c r="G2892" i="1"/>
  <c r="C2892" i="1"/>
  <c r="G2891" i="1"/>
  <c r="C2891" i="1"/>
  <c r="G2890" i="1"/>
  <c r="C2890" i="1"/>
  <c r="G2889" i="1"/>
  <c r="C2889" i="1"/>
  <c r="G2888" i="1"/>
  <c r="C2888" i="1"/>
  <c r="G2887" i="1"/>
  <c r="C2887" i="1"/>
  <c r="G2886" i="1"/>
  <c r="C2886" i="1"/>
  <c r="G2885" i="1"/>
  <c r="C2885" i="1"/>
  <c r="G2884" i="1"/>
  <c r="C2884" i="1"/>
  <c r="G2883" i="1"/>
  <c r="C2883" i="1"/>
  <c r="G2882" i="1"/>
  <c r="C2882" i="1"/>
  <c r="G2881" i="1"/>
  <c r="C2881" i="1"/>
  <c r="G2880" i="1"/>
  <c r="C2880" i="1"/>
  <c r="G2879" i="1"/>
  <c r="C2879" i="1"/>
  <c r="G2878" i="1"/>
  <c r="C2878" i="1"/>
  <c r="G2877" i="1"/>
  <c r="C2877" i="1"/>
  <c r="G2876" i="1"/>
  <c r="C2876" i="1"/>
  <c r="G2875" i="1"/>
  <c r="C2875" i="1"/>
  <c r="G2874" i="1"/>
  <c r="C2874" i="1"/>
  <c r="G2873" i="1"/>
  <c r="C2873" i="1"/>
  <c r="G2872" i="1"/>
  <c r="C2872" i="1"/>
  <c r="G2871" i="1"/>
  <c r="C2871" i="1"/>
  <c r="G2870" i="1"/>
  <c r="C2870" i="1"/>
  <c r="G2869" i="1"/>
  <c r="C2869" i="1"/>
  <c r="G2868" i="1"/>
  <c r="C2868" i="1"/>
  <c r="G2867" i="1"/>
  <c r="C2867" i="1"/>
  <c r="G2866" i="1"/>
  <c r="C2866" i="1"/>
  <c r="G2865" i="1"/>
  <c r="C2865" i="1"/>
  <c r="G2864" i="1"/>
  <c r="C2864" i="1"/>
  <c r="G2863" i="1"/>
  <c r="C2863" i="1"/>
  <c r="G2862" i="1"/>
  <c r="C2862" i="1"/>
  <c r="G2861" i="1"/>
  <c r="C2861" i="1"/>
  <c r="G2860" i="1"/>
  <c r="C2860" i="1"/>
  <c r="G2858" i="1"/>
  <c r="C2858" i="1"/>
  <c r="G2857" i="1"/>
  <c r="C2857" i="1"/>
  <c r="G2856" i="1"/>
  <c r="C2856" i="1"/>
  <c r="G2855" i="1"/>
  <c r="C2855" i="1"/>
  <c r="G2854" i="1"/>
  <c r="C2854" i="1"/>
  <c r="G2853" i="1"/>
  <c r="C2853" i="1"/>
  <c r="G2852" i="1"/>
  <c r="C2852" i="1"/>
  <c r="G2851" i="1"/>
  <c r="C2851" i="1"/>
  <c r="G2850" i="1"/>
  <c r="C2850" i="1"/>
  <c r="G2849" i="1"/>
  <c r="C2849" i="1"/>
  <c r="G2848" i="1"/>
  <c r="C2848" i="1"/>
  <c r="G2847" i="1"/>
  <c r="C2847" i="1"/>
  <c r="G2846" i="1"/>
  <c r="C2846" i="1"/>
  <c r="G2845" i="1"/>
  <c r="C2845" i="1"/>
  <c r="G2844" i="1"/>
  <c r="C2844" i="1"/>
  <c r="G2843" i="1"/>
  <c r="C2843" i="1"/>
  <c r="G2842" i="1"/>
  <c r="C2842" i="1"/>
  <c r="G2841" i="1"/>
  <c r="C2841" i="1"/>
  <c r="G2840" i="1"/>
  <c r="C2840" i="1"/>
  <c r="G2839" i="1"/>
  <c r="C2839" i="1"/>
  <c r="G2838" i="1"/>
  <c r="C2838" i="1"/>
  <c r="G2837" i="1"/>
  <c r="C2837" i="1"/>
  <c r="G2836" i="1"/>
  <c r="C2836" i="1"/>
  <c r="G2835" i="1"/>
  <c r="C2835" i="1"/>
  <c r="G2834" i="1"/>
  <c r="C2834" i="1"/>
  <c r="G2833" i="1"/>
  <c r="C2833" i="1"/>
  <c r="G2832" i="1"/>
  <c r="C2832" i="1"/>
  <c r="G2831" i="1"/>
  <c r="C2831" i="1"/>
  <c r="G2830" i="1"/>
  <c r="C2830" i="1"/>
  <c r="G2829" i="1"/>
  <c r="C2829" i="1"/>
  <c r="G2828" i="1"/>
  <c r="C2828" i="1"/>
  <c r="G2827" i="1"/>
  <c r="C2827" i="1"/>
  <c r="G2826" i="1"/>
  <c r="C2826" i="1"/>
  <c r="G2825" i="1"/>
  <c r="C2825" i="1"/>
  <c r="G2824" i="1"/>
  <c r="C2824" i="1"/>
  <c r="G2823" i="1"/>
  <c r="C2823" i="1"/>
  <c r="G2822" i="1"/>
  <c r="C2822" i="1"/>
  <c r="G2821" i="1"/>
  <c r="C2821" i="1"/>
  <c r="G2820" i="1"/>
  <c r="C2820" i="1"/>
  <c r="G2819" i="1"/>
  <c r="C2819" i="1"/>
  <c r="G2818" i="1"/>
  <c r="C2818" i="1"/>
  <c r="G2817" i="1"/>
  <c r="C2817" i="1"/>
  <c r="G2816" i="1"/>
  <c r="C2816" i="1"/>
  <c r="G2815" i="1"/>
  <c r="C2815" i="1"/>
  <c r="G2814" i="1"/>
  <c r="C2814" i="1"/>
  <c r="G2813" i="1"/>
  <c r="C2813" i="1"/>
  <c r="G2812" i="1"/>
  <c r="C2812" i="1"/>
  <c r="G2810" i="1"/>
  <c r="C2810" i="1"/>
  <c r="G2809" i="1"/>
  <c r="C2809" i="1"/>
  <c r="G2808" i="1"/>
  <c r="C2808" i="1"/>
  <c r="G2807" i="1"/>
  <c r="C2807" i="1"/>
  <c r="G2806" i="1"/>
  <c r="C2806" i="1"/>
  <c r="G2805" i="1"/>
  <c r="C2805" i="1"/>
  <c r="G2804" i="1"/>
  <c r="C2804" i="1"/>
  <c r="G2803" i="1"/>
  <c r="C2803" i="1"/>
  <c r="G2802" i="1"/>
  <c r="C2802" i="1"/>
  <c r="G2801" i="1"/>
  <c r="C2801" i="1"/>
  <c r="G2800" i="1"/>
  <c r="C2800" i="1"/>
  <c r="G2799" i="1"/>
  <c r="C2799" i="1"/>
  <c r="G2798" i="1"/>
  <c r="C2798" i="1"/>
  <c r="G2797" i="1"/>
  <c r="C2797" i="1"/>
  <c r="G2796" i="1"/>
  <c r="C2796" i="1"/>
  <c r="G2795" i="1"/>
  <c r="C2795" i="1"/>
  <c r="G2794" i="1"/>
  <c r="C2794" i="1"/>
  <c r="G2792" i="1"/>
  <c r="C2792" i="1"/>
  <c r="G2791" i="1"/>
  <c r="C2791" i="1"/>
  <c r="G2790" i="1"/>
  <c r="C2790" i="1"/>
  <c r="G2789" i="1"/>
  <c r="C2789" i="1"/>
  <c r="G2788" i="1"/>
  <c r="C2788" i="1"/>
  <c r="G2787" i="1"/>
  <c r="C2787" i="1"/>
  <c r="G2786" i="1"/>
  <c r="C2786" i="1"/>
  <c r="G2785" i="1"/>
  <c r="C2785" i="1"/>
  <c r="G2784" i="1"/>
  <c r="C2784" i="1"/>
  <c r="G2783" i="1"/>
  <c r="C2783" i="1"/>
  <c r="G2782" i="1"/>
  <c r="C2782" i="1"/>
  <c r="G2781" i="1"/>
  <c r="C2781" i="1"/>
  <c r="G2780" i="1"/>
  <c r="C2780" i="1"/>
  <c r="G2779" i="1"/>
  <c r="C2779" i="1"/>
  <c r="G2778" i="1"/>
  <c r="C2778" i="1"/>
  <c r="G2777" i="1"/>
  <c r="C2777" i="1"/>
  <c r="G2776" i="1"/>
  <c r="C2776" i="1"/>
  <c r="G2775" i="1"/>
  <c r="C2775" i="1"/>
  <c r="G2774" i="1"/>
  <c r="C2774" i="1"/>
  <c r="G2773" i="1"/>
  <c r="C2773" i="1"/>
  <c r="G2772" i="1"/>
  <c r="C2772" i="1"/>
  <c r="G2770" i="1"/>
  <c r="C2770" i="1"/>
  <c r="G2769" i="1"/>
  <c r="C2769" i="1"/>
  <c r="G2768" i="1"/>
  <c r="C2768" i="1"/>
  <c r="G2767" i="1"/>
  <c r="C2767" i="1"/>
  <c r="G2766" i="1"/>
  <c r="C2766" i="1"/>
  <c r="G2765" i="1"/>
  <c r="C2765" i="1"/>
  <c r="G2764" i="1"/>
  <c r="C2764" i="1"/>
  <c r="G2763" i="1"/>
  <c r="C2763" i="1"/>
  <c r="G2762" i="1"/>
  <c r="C2762" i="1"/>
  <c r="G2761" i="1"/>
  <c r="C2761" i="1"/>
  <c r="G2760" i="1"/>
  <c r="C2760" i="1"/>
  <c r="G2759" i="1"/>
  <c r="C2759" i="1"/>
  <c r="G2758" i="1"/>
  <c r="C2758" i="1"/>
  <c r="G2757" i="1"/>
  <c r="C2757" i="1"/>
  <c r="G2756" i="1"/>
  <c r="C2756" i="1"/>
  <c r="G2755" i="1"/>
  <c r="C2755" i="1"/>
  <c r="G2754" i="1"/>
  <c r="C2754" i="1"/>
  <c r="G2753" i="1"/>
  <c r="C2753" i="1"/>
  <c r="G2752" i="1"/>
  <c r="C2752" i="1"/>
  <c r="G2751" i="1"/>
  <c r="C2751" i="1"/>
  <c r="G2750" i="1"/>
  <c r="C2750" i="1"/>
  <c r="G2749" i="1"/>
  <c r="C2749" i="1"/>
  <c r="G2748" i="1"/>
  <c r="C2748" i="1"/>
  <c r="G2747" i="1"/>
  <c r="C2747" i="1"/>
  <c r="G2746" i="1"/>
  <c r="C2746" i="1"/>
  <c r="G2745" i="1"/>
  <c r="C2745" i="1"/>
  <c r="G2744" i="1"/>
  <c r="C2744" i="1"/>
  <c r="G2743" i="1"/>
  <c r="C2743" i="1"/>
  <c r="G2742" i="1"/>
  <c r="C2742" i="1"/>
  <c r="G2741" i="1"/>
  <c r="C2741" i="1"/>
  <c r="G2740" i="1"/>
  <c r="C2740" i="1"/>
  <c r="G2739" i="1"/>
  <c r="C2739" i="1"/>
  <c r="G2738" i="1"/>
  <c r="C2738" i="1"/>
  <c r="G2737" i="1"/>
  <c r="C2737" i="1"/>
  <c r="G2736" i="1"/>
  <c r="C2736" i="1"/>
  <c r="G2735" i="1"/>
  <c r="C2735" i="1"/>
  <c r="G2734" i="1"/>
  <c r="C2734" i="1"/>
  <c r="G2733" i="1"/>
  <c r="C2733" i="1"/>
  <c r="G2732" i="1"/>
  <c r="C2732" i="1"/>
  <c r="G2731" i="1"/>
  <c r="C2731" i="1"/>
  <c r="G2730" i="1"/>
  <c r="C2730" i="1"/>
  <c r="G2729" i="1"/>
  <c r="C2729" i="1"/>
  <c r="G2728" i="1"/>
  <c r="C2728" i="1"/>
  <c r="G2726" i="1"/>
  <c r="C2726" i="1"/>
  <c r="G2725" i="1"/>
  <c r="C2725" i="1"/>
  <c r="G2724" i="1"/>
  <c r="C2724" i="1"/>
  <c r="G2723" i="1"/>
  <c r="C2723" i="1"/>
  <c r="G2722" i="1"/>
  <c r="C2722" i="1"/>
  <c r="G2721" i="1"/>
  <c r="C2721" i="1"/>
  <c r="G2720" i="1"/>
  <c r="C2720" i="1"/>
  <c r="G2719" i="1"/>
  <c r="C2719" i="1"/>
  <c r="G2718" i="1"/>
  <c r="C2718" i="1"/>
  <c r="G2717" i="1"/>
  <c r="C2717" i="1"/>
  <c r="G2716" i="1"/>
  <c r="C2716" i="1"/>
  <c r="G2715" i="1"/>
  <c r="C2715" i="1"/>
  <c r="G2713" i="1"/>
  <c r="C2713" i="1"/>
  <c r="G2712" i="1"/>
  <c r="C2712" i="1"/>
  <c r="G2711" i="1"/>
  <c r="C2711" i="1"/>
  <c r="G2710" i="1"/>
  <c r="C2710" i="1"/>
  <c r="G2709" i="1"/>
  <c r="C2709" i="1"/>
  <c r="G2708" i="1"/>
  <c r="C2708" i="1"/>
  <c r="G2707" i="1"/>
  <c r="C2707" i="1"/>
  <c r="G2706" i="1"/>
  <c r="C2706" i="1"/>
  <c r="G2705" i="1"/>
  <c r="C2705" i="1"/>
  <c r="G2704" i="1"/>
  <c r="C2704" i="1"/>
  <c r="G2703" i="1"/>
  <c r="C2703" i="1"/>
  <c r="G2701" i="1"/>
  <c r="C2701" i="1"/>
  <c r="G2700" i="1"/>
  <c r="C2700" i="1"/>
  <c r="G2699" i="1"/>
  <c r="C2699" i="1"/>
  <c r="G2698" i="1"/>
  <c r="C2698" i="1"/>
  <c r="G2697" i="1"/>
  <c r="C2697" i="1"/>
  <c r="G2696" i="1"/>
  <c r="C2696" i="1"/>
  <c r="G2695" i="1"/>
  <c r="C2695" i="1"/>
  <c r="G2694" i="1"/>
  <c r="C2694" i="1"/>
  <c r="G2693" i="1"/>
  <c r="C2693" i="1"/>
  <c r="G2692" i="1"/>
  <c r="C2692" i="1"/>
  <c r="G2691" i="1"/>
  <c r="C2691" i="1"/>
  <c r="G2689" i="1"/>
  <c r="C2689" i="1"/>
  <c r="G2688" i="1"/>
  <c r="C2688" i="1"/>
  <c r="G2687" i="1"/>
  <c r="C2687" i="1"/>
  <c r="G2686" i="1"/>
  <c r="C2686" i="1"/>
  <c r="G2685" i="1"/>
  <c r="C2685" i="1"/>
  <c r="G2684" i="1"/>
  <c r="C2684" i="1"/>
  <c r="G2683" i="1"/>
  <c r="C2683" i="1"/>
  <c r="G2682" i="1"/>
  <c r="C2682" i="1"/>
  <c r="G2681" i="1"/>
  <c r="C2681" i="1"/>
  <c r="G2680" i="1"/>
  <c r="C2680" i="1"/>
  <c r="G2679" i="1"/>
  <c r="C2679" i="1"/>
  <c r="G2678" i="1"/>
  <c r="C2678" i="1"/>
  <c r="G2677" i="1"/>
  <c r="C2677" i="1"/>
  <c r="G2676" i="1"/>
  <c r="C2676" i="1"/>
  <c r="G2675" i="1"/>
  <c r="C2675" i="1"/>
  <c r="G2674" i="1"/>
  <c r="C2674" i="1"/>
  <c r="G2673" i="1"/>
  <c r="C2673" i="1"/>
  <c r="G2672" i="1"/>
  <c r="C2672" i="1"/>
  <c r="G2671" i="1"/>
  <c r="C2671" i="1"/>
  <c r="G2668" i="1"/>
  <c r="C2668" i="1"/>
  <c r="G2667" i="1"/>
  <c r="C2667" i="1"/>
  <c r="G2665" i="1"/>
  <c r="C2665" i="1"/>
  <c r="G2664" i="1"/>
  <c r="C2664" i="1"/>
  <c r="G2663" i="1"/>
  <c r="C2663" i="1"/>
  <c r="G2662" i="1"/>
  <c r="C2662" i="1"/>
  <c r="G2661" i="1"/>
  <c r="C2661" i="1"/>
  <c r="G2660" i="1"/>
  <c r="C2660" i="1"/>
  <c r="G2659" i="1"/>
  <c r="C2659" i="1"/>
  <c r="G2658" i="1"/>
  <c r="C2658" i="1"/>
  <c r="G2657" i="1"/>
  <c r="C2657" i="1"/>
  <c r="G2656" i="1"/>
  <c r="C2656" i="1"/>
  <c r="G2655" i="1"/>
  <c r="C2655" i="1"/>
  <c r="G2654" i="1"/>
  <c r="C2654" i="1"/>
  <c r="G2653" i="1"/>
  <c r="C2653" i="1"/>
  <c r="G2652" i="1"/>
  <c r="C2652" i="1"/>
  <c r="G2650" i="1"/>
  <c r="C2650" i="1"/>
  <c r="G2649" i="1"/>
  <c r="C2649" i="1"/>
  <c r="G2648" i="1"/>
  <c r="C2648" i="1"/>
  <c r="G2647" i="1"/>
  <c r="C2647" i="1"/>
  <c r="G2646" i="1"/>
  <c r="C2646" i="1"/>
  <c r="G2645" i="1"/>
  <c r="C2645" i="1"/>
  <c r="G2644" i="1"/>
  <c r="C2644" i="1"/>
  <c r="G2643" i="1"/>
  <c r="C2643" i="1"/>
  <c r="G2642" i="1"/>
  <c r="C2642" i="1"/>
  <c r="G2641" i="1"/>
  <c r="C2641" i="1"/>
  <c r="G2640" i="1"/>
  <c r="C2640" i="1"/>
  <c r="G2638" i="1"/>
  <c r="C2638" i="1"/>
  <c r="G2637" i="1"/>
  <c r="C2637" i="1"/>
  <c r="G2636" i="1"/>
  <c r="C2636" i="1"/>
  <c r="G2635" i="1"/>
  <c r="C2635" i="1"/>
  <c r="G2634" i="1"/>
  <c r="C2634" i="1"/>
  <c r="G2633" i="1"/>
  <c r="C2633" i="1"/>
  <c r="G2632" i="1"/>
  <c r="C2632" i="1"/>
  <c r="G2631" i="1"/>
  <c r="C2631" i="1"/>
  <c r="G2630" i="1"/>
  <c r="C2630" i="1"/>
  <c r="G2629" i="1"/>
  <c r="C2629" i="1"/>
  <c r="G2628" i="1"/>
  <c r="C2628" i="1"/>
  <c r="G2626" i="1"/>
  <c r="C2626" i="1"/>
  <c r="G2625" i="1"/>
  <c r="C2625" i="1"/>
  <c r="G2624" i="1"/>
  <c r="C2624" i="1"/>
  <c r="G2623" i="1"/>
  <c r="C2623" i="1"/>
  <c r="G2622" i="1"/>
  <c r="C2622" i="1"/>
  <c r="G2621" i="1"/>
  <c r="C2621" i="1"/>
  <c r="G2620" i="1"/>
  <c r="C2620" i="1"/>
  <c r="G2619" i="1"/>
  <c r="C2619" i="1"/>
  <c r="G2618" i="1"/>
  <c r="C2618" i="1"/>
  <c r="G2617" i="1"/>
  <c r="C2617" i="1"/>
  <c r="G2616" i="1"/>
  <c r="C2616" i="1"/>
  <c r="G2615" i="1"/>
  <c r="C2615" i="1"/>
  <c r="G2614" i="1"/>
  <c r="C2614" i="1"/>
  <c r="G2613" i="1"/>
  <c r="C2613" i="1"/>
  <c r="G2612" i="1"/>
  <c r="C2612" i="1"/>
  <c r="G2611" i="1"/>
  <c r="C2611" i="1"/>
  <c r="G2610" i="1"/>
  <c r="C2610" i="1"/>
  <c r="G2609" i="1"/>
  <c r="C2609" i="1"/>
  <c r="G2608" i="1"/>
  <c r="C2608" i="1"/>
  <c r="G2607" i="1"/>
  <c r="C2607" i="1"/>
  <c r="G2606" i="1"/>
  <c r="C2606" i="1"/>
  <c r="G2605" i="1"/>
  <c r="C2605" i="1"/>
  <c r="G2604" i="1"/>
  <c r="C2604" i="1"/>
  <c r="G2603" i="1"/>
  <c r="C2603" i="1"/>
  <c r="G2602" i="1"/>
  <c r="C2602" i="1"/>
  <c r="G2600" i="1"/>
  <c r="C2600" i="1"/>
  <c r="G2599" i="1"/>
  <c r="C2599" i="1"/>
  <c r="G2598" i="1"/>
  <c r="C2598" i="1"/>
  <c r="G2597" i="1"/>
  <c r="C2597" i="1"/>
  <c r="G2596" i="1"/>
  <c r="C2596" i="1"/>
  <c r="G2594" i="1"/>
  <c r="C2594" i="1"/>
  <c r="G2593" i="1"/>
  <c r="C2593" i="1"/>
  <c r="G2592" i="1"/>
  <c r="C2592" i="1"/>
  <c r="G2591" i="1"/>
  <c r="C2591" i="1"/>
  <c r="G2590" i="1"/>
  <c r="C2590" i="1"/>
  <c r="G2589" i="1"/>
  <c r="C2589" i="1"/>
  <c r="G2587" i="1"/>
  <c r="C2587" i="1"/>
  <c r="G2586" i="1"/>
  <c r="C2586" i="1"/>
  <c r="G2585" i="1"/>
  <c r="C2585" i="1"/>
  <c r="G2584" i="1"/>
  <c r="C2584" i="1"/>
  <c r="G2582" i="1"/>
  <c r="C2582" i="1"/>
  <c r="G2581" i="1"/>
  <c r="C2581" i="1"/>
  <c r="G2580" i="1"/>
  <c r="C2580" i="1"/>
  <c r="G2579" i="1"/>
  <c r="C2579" i="1"/>
  <c r="G2578" i="1"/>
  <c r="C2578" i="1"/>
  <c r="G2577" i="1"/>
  <c r="C2577" i="1"/>
  <c r="G2576" i="1"/>
  <c r="C2576" i="1"/>
  <c r="G2575" i="1"/>
  <c r="C2575" i="1"/>
  <c r="G2574" i="1"/>
  <c r="C2574" i="1"/>
  <c r="G2573" i="1"/>
  <c r="C2573" i="1"/>
  <c r="G2572" i="1"/>
  <c r="C2572" i="1"/>
  <c r="G2571" i="1"/>
  <c r="C2571" i="1"/>
  <c r="G2570" i="1"/>
  <c r="C2570" i="1"/>
  <c r="G2569" i="1"/>
  <c r="C2569" i="1"/>
  <c r="G2568" i="1"/>
  <c r="C2568" i="1"/>
  <c r="G2567" i="1"/>
  <c r="C2567" i="1"/>
  <c r="G2566" i="1"/>
  <c r="C2566" i="1"/>
  <c r="G2565" i="1"/>
  <c r="C2565" i="1"/>
  <c r="G2564" i="1"/>
  <c r="C2564" i="1"/>
  <c r="G2563" i="1"/>
  <c r="C2563" i="1"/>
  <c r="G2562" i="1"/>
  <c r="C2562" i="1"/>
  <c r="G2561" i="1"/>
  <c r="C2561" i="1"/>
  <c r="G2560" i="1"/>
  <c r="C2560" i="1"/>
  <c r="G2559" i="1"/>
  <c r="C2559" i="1"/>
  <c r="G2557" i="1"/>
  <c r="C2557" i="1"/>
  <c r="G2556" i="1"/>
  <c r="C2556" i="1"/>
  <c r="G2555" i="1"/>
  <c r="C2555" i="1"/>
  <c r="G2554" i="1"/>
  <c r="C2554" i="1"/>
  <c r="G2553" i="1"/>
  <c r="C2553" i="1"/>
  <c r="G2552" i="1"/>
  <c r="C2552" i="1"/>
  <c r="G2551" i="1"/>
  <c r="C2551" i="1"/>
  <c r="G2550" i="1"/>
  <c r="C2550" i="1"/>
  <c r="G2549" i="1"/>
  <c r="C2549" i="1"/>
  <c r="G2548" i="1"/>
  <c r="C2548" i="1"/>
  <c r="G2547" i="1"/>
  <c r="C2547" i="1"/>
  <c r="G2546" i="1"/>
  <c r="C2546" i="1"/>
  <c r="G2545" i="1"/>
  <c r="C2545" i="1"/>
  <c r="G2544" i="1"/>
  <c r="C2544" i="1"/>
  <c r="G2543" i="1"/>
  <c r="C2543" i="1"/>
  <c r="G2542" i="1"/>
  <c r="C2542" i="1"/>
  <c r="G2541" i="1"/>
  <c r="C2541" i="1"/>
  <c r="G2540" i="1"/>
  <c r="C2540" i="1"/>
  <c r="G2539" i="1"/>
  <c r="C2539" i="1"/>
  <c r="G2538" i="1"/>
  <c r="C2538" i="1"/>
  <c r="G2537" i="1"/>
  <c r="C2537" i="1"/>
  <c r="G2536" i="1"/>
  <c r="C2536" i="1"/>
  <c r="G2535" i="1"/>
  <c r="C2535" i="1"/>
  <c r="G2534" i="1"/>
  <c r="C2534" i="1"/>
  <c r="G2533" i="1"/>
  <c r="C2533" i="1"/>
  <c r="G2532" i="1"/>
  <c r="C2532" i="1"/>
  <c r="G2531" i="1"/>
  <c r="C2531" i="1"/>
  <c r="G2530" i="1"/>
  <c r="C2530" i="1"/>
  <c r="G2529" i="1"/>
  <c r="C2529" i="1"/>
  <c r="G2528" i="1"/>
  <c r="C2528" i="1"/>
  <c r="G2527" i="1"/>
  <c r="C2527" i="1"/>
  <c r="G2526" i="1"/>
  <c r="C2526" i="1"/>
  <c r="G2523" i="1"/>
  <c r="C2523" i="1"/>
  <c r="G2522" i="1"/>
  <c r="C2522" i="1"/>
  <c r="G2521" i="1"/>
  <c r="C2521" i="1"/>
  <c r="G2520" i="1"/>
  <c r="C2520" i="1"/>
  <c r="G2519" i="1"/>
  <c r="C2519" i="1"/>
  <c r="G2518" i="1"/>
  <c r="C2518" i="1"/>
  <c r="G2515" i="1"/>
  <c r="C2515" i="1"/>
  <c r="G2514" i="1"/>
  <c r="C2514" i="1"/>
  <c r="G2513" i="1"/>
  <c r="C2513" i="1"/>
  <c r="G2512" i="1"/>
  <c r="C2512" i="1"/>
  <c r="G2511" i="1"/>
  <c r="C2511" i="1"/>
  <c r="G2510" i="1"/>
  <c r="C2510" i="1"/>
  <c r="G2509" i="1"/>
  <c r="C2509" i="1"/>
  <c r="G2508" i="1"/>
  <c r="C2508" i="1"/>
  <c r="G2507" i="1"/>
  <c r="C2507" i="1"/>
  <c r="G2506" i="1"/>
  <c r="C2506" i="1"/>
  <c r="G2505" i="1"/>
  <c r="C2505" i="1"/>
  <c r="G2504" i="1"/>
  <c r="C2504" i="1"/>
  <c r="G2503" i="1"/>
  <c r="C2503" i="1"/>
  <c r="G2502" i="1"/>
  <c r="C2502" i="1"/>
  <c r="G2501" i="1"/>
  <c r="C2501" i="1"/>
  <c r="G2500" i="1"/>
  <c r="C2500" i="1"/>
  <c r="G2499" i="1"/>
  <c r="C2499" i="1"/>
  <c r="G2498" i="1"/>
  <c r="C2498" i="1"/>
  <c r="G2497" i="1"/>
  <c r="C2497" i="1"/>
  <c r="G2496" i="1"/>
  <c r="C2496" i="1"/>
  <c r="G2495" i="1"/>
  <c r="C2495" i="1"/>
  <c r="G2494" i="1"/>
  <c r="C2494" i="1"/>
  <c r="G2493" i="1"/>
  <c r="C2493" i="1"/>
  <c r="G2492" i="1"/>
  <c r="C2492" i="1"/>
  <c r="G2491" i="1"/>
  <c r="C2491" i="1"/>
  <c r="G2490" i="1"/>
  <c r="C2490" i="1"/>
  <c r="G2489" i="1"/>
  <c r="C2489" i="1"/>
  <c r="G2488" i="1"/>
  <c r="C2488" i="1"/>
  <c r="G2487" i="1"/>
  <c r="C2487" i="1"/>
  <c r="G2486" i="1"/>
  <c r="C2486" i="1"/>
  <c r="G2485" i="1"/>
  <c r="C2485" i="1"/>
  <c r="G2484" i="1"/>
  <c r="C2484" i="1"/>
  <c r="G2483" i="1"/>
  <c r="C2483" i="1"/>
  <c r="G2482" i="1"/>
  <c r="C2482" i="1"/>
  <c r="G2481" i="1"/>
  <c r="C2481" i="1"/>
  <c r="G2480" i="1"/>
  <c r="C2480" i="1"/>
  <c r="G2479" i="1"/>
  <c r="C2479" i="1"/>
  <c r="G2478" i="1"/>
  <c r="C2478" i="1"/>
  <c r="G2477" i="1"/>
  <c r="C2477" i="1"/>
  <c r="G2476" i="1"/>
  <c r="C2476" i="1"/>
  <c r="G2475" i="1"/>
  <c r="C2475" i="1"/>
  <c r="G2474" i="1"/>
  <c r="C2474" i="1"/>
  <c r="G2473" i="1"/>
  <c r="C2473" i="1"/>
  <c r="G2472" i="1"/>
  <c r="C2472" i="1"/>
  <c r="G2471" i="1"/>
  <c r="C2471" i="1"/>
  <c r="G2470" i="1"/>
  <c r="C2470" i="1"/>
  <c r="G2469" i="1"/>
  <c r="C2469" i="1"/>
  <c r="G2468" i="1"/>
  <c r="C2468" i="1"/>
  <c r="G2467" i="1"/>
  <c r="C2467" i="1"/>
  <c r="G2466" i="1"/>
  <c r="C2466" i="1"/>
  <c r="G2465" i="1"/>
  <c r="C2465" i="1"/>
  <c r="G2464" i="1"/>
  <c r="C2464" i="1"/>
  <c r="G2462" i="1"/>
  <c r="C2462" i="1"/>
  <c r="G2461" i="1"/>
  <c r="C2461" i="1"/>
  <c r="G2460" i="1"/>
  <c r="C2460" i="1"/>
  <c r="G2459" i="1"/>
  <c r="C2459" i="1"/>
  <c r="G2458" i="1"/>
  <c r="C2458" i="1"/>
  <c r="G2457" i="1"/>
  <c r="C2457" i="1"/>
  <c r="G2455" i="1"/>
  <c r="C2455" i="1"/>
  <c r="G2453" i="1"/>
  <c r="C2453" i="1"/>
  <c r="G2452" i="1"/>
  <c r="C2452" i="1"/>
  <c r="G2451" i="1"/>
  <c r="C2451" i="1"/>
  <c r="G2450" i="1"/>
  <c r="C2450" i="1"/>
  <c r="G2449" i="1"/>
  <c r="C2449" i="1"/>
  <c r="G2448" i="1"/>
  <c r="C2448" i="1"/>
  <c r="G2447" i="1"/>
  <c r="C2447" i="1"/>
  <c r="G2446" i="1"/>
  <c r="C2446" i="1"/>
  <c r="G2445" i="1"/>
  <c r="C2445" i="1"/>
  <c r="G2444" i="1"/>
  <c r="C2444" i="1"/>
  <c r="G2443" i="1"/>
  <c r="C2443" i="1"/>
  <c r="G2442" i="1"/>
  <c r="C2442" i="1"/>
  <c r="G2441" i="1"/>
  <c r="C2441" i="1"/>
  <c r="G2440" i="1"/>
  <c r="C2440" i="1"/>
  <c r="G2439" i="1"/>
  <c r="C2439" i="1"/>
  <c r="G2438" i="1"/>
  <c r="C2438" i="1"/>
  <c r="G2437" i="1"/>
  <c r="C2437" i="1"/>
  <c r="G2436" i="1"/>
  <c r="C2436" i="1"/>
  <c r="G2435" i="1"/>
  <c r="C2435" i="1"/>
  <c r="G2434" i="1"/>
  <c r="C2434" i="1"/>
  <c r="G2433" i="1"/>
  <c r="C2433" i="1"/>
  <c r="G2432" i="1"/>
  <c r="C2432" i="1"/>
  <c r="G2431" i="1"/>
  <c r="C2431" i="1"/>
  <c r="G2430" i="1"/>
  <c r="C2430" i="1"/>
  <c r="G2429" i="1"/>
  <c r="C2429" i="1"/>
  <c r="G2428" i="1"/>
  <c r="C2428" i="1"/>
  <c r="G2427" i="1"/>
  <c r="C2427" i="1"/>
  <c r="G2426" i="1"/>
  <c r="C2426" i="1"/>
  <c r="G2425" i="1"/>
  <c r="C2425" i="1"/>
  <c r="G2424" i="1"/>
  <c r="C2424" i="1"/>
  <c r="G2423" i="1"/>
  <c r="C2423" i="1"/>
  <c r="G2422" i="1"/>
  <c r="C2422" i="1"/>
  <c r="G2421" i="1"/>
  <c r="C2421" i="1"/>
  <c r="G2420" i="1"/>
  <c r="C2420" i="1"/>
  <c r="G2419" i="1"/>
  <c r="C2419" i="1"/>
  <c r="G2418" i="1"/>
  <c r="C2418" i="1"/>
  <c r="G2417" i="1"/>
  <c r="C2417" i="1"/>
  <c r="G2416" i="1"/>
  <c r="C2416" i="1"/>
  <c r="G2415" i="1"/>
  <c r="C2415" i="1"/>
  <c r="G2414" i="1"/>
  <c r="C2414" i="1"/>
  <c r="G2413" i="1"/>
  <c r="C2413" i="1"/>
  <c r="G2412" i="1"/>
  <c r="C2412" i="1"/>
  <c r="G2411" i="1"/>
  <c r="C2411" i="1"/>
  <c r="G2410" i="1"/>
  <c r="C2410" i="1"/>
  <c r="G2409" i="1"/>
  <c r="C2409" i="1"/>
  <c r="G2408" i="1"/>
  <c r="C2408" i="1"/>
  <c r="G2407" i="1"/>
  <c r="C2407" i="1"/>
  <c r="G2405" i="1"/>
  <c r="C2405" i="1"/>
  <c r="G2404" i="1"/>
  <c r="C2404" i="1"/>
  <c r="G2403" i="1"/>
  <c r="C2403" i="1"/>
  <c r="G2402" i="1"/>
  <c r="C2402" i="1"/>
  <c r="G2401" i="1"/>
  <c r="C2401" i="1"/>
  <c r="G2400" i="1"/>
  <c r="C2400" i="1"/>
  <c r="G2399" i="1"/>
  <c r="C2399" i="1"/>
  <c r="G2398" i="1"/>
  <c r="C2398" i="1"/>
  <c r="G2397" i="1"/>
  <c r="C2397" i="1"/>
  <c r="G2396" i="1"/>
  <c r="C2396" i="1"/>
  <c r="G2395" i="1"/>
  <c r="C2395" i="1"/>
  <c r="G2394" i="1"/>
  <c r="C2394" i="1"/>
  <c r="G2393" i="1"/>
  <c r="C2393" i="1"/>
  <c r="G2392" i="1"/>
  <c r="C2392" i="1"/>
  <c r="G2391" i="1"/>
  <c r="C2391" i="1"/>
  <c r="G2390" i="1"/>
  <c r="C2390" i="1"/>
  <c r="G2389" i="1"/>
  <c r="C2389" i="1"/>
  <c r="G2388" i="1"/>
  <c r="C2388" i="1"/>
  <c r="G2387" i="1"/>
  <c r="C2387" i="1"/>
  <c r="G2386" i="1"/>
  <c r="C2386" i="1"/>
  <c r="G2385" i="1"/>
  <c r="C2385" i="1"/>
  <c r="G2384" i="1"/>
  <c r="C2384" i="1"/>
  <c r="G2383" i="1"/>
  <c r="C2383" i="1"/>
  <c r="G2382" i="1"/>
  <c r="C2382" i="1"/>
  <c r="G2381" i="1"/>
  <c r="C2381" i="1"/>
  <c r="G2380" i="1"/>
  <c r="C2380" i="1"/>
  <c r="G2379" i="1"/>
  <c r="C2379" i="1"/>
  <c r="G2378" i="1"/>
  <c r="C2378" i="1"/>
  <c r="G2377" i="1"/>
  <c r="C2377" i="1"/>
  <c r="G2375" i="1"/>
  <c r="C2375" i="1"/>
  <c r="G2374" i="1"/>
  <c r="C2374" i="1"/>
  <c r="G2373" i="1"/>
  <c r="C2373" i="1"/>
  <c r="G2372" i="1"/>
  <c r="C2372" i="1"/>
  <c r="G2371" i="1"/>
  <c r="C2371" i="1"/>
  <c r="G2370" i="1"/>
  <c r="C2370" i="1"/>
  <c r="G2369" i="1"/>
  <c r="C2369" i="1"/>
  <c r="G2368" i="1"/>
  <c r="C2368" i="1"/>
  <c r="G2367" i="1"/>
  <c r="C2367" i="1"/>
  <c r="G2366" i="1"/>
  <c r="C2366" i="1"/>
  <c r="G2365" i="1"/>
  <c r="C2365" i="1"/>
  <c r="G2364" i="1"/>
  <c r="C2364" i="1"/>
  <c r="G2363" i="1"/>
  <c r="C2363" i="1"/>
  <c r="G2362" i="1"/>
  <c r="C2362" i="1"/>
  <c r="G2361" i="1"/>
  <c r="C2361" i="1"/>
  <c r="G2360" i="1"/>
  <c r="C2360" i="1"/>
  <c r="G2359" i="1"/>
  <c r="C2359" i="1"/>
  <c r="G2358" i="1"/>
  <c r="C2358" i="1"/>
  <c r="G2355" i="1"/>
  <c r="C2355" i="1"/>
  <c r="G2354" i="1"/>
  <c r="C2354" i="1"/>
  <c r="G2352" i="1"/>
  <c r="C2352" i="1"/>
  <c r="G2351" i="1"/>
  <c r="C2351" i="1"/>
  <c r="G2350" i="1"/>
  <c r="C2350" i="1"/>
  <c r="G2349" i="1"/>
  <c r="C2349" i="1"/>
  <c r="G2348" i="1"/>
  <c r="C2348" i="1"/>
  <c r="G2347" i="1"/>
  <c r="C2347" i="1"/>
  <c r="G2346" i="1"/>
  <c r="C2346" i="1"/>
  <c r="G2345" i="1"/>
  <c r="C2345" i="1"/>
  <c r="G2344" i="1"/>
  <c r="C2344" i="1"/>
  <c r="G2343" i="1"/>
  <c r="C2343" i="1"/>
  <c r="G2342" i="1"/>
  <c r="C2342" i="1"/>
  <c r="G2341" i="1"/>
  <c r="C2341" i="1"/>
  <c r="G2340" i="1"/>
  <c r="C2340" i="1"/>
  <c r="G2339" i="1"/>
  <c r="C2339" i="1"/>
  <c r="G2338" i="1"/>
  <c r="C2338" i="1"/>
  <c r="G2337" i="1"/>
  <c r="C2337" i="1"/>
  <c r="G2336" i="1"/>
  <c r="C2336" i="1"/>
  <c r="G2335" i="1"/>
  <c r="C2335" i="1"/>
  <c r="G2334" i="1"/>
  <c r="C2334" i="1"/>
  <c r="G2333" i="1"/>
  <c r="C2333" i="1"/>
  <c r="G2332" i="1"/>
  <c r="C2332" i="1"/>
  <c r="G2331" i="1"/>
  <c r="C2331" i="1"/>
  <c r="G2330" i="1"/>
  <c r="C2330" i="1"/>
  <c r="G2329" i="1"/>
  <c r="C2329" i="1"/>
  <c r="G2328" i="1"/>
  <c r="C2328" i="1"/>
  <c r="G2327" i="1"/>
  <c r="C2327" i="1"/>
  <c r="G2326" i="1"/>
  <c r="C2326" i="1"/>
  <c r="G2325" i="1"/>
  <c r="C2325" i="1"/>
  <c r="G2324" i="1"/>
  <c r="C2324" i="1"/>
  <c r="G2323" i="1"/>
  <c r="C2323" i="1"/>
  <c r="G2322" i="1"/>
  <c r="C2322" i="1"/>
  <c r="G2321" i="1"/>
  <c r="C2321" i="1"/>
  <c r="G2320" i="1"/>
  <c r="C2320" i="1"/>
  <c r="G2319" i="1"/>
  <c r="C2319" i="1"/>
  <c r="G2318" i="1"/>
  <c r="C2318" i="1"/>
  <c r="G2317" i="1"/>
  <c r="C2317" i="1"/>
  <c r="G2316" i="1"/>
  <c r="C2316" i="1"/>
  <c r="G2315" i="1"/>
  <c r="C2315" i="1"/>
  <c r="G2314" i="1"/>
  <c r="C2314" i="1"/>
  <c r="G2313" i="1"/>
  <c r="C2313" i="1"/>
  <c r="G2312" i="1"/>
  <c r="C2312" i="1"/>
  <c r="G2311" i="1"/>
  <c r="C2311" i="1"/>
  <c r="G2310" i="1"/>
  <c r="C2310" i="1"/>
  <c r="G2309" i="1"/>
  <c r="C2309" i="1"/>
  <c r="G2308" i="1"/>
  <c r="C2308" i="1"/>
  <c r="G2307" i="1"/>
  <c r="C2307" i="1"/>
  <c r="G2306" i="1"/>
  <c r="C2306" i="1"/>
  <c r="G2305" i="1"/>
  <c r="C2305" i="1"/>
  <c r="G2304" i="1"/>
  <c r="C2304" i="1"/>
  <c r="G2303" i="1"/>
  <c r="C2303" i="1"/>
  <c r="G2302" i="1"/>
  <c r="C2302" i="1"/>
  <c r="G2301" i="1"/>
  <c r="C2301" i="1"/>
  <c r="G2300" i="1"/>
  <c r="C2300" i="1"/>
  <c r="G2299" i="1"/>
  <c r="C2299" i="1"/>
  <c r="G2298" i="1"/>
  <c r="C2298" i="1"/>
  <c r="G2297" i="1"/>
  <c r="C2297" i="1"/>
  <c r="G2296" i="1"/>
  <c r="C2296" i="1"/>
  <c r="G2295" i="1"/>
  <c r="C2295" i="1"/>
  <c r="G2294" i="1"/>
  <c r="C2294" i="1"/>
  <c r="G2293" i="1"/>
  <c r="C2293" i="1"/>
  <c r="G2292" i="1"/>
  <c r="C2292" i="1"/>
  <c r="G2291" i="1"/>
  <c r="C2291" i="1"/>
  <c r="G2290" i="1"/>
  <c r="C2290" i="1"/>
  <c r="G2289" i="1"/>
  <c r="C2289" i="1"/>
  <c r="G2288" i="1"/>
  <c r="C2288" i="1"/>
  <c r="G2287" i="1"/>
  <c r="C2287" i="1"/>
  <c r="G2286" i="1"/>
  <c r="C2286" i="1"/>
  <c r="G2284" i="1"/>
  <c r="C2284" i="1"/>
  <c r="G2283" i="1"/>
  <c r="C2283" i="1"/>
  <c r="G2282" i="1"/>
  <c r="C2282" i="1"/>
  <c r="G2281" i="1"/>
  <c r="C2281" i="1"/>
  <c r="G2280" i="1"/>
  <c r="C2280" i="1"/>
  <c r="G2279" i="1"/>
  <c r="C2279" i="1"/>
  <c r="G2278" i="1"/>
  <c r="C2278" i="1"/>
  <c r="G2277" i="1"/>
  <c r="C2277" i="1"/>
  <c r="G2276" i="1"/>
  <c r="C2276" i="1"/>
  <c r="G2275" i="1"/>
  <c r="C2275" i="1"/>
  <c r="G2274" i="1"/>
  <c r="C2274" i="1"/>
  <c r="G2273" i="1"/>
  <c r="C2273" i="1"/>
  <c r="G2272" i="1"/>
  <c r="C2272" i="1"/>
  <c r="G2271" i="1"/>
  <c r="C2271" i="1"/>
  <c r="G2270" i="1"/>
  <c r="C2270" i="1"/>
  <c r="G2269" i="1"/>
  <c r="C2269" i="1"/>
  <c r="G2268" i="1"/>
  <c r="C2268" i="1"/>
  <c r="G2267" i="1"/>
  <c r="C2267" i="1"/>
  <c r="G2266" i="1"/>
  <c r="C2266" i="1"/>
  <c r="G2265" i="1"/>
  <c r="C2265" i="1"/>
  <c r="G2264" i="1"/>
  <c r="C2264" i="1"/>
  <c r="G2263" i="1"/>
  <c r="C2263" i="1"/>
  <c r="G2262" i="1"/>
  <c r="C2262" i="1"/>
  <c r="G2261" i="1"/>
  <c r="C2261" i="1"/>
  <c r="G2260" i="1"/>
  <c r="C2260" i="1"/>
  <c r="G2259" i="1"/>
  <c r="C2259" i="1"/>
  <c r="G2258" i="1"/>
  <c r="C2258" i="1"/>
  <c r="G2257" i="1"/>
  <c r="C2257" i="1"/>
  <c r="G2256" i="1"/>
  <c r="C2256" i="1"/>
  <c r="G2255" i="1"/>
  <c r="C2255" i="1"/>
  <c r="G2253" i="1"/>
  <c r="C2253" i="1"/>
  <c r="G2252" i="1"/>
  <c r="C2252" i="1"/>
  <c r="G2251" i="1"/>
  <c r="C2251" i="1"/>
  <c r="G2250" i="1"/>
  <c r="C2250" i="1"/>
  <c r="G2249" i="1"/>
  <c r="C2249" i="1"/>
  <c r="G2248" i="1"/>
  <c r="C2248" i="1"/>
  <c r="G2247" i="1"/>
  <c r="C2247" i="1"/>
  <c r="G2246" i="1"/>
  <c r="C2246" i="1"/>
  <c r="G2245" i="1"/>
  <c r="C2245" i="1"/>
  <c r="G2244" i="1"/>
  <c r="C2244" i="1"/>
  <c r="G2243" i="1"/>
  <c r="C2243" i="1"/>
  <c r="G2242" i="1"/>
  <c r="C2242" i="1"/>
  <c r="G2241" i="1"/>
  <c r="C2241" i="1"/>
  <c r="G2240" i="1"/>
  <c r="C2240" i="1"/>
  <c r="G2239" i="1"/>
  <c r="C2239" i="1"/>
  <c r="G2238" i="1"/>
  <c r="C2238" i="1"/>
  <c r="G2237" i="1"/>
  <c r="C2237" i="1"/>
  <c r="G2236" i="1"/>
  <c r="C2236" i="1"/>
  <c r="G2235" i="1"/>
  <c r="C2235" i="1"/>
  <c r="G2234" i="1"/>
  <c r="C2234" i="1"/>
  <c r="G2233" i="1"/>
  <c r="C2233" i="1"/>
  <c r="G2232" i="1"/>
  <c r="C2232" i="1"/>
  <c r="G2231" i="1"/>
  <c r="C2231" i="1"/>
  <c r="G2230" i="1"/>
  <c r="C2230" i="1"/>
  <c r="G2229" i="1"/>
  <c r="C2229" i="1"/>
  <c r="G2228" i="1"/>
  <c r="C2228" i="1"/>
  <c r="G2227" i="1"/>
  <c r="C2227" i="1"/>
  <c r="G2226" i="1"/>
  <c r="C2226" i="1"/>
  <c r="G2225" i="1"/>
  <c r="C2225" i="1"/>
  <c r="G2224" i="1"/>
  <c r="C2224" i="1"/>
  <c r="G2223" i="1"/>
  <c r="C2223" i="1"/>
  <c r="G2222" i="1"/>
  <c r="C2222" i="1"/>
  <c r="G2221" i="1"/>
  <c r="C2221" i="1"/>
  <c r="G2220" i="1"/>
  <c r="C2220" i="1"/>
  <c r="G2218" i="1"/>
  <c r="C2218" i="1"/>
  <c r="G2217" i="1"/>
  <c r="C2217" i="1"/>
  <c r="G2216" i="1"/>
  <c r="C2216" i="1"/>
  <c r="G2215" i="1"/>
  <c r="C2215" i="1"/>
  <c r="G2214" i="1"/>
  <c r="C2214" i="1"/>
  <c r="G2213" i="1"/>
  <c r="C2213" i="1"/>
  <c r="G2212" i="1"/>
  <c r="C2212" i="1"/>
  <c r="G2211" i="1"/>
  <c r="C2211" i="1"/>
  <c r="G2210" i="1"/>
  <c r="C2210" i="1"/>
  <c r="G2209" i="1"/>
  <c r="C2209" i="1"/>
  <c r="G2208" i="1"/>
  <c r="C2208" i="1"/>
  <c r="G2207" i="1"/>
  <c r="C2207" i="1"/>
  <c r="G2206" i="1"/>
  <c r="C2206" i="1"/>
  <c r="G2205" i="1"/>
  <c r="C2205" i="1"/>
  <c r="G2204" i="1"/>
  <c r="C2204" i="1"/>
  <c r="G2203" i="1"/>
  <c r="C2203" i="1"/>
  <c r="G2202" i="1"/>
  <c r="C2202" i="1"/>
  <c r="G2201" i="1"/>
  <c r="C2201" i="1"/>
  <c r="G2200" i="1"/>
  <c r="C2200" i="1"/>
  <c r="G2199" i="1"/>
  <c r="C2199" i="1"/>
  <c r="G2198" i="1"/>
  <c r="C2198" i="1"/>
  <c r="G2197" i="1"/>
  <c r="C2197" i="1"/>
  <c r="G2196" i="1"/>
  <c r="C2196" i="1"/>
  <c r="G2195" i="1"/>
  <c r="C2195" i="1"/>
  <c r="G2194" i="1"/>
  <c r="C2194" i="1"/>
  <c r="G2193" i="1"/>
  <c r="C2193" i="1"/>
  <c r="G2192" i="1"/>
  <c r="C2192" i="1"/>
  <c r="G2191" i="1"/>
  <c r="C2191" i="1"/>
  <c r="G2190" i="1"/>
  <c r="C2190" i="1"/>
  <c r="G2189" i="1"/>
  <c r="C2189" i="1"/>
  <c r="G2188" i="1"/>
  <c r="C2188" i="1"/>
  <c r="G2187" i="1"/>
  <c r="C2187" i="1"/>
  <c r="G2186" i="1"/>
  <c r="C2186" i="1"/>
  <c r="G2185" i="1"/>
  <c r="C2185" i="1"/>
  <c r="G2184" i="1"/>
  <c r="C2184" i="1"/>
  <c r="G2183" i="1"/>
  <c r="C2183" i="1"/>
  <c r="G2182" i="1"/>
  <c r="C2182" i="1"/>
  <c r="G2181" i="1"/>
  <c r="C2181" i="1"/>
  <c r="G2180" i="1"/>
  <c r="C2180" i="1"/>
  <c r="G2179" i="1"/>
  <c r="C2179" i="1"/>
  <c r="G2178" i="1"/>
  <c r="C2178" i="1"/>
  <c r="G2177" i="1"/>
  <c r="C2177" i="1"/>
  <c r="G2176" i="1"/>
  <c r="C2176" i="1"/>
  <c r="G2175" i="1"/>
  <c r="C2175" i="1"/>
  <c r="G2174" i="1"/>
  <c r="C2174" i="1"/>
  <c r="G2173" i="1"/>
  <c r="C2173" i="1"/>
  <c r="G2172" i="1"/>
  <c r="C2172" i="1"/>
  <c r="G2171" i="1"/>
  <c r="C2171" i="1"/>
  <c r="G2170" i="1"/>
  <c r="C2170" i="1"/>
  <c r="G2169" i="1"/>
  <c r="C2169" i="1"/>
  <c r="G2168" i="1"/>
  <c r="C2168" i="1"/>
  <c r="G2167" i="1"/>
  <c r="C2167" i="1"/>
  <c r="G2166" i="1"/>
  <c r="C2166" i="1"/>
  <c r="G2165" i="1"/>
  <c r="C2165" i="1"/>
  <c r="G2164" i="1"/>
  <c r="C2164" i="1"/>
  <c r="G2163" i="1"/>
  <c r="C2163" i="1"/>
  <c r="G2162" i="1"/>
  <c r="C2162" i="1"/>
  <c r="G2161" i="1"/>
  <c r="C2161" i="1"/>
  <c r="G2160" i="1"/>
  <c r="C2160" i="1"/>
  <c r="G2159" i="1"/>
  <c r="C2159" i="1"/>
  <c r="G2158" i="1"/>
  <c r="C2158" i="1"/>
  <c r="G2157" i="1"/>
  <c r="C2157" i="1"/>
  <c r="G2156" i="1"/>
  <c r="C2156" i="1"/>
  <c r="G2155" i="1"/>
  <c r="C2155" i="1"/>
  <c r="G2153" i="1"/>
  <c r="C2153" i="1"/>
  <c r="G2152" i="1"/>
  <c r="C2152" i="1"/>
  <c r="G2151" i="1"/>
  <c r="C2151" i="1"/>
  <c r="G2150" i="1"/>
  <c r="C2150" i="1"/>
  <c r="G2149" i="1"/>
  <c r="C2149" i="1"/>
  <c r="G2148" i="1"/>
  <c r="C2148" i="1"/>
  <c r="G2147" i="1"/>
  <c r="C2147" i="1"/>
  <c r="G2146" i="1"/>
  <c r="C2146" i="1"/>
  <c r="G2145" i="1"/>
  <c r="C2145" i="1"/>
  <c r="G2144" i="1"/>
  <c r="C2144" i="1"/>
  <c r="G2143" i="1"/>
  <c r="C2143" i="1"/>
  <c r="G2142" i="1"/>
  <c r="C2142" i="1"/>
  <c r="G2141" i="1"/>
  <c r="C2141" i="1"/>
  <c r="G2140" i="1"/>
  <c r="C2140" i="1"/>
  <c r="G2139" i="1"/>
  <c r="C2139" i="1"/>
  <c r="G2138" i="1"/>
  <c r="C2138" i="1"/>
  <c r="G2137" i="1"/>
  <c r="C2137" i="1"/>
  <c r="G2136" i="1"/>
  <c r="C2136" i="1"/>
  <c r="G2135" i="1"/>
  <c r="C2135" i="1"/>
  <c r="G2134" i="1"/>
  <c r="C2134" i="1"/>
  <c r="G2133" i="1"/>
  <c r="C2133" i="1"/>
  <c r="G2132" i="1"/>
  <c r="C2132" i="1"/>
  <c r="G2131" i="1"/>
  <c r="C2131" i="1"/>
  <c r="G2130" i="1"/>
  <c r="C2130" i="1"/>
  <c r="G2129" i="1"/>
  <c r="C2129" i="1"/>
  <c r="G2128" i="1"/>
  <c r="C2128" i="1"/>
  <c r="G2127" i="1"/>
  <c r="C2127" i="1"/>
  <c r="G2126" i="1"/>
  <c r="C2126" i="1"/>
  <c r="G2125" i="1"/>
  <c r="C2125" i="1"/>
  <c r="G2124" i="1"/>
  <c r="C2124" i="1"/>
  <c r="G2123" i="1"/>
  <c r="C2123" i="1"/>
  <c r="G2122" i="1"/>
  <c r="C2122" i="1"/>
  <c r="G2121" i="1"/>
  <c r="C2121" i="1"/>
  <c r="G2120" i="1"/>
  <c r="C2120" i="1"/>
  <c r="G2119" i="1"/>
  <c r="C2119" i="1"/>
  <c r="G2118" i="1"/>
  <c r="C2118" i="1"/>
  <c r="G2117" i="1"/>
  <c r="C2117" i="1"/>
  <c r="G2116" i="1"/>
  <c r="C2116" i="1"/>
  <c r="G2115" i="1"/>
  <c r="C2115" i="1"/>
  <c r="G2114" i="1"/>
  <c r="C2114" i="1"/>
  <c r="G2113" i="1"/>
  <c r="C2113" i="1"/>
  <c r="G2112" i="1"/>
  <c r="C2112" i="1"/>
  <c r="G2111" i="1"/>
  <c r="C2111" i="1"/>
  <c r="G2110" i="1"/>
  <c r="C2110" i="1"/>
  <c r="G2109" i="1"/>
  <c r="C2109" i="1"/>
  <c r="G2108" i="1"/>
  <c r="C2108" i="1"/>
  <c r="G2107" i="1"/>
  <c r="C2107" i="1"/>
  <c r="G2106" i="1"/>
  <c r="C2106" i="1"/>
  <c r="G2105" i="1"/>
  <c r="C2105" i="1"/>
  <c r="G2104" i="1"/>
  <c r="C2104" i="1"/>
  <c r="G2102" i="1"/>
  <c r="C2102" i="1"/>
  <c r="G2101" i="1"/>
  <c r="C2101" i="1"/>
  <c r="G2100" i="1"/>
  <c r="C2100" i="1"/>
  <c r="G2099" i="1"/>
  <c r="C2099" i="1"/>
  <c r="G2098" i="1"/>
  <c r="C2098" i="1"/>
  <c r="G2097" i="1"/>
  <c r="C2097" i="1"/>
  <c r="G2096" i="1"/>
  <c r="C2096" i="1"/>
  <c r="G2095" i="1"/>
  <c r="C2095" i="1"/>
  <c r="G2094" i="1"/>
  <c r="C2094" i="1"/>
  <c r="G2093" i="1"/>
  <c r="C2093" i="1"/>
  <c r="G2092" i="1"/>
  <c r="C2092" i="1"/>
  <c r="G2091" i="1"/>
  <c r="C2091" i="1"/>
  <c r="G2090" i="1"/>
  <c r="C2090" i="1"/>
  <c r="G2089" i="1"/>
  <c r="C2089" i="1"/>
  <c r="G2088" i="1"/>
  <c r="C2088" i="1"/>
  <c r="G2087" i="1"/>
  <c r="C2087" i="1"/>
  <c r="G2086" i="1"/>
  <c r="C2086" i="1"/>
  <c r="G2085" i="1"/>
  <c r="C2085" i="1"/>
  <c r="G2084" i="1"/>
  <c r="C2084" i="1"/>
  <c r="G2083" i="1"/>
  <c r="C2083" i="1"/>
  <c r="G2082" i="1"/>
  <c r="C2082" i="1"/>
  <c r="G2081" i="1"/>
  <c r="C2081" i="1"/>
  <c r="G2080" i="1"/>
  <c r="C2080" i="1"/>
  <c r="G2079" i="1"/>
  <c r="C2079" i="1"/>
  <c r="G2078" i="1"/>
  <c r="C2078" i="1"/>
  <c r="G2077" i="1"/>
  <c r="C2077" i="1"/>
  <c r="G2076" i="1"/>
  <c r="C2076" i="1"/>
  <c r="G2075" i="1"/>
  <c r="C2075" i="1"/>
  <c r="G2074" i="1"/>
  <c r="C2074" i="1"/>
  <c r="G2073" i="1"/>
  <c r="C2073" i="1"/>
  <c r="G2072" i="1"/>
  <c r="C2072" i="1"/>
  <c r="G2071" i="1"/>
  <c r="C2071" i="1"/>
  <c r="G2070" i="1"/>
  <c r="C2070" i="1"/>
  <c r="G2069" i="1"/>
  <c r="C2069" i="1"/>
  <c r="G2068" i="1"/>
  <c r="C2068" i="1"/>
  <c r="G2067" i="1"/>
  <c r="C2067" i="1"/>
  <c r="G2066" i="1"/>
  <c r="C2066" i="1"/>
  <c r="G2065" i="1"/>
  <c r="C2065" i="1"/>
  <c r="G2064" i="1"/>
  <c r="C2064" i="1"/>
  <c r="G2063" i="1"/>
  <c r="C2063" i="1"/>
  <c r="G2062" i="1"/>
  <c r="C2062" i="1"/>
  <c r="G2061" i="1"/>
  <c r="C2061" i="1"/>
  <c r="G2060" i="1"/>
  <c r="C2060" i="1"/>
  <c r="G2059" i="1"/>
  <c r="C2059" i="1"/>
  <c r="G2058" i="1"/>
  <c r="C2058" i="1"/>
  <c r="G2057" i="1"/>
  <c r="C2057" i="1"/>
  <c r="G2056" i="1"/>
  <c r="C2056" i="1"/>
  <c r="G2055" i="1"/>
  <c r="C2055" i="1"/>
  <c r="G2054" i="1"/>
  <c r="C2054" i="1"/>
  <c r="G2053" i="1"/>
  <c r="C2053" i="1"/>
  <c r="G2052" i="1"/>
  <c r="C2052" i="1"/>
  <c r="G2051" i="1"/>
  <c r="C2051" i="1"/>
  <c r="G2050" i="1"/>
  <c r="C2050" i="1"/>
  <c r="G2049" i="1"/>
  <c r="C2049" i="1"/>
  <c r="G2048" i="1"/>
  <c r="C2048" i="1"/>
  <c r="G2047" i="1"/>
  <c r="C2047" i="1"/>
  <c r="G2046" i="1"/>
  <c r="C2046" i="1"/>
  <c r="G2045" i="1"/>
  <c r="C2045" i="1"/>
  <c r="G2044" i="1"/>
  <c r="C2044" i="1"/>
  <c r="G2043" i="1"/>
  <c r="C2043" i="1"/>
  <c r="G2042" i="1"/>
  <c r="C2042" i="1"/>
  <c r="G2041" i="1"/>
  <c r="C2041" i="1"/>
  <c r="G2040" i="1"/>
  <c r="C2040" i="1"/>
  <c r="G2039" i="1"/>
  <c r="C2039" i="1"/>
  <c r="G2038" i="1"/>
  <c r="C2038" i="1"/>
  <c r="G2037" i="1"/>
  <c r="C2037" i="1"/>
  <c r="G2034" i="1"/>
  <c r="C2034" i="1"/>
  <c r="G2033" i="1"/>
  <c r="C2033" i="1"/>
  <c r="G2032" i="1"/>
  <c r="C2032" i="1"/>
  <c r="G2031" i="1"/>
  <c r="C2031" i="1"/>
  <c r="G2030" i="1"/>
  <c r="C2030" i="1"/>
  <c r="G2029" i="1"/>
  <c r="C2029" i="1"/>
  <c r="G2028" i="1"/>
  <c r="C2028" i="1"/>
  <c r="G2027" i="1"/>
  <c r="C2027" i="1"/>
  <c r="G2026" i="1"/>
  <c r="C2026" i="1"/>
  <c r="G2025" i="1"/>
  <c r="C2025" i="1"/>
  <c r="G2024" i="1"/>
  <c r="C2024" i="1"/>
  <c r="G2023" i="1"/>
  <c r="C2023" i="1"/>
  <c r="G2022" i="1"/>
  <c r="C2022" i="1"/>
  <c r="G2021" i="1"/>
  <c r="C2021" i="1"/>
  <c r="G2020" i="1"/>
  <c r="C2020" i="1"/>
  <c r="G2019" i="1"/>
  <c r="C2019" i="1"/>
  <c r="G2018" i="1"/>
  <c r="C2018" i="1"/>
  <c r="G2017" i="1"/>
  <c r="C2017" i="1"/>
  <c r="G2016" i="1"/>
  <c r="C2016" i="1"/>
  <c r="G2015" i="1"/>
  <c r="C2015" i="1"/>
  <c r="G2014" i="1"/>
  <c r="C2014" i="1"/>
  <c r="G2013" i="1"/>
  <c r="C2013" i="1"/>
  <c r="G2012" i="1"/>
  <c r="C2012" i="1"/>
  <c r="G2011" i="1"/>
  <c r="C2011" i="1"/>
  <c r="G2010" i="1"/>
  <c r="C2010" i="1"/>
  <c r="G2009" i="1"/>
  <c r="C2009" i="1"/>
  <c r="G2008" i="1"/>
  <c r="C2008" i="1"/>
  <c r="G2007" i="1"/>
  <c r="C2007" i="1"/>
  <c r="G2006" i="1"/>
  <c r="C2006" i="1"/>
  <c r="G2005" i="1"/>
  <c r="C2005" i="1"/>
  <c r="G2003" i="1"/>
  <c r="C2003" i="1"/>
  <c r="G2002" i="1"/>
  <c r="C2002" i="1"/>
  <c r="G2001" i="1"/>
  <c r="C2001" i="1"/>
  <c r="G2000" i="1"/>
  <c r="C2000" i="1"/>
  <c r="G1999" i="1"/>
  <c r="C1999" i="1"/>
  <c r="G1998" i="1"/>
  <c r="C1998" i="1"/>
  <c r="G1997" i="1"/>
  <c r="C1997" i="1"/>
  <c r="G1996" i="1"/>
  <c r="C1996" i="1"/>
  <c r="G1995" i="1"/>
  <c r="C1995" i="1"/>
  <c r="G1994" i="1"/>
  <c r="C1994" i="1"/>
  <c r="G1993" i="1"/>
  <c r="C1993" i="1"/>
  <c r="G1992" i="1"/>
  <c r="C1992" i="1"/>
  <c r="G1991" i="1"/>
  <c r="C1991" i="1"/>
  <c r="G1990" i="1"/>
  <c r="C1990" i="1"/>
  <c r="G1989" i="1"/>
  <c r="C1989" i="1"/>
  <c r="G1988" i="1"/>
  <c r="C1988" i="1"/>
  <c r="G1987" i="1"/>
  <c r="C1987" i="1"/>
  <c r="G1986" i="1"/>
  <c r="C1986" i="1"/>
  <c r="G1985" i="1"/>
  <c r="C1985" i="1"/>
  <c r="G1984" i="1"/>
  <c r="C1984" i="1"/>
  <c r="G1983" i="1"/>
  <c r="C1983" i="1"/>
  <c r="G1982" i="1"/>
  <c r="C1982" i="1"/>
  <c r="G1981" i="1"/>
  <c r="C1981" i="1"/>
  <c r="G1980" i="1"/>
  <c r="C1980" i="1"/>
  <c r="G1979" i="1"/>
  <c r="C1979" i="1"/>
  <c r="G1978" i="1"/>
  <c r="C1978" i="1"/>
  <c r="G1977" i="1"/>
  <c r="C1977" i="1"/>
  <c r="G1976" i="1"/>
  <c r="C1976" i="1"/>
  <c r="G1975" i="1"/>
  <c r="C1975" i="1"/>
  <c r="G1974" i="1"/>
  <c r="C1974" i="1"/>
  <c r="G1973" i="1"/>
  <c r="C1973" i="1"/>
  <c r="G1972" i="1"/>
  <c r="C1972" i="1"/>
  <c r="G1971" i="1"/>
  <c r="C1971" i="1"/>
  <c r="G1970" i="1"/>
  <c r="C1970" i="1"/>
  <c r="G1969" i="1"/>
  <c r="C1969" i="1"/>
  <c r="G1968" i="1"/>
  <c r="C1968" i="1"/>
  <c r="G1967" i="1"/>
  <c r="C1967" i="1"/>
  <c r="G1966" i="1"/>
  <c r="C1966" i="1"/>
  <c r="G1965" i="1"/>
  <c r="C1965" i="1"/>
  <c r="G1964" i="1"/>
  <c r="C1964" i="1"/>
  <c r="G1963" i="1"/>
  <c r="C1963" i="1"/>
  <c r="G1962" i="1"/>
  <c r="C1962" i="1"/>
  <c r="G1961" i="1"/>
  <c r="C1961" i="1"/>
  <c r="G1960" i="1"/>
  <c r="C1960" i="1"/>
  <c r="G1959" i="1"/>
  <c r="C1959" i="1"/>
  <c r="G1958" i="1"/>
  <c r="C1958" i="1"/>
  <c r="G1957" i="1"/>
  <c r="C1957" i="1"/>
  <c r="G1956" i="1"/>
  <c r="C1956" i="1"/>
  <c r="G1955" i="1"/>
  <c r="C1955" i="1"/>
  <c r="G1954" i="1"/>
  <c r="C1954" i="1"/>
  <c r="G1953" i="1"/>
  <c r="C1953" i="1"/>
  <c r="G1952" i="1"/>
  <c r="C1952" i="1"/>
  <c r="G1951" i="1"/>
  <c r="C1951" i="1"/>
  <c r="G1950" i="1"/>
  <c r="C1950" i="1"/>
  <c r="G1949" i="1"/>
  <c r="C1949" i="1"/>
  <c r="G1948" i="1"/>
  <c r="C1948" i="1"/>
  <c r="G1947" i="1"/>
  <c r="C1947" i="1"/>
  <c r="G1946" i="1"/>
  <c r="C1946" i="1"/>
  <c r="G1945" i="1"/>
  <c r="C1945" i="1"/>
  <c r="G1944" i="1"/>
  <c r="C1944" i="1"/>
  <c r="G1943" i="1"/>
  <c r="C1943" i="1"/>
  <c r="G1942" i="1"/>
  <c r="C1942" i="1"/>
  <c r="G1941" i="1"/>
  <c r="C1941" i="1"/>
  <c r="G1940" i="1"/>
  <c r="C1940" i="1"/>
  <c r="G1939" i="1"/>
  <c r="C1939" i="1"/>
  <c r="G1938" i="1"/>
  <c r="C1938" i="1"/>
  <c r="G1937" i="1"/>
  <c r="C1937" i="1"/>
  <c r="G1936" i="1"/>
  <c r="C1936" i="1"/>
  <c r="G1935" i="1"/>
  <c r="C1935" i="1"/>
  <c r="G1934" i="1"/>
  <c r="C1934" i="1"/>
  <c r="G1933" i="1"/>
  <c r="C1933" i="1"/>
  <c r="G1932" i="1"/>
  <c r="C1932" i="1"/>
  <c r="G1931" i="1"/>
  <c r="C1931" i="1"/>
  <c r="G1930" i="1"/>
  <c r="C1930" i="1"/>
  <c r="G1929" i="1"/>
  <c r="C1929" i="1"/>
  <c r="G1927" i="1"/>
  <c r="C1927" i="1"/>
  <c r="G1926" i="1"/>
  <c r="C1926" i="1"/>
  <c r="G1925" i="1"/>
  <c r="C1925" i="1"/>
  <c r="G1924" i="1"/>
  <c r="C1924" i="1"/>
  <c r="G1923" i="1"/>
  <c r="C1923" i="1"/>
  <c r="G1922" i="1"/>
  <c r="C1922" i="1"/>
  <c r="G1921" i="1"/>
  <c r="C1921" i="1"/>
  <c r="G1920" i="1"/>
  <c r="C1920" i="1"/>
  <c r="G1919" i="1"/>
  <c r="C1919" i="1"/>
  <c r="G1918" i="1"/>
  <c r="C1918" i="1"/>
  <c r="G1917" i="1"/>
  <c r="C1917" i="1"/>
  <c r="G1916" i="1"/>
  <c r="C1916" i="1"/>
  <c r="G1915" i="1"/>
  <c r="C1915" i="1"/>
  <c r="G1914" i="1"/>
  <c r="C1914" i="1"/>
  <c r="G1913" i="1"/>
  <c r="C1913" i="1"/>
  <c r="G1912" i="1"/>
  <c r="C1912" i="1"/>
  <c r="G1911" i="1"/>
  <c r="C1911" i="1"/>
  <c r="G1910" i="1"/>
  <c r="C1910" i="1"/>
  <c r="G1909" i="1"/>
  <c r="C1909" i="1"/>
  <c r="G1908" i="1"/>
  <c r="C1908" i="1"/>
  <c r="G1907" i="1"/>
  <c r="C1907" i="1"/>
  <c r="G1906" i="1"/>
  <c r="C1906" i="1"/>
  <c r="G1905" i="1"/>
  <c r="C1905" i="1"/>
  <c r="G1904" i="1"/>
  <c r="C1904" i="1"/>
  <c r="G1903" i="1"/>
  <c r="C1903" i="1"/>
  <c r="G1902" i="1"/>
  <c r="C1902" i="1"/>
  <c r="G1901" i="1"/>
  <c r="C1901" i="1"/>
  <c r="G1900" i="1"/>
  <c r="C1900" i="1"/>
  <c r="G1899" i="1"/>
  <c r="C1899" i="1"/>
  <c r="G1898" i="1"/>
  <c r="C1898" i="1"/>
  <c r="G1897" i="1"/>
  <c r="C1897" i="1"/>
  <c r="G1896" i="1"/>
  <c r="C1896" i="1"/>
  <c r="G1895" i="1"/>
  <c r="C1895" i="1"/>
  <c r="G1894" i="1"/>
  <c r="C1894" i="1"/>
  <c r="G1893" i="1"/>
  <c r="C1893" i="1"/>
  <c r="G1892" i="1"/>
  <c r="C1892" i="1"/>
  <c r="G1891" i="1"/>
  <c r="C1891" i="1"/>
  <c r="G1889" i="1"/>
  <c r="C1889" i="1"/>
  <c r="G1888" i="1"/>
  <c r="C1888" i="1"/>
  <c r="G1887" i="1"/>
  <c r="C1887" i="1"/>
  <c r="G1886" i="1"/>
  <c r="C1886" i="1"/>
  <c r="G1885" i="1"/>
  <c r="C1885" i="1"/>
  <c r="G1884" i="1"/>
  <c r="C1884" i="1"/>
  <c r="G1883" i="1"/>
  <c r="C1883" i="1"/>
  <c r="G1882" i="1"/>
  <c r="C1882" i="1"/>
  <c r="G1881" i="1"/>
  <c r="C1881" i="1"/>
  <c r="G1880" i="1"/>
  <c r="C1880" i="1"/>
  <c r="G1879" i="1"/>
  <c r="C1879" i="1"/>
  <c r="G1878" i="1"/>
  <c r="C1878" i="1"/>
  <c r="G1877" i="1"/>
  <c r="C1877" i="1"/>
  <c r="G1876" i="1"/>
  <c r="C1876" i="1"/>
  <c r="G1875" i="1"/>
  <c r="C1875" i="1"/>
  <c r="G1874" i="1"/>
  <c r="C1874" i="1"/>
  <c r="G1873" i="1"/>
  <c r="C1873" i="1"/>
  <c r="G1872" i="1"/>
  <c r="C1872" i="1"/>
  <c r="G1871" i="1"/>
  <c r="C1871" i="1"/>
  <c r="G1870" i="1"/>
  <c r="C1870" i="1"/>
  <c r="G1869" i="1"/>
  <c r="C1869" i="1"/>
  <c r="G1868" i="1"/>
  <c r="C1868" i="1"/>
  <c r="G1867" i="1"/>
  <c r="C1867" i="1"/>
  <c r="G1866" i="1"/>
  <c r="C1866" i="1"/>
  <c r="G1865" i="1"/>
  <c r="C1865" i="1"/>
  <c r="G1864" i="1"/>
  <c r="C1864" i="1"/>
  <c r="G1863" i="1"/>
  <c r="C1863" i="1"/>
  <c r="G1862" i="1"/>
  <c r="C1862" i="1"/>
  <c r="G1861" i="1"/>
  <c r="C1861" i="1"/>
  <c r="G1860" i="1"/>
  <c r="C1860" i="1"/>
  <c r="G1859" i="1"/>
  <c r="C1859" i="1"/>
  <c r="G1858" i="1"/>
  <c r="C1858" i="1"/>
  <c r="G1857" i="1"/>
  <c r="C1857" i="1"/>
  <c r="G1856" i="1"/>
  <c r="C1856" i="1"/>
  <c r="G1855" i="1"/>
  <c r="C1855" i="1"/>
  <c r="G1854" i="1"/>
  <c r="C1854" i="1"/>
  <c r="G1853" i="1"/>
  <c r="C1853" i="1"/>
  <c r="G1852" i="1"/>
  <c r="C1852" i="1"/>
  <c r="G1851" i="1"/>
  <c r="C1851" i="1"/>
  <c r="G1850" i="1"/>
  <c r="C1850" i="1"/>
  <c r="G1849" i="1"/>
  <c r="C1849" i="1"/>
  <c r="G1848" i="1"/>
  <c r="C1848" i="1"/>
  <c r="G1847" i="1"/>
  <c r="C1847" i="1"/>
  <c r="G1846" i="1"/>
  <c r="C1846" i="1"/>
  <c r="G1845" i="1"/>
  <c r="C1845" i="1"/>
  <c r="G1844" i="1"/>
  <c r="C1844" i="1"/>
  <c r="G1843" i="1"/>
  <c r="C1843" i="1"/>
  <c r="G1842" i="1"/>
  <c r="C1842" i="1"/>
  <c r="G1841" i="1"/>
  <c r="C1841" i="1"/>
  <c r="G1840" i="1"/>
  <c r="C1840" i="1"/>
  <c r="G1839" i="1"/>
  <c r="C1839" i="1"/>
  <c r="G1838" i="1"/>
  <c r="C1838" i="1"/>
  <c r="G1837" i="1"/>
  <c r="C1837" i="1"/>
  <c r="G1836" i="1"/>
  <c r="C1836" i="1"/>
  <c r="G1835" i="1"/>
  <c r="C1835" i="1"/>
  <c r="G1834" i="1"/>
  <c r="C1834" i="1"/>
  <c r="G1833" i="1"/>
  <c r="C1833" i="1"/>
  <c r="G1832" i="1"/>
  <c r="C1832" i="1"/>
  <c r="G1831" i="1"/>
  <c r="C1831" i="1"/>
  <c r="G1830" i="1"/>
  <c r="C1830" i="1"/>
  <c r="G1829" i="1"/>
  <c r="C1829" i="1"/>
  <c r="G1827" i="1"/>
  <c r="C1827" i="1"/>
  <c r="G1826" i="1"/>
  <c r="C1826" i="1"/>
  <c r="G1825" i="1"/>
  <c r="C1825" i="1"/>
  <c r="G1824" i="1"/>
  <c r="C1824" i="1"/>
  <c r="G1823" i="1"/>
  <c r="C1823" i="1"/>
  <c r="G1822" i="1"/>
  <c r="C1822" i="1"/>
  <c r="G1821" i="1"/>
  <c r="C1821" i="1"/>
  <c r="G1820" i="1"/>
  <c r="C1820" i="1"/>
  <c r="G1819" i="1"/>
  <c r="C1819" i="1"/>
  <c r="G1818" i="1"/>
  <c r="C1818" i="1"/>
  <c r="G1817" i="1"/>
  <c r="C1817" i="1"/>
  <c r="G1816" i="1"/>
  <c r="C1816" i="1"/>
  <c r="G1815" i="1"/>
  <c r="C1815" i="1"/>
  <c r="G1814" i="1"/>
  <c r="C1814" i="1"/>
  <c r="G1813" i="1"/>
  <c r="C1813" i="1"/>
  <c r="G1812" i="1"/>
  <c r="C1812" i="1"/>
  <c r="G1811" i="1"/>
  <c r="C1811" i="1"/>
  <c r="G1810" i="1"/>
  <c r="C1810" i="1"/>
  <c r="G1809" i="1"/>
  <c r="C1809" i="1"/>
  <c r="G1808" i="1"/>
  <c r="C1808" i="1"/>
  <c r="G1807" i="1"/>
  <c r="C1807" i="1"/>
  <c r="G1806" i="1"/>
  <c r="C1806" i="1"/>
  <c r="G1805" i="1"/>
  <c r="C1805" i="1"/>
  <c r="G1804" i="1"/>
  <c r="C1804" i="1"/>
  <c r="G1803" i="1"/>
  <c r="C1803" i="1"/>
  <c r="G1802" i="1"/>
  <c r="C1802" i="1"/>
  <c r="G1801" i="1"/>
  <c r="C1801" i="1"/>
  <c r="G1800" i="1"/>
  <c r="C1800" i="1"/>
  <c r="G1799" i="1"/>
  <c r="C1799" i="1"/>
  <c r="G1798" i="1"/>
  <c r="C1798" i="1"/>
  <c r="G1797" i="1"/>
  <c r="C1797" i="1"/>
  <c r="G1796" i="1"/>
  <c r="C1796" i="1"/>
  <c r="G1795" i="1"/>
  <c r="C1795" i="1"/>
  <c r="G1794" i="1"/>
  <c r="C1794" i="1"/>
  <c r="G1793" i="1"/>
  <c r="C1793" i="1"/>
  <c r="G1792" i="1"/>
  <c r="C1792" i="1"/>
  <c r="G1791" i="1"/>
  <c r="C1791" i="1"/>
  <c r="G1790" i="1"/>
  <c r="C1790" i="1"/>
  <c r="G1789" i="1"/>
  <c r="C1789" i="1"/>
  <c r="G1788" i="1"/>
  <c r="C1788" i="1"/>
  <c r="G1787" i="1"/>
  <c r="C1787" i="1"/>
  <c r="G1786" i="1"/>
  <c r="C1786" i="1"/>
  <c r="G1785" i="1"/>
  <c r="C1785" i="1"/>
  <c r="G1784" i="1"/>
  <c r="C1784" i="1"/>
  <c r="G1783" i="1"/>
  <c r="C1783" i="1"/>
  <c r="G1782" i="1"/>
  <c r="C1782" i="1"/>
  <c r="G1781" i="1"/>
  <c r="C1781" i="1"/>
  <c r="G1780" i="1"/>
  <c r="C1780" i="1"/>
  <c r="G1779" i="1"/>
  <c r="C1779" i="1"/>
  <c r="G1778" i="1"/>
  <c r="C1778" i="1"/>
  <c r="G1777" i="1"/>
  <c r="C1777" i="1"/>
  <c r="G1776" i="1"/>
  <c r="C1776" i="1"/>
  <c r="G1775" i="1"/>
  <c r="C1775" i="1"/>
  <c r="G1774" i="1"/>
  <c r="C1774" i="1"/>
  <c r="G1773" i="1"/>
  <c r="C1773" i="1"/>
  <c r="G1772" i="1"/>
  <c r="C1772" i="1"/>
  <c r="G1771" i="1"/>
  <c r="C1771" i="1"/>
  <c r="G1770" i="1"/>
  <c r="C1770" i="1"/>
  <c r="G1769" i="1"/>
  <c r="C1769" i="1"/>
  <c r="G1768" i="1"/>
  <c r="C1768" i="1"/>
  <c r="G1766" i="1"/>
  <c r="C1766" i="1"/>
  <c r="G1765" i="1"/>
  <c r="C1765" i="1"/>
  <c r="G1764" i="1"/>
  <c r="C1764" i="1"/>
  <c r="G1763" i="1"/>
  <c r="C1763" i="1"/>
  <c r="G1762" i="1"/>
  <c r="C1762" i="1"/>
  <c r="G1761" i="1"/>
  <c r="C1761" i="1"/>
  <c r="G1760" i="1"/>
  <c r="C1760" i="1"/>
  <c r="G1759" i="1"/>
  <c r="C1759" i="1"/>
  <c r="G1758" i="1"/>
  <c r="C1758" i="1"/>
  <c r="G1757" i="1"/>
  <c r="C1757" i="1"/>
  <c r="G1756" i="1"/>
  <c r="C1756" i="1"/>
  <c r="G1755" i="1"/>
  <c r="C1755" i="1"/>
  <c r="G1754" i="1"/>
  <c r="C1754" i="1"/>
  <c r="G1753" i="1"/>
  <c r="C1753" i="1"/>
  <c r="G1752" i="1"/>
  <c r="C1752" i="1"/>
  <c r="G1751" i="1"/>
  <c r="C1751" i="1"/>
  <c r="G1750" i="1"/>
  <c r="C1750" i="1"/>
  <c r="G1749" i="1"/>
  <c r="C1749" i="1"/>
  <c r="G1748" i="1"/>
  <c r="C1748" i="1"/>
  <c r="G1747" i="1"/>
  <c r="C1747" i="1"/>
  <c r="G1746" i="1"/>
  <c r="C1746" i="1"/>
  <c r="G1745" i="1"/>
  <c r="C1745" i="1"/>
  <c r="G1744" i="1"/>
  <c r="C1744" i="1"/>
  <c r="G1743" i="1"/>
  <c r="C1743" i="1"/>
  <c r="G1742" i="1"/>
  <c r="C1742" i="1"/>
  <c r="G1741" i="1"/>
  <c r="C1741" i="1"/>
  <c r="G1740" i="1"/>
  <c r="C1740" i="1"/>
  <c r="G1739" i="1"/>
  <c r="C1739" i="1"/>
  <c r="G1738" i="1"/>
  <c r="C1738" i="1"/>
  <c r="G1737" i="1"/>
  <c r="C1737" i="1"/>
  <c r="G1736" i="1"/>
  <c r="C1736" i="1"/>
  <c r="G1735" i="1"/>
  <c r="C1735" i="1"/>
  <c r="G1734" i="1"/>
  <c r="C1734" i="1"/>
  <c r="G1733" i="1"/>
  <c r="C1733" i="1"/>
  <c r="G1732" i="1"/>
  <c r="C1732" i="1"/>
  <c r="G1731" i="1"/>
  <c r="C1731" i="1"/>
  <c r="G1730" i="1"/>
  <c r="C1730" i="1"/>
  <c r="G1729" i="1"/>
  <c r="C1729" i="1"/>
  <c r="G1728" i="1"/>
  <c r="C1728" i="1"/>
  <c r="G1727" i="1"/>
  <c r="C1727" i="1"/>
  <c r="G1726" i="1"/>
  <c r="C1726" i="1"/>
  <c r="G1725" i="1"/>
  <c r="C1725" i="1"/>
  <c r="G1724" i="1"/>
  <c r="C1724" i="1"/>
  <c r="G1723" i="1"/>
  <c r="C1723" i="1"/>
  <c r="G1722" i="1"/>
  <c r="C1722" i="1"/>
  <c r="G1721" i="1"/>
  <c r="C1721" i="1"/>
  <c r="G1720" i="1"/>
  <c r="C1720" i="1"/>
  <c r="G1719" i="1"/>
  <c r="C1719" i="1"/>
  <c r="G1718" i="1"/>
  <c r="C1718" i="1"/>
  <c r="G1716" i="1"/>
  <c r="C1716" i="1"/>
  <c r="G1715" i="1"/>
  <c r="C1715" i="1"/>
  <c r="G1714" i="1"/>
  <c r="C1714" i="1"/>
  <c r="G1713" i="1"/>
  <c r="C1713" i="1"/>
  <c r="G1712" i="1"/>
  <c r="C1712" i="1"/>
  <c r="G1711" i="1"/>
  <c r="C1711" i="1"/>
  <c r="G1710" i="1"/>
  <c r="C1710" i="1"/>
  <c r="G1709" i="1"/>
  <c r="C1709" i="1"/>
  <c r="G1708" i="1"/>
  <c r="C1708" i="1"/>
  <c r="G1707" i="1"/>
  <c r="C1707" i="1"/>
  <c r="G1706" i="1"/>
  <c r="C1706" i="1"/>
  <c r="G1705" i="1"/>
  <c r="C1705" i="1"/>
  <c r="G1704" i="1"/>
  <c r="C1704" i="1"/>
  <c r="G1703" i="1"/>
  <c r="C1703" i="1"/>
  <c r="G1702" i="1"/>
  <c r="C1702" i="1"/>
  <c r="G1701" i="1"/>
  <c r="C1701" i="1"/>
  <c r="G1700" i="1"/>
  <c r="C1700" i="1"/>
  <c r="G1699" i="1"/>
  <c r="C1699" i="1"/>
  <c r="G1698" i="1"/>
  <c r="C1698" i="1"/>
  <c r="G1697" i="1"/>
  <c r="C1697" i="1"/>
  <c r="G1696" i="1"/>
  <c r="C1696" i="1"/>
  <c r="G1695" i="1"/>
  <c r="C1695" i="1"/>
  <c r="G1694" i="1"/>
  <c r="C1694" i="1"/>
  <c r="G1693" i="1"/>
  <c r="C1693" i="1"/>
  <c r="G1692" i="1"/>
  <c r="C1692" i="1"/>
  <c r="G1691" i="1"/>
  <c r="C1691" i="1"/>
  <c r="G1690" i="1"/>
  <c r="C1690" i="1"/>
  <c r="G1689" i="1"/>
  <c r="C1689" i="1"/>
  <c r="G1688" i="1"/>
  <c r="C1688" i="1"/>
  <c r="G1687" i="1"/>
  <c r="C1687" i="1"/>
  <c r="G1686" i="1"/>
  <c r="C1686" i="1"/>
  <c r="G1685" i="1"/>
  <c r="C1685" i="1"/>
  <c r="G1684" i="1"/>
  <c r="C1684" i="1"/>
  <c r="G1683" i="1"/>
  <c r="C1683" i="1"/>
  <c r="G1682" i="1"/>
  <c r="C1682" i="1"/>
  <c r="G1681" i="1"/>
  <c r="C1681" i="1"/>
  <c r="G1680" i="1"/>
  <c r="C1680" i="1"/>
  <c r="G1679" i="1"/>
  <c r="C1679" i="1"/>
  <c r="G1678" i="1"/>
  <c r="C1678" i="1"/>
  <c r="G1677" i="1"/>
  <c r="C1677" i="1"/>
  <c r="G1676" i="1"/>
  <c r="C1676" i="1"/>
  <c r="G1675" i="1"/>
  <c r="C1675" i="1"/>
  <c r="G1674" i="1"/>
  <c r="C1674" i="1"/>
  <c r="G1673" i="1"/>
  <c r="C1673" i="1"/>
  <c r="G1672" i="1"/>
  <c r="C1672" i="1"/>
  <c r="G1671" i="1"/>
  <c r="C1671" i="1"/>
  <c r="G1670" i="1"/>
  <c r="C1670" i="1"/>
  <c r="G1669" i="1"/>
  <c r="C1669" i="1"/>
  <c r="G1668" i="1"/>
  <c r="C1668" i="1"/>
  <c r="G1667" i="1"/>
  <c r="C1667" i="1"/>
  <c r="G1666" i="1"/>
  <c r="C1666" i="1"/>
  <c r="G1665" i="1"/>
  <c r="C1665" i="1"/>
  <c r="G1664" i="1"/>
  <c r="C1664" i="1"/>
  <c r="G1663" i="1"/>
  <c r="C1663" i="1"/>
  <c r="G1662" i="1"/>
  <c r="C1662" i="1"/>
  <c r="G1661" i="1"/>
  <c r="C1661" i="1"/>
  <c r="G1660" i="1"/>
  <c r="C1660" i="1"/>
  <c r="G1658" i="1"/>
  <c r="C1658" i="1"/>
  <c r="G1657" i="1"/>
  <c r="C1657" i="1"/>
  <c r="G1656" i="1"/>
  <c r="C1656" i="1"/>
  <c r="G1655" i="1"/>
  <c r="C1655" i="1"/>
  <c r="G1654" i="1"/>
  <c r="C1654" i="1"/>
  <c r="G1653" i="1"/>
  <c r="C1653" i="1"/>
  <c r="G1652" i="1"/>
  <c r="C1652" i="1"/>
  <c r="G1651" i="1"/>
  <c r="C1651" i="1"/>
  <c r="G1650" i="1"/>
  <c r="C1650" i="1"/>
  <c r="G1649" i="1"/>
  <c r="C1649" i="1"/>
  <c r="G1648" i="1"/>
  <c r="C1648" i="1"/>
  <c r="G1647" i="1"/>
  <c r="C1647" i="1"/>
  <c r="G1646" i="1"/>
  <c r="C1646" i="1"/>
  <c r="G1645" i="1"/>
  <c r="C1645" i="1"/>
  <c r="G1644" i="1"/>
  <c r="C1644" i="1"/>
  <c r="G1643" i="1"/>
  <c r="C1643" i="1"/>
  <c r="G1642" i="1"/>
  <c r="C1642" i="1"/>
  <c r="G1641" i="1"/>
  <c r="C1641" i="1"/>
  <c r="G1640" i="1"/>
  <c r="C1640" i="1"/>
  <c r="G1639" i="1"/>
  <c r="C1639" i="1"/>
  <c r="G1638" i="1"/>
  <c r="C1638" i="1"/>
  <c r="G1637" i="1"/>
  <c r="C1637" i="1"/>
  <c r="G1636" i="1"/>
  <c r="C1636" i="1"/>
  <c r="G1635" i="1"/>
  <c r="C1635" i="1"/>
  <c r="G1634" i="1"/>
  <c r="C1634" i="1"/>
  <c r="G1633" i="1"/>
  <c r="C1633" i="1"/>
  <c r="G1632" i="1"/>
  <c r="C1632" i="1"/>
  <c r="G1631" i="1"/>
  <c r="C1631" i="1"/>
  <c r="G1630" i="1"/>
  <c r="C1630" i="1"/>
  <c r="G1629" i="1"/>
  <c r="C1629" i="1"/>
  <c r="G1628" i="1"/>
  <c r="C1628" i="1"/>
  <c r="G1627" i="1"/>
  <c r="C1627" i="1"/>
  <c r="G1626" i="1"/>
  <c r="C1626" i="1"/>
  <c r="G1625" i="1"/>
  <c r="C1625" i="1"/>
  <c r="G1624" i="1"/>
  <c r="C1624" i="1"/>
  <c r="G1623" i="1"/>
  <c r="C1623" i="1"/>
  <c r="G1622" i="1"/>
  <c r="C1622" i="1"/>
  <c r="G1621" i="1"/>
  <c r="C1621" i="1"/>
  <c r="G1620" i="1"/>
  <c r="C1620" i="1"/>
  <c r="G1619" i="1"/>
  <c r="C1619" i="1"/>
  <c r="G1618" i="1"/>
  <c r="C1618" i="1"/>
  <c r="G1617" i="1"/>
  <c r="C1617" i="1"/>
  <c r="G1616" i="1"/>
  <c r="C1616" i="1"/>
  <c r="G1615" i="1"/>
  <c r="C1615" i="1"/>
  <c r="G1614" i="1"/>
  <c r="C1614" i="1"/>
  <c r="G1613" i="1"/>
  <c r="C1613" i="1"/>
  <c r="G1612" i="1"/>
  <c r="C1612" i="1"/>
  <c r="G1611" i="1"/>
  <c r="C1611" i="1"/>
  <c r="G1610" i="1"/>
  <c r="C1610" i="1"/>
  <c r="G1609" i="1"/>
  <c r="C1609" i="1"/>
  <c r="G1608" i="1"/>
  <c r="C1608" i="1"/>
  <c r="G1607" i="1"/>
  <c r="C1607" i="1"/>
  <c r="G1606" i="1"/>
  <c r="C1606" i="1"/>
  <c r="G1605" i="1"/>
  <c r="C1605" i="1"/>
  <c r="G1604" i="1"/>
  <c r="C1604" i="1"/>
  <c r="G1603" i="1"/>
  <c r="C1603" i="1"/>
  <c r="G1602" i="1"/>
  <c r="C1602" i="1"/>
  <c r="G1601" i="1"/>
  <c r="C1601" i="1"/>
  <c r="G1600" i="1"/>
  <c r="C1600" i="1"/>
  <c r="G1598" i="1"/>
  <c r="C1598" i="1"/>
  <c r="G1597" i="1"/>
  <c r="C1597" i="1"/>
  <c r="G1596" i="1"/>
  <c r="C1596" i="1"/>
  <c r="G1595" i="1"/>
  <c r="C1595" i="1"/>
  <c r="G1594" i="1"/>
  <c r="C1594" i="1"/>
  <c r="G1593" i="1"/>
  <c r="C1593" i="1"/>
  <c r="G1592" i="1"/>
  <c r="C1592" i="1"/>
  <c r="G1591" i="1"/>
  <c r="C1591" i="1"/>
  <c r="G1590" i="1"/>
  <c r="C1590" i="1"/>
  <c r="G1589" i="1"/>
  <c r="C1589" i="1"/>
  <c r="G1588" i="1"/>
  <c r="C1588" i="1"/>
  <c r="G1587" i="1"/>
  <c r="C1587" i="1"/>
  <c r="G1586" i="1"/>
  <c r="C1586" i="1"/>
  <c r="G1585" i="1"/>
  <c r="C1585" i="1"/>
  <c r="G1584" i="1"/>
  <c r="C1584" i="1"/>
  <c r="G1583" i="1"/>
  <c r="C1583" i="1"/>
  <c r="G1582" i="1"/>
  <c r="C1582" i="1"/>
  <c r="G1581" i="1"/>
  <c r="C1581" i="1"/>
  <c r="G1580" i="1"/>
  <c r="C1580" i="1"/>
  <c r="G1579" i="1"/>
  <c r="C1579" i="1"/>
  <c r="G1578" i="1"/>
  <c r="C1578" i="1"/>
  <c r="G1577" i="1"/>
  <c r="C1577" i="1"/>
  <c r="G1576" i="1"/>
  <c r="C1576" i="1"/>
  <c r="G1575" i="1"/>
  <c r="C1575" i="1"/>
  <c r="G1574" i="1"/>
  <c r="C1574" i="1"/>
  <c r="G1573" i="1"/>
  <c r="C1573" i="1"/>
  <c r="G1572" i="1"/>
  <c r="C1572" i="1"/>
  <c r="G1571" i="1"/>
  <c r="C1571" i="1"/>
  <c r="G1570" i="1"/>
  <c r="C1570" i="1"/>
  <c r="G1569" i="1"/>
  <c r="C1569" i="1"/>
  <c r="G1568" i="1"/>
  <c r="C1568" i="1"/>
  <c r="G1567" i="1"/>
  <c r="C1567" i="1"/>
  <c r="G1566" i="1"/>
  <c r="C1566" i="1"/>
  <c r="G1565" i="1"/>
  <c r="C1565" i="1"/>
  <c r="G1564" i="1"/>
  <c r="C1564" i="1"/>
  <c r="G1563" i="1"/>
  <c r="C1563" i="1"/>
  <c r="G1562" i="1"/>
  <c r="C1562" i="1"/>
  <c r="G1561" i="1"/>
  <c r="C1561" i="1"/>
  <c r="G1560" i="1"/>
  <c r="C1560" i="1"/>
  <c r="G1559" i="1"/>
  <c r="C1559" i="1"/>
  <c r="G1557" i="1"/>
  <c r="C1557" i="1"/>
  <c r="G1556" i="1"/>
  <c r="C1556" i="1"/>
  <c r="G1555" i="1"/>
  <c r="C1555" i="1"/>
  <c r="G1554" i="1"/>
  <c r="C1554" i="1"/>
  <c r="G1553" i="1"/>
  <c r="C1553" i="1"/>
  <c r="G1552" i="1"/>
  <c r="C1552" i="1"/>
  <c r="G1551" i="1"/>
  <c r="C1551" i="1"/>
  <c r="G1550" i="1"/>
  <c r="C1550" i="1"/>
  <c r="G1549" i="1"/>
  <c r="C1549" i="1"/>
  <c r="G1548" i="1"/>
  <c r="C1548" i="1"/>
  <c r="G1547" i="1"/>
  <c r="C1547" i="1"/>
  <c r="G1546" i="1"/>
  <c r="C1546" i="1"/>
  <c r="G1545" i="1"/>
  <c r="C1545" i="1"/>
  <c r="G1544" i="1"/>
  <c r="C1544" i="1"/>
  <c r="G1543" i="1"/>
  <c r="C1543" i="1"/>
  <c r="G1542" i="1"/>
  <c r="C1542" i="1"/>
  <c r="G1541" i="1"/>
  <c r="C1541" i="1"/>
  <c r="G1540" i="1"/>
  <c r="C1540" i="1"/>
  <c r="G1539" i="1"/>
  <c r="C1539" i="1"/>
  <c r="G1538" i="1"/>
  <c r="C1538" i="1"/>
  <c r="G1537" i="1"/>
  <c r="C1537" i="1"/>
  <c r="G1536" i="1"/>
  <c r="C1536" i="1"/>
  <c r="G1535" i="1"/>
  <c r="C1535" i="1"/>
  <c r="G1534" i="1"/>
  <c r="C1534" i="1"/>
  <c r="G1533" i="1"/>
  <c r="C1533" i="1"/>
  <c r="G1532" i="1"/>
  <c r="C1532" i="1"/>
  <c r="G1531" i="1"/>
  <c r="C1531" i="1"/>
  <c r="G1530" i="1"/>
  <c r="C1530" i="1"/>
  <c r="G1529" i="1"/>
  <c r="C1529" i="1"/>
  <c r="G1528" i="1"/>
  <c r="C1528" i="1"/>
  <c r="G1527" i="1"/>
  <c r="C1527" i="1"/>
  <c r="G1526" i="1"/>
  <c r="C1526" i="1"/>
  <c r="G1525" i="1"/>
  <c r="C1525" i="1"/>
  <c r="G1524" i="1"/>
  <c r="C1524" i="1"/>
  <c r="G1523" i="1"/>
  <c r="C1523" i="1"/>
  <c r="G1522" i="1"/>
  <c r="C1522" i="1"/>
  <c r="G1521" i="1"/>
  <c r="C1521" i="1"/>
  <c r="G1520" i="1"/>
  <c r="C1520" i="1"/>
  <c r="G1519" i="1"/>
  <c r="C1519" i="1"/>
  <c r="G1518" i="1"/>
  <c r="C1518" i="1"/>
  <c r="G1517" i="1"/>
  <c r="C1517" i="1"/>
  <c r="G1516" i="1"/>
  <c r="C1516" i="1"/>
  <c r="G1515" i="1"/>
  <c r="C1515" i="1"/>
  <c r="G1514" i="1"/>
  <c r="C1514" i="1"/>
  <c r="G1513" i="1"/>
  <c r="C1513" i="1"/>
  <c r="G1512" i="1"/>
  <c r="C1512" i="1"/>
  <c r="G1511" i="1"/>
  <c r="C1511" i="1"/>
  <c r="G1510" i="1"/>
  <c r="C1510" i="1"/>
  <c r="G1509" i="1"/>
  <c r="C1509" i="1"/>
  <c r="G1508" i="1"/>
  <c r="C1508" i="1"/>
  <c r="G1507" i="1"/>
  <c r="C1507" i="1"/>
  <c r="G1506" i="1"/>
  <c r="C1506" i="1"/>
  <c r="G1505" i="1"/>
  <c r="C1505" i="1"/>
  <c r="G1504" i="1"/>
  <c r="C1504" i="1"/>
  <c r="G1503" i="1"/>
  <c r="C1503" i="1"/>
  <c r="G1502" i="1"/>
  <c r="C1502" i="1"/>
  <c r="G1501" i="1"/>
  <c r="C1501" i="1"/>
  <c r="G1500" i="1"/>
  <c r="C1500" i="1"/>
  <c r="G1499" i="1"/>
  <c r="C1499" i="1"/>
  <c r="G1498" i="1"/>
  <c r="C1498" i="1"/>
  <c r="G1497" i="1"/>
  <c r="C1497" i="1"/>
  <c r="G1496" i="1"/>
  <c r="C1496" i="1"/>
  <c r="G1495" i="1"/>
  <c r="C1495" i="1"/>
  <c r="G1494" i="1"/>
  <c r="C1494" i="1"/>
  <c r="G1493" i="1"/>
  <c r="C1493" i="1"/>
  <c r="G1492" i="1"/>
  <c r="C1492" i="1"/>
  <c r="G1491" i="1"/>
  <c r="C1491" i="1"/>
  <c r="G1490" i="1"/>
  <c r="C1490" i="1"/>
  <c r="G1489" i="1"/>
  <c r="C1489" i="1"/>
  <c r="G1488" i="1"/>
  <c r="C1488" i="1"/>
  <c r="G1487" i="1"/>
  <c r="C1487" i="1"/>
  <c r="G1486" i="1"/>
  <c r="C1486" i="1"/>
  <c r="G1485" i="1"/>
  <c r="C1485" i="1"/>
  <c r="G1484" i="1"/>
  <c r="C1484" i="1"/>
  <c r="G1483" i="1"/>
  <c r="C1483" i="1"/>
  <c r="G1482" i="1"/>
  <c r="C1482" i="1"/>
  <c r="G1481" i="1"/>
  <c r="C1481" i="1"/>
  <c r="G1480" i="1"/>
  <c r="C1480" i="1"/>
  <c r="G1479" i="1"/>
  <c r="C1479" i="1"/>
  <c r="G1478" i="1"/>
  <c r="C1478" i="1"/>
  <c r="G1477" i="1"/>
  <c r="C1477" i="1"/>
  <c r="G1476" i="1"/>
  <c r="C1476" i="1"/>
  <c r="G1475" i="1"/>
  <c r="C1475" i="1"/>
  <c r="G1474" i="1"/>
  <c r="C1474" i="1"/>
  <c r="G1473" i="1"/>
  <c r="C1473" i="1"/>
  <c r="G1472" i="1"/>
  <c r="C1472" i="1"/>
  <c r="G1471" i="1"/>
  <c r="C1471" i="1"/>
  <c r="G1470" i="1"/>
  <c r="C1470" i="1"/>
  <c r="G1469" i="1"/>
  <c r="C1469" i="1"/>
  <c r="G1466" i="1"/>
  <c r="C1466" i="1"/>
  <c r="G1465" i="1"/>
  <c r="C1465" i="1"/>
  <c r="G1464" i="1"/>
  <c r="C1464" i="1"/>
  <c r="G1463" i="1"/>
  <c r="C1463" i="1"/>
  <c r="G1462" i="1"/>
  <c r="C1462" i="1"/>
  <c r="G1461" i="1"/>
  <c r="C1461" i="1"/>
  <c r="G1460" i="1"/>
  <c r="C1460" i="1"/>
  <c r="G1459" i="1"/>
  <c r="C1459" i="1"/>
  <c r="G1458" i="1"/>
  <c r="C1458" i="1"/>
  <c r="G1457" i="1"/>
  <c r="C1457" i="1"/>
  <c r="G1456" i="1"/>
  <c r="C1456" i="1"/>
  <c r="G1455" i="1"/>
  <c r="C1455" i="1"/>
  <c r="G1454" i="1"/>
  <c r="C1454" i="1"/>
  <c r="G1453" i="1"/>
  <c r="C1453" i="1"/>
  <c r="G1452" i="1"/>
  <c r="C1452" i="1"/>
  <c r="G1451" i="1"/>
  <c r="C1451" i="1"/>
  <c r="G1450" i="1"/>
  <c r="C1450" i="1"/>
  <c r="G1449" i="1"/>
  <c r="C1449" i="1"/>
  <c r="G1448" i="1"/>
  <c r="C1448" i="1"/>
  <c r="G1447" i="1"/>
  <c r="C1447" i="1"/>
  <c r="G1446" i="1"/>
  <c r="C1446" i="1"/>
  <c r="G1445" i="1"/>
  <c r="C1445" i="1"/>
  <c r="G1444" i="1"/>
  <c r="C1444" i="1"/>
  <c r="G1443" i="1"/>
  <c r="C1443" i="1"/>
  <c r="G1442" i="1"/>
  <c r="C1442" i="1"/>
  <c r="G1441" i="1"/>
  <c r="C1441" i="1"/>
  <c r="G1440" i="1"/>
  <c r="C1440" i="1"/>
  <c r="G1439" i="1"/>
  <c r="C1439" i="1"/>
  <c r="G1438" i="1"/>
  <c r="C1438" i="1"/>
  <c r="G1437" i="1"/>
  <c r="C1437" i="1"/>
  <c r="G1436" i="1"/>
  <c r="C1436" i="1"/>
  <c r="G1435" i="1"/>
  <c r="C1435" i="1"/>
  <c r="G1434" i="1"/>
  <c r="C1434" i="1"/>
  <c r="G1433" i="1"/>
  <c r="C1433" i="1"/>
  <c r="G1432" i="1"/>
  <c r="C1432" i="1"/>
  <c r="G1431" i="1"/>
  <c r="C1431" i="1"/>
  <c r="G1430" i="1"/>
  <c r="C1430" i="1"/>
  <c r="G1429" i="1"/>
  <c r="C1429" i="1"/>
  <c r="G1428" i="1"/>
  <c r="C1428" i="1"/>
  <c r="G1427" i="1"/>
  <c r="C1427" i="1"/>
  <c r="G1426" i="1"/>
  <c r="C1426" i="1"/>
  <c r="G1424" i="1"/>
  <c r="C1424" i="1"/>
  <c r="G1423" i="1"/>
  <c r="C1423" i="1"/>
  <c r="G1422" i="1"/>
  <c r="C1422" i="1"/>
  <c r="G1421" i="1"/>
  <c r="C1421" i="1"/>
  <c r="G1420" i="1"/>
  <c r="C1420" i="1"/>
  <c r="G1419" i="1"/>
  <c r="C1419" i="1"/>
  <c r="G1418" i="1"/>
  <c r="C1418" i="1"/>
  <c r="G1417" i="1"/>
  <c r="C1417" i="1"/>
  <c r="G1416" i="1"/>
  <c r="C1416" i="1"/>
  <c r="G1415" i="1"/>
  <c r="C1415" i="1"/>
  <c r="G1414" i="1"/>
  <c r="C1414" i="1"/>
  <c r="G1413" i="1"/>
  <c r="C1413" i="1"/>
  <c r="G1412" i="1"/>
  <c r="C1412" i="1"/>
  <c r="G1411" i="1"/>
  <c r="C1411" i="1"/>
  <c r="G1410" i="1"/>
  <c r="C1410" i="1"/>
  <c r="G1409" i="1"/>
  <c r="C1409" i="1"/>
  <c r="G1408" i="1"/>
  <c r="C1408" i="1"/>
  <c r="G1407" i="1"/>
  <c r="C1407" i="1"/>
  <c r="G1406" i="1"/>
  <c r="C1406" i="1"/>
  <c r="G1405" i="1"/>
  <c r="C1405" i="1"/>
  <c r="G1404" i="1"/>
  <c r="C1404" i="1"/>
  <c r="G1403" i="1"/>
  <c r="C1403" i="1"/>
  <c r="G1402" i="1"/>
  <c r="C1402" i="1"/>
  <c r="G1401" i="1"/>
  <c r="C1401" i="1"/>
  <c r="G1400" i="1"/>
  <c r="C1400" i="1"/>
  <c r="G1399" i="1"/>
  <c r="C1399" i="1"/>
  <c r="G1398" i="1"/>
  <c r="C1398" i="1"/>
  <c r="G1397" i="1"/>
  <c r="C1397" i="1"/>
  <c r="G1396" i="1"/>
  <c r="C1396" i="1"/>
  <c r="G1395" i="1"/>
  <c r="C1395" i="1"/>
  <c r="G1394" i="1"/>
  <c r="C1394" i="1"/>
  <c r="G1393" i="1"/>
  <c r="C1393" i="1"/>
  <c r="G1392" i="1"/>
  <c r="C1392" i="1"/>
  <c r="G1391" i="1"/>
  <c r="C1391" i="1"/>
  <c r="G1390" i="1"/>
  <c r="C1390" i="1"/>
  <c r="G1389" i="1"/>
  <c r="C1389" i="1"/>
  <c r="G1388" i="1"/>
  <c r="C1388" i="1"/>
  <c r="G1386" i="1"/>
  <c r="C1386" i="1"/>
  <c r="G1385" i="1"/>
  <c r="C1385" i="1"/>
  <c r="G1384" i="1"/>
  <c r="C1384" i="1"/>
  <c r="G1383" i="1"/>
  <c r="C1383" i="1"/>
  <c r="G1382" i="1"/>
  <c r="C1382" i="1"/>
  <c r="G1381" i="1"/>
  <c r="C1381" i="1"/>
  <c r="G1380" i="1"/>
  <c r="C1380" i="1"/>
  <c r="G1379" i="1"/>
  <c r="C1379" i="1"/>
  <c r="G1378" i="1"/>
  <c r="C1378" i="1"/>
  <c r="G1377" i="1"/>
  <c r="C1377" i="1"/>
  <c r="G1376" i="1"/>
  <c r="C1376" i="1"/>
  <c r="G1375" i="1"/>
  <c r="C1375" i="1"/>
  <c r="G1374" i="1"/>
  <c r="C1374" i="1"/>
  <c r="G1373" i="1"/>
  <c r="C1373" i="1"/>
  <c r="G1372" i="1"/>
  <c r="C1372" i="1"/>
  <c r="G1371" i="1"/>
  <c r="C1371" i="1"/>
  <c r="G1370" i="1"/>
  <c r="C1370" i="1"/>
  <c r="G1369" i="1"/>
  <c r="C1369" i="1"/>
  <c r="G1368" i="1"/>
  <c r="C1368" i="1"/>
  <c r="G1367" i="1"/>
  <c r="C1367" i="1"/>
  <c r="G1366" i="1"/>
  <c r="C1366" i="1"/>
  <c r="G1365" i="1"/>
  <c r="C1365" i="1"/>
  <c r="G1364" i="1"/>
  <c r="C1364" i="1"/>
  <c r="G1363" i="1"/>
  <c r="C1363" i="1"/>
  <c r="G1362" i="1"/>
  <c r="C1362" i="1"/>
  <c r="G1361" i="1"/>
  <c r="C1361" i="1"/>
  <c r="G1360" i="1"/>
  <c r="C1360" i="1"/>
  <c r="G1359" i="1"/>
  <c r="C1359" i="1"/>
  <c r="G1358" i="1"/>
  <c r="C1358" i="1"/>
  <c r="G1357" i="1"/>
  <c r="C1357" i="1"/>
  <c r="G1356" i="1"/>
  <c r="C1356" i="1"/>
  <c r="G1355" i="1"/>
  <c r="C1355" i="1"/>
  <c r="G1354" i="1"/>
  <c r="C1354" i="1"/>
  <c r="G1353" i="1"/>
  <c r="C1353" i="1"/>
  <c r="G1352" i="1"/>
  <c r="C1352" i="1"/>
  <c r="G1351" i="1"/>
  <c r="C1351" i="1"/>
  <c r="G1350" i="1"/>
  <c r="C1350" i="1"/>
  <c r="G1349" i="1"/>
  <c r="C1349" i="1"/>
  <c r="G1348" i="1"/>
  <c r="C1348" i="1"/>
  <c r="G1347" i="1"/>
  <c r="C1347" i="1"/>
  <c r="G1346" i="1"/>
  <c r="C1346" i="1"/>
  <c r="G1345" i="1"/>
  <c r="C1345" i="1"/>
  <c r="G1344" i="1"/>
  <c r="C1344" i="1"/>
  <c r="G1343" i="1"/>
  <c r="C1343" i="1"/>
  <c r="G1342" i="1"/>
  <c r="C1342" i="1"/>
  <c r="G1341" i="1"/>
  <c r="C1341" i="1"/>
  <c r="G1340" i="1"/>
  <c r="C1340" i="1"/>
  <c r="G1339" i="1"/>
  <c r="C1339" i="1"/>
  <c r="G1338" i="1"/>
  <c r="C1338" i="1"/>
  <c r="G1337" i="1"/>
  <c r="C1337" i="1"/>
  <c r="G1336" i="1"/>
  <c r="C1336" i="1"/>
  <c r="G1335" i="1"/>
  <c r="C1335" i="1"/>
  <c r="G1334" i="1"/>
  <c r="C1334" i="1"/>
  <c r="G1333" i="1"/>
  <c r="C1333" i="1"/>
  <c r="G1332" i="1"/>
  <c r="C1332" i="1"/>
  <c r="G1331" i="1"/>
  <c r="C1331" i="1"/>
  <c r="G1330" i="1"/>
  <c r="C1330" i="1"/>
  <c r="G1329" i="1"/>
  <c r="C1329" i="1"/>
  <c r="G1328" i="1"/>
  <c r="C1328" i="1"/>
  <c r="G1327" i="1"/>
  <c r="C1327" i="1"/>
  <c r="G1326" i="1"/>
  <c r="C1326" i="1"/>
  <c r="G1324" i="1"/>
  <c r="C1324" i="1"/>
  <c r="G1323" i="1"/>
  <c r="C1323" i="1"/>
  <c r="G1322" i="1"/>
  <c r="C1322" i="1"/>
  <c r="G1321" i="1"/>
  <c r="C1321" i="1"/>
  <c r="G1320" i="1"/>
  <c r="C1320" i="1"/>
  <c r="G1319" i="1"/>
  <c r="C1319" i="1"/>
  <c r="G1318" i="1"/>
  <c r="C1318" i="1"/>
  <c r="G1317" i="1"/>
  <c r="C1317" i="1"/>
  <c r="G1316" i="1"/>
  <c r="C1316" i="1"/>
  <c r="G1315" i="1"/>
  <c r="C1315" i="1"/>
  <c r="G1314" i="1"/>
  <c r="C1314" i="1"/>
  <c r="G1313" i="1"/>
  <c r="C1313" i="1"/>
  <c r="G1312" i="1"/>
  <c r="C1312" i="1"/>
  <c r="G1311" i="1"/>
  <c r="C1311" i="1"/>
  <c r="G1310" i="1"/>
  <c r="C1310" i="1"/>
  <c r="G1309" i="1"/>
  <c r="C1309" i="1"/>
  <c r="G1308" i="1"/>
  <c r="C1308" i="1"/>
  <c r="G1307" i="1"/>
  <c r="C1307" i="1"/>
  <c r="G1306" i="1"/>
  <c r="C1306" i="1"/>
  <c r="G1305" i="1"/>
  <c r="C1305" i="1"/>
  <c r="G1304" i="1"/>
  <c r="C1304" i="1"/>
  <c r="G1303" i="1"/>
  <c r="C1303" i="1"/>
  <c r="G1302" i="1"/>
  <c r="C1302" i="1"/>
  <c r="G1301" i="1"/>
  <c r="C1301" i="1"/>
  <c r="G1300" i="1"/>
  <c r="C1300" i="1"/>
  <c r="G1299" i="1"/>
  <c r="C1299" i="1"/>
  <c r="G1298" i="1"/>
  <c r="C1298" i="1"/>
  <c r="G1297" i="1"/>
  <c r="C1297" i="1"/>
  <c r="G1296" i="1"/>
  <c r="C1296" i="1"/>
  <c r="G1294" i="1"/>
  <c r="C1294" i="1"/>
  <c r="G1293" i="1"/>
  <c r="C1293" i="1"/>
  <c r="G1292" i="1"/>
  <c r="C1292" i="1"/>
  <c r="G1291" i="1"/>
  <c r="C1291" i="1"/>
  <c r="G1290" i="1"/>
  <c r="C1290" i="1"/>
  <c r="G1289" i="1"/>
  <c r="C1289" i="1"/>
  <c r="G1288" i="1"/>
  <c r="C1288" i="1"/>
  <c r="G1287" i="1"/>
  <c r="C1287" i="1"/>
  <c r="G1286" i="1"/>
  <c r="C1286" i="1"/>
  <c r="G1285" i="1"/>
  <c r="C1285" i="1"/>
  <c r="G1284" i="1"/>
  <c r="C1284" i="1"/>
  <c r="G1283" i="1"/>
  <c r="C1283" i="1"/>
  <c r="G1282" i="1"/>
  <c r="C1282" i="1"/>
  <c r="G1281" i="1"/>
  <c r="C1281" i="1"/>
  <c r="G1280" i="1"/>
  <c r="C1280" i="1"/>
  <c r="G1278" i="1"/>
  <c r="C1278" i="1"/>
  <c r="G1277" i="1"/>
  <c r="C1277" i="1"/>
  <c r="G1276" i="1"/>
  <c r="C1276" i="1"/>
  <c r="G1275" i="1"/>
  <c r="C1275" i="1"/>
  <c r="G1274" i="1"/>
  <c r="C1274" i="1"/>
  <c r="G1273" i="1"/>
  <c r="C1273" i="1"/>
  <c r="G1272" i="1"/>
  <c r="C1272" i="1"/>
  <c r="G1271" i="1"/>
  <c r="C1271" i="1"/>
  <c r="G1270" i="1"/>
  <c r="C1270" i="1"/>
  <c r="G1269" i="1"/>
  <c r="C1269" i="1"/>
  <c r="G1268" i="1"/>
  <c r="C1268" i="1"/>
  <c r="G1267" i="1"/>
  <c r="C1267" i="1"/>
  <c r="G1266" i="1"/>
  <c r="C1266" i="1"/>
  <c r="G1265" i="1"/>
  <c r="C1265" i="1"/>
  <c r="G1264" i="1"/>
  <c r="C1264" i="1"/>
  <c r="G1263" i="1"/>
  <c r="C1263" i="1"/>
  <c r="G1262" i="1"/>
  <c r="C1262" i="1"/>
  <c r="G1261" i="1"/>
  <c r="C1261" i="1"/>
  <c r="G1260" i="1"/>
  <c r="C1260" i="1"/>
  <c r="G1259" i="1"/>
  <c r="C1259" i="1"/>
  <c r="G1258" i="1"/>
  <c r="C1258" i="1"/>
  <c r="G1257" i="1"/>
  <c r="C1257" i="1"/>
  <c r="G1256" i="1"/>
  <c r="C1256" i="1"/>
  <c r="G1255" i="1"/>
  <c r="C1255" i="1"/>
  <c r="G1254" i="1"/>
  <c r="C1254" i="1"/>
  <c r="G1253" i="1"/>
  <c r="C1253" i="1"/>
  <c r="G1252" i="1"/>
  <c r="C1252" i="1"/>
  <c r="G1251" i="1"/>
  <c r="C1251" i="1"/>
  <c r="G1250" i="1"/>
  <c r="C1250" i="1"/>
  <c r="G1249" i="1"/>
  <c r="C1249" i="1"/>
  <c r="G1248" i="1"/>
  <c r="C1248" i="1"/>
  <c r="G1247" i="1"/>
  <c r="C1247" i="1"/>
  <c r="G1246" i="1"/>
  <c r="C1246" i="1"/>
  <c r="G1245" i="1"/>
  <c r="C1245" i="1"/>
  <c r="G1244" i="1"/>
  <c r="C1244" i="1"/>
  <c r="G1243" i="1"/>
  <c r="C1243" i="1"/>
  <c r="G1242" i="1"/>
  <c r="C1242" i="1"/>
  <c r="G1241" i="1"/>
  <c r="C1241" i="1"/>
  <c r="G1240" i="1"/>
  <c r="C1240" i="1"/>
  <c r="G1239" i="1"/>
  <c r="C1239" i="1"/>
  <c r="G1238" i="1"/>
  <c r="C1238" i="1"/>
  <c r="G1237" i="1"/>
  <c r="C1237" i="1"/>
  <c r="G1236" i="1"/>
  <c r="C1236" i="1"/>
  <c r="G1235" i="1"/>
  <c r="C1235" i="1"/>
  <c r="G1234" i="1"/>
  <c r="C1234" i="1"/>
  <c r="G1233" i="1"/>
  <c r="C1233" i="1"/>
  <c r="G1232" i="1"/>
  <c r="C1232" i="1"/>
  <c r="G1231" i="1"/>
  <c r="C1231" i="1"/>
  <c r="G1230" i="1"/>
  <c r="C1230" i="1"/>
  <c r="G1229" i="1"/>
  <c r="C1229" i="1"/>
  <c r="G1228" i="1"/>
  <c r="C1228" i="1"/>
  <c r="G1227" i="1"/>
  <c r="C1227" i="1"/>
  <c r="G1226" i="1"/>
  <c r="C1226" i="1"/>
  <c r="G1225" i="1"/>
  <c r="C1225" i="1"/>
  <c r="G1224" i="1"/>
  <c r="C1224" i="1"/>
  <c r="G1223" i="1"/>
  <c r="C1223" i="1"/>
  <c r="G1222" i="1"/>
  <c r="C1222" i="1"/>
  <c r="G1221" i="1"/>
  <c r="C1221" i="1"/>
  <c r="G1220" i="1"/>
  <c r="C1220" i="1"/>
  <c r="G1219" i="1"/>
  <c r="C1219" i="1"/>
  <c r="G1218" i="1"/>
  <c r="C1218" i="1"/>
  <c r="G1217" i="1"/>
  <c r="C1217" i="1"/>
  <c r="G1216" i="1"/>
  <c r="C1216" i="1"/>
  <c r="G1215" i="1"/>
  <c r="C1215" i="1"/>
  <c r="G1214" i="1"/>
  <c r="C1214" i="1"/>
  <c r="G1213" i="1"/>
  <c r="C1213" i="1"/>
  <c r="G1212" i="1"/>
  <c r="C1212" i="1"/>
  <c r="G1211" i="1"/>
  <c r="C1211" i="1"/>
  <c r="G1210" i="1"/>
  <c r="C1210" i="1"/>
  <c r="G1209" i="1"/>
  <c r="C1209" i="1"/>
  <c r="G1208" i="1"/>
  <c r="C1208" i="1"/>
  <c r="G1207" i="1"/>
  <c r="C1207" i="1"/>
  <c r="G1206" i="1"/>
  <c r="C1206" i="1"/>
  <c r="G1205" i="1"/>
  <c r="C1205" i="1"/>
  <c r="G1204" i="1"/>
  <c r="C1204" i="1"/>
  <c r="G1203" i="1"/>
  <c r="C1203" i="1"/>
  <c r="G1202" i="1"/>
  <c r="C1202" i="1"/>
  <c r="G1201" i="1"/>
  <c r="C1201" i="1"/>
  <c r="G1200" i="1"/>
  <c r="C1200" i="1"/>
  <c r="G1199" i="1"/>
  <c r="C1199" i="1"/>
  <c r="G1198" i="1"/>
  <c r="C1198" i="1"/>
  <c r="G1197" i="1"/>
  <c r="C1197" i="1"/>
  <c r="G1196" i="1"/>
  <c r="C1196" i="1"/>
  <c r="G1195" i="1"/>
  <c r="C1195" i="1"/>
  <c r="G1194" i="1"/>
  <c r="C1194" i="1"/>
  <c r="G1193" i="1"/>
  <c r="C1193" i="1"/>
  <c r="G1192" i="1"/>
  <c r="C1192" i="1"/>
  <c r="G1191" i="1"/>
  <c r="C1191" i="1"/>
  <c r="G1190" i="1"/>
  <c r="C1190" i="1"/>
  <c r="G1189" i="1"/>
  <c r="C1189" i="1"/>
  <c r="G1188" i="1"/>
  <c r="C1188" i="1"/>
  <c r="G1187" i="1"/>
  <c r="C1187" i="1"/>
  <c r="G1186" i="1"/>
  <c r="C1186" i="1"/>
  <c r="G1185" i="1"/>
  <c r="C1185" i="1"/>
  <c r="G1184" i="1"/>
  <c r="C1184" i="1"/>
  <c r="G1183" i="1"/>
  <c r="C1183" i="1"/>
  <c r="G1182" i="1"/>
  <c r="C1182" i="1"/>
  <c r="G1181" i="1"/>
  <c r="C1181" i="1"/>
  <c r="G1180" i="1"/>
  <c r="C1180" i="1"/>
  <c r="G1179" i="1"/>
  <c r="C1179" i="1"/>
  <c r="G1178" i="1"/>
  <c r="C1178" i="1"/>
  <c r="G1177" i="1"/>
  <c r="C1177" i="1"/>
  <c r="G1176" i="1"/>
  <c r="C1176" i="1"/>
  <c r="G1175" i="1"/>
  <c r="C1175" i="1"/>
  <c r="G1174" i="1"/>
  <c r="C1174" i="1"/>
  <c r="G1173" i="1"/>
  <c r="C1173" i="1"/>
  <c r="G1172" i="1"/>
  <c r="C1172" i="1"/>
  <c r="G1171" i="1"/>
  <c r="C1171" i="1"/>
  <c r="G1170" i="1"/>
  <c r="C1170" i="1"/>
  <c r="G1169" i="1"/>
  <c r="C1169" i="1"/>
  <c r="G1167" i="1"/>
  <c r="C1167" i="1"/>
  <c r="G1166" i="1"/>
  <c r="C1166" i="1"/>
  <c r="G1165" i="1"/>
  <c r="C1165" i="1"/>
  <c r="G1164" i="1"/>
  <c r="C1164" i="1"/>
  <c r="G1163" i="1"/>
  <c r="C1163" i="1"/>
  <c r="G1162" i="1"/>
  <c r="C1162" i="1"/>
  <c r="G1161" i="1"/>
  <c r="C1161" i="1"/>
  <c r="G1160" i="1"/>
  <c r="C1160" i="1"/>
  <c r="G1159" i="1"/>
  <c r="C1159" i="1"/>
  <c r="G1158" i="1"/>
  <c r="C1158" i="1"/>
  <c r="G1157" i="1"/>
  <c r="C1157" i="1"/>
  <c r="G1156" i="1"/>
  <c r="C1156" i="1"/>
  <c r="G1155" i="1"/>
  <c r="C1155" i="1"/>
  <c r="G1154" i="1"/>
  <c r="C1154" i="1"/>
  <c r="G1153" i="1"/>
  <c r="C1153" i="1"/>
  <c r="G1152" i="1"/>
  <c r="C1152" i="1"/>
  <c r="G1151" i="1"/>
  <c r="C1151" i="1"/>
  <c r="G1150" i="1"/>
  <c r="C1150" i="1"/>
  <c r="G1149" i="1"/>
  <c r="C1149" i="1"/>
  <c r="G1148" i="1"/>
  <c r="C1148" i="1"/>
  <c r="G1147" i="1"/>
  <c r="C1147" i="1"/>
  <c r="G1146" i="1"/>
  <c r="C1146" i="1"/>
  <c r="G1145" i="1"/>
  <c r="C1145" i="1"/>
  <c r="G1144" i="1"/>
  <c r="C1144" i="1"/>
  <c r="G1143" i="1"/>
  <c r="C1143" i="1"/>
  <c r="G1142" i="1"/>
  <c r="C1142" i="1"/>
  <c r="G1141" i="1"/>
  <c r="C1141" i="1"/>
  <c r="G1140" i="1"/>
  <c r="C1140" i="1"/>
  <c r="G1139" i="1"/>
  <c r="C1139" i="1"/>
  <c r="G1138" i="1"/>
  <c r="C1138" i="1"/>
  <c r="G1137" i="1"/>
  <c r="C1137" i="1"/>
  <c r="G1136" i="1"/>
  <c r="C1136" i="1"/>
  <c r="G1135" i="1"/>
  <c r="C1135" i="1"/>
  <c r="G1134" i="1"/>
  <c r="C1134" i="1"/>
  <c r="G1133" i="1"/>
  <c r="C1133" i="1"/>
  <c r="G1132" i="1"/>
  <c r="C1132" i="1"/>
  <c r="G1131" i="1"/>
  <c r="C1131" i="1"/>
  <c r="G1130" i="1"/>
  <c r="C1130" i="1"/>
  <c r="G1129" i="1"/>
  <c r="C1129" i="1"/>
  <c r="G1128" i="1"/>
  <c r="C1128" i="1"/>
  <c r="G1127" i="1"/>
  <c r="C1127" i="1"/>
  <c r="G1126" i="1"/>
  <c r="C1126" i="1"/>
  <c r="G1125" i="1"/>
  <c r="C1125" i="1"/>
  <c r="G1124" i="1"/>
  <c r="C1124" i="1"/>
  <c r="G1123" i="1"/>
  <c r="C1123" i="1"/>
  <c r="G1122" i="1"/>
  <c r="C1122" i="1"/>
  <c r="G1121" i="1"/>
  <c r="C1121" i="1"/>
  <c r="G1120" i="1"/>
  <c r="C1120" i="1"/>
  <c r="G1119" i="1"/>
  <c r="C1119" i="1"/>
  <c r="G1118" i="1"/>
  <c r="C1118" i="1"/>
  <c r="G1117" i="1"/>
  <c r="C1117" i="1"/>
  <c r="G1116" i="1"/>
  <c r="C1116" i="1"/>
  <c r="G1115" i="1"/>
  <c r="C1115" i="1"/>
  <c r="G1114" i="1"/>
  <c r="C1114" i="1"/>
  <c r="G1113" i="1"/>
  <c r="C1113" i="1"/>
  <c r="G1112" i="1"/>
  <c r="C1112" i="1"/>
  <c r="G1111" i="1"/>
  <c r="C1111" i="1"/>
  <c r="G1110" i="1"/>
  <c r="C1110" i="1"/>
  <c r="G1109" i="1"/>
  <c r="C1109" i="1"/>
  <c r="G1108" i="1"/>
  <c r="C1108" i="1"/>
  <c r="G1107" i="1"/>
  <c r="C1107" i="1"/>
  <c r="G1106" i="1"/>
  <c r="C1106" i="1"/>
  <c r="G1105" i="1"/>
  <c r="C1105" i="1"/>
  <c r="G1104" i="1"/>
  <c r="C1104" i="1"/>
  <c r="G1102" i="1"/>
  <c r="C1102" i="1"/>
  <c r="G1101" i="1"/>
  <c r="C1101" i="1"/>
  <c r="G1100" i="1"/>
  <c r="C1100" i="1"/>
  <c r="G1099" i="1"/>
  <c r="C1099" i="1"/>
  <c r="G1098" i="1"/>
  <c r="C1098" i="1"/>
  <c r="G1097" i="1"/>
  <c r="C1097" i="1"/>
  <c r="G1096" i="1"/>
  <c r="C1096" i="1"/>
  <c r="G1095" i="1"/>
  <c r="C1095" i="1"/>
  <c r="G1094" i="1"/>
  <c r="C1094" i="1"/>
  <c r="G1093" i="1"/>
  <c r="C1093" i="1"/>
  <c r="G1092" i="1"/>
  <c r="C1092" i="1"/>
  <c r="G1091" i="1"/>
  <c r="C1091" i="1"/>
  <c r="G1090" i="1"/>
  <c r="C1090" i="1"/>
  <c r="G1089" i="1"/>
  <c r="C1089" i="1"/>
  <c r="G1088" i="1"/>
  <c r="C1088" i="1"/>
  <c r="G1087" i="1"/>
  <c r="C1087" i="1"/>
  <c r="G1086" i="1"/>
  <c r="C1086" i="1"/>
  <c r="G1085" i="1"/>
  <c r="C1085" i="1"/>
  <c r="G1084" i="1"/>
  <c r="C1084" i="1"/>
  <c r="G1083" i="1"/>
  <c r="C1083" i="1"/>
  <c r="G1082" i="1"/>
  <c r="C1082" i="1"/>
  <c r="G1081" i="1"/>
  <c r="C1081" i="1"/>
  <c r="G1080" i="1"/>
  <c r="C1080" i="1"/>
  <c r="G1079" i="1"/>
  <c r="C1079" i="1"/>
  <c r="G1078" i="1"/>
  <c r="C1078" i="1"/>
  <c r="G1077" i="1"/>
  <c r="C1077" i="1"/>
  <c r="G1076" i="1"/>
  <c r="C1076" i="1"/>
  <c r="G1075" i="1"/>
  <c r="C1075" i="1"/>
  <c r="G1074" i="1"/>
  <c r="C1074" i="1"/>
  <c r="G1073" i="1"/>
  <c r="C1073" i="1"/>
  <c r="G1072" i="1"/>
  <c r="C1072" i="1"/>
  <c r="G1071" i="1"/>
  <c r="C1071" i="1"/>
  <c r="G1070" i="1"/>
  <c r="C1070" i="1"/>
  <c r="G1069" i="1"/>
  <c r="C1069" i="1"/>
  <c r="G1068" i="1"/>
  <c r="C1068" i="1"/>
  <c r="G1067" i="1"/>
  <c r="C1067" i="1"/>
  <c r="G1066" i="1"/>
  <c r="C1066" i="1"/>
  <c r="G1065" i="1"/>
  <c r="C1065" i="1"/>
  <c r="G1064" i="1"/>
  <c r="C1064" i="1"/>
  <c r="G1063" i="1"/>
  <c r="C1063" i="1"/>
  <c r="G1062" i="1"/>
  <c r="C1062" i="1"/>
  <c r="G1061" i="1"/>
  <c r="C1061" i="1"/>
  <c r="G1060" i="1"/>
  <c r="C1060" i="1"/>
  <c r="G1059" i="1"/>
  <c r="C1059" i="1"/>
  <c r="G1058" i="1"/>
  <c r="C1058" i="1"/>
  <c r="G1057" i="1"/>
  <c r="C1057" i="1"/>
  <c r="G1056" i="1"/>
  <c r="C1056" i="1"/>
  <c r="G1055" i="1"/>
  <c r="C1055" i="1"/>
  <c r="G1054" i="1"/>
  <c r="C1054" i="1"/>
  <c r="G1053" i="1"/>
  <c r="C1053" i="1"/>
  <c r="G1052" i="1"/>
  <c r="C1052" i="1"/>
  <c r="G1051" i="1"/>
  <c r="C1051" i="1"/>
  <c r="G1050" i="1"/>
  <c r="C1050" i="1"/>
  <c r="G1049" i="1"/>
  <c r="C1049" i="1"/>
  <c r="G1048" i="1"/>
  <c r="C1048" i="1"/>
  <c r="G1047" i="1"/>
  <c r="C1047" i="1"/>
  <c r="G1046" i="1"/>
  <c r="C1046" i="1"/>
  <c r="G1045" i="1"/>
  <c r="C1045" i="1"/>
  <c r="G1044" i="1"/>
  <c r="C1044" i="1"/>
  <c r="G1043" i="1"/>
  <c r="C1043" i="1"/>
  <c r="G1042" i="1"/>
  <c r="C1042" i="1"/>
  <c r="G1041" i="1"/>
  <c r="C1041" i="1"/>
  <c r="G1040" i="1"/>
  <c r="C1040" i="1"/>
  <c r="G1039" i="1"/>
  <c r="C1039" i="1"/>
  <c r="G1038" i="1"/>
  <c r="C1038" i="1"/>
  <c r="G1037" i="1"/>
  <c r="C1037" i="1"/>
  <c r="G1036" i="1"/>
  <c r="C1036" i="1"/>
  <c r="G1035" i="1"/>
  <c r="C1035" i="1"/>
  <c r="G1034" i="1"/>
  <c r="C1034" i="1"/>
  <c r="G1033" i="1"/>
  <c r="C1033" i="1"/>
  <c r="G1032" i="1"/>
  <c r="C1032" i="1"/>
  <c r="G1031" i="1"/>
  <c r="C1031" i="1"/>
  <c r="G1030" i="1"/>
  <c r="C1030" i="1"/>
  <c r="G1029" i="1"/>
  <c r="C1029" i="1"/>
  <c r="G1028" i="1"/>
  <c r="C1028" i="1"/>
  <c r="G1027" i="1"/>
  <c r="C1027" i="1"/>
  <c r="G1026" i="1"/>
  <c r="C1026" i="1"/>
  <c r="G1025" i="1"/>
  <c r="C1025" i="1"/>
  <c r="G1024" i="1"/>
  <c r="C1024" i="1"/>
  <c r="G1023" i="1"/>
  <c r="C1023" i="1"/>
  <c r="G1022" i="1"/>
  <c r="C1022" i="1"/>
  <c r="G1021" i="1"/>
  <c r="C1021" i="1"/>
  <c r="G1019" i="1"/>
  <c r="C1019" i="1"/>
  <c r="G1018" i="1"/>
  <c r="C1018" i="1"/>
  <c r="G1017" i="1"/>
  <c r="C1017" i="1"/>
  <c r="G1016" i="1"/>
  <c r="C1016" i="1"/>
  <c r="G1015" i="1"/>
  <c r="C1015" i="1"/>
  <c r="G1014" i="1"/>
  <c r="C1014" i="1"/>
  <c r="G1013" i="1"/>
  <c r="C1013" i="1"/>
  <c r="G1012" i="1"/>
  <c r="C1012" i="1"/>
  <c r="G1011" i="1"/>
  <c r="C1011" i="1"/>
  <c r="G1010" i="1"/>
  <c r="C1010" i="1"/>
  <c r="G1009" i="1"/>
  <c r="C1009" i="1"/>
  <c r="G1008" i="1"/>
  <c r="C1008" i="1"/>
  <c r="G1007" i="1"/>
  <c r="C1007" i="1"/>
  <c r="G1006" i="1"/>
  <c r="C1006" i="1"/>
  <c r="G1005" i="1"/>
  <c r="C1005" i="1"/>
  <c r="G1004" i="1"/>
  <c r="C1004" i="1"/>
  <c r="G1003" i="1"/>
  <c r="C1003" i="1"/>
  <c r="G1002" i="1"/>
  <c r="C1002" i="1"/>
  <c r="G1001" i="1"/>
  <c r="C1001" i="1"/>
  <c r="G1000" i="1"/>
  <c r="C1000" i="1"/>
  <c r="G999" i="1"/>
  <c r="C999" i="1"/>
  <c r="G998" i="1"/>
  <c r="C998" i="1"/>
  <c r="G997" i="1"/>
  <c r="C997" i="1"/>
  <c r="G996" i="1"/>
  <c r="C996" i="1"/>
  <c r="G995" i="1"/>
  <c r="C995" i="1"/>
  <c r="G994" i="1"/>
  <c r="C994" i="1"/>
  <c r="G993" i="1"/>
  <c r="C993" i="1"/>
  <c r="G992" i="1"/>
  <c r="C992" i="1"/>
  <c r="G991" i="1"/>
  <c r="C991" i="1"/>
  <c r="G990" i="1"/>
  <c r="C990" i="1"/>
  <c r="G989" i="1"/>
  <c r="C989" i="1"/>
  <c r="G988" i="1"/>
  <c r="C988" i="1"/>
  <c r="G987" i="1"/>
  <c r="C987" i="1"/>
  <c r="G986" i="1"/>
  <c r="C986" i="1"/>
  <c r="G985" i="1"/>
  <c r="C985" i="1"/>
  <c r="G984" i="1"/>
  <c r="C984" i="1"/>
  <c r="G983" i="1"/>
  <c r="C983" i="1"/>
  <c r="G982" i="1"/>
  <c r="C982" i="1"/>
  <c r="G981" i="1"/>
  <c r="C981" i="1"/>
  <c r="G980" i="1"/>
  <c r="C980" i="1"/>
  <c r="G979" i="1"/>
  <c r="C979" i="1"/>
  <c r="G978" i="1"/>
  <c r="C978" i="1"/>
  <c r="G977" i="1"/>
  <c r="C977" i="1"/>
  <c r="G976" i="1"/>
  <c r="C976" i="1"/>
  <c r="G975" i="1"/>
  <c r="C975" i="1"/>
  <c r="G974" i="1"/>
  <c r="C974" i="1"/>
  <c r="G973" i="1"/>
  <c r="C973" i="1"/>
  <c r="G972" i="1"/>
  <c r="C972" i="1"/>
  <c r="G971" i="1"/>
  <c r="C971" i="1"/>
  <c r="G970" i="1"/>
  <c r="C970" i="1"/>
  <c r="G969" i="1"/>
  <c r="C969" i="1"/>
  <c r="G968" i="1"/>
  <c r="C968" i="1"/>
  <c r="G967" i="1"/>
  <c r="C967" i="1"/>
  <c r="G966" i="1"/>
  <c r="C966" i="1"/>
  <c r="G965" i="1"/>
  <c r="C965" i="1"/>
  <c r="G964" i="1"/>
  <c r="C964" i="1"/>
  <c r="G962" i="1"/>
  <c r="C962" i="1"/>
  <c r="G961" i="1"/>
  <c r="C961" i="1"/>
  <c r="G960" i="1"/>
  <c r="C960" i="1"/>
  <c r="G959" i="1"/>
  <c r="C959" i="1"/>
  <c r="G958" i="1"/>
  <c r="C958" i="1"/>
  <c r="G957" i="1"/>
  <c r="C957" i="1"/>
  <c r="G956" i="1"/>
  <c r="C956" i="1"/>
  <c r="G955" i="1"/>
  <c r="C955" i="1"/>
  <c r="G954" i="1"/>
  <c r="C954" i="1"/>
  <c r="G953" i="1"/>
  <c r="C953" i="1"/>
  <c r="G952" i="1"/>
  <c r="C952" i="1"/>
  <c r="G951" i="1"/>
  <c r="C951" i="1"/>
  <c r="G950" i="1"/>
  <c r="C950" i="1"/>
  <c r="G949" i="1"/>
  <c r="C949" i="1"/>
  <c r="G948" i="1"/>
  <c r="C948" i="1"/>
  <c r="G947" i="1"/>
  <c r="C947" i="1"/>
  <c r="G946" i="1"/>
  <c r="C946" i="1"/>
  <c r="G945" i="1"/>
  <c r="C945" i="1"/>
  <c r="G944" i="1"/>
  <c r="C944" i="1"/>
  <c r="G943" i="1"/>
  <c r="C943" i="1"/>
  <c r="G942" i="1"/>
  <c r="C942" i="1"/>
  <c r="G941" i="1"/>
  <c r="C941" i="1"/>
  <c r="G940" i="1"/>
  <c r="C940" i="1"/>
  <c r="G939" i="1"/>
  <c r="C939" i="1"/>
  <c r="G938" i="1"/>
  <c r="C938" i="1"/>
  <c r="G937" i="1"/>
  <c r="C937" i="1"/>
  <c r="G936" i="1"/>
  <c r="C936" i="1"/>
  <c r="G935" i="1"/>
  <c r="C935" i="1"/>
  <c r="G934" i="1"/>
  <c r="C934" i="1"/>
  <c r="G933" i="1"/>
  <c r="C933" i="1"/>
  <c r="G932" i="1"/>
  <c r="C932" i="1"/>
  <c r="G931" i="1"/>
  <c r="C931" i="1"/>
  <c r="G930" i="1"/>
  <c r="C930" i="1"/>
  <c r="G929" i="1"/>
  <c r="C929" i="1"/>
  <c r="G928" i="1"/>
  <c r="C928" i="1"/>
  <c r="G927" i="1"/>
  <c r="C927" i="1"/>
  <c r="G926" i="1"/>
  <c r="C926" i="1"/>
  <c r="G925" i="1"/>
  <c r="C925" i="1"/>
  <c r="G924" i="1"/>
  <c r="C924" i="1"/>
  <c r="G923" i="1"/>
  <c r="C923" i="1"/>
  <c r="G922" i="1"/>
  <c r="C922" i="1"/>
  <c r="G921" i="1"/>
  <c r="C921" i="1"/>
  <c r="G920" i="1"/>
  <c r="C920" i="1"/>
  <c r="G919" i="1"/>
  <c r="C919" i="1"/>
  <c r="G918" i="1"/>
  <c r="C918" i="1"/>
  <c r="G917" i="1"/>
  <c r="C917" i="1"/>
  <c r="G916" i="1"/>
  <c r="C916" i="1"/>
  <c r="G915" i="1"/>
  <c r="C915" i="1"/>
  <c r="G914" i="1"/>
  <c r="C914" i="1"/>
  <c r="G913" i="1"/>
  <c r="C913" i="1"/>
  <c r="G912" i="1"/>
  <c r="C912" i="1"/>
  <c r="G911" i="1"/>
  <c r="C911" i="1"/>
  <c r="G910" i="1"/>
  <c r="C910" i="1"/>
  <c r="G909" i="1"/>
  <c r="C909" i="1"/>
  <c r="G908" i="1"/>
  <c r="C908" i="1"/>
  <c r="G907" i="1"/>
  <c r="C907" i="1"/>
  <c r="G906" i="1"/>
  <c r="C906" i="1"/>
  <c r="G905" i="1"/>
  <c r="C905" i="1"/>
  <c r="G904" i="1"/>
  <c r="C904" i="1"/>
  <c r="G903" i="1"/>
  <c r="C903" i="1"/>
  <c r="G902" i="1"/>
  <c r="C902" i="1"/>
  <c r="G901" i="1"/>
  <c r="C901" i="1"/>
  <c r="G900" i="1"/>
  <c r="C900" i="1"/>
  <c r="G899" i="1"/>
  <c r="C899" i="1"/>
  <c r="G898" i="1"/>
  <c r="C898" i="1"/>
  <c r="G897" i="1"/>
  <c r="C897" i="1"/>
  <c r="G896" i="1"/>
  <c r="C896" i="1"/>
  <c r="G895" i="1"/>
  <c r="C895" i="1"/>
  <c r="G894" i="1"/>
  <c r="C894" i="1"/>
  <c r="G893" i="1"/>
  <c r="C893" i="1"/>
  <c r="G892" i="1"/>
  <c r="C892" i="1"/>
  <c r="G891" i="1"/>
  <c r="C891" i="1"/>
  <c r="G890" i="1"/>
  <c r="C890" i="1"/>
  <c r="G889" i="1"/>
  <c r="C889" i="1"/>
  <c r="G888" i="1"/>
  <c r="C888" i="1"/>
  <c r="G887" i="1"/>
  <c r="C887" i="1"/>
  <c r="G886" i="1"/>
  <c r="C886" i="1"/>
  <c r="G885" i="1"/>
  <c r="C885" i="1"/>
  <c r="G884" i="1"/>
  <c r="C884" i="1"/>
  <c r="G883" i="1"/>
  <c r="C883" i="1"/>
  <c r="G882" i="1"/>
  <c r="C882" i="1"/>
  <c r="G881" i="1"/>
  <c r="C881" i="1"/>
  <c r="G880" i="1"/>
  <c r="C880" i="1"/>
  <c r="G879" i="1"/>
  <c r="C879" i="1"/>
  <c r="G878" i="1"/>
  <c r="C878" i="1"/>
  <c r="G877" i="1"/>
  <c r="C877" i="1"/>
  <c r="G876" i="1"/>
  <c r="C876" i="1"/>
  <c r="G875" i="1"/>
  <c r="C875" i="1"/>
  <c r="G874" i="1"/>
  <c r="C874" i="1"/>
  <c r="G873" i="1"/>
  <c r="C873" i="1"/>
  <c r="G872" i="1"/>
  <c r="C872" i="1"/>
  <c r="G871" i="1"/>
  <c r="C871" i="1"/>
  <c r="G870" i="1"/>
  <c r="C870" i="1"/>
  <c r="G869" i="1"/>
  <c r="C869" i="1"/>
  <c r="G868" i="1"/>
  <c r="C868" i="1"/>
  <c r="G867" i="1"/>
  <c r="C867" i="1"/>
  <c r="G865" i="1"/>
  <c r="C865" i="1"/>
  <c r="G864" i="1"/>
  <c r="C864" i="1"/>
  <c r="G863" i="1"/>
  <c r="C863" i="1"/>
  <c r="G862" i="1"/>
  <c r="C862" i="1"/>
  <c r="G861" i="1"/>
  <c r="C861" i="1"/>
  <c r="G860" i="1"/>
  <c r="C860" i="1"/>
  <c r="G859" i="1"/>
  <c r="C859" i="1"/>
  <c r="G858" i="1"/>
  <c r="C858" i="1"/>
  <c r="G857" i="1"/>
  <c r="C857" i="1"/>
  <c r="G856" i="1"/>
  <c r="C856" i="1"/>
  <c r="G855" i="1"/>
  <c r="C855" i="1"/>
  <c r="G854" i="1"/>
  <c r="C854" i="1"/>
  <c r="G853" i="1"/>
  <c r="C853" i="1"/>
  <c r="G852" i="1"/>
  <c r="C852" i="1"/>
  <c r="G851" i="1"/>
  <c r="C851" i="1"/>
  <c r="G850" i="1"/>
  <c r="C850" i="1"/>
  <c r="G849" i="1"/>
  <c r="C849" i="1"/>
  <c r="G848" i="1"/>
  <c r="C848" i="1"/>
  <c r="G847" i="1"/>
  <c r="C847" i="1"/>
  <c r="G846" i="1"/>
  <c r="C846" i="1"/>
  <c r="G845" i="1"/>
  <c r="C845" i="1"/>
  <c r="G844" i="1"/>
  <c r="C844" i="1"/>
  <c r="G843" i="1"/>
  <c r="C843" i="1"/>
  <c r="G842" i="1"/>
  <c r="C842" i="1"/>
  <c r="G841" i="1"/>
  <c r="C841" i="1"/>
  <c r="G840" i="1"/>
  <c r="C840" i="1"/>
  <c r="G838" i="1"/>
  <c r="C838" i="1"/>
  <c r="G837" i="1"/>
  <c r="C837" i="1"/>
  <c r="G836" i="1"/>
  <c r="C836" i="1"/>
  <c r="G835" i="1"/>
  <c r="C835" i="1"/>
  <c r="G834" i="1"/>
  <c r="C834" i="1"/>
  <c r="G833" i="1"/>
  <c r="C833" i="1"/>
  <c r="G832" i="1"/>
  <c r="C832" i="1"/>
  <c r="G831" i="1"/>
  <c r="C831" i="1"/>
  <c r="G830" i="1"/>
  <c r="C830" i="1"/>
  <c r="G829" i="1"/>
  <c r="C829" i="1"/>
  <c r="G828" i="1"/>
  <c r="C828" i="1"/>
  <c r="G827" i="1"/>
  <c r="C827" i="1"/>
  <c r="G826" i="1"/>
  <c r="C826" i="1"/>
  <c r="G825" i="1"/>
  <c r="C825" i="1"/>
  <c r="G824" i="1"/>
  <c r="C824" i="1"/>
  <c r="G823" i="1"/>
  <c r="C823" i="1"/>
  <c r="G822" i="1"/>
  <c r="C822" i="1"/>
  <c r="G821" i="1"/>
  <c r="C821" i="1"/>
  <c r="G820" i="1"/>
  <c r="C820" i="1"/>
  <c r="G819" i="1"/>
  <c r="C819" i="1"/>
  <c r="G818" i="1"/>
  <c r="C818" i="1"/>
  <c r="G817" i="1"/>
  <c r="C817" i="1"/>
  <c r="G815" i="1"/>
  <c r="C815" i="1"/>
  <c r="G814" i="1"/>
  <c r="C814" i="1"/>
  <c r="G813" i="1"/>
  <c r="C813" i="1"/>
  <c r="G812" i="1"/>
  <c r="C812" i="1"/>
  <c r="G811" i="1"/>
  <c r="C811" i="1"/>
  <c r="G810" i="1"/>
  <c r="C810" i="1"/>
  <c r="G809" i="1"/>
  <c r="C809" i="1"/>
  <c r="G808" i="1"/>
  <c r="C808" i="1"/>
  <c r="G807" i="1"/>
  <c r="C807" i="1"/>
  <c r="G806" i="1"/>
  <c r="C806" i="1"/>
  <c r="G805" i="1"/>
  <c r="C805" i="1"/>
  <c r="G804" i="1"/>
  <c r="C804" i="1"/>
  <c r="G803" i="1"/>
  <c r="C803" i="1"/>
  <c r="G802" i="1"/>
  <c r="C802" i="1"/>
  <c r="G801" i="1"/>
  <c r="C801" i="1"/>
  <c r="G800" i="1"/>
  <c r="C800" i="1"/>
  <c r="G799" i="1"/>
  <c r="C799" i="1"/>
  <c r="G798" i="1"/>
  <c r="C798" i="1"/>
  <c r="G797" i="1"/>
  <c r="C797" i="1"/>
  <c r="G796" i="1"/>
  <c r="C796" i="1"/>
  <c r="G795" i="1"/>
  <c r="C795" i="1"/>
  <c r="G794" i="1"/>
  <c r="C794" i="1"/>
  <c r="G793" i="1"/>
  <c r="C793" i="1"/>
  <c r="G792" i="1"/>
  <c r="C792" i="1"/>
  <c r="G791" i="1"/>
  <c r="C791" i="1"/>
  <c r="G790" i="1"/>
  <c r="C790" i="1"/>
  <c r="G789" i="1"/>
  <c r="C789" i="1"/>
  <c r="G788" i="1"/>
  <c r="C788" i="1"/>
  <c r="G787" i="1"/>
  <c r="C787" i="1"/>
  <c r="G786" i="1"/>
  <c r="C786" i="1"/>
  <c r="G785" i="1"/>
  <c r="C785" i="1"/>
  <c r="G784" i="1"/>
  <c r="C784" i="1"/>
  <c r="G783" i="1"/>
  <c r="C783" i="1"/>
  <c r="G782" i="1"/>
  <c r="C782" i="1"/>
  <c r="G781" i="1"/>
  <c r="C781" i="1"/>
  <c r="G780" i="1"/>
  <c r="C780" i="1"/>
  <c r="G779" i="1"/>
  <c r="C779" i="1"/>
  <c r="G778" i="1"/>
  <c r="C778" i="1"/>
  <c r="G777" i="1"/>
  <c r="C777" i="1"/>
  <c r="G776" i="1"/>
  <c r="C776" i="1"/>
  <c r="G775" i="1"/>
  <c r="C775" i="1"/>
  <c r="G774" i="1"/>
  <c r="C774" i="1"/>
  <c r="G773" i="1"/>
  <c r="C773" i="1"/>
  <c r="G772" i="1"/>
  <c r="C772" i="1"/>
  <c r="G771" i="1"/>
  <c r="C771" i="1"/>
  <c r="G770" i="1"/>
  <c r="C770" i="1"/>
  <c r="G769" i="1"/>
  <c r="C769" i="1"/>
  <c r="G768" i="1"/>
  <c r="C768" i="1"/>
  <c r="G767" i="1"/>
  <c r="C767" i="1"/>
  <c r="G766" i="1"/>
  <c r="C766" i="1"/>
  <c r="G765" i="1"/>
  <c r="C765" i="1"/>
  <c r="G764" i="1"/>
  <c r="C764" i="1"/>
  <c r="G763" i="1"/>
  <c r="C763" i="1"/>
  <c r="G762" i="1"/>
  <c r="C762" i="1"/>
  <c r="G761" i="1"/>
  <c r="C761" i="1"/>
  <c r="G760" i="1"/>
  <c r="C760" i="1"/>
  <c r="G759" i="1"/>
  <c r="C759" i="1"/>
  <c r="G758" i="1"/>
  <c r="C758" i="1"/>
  <c r="G757" i="1"/>
  <c r="C757" i="1"/>
  <c r="G756" i="1"/>
  <c r="C756" i="1"/>
  <c r="G755" i="1"/>
  <c r="C755" i="1"/>
  <c r="G754" i="1"/>
  <c r="C754" i="1"/>
  <c r="G753" i="1"/>
  <c r="C753" i="1"/>
  <c r="G752" i="1"/>
  <c r="C752" i="1"/>
  <c r="G751" i="1"/>
  <c r="C751" i="1"/>
  <c r="G750" i="1"/>
  <c r="C750" i="1"/>
  <c r="G749" i="1"/>
  <c r="C749" i="1"/>
  <c r="G748" i="1"/>
  <c r="C748" i="1"/>
  <c r="G747" i="1"/>
  <c r="C747" i="1"/>
  <c r="G746" i="1"/>
  <c r="C746" i="1"/>
  <c r="G745" i="1"/>
  <c r="C745" i="1"/>
  <c r="G744" i="1"/>
  <c r="C744" i="1"/>
  <c r="G743" i="1"/>
  <c r="C743" i="1"/>
  <c r="G742" i="1"/>
  <c r="C742" i="1"/>
  <c r="G741" i="1"/>
  <c r="C741" i="1"/>
  <c r="G740" i="1"/>
  <c r="C740" i="1"/>
  <c r="G739" i="1"/>
  <c r="C739" i="1"/>
  <c r="G738" i="1"/>
  <c r="C738" i="1"/>
  <c r="G737" i="1"/>
  <c r="C737" i="1"/>
  <c r="G736" i="1"/>
  <c r="C736" i="1"/>
  <c r="G735" i="1"/>
  <c r="C735" i="1"/>
  <c r="G733" i="1"/>
  <c r="C733" i="1"/>
  <c r="G732" i="1"/>
  <c r="C732" i="1"/>
  <c r="G731" i="1"/>
  <c r="C731" i="1"/>
  <c r="G730" i="1"/>
  <c r="C730" i="1"/>
  <c r="G729" i="1"/>
  <c r="C729" i="1"/>
  <c r="G728" i="1"/>
  <c r="C728" i="1"/>
  <c r="G727" i="1"/>
  <c r="C727" i="1"/>
  <c r="G726" i="1"/>
  <c r="C726" i="1"/>
  <c r="G725" i="1"/>
  <c r="C725" i="1"/>
  <c r="G724" i="1"/>
  <c r="C724" i="1"/>
  <c r="G723" i="1"/>
  <c r="C723" i="1"/>
  <c r="G722" i="1"/>
  <c r="C722" i="1"/>
  <c r="G721" i="1"/>
  <c r="C721" i="1"/>
  <c r="G720" i="1"/>
  <c r="C720" i="1"/>
  <c r="G719" i="1"/>
  <c r="C719" i="1"/>
  <c r="G718" i="1"/>
  <c r="C718" i="1"/>
  <c r="G717" i="1"/>
  <c r="C717" i="1"/>
  <c r="G716" i="1"/>
  <c r="C716" i="1"/>
  <c r="G715" i="1"/>
  <c r="C715" i="1"/>
  <c r="G714" i="1"/>
  <c r="C714" i="1"/>
  <c r="G713" i="1"/>
  <c r="C713" i="1"/>
  <c r="G712" i="1"/>
  <c r="C712" i="1"/>
  <c r="G711" i="1"/>
  <c r="C711" i="1"/>
  <c r="G710" i="1"/>
  <c r="C710" i="1"/>
  <c r="G709" i="1"/>
  <c r="C709" i="1"/>
  <c r="G708" i="1"/>
  <c r="C708" i="1"/>
  <c r="G707" i="1"/>
  <c r="C707" i="1"/>
  <c r="G706" i="1"/>
  <c r="C706" i="1"/>
  <c r="G705" i="1"/>
  <c r="C705" i="1"/>
  <c r="G704" i="1"/>
  <c r="C704" i="1"/>
  <c r="G703" i="1"/>
  <c r="C703" i="1"/>
  <c r="G702" i="1"/>
  <c r="C702" i="1"/>
  <c r="G701" i="1"/>
  <c r="C701" i="1"/>
  <c r="G700" i="1"/>
  <c r="C700" i="1"/>
  <c r="G699" i="1"/>
  <c r="C699" i="1"/>
  <c r="G698" i="1"/>
  <c r="C698" i="1"/>
  <c r="G697" i="1"/>
  <c r="C697" i="1"/>
  <c r="G696" i="1"/>
  <c r="C696" i="1"/>
  <c r="G695" i="1"/>
  <c r="C695" i="1"/>
  <c r="G694" i="1"/>
  <c r="C694" i="1"/>
  <c r="G693" i="1"/>
  <c r="C693" i="1"/>
  <c r="G692" i="1"/>
  <c r="C692" i="1"/>
  <c r="G691" i="1"/>
  <c r="C691" i="1"/>
  <c r="G690" i="1"/>
  <c r="C690" i="1"/>
  <c r="G688" i="1"/>
  <c r="C688" i="1"/>
  <c r="G687" i="1"/>
  <c r="C687" i="1"/>
  <c r="G686" i="1"/>
  <c r="C686" i="1"/>
  <c r="G685" i="1"/>
  <c r="C685" i="1"/>
  <c r="G684" i="1"/>
  <c r="C684" i="1"/>
  <c r="G683" i="1"/>
  <c r="C683" i="1"/>
  <c r="G682" i="1"/>
  <c r="C682" i="1"/>
  <c r="G681" i="1"/>
  <c r="C681" i="1"/>
  <c r="G680" i="1"/>
  <c r="C680" i="1"/>
  <c r="G679" i="1"/>
  <c r="C679" i="1"/>
  <c r="G678" i="1"/>
  <c r="C678" i="1"/>
  <c r="G677" i="1"/>
  <c r="C677" i="1"/>
  <c r="G676" i="1"/>
  <c r="C676" i="1"/>
  <c r="G675" i="1"/>
  <c r="C675" i="1"/>
  <c r="G674" i="1"/>
  <c r="C674" i="1"/>
  <c r="G673" i="1"/>
  <c r="C673" i="1"/>
  <c r="G672" i="1"/>
  <c r="C672" i="1"/>
  <c r="G671" i="1"/>
  <c r="C671" i="1"/>
  <c r="G670" i="1"/>
  <c r="C670" i="1"/>
  <c r="G669" i="1"/>
  <c r="C669" i="1"/>
  <c r="G668" i="1"/>
  <c r="C668" i="1"/>
  <c r="G667" i="1"/>
  <c r="C667" i="1"/>
  <c r="G666" i="1"/>
  <c r="C666" i="1"/>
  <c r="G665" i="1"/>
  <c r="C665" i="1"/>
  <c r="G662" i="1"/>
  <c r="C662" i="1"/>
  <c r="G661" i="1"/>
  <c r="C661" i="1"/>
  <c r="G660" i="1"/>
  <c r="C660" i="1"/>
  <c r="G659" i="1"/>
  <c r="C659" i="1"/>
  <c r="G658" i="1"/>
  <c r="C658" i="1"/>
  <c r="G657" i="1"/>
  <c r="C657" i="1"/>
  <c r="G656" i="1"/>
  <c r="C656" i="1"/>
  <c r="G655" i="1"/>
  <c r="C655" i="1"/>
  <c r="G654" i="1"/>
  <c r="C654" i="1"/>
  <c r="G653" i="1"/>
  <c r="C653" i="1"/>
  <c r="G652" i="1"/>
  <c r="C652" i="1"/>
  <c r="G651" i="1"/>
  <c r="C651" i="1"/>
  <c r="G650" i="1"/>
  <c r="C650" i="1"/>
  <c r="G649" i="1"/>
  <c r="C649" i="1"/>
  <c r="G648" i="1"/>
  <c r="C648" i="1"/>
  <c r="G647" i="1"/>
  <c r="C647" i="1"/>
  <c r="G646" i="1"/>
  <c r="C646" i="1"/>
  <c r="G645" i="1"/>
  <c r="C645" i="1"/>
  <c r="G644" i="1"/>
  <c r="C644" i="1"/>
  <c r="G643" i="1"/>
  <c r="C643" i="1"/>
  <c r="G642" i="1"/>
  <c r="C642" i="1"/>
  <c r="G641" i="1"/>
  <c r="C641" i="1"/>
  <c r="G640" i="1"/>
  <c r="C640" i="1"/>
  <c r="G639" i="1"/>
  <c r="C639" i="1"/>
  <c r="G638" i="1"/>
  <c r="C638" i="1"/>
  <c r="G637" i="1"/>
  <c r="C637" i="1"/>
  <c r="G636" i="1"/>
  <c r="C636" i="1"/>
  <c r="G635" i="1"/>
  <c r="C635" i="1"/>
  <c r="G634" i="1"/>
  <c r="C634" i="1"/>
  <c r="G633" i="1"/>
  <c r="C633" i="1"/>
  <c r="G632" i="1"/>
  <c r="C632" i="1"/>
  <c r="G631" i="1"/>
  <c r="C631" i="1"/>
  <c r="G630" i="1"/>
  <c r="C630" i="1"/>
  <c r="G629" i="1"/>
  <c r="C629" i="1"/>
  <c r="G628" i="1"/>
  <c r="C628" i="1"/>
  <c r="G627" i="1"/>
  <c r="C627" i="1"/>
  <c r="G626" i="1"/>
  <c r="C626" i="1"/>
  <c r="G625" i="1"/>
  <c r="C625" i="1"/>
  <c r="G624" i="1"/>
  <c r="C624" i="1"/>
  <c r="G623" i="1"/>
  <c r="C623" i="1"/>
  <c r="G622" i="1"/>
  <c r="C622" i="1"/>
  <c r="G621" i="1"/>
  <c r="C621" i="1"/>
  <c r="G620" i="1"/>
  <c r="C620" i="1"/>
  <c r="G619" i="1"/>
  <c r="C619" i="1"/>
  <c r="G618" i="1"/>
  <c r="C618" i="1"/>
  <c r="G617" i="1"/>
  <c r="C617" i="1"/>
  <c r="G616" i="1"/>
  <c r="C616" i="1"/>
  <c r="G615" i="1"/>
  <c r="C615" i="1"/>
  <c r="G614" i="1"/>
  <c r="C614" i="1"/>
  <c r="G612" i="1"/>
  <c r="C612" i="1"/>
  <c r="G611" i="1"/>
  <c r="C611" i="1"/>
  <c r="G610" i="1"/>
  <c r="C610" i="1"/>
  <c r="G609" i="1"/>
  <c r="C609" i="1"/>
  <c r="G608" i="1"/>
  <c r="C608" i="1"/>
  <c r="G607" i="1"/>
  <c r="C607" i="1"/>
  <c r="G606" i="1"/>
  <c r="C606" i="1"/>
  <c r="G605" i="1"/>
  <c r="C605" i="1"/>
  <c r="G604" i="1"/>
  <c r="C604" i="1"/>
  <c r="G603" i="1"/>
  <c r="C603" i="1"/>
  <c r="G602" i="1"/>
  <c r="C602" i="1"/>
  <c r="G601" i="1"/>
  <c r="C601" i="1"/>
  <c r="G600" i="1"/>
  <c r="C600" i="1"/>
  <c r="G599" i="1"/>
  <c r="C599" i="1"/>
  <c r="G598" i="1"/>
  <c r="C598" i="1"/>
  <c r="G597" i="1"/>
  <c r="C597" i="1"/>
  <c r="G596" i="1"/>
  <c r="C596" i="1"/>
  <c r="G595" i="1"/>
  <c r="C595" i="1"/>
  <c r="G594" i="1"/>
  <c r="C594" i="1"/>
  <c r="G593" i="1"/>
  <c r="C593" i="1"/>
  <c r="G592" i="1"/>
  <c r="C592" i="1"/>
  <c r="G591" i="1"/>
  <c r="C591" i="1"/>
  <c r="G590" i="1"/>
  <c r="C590" i="1"/>
  <c r="G589" i="1"/>
  <c r="C589" i="1"/>
  <c r="G588" i="1"/>
  <c r="C588" i="1"/>
  <c r="G587" i="1"/>
  <c r="C587" i="1"/>
  <c r="G586" i="1"/>
  <c r="C586" i="1"/>
  <c r="G585" i="1"/>
  <c r="C585" i="1"/>
  <c r="G584" i="1"/>
  <c r="C584" i="1"/>
  <c r="G583" i="1"/>
  <c r="C583" i="1"/>
  <c r="G582" i="1"/>
  <c r="C582" i="1"/>
  <c r="G581" i="1"/>
  <c r="C581" i="1"/>
  <c r="G580" i="1"/>
  <c r="C580" i="1"/>
  <c r="G579" i="1"/>
  <c r="C579" i="1"/>
  <c r="G578" i="1"/>
  <c r="C578" i="1"/>
  <c r="G577" i="1"/>
  <c r="C577" i="1"/>
  <c r="G576" i="1"/>
  <c r="C576" i="1"/>
  <c r="G575" i="1"/>
  <c r="C575" i="1"/>
  <c r="G574" i="1"/>
  <c r="C574" i="1"/>
  <c r="G573" i="1"/>
  <c r="C573" i="1"/>
  <c r="G572" i="1"/>
  <c r="C572" i="1"/>
  <c r="G571" i="1"/>
  <c r="C571" i="1"/>
  <c r="G570" i="1"/>
  <c r="C570" i="1"/>
  <c r="G569" i="1"/>
  <c r="C569" i="1"/>
  <c r="G568" i="1"/>
  <c r="C568" i="1"/>
  <c r="G567" i="1"/>
  <c r="C567" i="1"/>
  <c r="G566" i="1"/>
  <c r="C566" i="1"/>
  <c r="G565" i="1"/>
  <c r="C565" i="1"/>
  <c r="G564" i="1"/>
  <c r="C564" i="1"/>
  <c r="G563" i="1"/>
  <c r="C563" i="1"/>
  <c r="G562" i="1"/>
  <c r="C562" i="1"/>
  <c r="G561" i="1"/>
  <c r="C561" i="1"/>
  <c r="G560" i="1"/>
  <c r="C560" i="1"/>
  <c r="G559" i="1"/>
  <c r="C559" i="1"/>
  <c r="G558" i="1"/>
  <c r="C558" i="1"/>
  <c r="G557" i="1"/>
  <c r="C557" i="1"/>
  <c r="G556" i="1"/>
  <c r="C556" i="1"/>
  <c r="G555" i="1"/>
  <c r="C555" i="1"/>
  <c r="G554" i="1"/>
  <c r="C554" i="1"/>
  <c r="G553" i="1"/>
  <c r="C553" i="1"/>
  <c r="G552" i="1"/>
  <c r="C552" i="1"/>
  <c r="G551" i="1"/>
  <c r="C551" i="1"/>
  <c r="G550" i="1"/>
  <c r="C550" i="1"/>
  <c r="G549" i="1"/>
  <c r="C549" i="1"/>
  <c r="G548" i="1"/>
  <c r="C548" i="1"/>
  <c r="G547" i="1"/>
  <c r="C547" i="1"/>
  <c r="G545" i="1"/>
  <c r="C545" i="1"/>
  <c r="G544" i="1"/>
  <c r="C544" i="1"/>
  <c r="G543" i="1"/>
  <c r="C543" i="1"/>
  <c r="G542" i="1"/>
  <c r="C542" i="1"/>
  <c r="G541" i="1"/>
  <c r="C541" i="1"/>
  <c r="G540" i="1"/>
  <c r="C540" i="1"/>
  <c r="G539" i="1"/>
  <c r="C539" i="1"/>
  <c r="G538" i="1"/>
  <c r="C538" i="1"/>
  <c r="G537" i="1"/>
  <c r="C537" i="1"/>
  <c r="G536" i="1"/>
  <c r="C536" i="1"/>
  <c r="G535" i="1"/>
  <c r="C535" i="1"/>
  <c r="G534" i="1"/>
  <c r="C534" i="1"/>
  <c r="G533" i="1"/>
  <c r="C533" i="1"/>
  <c r="G532" i="1"/>
  <c r="C532" i="1"/>
  <c r="G531" i="1"/>
  <c r="C531" i="1"/>
  <c r="G530" i="1"/>
  <c r="C530" i="1"/>
  <c r="G529" i="1"/>
  <c r="C529" i="1"/>
  <c r="G528" i="1"/>
  <c r="C528" i="1"/>
  <c r="G527" i="1"/>
  <c r="C527" i="1"/>
  <c r="G526" i="1"/>
  <c r="C526" i="1"/>
  <c r="G525" i="1"/>
  <c r="C525" i="1"/>
  <c r="G524" i="1"/>
  <c r="C524" i="1"/>
  <c r="G523" i="1"/>
  <c r="C523" i="1"/>
  <c r="G522" i="1"/>
  <c r="C522" i="1"/>
  <c r="G521" i="1"/>
  <c r="C521" i="1"/>
  <c r="G520" i="1"/>
  <c r="C520" i="1"/>
  <c r="G519" i="1"/>
  <c r="C519" i="1"/>
  <c r="G518" i="1"/>
  <c r="C518" i="1"/>
  <c r="G517" i="1"/>
  <c r="C517" i="1"/>
  <c r="G516" i="1"/>
  <c r="C516" i="1"/>
  <c r="G515" i="1"/>
  <c r="C515" i="1"/>
  <c r="G514" i="1"/>
  <c r="C514" i="1"/>
  <c r="G513" i="1"/>
  <c r="C513" i="1"/>
  <c r="G512" i="1"/>
  <c r="C512" i="1"/>
  <c r="G511" i="1"/>
  <c r="C511" i="1"/>
  <c r="G510" i="1"/>
  <c r="C510" i="1"/>
  <c r="G508" i="1"/>
  <c r="C508" i="1"/>
  <c r="G507" i="1"/>
  <c r="C507" i="1"/>
  <c r="G506" i="1"/>
  <c r="C506" i="1"/>
  <c r="G505" i="1"/>
  <c r="C505" i="1"/>
  <c r="G504" i="1"/>
  <c r="C504" i="1"/>
  <c r="G503" i="1"/>
  <c r="C503" i="1"/>
  <c r="G502" i="1"/>
  <c r="C502" i="1"/>
  <c r="G501" i="1"/>
  <c r="C501" i="1"/>
  <c r="G500" i="1"/>
  <c r="C500" i="1"/>
  <c r="G499" i="1"/>
  <c r="C499" i="1"/>
  <c r="G498" i="1"/>
  <c r="C498" i="1"/>
  <c r="G495" i="1"/>
  <c r="C495" i="1"/>
  <c r="G494" i="1"/>
  <c r="C494" i="1"/>
  <c r="G493" i="1"/>
  <c r="C493" i="1"/>
  <c r="G492" i="1"/>
  <c r="C492" i="1"/>
  <c r="G491" i="1"/>
  <c r="C491" i="1"/>
  <c r="G490" i="1"/>
  <c r="C490" i="1"/>
  <c r="G489" i="1"/>
  <c r="C489" i="1"/>
  <c r="G488" i="1"/>
  <c r="C488" i="1"/>
  <c r="G487" i="1"/>
  <c r="C487" i="1"/>
  <c r="G486" i="1"/>
  <c r="C486" i="1"/>
  <c r="G485" i="1"/>
  <c r="C485" i="1"/>
  <c r="G484" i="1"/>
  <c r="C484" i="1"/>
  <c r="G483" i="1"/>
  <c r="C483" i="1"/>
  <c r="G482" i="1"/>
  <c r="C482" i="1"/>
  <c r="G481" i="1"/>
  <c r="C481" i="1"/>
  <c r="G480" i="1"/>
  <c r="C480" i="1"/>
  <c r="G479" i="1"/>
  <c r="C479" i="1"/>
  <c r="G478" i="1"/>
  <c r="C478" i="1"/>
  <c r="G477" i="1"/>
  <c r="C477" i="1"/>
  <c r="G476" i="1"/>
  <c r="C476" i="1"/>
  <c r="G475" i="1"/>
  <c r="C475" i="1"/>
  <c r="G474" i="1"/>
  <c r="C474" i="1"/>
  <c r="G473" i="1"/>
  <c r="C473" i="1"/>
  <c r="G472" i="1"/>
  <c r="C472" i="1"/>
  <c r="G471" i="1"/>
  <c r="C471" i="1"/>
  <c r="G470" i="1"/>
  <c r="C470" i="1"/>
  <c r="G469" i="1"/>
  <c r="C469" i="1"/>
  <c r="G468" i="1"/>
  <c r="C468" i="1"/>
  <c r="G467" i="1"/>
  <c r="C467" i="1"/>
  <c r="G466" i="1"/>
  <c r="C466" i="1"/>
  <c r="G465" i="1"/>
  <c r="C465" i="1"/>
  <c r="G464" i="1"/>
  <c r="C464" i="1"/>
  <c r="G463" i="1"/>
  <c r="C463" i="1"/>
  <c r="G462" i="1"/>
  <c r="C462" i="1"/>
  <c r="G461" i="1"/>
  <c r="C461" i="1"/>
  <c r="G460" i="1"/>
  <c r="C460" i="1"/>
  <c r="G459" i="1"/>
  <c r="C459" i="1"/>
  <c r="G458" i="1"/>
  <c r="C458" i="1"/>
  <c r="G457" i="1"/>
  <c r="C457" i="1"/>
  <c r="G456" i="1"/>
  <c r="C456" i="1"/>
  <c r="G455" i="1"/>
  <c r="C455" i="1"/>
  <c r="G454" i="1"/>
  <c r="C454" i="1"/>
  <c r="G453" i="1"/>
  <c r="C453" i="1"/>
  <c r="G452" i="1"/>
  <c r="C452" i="1"/>
  <c r="G451" i="1"/>
  <c r="C451" i="1"/>
  <c r="G449" i="1"/>
  <c r="C449" i="1"/>
  <c r="G448" i="1"/>
  <c r="C448" i="1"/>
  <c r="G447" i="1"/>
  <c r="C447" i="1"/>
  <c r="G446" i="1"/>
  <c r="C446" i="1"/>
  <c r="G445" i="1"/>
  <c r="C445" i="1"/>
  <c r="G444" i="1"/>
  <c r="C444" i="1"/>
  <c r="G443" i="1"/>
  <c r="C443" i="1"/>
  <c r="G442" i="1"/>
  <c r="C442" i="1"/>
  <c r="G441" i="1"/>
  <c r="C441" i="1"/>
  <c r="G440" i="1"/>
  <c r="C440" i="1"/>
  <c r="G439" i="1"/>
  <c r="C439" i="1"/>
  <c r="G438" i="1"/>
  <c r="C438" i="1"/>
  <c r="G437" i="1"/>
  <c r="C437" i="1"/>
  <c r="G436" i="1"/>
  <c r="C436" i="1"/>
  <c r="G435" i="1"/>
  <c r="C435" i="1"/>
  <c r="G434" i="1"/>
  <c r="C434" i="1"/>
  <c r="G433" i="1"/>
  <c r="C433" i="1"/>
  <c r="G432" i="1"/>
  <c r="C432" i="1"/>
  <c r="G431" i="1"/>
  <c r="C431" i="1"/>
  <c r="G430" i="1"/>
  <c r="C430" i="1"/>
  <c r="G429" i="1"/>
  <c r="C429" i="1"/>
  <c r="G428" i="1"/>
  <c r="C428" i="1"/>
  <c r="G427" i="1"/>
  <c r="C427" i="1"/>
  <c r="G426" i="1"/>
  <c r="C426" i="1"/>
  <c r="G425" i="1"/>
  <c r="C425" i="1"/>
  <c r="G424" i="1"/>
  <c r="C424" i="1"/>
  <c r="G423" i="1"/>
  <c r="C423" i="1"/>
  <c r="G422" i="1"/>
  <c r="C422" i="1"/>
  <c r="G421" i="1"/>
  <c r="C421" i="1"/>
  <c r="G420" i="1"/>
  <c r="C420" i="1"/>
  <c r="G419" i="1"/>
  <c r="C419" i="1"/>
  <c r="G418" i="1"/>
  <c r="C418" i="1"/>
  <c r="G417" i="1"/>
  <c r="C417" i="1"/>
  <c r="G416" i="1"/>
  <c r="C416" i="1"/>
  <c r="G415" i="1"/>
  <c r="C415" i="1"/>
  <c r="G414" i="1"/>
  <c r="C414" i="1"/>
  <c r="G413" i="1"/>
  <c r="C413" i="1"/>
  <c r="G412" i="1"/>
  <c r="C412" i="1"/>
  <c r="G411" i="1"/>
  <c r="C411" i="1"/>
  <c r="G410" i="1"/>
  <c r="C410" i="1"/>
  <c r="G409" i="1"/>
  <c r="C409" i="1"/>
  <c r="G408" i="1"/>
  <c r="C408" i="1"/>
  <c r="G407" i="1"/>
  <c r="C407" i="1"/>
  <c r="G405" i="1"/>
  <c r="C405" i="1"/>
  <c r="G404" i="1"/>
  <c r="C404" i="1"/>
  <c r="G403" i="1"/>
  <c r="C403" i="1"/>
  <c r="G402" i="1"/>
  <c r="C402" i="1"/>
  <c r="G401" i="1"/>
  <c r="C401" i="1"/>
  <c r="G400" i="1"/>
  <c r="C400" i="1"/>
  <c r="G399" i="1"/>
  <c r="C399" i="1"/>
  <c r="G398" i="1"/>
  <c r="C398" i="1"/>
  <c r="G397" i="1"/>
  <c r="C397" i="1"/>
  <c r="G396" i="1"/>
  <c r="C396" i="1"/>
  <c r="G395" i="1"/>
  <c r="C395" i="1"/>
  <c r="G394" i="1"/>
  <c r="C394" i="1"/>
  <c r="G393" i="1"/>
  <c r="C393" i="1"/>
  <c r="G392" i="1"/>
  <c r="C392" i="1"/>
  <c r="G391" i="1"/>
  <c r="C391" i="1"/>
  <c r="G390" i="1"/>
  <c r="C390" i="1"/>
  <c r="G389" i="1"/>
  <c r="C389" i="1"/>
  <c r="G388" i="1"/>
  <c r="C388" i="1"/>
  <c r="G387" i="1"/>
  <c r="C387" i="1"/>
  <c r="G386" i="1"/>
  <c r="C386" i="1"/>
  <c r="G385" i="1"/>
  <c r="C385" i="1"/>
  <c r="G384" i="1"/>
  <c r="C384" i="1"/>
  <c r="G383" i="1"/>
  <c r="C383" i="1"/>
  <c r="G382" i="1"/>
  <c r="C382" i="1"/>
  <c r="G381" i="1"/>
  <c r="C381" i="1"/>
  <c r="G380" i="1"/>
  <c r="C380" i="1"/>
  <c r="G379" i="1"/>
  <c r="C379" i="1"/>
  <c r="G378" i="1"/>
  <c r="C378" i="1"/>
  <c r="G377" i="1"/>
  <c r="C377" i="1"/>
  <c r="G376" i="1"/>
  <c r="C376" i="1"/>
  <c r="G375" i="1"/>
  <c r="C375" i="1"/>
  <c r="G374" i="1"/>
  <c r="C374" i="1"/>
  <c r="G373" i="1"/>
  <c r="C373" i="1"/>
  <c r="G372" i="1"/>
  <c r="C372" i="1"/>
  <c r="G371" i="1"/>
  <c r="C371" i="1"/>
  <c r="G370" i="1"/>
  <c r="C370" i="1"/>
  <c r="G369" i="1"/>
  <c r="C369" i="1"/>
  <c r="G368" i="1"/>
  <c r="C368" i="1"/>
  <c r="G367" i="1"/>
  <c r="C367" i="1"/>
  <c r="G366" i="1"/>
  <c r="C366" i="1"/>
  <c r="G365" i="1"/>
  <c r="C365" i="1"/>
  <c r="G364" i="1"/>
  <c r="C364" i="1"/>
  <c r="G363" i="1"/>
  <c r="C363" i="1"/>
  <c r="G362" i="1"/>
  <c r="C362" i="1"/>
  <c r="G361" i="1"/>
  <c r="C361" i="1"/>
  <c r="G360" i="1"/>
  <c r="C360" i="1"/>
  <c r="G359" i="1"/>
  <c r="C359" i="1"/>
  <c r="G358" i="1"/>
  <c r="C358" i="1"/>
  <c r="G357" i="1"/>
  <c r="C357" i="1"/>
  <c r="G355" i="1"/>
  <c r="C355" i="1"/>
  <c r="G354" i="1"/>
  <c r="C354" i="1"/>
  <c r="G353" i="1"/>
  <c r="C353" i="1"/>
  <c r="G352" i="1"/>
  <c r="C352" i="1"/>
  <c r="G351" i="1"/>
  <c r="C351" i="1"/>
  <c r="G350" i="1"/>
  <c r="C350" i="1"/>
  <c r="G349" i="1"/>
  <c r="C349" i="1"/>
  <c r="G348" i="1"/>
  <c r="C348" i="1"/>
  <c r="G347" i="1"/>
  <c r="C347" i="1"/>
  <c r="G346" i="1"/>
  <c r="C346" i="1"/>
  <c r="G345" i="1"/>
  <c r="C345" i="1"/>
  <c r="G344" i="1"/>
  <c r="C344" i="1"/>
  <c r="G343" i="1"/>
  <c r="C343" i="1"/>
  <c r="G342" i="1"/>
  <c r="C342" i="1"/>
  <c r="G341" i="1"/>
  <c r="C341" i="1"/>
  <c r="G340" i="1"/>
  <c r="C340" i="1"/>
  <c r="G339" i="1"/>
  <c r="C339" i="1"/>
  <c r="G338" i="1"/>
  <c r="C338" i="1"/>
  <c r="G337" i="1"/>
  <c r="C337" i="1"/>
  <c r="G336" i="1"/>
  <c r="C336" i="1"/>
  <c r="G335" i="1"/>
  <c r="C335" i="1"/>
  <c r="G334" i="1"/>
  <c r="C334" i="1"/>
  <c r="G333" i="1"/>
  <c r="C333" i="1"/>
  <c r="G332" i="1"/>
  <c r="C332" i="1"/>
  <c r="G331" i="1"/>
  <c r="C331" i="1"/>
  <c r="G330" i="1"/>
  <c r="C330" i="1"/>
  <c r="G329" i="1"/>
  <c r="C329" i="1"/>
  <c r="G328" i="1"/>
  <c r="C328" i="1"/>
  <c r="G327" i="1"/>
  <c r="C327" i="1"/>
  <c r="G326" i="1"/>
  <c r="C326" i="1"/>
  <c r="G325" i="1"/>
  <c r="C325" i="1"/>
  <c r="G324" i="1"/>
  <c r="C324" i="1"/>
  <c r="G323" i="1"/>
  <c r="C323" i="1"/>
  <c r="G322" i="1"/>
  <c r="C322" i="1"/>
  <c r="G321" i="1"/>
  <c r="C321" i="1"/>
  <c r="G320" i="1"/>
  <c r="C320" i="1"/>
  <c r="G319" i="1"/>
  <c r="C319" i="1"/>
  <c r="G318" i="1"/>
  <c r="C318" i="1"/>
  <c r="G317" i="1"/>
  <c r="C317" i="1"/>
  <c r="G316" i="1"/>
  <c r="C316" i="1"/>
  <c r="G315" i="1"/>
  <c r="C315" i="1"/>
  <c r="G314" i="1"/>
  <c r="C314" i="1"/>
  <c r="G313" i="1"/>
  <c r="C313" i="1"/>
  <c r="G312" i="1"/>
  <c r="C312" i="1"/>
  <c r="G311" i="1"/>
  <c r="C311" i="1"/>
  <c r="G310" i="1"/>
  <c r="C310" i="1"/>
  <c r="G309" i="1"/>
  <c r="C309" i="1"/>
  <c r="G308" i="1"/>
  <c r="C308" i="1"/>
  <c r="G307" i="1"/>
  <c r="C307" i="1"/>
  <c r="G306" i="1"/>
  <c r="C306" i="1"/>
  <c r="G305" i="1"/>
  <c r="C305" i="1"/>
  <c r="G304" i="1"/>
  <c r="C304" i="1"/>
  <c r="G301" i="1"/>
  <c r="C301" i="1"/>
  <c r="G300" i="1"/>
  <c r="C300" i="1"/>
  <c r="G299" i="1"/>
  <c r="C299" i="1"/>
  <c r="G298" i="1"/>
  <c r="C298" i="1"/>
  <c r="G297" i="1"/>
  <c r="C297" i="1"/>
  <c r="G296" i="1"/>
  <c r="C296" i="1"/>
  <c r="G295" i="1"/>
  <c r="C295" i="1"/>
  <c r="G294" i="1"/>
  <c r="C294" i="1"/>
  <c r="G293" i="1"/>
  <c r="C293" i="1"/>
  <c r="G292" i="1"/>
  <c r="C292" i="1"/>
  <c r="G291" i="1"/>
  <c r="C291" i="1"/>
  <c r="G290" i="1"/>
  <c r="C290" i="1"/>
  <c r="G289" i="1"/>
  <c r="C289" i="1"/>
  <c r="G288" i="1"/>
  <c r="C288" i="1"/>
  <c r="G287" i="1"/>
  <c r="C287" i="1"/>
  <c r="G286" i="1"/>
  <c r="C286" i="1"/>
  <c r="G285" i="1"/>
  <c r="C285" i="1"/>
  <c r="G284" i="1"/>
  <c r="C284" i="1"/>
  <c r="G283" i="1"/>
  <c r="C283" i="1"/>
  <c r="G282" i="1"/>
  <c r="C282" i="1"/>
  <c r="G281" i="1"/>
  <c r="C281" i="1"/>
  <c r="G280" i="1"/>
  <c r="C280" i="1"/>
  <c r="G279" i="1"/>
  <c r="C279" i="1"/>
  <c r="G278" i="1"/>
  <c r="C278" i="1"/>
  <c r="G277" i="1"/>
  <c r="C277" i="1"/>
  <c r="G276" i="1"/>
  <c r="C276" i="1"/>
  <c r="G275" i="1"/>
  <c r="C275" i="1"/>
  <c r="G274" i="1"/>
  <c r="C274" i="1"/>
  <c r="G273" i="1"/>
  <c r="C273" i="1"/>
  <c r="G272" i="1"/>
  <c r="C272" i="1"/>
  <c r="G271" i="1"/>
  <c r="C271" i="1"/>
  <c r="G269" i="1"/>
  <c r="C269" i="1"/>
  <c r="G268" i="1"/>
  <c r="C268" i="1"/>
  <c r="G267" i="1"/>
  <c r="C267" i="1"/>
  <c r="G266" i="1"/>
  <c r="C266" i="1"/>
  <c r="G265" i="1"/>
  <c r="C265" i="1"/>
  <c r="G264" i="1"/>
  <c r="C264" i="1"/>
  <c r="G263" i="1"/>
  <c r="C263" i="1"/>
  <c r="G262" i="1"/>
  <c r="C262" i="1"/>
  <c r="G261" i="1"/>
  <c r="C261" i="1"/>
  <c r="G260" i="1"/>
  <c r="C260" i="1"/>
  <c r="G259" i="1"/>
  <c r="C259" i="1"/>
  <c r="G258" i="1"/>
  <c r="C258" i="1"/>
  <c r="G257" i="1"/>
  <c r="C257" i="1"/>
  <c r="G256" i="1"/>
  <c r="C256" i="1"/>
  <c r="G255" i="1"/>
  <c r="C255" i="1"/>
  <c r="G254" i="1"/>
  <c r="C254" i="1"/>
  <c r="G253" i="1"/>
  <c r="C253" i="1"/>
  <c r="G252" i="1"/>
  <c r="C252" i="1"/>
  <c r="G251" i="1"/>
  <c r="C251" i="1"/>
  <c r="G250" i="1"/>
  <c r="C250" i="1"/>
  <c r="G249" i="1"/>
  <c r="C249" i="1"/>
  <c r="G248" i="1"/>
  <c r="C248" i="1"/>
  <c r="G247" i="1"/>
  <c r="C247" i="1"/>
  <c r="G246" i="1"/>
  <c r="C246" i="1"/>
  <c r="G245" i="1"/>
  <c r="C245" i="1"/>
  <c r="G244" i="1"/>
  <c r="C244" i="1"/>
  <c r="G242" i="1"/>
  <c r="C242" i="1"/>
  <c r="G241" i="1"/>
  <c r="C241" i="1"/>
  <c r="G240" i="1"/>
  <c r="C240" i="1"/>
  <c r="G239" i="1"/>
  <c r="C239" i="1"/>
  <c r="G238" i="1"/>
  <c r="C238" i="1"/>
  <c r="G237" i="1"/>
  <c r="C237" i="1"/>
  <c r="G236" i="1"/>
  <c r="C236" i="1"/>
  <c r="G235" i="1"/>
  <c r="C235" i="1"/>
  <c r="G234" i="1"/>
  <c r="C234" i="1"/>
  <c r="G233" i="1"/>
  <c r="C233" i="1"/>
  <c r="G232" i="1"/>
  <c r="C232" i="1"/>
  <c r="G231" i="1"/>
  <c r="C231" i="1"/>
  <c r="G230" i="1"/>
  <c r="C230" i="1"/>
  <c r="G229" i="1"/>
  <c r="C229" i="1"/>
  <c r="G228" i="1"/>
  <c r="C228" i="1"/>
  <c r="G227" i="1"/>
  <c r="C227" i="1"/>
  <c r="G226" i="1"/>
  <c r="C226" i="1"/>
  <c r="G225" i="1"/>
  <c r="C225" i="1"/>
  <c r="G224" i="1"/>
  <c r="C224" i="1"/>
  <c r="G223" i="1"/>
  <c r="C223" i="1"/>
  <c r="G221" i="1"/>
  <c r="C221" i="1"/>
  <c r="G220" i="1"/>
  <c r="C220" i="1"/>
  <c r="G219" i="1"/>
  <c r="C219" i="1"/>
  <c r="G218" i="1"/>
  <c r="C218" i="1"/>
  <c r="G217" i="1"/>
  <c r="C217" i="1"/>
  <c r="G216" i="1"/>
  <c r="C216" i="1"/>
  <c r="G215" i="1"/>
  <c r="C215" i="1"/>
  <c r="G214" i="1"/>
  <c r="C214" i="1"/>
  <c r="G213" i="1"/>
  <c r="C213" i="1"/>
  <c r="G212" i="1"/>
  <c r="C212" i="1"/>
  <c r="G211" i="1"/>
  <c r="C211" i="1"/>
  <c r="G210" i="1"/>
  <c r="C210" i="1"/>
  <c r="G209" i="1"/>
  <c r="C209" i="1"/>
  <c r="G208" i="1"/>
  <c r="C208" i="1"/>
  <c r="G207" i="1"/>
  <c r="C207" i="1"/>
  <c r="G206" i="1"/>
  <c r="C206" i="1"/>
  <c r="G205" i="1"/>
  <c r="C205" i="1"/>
  <c r="G204" i="1"/>
  <c r="C204" i="1"/>
  <c r="G203" i="1"/>
  <c r="C203" i="1"/>
  <c r="G202" i="1"/>
  <c r="C202" i="1"/>
  <c r="G201" i="1"/>
  <c r="C201" i="1"/>
  <c r="G200" i="1"/>
  <c r="C200" i="1"/>
  <c r="G199" i="1"/>
  <c r="C199" i="1"/>
  <c r="G198" i="1"/>
  <c r="C198" i="1"/>
  <c r="G197" i="1"/>
  <c r="C197" i="1"/>
  <c r="G196" i="1"/>
  <c r="C196" i="1"/>
  <c r="G195" i="1"/>
  <c r="C195" i="1"/>
  <c r="G194" i="1"/>
  <c r="C194" i="1"/>
  <c r="G193" i="1"/>
  <c r="C193" i="1"/>
  <c r="G192" i="1"/>
  <c r="C192" i="1"/>
  <c r="G191" i="1"/>
  <c r="C191" i="1"/>
  <c r="G190" i="1"/>
  <c r="C190" i="1"/>
  <c r="G189" i="1"/>
  <c r="C189" i="1"/>
  <c r="G188" i="1"/>
  <c r="C188" i="1"/>
  <c r="G187" i="1"/>
  <c r="C187" i="1"/>
  <c r="G186" i="1"/>
  <c r="C186" i="1"/>
  <c r="G185" i="1"/>
  <c r="C185" i="1"/>
  <c r="G184" i="1"/>
  <c r="C184" i="1"/>
  <c r="G183" i="1"/>
  <c r="C183" i="1"/>
  <c r="G182" i="1"/>
  <c r="C182" i="1"/>
  <c r="G181" i="1"/>
  <c r="C181" i="1"/>
  <c r="G180" i="1"/>
  <c r="C180" i="1"/>
  <c r="G179" i="1"/>
  <c r="C179" i="1"/>
  <c r="G177" i="1"/>
  <c r="C177" i="1"/>
  <c r="G176" i="1"/>
  <c r="C176" i="1"/>
  <c r="G175" i="1"/>
  <c r="C175" i="1"/>
  <c r="G174" i="1"/>
  <c r="C174" i="1"/>
  <c r="G173" i="1"/>
  <c r="C173" i="1"/>
  <c r="G172" i="1"/>
  <c r="C172" i="1"/>
  <c r="G171" i="1"/>
  <c r="C171" i="1"/>
  <c r="G170" i="1"/>
  <c r="C170" i="1"/>
  <c r="G169" i="1"/>
  <c r="C169" i="1"/>
  <c r="G168" i="1"/>
  <c r="C168" i="1"/>
  <c r="G167" i="1"/>
  <c r="C167" i="1"/>
  <c r="G166" i="1"/>
  <c r="C166" i="1"/>
  <c r="G165" i="1"/>
  <c r="C165" i="1"/>
  <c r="G164" i="1"/>
  <c r="C164" i="1"/>
  <c r="G163" i="1"/>
  <c r="C163" i="1"/>
  <c r="G162" i="1"/>
  <c r="C162" i="1"/>
  <c r="G161" i="1"/>
  <c r="C161" i="1"/>
  <c r="G160" i="1"/>
  <c r="C160" i="1"/>
  <c r="G159" i="1"/>
  <c r="C159" i="1"/>
  <c r="G158" i="1"/>
  <c r="C158" i="1"/>
  <c r="G157" i="1"/>
  <c r="C157" i="1"/>
  <c r="G156" i="1"/>
  <c r="C156" i="1"/>
  <c r="G155" i="1"/>
  <c r="C155" i="1"/>
  <c r="G154" i="1"/>
  <c r="C154" i="1"/>
  <c r="G153" i="1"/>
  <c r="C153" i="1"/>
  <c r="G152" i="1"/>
  <c r="C152" i="1"/>
  <c r="G151" i="1"/>
  <c r="C151" i="1"/>
  <c r="G150" i="1"/>
  <c r="C150" i="1"/>
  <c r="G149" i="1"/>
  <c r="C149" i="1"/>
  <c r="G148" i="1"/>
  <c r="C148" i="1"/>
  <c r="G147" i="1"/>
  <c r="C147" i="1"/>
  <c r="G146" i="1"/>
  <c r="C146" i="1"/>
  <c r="G145" i="1"/>
  <c r="C145" i="1"/>
  <c r="G143" i="1"/>
  <c r="C143" i="1"/>
  <c r="G142" i="1"/>
  <c r="C142" i="1"/>
  <c r="G141" i="1"/>
  <c r="C141" i="1"/>
  <c r="G140" i="1"/>
  <c r="C140" i="1"/>
  <c r="G139" i="1"/>
  <c r="C139" i="1"/>
  <c r="G138" i="1"/>
  <c r="C138" i="1"/>
  <c r="G137" i="1"/>
  <c r="C137" i="1"/>
  <c r="G135" i="1"/>
  <c r="C135" i="1"/>
  <c r="G134" i="1"/>
  <c r="C134" i="1"/>
  <c r="G133" i="1"/>
  <c r="C133" i="1"/>
  <c r="G132" i="1"/>
  <c r="C132" i="1"/>
  <c r="G131" i="1"/>
  <c r="C131" i="1"/>
  <c r="G130" i="1"/>
  <c r="C130" i="1"/>
  <c r="G129" i="1"/>
  <c r="C129" i="1"/>
  <c r="G128" i="1"/>
  <c r="C128" i="1"/>
  <c r="G127" i="1"/>
  <c r="C127" i="1"/>
  <c r="G126" i="1"/>
  <c r="C126" i="1"/>
  <c r="G125" i="1"/>
  <c r="C125" i="1"/>
  <c r="G124" i="1"/>
  <c r="C124" i="1"/>
  <c r="G123" i="1"/>
  <c r="C123" i="1"/>
  <c r="G122" i="1"/>
  <c r="C122" i="1"/>
  <c r="G121" i="1"/>
  <c r="C121" i="1"/>
  <c r="G120" i="1"/>
  <c r="C120" i="1"/>
  <c r="G119" i="1"/>
  <c r="C119" i="1"/>
  <c r="G118" i="1"/>
  <c r="C118" i="1"/>
  <c r="G117" i="1"/>
  <c r="C117" i="1"/>
  <c r="G116" i="1"/>
  <c r="C116" i="1"/>
  <c r="G115" i="1"/>
  <c r="C115" i="1"/>
  <c r="G114" i="1"/>
  <c r="C114" i="1"/>
  <c r="G113" i="1"/>
  <c r="C113" i="1"/>
  <c r="G112" i="1"/>
  <c r="C112" i="1"/>
  <c r="G111" i="1"/>
  <c r="C111" i="1"/>
  <c r="G110" i="1"/>
  <c r="C110" i="1"/>
  <c r="G109" i="1"/>
  <c r="C109" i="1"/>
  <c r="G108" i="1"/>
  <c r="C108" i="1"/>
  <c r="G107" i="1"/>
  <c r="C107" i="1"/>
  <c r="G106" i="1"/>
  <c r="C106" i="1"/>
  <c r="G105" i="1"/>
  <c r="C105" i="1"/>
  <c r="G103" i="1"/>
  <c r="C103" i="1"/>
  <c r="G102" i="1"/>
  <c r="C102" i="1"/>
  <c r="G101" i="1"/>
  <c r="C101" i="1"/>
  <c r="G100" i="1"/>
  <c r="C100" i="1"/>
  <c r="G99" i="1"/>
  <c r="C99" i="1"/>
  <c r="G98" i="1"/>
  <c r="C98" i="1"/>
  <c r="G97" i="1"/>
  <c r="C97" i="1"/>
  <c r="G96" i="1"/>
  <c r="C96" i="1"/>
  <c r="G95" i="1"/>
  <c r="C95" i="1"/>
  <c r="G94" i="1"/>
  <c r="C94" i="1"/>
  <c r="G93" i="1"/>
  <c r="C93" i="1"/>
  <c r="G92" i="1"/>
  <c r="C92" i="1"/>
  <c r="G91" i="1"/>
  <c r="C91" i="1"/>
  <c r="G90" i="1"/>
  <c r="C90" i="1"/>
  <c r="G89" i="1"/>
  <c r="C89" i="1"/>
  <c r="G88" i="1"/>
  <c r="C88" i="1"/>
  <c r="G87" i="1"/>
  <c r="C87" i="1"/>
  <c r="G86" i="1"/>
  <c r="C86" i="1"/>
  <c r="G85" i="1"/>
  <c r="C85" i="1"/>
  <c r="G84" i="1"/>
  <c r="C84" i="1"/>
  <c r="G83" i="1"/>
  <c r="C83" i="1"/>
  <c r="G82" i="1"/>
  <c r="C82" i="1"/>
  <c r="G81" i="1"/>
  <c r="C81" i="1"/>
  <c r="G80" i="1"/>
  <c r="C80" i="1"/>
  <c r="G79" i="1"/>
  <c r="C79" i="1"/>
  <c r="G78" i="1"/>
  <c r="C78" i="1"/>
  <c r="G77" i="1"/>
  <c r="C77" i="1"/>
  <c r="G76" i="1"/>
  <c r="C76" i="1"/>
  <c r="G75" i="1"/>
  <c r="C75" i="1"/>
  <c r="G74" i="1"/>
  <c r="C74" i="1"/>
  <c r="G73" i="1"/>
  <c r="C73" i="1"/>
  <c r="G72" i="1"/>
  <c r="C72" i="1"/>
  <c r="G71" i="1"/>
  <c r="C71" i="1"/>
  <c r="G70" i="1"/>
  <c r="C70" i="1"/>
  <c r="G69" i="1"/>
  <c r="C69" i="1"/>
  <c r="G66" i="1"/>
  <c r="C66" i="1"/>
  <c r="G65" i="1"/>
  <c r="C65" i="1"/>
  <c r="G64" i="1"/>
  <c r="C64" i="1"/>
  <c r="G63" i="1"/>
  <c r="C63" i="1"/>
  <c r="G62" i="1"/>
  <c r="C62" i="1"/>
  <c r="G61" i="1"/>
  <c r="C61" i="1"/>
  <c r="G60" i="1"/>
  <c r="C60" i="1"/>
  <c r="G59" i="1"/>
  <c r="C59" i="1"/>
  <c r="G58" i="1"/>
  <c r="C58" i="1"/>
  <c r="G57" i="1"/>
  <c r="C57" i="1"/>
  <c r="G56" i="1"/>
  <c r="C56" i="1"/>
  <c r="G55" i="1"/>
  <c r="C55" i="1"/>
  <c r="G54" i="1"/>
  <c r="C54" i="1"/>
  <c r="G53" i="1"/>
  <c r="C53" i="1"/>
  <c r="G52" i="1"/>
  <c r="C52" i="1"/>
  <c r="G51" i="1"/>
  <c r="C51" i="1"/>
  <c r="G50" i="1"/>
  <c r="C50" i="1"/>
  <c r="G49" i="1"/>
  <c r="C49" i="1"/>
  <c r="G48" i="1"/>
  <c r="C48" i="1"/>
  <c r="G47" i="1"/>
  <c r="C47" i="1"/>
  <c r="G46" i="1"/>
  <c r="C46" i="1"/>
  <c r="G45" i="1"/>
  <c r="C45" i="1"/>
  <c r="G44" i="1"/>
  <c r="C44" i="1"/>
  <c r="G43" i="1"/>
  <c r="C43" i="1"/>
  <c r="G42" i="1"/>
  <c r="C42" i="1"/>
  <c r="G41" i="1"/>
  <c r="C41" i="1"/>
  <c r="G40" i="1"/>
  <c r="C40" i="1"/>
  <c r="G39" i="1"/>
  <c r="C39" i="1"/>
  <c r="G38" i="1"/>
  <c r="C38" i="1"/>
  <c r="G37" i="1"/>
  <c r="C37" i="1"/>
  <c r="G36" i="1"/>
  <c r="C36" i="1"/>
  <c r="G35" i="1"/>
  <c r="C35" i="1"/>
  <c r="G34" i="1"/>
  <c r="C34" i="1"/>
  <c r="G33" i="1"/>
  <c r="C33" i="1"/>
  <c r="G32" i="1"/>
  <c r="C32" i="1"/>
  <c r="G31" i="1"/>
  <c r="C31" i="1"/>
  <c r="G30" i="1"/>
  <c r="C30" i="1"/>
  <c r="G29" i="1"/>
  <c r="C29" i="1"/>
  <c r="G28" i="1"/>
  <c r="C28" i="1"/>
  <c r="G27" i="1"/>
  <c r="C27" i="1"/>
  <c r="G26" i="1"/>
  <c r="C26" i="1"/>
  <c r="G25" i="1"/>
  <c r="C25" i="1"/>
  <c r="G24" i="1"/>
  <c r="C24" i="1"/>
  <c r="G23" i="1"/>
  <c r="C23" i="1"/>
  <c r="G22" i="1"/>
  <c r="C22" i="1"/>
  <c r="G21" i="1"/>
  <c r="C21" i="1"/>
  <c r="G20" i="1"/>
  <c r="C20" i="1"/>
  <c r="G19" i="1"/>
  <c r="C19" i="1"/>
  <c r="G18" i="1"/>
  <c r="C18" i="1"/>
  <c r="G17" i="1"/>
  <c r="C17" i="1"/>
  <c r="G16" i="1"/>
  <c r="C16" i="1"/>
  <c r="G15" i="1"/>
  <c r="C15" i="1"/>
  <c r="G14" i="1"/>
  <c r="C14" i="1"/>
  <c r="G13" i="1"/>
  <c r="C13" i="1"/>
  <c r="G12" i="1"/>
  <c r="C12" i="1"/>
  <c r="G11" i="1"/>
  <c r="C11" i="1"/>
  <c r="G10" i="1"/>
  <c r="C10" i="1"/>
  <c r="G9" i="1"/>
  <c r="C9" i="1"/>
  <c r="G8" i="1"/>
  <c r="C8" i="1"/>
  <c r="G7" i="1"/>
  <c r="C7" i="1"/>
</calcChain>
</file>

<file path=xl/sharedStrings.xml><?xml version="1.0" encoding="utf-8"?>
<sst xmlns="http://schemas.openxmlformats.org/spreadsheetml/2006/main" count="73116" uniqueCount="43855">
  <si>
    <t>Код</t>
  </si>
  <si>
    <t>Наименование товаров</t>
  </si>
  <si>
    <t>Наличие</t>
  </si>
  <si>
    <t>Заказ</t>
  </si>
  <si>
    <t>Сумма</t>
  </si>
  <si>
    <t>Краснофлотская</t>
  </si>
  <si>
    <t>Глинки</t>
  </si>
  <si>
    <t>100-114 Замки</t>
  </si>
  <si>
    <t>100 Механизмы к замкам</t>
  </si>
  <si>
    <t>10031</t>
  </si>
  <si>
    <t>Винт с потайной головкой полная резьба 5*60 (крепл.механизма) 4 шт</t>
  </si>
  <si>
    <t>*</t>
  </si>
  <si>
    <t>10014</t>
  </si>
  <si>
    <t>Механизм цилиндровый Z100A-60-G золото 5 латун.кл. /12/</t>
  </si>
  <si>
    <t>**</t>
  </si>
  <si>
    <t>10012</t>
  </si>
  <si>
    <t>Механизм цилиндровый Z100A-60-V-G золото 5 латун.кл/верт /12/</t>
  </si>
  <si>
    <t>10019</t>
  </si>
  <si>
    <t>Механизм цилиндровый Z100A-70-G золото 5 латун.кл. /12/</t>
  </si>
  <si>
    <t>10022</t>
  </si>
  <si>
    <t>Механизм цилиндровый Z100A-80-G золото 5 латун.кл. /12/</t>
  </si>
  <si>
    <t>10033</t>
  </si>
  <si>
    <t>Механизм цилиндровый Z100A-80-V-G золото 5 латун.кл/верт /12/</t>
  </si>
  <si>
    <t>10073</t>
  </si>
  <si>
    <t>Механизм цилиндровый Z100A-90-G золото 5 латун.кл. /12/</t>
  </si>
  <si>
    <t>10059</t>
  </si>
  <si>
    <t>Механизм цилиндровый Z100A-90-V-G золото 5 латун.кл/верт /12/</t>
  </si>
  <si>
    <t>10029</t>
  </si>
  <si>
    <t>Механизм цилиндровый Z100Р-100-G золото 5 перфо кл/кл /12/</t>
  </si>
  <si>
    <t>10084</t>
  </si>
  <si>
    <t>Механизм цилиндровый Z100Р-100-V-G золото 5 перфо кл/верт /12/</t>
  </si>
  <si>
    <t>10050</t>
  </si>
  <si>
    <t>Механизм цилиндровый Z100Р-60-G золото 5 перфо кл/кл /12/</t>
  </si>
  <si>
    <t>10061</t>
  </si>
  <si>
    <t>Механизм цилиндровый Z100Р-60-V-G золото 5 перфо кл/верт /12/</t>
  </si>
  <si>
    <t>10067</t>
  </si>
  <si>
    <t>Механизм цилиндровый Z100Р-70-G золото 5 перфо кл/кл /12/</t>
  </si>
  <si>
    <t>10077</t>
  </si>
  <si>
    <t>Механизм цилиндровый Z100Р-70-V-G золото 5 перфо кл/верт /12/</t>
  </si>
  <si>
    <t>10088</t>
  </si>
  <si>
    <t>Механизм цилиндровый Z100Р-80-G золото 5 перфо кл/кл /12/</t>
  </si>
  <si>
    <t>10015</t>
  </si>
  <si>
    <t>Механизм цилиндровый Z100Р-80(35/45)-G золото 5 перфо кл/кл /12/</t>
  </si>
  <si>
    <t>10018</t>
  </si>
  <si>
    <t>Механизм цилиндровый Z100Р-90-G золото 5 перфо кл/кл /12/</t>
  </si>
  <si>
    <t>10058</t>
  </si>
  <si>
    <t>Механизм цилиндровый Z100Р-90-V-G золото 5 перфо кл/верт /12/</t>
  </si>
  <si>
    <t>10090</t>
  </si>
  <si>
    <t>Механизм цилиндровый Z100Р-90(35/55)-G золото 5 перфо кл/кл /12/</t>
  </si>
  <si>
    <t>10025</t>
  </si>
  <si>
    <t>Механизм цилиндровый Z100Р-90(40/50)-G золото 5 перфо кл/кл /12/</t>
  </si>
  <si>
    <t>10072</t>
  </si>
  <si>
    <t>Механизм цилиндровый Антал ZA(МЦ)-60-G-5 кл ключ/ключ 60 мм Латунир /12/</t>
  </si>
  <si>
    <t>***</t>
  </si>
  <si>
    <t>10000</t>
  </si>
  <si>
    <t>Механизм цилиндровый Антал ZA(МЦ)-60-G-V-6кл ключ/верт 60 мм Латунир /12/</t>
  </si>
  <si>
    <t>10044</t>
  </si>
  <si>
    <t>Механизм цилиндровый Антал ZA(МЦ)-60-N-5кл 60 мм Хром /12/</t>
  </si>
  <si>
    <t>10036</t>
  </si>
  <si>
    <t>Механизм цилиндровый Антал ZA(МЦ)-60-N-V-6кл ключ/верт 60 мм Хром /12/</t>
  </si>
  <si>
    <t>10026</t>
  </si>
  <si>
    <t>Механизм цилиндровый Антал ZA(МЦ)-70-G-5кл кл/кл 70 мм Латунир /12/</t>
  </si>
  <si>
    <t>10047</t>
  </si>
  <si>
    <t>Механизм цилиндровый Антал ZA(МЦ)-70-N-5кл кл/кл 70 мм Хром /12/</t>
  </si>
  <si>
    <t>10032</t>
  </si>
  <si>
    <t>Механизм цилиндровый Антал ZA(МЦ)-70-N-V-5кл ключ/верт 70 мм Хром /12/</t>
  </si>
  <si>
    <t>10028</t>
  </si>
  <si>
    <t>Механизм цилиндровый Антал ZA(МЦ)-80-G-6кл 80 мм Латунир /12/</t>
  </si>
  <si>
    <t>10076</t>
  </si>
  <si>
    <t>Механизм цилиндровый Антал ZA(МЦ)-80-G-V-6кл 80 мм Латунир /12/</t>
  </si>
  <si>
    <t>10062</t>
  </si>
  <si>
    <t>Механизм цилиндровый Антал ZA(МЦ)-80-N-6кл 80 мм Хром /12/</t>
  </si>
  <si>
    <t>10089</t>
  </si>
  <si>
    <t>Механизм цилиндровый Антал ZA(МЦ)-80-N-V-6кл 80 мм Хром /12/</t>
  </si>
  <si>
    <t>10006</t>
  </si>
  <si>
    <t>Механизм цилиндровый Антал ZP-100-N Хром 5-перфо кл/кл /12/</t>
  </si>
  <si>
    <t>10010</t>
  </si>
  <si>
    <t>Механизм цилиндровый Антал ZP-100-V-N Хром 5-перфо кл/вертушка /12/</t>
  </si>
  <si>
    <t>10011</t>
  </si>
  <si>
    <t>Механизм цилиндровый Антал ZP-110-N Хром 5-перфо кл/кл /12/72/</t>
  </si>
  <si>
    <t>10016</t>
  </si>
  <si>
    <t>Механизм цилиндровый Антал ZP-60-N Хром 5-перфо кл/кл /12/72/</t>
  </si>
  <si>
    <t>10023</t>
  </si>
  <si>
    <t>Механизм цилиндровый Антал ZP-60-V-N Хром 5-перфо кл/вертушка /12/72/</t>
  </si>
  <si>
    <t>10027</t>
  </si>
  <si>
    <t>Механизм цилиндровый Антал ZP-70-N Хром 5-перфо кл/кл /12/</t>
  </si>
  <si>
    <t>10035</t>
  </si>
  <si>
    <t>Механизм цилиндровый Антал ZP-70-V-N Хром 5-перфо кл/вертушка /12/</t>
  </si>
  <si>
    <t>10037</t>
  </si>
  <si>
    <t>Механизм цилиндровый Антал ZP-80-N Хром 5-перфо кл/кл /12/72/</t>
  </si>
  <si>
    <t>10039</t>
  </si>
  <si>
    <t>Механизм цилиндровый Антал ZP-80-V-N Хром 5-перфо кл/вертушка /12/</t>
  </si>
  <si>
    <t>10055</t>
  </si>
  <si>
    <t>Механизм цилиндровый Антал ZP-80(35+45)-N Хром 5-перфо кл/кл /12/</t>
  </si>
  <si>
    <t>10063</t>
  </si>
  <si>
    <t>Механизм цилиндровый Антал ZP-90-N Хром 5-перфо кл/кл /12/</t>
  </si>
  <si>
    <t>10066</t>
  </si>
  <si>
    <t>Механизм цилиндровый Антал ZP-90-V-N Хром 5-перфо кл/вертушка /12/</t>
  </si>
  <si>
    <t>10071</t>
  </si>
  <si>
    <t>Механизм цилиндровый Антал ZP-90(35+55)-N никель 5-перфо кл/кл /12/</t>
  </si>
  <si>
    <t>10078</t>
  </si>
  <si>
    <t>Механизм цилиндровый Арико МЧ-Н 6кл. /120/</t>
  </si>
  <si>
    <t>10093</t>
  </si>
  <si>
    <t>Механизм цилиндровый Балтика</t>
  </si>
  <si>
    <t>15306</t>
  </si>
  <si>
    <t>Механизм цилиндровый Барановичи ЗВД-4 (Ш 025)</t>
  </si>
  <si>
    <t>****</t>
  </si>
  <si>
    <t>15001</t>
  </si>
  <si>
    <t>Механизм цилиндровый Глазов ЗН1.02.00 5кл</t>
  </si>
  <si>
    <t>10070</t>
  </si>
  <si>
    <t>Механизм цилиндровый Зенит ЗАЗ МЦ1 4кл /100/</t>
  </si>
  <si>
    <t>10049</t>
  </si>
  <si>
    <t>Механизм цилиндровый Зенит ЗАЗ МЦ1 6кл /100/</t>
  </si>
  <si>
    <t>10041</t>
  </si>
  <si>
    <t>Механизм цилиндровый Зенит МЦ 1-6 врезной /100/</t>
  </si>
  <si>
    <t>15316</t>
  </si>
  <si>
    <t>Механизм цилиндровый Зенит МЦ 8-6 4кл нак. /100/</t>
  </si>
  <si>
    <t>10043</t>
  </si>
  <si>
    <t>Механизм цилиндровый Норма Апекс RT-62-C-G ключ-вертушка латунь золото /10/</t>
  </si>
  <si>
    <t>10001</t>
  </si>
  <si>
    <t>Механизм цилиндровый Норма Апекс SC-60-Z-G ключ-ключ латунь золото 30*30 /10/</t>
  </si>
  <si>
    <t>10046</t>
  </si>
  <si>
    <t>Механизм цилиндровый Норма Апекс SC-70-Z-C-Ni ключ-вертушка латунь никель 35*35 /10/</t>
  </si>
  <si>
    <t>10004</t>
  </si>
  <si>
    <t>Механизм цилиндровый Норма Апекс SC-70-Z-G ключ-ключ латунь золото 35*35 /10/</t>
  </si>
  <si>
    <t>10040</t>
  </si>
  <si>
    <t>Механизм цилиндровый Норма Апекс ЦМ SМ-90-Z-G перфокл.золото /10/</t>
  </si>
  <si>
    <t>10087</t>
  </si>
  <si>
    <t>Механизм цилиндровый Пенза (3 ключа) /20/</t>
  </si>
  <si>
    <t>10083</t>
  </si>
  <si>
    <t>Механизм цилиндровый Сазар МЦ75</t>
  </si>
  <si>
    <t>10068</t>
  </si>
  <si>
    <t>Механизм цилиндровый ШО 25 (ЗВД-4) /50/</t>
  </si>
  <si>
    <t>101-104 Замки врезные</t>
  </si>
  <si>
    <t>101 Замки врезные прочие</t>
  </si>
  <si>
    <t>10132</t>
  </si>
  <si>
    <t>Замок врезной SET 1511 СР (хром) 6кл цил.60 /15/</t>
  </si>
  <si>
    <t>10148</t>
  </si>
  <si>
    <t>Замок врезной SET 9011 АВ (бронза) 6кл цил.60 /15/</t>
  </si>
  <si>
    <t>10161</t>
  </si>
  <si>
    <t>Замок врезной Trodos 189К хром 202134</t>
  </si>
  <si>
    <t>10181</t>
  </si>
  <si>
    <t>Замок врезной Trodos 50/106-ЦМ70 SN никель 202049</t>
  </si>
  <si>
    <t>10146</t>
  </si>
  <si>
    <t>Замок врезной Абсолют 3В4-3/03 Зенит серебро /15/</t>
  </si>
  <si>
    <t>10131</t>
  </si>
  <si>
    <t>Замок врезной Абсолют 3В9.2-07 Зенит медь /15/</t>
  </si>
  <si>
    <t>10143</t>
  </si>
  <si>
    <t>Замок врезной Абсолют 3В9.2-08 Зенит медь /15/</t>
  </si>
  <si>
    <t>10147</t>
  </si>
  <si>
    <t>Замок врезной Абсолют 3В9.2-08 Зенит серебро /15/</t>
  </si>
  <si>
    <t>10122</t>
  </si>
  <si>
    <t>Замок врезной Аверс 0823/60 G золото /24/</t>
  </si>
  <si>
    <t>10115</t>
  </si>
  <si>
    <t>Замок врезной Аверс 0823/60 Ni никель /24/</t>
  </si>
  <si>
    <t>10171</t>
  </si>
  <si>
    <t>Замок врезной Аверс ЗВ4-1-8 белый /10/</t>
  </si>
  <si>
    <t>10172</t>
  </si>
  <si>
    <t>Замок врезной Аверс ЗВ4-1-8 медь /10/</t>
  </si>
  <si>
    <t>10174</t>
  </si>
  <si>
    <t>Замок врезной Аверс ЗВ4-1-8 серебро /10/</t>
  </si>
  <si>
    <t>10150</t>
  </si>
  <si>
    <t>Замок врезной Антал SP-A-L цил.перф./6кл Левый (Китайские двери) /12/</t>
  </si>
  <si>
    <t>10159</t>
  </si>
  <si>
    <t>Замок врезной Антал SP-A-R цил.перф./6кл Правый (Китайские двери) /12/</t>
  </si>
  <si>
    <t>10187</t>
  </si>
  <si>
    <t>Замок врезной Антал SP-М-L б/цил.перф./6кл Левый (Китайские двери) кругл /12/</t>
  </si>
  <si>
    <t>10192</t>
  </si>
  <si>
    <t>Замок врезной Антал SP-М-R б/цил.перф./6кл Правый (Китайские двери) кругл /12/</t>
  </si>
  <si>
    <t>10182</t>
  </si>
  <si>
    <t>Замок врезной Антал ЗВ 189-3MФ-5 (5кл) /30/</t>
  </si>
  <si>
    <t>10183</t>
  </si>
  <si>
    <t>Замок врезной Антал ЗВ 189-4MФ-5 (5кл) /30/</t>
  </si>
  <si>
    <t>10184</t>
  </si>
  <si>
    <t>Замок врезной Антал ЗВ 900-АФ-5 (5кл) /60/</t>
  </si>
  <si>
    <t>10126</t>
  </si>
  <si>
    <t>Замок врезной Гюрал ЗВ 8-5 /16/</t>
  </si>
  <si>
    <t>10136</t>
  </si>
  <si>
    <t>Замок врезной Гюрал ЗВ 8-6 /24/</t>
  </si>
  <si>
    <t>10124</t>
  </si>
  <si>
    <t>Замок врезной Гюрал ЗВ 8-7 3кл /13/</t>
  </si>
  <si>
    <t>10151</t>
  </si>
  <si>
    <t>Замок врезной Гюрал ЗВ 8-7 5 кл /13/</t>
  </si>
  <si>
    <t>10101</t>
  </si>
  <si>
    <t>Замок врезной Гюрал ЗВ 8-8 3кл /16/</t>
  </si>
  <si>
    <t>10107</t>
  </si>
  <si>
    <t>Замок врезной Гюрал ЗВ 8-8 4 кл</t>
  </si>
  <si>
    <t>10167</t>
  </si>
  <si>
    <t>Замок врезной Гюрал ЗВ 8-8 5 кл /16/</t>
  </si>
  <si>
    <t>10144</t>
  </si>
  <si>
    <t>Замок врезной Ижевск ЗВ8-4-Н /30/</t>
  </si>
  <si>
    <t>10162</t>
  </si>
  <si>
    <t>Замок врезной Ижевск ЗВ8-6 А 3кл. 1 ригель /30/</t>
  </si>
  <si>
    <t>10109</t>
  </si>
  <si>
    <t>Замок врезной Ижевск ЗВ8-6А-1 (ЗВ 8 4Н-01) 3 кл. 3 ригеля /30/</t>
  </si>
  <si>
    <t>10180</t>
  </si>
  <si>
    <t>Замок врезной Киров ЗВ-042 /19/</t>
  </si>
  <si>
    <t>10166</t>
  </si>
  <si>
    <t>Замок врезной Могилев Вега ШО-25-01 (ЗВ 4Д-1) полуавтомат /10/</t>
  </si>
  <si>
    <t>10145</t>
  </si>
  <si>
    <t>Замок врезной Омега ЗВ 9 белый /15/</t>
  </si>
  <si>
    <t>10103</t>
  </si>
  <si>
    <t>Замок врезной С-П ЗВ 8-4С 3кл. /30/</t>
  </si>
  <si>
    <t>10134</t>
  </si>
  <si>
    <t>Замок врезной С-П ЗВ 8-4С 5кл. /30/</t>
  </si>
  <si>
    <t>102 Замки врезные Булат/Димитровград</t>
  </si>
  <si>
    <t>10243</t>
  </si>
  <si>
    <t>Замок врезной БУЛАТ ЗВ 4-3.60.15.05 Ретта золото</t>
  </si>
  <si>
    <t>10225</t>
  </si>
  <si>
    <t>Замок врезной Дмитровград ЗВ 4-3.01 Зенит белый /15/</t>
  </si>
  <si>
    <t>10228</t>
  </si>
  <si>
    <t>Замок врезной Дмитровград ЗВ 4-3.01 Зенит бриллиант /15/</t>
  </si>
  <si>
    <t>10226</t>
  </si>
  <si>
    <t>Замок врезной Дмитровград ЗВ 4-3.01 Зенит бронза /15/</t>
  </si>
  <si>
    <t>10229</t>
  </si>
  <si>
    <t>Замок врезной Дмитровград ЗВ 4-3.01 Зенит золото лак /15/</t>
  </si>
  <si>
    <t>10233</t>
  </si>
  <si>
    <t>Замок врезной Дмитровград ЗВ 4-3.01 Зенит медь /15/</t>
  </si>
  <si>
    <t>10258</t>
  </si>
  <si>
    <t>Замок врезной Дмитровград ЗВ 4-3.01 Зенит серебро /15/</t>
  </si>
  <si>
    <t>10227</t>
  </si>
  <si>
    <t>Замок врезной Дмитровград ЗВ 4-3.01 Зенит титан /15/</t>
  </si>
  <si>
    <t>10224</t>
  </si>
  <si>
    <t>Замок врезной Дмитровград ЗВ 4-3.01 Зенит хром /15/</t>
  </si>
  <si>
    <t>10223</t>
  </si>
  <si>
    <t>Замок врезной Дмитровград ЗВ 4-3.02 Зенит медь /15/</t>
  </si>
  <si>
    <t>10256</t>
  </si>
  <si>
    <t>Замок врезной Дмитровград ЗВ 4-3.02 Зенит серебро /15/</t>
  </si>
  <si>
    <t>10204</t>
  </si>
  <si>
    <t>Замок врезной Дмитровград ЗВ 4-3.03 Зенит белый /15/</t>
  </si>
  <si>
    <t>10205</t>
  </si>
  <si>
    <t>Замок врезной Дмитровград ЗВ 4-3.03 Зенит бриллиант /15/</t>
  </si>
  <si>
    <t>10206</t>
  </si>
  <si>
    <t>Замок врезной Дмитровград ЗВ 4-3.03 Зенит золото /15/</t>
  </si>
  <si>
    <t>10200</t>
  </si>
  <si>
    <t>Замок врезной Дмитровград ЗВ 4-3.03 Зенит медь /15/</t>
  </si>
  <si>
    <t>10219</t>
  </si>
  <si>
    <t>Замок врезной Дмитровград ЗВ 4-3.03 Зенит сереб /15/</t>
  </si>
  <si>
    <t>10254</t>
  </si>
  <si>
    <t>Замок врезной Дмитровград ЗВ 4-3.03 Р Зенит медь 3риг /15/</t>
  </si>
  <si>
    <t>10257</t>
  </si>
  <si>
    <t>Замок врезной Дмитровград ЗВ 4-3.03 Р Зенит серебро 3риг /15/</t>
  </si>
  <si>
    <t>10230</t>
  </si>
  <si>
    <t>Замок врезной Дмитровград ЗВ 4-3.04 Зенит медь /15/</t>
  </si>
  <si>
    <t>10231</t>
  </si>
  <si>
    <t>Замок врезной Дмитровград ЗВ 4-3.05 Зенит медь /15/</t>
  </si>
  <si>
    <t>10222</t>
  </si>
  <si>
    <t>Замок врезной Дмитровград ЗВ 4-3.07 Зенит медь/15/</t>
  </si>
  <si>
    <t>10260</t>
  </si>
  <si>
    <t>Замок врезной Дмитровград ЗВ 4-3.08 Зенит бронза /15/</t>
  </si>
  <si>
    <t>10261</t>
  </si>
  <si>
    <t>Замок врезной Дмитровград ЗВ 4-3.08 Зенит медь /15/</t>
  </si>
  <si>
    <t>10262</t>
  </si>
  <si>
    <t>Замок врезной Дмитровград ЗВ 4-3.08 Зенит сереб /15/</t>
  </si>
  <si>
    <t>10220</t>
  </si>
  <si>
    <t>Замок врезной Дмитровград ЗВ 9-4.2 Зенит белый /15/</t>
  </si>
  <si>
    <t>10216</t>
  </si>
  <si>
    <t>Замок врезной Дмитровград ЗВ 9-4.2 Зенит бриллиант /15/</t>
  </si>
  <si>
    <t>10218</t>
  </si>
  <si>
    <t>Замок врезной Дмитровград ЗВ 9-4.2 Зенит бронза /15/</t>
  </si>
  <si>
    <t>10255</t>
  </si>
  <si>
    <t>Замок врезной Дмитровград ЗВ 9-4.2 Зенит медь /15/</t>
  </si>
  <si>
    <t>10221</t>
  </si>
  <si>
    <t>Замок врезной Дмитровград ЗВ 9-4.2 Зенит серебро /15/</t>
  </si>
  <si>
    <t>10217</t>
  </si>
  <si>
    <t>Замок врезной Зенит ЗВ1-2 /30/</t>
  </si>
  <si>
    <t>10201</t>
  </si>
  <si>
    <t>Замок врезной Зенит ЗВ8-4 3кл /15/</t>
  </si>
  <si>
    <t>103 Замки врезные Норма Апекс/Могилев</t>
  </si>
  <si>
    <t>10306</t>
  </si>
  <si>
    <t>Замок врезной Барановичи ЗВ4 (ШО-25) полуавтомат /12/</t>
  </si>
  <si>
    <t>10317</t>
  </si>
  <si>
    <t>Замок врезной Норма Апекс 1023/60 G золото /20/</t>
  </si>
  <si>
    <t>10810</t>
  </si>
  <si>
    <t>Замок врезной Норма Апекс 1026/60-CR хром /16/</t>
  </si>
  <si>
    <t>10369</t>
  </si>
  <si>
    <t>Замок врезной Норма Апекс 1226/60-CR хром /16/</t>
  </si>
  <si>
    <t>10313</t>
  </si>
  <si>
    <t>Замок врезной Норма Апекс 1226/60-АБ бронзаа /20/</t>
  </si>
  <si>
    <t>10358</t>
  </si>
  <si>
    <t>Замок врезной Норма Апекс 1526/60 G цил.ригель золото</t>
  </si>
  <si>
    <t>10308</t>
  </si>
  <si>
    <t>Замок врезной Норма Апекс 1526/60-CR хром /12/</t>
  </si>
  <si>
    <t>105 Замки Рязань</t>
  </si>
  <si>
    <t>10517</t>
  </si>
  <si>
    <t>Замок врезной Рязань ЗВ 4-3/СП 11 лич.6кл. (078201) /12/</t>
  </si>
  <si>
    <t>10513</t>
  </si>
  <si>
    <t>Замок врезной Рязань ЗВ 8-4-0 Сам /(076500) /30/</t>
  </si>
  <si>
    <t>10512</t>
  </si>
  <si>
    <t>Замок врезной Рязань ЗВ 8-4/13 Сам-Мини (076610) /30/</t>
  </si>
  <si>
    <t>10521</t>
  </si>
  <si>
    <t>Замок врезной Рязань ЗВ 8-4с/03 б/пл (76501) /30/</t>
  </si>
  <si>
    <t>10505</t>
  </si>
  <si>
    <t>Замок врезной Рязань ЗВ 8-4с/13 б/пл 3-риг. (76601) /30/</t>
  </si>
  <si>
    <t>10515</t>
  </si>
  <si>
    <t>Замок врезной Рязань ЗВ 8-4с/13 с планкой (76600) /30/</t>
  </si>
  <si>
    <t>10506</t>
  </si>
  <si>
    <t>Замок врезной Рязань ЗВ 8-6 ЛК5 левый 5 кл (72224) /6/</t>
  </si>
  <si>
    <t>10500</t>
  </si>
  <si>
    <t>Замок врезной Рязань ЗВ 8-6 ПК5 правый 5 кл (72204) /6/</t>
  </si>
  <si>
    <t>10536</t>
  </si>
  <si>
    <t>Замок врезной Рязань ЗВ 8-6/03 (72500) /20/</t>
  </si>
  <si>
    <t>10529</t>
  </si>
  <si>
    <t>Замок врезной Рязань ЗВ 8-6/03 К б/пл (080500) /30/</t>
  </si>
  <si>
    <t>10522</t>
  </si>
  <si>
    <t>Замок врезной Рязань ЗВ 8-6/13 3кл 3риг (80600) /20/</t>
  </si>
  <si>
    <t>10544</t>
  </si>
  <si>
    <t>Замок врезной Рязань ЗВ 8-6/13 б/пл 3риг (73100) /30/</t>
  </si>
  <si>
    <t>10537</t>
  </si>
  <si>
    <t>Замок врезной Рязань ЗВ 8-8/13М б/пл. 3кл 4риг. (81000) /16/</t>
  </si>
  <si>
    <t>10568</t>
  </si>
  <si>
    <t>Замок врезной Рязань ЗВ 8-8Д (70901) /20/</t>
  </si>
  <si>
    <t>10531</t>
  </si>
  <si>
    <t>Замок врезной Рязань ЗВ 8-8К/13 4 риг. (82000) /20/</t>
  </si>
  <si>
    <t>10535</t>
  </si>
  <si>
    <t>Замок врезной Рязань ЗВ 8-8М/13 4 риг. (081300) /12/</t>
  </si>
  <si>
    <t>10516</t>
  </si>
  <si>
    <t>Замок врезной Рязань ЗВ 8-8М/15 (85200) /16/</t>
  </si>
  <si>
    <t>10510</t>
  </si>
  <si>
    <t>Замок врезной Рязань ЗВ 8-8У/03 (79700) /30/</t>
  </si>
  <si>
    <t>10570</t>
  </si>
  <si>
    <t>Замок врезной Рязань ЗВ 8-8У/03 (79701) /20/</t>
  </si>
  <si>
    <t>10511</t>
  </si>
  <si>
    <t>Замок врезной Рязань ЗВ 8-8У/13 .3риг (79902) /20/</t>
  </si>
  <si>
    <t>10519</t>
  </si>
  <si>
    <t>Замок врезной Рязань ЗВ 8-8У/13 3 кл 3риг (76314) /30/</t>
  </si>
  <si>
    <t>10525</t>
  </si>
  <si>
    <t>Замок врезной Рязань ЗВ 8-8У/13 б/пл. 3риг (79900) /30/</t>
  </si>
  <si>
    <t>10526</t>
  </si>
  <si>
    <t>Замок врезной Рязань ЗВ 9-6 ЛЛЗ лев.защ.задв.под ручку 5 кл (77412) /6/</t>
  </si>
  <si>
    <t>10520</t>
  </si>
  <si>
    <t>Замок врезной Рязань ЗВ 9-6ПР/15Л.Т3 прав.защ.задв.тяги 5 кл (77404) /6/</t>
  </si>
  <si>
    <t>10507</t>
  </si>
  <si>
    <t>Замок врезной Рязань ЗВ 9-8/13 СП латуниров. (84302) /12/</t>
  </si>
  <si>
    <t>10547</t>
  </si>
  <si>
    <t>Замок накладной Рязань ЗНД-1А (88400) /20/</t>
  </si>
  <si>
    <t>10549</t>
  </si>
  <si>
    <t>Замок накладной Рязань ЗНД-1А/Д (88300) /20/</t>
  </si>
  <si>
    <t>10548</t>
  </si>
  <si>
    <t>Замок накладной Рязань ЗНД-1АК (пол) (86500) /20/</t>
  </si>
  <si>
    <t>12608</t>
  </si>
  <si>
    <t>Замок накладной Рязань ЗНД-1АК лев (86800) /20/</t>
  </si>
  <si>
    <t>12609</t>
  </si>
  <si>
    <t>Замок накладной Рязань ЗНД-1АК пр. (86600) /20/</t>
  </si>
  <si>
    <t>11185</t>
  </si>
  <si>
    <t>Замок накладной Рязань ЗНД-1АК прав. (86700) /20/</t>
  </si>
  <si>
    <t>10657</t>
  </si>
  <si>
    <t>Замок накладной Рязань ЗНД-1АТ/002 (87100) /20/</t>
  </si>
  <si>
    <t>10611</t>
  </si>
  <si>
    <t>Замок накладной Рязань ЗНД1/М (пол) (86900) /20/</t>
  </si>
  <si>
    <t>106 Замки накладные</t>
  </si>
  <si>
    <t>10686</t>
  </si>
  <si>
    <t>Замок накладной 157 673-060 /30/</t>
  </si>
  <si>
    <t>10634</t>
  </si>
  <si>
    <t>Замок накладной Аллюр ЗН 6А 7096 /20/</t>
  </si>
  <si>
    <t>10613</t>
  </si>
  <si>
    <t>Замок накладной Глазов ЗН1-1,2 /24/</t>
  </si>
  <si>
    <t>10614</t>
  </si>
  <si>
    <t>Замок накладной Гюрал ЗН 4 (с задвижкой) лев /9/</t>
  </si>
  <si>
    <t>10615</t>
  </si>
  <si>
    <t>Замок накладной Гюрал ЗН 4 (с задвижкой) прав /9/</t>
  </si>
  <si>
    <t>10698</t>
  </si>
  <si>
    <t>Замок накладной Гюрал ЗН 4-1 левый /18/</t>
  </si>
  <si>
    <t>10694</t>
  </si>
  <si>
    <t>Замок накладной Гюрал ЗН 4-1 пост кл. левый /14/</t>
  </si>
  <si>
    <t>11151</t>
  </si>
  <si>
    <t>Замок накладной Гюрал ЗН 4-1 пост кл. правый /14/</t>
  </si>
  <si>
    <t>10693</t>
  </si>
  <si>
    <t>Замок накладной Гюрал ЗН 4-1 правый /18/</t>
  </si>
  <si>
    <t>10671</t>
  </si>
  <si>
    <t>Замок накладной Гюрал ЗН 4-3 лев /12/</t>
  </si>
  <si>
    <t>10607</t>
  </si>
  <si>
    <t>Замок накладной Гюрал ЗН 4-3 правый 3кл /12/</t>
  </si>
  <si>
    <t>11176</t>
  </si>
  <si>
    <t>Замок накладной Гюрал ЗН 4А левый /10/</t>
  </si>
  <si>
    <t>10695</t>
  </si>
  <si>
    <t>Замок накладной Гюрал ЗН 4А правый /10/</t>
  </si>
  <si>
    <t>10665</t>
  </si>
  <si>
    <t>Замок накладной Зенит ЗН-1-2 белый /16/</t>
  </si>
  <si>
    <t>10667</t>
  </si>
  <si>
    <t>Замок накладной Зенит ЗН-1-2 бриллиант /16/</t>
  </si>
  <si>
    <t>10620</t>
  </si>
  <si>
    <t>Замок накладной Зенит ЗН-1-2 бронза /16/</t>
  </si>
  <si>
    <t>10664</t>
  </si>
  <si>
    <t>Замок накладной Зенит ЗН-1-2 золото /16/</t>
  </si>
  <si>
    <t>10621</t>
  </si>
  <si>
    <t>Замок накладной Зенит ЗН-1-2 медь /16/</t>
  </si>
  <si>
    <t>10690</t>
  </si>
  <si>
    <t>Замок накладной Зенит ЗН-1-2 серебро /16/</t>
  </si>
  <si>
    <t>10622</t>
  </si>
  <si>
    <t>Замок накладной Зенит ЗН-1-2 черный /16/</t>
  </si>
  <si>
    <t>10685</t>
  </si>
  <si>
    <t>Замок накладной Зенит ЗН-1-3 белый /16/</t>
  </si>
  <si>
    <t>10623</t>
  </si>
  <si>
    <t>Замок накладной Зенит ЗН-1-3 бронза /16/</t>
  </si>
  <si>
    <t>10624</t>
  </si>
  <si>
    <t>Замок накладной Зенит ЗН-1-3 медь /16/</t>
  </si>
  <si>
    <t>10625</t>
  </si>
  <si>
    <t>Замок накладной Зенит ЗН-1-3 серебро /16/</t>
  </si>
  <si>
    <t>10626</t>
  </si>
  <si>
    <t>Замок накладной Зенит ЗН-1-3 черный /16/</t>
  </si>
  <si>
    <t>10670</t>
  </si>
  <si>
    <t>Замок накладной Зенит ЗН-1-3-1 бронза /16/</t>
  </si>
  <si>
    <t>10627</t>
  </si>
  <si>
    <t>Замок накладной Зенит ЗН-1-3-1 медь /16/</t>
  </si>
  <si>
    <t>10629</t>
  </si>
  <si>
    <t>Замок накладной Зенит ЗН-2-3 бронза /16/</t>
  </si>
  <si>
    <t>10630</t>
  </si>
  <si>
    <t>Замок накладной Зенит ЗН-2-3 медь /16/</t>
  </si>
  <si>
    <t>10631</t>
  </si>
  <si>
    <t>Замок накладной Зенит ЗН-2-3 серебро /16/</t>
  </si>
  <si>
    <t>10692</t>
  </si>
  <si>
    <t>Замок накладной Зенит ЗН-2-6 медь /16/</t>
  </si>
  <si>
    <t>10654</t>
  </si>
  <si>
    <t>Замок накладной Зенит ЗН-4-1 бронза /20/</t>
  </si>
  <si>
    <t>10632</t>
  </si>
  <si>
    <t>Замок накладной Зенит ЗН-4-1 медь /16/</t>
  </si>
  <si>
    <t>10677</t>
  </si>
  <si>
    <t>Замок накладной Зенит ЗН-4-2 бронза /10/</t>
  </si>
  <si>
    <t>10635</t>
  </si>
  <si>
    <t>Замок накладной Зенит ЗН-4-2 медь /10/</t>
  </si>
  <si>
    <t>12323</t>
  </si>
  <si>
    <t>Замок накладной Киров ЗН-050 /24/</t>
  </si>
  <si>
    <t>11144</t>
  </si>
  <si>
    <t>Замок накладной Пенза ЗН1-1 /12/</t>
  </si>
  <si>
    <t>10676</t>
  </si>
  <si>
    <t>Замок накладной Пенза ЗНЗА-1 /12/</t>
  </si>
  <si>
    <t>11184</t>
  </si>
  <si>
    <t>Замок накладной С-П Балтика-1 /12/</t>
  </si>
  <si>
    <t>10661</t>
  </si>
  <si>
    <t>Замок накладной С-П Балтика-2 с защ. /12/</t>
  </si>
  <si>
    <t>10656</t>
  </si>
  <si>
    <t>Замок накладной С-П Делга ПР-90.1003 обр.ход /15/</t>
  </si>
  <si>
    <t>10666</t>
  </si>
  <si>
    <t>Замок накладной С-П Делга ПР-90.1003 прям.ход /15/</t>
  </si>
  <si>
    <t>10683</t>
  </si>
  <si>
    <t>Замок накладной Сазар ЗНЦ-1 англ.кл /20/</t>
  </si>
  <si>
    <t>107 Замки усиленные</t>
  </si>
  <si>
    <t>40046</t>
  </si>
  <si>
    <t>Задвижка дверная  ZP-001 б/п/30/</t>
  </si>
  <si>
    <t>10771</t>
  </si>
  <si>
    <t>Замок врезной Сенат ЗВС-1 5кл /7/</t>
  </si>
  <si>
    <t>13013</t>
  </si>
  <si>
    <t>Замок врезной Сенат ЗВС3-15 5кл./4/</t>
  </si>
  <si>
    <t>10726</t>
  </si>
  <si>
    <t>Замок гаражный Арес ЗГС М1 /10/</t>
  </si>
  <si>
    <t>10729</t>
  </si>
  <si>
    <t>Замок гаражный Арес ЗГС М2 /10/</t>
  </si>
  <si>
    <t>10781</t>
  </si>
  <si>
    <t>Замок гаражный Арес ЗГС М3 /10/</t>
  </si>
  <si>
    <t>10745</t>
  </si>
  <si>
    <t>Замок гаражный Арес ЗГС МШ /10/</t>
  </si>
  <si>
    <t>10700</t>
  </si>
  <si>
    <t>Замок гаражный Гюрал ЗГС 05 левый /10/</t>
  </si>
  <si>
    <t>11241</t>
  </si>
  <si>
    <t>Замок гаражный Гюрал ЗГС 05 пр /8/</t>
  </si>
  <si>
    <t>10754</t>
  </si>
  <si>
    <t>Замок гаражный Гюрал ЗГС 95 лев /8/</t>
  </si>
  <si>
    <t>10796</t>
  </si>
  <si>
    <t>Замок гаражный С-Петербург ЗГС Богатырь /10/</t>
  </si>
  <si>
    <t>13612</t>
  </si>
  <si>
    <t>Замок гаражный С-Петербург ЗГС Богатырь-2 /10/</t>
  </si>
  <si>
    <t>10784</t>
  </si>
  <si>
    <t>Замок гаражный С-Петербург ЗГС Гаражный /10/</t>
  </si>
  <si>
    <t>12310</t>
  </si>
  <si>
    <t>Замок гаражный С-Петербург ЗГС Крепыш /10/</t>
  </si>
  <si>
    <t>12308</t>
  </si>
  <si>
    <t>Замок гаражный С-Петербург ЗГС Крепыш-ПК /10/</t>
  </si>
  <si>
    <t>10701</t>
  </si>
  <si>
    <t>Замок гаражный С-Петербург ЗГС Сейфовый /10/</t>
  </si>
  <si>
    <t>10793</t>
  </si>
  <si>
    <t>Замок Калуга Гарант 1 /4/</t>
  </si>
  <si>
    <t>10792</t>
  </si>
  <si>
    <t>Замок Калуга Гарант 1-1 /4/</t>
  </si>
  <si>
    <t>10732</t>
  </si>
  <si>
    <t>Замок Калуга Гарант 2 /4/</t>
  </si>
  <si>
    <t>10932</t>
  </si>
  <si>
    <t>Замок Китай врезной циллиндровый 374 LA-0374-14.05</t>
  </si>
  <si>
    <t>108 Замки почтовые/мебельные/витринные</t>
  </si>
  <si>
    <t>10815</t>
  </si>
  <si>
    <t>Замок багажный на чемодан с кодовым замком Шанхао /12/</t>
  </si>
  <si>
    <t>10826</t>
  </si>
  <si>
    <t>Замок витринный KL-804 CP хром</t>
  </si>
  <si>
    <t>10808</t>
  </si>
  <si>
    <t>Замок витринный KL-805 CP хром</t>
  </si>
  <si>
    <t>10830</t>
  </si>
  <si>
    <t>Замок витринный для раздвижных стекол /120/</t>
  </si>
  <si>
    <t>10804</t>
  </si>
  <si>
    <t>Замок витринный для раздвижных стекол №804 квадрат. хром</t>
  </si>
  <si>
    <t>10822</t>
  </si>
  <si>
    <t>Замок витринный для раздвижных стекол широкий 318 СР хром</t>
  </si>
  <si>
    <t>10835</t>
  </si>
  <si>
    <t>Замок для щитков 20 639-065 /10/200/</t>
  </si>
  <si>
    <t>10823</t>
  </si>
  <si>
    <t>Замок мебельный KL-138 СР хром /12/</t>
  </si>
  <si>
    <t>10827</t>
  </si>
  <si>
    <t>Замок мебельный KL-139 СР хром /20/</t>
  </si>
  <si>
    <t>10831</t>
  </si>
  <si>
    <t>Замок мебельный KL-338 СР хром /12/</t>
  </si>
  <si>
    <t>10824</t>
  </si>
  <si>
    <t>Замок мебельный для шкафа купе бронха с фиксатором</t>
  </si>
  <si>
    <t>10304</t>
  </si>
  <si>
    <t>Замок мебельный Чебоксары ЗМ1.00-00-03 /60/</t>
  </si>
  <si>
    <t>10303</t>
  </si>
  <si>
    <t>Замок мебельный Чебоксары ЗМ1.00-01 /60/</t>
  </si>
  <si>
    <t>10805</t>
  </si>
  <si>
    <t>Замок почтовый KL-103-20Т изогнутый язычек 1506 /24/</t>
  </si>
  <si>
    <t>10801</t>
  </si>
  <si>
    <t>Замок почтовый KL-104 20 мм прямой крючок 0591 /24/</t>
  </si>
  <si>
    <t>10807</t>
  </si>
  <si>
    <t>Замок почтовый KL-106-20T 1397</t>
  </si>
  <si>
    <t>10813</t>
  </si>
  <si>
    <t>Замок почтовый Антал ЗП-15 180 град /24/</t>
  </si>
  <si>
    <t>10800</t>
  </si>
  <si>
    <t>Замок почтовый Антал ЗП-16 180 град /24/</t>
  </si>
  <si>
    <t>10837</t>
  </si>
  <si>
    <t>Замок почтовый Антал ЗП-16 90 град /24/</t>
  </si>
  <si>
    <t>10842</t>
  </si>
  <si>
    <t>Замок почтовый Антал ЗП-20 180 град /24/</t>
  </si>
  <si>
    <t>10840</t>
  </si>
  <si>
    <t>Замок почтовый Антал ЗП-20 90 град /24/</t>
  </si>
  <si>
    <t>10845</t>
  </si>
  <si>
    <t>Замок почтовый Антал ЗП-20-02 90 град /24/</t>
  </si>
  <si>
    <t>10836</t>
  </si>
  <si>
    <t>Замок почтовый Антал ЗП-25 180 град /24/</t>
  </si>
  <si>
    <t>10828</t>
  </si>
  <si>
    <t>Замок почтовый Антал ЗП-30 180 град /24/</t>
  </si>
  <si>
    <t>10301</t>
  </si>
  <si>
    <t>Замок почтовый Чебоксары ЗП-1 /100/</t>
  </si>
  <si>
    <t>10806</t>
  </si>
  <si>
    <t>Замок почтовый Чебоксары ЗП-3 /100/</t>
  </si>
  <si>
    <t>110 Замки-Защелки</t>
  </si>
  <si>
    <t>11005</t>
  </si>
  <si>
    <t>Замок-защелка Alpuso 3201-01 с ключом AB бронза /24/</t>
  </si>
  <si>
    <t>11006</t>
  </si>
  <si>
    <t>Замок-защелка Alpuso 3201-01 с ключом AC медь /24/</t>
  </si>
  <si>
    <t>11007</t>
  </si>
  <si>
    <t>Замок-защелка Alpuso 3201-01 с ключом CR хром /24/</t>
  </si>
  <si>
    <t>11008</t>
  </si>
  <si>
    <t>Замок-защелка Alpuso 3201-01 с ключом G золото /24/</t>
  </si>
  <si>
    <t>11010</t>
  </si>
  <si>
    <t>Замок-защелка Alpuso 3201-03 с фиксатором AB бронза /24/</t>
  </si>
  <si>
    <t>11011</t>
  </si>
  <si>
    <t>Замок-защелка Alpuso 3201-03 с фиксатором AC медь /24/</t>
  </si>
  <si>
    <t>11057</t>
  </si>
  <si>
    <t>Замок-защелка Alpuso 3201-03 с фиксатором CR хром /24/</t>
  </si>
  <si>
    <t>11016</t>
  </si>
  <si>
    <t>Замок-защелка Alpuso 3201-03 с фиксатором G золото /24/</t>
  </si>
  <si>
    <t>11021</t>
  </si>
  <si>
    <t>Замок-защелка Alpuso 3201-05 AB бронза /24/</t>
  </si>
  <si>
    <t>11023</t>
  </si>
  <si>
    <t>Замок-защелка Alpuso 3201-05 AC медь /24/</t>
  </si>
  <si>
    <t>11027</t>
  </si>
  <si>
    <t>Замок-защелка Alpuso 3201-05 CR хром /24/</t>
  </si>
  <si>
    <t>11028</t>
  </si>
  <si>
    <t>Замок-защелка Alpuso 3201-05 G золото /30/</t>
  </si>
  <si>
    <t>11029</t>
  </si>
  <si>
    <t>Замок-защелка Alpuso 6072-01 с ключом AB бронза /30/</t>
  </si>
  <si>
    <t>11031</t>
  </si>
  <si>
    <t>Замок-защелка Alpuso 6072-01 с ключом AC медь /30/</t>
  </si>
  <si>
    <t>11034</t>
  </si>
  <si>
    <t>Замок-защелка Alpuso 6072-01 с ключом G золото /30/</t>
  </si>
  <si>
    <t>11040</t>
  </si>
  <si>
    <t>Замок-защелка Alpuso 6072-03 с фиксатором AB бронза /30/</t>
  </si>
  <si>
    <t>11045</t>
  </si>
  <si>
    <t>Замок-защелка Alpuso 6072-03 с фиксатором AC медь /30/</t>
  </si>
  <si>
    <t>11047</t>
  </si>
  <si>
    <t>Замок-защелка Alpuso 6072-03 с фиксатором CR хром /30/</t>
  </si>
  <si>
    <t>11050</t>
  </si>
  <si>
    <t>Замок-защелка Alpuso 6072-03 с фиксатором G золото /30/</t>
  </si>
  <si>
    <t>11009</t>
  </si>
  <si>
    <t>Замок-защелка Alpuso 6072-05 AB бронза /30/</t>
  </si>
  <si>
    <t>11014</t>
  </si>
  <si>
    <t>Замок-защелка Alpuso 6072-05 AC медь /30/</t>
  </si>
  <si>
    <t>11048</t>
  </si>
  <si>
    <t>Замок-защелка Alpuso 6072-05 G золото /30/</t>
  </si>
  <si>
    <t>11019</t>
  </si>
  <si>
    <t>Замок-защелка Нора-М ЗШ-01 кл/фикс бронза 16789 /20/</t>
  </si>
  <si>
    <t>11022</t>
  </si>
  <si>
    <t>Замок-защелка Нора-М ЗШ-01 кл/фикс золото 16786 /20/</t>
  </si>
  <si>
    <t>11025</t>
  </si>
  <si>
    <t>Замок-защелка Нора-М ЗШ-01 кл/фикс медь 16790 /20/</t>
  </si>
  <si>
    <t>11030</t>
  </si>
  <si>
    <t>Замок-защелка Нора-М ЗШ-01 кл/фикс хром 16791 /20/</t>
  </si>
  <si>
    <t>11036</t>
  </si>
  <si>
    <t>Замок-защелка Нора-М ЗШ-01 кл/фикс черный 18818 /20/</t>
  </si>
  <si>
    <t>11037</t>
  </si>
  <si>
    <t>Замок-защелка Нора-М ЗШ-03 фикс бронза 16795 /20/</t>
  </si>
  <si>
    <t>11043</t>
  </si>
  <si>
    <t>Замок-защелка Нора-М ЗШ-03 фикс золото 16792 /20/</t>
  </si>
  <si>
    <t>11044</t>
  </si>
  <si>
    <t>Замок-защелка Нора-М ЗШ-03 фикс медь 16796 /20/</t>
  </si>
  <si>
    <t>11046</t>
  </si>
  <si>
    <t>Замок-защелка Нора-М ЗШ-03 фикс хром 16797 /20/</t>
  </si>
  <si>
    <t>111-114 Замки навесные</t>
  </si>
  <si>
    <t>111 Замки навесные прочие</t>
  </si>
  <si>
    <t>11198</t>
  </si>
  <si>
    <t>Замок навесной Gusami 50мм 025 /12/</t>
  </si>
  <si>
    <t>11113</t>
  </si>
  <si>
    <t>Замок навесной SP 20 мм /12/</t>
  </si>
  <si>
    <t>11124</t>
  </si>
  <si>
    <t>Замок навесной SP 25 мм /12/</t>
  </si>
  <si>
    <t>11125</t>
  </si>
  <si>
    <t>Замок навесной SP 32 мм /6/</t>
  </si>
  <si>
    <t>11128</t>
  </si>
  <si>
    <t>Замок навесной SP 38 мм /6/</t>
  </si>
  <si>
    <t>11129</t>
  </si>
  <si>
    <t>Замок навесной SP 50 мм /6/</t>
  </si>
  <si>
    <t>11131</t>
  </si>
  <si>
    <t>Замок навесной SP 63 мм /6/</t>
  </si>
  <si>
    <t>11161</t>
  </si>
  <si>
    <t>Замок навесной SP 75 мм /6/</t>
  </si>
  <si>
    <t>11148</t>
  </si>
  <si>
    <t>Замок навесной Антал EXTRA ВС2-306/30мм /12/</t>
  </si>
  <si>
    <t>11136</t>
  </si>
  <si>
    <t>Замок навесной Антал EXTRA ВС2-406/40мм /12/</t>
  </si>
  <si>
    <t>11165</t>
  </si>
  <si>
    <t>Замок навесной Антал EXTRA ВС2-606/60мм /6/</t>
  </si>
  <si>
    <t>11153</t>
  </si>
  <si>
    <t>Замок навесной Антал EXTRA ВС2-706/70мм /6/</t>
  </si>
  <si>
    <t>11141</t>
  </si>
  <si>
    <t>Замок навесной Антал EXTRA ВС2-806/80мм /6/</t>
  </si>
  <si>
    <t>11158</t>
  </si>
  <si>
    <t>Замок навесной Антал Extra длинная дужка ВС2-406 40 мм /6/</t>
  </si>
  <si>
    <t>11147</t>
  </si>
  <si>
    <t>Замок навесной Антал Extra длинная дужка ВС2-506 50 мм /6/</t>
  </si>
  <si>
    <t>11189</t>
  </si>
  <si>
    <t>Замок навесной Антал Extra длинная дужка ВС2-606 60 мм /6/</t>
  </si>
  <si>
    <t>11182</t>
  </si>
  <si>
    <t>Замок навесной Антал Extra длинная дужка ВС2-706 70 мм /6/</t>
  </si>
  <si>
    <t>11169</t>
  </si>
  <si>
    <t>Замок навесной Антал ВС1-362/25 мм /6/</t>
  </si>
  <si>
    <t>11166</t>
  </si>
  <si>
    <t>Замок навесной Антал ВС1-363/32 мм /6/</t>
  </si>
  <si>
    <t>11154</t>
  </si>
  <si>
    <t>Замок навесной Антал ВС1-364/38 мм /6/</t>
  </si>
  <si>
    <t>11167</t>
  </si>
  <si>
    <t>Замок навесной Антал ВС1-365/50 мм /6/</t>
  </si>
  <si>
    <t>11149</t>
  </si>
  <si>
    <t>Замок навесной Антал ВС1-365Д/50 мм длин.дужка /6/</t>
  </si>
  <si>
    <t>11175</t>
  </si>
  <si>
    <t>Замок навесной Антал ВС1-366/63 мм /6/</t>
  </si>
  <si>
    <t>11171</t>
  </si>
  <si>
    <t>Замок навесной Антал ВС1-366Д/63 мм, длин.дужка /6/</t>
  </si>
  <si>
    <t>11157</t>
  </si>
  <si>
    <t>Замок навесной Антал ВС1-367Д/75 мм, длин.дужка /6/</t>
  </si>
  <si>
    <t>11186</t>
  </si>
  <si>
    <t>Замок навесной Антал ВС20-41 длинная дужка /72/</t>
  </si>
  <si>
    <t>11404</t>
  </si>
  <si>
    <t>Замок навесной влагостойкий с чехлом из ПВХ с удл.душкой (38)45мм /70-0-994</t>
  </si>
  <si>
    <t>11337</t>
  </si>
  <si>
    <t>Замок навесной Воковысск ВС2-М</t>
  </si>
  <si>
    <t>11114</t>
  </si>
  <si>
    <t>Замок навесной Глазов ВС1-01 /52/</t>
  </si>
  <si>
    <t>11107</t>
  </si>
  <si>
    <t>Замок навесной Глазов ВС1-02 /40/</t>
  </si>
  <si>
    <t>11126</t>
  </si>
  <si>
    <t>Замок навесной ЗВС-2 Елизарово /5/50/</t>
  </si>
  <si>
    <t>11345</t>
  </si>
  <si>
    <t>Замок навесной ЗВС-2 Елизарово Сердечко белый /5/50/</t>
  </si>
  <si>
    <t>11118</t>
  </si>
  <si>
    <t>Замок навесной ЗВС-2 Елизарово Сердечко красное /5/50/</t>
  </si>
  <si>
    <t>11106</t>
  </si>
  <si>
    <t>Замок навесной ЗВС-3 Елизарово /5/100/</t>
  </si>
  <si>
    <t>14067</t>
  </si>
  <si>
    <t>Замок навесной ЗВС-3 Елизарово Сердечко красный /5/100/</t>
  </si>
  <si>
    <t>11103</t>
  </si>
  <si>
    <t>Замок навесной Зенит ВС-1.02 /30/</t>
  </si>
  <si>
    <t>11109</t>
  </si>
  <si>
    <t>Замок навесной Зенит ВС-1.03 /20/</t>
  </si>
  <si>
    <t>11439</t>
  </si>
  <si>
    <t>Замок навесной Калуга ВС 1-С /30/</t>
  </si>
  <si>
    <t>11146</t>
  </si>
  <si>
    <t>Замок навесной Киров ВС 1-Д 048-А /14/</t>
  </si>
  <si>
    <t>11102</t>
  </si>
  <si>
    <t>Замок навесной Киров ВС 1-Д 051 /9/</t>
  </si>
  <si>
    <t>11160</t>
  </si>
  <si>
    <t>Замок навесной Норма Апекс PD-01-32 /6/</t>
  </si>
  <si>
    <t>11145</t>
  </si>
  <si>
    <t>Замок навесной Норма Апекс PD-01-38 /6/</t>
  </si>
  <si>
    <t>11150</t>
  </si>
  <si>
    <t>Замок навесной Норма Апекс PD-01-50 /6/</t>
  </si>
  <si>
    <t>11143</t>
  </si>
  <si>
    <t>Замок навесной Норма Апекс PD-01-50-L дл.дужка /6/</t>
  </si>
  <si>
    <t>11156</t>
  </si>
  <si>
    <t>Замок навесной Норма Апекс PD-01-63 /6/</t>
  </si>
  <si>
    <t>11152</t>
  </si>
  <si>
    <t>Замок навесной Норма Апекс PD-01-75 /6/</t>
  </si>
  <si>
    <t>11159</t>
  </si>
  <si>
    <t>Замок навесной Норма Апекс PD-10-75 /6/</t>
  </si>
  <si>
    <t>11168</t>
  </si>
  <si>
    <t>Замок навесной Норма Апекс PD-44-50 /6/</t>
  </si>
  <si>
    <t>11120</t>
  </si>
  <si>
    <t>Замок навесной Норма Апекс PD-44-60 /6/</t>
  </si>
  <si>
    <t>11170</t>
  </si>
  <si>
    <t>Замок навесной Норма Апекс PD-44-75 /6/</t>
  </si>
  <si>
    <t>11347</t>
  </si>
  <si>
    <t>Замок навесной Норма Апекс PDB-01-32 /6/</t>
  </si>
  <si>
    <t>11116</t>
  </si>
  <si>
    <t>Замок навесной Норма Апекс PDR-50-55 чугун в пластике /6/</t>
  </si>
  <si>
    <t>112 Замки кодовые/тросовые</t>
  </si>
  <si>
    <t>11289</t>
  </si>
  <si>
    <t>Замок навесной кодовый CL-113 /12/</t>
  </si>
  <si>
    <t>11290</t>
  </si>
  <si>
    <t>Замок навесной кодовый CL-201B /12/</t>
  </si>
  <si>
    <t>11292</t>
  </si>
  <si>
    <t>Замок навесной кодовый ВС-6 /60/</t>
  </si>
  <si>
    <t>11265</t>
  </si>
  <si>
    <t>Замок навесной кодовый Нора М 502 серый /12/</t>
  </si>
  <si>
    <t>11264</t>
  </si>
  <si>
    <t>Замок навесной кодовый Нора М 504 желтый /12/</t>
  </si>
  <si>
    <t>11209</t>
  </si>
  <si>
    <t>Замок навесной кодовый Норма Апекс PDB-40-38 /6/</t>
  </si>
  <si>
    <t>11213</t>
  </si>
  <si>
    <t>Замок навесной кодовый Норма Апекс PDZ-28-36 /6/</t>
  </si>
  <si>
    <t>11354</t>
  </si>
  <si>
    <t>Замок навесной кодовый Сердце 5,5*4 см</t>
  </si>
  <si>
    <t>11332</t>
  </si>
  <si>
    <t>Замок навесной кодовый Сердце 8*4 см</t>
  </si>
  <si>
    <t>11205</t>
  </si>
  <si>
    <t>Замок навесной контрольный Зенит ВС-5 /100/</t>
  </si>
  <si>
    <t>11242</t>
  </si>
  <si>
    <t>Замок навесной контрольный Кунгур ВС-5 /10/</t>
  </si>
  <si>
    <t>11208</t>
  </si>
  <si>
    <t>Замок навесной Норма Апекс PDB-40-28 кодовый/6/</t>
  </si>
  <si>
    <t>11207</t>
  </si>
  <si>
    <t>Замок навесной Норма Апекс PDZ-29-47 кодовый/6/</t>
  </si>
  <si>
    <t>11254</t>
  </si>
  <si>
    <t>Замок-трос Vetta велосипедный металл ПВХ пластик 468-100 /5/</t>
  </si>
  <si>
    <t>11234</t>
  </si>
  <si>
    <t>Замок-трос Vetta велосипедный на дисковый тормоз мет.468-110 /5/</t>
  </si>
  <si>
    <t>11237</t>
  </si>
  <si>
    <t>Замок-трос Vetta велосипедный противоугонный 12*1000мм 468-096 /5/</t>
  </si>
  <si>
    <t>11222</t>
  </si>
  <si>
    <t>Замок-трос Vetta велосипедный противоугонный 8*1000мм 468-107 /5/</t>
  </si>
  <si>
    <t>11223</t>
  </si>
  <si>
    <t>Замок-трос Vetta велосипедный противоугонный кодовый 8*650мм 468-108 /120/</t>
  </si>
  <si>
    <t>11231</t>
  </si>
  <si>
    <t>Замок-трос Vetta велосипедный противоугонный усиленный 22*1000мм 468-109 /5/</t>
  </si>
  <si>
    <t>11214</t>
  </si>
  <si>
    <t>Замок-трос Антал велосипедный ВС02-63-01 /40/</t>
  </si>
  <si>
    <t>11268</t>
  </si>
  <si>
    <t>Замок-трос велосипедный 12*1100 мм с держ. на раме 2 цв. 468-104 /5/</t>
  </si>
  <si>
    <t>11219</t>
  </si>
  <si>
    <t>Замок-трос велосипедный 12*1200 мм 8528</t>
  </si>
  <si>
    <t>11270</t>
  </si>
  <si>
    <t>Замок-трос велосипедный 12*1200 мм мет пластик 3 цв. 468-103 /5/</t>
  </si>
  <si>
    <t>11246</t>
  </si>
  <si>
    <t>Замок-трос велосипедный 12*650 мм 8017</t>
  </si>
  <si>
    <t>11243</t>
  </si>
  <si>
    <t>Замок-трос велосипедный 12*700 мм А615</t>
  </si>
  <si>
    <t>11229</t>
  </si>
  <si>
    <t>Замок-трос велосипедный 12*800 мм с кодовым замком 8422</t>
  </si>
  <si>
    <t>11267</t>
  </si>
  <si>
    <t>Замок-трос велосипедный 12*800 мм с мат. крд замк. из 4-х цифр 2 цв. 468-105 /5/</t>
  </si>
  <si>
    <t>11238</t>
  </si>
  <si>
    <t>Замок-трос велосипедный 12*90 с код.замк. 07-52-003</t>
  </si>
  <si>
    <t>11206</t>
  </si>
  <si>
    <t>Замок-трос велосипедный 12*950 мм А528</t>
  </si>
  <si>
    <t>11217</t>
  </si>
  <si>
    <t>Замок-трос велосипедный 1280 90 см /100/</t>
  </si>
  <si>
    <t>11200</t>
  </si>
  <si>
    <t>Замок-трос велосипедный 140*202 мм металл/пласьтик 468-102 /2/60/</t>
  </si>
  <si>
    <t>11218</t>
  </si>
  <si>
    <t>Замок-трос велосипедный 60 см /30/</t>
  </si>
  <si>
    <t>11225</t>
  </si>
  <si>
    <t>Замок-трос велосипедный 680мм арт187 468-038 /5/</t>
  </si>
  <si>
    <t>11220</t>
  </si>
  <si>
    <t>Замок-трос велосипедный 8*1000 мм 8120</t>
  </si>
  <si>
    <t>11250</t>
  </si>
  <si>
    <t>Замок-трос велосипедный 8*1000 мм с кодовым замком 8532</t>
  </si>
  <si>
    <t>11272</t>
  </si>
  <si>
    <t>Замок-трос велосипедный 8*800 мм 8417</t>
  </si>
  <si>
    <t>11224</t>
  </si>
  <si>
    <t>Замок-трос велосипедный 800мм 468-095 /5/</t>
  </si>
  <si>
    <t>11297</t>
  </si>
  <si>
    <t>Замок-трос велосипедный 800мм арт187 468-048 /5/</t>
  </si>
  <si>
    <t>11298</t>
  </si>
  <si>
    <t>Замок-трос велосипедный 800мм арт427 468-051 /3/</t>
  </si>
  <si>
    <t>11216</t>
  </si>
  <si>
    <t>Замок-трос велосипедный Silapro 12*65 195-134 /5/</t>
  </si>
  <si>
    <t>11269</t>
  </si>
  <si>
    <t>Замок-трос велосипедный цепь 5-10 см 468-106 /5/</t>
  </si>
  <si>
    <t>11248</t>
  </si>
  <si>
    <t>Замок-трос Нора М№22 велосипедный Д6*1000 мм /40/</t>
  </si>
  <si>
    <t>11226</t>
  </si>
  <si>
    <t>Замок-трос Нора М№25 велосипедный Д10*650 мм /40/</t>
  </si>
  <si>
    <t>11249</t>
  </si>
  <si>
    <t>Замок-трос Норма Апекс велосипедный PD81-65 см /12/</t>
  </si>
  <si>
    <t>11221</t>
  </si>
  <si>
    <t>Замок-трос Норма Апекс велосипедный PD81-80см /12/48/</t>
  </si>
  <si>
    <t>11240</t>
  </si>
  <si>
    <t>Замок-трос Норма Апекс велосипедный PD83-65см Code /60/</t>
  </si>
  <si>
    <t>11247</t>
  </si>
  <si>
    <t>Замок-трос Норма Апекс велосипедный PD84-100см розовый /12/</t>
  </si>
  <si>
    <t>11244</t>
  </si>
  <si>
    <t>Замок-трос Норма Апекс велосипедный PD84-100см синий /12/</t>
  </si>
  <si>
    <t>11227</t>
  </si>
  <si>
    <t>Замок-трос Норма Апекс велосипедный PD84-150см /20/</t>
  </si>
  <si>
    <t>113 Замки навесные MATRIX/аналоги</t>
  </si>
  <si>
    <t>11341</t>
  </si>
  <si>
    <t>Замок навесной Extra 30 мм /6/</t>
  </si>
  <si>
    <t>11336</t>
  </si>
  <si>
    <t>Замок навесной Extra 40 мм /12/</t>
  </si>
  <si>
    <t>11335</t>
  </si>
  <si>
    <t>Замок навесной Extra 50 мм  /6/</t>
  </si>
  <si>
    <t>11331</t>
  </si>
  <si>
    <t>Замок навесной Extra 60 мм  /6/</t>
  </si>
  <si>
    <t>11329</t>
  </si>
  <si>
    <t>Замок навесной Extra 70 мм  /6/</t>
  </si>
  <si>
    <t>11333</t>
  </si>
  <si>
    <t>Замок навесной Extra 80 мм  /6/</t>
  </si>
  <si>
    <t>11328</t>
  </si>
  <si>
    <t>Замок навесной Extra 90 мм  /6/</t>
  </si>
  <si>
    <t>11312</t>
  </si>
  <si>
    <t>Замок навесной Extra длинная дужка ВС2-HD L 701 70 мм /6/</t>
  </si>
  <si>
    <t>11363</t>
  </si>
  <si>
    <t>Замок навесной Extra-40L /6/</t>
  </si>
  <si>
    <t>11355</t>
  </si>
  <si>
    <t>Замок навесной Extra-60L /6/</t>
  </si>
  <si>
    <t>11351</t>
  </si>
  <si>
    <t>Замок навесной Extra-70L /6/</t>
  </si>
  <si>
    <t>11346</t>
  </si>
  <si>
    <t>Замок навесной Extra-80L /6/</t>
  </si>
  <si>
    <t>11340</t>
  </si>
  <si>
    <t>Замок навесной Extra-90L /6/</t>
  </si>
  <si>
    <t>11406</t>
  </si>
  <si>
    <t>Замок навесной влагостойкий с чехлом из ПВХ (50)55мм /70-0-995</t>
  </si>
  <si>
    <t>11411</t>
  </si>
  <si>
    <t>Замок навесной влагостойкий с чехлом из ПВХ (63)70мм /70-0-997</t>
  </si>
  <si>
    <t>11403</t>
  </si>
  <si>
    <t>Замок навесной влагостойкий с чехлом из ПВХ 45мм /70-0-993</t>
  </si>
  <si>
    <t>11410</t>
  </si>
  <si>
    <t>Замок навесной влагостойкий с чехлом из ПВХ с удл.душкой (50)55мм /70-0-996</t>
  </si>
  <si>
    <t>11412</t>
  </si>
  <si>
    <t>Замок навесной влагостойкий с чехлом из ПВХ с удл.душкой (63)70мм /70-0-998</t>
  </si>
  <si>
    <t>14014</t>
  </si>
  <si>
    <t>Замок навесной всепогодный MATRIX, 40 мм закал.дужка /91820 /12/</t>
  </si>
  <si>
    <t>14010</t>
  </si>
  <si>
    <t>Замок навесной всепогодный MATRIX, 40 мм,закал удлин. дужка /91822 /12/</t>
  </si>
  <si>
    <t>14018</t>
  </si>
  <si>
    <t>Замок навесной всепогодный MATRIX, 50 мм закал.дужка /91824 /12/</t>
  </si>
  <si>
    <t>14011</t>
  </si>
  <si>
    <t>Замок навесной всепогодный MATRIX, 50 мм,закал. удлиненная дужка/91826</t>
  </si>
  <si>
    <t>11413</t>
  </si>
  <si>
    <t>Замок навесной всепогодный MATRIX, 50 мм/91812</t>
  </si>
  <si>
    <t>11344</t>
  </si>
  <si>
    <t>Замок навесной Ермак овал 30мм 468-067 /12/</t>
  </si>
  <si>
    <t>11303</t>
  </si>
  <si>
    <t>Замок навесной Ермак овал 40мм 468-068 /15/</t>
  </si>
  <si>
    <t>11323</t>
  </si>
  <si>
    <t>Замок навесной Ермак овал 50мм 468-069 /12/</t>
  </si>
  <si>
    <t>11325</t>
  </si>
  <si>
    <t>Замок навесной Ермак овал 60мм 468-070 /2/</t>
  </si>
  <si>
    <t>11322</t>
  </si>
  <si>
    <t>Замок навесной Ермак овал 70мм 468-071 /3/48/</t>
  </si>
  <si>
    <t>11324</t>
  </si>
  <si>
    <t>Замок навесной Ермак Страж 30мм 673-038 /120/</t>
  </si>
  <si>
    <t>11348</t>
  </si>
  <si>
    <t>Замок навесной Ермак Страж 40мм 673-039 /6/</t>
  </si>
  <si>
    <t>11338</t>
  </si>
  <si>
    <t>Замок навесной Ермак Страж 50мм 673-040 /12/</t>
  </si>
  <si>
    <t>11367</t>
  </si>
  <si>
    <t>Замок навесной Ермак Страж 60мм 673-041 /72/</t>
  </si>
  <si>
    <t>11374</t>
  </si>
  <si>
    <t>Замок навесной Ермак Страж 70мм 673-042 /48/</t>
  </si>
  <si>
    <t>11306</t>
  </si>
  <si>
    <t>Замок навесной НД высокосекретный 30 мм /12/</t>
  </si>
  <si>
    <t>11387</t>
  </si>
  <si>
    <t>Замок навесной НД высокосекретный 60 мм /12/</t>
  </si>
  <si>
    <t>11388</t>
  </si>
  <si>
    <t>Замок навесной НД высокосекретный 70 мм /12/</t>
  </si>
  <si>
    <t>11392</t>
  </si>
  <si>
    <t>Замок навесной НД высокосекретный 90 мм /10/</t>
  </si>
  <si>
    <t>11308</t>
  </si>
  <si>
    <t>Замок навесной НД Сторож ВС-70 №61 /10/60/</t>
  </si>
  <si>
    <t>11386</t>
  </si>
  <si>
    <t>Замок навесной Рокот золотистый, металл, 50мм 673-005 /6/</t>
  </si>
  <si>
    <t>11316</t>
  </si>
  <si>
    <t>Замок навесной Рокот золотистый, металл, 60мм 673-006 /10/</t>
  </si>
  <si>
    <t>11327</t>
  </si>
  <si>
    <t>Замок навесной серый 60 №52 /6/96/</t>
  </si>
  <si>
    <t>11395</t>
  </si>
  <si>
    <t>Замок навесной серый 70 №59 /6/60/</t>
  </si>
  <si>
    <t>11330</t>
  </si>
  <si>
    <t>Замок навесной серый 80 №21 /6/48/</t>
  </si>
  <si>
    <t>114 Замки навесные Чебоксары</t>
  </si>
  <si>
    <t>11414</t>
  </si>
  <si>
    <t>Замки навесные Чебоксары Н3ВС2-4А (3+6) /6/</t>
  </si>
  <si>
    <t>11415</t>
  </si>
  <si>
    <t>Замки навесные Чебоксары Н3ВС2-4А-01 (4+9) /6/</t>
  </si>
  <si>
    <t>11416</t>
  </si>
  <si>
    <t>Замки навесные Чебоксары Н3ВС2-4А-01 (5+9) /6/</t>
  </si>
  <si>
    <t>11408</t>
  </si>
  <si>
    <t>Замки навесные Чебоксары Н3ВС2М1 (3+6) /6/</t>
  </si>
  <si>
    <t>11417</t>
  </si>
  <si>
    <t>Замки навесные Чебоксары Н3ВС2М1 (4+9) /6/</t>
  </si>
  <si>
    <t>11418</t>
  </si>
  <si>
    <t>Замки навесные Чебоксары Н3ВС2М1 (5+9) /6/</t>
  </si>
  <si>
    <t>11457</t>
  </si>
  <si>
    <t>Замок навесной Чебоксары ВС 2-10 /6/</t>
  </si>
  <si>
    <t>11407</t>
  </si>
  <si>
    <t>Замок навесной Чебоксары ВС 2-10Л /6/</t>
  </si>
  <si>
    <t>11450</t>
  </si>
  <si>
    <t>Замок навесной Чебоксары ВС 2-11 Щит /20/</t>
  </si>
  <si>
    <t>11441</t>
  </si>
  <si>
    <t>Замок навесной Чебоксары ВС 2-12 /8/</t>
  </si>
  <si>
    <t>11424</t>
  </si>
  <si>
    <t>Замок навесной Чебоксары ВС 2-13 /20/</t>
  </si>
  <si>
    <t>14026</t>
  </si>
  <si>
    <t>Замок навесной Чебоксары ВС 2-14А /24/</t>
  </si>
  <si>
    <t>11446</t>
  </si>
  <si>
    <t>Замок навесной Чебоксары ВС 2-15А /8/</t>
  </si>
  <si>
    <t>11442</t>
  </si>
  <si>
    <t>Замок навесной Чебоксары ВС 2-15Т /6/</t>
  </si>
  <si>
    <t>11462</t>
  </si>
  <si>
    <t>Замок навесной Чебоксары ВС 2-21 /8/</t>
  </si>
  <si>
    <t>14922</t>
  </si>
  <si>
    <t>Замок навесной Чебоксары ВС 2-23 /20/</t>
  </si>
  <si>
    <t>14917</t>
  </si>
  <si>
    <t>Замок навесной Чебоксары ВС 2-26 /24/</t>
  </si>
  <si>
    <t>14919</t>
  </si>
  <si>
    <t>Замок навесной Чебоксары ВС 2-28 сердце /24/</t>
  </si>
  <si>
    <t>11444</t>
  </si>
  <si>
    <t>Замок навесной Чебоксары ВС 2-28А сердце-тросик /20/</t>
  </si>
  <si>
    <t>11477</t>
  </si>
  <si>
    <t>Замок навесной Чебоксары ВС 2-28А-01 /20/</t>
  </si>
  <si>
    <t>11405</t>
  </si>
  <si>
    <t>Замок навесной Чебоксары ВС 2-28С два сердца /20/</t>
  </si>
  <si>
    <t>14910</t>
  </si>
  <si>
    <t>Замок навесной Чебоксары ВС 2-34 Домик /20/</t>
  </si>
  <si>
    <t>14911</t>
  </si>
  <si>
    <t>Замок навесной Чебоксары ВС 2-35 Корзина /20/</t>
  </si>
  <si>
    <t>11461</t>
  </si>
  <si>
    <t>Замок навесной Чебоксары ВС 2-36 Крышка бензобака /20/</t>
  </si>
  <si>
    <t>11426</t>
  </si>
  <si>
    <t>Замок навесной Чебоксары ВС 2-37 Грузовик /24/</t>
  </si>
  <si>
    <t>14905</t>
  </si>
  <si>
    <t>Замок навесной Чебоксары ВС 2-38 Крепость /20/</t>
  </si>
  <si>
    <t>14929</t>
  </si>
  <si>
    <t>Замок навесной Чебоксары ВС 2-39 Автомобиль /20/</t>
  </si>
  <si>
    <t>14909</t>
  </si>
  <si>
    <t>Замок навесной Чебоксары ВС 2-3А /20/</t>
  </si>
  <si>
    <t>11400</t>
  </si>
  <si>
    <t>Замок навесной Чебоксары ВС 2-49 /24/</t>
  </si>
  <si>
    <t>11443</t>
  </si>
  <si>
    <t>Замок навесной Чебоксары ВС 2-49-01 /24/</t>
  </si>
  <si>
    <t>11456</t>
  </si>
  <si>
    <t>Замок навесной Чебоксары ВС 2-4А /20/</t>
  </si>
  <si>
    <t>11484</t>
  </si>
  <si>
    <t>Замок навесной Чебоксары ВС 2-4А-01 /20/</t>
  </si>
  <si>
    <t>11409</t>
  </si>
  <si>
    <t>Замок навесной Чебоксары ВС 2-60 Хохлома /20/</t>
  </si>
  <si>
    <t>11402</t>
  </si>
  <si>
    <t>Замок навесной Чебоксары ВС 2-60-М Милитари /20/</t>
  </si>
  <si>
    <t>11433</t>
  </si>
  <si>
    <t>Замок навесной Чебоксары ВС 2-6А велосипедный 35см /24/</t>
  </si>
  <si>
    <t>11434</t>
  </si>
  <si>
    <t>Замок навесной Чебоксары ВС 2-6А-01 велосипедный 63см /20/</t>
  </si>
  <si>
    <t>11435</t>
  </si>
  <si>
    <t>Замок навесной Чебоксары ВС 2-6А-02 велосипедный 126см /18/</t>
  </si>
  <si>
    <t>11440</t>
  </si>
  <si>
    <t>Замок навесной Чебоксары ВС 2-6Б /24/</t>
  </si>
  <si>
    <t>11463</t>
  </si>
  <si>
    <t>Замок навесной Чебоксары ВС 2-7 /8/</t>
  </si>
  <si>
    <t>14925</t>
  </si>
  <si>
    <t>Замок навесной Чебоксары ВС 2-8 /18/</t>
  </si>
  <si>
    <t>11401</t>
  </si>
  <si>
    <t>Замок навесной Чебоксары ВС 2-9 /8/</t>
  </si>
  <si>
    <t>14920</t>
  </si>
  <si>
    <t>Замок навесной Чебоксары ВС 2А /20/</t>
  </si>
  <si>
    <t>11458</t>
  </si>
  <si>
    <t>Замок навесной Чебоксары ВС 2М1 /20/</t>
  </si>
  <si>
    <t>14900</t>
  </si>
  <si>
    <t>Замок навесной Чебоксары ВС 2М1-01 /20/</t>
  </si>
  <si>
    <t>11455</t>
  </si>
  <si>
    <t>Замок навесной Чебоксары ВС 2М1-02 /20/</t>
  </si>
  <si>
    <t>115-134 Косметика</t>
  </si>
  <si>
    <t>115 Лаки для волос/оттен.бальзамы</t>
  </si>
  <si>
    <t>11530</t>
  </si>
  <si>
    <t>Лак для волос Taft 75 мл Power с витаминами (черн.) /5/20/</t>
  </si>
  <si>
    <t>11568</t>
  </si>
  <si>
    <t>Лак для волос Wellaflex 250 мл Классик ЭСФ/6/</t>
  </si>
  <si>
    <t>11502</t>
  </si>
  <si>
    <t>Лак для волос Прелесть 160 мл Классика сильная фикс. (серый) /12/</t>
  </si>
  <si>
    <t>11503</t>
  </si>
  <si>
    <t>Лак для волос Прелесть 200 мл Защита и фиксация /12/</t>
  </si>
  <si>
    <t>11575</t>
  </si>
  <si>
    <t>Лак для волос Прелесть 200 мл Классика сверх сильная фикс.(серый) /12/</t>
  </si>
  <si>
    <t>11552</t>
  </si>
  <si>
    <t>Лак для волос Прелесть 200 мл Классика сильная фикс.(серый) /12/</t>
  </si>
  <si>
    <t>11525</t>
  </si>
  <si>
    <t>Лак для волос Прелесть 300 мл Защита</t>
  </si>
  <si>
    <t>11521</t>
  </si>
  <si>
    <t>Лак для волос Романтика 200 мл с бета-каротином /12/</t>
  </si>
  <si>
    <t>11547</t>
  </si>
  <si>
    <t>Лак для волос Романтика 200 мл с провитамином В5 /12/</t>
  </si>
  <si>
    <t>11558</t>
  </si>
  <si>
    <t>Лак для волос Романтика 200 мл с растительными экстрактами /12/</t>
  </si>
  <si>
    <t>11514</t>
  </si>
  <si>
    <t>Лак для волос Сюжет 100 мл с блестками золотой /15/</t>
  </si>
  <si>
    <t>116 Зубные ополаскиватели/Зубн.щетки</t>
  </si>
  <si>
    <t>11664</t>
  </si>
  <si>
    <t>З/щ 1+1 с тонкой щетиной средняя 982-013 /12/288/</t>
  </si>
  <si>
    <t>11674</t>
  </si>
  <si>
    <t>З/щ Aquafresh Стандарт средняя /12/</t>
  </si>
  <si>
    <t>11606</t>
  </si>
  <si>
    <t>З/щ Classic средняя жесткость 5 шт. 982-030 /24/</t>
  </si>
  <si>
    <t>11607</t>
  </si>
  <si>
    <t>З/щ Colgate Классика здоровья средняя /12/</t>
  </si>
  <si>
    <t>11617</t>
  </si>
  <si>
    <t>З/щ Colgate Премьер отбеливание средняя /12/</t>
  </si>
  <si>
    <t>11611</t>
  </si>
  <si>
    <t>З/щ Colgate Эксперт чистоты средняя /12/</t>
  </si>
  <si>
    <t>11699</t>
  </si>
  <si>
    <t>З/щ EH medium 18,5см 14614 /12/</t>
  </si>
  <si>
    <t>11616</t>
  </si>
  <si>
    <t>З/щ EH medium 19,0см 14615 /12/</t>
  </si>
  <si>
    <t>11698</t>
  </si>
  <si>
    <t>З/щ EH medium черная щетина 18,8см /12/14613</t>
  </si>
  <si>
    <t>11690</t>
  </si>
  <si>
    <t>З/щ Exxe Classic суперочищающая средняя /12/48/</t>
  </si>
  <si>
    <t>11602</t>
  </si>
  <si>
    <t>З/щ Exxe Extra максимальный эффект жесткая /12/48/</t>
  </si>
  <si>
    <t>11605</t>
  </si>
  <si>
    <t>З/щ Exxe Fusion белоснежная улыбка средняя /12/48/</t>
  </si>
  <si>
    <t>11678</t>
  </si>
  <si>
    <t>З/щ Ragel 603 /12/</t>
  </si>
  <si>
    <t>11627</t>
  </si>
  <si>
    <t>З/щ Ragel 613 /12/</t>
  </si>
  <si>
    <t>11684</t>
  </si>
  <si>
    <t>З/щ Ragel 691С /12/576/</t>
  </si>
  <si>
    <t>11681</t>
  </si>
  <si>
    <t>З/щ Ragel 698C /12/</t>
  </si>
  <si>
    <t>11682</t>
  </si>
  <si>
    <t>З/щ Ragel 751 /12/</t>
  </si>
  <si>
    <t>11683</t>
  </si>
  <si>
    <t>З/щ Ragel F-128 4шт на листе /12/</t>
  </si>
  <si>
    <t>11600</t>
  </si>
  <si>
    <t>З/щ Деликат средняя 982-003 /12/</t>
  </si>
  <si>
    <t>11695</t>
  </si>
  <si>
    <t>З/щ детская Vilsen Веселый дельфин /12/</t>
  </si>
  <si>
    <t>11650</t>
  </si>
  <si>
    <t>З/щ детская Друг мягкая 982-007 /12/</t>
  </si>
  <si>
    <t>11656</t>
  </si>
  <si>
    <t>З/щ детская Улыбнись мягкая 982-006 /24/576/</t>
  </si>
  <si>
    <t>11693</t>
  </si>
  <si>
    <t>З/щ Доктор Клин A68 средняя для взрослых /24/</t>
  </si>
  <si>
    <t>11694</t>
  </si>
  <si>
    <t>З/щ Доктор Клин L18 средняя для взрослых /24/</t>
  </si>
  <si>
    <t>11608</t>
  </si>
  <si>
    <t>З/щ Доктор Клин R11 средняя для взрослых /24/</t>
  </si>
  <si>
    <t>11610</t>
  </si>
  <si>
    <t>З/щ пластик мягкая жестк. инд. 3 ФМ22-02 4 цв. 152-060 /12/</t>
  </si>
  <si>
    <t>11613</t>
  </si>
  <si>
    <t>З/щ пластик мягкая жестк. инд. 3 ФМ22-04 4 цв. 152-064 /12/</t>
  </si>
  <si>
    <t>11677</t>
  </si>
  <si>
    <t>З/щ пластик средняя жестк. инд. 5 982-016 /12/</t>
  </si>
  <si>
    <t>11609</t>
  </si>
  <si>
    <t>З/щ пластик средняя жестк. инд. 5 ФМ22-01 4 цв. 152-059 /12/</t>
  </si>
  <si>
    <t>11612</t>
  </si>
  <si>
    <t>З/щ пластик средняя жестк. инд. 5 ФМ22-03 4 цв. 152-061 /12/</t>
  </si>
  <si>
    <t>11654</t>
  </si>
  <si>
    <t>З/щ Релакс средняя 982-004 /24/576/</t>
  </si>
  <si>
    <t>11604</t>
  </si>
  <si>
    <t>З/щ Эффект средняя 982-005 /24/</t>
  </si>
  <si>
    <t>11620</t>
  </si>
  <si>
    <t>Ополаскиватель д/десен Лесной Бальзам 250мл Кедр шалфей /6/</t>
  </si>
  <si>
    <t>11615</t>
  </si>
  <si>
    <t>Ополаскиватель д/десен Лесной Бальзам 250мл Природная свежесть /6/</t>
  </si>
  <si>
    <t>11619</t>
  </si>
  <si>
    <t>Ополаскиватель д/десен Лесной Бальзам 250мл Прополис /12/</t>
  </si>
  <si>
    <t>11603</t>
  </si>
  <si>
    <t>Ополаскиватель д/десен Лесной Бальзам 400мл Природная свежесть /12/</t>
  </si>
  <si>
    <t>117 Мыло жидкое/крем-мыло</t>
  </si>
  <si>
    <t>11797</t>
  </si>
  <si>
    <t>Жидкое кр-мыло + гель д/душа Дачное 800 мл Мята 7в1 дозатор 4619 /12/</t>
  </si>
  <si>
    <t>11733</t>
  </si>
  <si>
    <t>Жидкое кр-мыло Garden Dreams 500 мл. Алоэ-вера дозатор /12/</t>
  </si>
  <si>
    <t>11739</t>
  </si>
  <si>
    <t>Жидкое кр-мыло Garden Dreams 500 мл. Вишня дозатор /12/</t>
  </si>
  <si>
    <t>11763</t>
  </si>
  <si>
    <t>Жидкое кр-мыло Garden Dreams 500 мл. Персик дозатор /12/</t>
  </si>
  <si>
    <t>11777</t>
  </si>
  <si>
    <t>Жидкое кр-мыло Garden Dreams 500 мл. Ромашка дозатор /12/</t>
  </si>
  <si>
    <t>11771</t>
  </si>
  <si>
    <t>Жидкое кр-мыло Rain 250 мл Антибактериальное Черника-Василек /41/</t>
  </si>
  <si>
    <t>11774</t>
  </si>
  <si>
    <t>Жидкое кр-мыло Rain 250 мл Антибактериальное Черника-Василек с дозатором /41/</t>
  </si>
  <si>
    <t>11755</t>
  </si>
  <si>
    <t>Жидкое кр-мыло Rain 250 мл Кокос-Ваниль /41/</t>
  </si>
  <si>
    <t>11765</t>
  </si>
  <si>
    <t>Жидкое кр-мыло Rain 250 мл Кокос-Ваниль с дозатором /41/</t>
  </si>
  <si>
    <t>11780</t>
  </si>
  <si>
    <t>Жидкое кр-мыло Rain 500 мл Антибактериальное с дозатором /20/</t>
  </si>
  <si>
    <t>11792</t>
  </si>
  <si>
    <t>Жидкое кр-мыло Банное 800 мл Травяной концентрат дозатор 5036 /12/</t>
  </si>
  <si>
    <t>11738</t>
  </si>
  <si>
    <t>Жидкое кр-мыло Душистый Колокольчик 300 мл. Дикая орхидея дозатор /20/</t>
  </si>
  <si>
    <t>11743</t>
  </si>
  <si>
    <t>Жидкое кр-мыло Душистый Колокольчик 300 мл. Клубника и банан дозатор /20/</t>
  </si>
  <si>
    <t>11747</t>
  </si>
  <si>
    <t>Жидкое кр-мыло Душистый Колокольчик 300 мл. Рижская сирень дозатор /20/</t>
  </si>
  <si>
    <t>11768</t>
  </si>
  <si>
    <t>Жидкое кр-мыло Душистый Колокольчик 300 мл. Цветущий жасмин дозатор /20/</t>
  </si>
  <si>
    <t>11781</t>
  </si>
  <si>
    <t>Жидкое кр-мыло Душистый Колокольчик 500 мл. Антибактериальное дозатор /12/</t>
  </si>
  <si>
    <t>11790</t>
  </si>
  <si>
    <t>Жидкое кр-мыло Колокольчик natural extracts 500 мл.Алоэ вера и Олива/12/</t>
  </si>
  <si>
    <t>11712</t>
  </si>
  <si>
    <t>Жидкое кр-мыло Колокольчик natural extracts 500 мл.Антибактериальное Белый персик и Пчелиное мол/12/</t>
  </si>
  <si>
    <t>11730</t>
  </si>
  <si>
    <t>Жидкое кр-мыло Колокольчик natural extracts 500 мл.Антибактериальное Вишня и Мускатный орех/12/</t>
  </si>
  <si>
    <t>11789</t>
  </si>
  <si>
    <t>Жидкое кр-мыло Колокольчик natural extracts 500 мл.Антибактериальное Грейпфрут и Лайм/12/</t>
  </si>
  <si>
    <t>11794</t>
  </si>
  <si>
    <t>Жидкое кр-мыло Колокольчик natural extracts 500 мл.Антибактериальное Исландский мох/12/</t>
  </si>
  <si>
    <t>11751</t>
  </si>
  <si>
    <t>Жидкое кр-мыло Колокольчик natural extracts 500 мл.Антибактериальное Ромашка и Мёд/12/</t>
  </si>
  <si>
    <t>11778</t>
  </si>
  <si>
    <t>Жидкое кр-мыло Колокольчик natural extracts 500 мл.Морская вода и Минералы/12/</t>
  </si>
  <si>
    <t>11779</t>
  </si>
  <si>
    <t>Жидкое кр-мыло Колокольчик natural extracts 500 мл.Рижская сирень/12/</t>
  </si>
  <si>
    <t>11710</t>
  </si>
  <si>
    <t>Жидкое кр-мыло Особая серия 520 мл Банановый шейк /12/</t>
  </si>
  <si>
    <t>11714</t>
  </si>
  <si>
    <t>Жидкое кр-мыло Особая серия 520 мл Йогурт Алоэ вера /12/</t>
  </si>
  <si>
    <t>11737</t>
  </si>
  <si>
    <t>Жидкое кр-мыло Особая серия 520 мл Овсяное молочко /12/</t>
  </si>
  <si>
    <t>11762</t>
  </si>
  <si>
    <t>Жидкое кр-мыло со скрабом д/душа Еловое 800 мл Хвойный концентрат  дозатор 5029 /12/</t>
  </si>
  <si>
    <t>11799</t>
  </si>
  <si>
    <t>Жидкое кр-мыло Ушастый нянь 300 мл Олива-Алоэ /12/</t>
  </si>
  <si>
    <t>11756</t>
  </si>
  <si>
    <t>Жидкое мыло Antibac 800 мл Ультразащита флип-топ 6040-1 /12/</t>
  </si>
  <si>
    <t>11717</t>
  </si>
  <si>
    <t>Жидкое мыло Chirton 500мл Клубничный десерт /12/</t>
  </si>
  <si>
    <t>11708</t>
  </si>
  <si>
    <t>Жидкое мыло Chirton 500мл Сладкий Миндаль /12/</t>
  </si>
  <si>
    <t>11702</t>
  </si>
  <si>
    <t>Жидкое мыло Dоve 250мл Прикосновение свежести /6/</t>
  </si>
  <si>
    <t>11749</t>
  </si>
  <si>
    <t>Жидкое мыло Help 300мл Зеленый чай /20/</t>
  </si>
  <si>
    <t>11791</t>
  </si>
  <si>
    <t>Жидкое мыло Help 300мл Молоко и мед /20/</t>
  </si>
  <si>
    <t>11721</t>
  </si>
  <si>
    <t>Жидкое мыло Help 300мл Морской бриз /20/</t>
  </si>
  <si>
    <t>11685</t>
  </si>
  <si>
    <t>Жидкое мыло Hon 400мл 952-091 /12/24/</t>
  </si>
  <si>
    <t>11753</t>
  </si>
  <si>
    <t>Жидкое мыло Nivea для интимной гигиены 250 мл /12/</t>
  </si>
  <si>
    <t>11716</t>
  </si>
  <si>
    <t>Жидкое мыло Palmolive 300мл д/интим гигины Ромашка /3/</t>
  </si>
  <si>
    <t>11752</t>
  </si>
  <si>
    <t>Жидкое мыло Palmolive 300мл Оливковое молочко /12/</t>
  </si>
  <si>
    <t>11711</t>
  </si>
  <si>
    <t>Жидкое мыло Palmolive 300мл Черная орхидея /12/</t>
  </si>
  <si>
    <t>11775</t>
  </si>
  <si>
    <t>Жидкое мыло Pearl 500 мл для интимной гигиены /10/</t>
  </si>
  <si>
    <t>11736</t>
  </si>
  <si>
    <t>Жидкое мыло Pearl 500 мл с анибакт эфф. алоэ вера /10/</t>
  </si>
  <si>
    <t>11742</t>
  </si>
  <si>
    <t>Жидкое мыло Pearl 500 мл с анибакт эфф. морской бриз /10/</t>
  </si>
  <si>
    <t>11819</t>
  </si>
  <si>
    <t>Жидкое мыло Rain 500 мл Антибактериальное Грейпфрут-Малина с дозатором /20/</t>
  </si>
  <si>
    <t>11818</t>
  </si>
  <si>
    <t>Жидкое мыло Rain 500 мл Антибактериальное Лайм-Мята с дозатором /20/</t>
  </si>
  <si>
    <t>11770</t>
  </si>
  <si>
    <t>Жидкое мыло Rain 500 мл Антибактериальное Лимон-Ананас с дозатором /20/</t>
  </si>
  <si>
    <t>11728</t>
  </si>
  <si>
    <t>Жидкое мыло Бархатные ручки 240мл Антибактериальное /8/</t>
  </si>
  <si>
    <t>11734</t>
  </si>
  <si>
    <t>Жидкое мыло Бархатные ручки 240мл Интенсивное питание /10/</t>
  </si>
  <si>
    <t>11740</t>
  </si>
  <si>
    <t>Жидкое мыло Бионика 500 мл с анибакт эфф.иванчай /9/</t>
  </si>
  <si>
    <t>11741</t>
  </si>
  <si>
    <t>Жидкое мыло Бионика 500 мл с анибакт эфф.крапива /9/</t>
  </si>
  <si>
    <t>11782</t>
  </si>
  <si>
    <t>Жидкое мыло Душистый Колокольчик 300 мл. Алоэ-вера пуш-пул /20/</t>
  </si>
  <si>
    <t>11793</t>
  </si>
  <si>
    <t>Жидкое мыло Душистый Колокольчик 300 мл. Вишня пуш-пул /20/</t>
  </si>
  <si>
    <t>11795</t>
  </si>
  <si>
    <t>Жидкое мыло Душистый Колокольчик 300 мл. Персик пуш-пул /20/</t>
  </si>
  <si>
    <t>11798</t>
  </si>
  <si>
    <t>Жидкое мыло Душистый Колокольчик 300 мл. Ромашка пуш-пул /20/</t>
  </si>
  <si>
    <t>11769</t>
  </si>
  <si>
    <t>Жидкое мыло Красная линия 500мл кухонное Лимон /12/</t>
  </si>
  <si>
    <t>11759</t>
  </si>
  <si>
    <t>Жидкое мыло Красная линия 500мл Нежное /12/</t>
  </si>
  <si>
    <t>11720</t>
  </si>
  <si>
    <t>Жидкое мыло Красная линия 520мл Защитное /12/</t>
  </si>
  <si>
    <t>11725</t>
  </si>
  <si>
    <t>Жидкое мыло Красная линия для интимной гигиены 250 г алоэ вера /15/</t>
  </si>
  <si>
    <t>11727</t>
  </si>
  <si>
    <t>Жидкое мыло Красная линия для интимной гигиены 250 г календула /15/</t>
  </si>
  <si>
    <t>11706</t>
  </si>
  <si>
    <t>Жидкое мыло Красная линия для интимной гигиены 250 г хлопок /15/</t>
  </si>
  <si>
    <t>11744</t>
  </si>
  <si>
    <t>Жидкое мыло НК 300 мл Дегтярное /24/</t>
  </si>
  <si>
    <t>11764</t>
  </si>
  <si>
    <t>Жидкое мыло Русалочка 500мл Антибактериальное свежая мята /6/</t>
  </si>
  <si>
    <t>11767</t>
  </si>
  <si>
    <t>Жидкое мыло Умка 300 мл детское гипоаллерг. Ромашка/Календула /6/</t>
  </si>
  <si>
    <t>11723</t>
  </si>
  <si>
    <t>Жидкое мыло Умка 300 мл детское гипоаллерг. с экстратом Череды /6/</t>
  </si>
  <si>
    <t>11748</t>
  </si>
  <si>
    <t>Жидкое мыло Чистая линия 500мл Дой-пак для всей семьи /12/</t>
  </si>
  <si>
    <t>118 Прочая косметика</t>
  </si>
  <si>
    <t>11859</t>
  </si>
  <si>
    <t>Жидкость для снятия лака 50мл п/б 330-213 /36/</t>
  </si>
  <si>
    <t>11803</t>
  </si>
  <si>
    <t>Жидкость для снятия лака DNC 100 мл без ацетона /12/</t>
  </si>
  <si>
    <t>11887</t>
  </si>
  <si>
    <t>Жидкость для снятия лака Ласка 100 мл /24/</t>
  </si>
  <si>
    <t>11845</t>
  </si>
  <si>
    <t>Жидкость для снятия лака Ласка 40 мл /36/</t>
  </si>
  <si>
    <t>11888</t>
  </si>
  <si>
    <t>Жидкость для снятия лака Мечта 100 мл /24/</t>
  </si>
  <si>
    <t>11860</t>
  </si>
  <si>
    <t>Жидкость для снятия лака ЮниLook п/б 100мл 330-215 /36/</t>
  </si>
  <si>
    <t>11883</t>
  </si>
  <si>
    <t>Комплекс для принятия ванны 75 мл Антистресс (Чабрец и Эхиноцея) /12/</t>
  </si>
  <si>
    <t>11886</t>
  </si>
  <si>
    <t>Комплекс для принятия ванны 75 мл Детский (Волшебный сон/Карамельное яблоко) /12/</t>
  </si>
  <si>
    <t>11892</t>
  </si>
  <si>
    <t>Комплекс для принятия ванны 75 мл Здоровый сон /12/</t>
  </si>
  <si>
    <t>11885</t>
  </si>
  <si>
    <t>Комплекс для принятия ванны 75 мл Крепкий иммунитет /12/</t>
  </si>
  <si>
    <t>11868</t>
  </si>
  <si>
    <t>Лак для ногтей 18 мл 6 цв. 330-302</t>
  </si>
  <si>
    <t>14437</t>
  </si>
  <si>
    <t>Масло эфирное Мята Эфкалипт 10 мл 364-225 /7/84/</t>
  </si>
  <si>
    <t>11806</t>
  </si>
  <si>
    <t>Покрытие для гель-лака Olystyle базовое 10 мл 017-001</t>
  </si>
  <si>
    <t>11808</t>
  </si>
  <si>
    <t>Покрытие для гель-лака Olystyle топовое (без липкого слоя) 10 мл 017-003</t>
  </si>
  <si>
    <t>11807</t>
  </si>
  <si>
    <t>Праймер бескислотный для гель-лака Olystyle 10 мл 017-002</t>
  </si>
  <si>
    <t>11864</t>
  </si>
  <si>
    <t>Салфетки для снятия гель-лака одноразовые 12 шт в блистере 330-018 /12/</t>
  </si>
  <si>
    <t>11898</t>
  </si>
  <si>
    <t>Соль для ванны 560 гр. Расслабляющая /6/</t>
  </si>
  <si>
    <t>11897</t>
  </si>
  <si>
    <t>Соль для ванны 560 гр. Тонизирующая /6/</t>
  </si>
  <si>
    <t>11896</t>
  </si>
  <si>
    <t>Соль для ванны 560 гр. Успокаивающая /6/</t>
  </si>
  <si>
    <t>11895</t>
  </si>
  <si>
    <t>Соль для ванны Dream Nature 900 гр Морская натуральная 953-026 /14/</t>
  </si>
  <si>
    <t>11894</t>
  </si>
  <si>
    <t>Соль для ванны Dream Nature 900 гр Хвойный концентрат 953-025 /14/</t>
  </si>
  <si>
    <t>11804</t>
  </si>
  <si>
    <t>Соль для ванны Fabrik cosmetology 500гр с эфирным маслом лаванда /6/</t>
  </si>
  <si>
    <t>11805</t>
  </si>
  <si>
    <t>Соль для ванны Fabrik cosmetology 500гр с эфирным маслом лемонграсса /6/</t>
  </si>
  <si>
    <t>11832</t>
  </si>
  <si>
    <t>Соль для ванны Бишофитная 530гр Для снижения веса 953-002 /10/</t>
  </si>
  <si>
    <t>11816</t>
  </si>
  <si>
    <t>Соль для ванны Крымская 1100гр Апельсин /9/</t>
  </si>
  <si>
    <t>11817</t>
  </si>
  <si>
    <t>Соль для ванны Крымская 1100гр Лаванда /9/</t>
  </si>
  <si>
    <t>11815</t>
  </si>
  <si>
    <t>Соль для ванны Крымская 1100гр Можжевельник /9/</t>
  </si>
  <si>
    <t>11814</t>
  </si>
  <si>
    <t>Соль для ванны Крымская 1100гр Натуральная /9/</t>
  </si>
  <si>
    <t>11858</t>
  </si>
  <si>
    <t>Соль для ванны Ракушка 600гр Крапива /3/20/</t>
  </si>
  <si>
    <t>11899</t>
  </si>
  <si>
    <t>Соль для ванны Ракушка 600гр Ламинария /3/20/</t>
  </si>
  <si>
    <t>11800</t>
  </si>
  <si>
    <t>Соль для ванны Ракушка 600гр Морская /3/20/</t>
  </si>
  <si>
    <t>11802</t>
  </si>
  <si>
    <t>Соль для ванны Ракушка 600гр Хвоя /3/20/</t>
  </si>
  <si>
    <t>11801</t>
  </si>
  <si>
    <t>Соль для ванны Ракушка 600гр Череда /3/20/</t>
  </si>
  <si>
    <t>11875</t>
  </si>
  <si>
    <t>Соль для ванны РБА 800 мл Противопростудная Медовая /5/10/</t>
  </si>
  <si>
    <t>11876</t>
  </si>
  <si>
    <t>Соль для ванны РБА 800 мл Успокаивающвя Сосновая живица /5/10/</t>
  </si>
  <si>
    <t>11811</t>
  </si>
  <si>
    <t>Соль для ванны с пеной Rain 1,3 кг Amethyst /4/</t>
  </si>
  <si>
    <t>11810</t>
  </si>
  <si>
    <t>Соль для ванны с пеной Rain 1,3 кг Pink sapphire /4/</t>
  </si>
  <si>
    <t>11838</t>
  </si>
  <si>
    <t>Соль для ванны СольЗдрав 600гр Минерал Гиброкарб упруг и молод /8/</t>
  </si>
  <si>
    <t>11821</t>
  </si>
  <si>
    <t>Соль для ванны СольЗдрав 600гр Минерал Жемчужная /8/</t>
  </si>
  <si>
    <t>11839</t>
  </si>
  <si>
    <t>Соль для ванны СольЗдрав 600гр Минерал Скипидарная соль Антицел /8/</t>
  </si>
  <si>
    <t>11850</t>
  </si>
  <si>
    <t>Соль для ванны СольЗдрав 800гр Морская соль Активация имунитета /8/</t>
  </si>
  <si>
    <t>11840</t>
  </si>
  <si>
    <t>Соль для ванны СольЗдрав 800гр Морская соль Мертвого моря /8/</t>
  </si>
  <si>
    <t>11874</t>
  </si>
  <si>
    <t>Соль для ванны СольЗдрав 800гр Морская соль Ромашка и эвкалипт /8/</t>
  </si>
  <si>
    <t>11842</t>
  </si>
  <si>
    <t>Соль для ванны Фито 500гр Календула /4/28/</t>
  </si>
  <si>
    <t>11843</t>
  </si>
  <si>
    <t>Соль для ванны Фито 500гр Крапива /4/28/</t>
  </si>
  <si>
    <t>11851</t>
  </si>
  <si>
    <t>Соль для ванны Фито 500гр Лаванда /4/28/</t>
  </si>
  <si>
    <t>11831</t>
  </si>
  <si>
    <t>Соль для ванны Фито 500гр Ромашка /4/28/</t>
  </si>
  <si>
    <t>11841</t>
  </si>
  <si>
    <t>Соль для ванны Фито 500гр Хвоя /4/28/</t>
  </si>
  <si>
    <t>11826</t>
  </si>
  <si>
    <t>Хлоргексидин водн.р-р дез.ср-во 0,05% 100 мл 360-115 /56/</t>
  </si>
  <si>
    <t>120-123 Шампуни</t>
  </si>
  <si>
    <t>120 Шампуни бальзамы H&amp;S/Pantine Pro-V/Timotei/Dove/Fructis</t>
  </si>
  <si>
    <t>12038</t>
  </si>
  <si>
    <t>Бальзам Fructis 200 мл Sos восстановление /6/12/</t>
  </si>
  <si>
    <t>12025</t>
  </si>
  <si>
    <t>Бальзам Fructis 200 мл Годжи Стойкий Цвет /6/12/</t>
  </si>
  <si>
    <t>12039</t>
  </si>
  <si>
    <t>Бальзам Fructis 200 мл Для густых и роскошных волос /6/12/</t>
  </si>
  <si>
    <t>12010</t>
  </si>
  <si>
    <t>Бальзам Fructis 200 мл Кокосовый баланс /6/12/</t>
  </si>
  <si>
    <t>12008</t>
  </si>
  <si>
    <t>Бальзам Fructis 200 мл Рост во всю силу /6/12/</t>
  </si>
  <si>
    <t>12009</t>
  </si>
  <si>
    <t>Бальзам Fructis 200 мл Тройное восстановление /6/12/</t>
  </si>
  <si>
    <t>12051</t>
  </si>
  <si>
    <t>Шампунь Dove 250 мл Детокс чай матча и рисовым молоком /6/12/</t>
  </si>
  <si>
    <t>12068</t>
  </si>
  <si>
    <t>Шампунь Dove 250 мл для мужчин Свежесть ментола /6/12/</t>
  </si>
  <si>
    <t>12003</t>
  </si>
  <si>
    <t>Шампунь Dove 250 мл Интенсивное восстановление /6/12/</t>
  </si>
  <si>
    <t>12072</t>
  </si>
  <si>
    <t>Шампунь Dove 250 мл Контроль потери волос /6/12/</t>
  </si>
  <si>
    <t>12074</t>
  </si>
  <si>
    <t>Шампунь Dove 250 мл Обьм и восстановление /6/12/</t>
  </si>
  <si>
    <t>12022</t>
  </si>
  <si>
    <t>Шампунь Dove 250 мл Против секущихся кончиков /6/12/</t>
  </si>
  <si>
    <t>12076</t>
  </si>
  <si>
    <t>Шампунь Dove 250 мл Сияние цвета /6/12/</t>
  </si>
  <si>
    <t>12001</t>
  </si>
  <si>
    <t>Шампунь Dove 380 мл Питающий уход /5/10/</t>
  </si>
  <si>
    <t>12006</t>
  </si>
  <si>
    <t>Шампунь Fructis 250 мл SOS восстановление /6/12/</t>
  </si>
  <si>
    <t>12020</t>
  </si>
  <si>
    <t>Шампунь Fructis 250 мл Годжи Стойкий цвет /6/12/</t>
  </si>
  <si>
    <t>12221</t>
  </si>
  <si>
    <t>Шампунь Fructis 250 мл для густых и роск.волос /6/12/</t>
  </si>
  <si>
    <t>12042</t>
  </si>
  <si>
    <t>Шампунь Fructis 250 мл Кокосовый баланс /6/12/</t>
  </si>
  <si>
    <t>12064</t>
  </si>
  <si>
    <t>Шампунь Fructis 250 мл Масло Тройное восстановление /6/12/</t>
  </si>
  <si>
    <t>12023</t>
  </si>
  <si>
    <t>Шампунь Fructis 250 мл Огуречная свежесть /6/12/</t>
  </si>
  <si>
    <t>12017</t>
  </si>
  <si>
    <t>Шампунь Fructis 250 мл Рост во всю силу /6/12/</t>
  </si>
  <si>
    <t>12030</t>
  </si>
  <si>
    <t>Шампунь Fructis 250 мл Тройное восстановление /6/12/</t>
  </si>
  <si>
    <t>12018</t>
  </si>
  <si>
    <t>Шампунь H&amp;S 200 мл Цитрусовый д/жирных /6/12/</t>
  </si>
  <si>
    <t>12036</t>
  </si>
  <si>
    <t>Шампунь Pantine Pro-V 250 мл Яркость цвета /6/</t>
  </si>
  <si>
    <t>121 Шампуни бальзамы Gliss kur\Nivea\Schauma\Shamtu</t>
  </si>
  <si>
    <t>12107</t>
  </si>
  <si>
    <t>Бальзам ополаскиватель Schauma 200 мл Бережное восстановление /5/10/</t>
  </si>
  <si>
    <t>12108</t>
  </si>
  <si>
    <t>Бальзам ополаскиватель Schauma 200 мл Смузи Манго, Маракуйа и Рис. молочко /5/10/</t>
  </si>
  <si>
    <t>12127</t>
  </si>
  <si>
    <t>Бальзам ополаскиватель Schauma 300 мл 7 трав /5/10/</t>
  </si>
  <si>
    <t>12132</t>
  </si>
  <si>
    <t>Бальзам ополаскиватель Schauma 300 мл Питательный коктейль /5/10/</t>
  </si>
  <si>
    <t>12130</t>
  </si>
  <si>
    <t>Шампунь Gliss kur 250 мл Безупречная длина /12/</t>
  </si>
  <si>
    <t>12141</t>
  </si>
  <si>
    <t>Шампунь Gliss kur 250 мл Гиалур /12/</t>
  </si>
  <si>
    <t>12122</t>
  </si>
  <si>
    <t>Шампунь Gliss kur 250 мл Жидкий шелк /12/</t>
  </si>
  <si>
    <t>12138</t>
  </si>
  <si>
    <t>Шампунь Gliss kur 250 мл Нутритив /12/</t>
  </si>
  <si>
    <t>12128</t>
  </si>
  <si>
    <t>Шампунь Gliss kur 250 мл Экстремальное восстановление (черн) /12/</t>
  </si>
  <si>
    <t>12129</t>
  </si>
  <si>
    <t>Шампунь Gliss kur 250 мл Экстремальный объем (фиол) /12/</t>
  </si>
  <si>
    <t>12111</t>
  </si>
  <si>
    <t>Шампунь Schauma 250 мл Дой-пак 7 трав /6/12/</t>
  </si>
  <si>
    <t>12112</t>
  </si>
  <si>
    <t>Шампунь Schauma 250 мл Дой-пак для всей семьи /6/12/</t>
  </si>
  <si>
    <t>12161</t>
  </si>
  <si>
    <t>Шампунь Schauma 350 мл Свежесть хлопка для жирных волос /5/10/</t>
  </si>
  <si>
    <t>12104</t>
  </si>
  <si>
    <t>Шампунь Schauma 360 мл 7 трав /5/10/</t>
  </si>
  <si>
    <t>12100</t>
  </si>
  <si>
    <t>Шампунь Schauma 360 мл для мужчин Intensive от перхоти /5/10/</t>
  </si>
  <si>
    <t>12188</t>
  </si>
  <si>
    <t>Шампунь Schauma 360 мл для мужчин Ultra Сила с хмелем /5/10/</t>
  </si>
  <si>
    <t>12114</t>
  </si>
  <si>
    <t>Шампунь Schauma 360 мл для мужчин Энергия спорта 2в1 /5/10/</t>
  </si>
  <si>
    <t>12117</t>
  </si>
  <si>
    <t>Шампунь Schauma 370 мл Воздушный объем /5/10/</t>
  </si>
  <si>
    <t>12113</t>
  </si>
  <si>
    <t>Шампунь Schauma 370 мл Интенсивное укрепление /5/10/</t>
  </si>
  <si>
    <t>12190</t>
  </si>
  <si>
    <t>Шампунь Schauma 370 мл Мягкое очищение /5/10/</t>
  </si>
  <si>
    <t>12115</t>
  </si>
  <si>
    <t>Шампунь Schauma 370 мл Питательный коктейль /5/10/</t>
  </si>
  <si>
    <t>12118</t>
  </si>
  <si>
    <t>Шампунь Schauma 370 мл Роскошный объем /5/10/</t>
  </si>
  <si>
    <t>12192</t>
  </si>
  <si>
    <t>Шампунь Schauma 380 мл 7 трав Свежесть и объем /5/10/</t>
  </si>
  <si>
    <t>12110</t>
  </si>
  <si>
    <t>Шампунь Schauma 380 мл 7 цветов для сухих и поврежденных /5/10/</t>
  </si>
  <si>
    <t>12103</t>
  </si>
  <si>
    <t>Шампунь Schauma 380 мл Баня /5/10/</t>
  </si>
  <si>
    <t>12109</t>
  </si>
  <si>
    <t>Шампунь Schauma 380 мл для мужчин 2 в 1 для волос и тела /5/10/</t>
  </si>
  <si>
    <t>12195</t>
  </si>
  <si>
    <t>Шампунь Schauma 380 мл для мужчин от перхоти /5/10/</t>
  </si>
  <si>
    <t>12101</t>
  </si>
  <si>
    <t>Шампунь Schauma 380 мл Объем и Свежесть /5/10/</t>
  </si>
  <si>
    <t>12125</t>
  </si>
  <si>
    <t>Шампунь Schauma 380 мл Объем и уход /5/10/</t>
  </si>
  <si>
    <t>13016</t>
  </si>
  <si>
    <t>Шампунь Schauma 380 мл Сила кератина /5/10/</t>
  </si>
  <si>
    <t>12102</t>
  </si>
  <si>
    <t>Шампунь Schauma 400 мл Бережное восстановление /5/10/</t>
  </si>
  <si>
    <t>12106</t>
  </si>
  <si>
    <t>Шампунь Schauma 400 мл для мужчин Уголь и Вулканическая глина 3в1 /5/10/</t>
  </si>
  <si>
    <t>12172</t>
  </si>
  <si>
    <t>Шампунь Schauma 400 мл Драгоценныц медовый элексир /5/10/</t>
  </si>
  <si>
    <t>12163</t>
  </si>
  <si>
    <t>Шампунь Schauma 400 мл Клубника /5/10/</t>
  </si>
  <si>
    <t>12158</t>
  </si>
  <si>
    <t>Шампунь Schauma 400 мл Кокос /5/10/</t>
  </si>
  <si>
    <t>12199</t>
  </si>
  <si>
    <t>Шампунь Schauma 400 мл Крапива и яблоко /5/10/</t>
  </si>
  <si>
    <t>12136</t>
  </si>
  <si>
    <t>Шампунь Shamtu 300 мл Блеск и объем Экстракт японской вишни /6/12/</t>
  </si>
  <si>
    <t>12137</t>
  </si>
  <si>
    <t>Шампунь Shamtu 300 мл Глубокое очищение и свежесть с экстрактами трав /6/12/</t>
  </si>
  <si>
    <t>12134</t>
  </si>
  <si>
    <t>Шампунь Shamtu 300 мл муж Густые и сильные /6/12/</t>
  </si>
  <si>
    <t>12139</t>
  </si>
  <si>
    <t>Шампунь Shamtu 300 мл Питание и сила с экстрактами Фруктов /6/12/</t>
  </si>
  <si>
    <t>12120</t>
  </si>
  <si>
    <t>Шампунь Shamtu 360 мл Блеск и объем Экстракт японской вишни /6/12/</t>
  </si>
  <si>
    <t>12155</t>
  </si>
  <si>
    <t>Шампунь Shamtu 360 мл Питание и сила с экстрактами Фруктов /6/12/</t>
  </si>
  <si>
    <t>12119</t>
  </si>
  <si>
    <t>Шампунь-бальзам Schauma 350 мл для девочек /5/10/</t>
  </si>
  <si>
    <t>12124</t>
  </si>
  <si>
    <t>Шампунь-гель Schauma 350 мл для мальчиков /5/10/</t>
  </si>
  <si>
    <t>122 Шампуни прочие</t>
  </si>
  <si>
    <t>12276</t>
  </si>
  <si>
    <t>Бальзам -баня Рецепты бабушки Агафьи 500 мл против выпадения волос /6/12/</t>
  </si>
  <si>
    <t>12244</t>
  </si>
  <si>
    <t>Бальзам Белита 450 мл Пивной /6/18/</t>
  </si>
  <si>
    <t>12252</t>
  </si>
  <si>
    <t>Бальзам Белита 450 мл Яичный /6/18/</t>
  </si>
  <si>
    <t>12223</t>
  </si>
  <si>
    <t>Бальзам ополаскиватель Рецепты бабушки Агафьи 350 мл объем и пышность /6/</t>
  </si>
  <si>
    <t>12203</t>
  </si>
  <si>
    <t>Бальзам ополаскиватель Рецепты бабушки Агафьи 350 мл укреп сила рост /6/</t>
  </si>
  <si>
    <t>12271</t>
  </si>
  <si>
    <t>Бальзам ополаскиватель Рецепты бабушки Агафьи 500 мл Увлажнение и восстановление /12/</t>
  </si>
  <si>
    <t>12225</t>
  </si>
  <si>
    <t>Бальзам ополаскиватель ЧЛ 230 мл Обьем и сила Пшеница и лен /6/12/</t>
  </si>
  <si>
    <t>12298</t>
  </si>
  <si>
    <t>Бальзам ополаскиватель ЧЛ 230 мл Укрепление крапива /6/12/</t>
  </si>
  <si>
    <t>12242</t>
  </si>
  <si>
    <t>Шампунь Clear 380 мл Floral /6/12/</t>
  </si>
  <si>
    <t>12247</t>
  </si>
  <si>
    <t>Шампунь Clear 380 мл мужск. Lcy ocean /6/12/</t>
  </si>
  <si>
    <t>12266</t>
  </si>
  <si>
    <t>Шампунь Clear 400 мл Востанавливающий для повреж. и окраш. /6/12/</t>
  </si>
  <si>
    <t>12245</t>
  </si>
  <si>
    <t>Шампунь Clear 400 мл Детокс против перхоти /6/12/</t>
  </si>
  <si>
    <t>12251</t>
  </si>
  <si>
    <t>Шампунь Clear 400 мл Интенсивное увлажнение /6/12/</t>
  </si>
  <si>
    <t>12206</t>
  </si>
  <si>
    <t>Шампунь Clear 400 мл Максимальный объем /6/12/</t>
  </si>
  <si>
    <t>12284</t>
  </si>
  <si>
    <t>Шампунь Clear 400 мл мужск. Ultimate Control 2в1 /6/12/</t>
  </si>
  <si>
    <t>12209</t>
  </si>
  <si>
    <t>Шампунь Clear 400 мл мужск. Актив спорт 2в1 /6/12/</t>
  </si>
  <si>
    <t>12281</t>
  </si>
  <si>
    <t>Шампунь Clear 400 мл мужск. от выпад. волос /6/12/</t>
  </si>
  <si>
    <t>12152</t>
  </si>
  <si>
    <t>Шампунь Clear 400 мл мужск. против перхоти фито /6/12/</t>
  </si>
  <si>
    <t>12299</t>
  </si>
  <si>
    <t>Шампунь Clear 400 мл мужск. Ультра свежесть /6/12/</t>
  </si>
  <si>
    <t>12241</t>
  </si>
  <si>
    <t>Шампунь Clear 400 мл мужск. Энергия свежести /6/12/</t>
  </si>
  <si>
    <t>12255</t>
  </si>
  <si>
    <t>Шампунь Clear 400 мл от выпадения волос /6/12/</t>
  </si>
  <si>
    <t>12224</t>
  </si>
  <si>
    <t>Шампунь Dream Nature 250 мл мицелярный 974-104 /20/</t>
  </si>
  <si>
    <t>12222</t>
  </si>
  <si>
    <t>Шампунь Dream Nature 250 мл скозьим молоком 974-103 /20/</t>
  </si>
  <si>
    <t>12269</t>
  </si>
  <si>
    <t>Шампунь VITAMIN Bio Beauty 250 мл Масло арганы 974-111 /12/</t>
  </si>
  <si>
    <t>12268</t>
  </si>
  <si>
    <t>Шампунь VITAMIN Bio Beauty 250 мл Масло карите 974-112 /12/</t>
  </si>
  <si>
    <t>12258</t>
  </si>
  <si>
    <t>Шампунь Аптечка Агафьи 300 мл Дегтярный /6/12/</t>
  </si>
  <si>
    <t>12291</t>
  </si>
  <si>
    <t>Шампунь Белита 500 мл крем Кефирный /5/15/</t>
  </si>
  <si>
    <t>12294</t>
  </si>
  <si>
    <t>Шампунь Белита 500 мл крем Козье молоко /5/15/</t>
  </si>
  <si>
    <t>12295</t>
  </si>
  <si>
    <t>Шампунь Белита 500 мл крем Кумыс /5/15/</t>
  </si>
  <si>
    <t>12249</t>
  </si>
  <si>
    <t>Шампунь Белита 500 мл Пивные дрожжи /5/15/</t>
  </si>
  <si>
    <t>12259</t>
  </si>
  <si>
    <t>Шампунь Белита 500 мл Яичный /5/15/</t>
  </si>
  <si>
    <t>12277</t>
  </si>
  <si>
    <t>Шампунь детский Aura Baby 200 мл для девочек 3+ 927-055 /12/</t>
  </si>
  <si>
    <t>12296</t>
  </si>
  <si>
    <t>Шампунь детский Aura Baby 200 мл для мальчиков 3+ 927-056 /12/</t>
  </si>
  <si>
    <t>12286</t>
  </si>
  <si>
    <t>Шампунь детский Солнце и Луна 200 мл ECO 0+ /6/12/</t>
  </si>
  <si>
    <t>12233</t>
  </si>
  <si>
    <t>Шампунь детский Солнце и Луна 200 мл Легкое расчесывание для девочек /6/12/</t>
  </si>
  <si>
    <t>12278</t>
  </si>
  <si>
    <t>Шампунь детский Солнце и Луна 200 мл Супермен для мальчиков /6/12/</t>
  </si>
  <si>
    <t>12282</t>
  </si>
  <si>
    <t>Шампунь детский Солнце и Луна 200 мл Тачки для мальчиков /6/12/</t>
  </si>
  <si>
    <t>12239</t>
  </si>
  <si>
    <t>Шампунь детский Умка 200 мл Календула и пшеница /10/</t>
  </si>
  <si>
    <t>12288</t>
  </si>
  <si>
    <t>Шампунь детский Умка 200 мл от макушек до пяточек (гель) /10/</t>
  </si>
  <si>
    <t>12280</t>
  </si>
  <si>
    <t>Шампунь детский Умка 200 мл Ромашка и череда /10/</t>
  </si>
  <si>
    <t>12211</t>
  </si>
  <si>
    <t>Шампунь детский Ушастый нянь 200 мл витаминный /7/</t>
  </si>
  <si>
    <t>12303</t>
  </si>
  <si>
    <t>Шампунь детский Ушастый нянь 200 мл для чувствительной кожи /7/</t>
  </si>
  <si>
    <t>12289</t>
  </si>
  <si>
    <t>Шампунь детский Ушастый нянь 200 мл с ромашкой /7/</t>
  </si>
  <si>
    <t>12227</t>
  </si>
  <si>
    <t>Шампунь Миролла Apotek 250 мл Дектярный от перхоти 832-075 /20/</t>
  </si>
  <si>
    <t>12234</t>
  </si>
  <si>
    <t>Шампунь Миролла Apotek 250 мл Перцовый для роста волос 832-076 /20/</t>
  </si>
  <si>
    <t>12228</t>
  </si>
  <si>
    <t>Шампунь Особая серия 730 мл Мед и козье молоко 2в1 /10/</t>
  </si>
  <si>
    <t>12201</t>
  </si>
  <si>
    <t>Шампунь Рецепты бабушки Агафьи 350 мл Густой сила рост /6/12/</t>
  </si>
  <si>
    <t>12208</t>
  </si>
  <si>
    <t>Шампунь Рецепты бабушки Агафьи 350 мл Домашний д/всех типов /6/12/</t>
  </si>
  <si>
    <t>12210</t>
  </si>
  <si>
    <t>Шампунь Рецепты бабушки Агафьи 350 мл Сбор объем и пыш д/всех типов волос /6/12/</t>
  </si>
  <si>
    <t>12279</t>
  </si>
  <si>
    <t>Шампунь Рецепты бабушки Агафьи 500 мл д/всех тип.волос Семейный.Ежедн.уход.Кедрово-ромашковый /6/12/</t>
  </si>
  <si>
    <t>12290</t>
  </si>
  <si>
    <t>Шампунь Рецепты бабушки Агафьи 500 мл д/окраш.волос Укрепл.стойкость цвета.Репейный /6/12/</t>
  </si>
  <si>
    <t>12236</t>
  </si>
  <si>
    <t>Шампунь Рецепты бабушки Агафьи 500 мл д/сух.ломк.волос Питание и восст.Яичный /6/12/</t>
  </si>
  <si>
    <t>12217</t>
  </si>
  <si>
    <t>Шампунь Рецепты бабушки Агафьи 500 мл д/тонк.ослабл.волос Объем и сила.Ржаной /6/12/</t>
  </si>
  <si>
    <t>12204</t>
  </si>
  <si>
    <t>Шампунь Рецепты бабушки Агафьи 500 мл против выпад волос /можжев-ый /6/12/</t>
  </si>
  <si>
    <t>12213</t>
  </si>
  <si>
    <t>Шампунь Рецепты бабушки Агафьи 500 мл Увлаж и востан /морош-ый /6/12/</t>
  </si>
  <si>
    <t>12202</t>
  </si>
  <si>
    <t>Шампунь Русские травы 350 мл Крапива /12/</t>
  </si>
  <si>
    <t>12231</t>
  </si>
  <si>
    <t>Шампунь Русские травы 350 мл Полевые цветы /12/</t>
  </si>
  <si>
    <t>12240</t>
  </si>
  <si>
    <t>Шампунь Русские травы 350 мл Шалфей против перхоти /12/</t>
  </si>
  <si>
    <t>12260</t>
  </si>
  <si>
    <t>Шампунь Русские травы 350 мл Шиповник /12/</t>
  </si>
  <si>
    <t>12220</t>
  </si>
  <si>
    <t>Шампунь ЧЛ 400 мл Березовый /12/</t>
  </si>
  <si>
    <t>12243</t>
  </si>
  <si>
    <t>Шампунь ЧЛ 400 мл Идеальные волосы /12/</t>
  </si>
  <si>
    <t>12248</t>
  </si>
  <si>
    <t>Шампунь ЧЛ 400 мл Интенсивное питание из масла конопли /12/</t>
  </si>
  <si>
    <t>12293</t>
  </si>
  <si>
    <t>Шампунь ЧЛ 400 мл Клевер /12/</t>
  </si>
  <si>
    <t>12218</t>
  </si>
  <si>
    <t>Шампунь ЧЛ 400 мл Конский каштан Против выпадения /12/</t>
  </si>
  <si>
    <t>12261</t>
  </si>
  <si>
    <t>Шампунь ЧЛ 400 мл Крапива для всех типов /12/</t>
  </si>
  <si>
    <t>12229</t>
  </si>
  <si>
    <t>Шампунь ЧЛ 400 мл МУЖ.Сила+Свежесть /12/</t>
  </si>
  <si>
    <t>12272</t>
  </si>
  <si>
    <t>Шампунь ЧЛ 400 мл МУЖ.Энергия +чистота 3в1 /12/</t>
  </si>
  <si>
    <t>12262</t>
  </si>
  <si>
    <t>Шампунь ЧЛ 400 мл Питание и Уход Шиповник /12/</t>
  </si>
  <si>
    <t>12283</t>
  </si>
  <si>
    <t>Шампунь ЧЛ 400 мл Пшеница и Лен /12/</t>
  </si>
  <si>
    <t>12263</t>
  </si>
  <si>
    <t>Шампунь ЧЛ 400 мл Ромашка Для сухих волос /12/</t>
  </si>
  <si>
    <t>12219</t>
  </si>
  <si>
    <t>Шампунь ЧЛ 400 мл Свежесть и Детокс Ромашка /12/</t>
  </si>
  <si>
    <t>12205</t>
  </si>
  <si>
    <t>Шампунь ЧЛ 400 мл Сила 5 трав /12/</t>
  </si>
  <si>
    <t>12246</t>
  </si>
  <si>
    <t>Шампунь ЧЛ 400 мл Фитобаня /12/</t>
  </si>
  <si>
    <t>12264</t>
  </si>
  <si>
    <t>Шампунь ЧЛ 400 мл Хлопковое молочко для всех типов для част.мытья 2в1 /12/</t>
  </si>
  <si>
    <t>12292</t>
  </si>
  <si>
    <t>Шампунь ЧЛ 400 мл Хмель 2 в 1 /12/</t>
  </si>
  <si>
    <t>12226</t>
  </si>
  <si>
    <t>Шампунь ЧЛ 400 мл Шалфей календула /12/</t>
  </si>
  <si>
    <t>12273</t>
  </si>
  <si>
    <t>Шампунь ЧЛ 400 мл Эксперт Гилаурон из алоэ-вера /12/</t>
  </si>
  <si>
    <t>12212</t>
  </si>
  <si>
    <t>Шампунь-пенка Саната детский Baby Life 450 мл Киви /20/</t>
  </si>
  <si>
    <t>12287</t>
  </si>
  <si>
    <t>Шампунь+бальзам Rain 1 л Бамбуковый уголь 2в1 /12/</t>
  </si>
  <si>
    <t>12232</t>
  </si>
  <si>
    <t>Шампунь+бальзам Rain 1 л Крапива-Эвкалипт для всех типов волос 2в1 /12/</t>
  </si>
  <si>
    <t>12274</t>
  </si>
  <si>
    <t>Шампунь+бальзам Rain 500 мл Shampoo /20/</t>
  </si>
  <si>
    <t>123 Шампуни бальзамы Syoss/Elseve/Timotei/Ultra Doux</t>
  </si>
  <si>
    <t>12301</t>
  </si>
  <si>
    <t>Бальзам ополаскиватель Elseve 200 мл 3 Глины д/жирных у корней /6/</t>
  </si>
  <si>
    <t>12305</t>
  </si>
  <si>
    <t>Бальзам ополаскиватель Elseve 200 мл Гиалурон /6/</t>
  </si>
  <si>
    <t>12311</t>
  </si>
  <si>
    <t>Бальзам ополаскиватель Elseve 200 мл Длина Мечты /6/</t>
  </si>
  <si>
    <t>12307</t>
  </si>
  <si>
    <t>Бальзам ополаскиватель Elseve 200 мл Роскошь 6 масел /6/</t>
  </si>
  <si>
    <t>12333</t>
  </si>
  <si>
    <t>Бальзам ополаскиватель Elseve 200 мл Роскошь 6 Масел Роза /6/</t>
  </si>
  <si>
    <t>12312</t>
  </si>
  <si>
    <t>Бальзам ополаскиватель Elseve 200 мл Ультра прочность /6/</t>
  </si>
  <si>
    <t>12300</t>
  </si>
  <si>
    <t>Бальзам ополаскиватель Elseve 200 мл Эксперт Цвета /6/</t>
  </si>
  <si>
    <t>12364</t>
  </si>
  <si>
    <t>Шампунь Elseve 250 мл 3 Глины д/жирн у корней и сух на кончиках /6/</t>
  </si>
  <si>
    <t>12315</t>
  </si>
  <si>
    <t>Шампунь Elseve 250 мл Гиалурон /6/</t>
  </si>
  <si>
    <t>12370</t>
  </si>
  <si>
    <t>Шампунь Elseve 250 мл Длина мечты /6/</t>
  </si>
  <si>
    <t>12344</t>
  </si>
  <si>
    <t>Шампунь Elseve 250 мл Полное восстановление 5 /6/</t>
  </si>
  <si>
    <t>12341</t>
  </si>
  <si>
    <t>Шампунь Elseve 250 мл Роскошь 6 масел д/нуждающ в питании /6/</t>
  </si>
  <si>
    <t>12352</t>
  </si>
  <si>
    <t>Шампунь Elseve 250 мл Ультра прочность /6/</t>
  </si>
  <si>
    <t>12313</t>
  </si>
  <si>
    <t>Шампунь Elseve 250 мл Экстремальное восстановление /6/</t>
  </si>
  <si>
    <t>12366</t>
  </si>
  <si>
    <t>Шампунь Syoss 450 мл Repair /12/</t>
  </si>
  <si>
    <t>12359</t>
  </si>
  <si>
    <t>Шампунь Syoss 450 мл для химически и мех. поврежд.волос Salonplex /12/</t>
  </si>
  <si>
    <t>12326</t>
  </si>
  <si>
    <t>Шампунь Timotei 400 мл для мужчин Контроль над потерей /5/10/</t>
  </si>
  <si>
    <t>12304</t>
  </si>
  <si>
    <t>Шампунь Timotei 400 мл для мужчин Мята и чайное дер. от перхоти /5/10/</t>
  </si>
  <si>
    <t>12376</t>
  </si>
  <si>
    <t>Шампунь Timotei 400 мл для мужчин Прохлада и свежесть /5/10/</t>
  </si>
  <si>
    <t>12306</t>
  </si>
  <si>
    <t>Шампунь Timotei 400 мл для мужчин Чистота и уход /5/10/</t>
  </si>
  <si>
    <t>12327</t>
  </si>
  <si>
    <t>Шампунь Timotei 400 мл для мужчин Энергия камчатки 2в1 /5/10/</t>
  </si>
  <si>
    <t>12328</t>
  </si>
  <si>
    <t>Шампунь Timotei 400 мл Роскошный объем Гуарана и грейпфрут /5/10/</t>
  </si>
  <si>
    <t>124 Средства для бритья</t>
  </si>
  <si>
    <t>12473</t>
  </si>
  <si>
    <t>Гель для бритья Arko 200мл COOL /24/</t>
  </si>
  <si>
    <t>12427</t>
  </si>
  <si>
    <t>Гель для бритья Arko 200мл Sensitive /24/</t>
  </si>
  <si>
    <t>12481</t>
  </si>
  <si>
    <t>Гель для бритья Arko 200мл Против раздражения /24/</t>
  </si>
  <si>
    <t>12414</t>
  </si>
  <si>
    <t>Гель для бритья Gillette 200 мл Series Нейтральный /6/</t>
  </si>
  <si>
    <t>12460</t>
  </si>
  <si>
    <t>Гель для бритья Nivea 200мл Для чувствительной кожи восстанавливающий /12/</t>
  </si>
  <si>
    <t>12428</t>
  </si>
  <si>
    <t>Гель для бритья Nivea 200мл Для чувствительной кожи успокаивающий /12/</t>
  </si>
  <si>
    <t>12408</t>
  </si>
  <si>
    <t>Гель для бритья Nivea 200мл Серебряная защита /12/</t>
  </si>
  <si>
    <t>12410</t>
  </si>
  <si>
    <t>Гель для бритья Nivea 200мл Увлажняющий /12/</t>
  </si>
  <si>
    <t>12404</t>
  </si>
  <si>
    <t>Гель для бритья Nivea 200мл Фреш Кик /12/</t>
  </si>
  <si>
    <t>12470</t>
  </si>
  <si>
    <t>Крем для бритья Arko 65мл Cool /12/</t>
  </si>
  <si>
    <t>12479</t>
  </si>
  <si>
    <t>Крем для бритья Arko 65мл Sensitive /12/</t>
  </si>
  <si>
    <t>12423</t>
  </si>
  <si>
    <t>Крем после бритья Arko 50 г Sensetive /12/</t>
  </si>
  <si>
    <t>12469</t>
  </si>
  <si>
    <t>Крем после бритья Arko 50 г Антираздражение /12/</t>
  </si>
  <si>
    <t>12401</t>
  </si>
  <si>
    <t>Крем после бритья Dermanika 75мл с витамином F/ментолом 947-016 /20/</t>
  </si>
  <si>
    <t>12406</t>
  </si>
  <si>
    <t>Крем после бритья EXXE 80 мл Sensitive /15/</t>
  </si>
  <si>
    <t>12496</t>
  </si>
  <si>
    <t>Лосьон после бритья Nivea 100мл Классический /12/</t>
  </si>
  <si>
    <t>12475</t>
  </si>
  <si>
    <t>Лосьон после бритья Vilsen 275 мл Extreme Fresh Мгновенный комфорт /6/24/</t>
  </si>
  <si>
    <t>12482</t>
  </si>
  <si>
    <t>Лосьон после бритья Vilsen 275 мл Ocean Breath Освежающий /6/24/</t>
  </si>
  <si>
    <t>12437</t>
  </si>
  <si>
    <t>Пена для бритья Arko 200мл Blak /6/24/</t>
  </si>
  <si>
    <t>12465</t>
  </si>
  <si>
    <t>Пена для бритья Arko 200мл COOL /6/24/</t>
  </si>
  <si>
    <t>12400</t>
  </si>
  <si>
    <t>Пена для бритья Arko 200мл Hemp /6/24/</t>
  </si>
  <si>
    <t>12451</t>
  </si>
  <si>
    <t>Пена для бритья Arko 200мл Sensitive /6/24/</t>
  </si>
  <si>
    <t>12494</t>
  </si>
  <si>
    <t>Пена для бритья Arko 200мл Против раздражения /6/24/</t>
  </si>
  <si>
    <t>12403</t>
  </si>
  <si>
    <t>Пена для бритья EXXE MEN 200мл Energy Восстанавливающая /24/</t>
  </si>
  <si>
    <t>12405</t>
  </si>
  <si>
    <t>Пена для бритья EXXE MEN 200мл Fresh Тонизирующая /24/</t>
  </si>
  <si>
    <t>12418</t>
  </si>
  <si>
    <t>Пена для бритья Nivea 200мл Фреш Кик /12/</t>
  </si>
  <si>
    <t>125 Дезодоранты спреи</t>
  </si>
  <si>
    <t>12527</t>
  </si>
  <si>
    <t>Дезодорант AXE 150 мл муж. Apollo /6/</t>
  </si>
  <si>
    <t>12581</t>
  </si>
  <si>
    <t>Дезодорант AXE 150 мл муж. Blak /6/</t>
  </si>
  <si>
    <t>12524</t>
  </si>
  <si>
    <t>Дезодорант AXE 150 мл муж. Blak Night /6/</t>
  </si>
  <si>
    <t>12575</t>
  </si>
  <si>
    <t>Дезодорант AXE 150 мл муж. Cool Ocean /6/</t>
  </si>
  <si>
    <t>12553</t>
  </si>
  <si>
    <t>Дезодорант AXE 150 мл муж. Epic Fresh /6/</t>
  </si>
  <si>
    <t>12576</t>
  </si>
  <si>
    <t>Дезодорант AXE 150 мл муж. Gold /6/</t>
  </si>
  <si>
    <t>12530</t>
  </si>
  <si>
    <t>Дезодорант AXE 150 мл муж. Gold Темптейшн /6/</t>
  </si>
  <si>
    <t>12559</t>
  </si>
  <si>
    <t>Дезодорант AXE 150 мл муж. Ice Chill /6/</t>
  </si>
  <si>
    <t>12548</t>
  </si>
  <si>
    <t>Дезодорант AXE 150 мл муж. Анархия /6/</t>
  </si>
  <si>
    <t>12507</t>
  </si>
  <si>
    <t>Дезодорант AXE 150 мл муж. Африка /6/</t>
  </si>
  <si>
    <t>12526</t>
  </si>
  <si>
    <t>Дезодорант AXE 150 мл муж. Дарк Темптейшн /6/</t>
  </si>
  <si>
    <t>12589</t>
  </si>
  <si>
    <t>Дезодорант AXE 150 мл муж. Защита от пятен /6/</t>
  </si>
  <si>
    <t>12561</t>
  </si>
  <si>
    <t>Дезодорант AXE 150 мл муж. Кожа печеньки /6/</t>
  </si>
  <si>
    <t>12594</t>
  </si>
  <si>
    <t>Дезодорант AXE 150 мл муж. Скейтборд и Свежие розы /6/</t>
  </si>
  <si>
    <t>12560</t>
  </si>
  <si>
    <t>Дезодорант AXE 150 мл муж. Феникс /6/</t>
  </si>
  <si>
    <t>12578</t>
  </si>
  <si>
    <t>Дезодорант AXE 150 мл муж. Эксайт /6/</t>
  </si>
  <si>
    <t>12590</t>
  </si>
  <si>
    <t>Дезодорант Dove 150 мл. Бережная забота /6/</t>
  </si>
  <si>
    <t>12567</t>
  </si>
  <si>
    <t>Дезодорант Dove для муж. 150 мл. Свежесть минералов и шалфей и уход /6/</t>
  </si>
  <si>
    <t>12572</t>
  </si>
  <si>
    <t>Дезодорант EXXE 150 мл Невидимый /6/</t>
  </si>
  <si>
    <t>12588</t>
  </si>
  <si>
    <t>Дезодорант EXXE 150 мл Нежность шёлка /6/</t>
  </si>
  <si>
    <t>12535</t>
  </si>
  <si>
    <t>Дезодорант EXXE 150 мл Пудра и нежность /6/</t>
  </si>
  <si>
    <t>12580</t>
  </si>
  <si>
    <t>Дезодорант EXXE 150 мл Свежесть и нежность /6/</t>
  </si>
  <si>
    <t>12549</t>
  </si>
  <si>
    <t>Дезодорант EXXE 150 мл Тропическая свежесть /6/</t>
  </si>
  <si>
    <t>12547</t>
  </si>
  <si>
    <t>Дезодорант EXXE MEN 150 мл Energy /6/</t>
  </si>
  <si>
    <t>12520</t>
  </si>
  <si>
    <t>Дезодорант EXXE MEN 150 мл Fresh /6/12/</t>
  </si>
  <si>
    <t>12558</t>
  </si>
  <si>
    <t>Дезодорант EXXE MEN 150 мл Power /6/</t>
  </si>
  <si>
    <t>12508</t>
  </si>
  <si>
    <t>Дезодорант EXXE MEN 150 мл Vibe /6/</t>
  </si>
  <si>
    <t>12513</t>
  </si>
  <si>
    <t>Дезодорант Fa 150мл Fresh&amp;Free Аромат Лайма и кокоса /6/12/</t>
  </si>
  <si>
    <t>12582</t>
  </si>
  <si>
    <t>Дезодорант Fa 150мл Fresh&amp;Free Аромат Огуреца и дыни /6/12/</t>
  </si>
  <si>
    <t>12529</t>
  </si>
  <si>
    <t>Дезодорант Fa 150мл Sport Дзен/лвйм/бамбук /6/12/</t>
  </si>
  <si>
    <t>12536</t>
  </si>
  <si>
    <t>Дезодорант Fa 150мл Защита и комфорт Аромат сирени /6/12/</t>
  </si>
  <si>
    <t>12542</t>
  </si>
  <si>
    <t>Дезодорант Fa 150мл Защита и комфорт Свежий аромат жасмина /6/12/</t>
  </si>
  <si>
    <t>12566</t>
  </si>
  <si>
    <t>Дезодорант Fa 150мл муж. Coffee Burst /6/12/</t>
  </si>
  <si>
    <t>12503</t>
  </si>
  <si>
    <t>Дезодорант Fa 150мл муж. Lets Game /6/12/</t>
  </si>
  <si>
    <t>12525</t>
  </si>
  <si>
    <t>Дезодорант Fa 150мл муж. Red Cedarwood /6/12/</t>
  </si>
  <si>
    <t>12509</t>
  </si>
  <si>
    <t>Дезодорант Fa 150мл муж. Xtreme Invisible /6/12/</t>
  </si>
  <si>
    <t>12521</t>
  </si>
  <si>
    <t>Дезодорант Fa 150мл муж. Сила притяжения /6/12/</t>
  </si>
  <si>
    <t>12500</t>
  </si>
  <si>
    <t>Дезодорант Fa 150мл муж. Спорт Перезарядка /6/12/</t>
  </si>
  <si>
    <t>12596</t>
  </si>
  <si>
    <t>Дезодорант Fa 150мл муж. Спорт Спортивный взрыв энергии /6/12/</t>
  </si>
  <si>
    <t>12585</t>
  </si>
  <si>
    <t>Дезодорант Fa 150мл Нежность хлопка /6/12/</t>
  </si>
  <si>
    <t>12595</t>
  </si>
  <si>
    <t>Дезодорант Fa 150мл Природная свежесть белый чай /6/12/</t>
  </si>
  <si>
    <t>12584</t>
  </si>
  <si>
    <t>Дезодорант Fa 150мл Прозрачная защита /6/12/</t>
  </si>
  <si>
    <t>12540</t>
  </si>
  <si>
    <t>Дезодорант Fa 150мл Ритмы Бразилии Тайна амазони /6/12/</t>
  </si>
  <si>
    <t>12550</t>
  </si>
  <si>
    <t>Дезодорант Fa 150мл Ритмы острова Бали Манго/ваниль /6/12/</t>
  </si>
  <si>
    <t>12538</t>
  </si>
  <si>
    <t>Дезодорант Fa 150мл Ритмы острова Гавайи Ананас/Вранжипани /6/12/</t>
  </si>
  <si>
    <t>12571</t>
  </si>
  <si>
    <t>Дезодорант Fa 150мл Ритмы острова Фиджи Арбуз/Иланг-иланг /6/12/</t>
  </si>
  <si>
    <t>12569</t>
  </si>
  <si>
    <t>Дезодорант Fa 150мл Создай настроение Feel Balance /6/12/</t>
  </si>
  <si>
    <t>12533</t>
  </si>
  <si>
    <t>Дезодорант Fa 150мл Создай настроение Go Happy Balance /6/12/</t>
  </si>
  <si>
    <t>12545</t>
  </si>
  <si>
    <t>Дезодорант For women 150мл. 976-068 /24/</t>
  </si>
  <si>
    <t>12516</t>
  </si>
  <si>
    <t>Дезодорант Nivea 150 мл Love Be Trendy Нежная свежесть /12/</t>
  </si>
  <si>
    <t>12555</t>
  </si>
  <si>
    <t>Дезодорант Nivea 150 мл Love Be Unique Яркая свежесть /12/</t>
  </si>
  <si>
    <t>12510</t>
  </si>
  <si>
    <t>Дезодорант Nivea 150 мл Жемчужная красота Premium /12/</t>
  </si>
  <si>
    <t>12557</t>
  </si>
  <si>
    <t>Дезодорант Nivea 150 мл Невидимая защита для черного и белого Clear /12/</t>
  </si>
  <si>
    <t>12512</t>
  </si>
  <si>
    <t>Дезодорант Nivea 150 мл Невидимая защита для черного и белого Extra /12/</t>
  </si>
  <si>
    <t>12514</t>
  </si>
  <si>
    <t>Дезодорант Nivea 150 мл Невидимая защита для черного и белого Pure /12/</t>
  </si>
  <si>
    <t>12502</t>
  </si>
  <si>
    <t>Дезодорант Nivea 150 мл Эффект пудры /12/</t>
  </si>
  <si>
    <t>12515</t>
  </si>
  <si>
    <t>Дезодорант Nivea 150 мл Эффект пудры Фреш /12/</t>
  </si>
  <si>
    <t>12563</t>
  </si>
  <si>
    <t>Дезодорант Nivea мужской 150 мл Cool Экстремальная свежесть /12/</t>
  </si>
  <si>
    <t>12532</t>
  </si>
  <si>
    <t>Дезодорант Nivea мужской 150 мл Арктический океан /12/</t>
  </si>
  <si>
    <t>12537</t>
  </si>
  <si>
    <t>Дезодорант Nivea мужской 150 мл Невидимая защита для черного и белого /6/</t>
  </si>
  <si>
    <t>12597</t>
  </si>
  <si>
    <t>Дезодорант Nivea мужской 150 мл Невидимая защита Экстрв /12/</t>
  </si>
  <si>
    <t>12531</t>
  </si>
  <si>
    <t>Дезодорант Nivea мужской 150 мл Ультра /6/</t>
  </si>
  <si>
    <t>12593</t>
  </si>
  <si>
    <t>Дезодорант Nivea мужской 150 мл Экстремальная свежесть /6/</t>
  </si>
  <si>
    <t>12554</t>
  </si>
  <si>
    <t>Дезодорант Olivia 150мл Active /12/</t>
  </si>
  <si>
    <t>12556</t>
  </si>
  <si>
    <t>Дезодорант Olivia 150мл Balance /12/</t>
  </si>
  <si>
    <t>12544</t>
  </si>
  <si>
    <t>Дезодорант Olivia 150мл Energy /12/</t>
  </si>
  <si>
    <t>12574</t>
  </si>
  <si>
    <t>Дезодорант Rexona 150 мл спр Абсолютная комфорт /6/</t>
  </si>
  <si>
    <t>12539</t>
  </si>
  <si>
    <t>Дезодорант Rexona 150 мл спр Абсолютная уверенность /6/</t>
  </si>
  <si>
    <t>12564</t>
  </si>
  <si>
    <t>Дезодорант Rexona 150 мл спр Алоэ вера /6/</t>
  </si>
  <si>
    <t>12591</t>
  </si>
  <si>
    <t>Дезодорант Rexona 150 мл спр Антибактериальная свежесть /6/</t>
  </si>
  <si>
    <t>12579</t>
  </si>
  <si>
    <t>Дезодорант Rexona 150 мл спр Антибактериальный Невидимая на ч/б /6/</t>
  </si>
  <si>
    <t>12534</t>
  </si>
  <si>
    <t>Дезодорант Rexona 150 мл спр Антибактериальный эффект /6/</t>
  </si>
  <si>
    <t>12518</t>
  </si>
  <si>
    <t>Дезодорант Rexona 150 мл спр Без запаха /6/</t>
  </si>
  <si>
    <t>12565</t>
  </si>
  <si>
    <t>Дезодорант Rexona 150 мл спр Легкость хлопка /6/</t>
  </si>
  <si>
    <t>12517</t>
  </si>
  <si>
    <t>Дезодорант Rexona 150 мл спр Невидимая ч/б /6/</t>
  </si>
  <si>
    <t>12599</t>
  </si>
  <si>
    <t>Дезодорант Rexona 150 мл спр Нежно и сочно /6/</t>
  </si>
  <si>
    <t>12568</t>
  </si>
  <si>
    <t>Дезодорант Rexona 150 мл спр Прозрачн.крист. /6/</t>
  </si>
  <si>
    <t>12501</t>
  </si>
  <si>
    <t>Дезодорант Rexona 150 мл спр Свежесть душа /6/</t>
  </si>
  <si>
    <t>12523</t>
  </si>
  <si>
    <t>Дезодорант Rexona 150 мл спр Свежо и невидимо /6/</t>
  </si>
  <si>
    <t>12522</t>
  </si>
  <si>
    <t>Дезодорант Rexona 150 мл спр Сухость пудры /6/</t>
  </si>
  <si>
    <t>12573</t>
  </si>
  <si>
    <t>Дезодорант Rexona 150 мл спр Термозащита /6/</t>
  </si>
  <si>
    <t>12551</t>
  </si>
  <si>
    <t>Дезодорант Rexona 150 мл спр Яркий букет /6/</t>
  </si>
  <si>
    <t>12562</t>
  </si>
  <si>
    <t>Дезодорант Rexona 150 мл спр Ярко и цветочно /6/</t>
  </si>
  <si>
    <t>12505</t>
  </si>
  <si>
    <t>Дезодорант Rexona мужск 150 мл спр Антибактериальный эффект /6/</t>
  </si>
  <si>
    <t>12519</t>
  </si>
  <si>
    <t>Дезодорант Rexona мужск 150 мл спр Инвизибл айс /6/</t>
  </si>
  <si>
    <t>12586</t>
  </si>
  <si>
    <t>Дезодорант Rexona мужск 150 мл спр Кобальт /6/</t>
  </si>
  <si>
    <t>12570</t>
  </si>
  <si>
    <t>Дезодорант Rexona мужск 150 мл спр Невидимый /6/</t>
  </si>
  <si>
    <t>12528</t>
  </si>
  <si>
    <t>Дезодорант Rexona мужск 150 мл спр Свежесть душа /6/</t>
  </si>
  <si>
    <t>12587</t>
  </si>
  <si>
    <t>Дезодорант Rexona мужск 150 мл спр Чемпион /6/</t>
  </si>
  <si>
    <t>12506</t>
  </si>
  <si>
    <t>Дезодорант Rexona мужск 150 мл спр Экстримальная защита /6/</t>
  </si>
  <si>
    <t>12552</t>
  </si>
  <si>
    <t>Дезодорант Sport Start мужской 150 мл Fire /12/</t>
  </si>
  <si>
    <t>12546</t>
  </si>
  <si>
    <t>Дезодорант Sport Start мужской 150 мл ICE /12/</t>
  </si>
  <si>
    <t>12592</t>
  </si>
  <si>
    <t>Дезодорант Sport Start мужской 175 мл ICE Blue /12/</t>
  </si>
  <si>
    <t>12598</t>
  </si>
  <si>
    <t>Дезодорант Sport Start мужской 175 мл Outpace /12/</t>
  </si>
  <si>
    <t>12543</t>
  </si>
  <si>
    <t>Дезодорант Sport Start мужской 175 мл Ultra /12/</t>
  </si>
  <si>
    <t>12583</t>
  </si>
  <si>
    <t>Дезодорант для ног Rexona 150 мл спр Актив. свежесть /6/</t>
  </si>
  <si>
    <t>126 Косметические средства для кожи</t>
  </si>
  <si>
    <t>12613</t>
  </si>
  <si>
    <t>Гель д/умывания лица Himalaya 15 мл с нимом 977-102 /50/</t>
  </si>
  <si>
    <t>12610</t>
  </si>
  <si>
    <t>Гель д/умывания лица Весна 100 мл Огуречный 977-001 /36/</t>
  </si>
  <si>
    <t>12641</t>
  </si>
  <si>
    <t>Гель д/умывания лица Чистая линия 100 мл Глубокое очищение /5/</t>
  </si>
  <si>
    <t>12652</t>
  </si>
  <si>
    <t>Гель д/умывания лица Чистая линия 100 мл Идеальнвя кожа очищение /5/</t>
  </si>
  <si>
    <t>12626</t>
  </si>
  <si>
    <t>Гель после загара Extra Aloe 150 мл /5/</t>
  </si>
  <si>
    <t>12603</t>
  </si>
  <si>
    <t>Крем д/лица Весна 45 мл Алоэ п/б арт.1926 977-004 /24/</t>
  </si>
  <si>
    <t>12607</t>
  </si>
  <si>
    <t>Крем д/лица Весна 45 мл Главаптека Гиалуроновый 977-165 /24/</t>
  </si>
  <si>
    <t>12602</t>
  </si>
  <si>
    <t>Крем д/лица Весна 45 мл Календула 977-003 /24/</t>
  </si>
  <si>
    <t>12631</t>
  </si>
  <si>
    <t>Крем д/лица НК 40 г Гранатовый /6/36/</t>
  </si>
  <si>
    <t>12662</t>
  </si>
  <si>
    <t>Крем д/лица НК 40 г Календула увлажняющий /6/36/</t>
  </si>
  <si>
    <t>12660</t>
  </si>
  <si>
    <t>Крем д/лица НК 40 г Ланолиновый увлажняющий /6/36/</t>
  </si>
  <si>
    <t>12648</t>
  </si>
  <si>
    <t>Крем д/лица НК 40 г Огуречный увлажняющий /6/36/</t>
  </si>
  <si>
    <t>12623</t>
  </si>
  <si>
    <t>Крем д/лица НК 40 г Персиковый питательный /6/36/</t>
  </si>
  <si>
    <t>12653</t>
  </si>
  <si>
    <t>Крем д/лица НК 40 г Спермацетовый /6/36/</t>
  </si>
  <si>
    <t>12640</t>
  </si>
  <si>
    <t>Крем д/лица Черный жемчуг 120 мл от гель д/умывания для сухой и чувств. кожи /4/8/</t>
  </si>
  <si>
    <t>12612</t>
  </si>
  <si>
    <t>Крем д/ног Белита 300 мл Смягчающий /5/15/</t>
  </si>
  <si>
    <t>12606</t>
  </si>
  <si>
    <t>Крем д/ног Весна 45 гр Главаптека подорожниковый 977-142 /24/</t>
  </si>
  <si>
    <t>12657</t>
  </si>
  <si>
    <t>Крем д/ног Красная линия 90 мл Сбалансированный уход /12/</t>
  </si>
  <si>
    <t>12625</t>
  </si>
  <si>
    <t>Крем д/рук Aura 30 мл 977-123 /18/</t>
  </si>
  <si>
    <t>12615</t>
  </si>
  <si>
    <t>Крем д/рук Milk Native 150мл глубокое восстановление /12/</t>
  </si>
  <si>
    <t>12618</t>
  </si>
  <si>
    <t>Крем д/рук Milk Native 150мл интенсивно увлажняющий /12/</t>
  </si>
  <si>
    <t>12619</t>
  </si>
  <si>
    <t>Крем д/рук Milk Native 150мл суперпитательный /12/</t>
  </si>
  <si>
    <t>12620</t>
  </si>
  <si>
    <t>Крем д/рук Milk Native 150мл ультраомолаживающий /12/</t>
  </si>
  <si>
    <t>12617</t>
  </si>
  <si>
    <t>Крем д/рук Nicole 200 мл ультраувлажняющий 977-108 /12/</t>
  </si>
  <si>
    <t>12674</t>
  </si>
  <si>
    <t>Крем д/рук Бархатные ручки 80мл Защитный /20/</t>
  </si>
  <si>
    <t>12659</t>
  </si>
  <si>
    <t>Крем д/рук Бархатные ручки 80мл Королевская аргана /20/</t>
  </si>
  <si>
    <t>12684</t>
  </si>
  <si>
    <t>Крем д/рук Бархатные ручки 80мл Ночной /20/</t>
  </si>
  <si>
    <t>12632</t>
  </si>
  <si>
    <t>Крем д/рук Бархатные ручки 80мл Питательный /20/</t>
  </si>
  <si>
    <t>12636</t>
  </si>
  <si>
    <t>Крем д/рук Бархатные ручки 80мл Регенерирующий /20/</t>
  </si>
  <si>
    <t>12605</t>
  </si>
  <si>
    <t>Крем д/рук Бархатные ручки 80мл Роскошь Макадамии /20/</t>
  </si>
  <si>
    <t>12621</t>
  </si>
  <si>
    <t>Крем д/рук Бархатные ручки 80мл Смягчающий /20/</t>
  </si>
  <si>
    <t>12638</t>
  </si>
  <si>
    <t>Крем д/рук Бархатные ручки 80мл Увлажняющий /20/</t>
  </si>
  <si>
    <t>12646</t>
  </si>
  <si>
    <t>Крем д/рук Весна 45 мл Витаминно-глицериновый 977-006 /24/</t>
  </si>
  <si>
    <t>12600</t>
  </si>
  <si>
    <t>Крем д/рук Чистая линия 75 мл Защита и уход Календула /20/</t>
  </si>
  <si>
    <t>12616</t>
  </si>
  <si>
    <t>Крем д/рук Чистая линия 75 мл Ромашка /20/</t>
  </si>
  <si>
    <t>12644</t>
  </si>
  <si>
    <t>Крем д/рук Я самая 50 мл Увлажняющий /6/18/</t>
  </si>
  <si>
    <t>12637</t>
  </si>
  <si>
    <t>Крем д/рук+ногтей Бархатные ручки 80мл Комплексный уход /20/</t>
  </si>
  <si>
    <t>12624</t>
  </si>
  <si>
    <t>Крем д/рук+ногтей Особая серия 75мл Ромашковый чай /24/</t>
  </si>
  <si>
    <t>12643</t>
  </si>
  <si>
    <t>Крем д/тела Himalaya 50 мл с маслом Какао Питание и Увлажнение /6/</t>
  </si>
  <si>
    <t>12601</t>
  </si>
  <si>
    <t>Крем детский 45мл Весна Д-пантенол арт.2379 927-051 /24/</t>
  </si>
  <si>
    <t>12671</t>
  </si>
  <si>
    <t>Крем детский 45мл Весна Календула 927-004 /24/</t>
  </si>
  <si>
    <t>12634</t>
  </si>
  <si>
    <t>Крем детский НК 40 мл Защитный 2в1 /6/36/</t>
  </si>
  <si>
    <t>12668</t>
  </si>
  <si>
    <t>Крем детский НК 40 мл Косметический /6/36/</t>
  </si>
  <si>
    <t>12628</t>
  </si>
  <si>
    <t>Крем солнцезащитный детский Mini Me 100 мл 0+ SPF 50+ /4/</t>
  </si>
  <si>
    <t>12691</t>
  </si>
  <si>
    <t>Крем-депилятор Вельвет 100 мл для чувствительной кожи /16/</t>
  </si>
  <si>
    <t>12699</t>
  </si>
  <si>
    <t>Крем-депилятор Вельвет 100 мл замедляющий рост волос /16/</t>
  </si>
  <si>
    <t>12604</t>
  </si>
  <si>
    <t>Крем-депилятор Вельвет 100 мл с экстрактом алоэ /16/</t>
  </si>
  <si>
    <t>12629</t>
  </si>
  <si>
    <t>Крем-спрей солнцезащитный детский Mini Me 150 мл 0+ SPF 60+ /5/</t>
  </si>
  <si>
    <t>12642</t>
  </si>
  <si>
    <t>Крем-суфле д/рук Особая серия 75мл Имбирное авокадо /24/</t>
  </si>
  <si>
    <t>12669</t>
  </si>
  <si>
    <t>Масло детское JS Baby 200 мл /6/12/</t>
  </si>
  <si>
    <t>12682</t>
  </si>
  <si>
    <t>Масло детское JS Baby 200 мл Алоэ /6/12/</t>
  </si>
  <si>
    <t>12611</t>
  </si>
  <si>
    <t>Масло детское Ушастый Нянь 200 мл /6/</t>
  </si>
  <si>
    <t>12627</t>
  </si>
  <si>
    <t>Молочко после загара Extra Aloe 150 мл /4/</t>
  </si>
  <si>
    <t>12630</t>
  </si>
  <si>
    <t>Молочко после загара детское Mini Me 150 мл 0+ /5/</t>
  </si>
  <si>
    <t>12614</t>
  </si>
  <si>
    <t>Пенка д/умывания лица Особая серия 150 мл Мятный мусс /6/</t>
  </si>
  <si>
    <t>12633</t>
  </si>
  <si>
    <t>Пенка д/умывания лица Чистая линия 100 мл Ромашка /5/</t>
  </si>
  <si>
    <t>127 Мыло</t>
  </si>
  <si>
    <t>12724</t>
  </si>
  <si>
    <t>Крем-мыло Бархатные ручки 90 гр Антибактериальное /12/48/</t>
  </si>
  <si>
    <t>12785</t>
  </si>
  <si>
    <t>Крем-мыло детское Умка 80 алое вера /20/</t>
  </si>
  <si>
    <t>12702</t>
  </si>
  <si>
    <t>Крем-мыло детское Умка 80 г классическое /20/</t>
  </si>
  <si>
    <t>12751</t>
  </si>
  <si>
    <t>Крем-мыло детское Умка 80 ромашка и череда /20/</t>
  </si>
  <si>
    <t>12780</t>
  </si>
  <si>
    <t>Крем-мыло детское Умка 80 хлопок витамин Е /20/</t>
  </si>
  <si>
    <t>12786</t>
  </si>
  <si>
    <t>Крем-мыло Ушастый нянь 90 г с алоэ /6/72/</t>
  </si>
  <si>
    <t>12789</t>
  </si>
  <si>
    <t>Крем-мыло Ушастый нянь 90 г с ромашкой /6/72/</t>
  </si>
  <si>
    <t>12747</t>
  </si>
  <si>
    <t>Мыло CAMAY 85 гр Botanicals Гранат /6/48/</t>
  </si>
  <si>
    <t>12774</t>
  </si>
  <si>
    <t>Мыло CAMAY 85 гр Botanicals Сакура /6/48/</t>
  </si>
  <si>
    <t>12769</t>
  </si>
  <si>
    <t>Мыло CAMAY 85 гр Гипнотическая аура /6/48/</t>
  </si>
  <si>
    <t>12733</t>
  </si>
  <si>
    <t>Мыло CAMAY 85 гр Динамик /6/48/</t>
  </si>
  <si>
    <t>12708</t>
  </si>
  <si>
    <t>Мыло CAMAY 85 гр Магическое заклинание /6/48/</t>
  </si>
  <si>
    <t>12794</t>
  </si>
  <si>
    <t>Мыло CAMAY 85 гр Романтик /6/48/</t>
  </si>
  <si>
    <t>12200</t>
  </si>
  <si>
    <t>Мыло Palmolive 90 гр Баланс и мягкость Ромашка /6/72/</t>
  </si>
  <si>
    <t>12771</t>
  </si>
  <si>
    <t>Мыло Palmolive 90 гр Бодрящая свежесть экста зел.чая/огурца /6/72/</t>
  </si>
  <si>
    <t>12788</t>
  </si>
  <si>
    <t>Мыло Palmolive 90 гр Интенсивное увлажнение олива /6/72/</t>
  </si>
  <si>
    <t>12796</t>
  </si>
  <si>
    <t>Мыло Palmolive 90 гр Макадамия пион /6/72/</t>
  </si>
  <si>
    <t>12732</t>
  </si>
  <si>
    <t>Мыло Palmolive 90 гр Миндаль и камели /6/72/</t>
  </si>
  <si>
    <t>12797</t>
  </si>
  <si>
    <t>Мыло Palmolive 90 гр Мицелярный уход /6/72/</t>
  </si>
  <si>
    <t>12765</t>
  </si>
  <si>
    <t>Мыло Palmolive 90 гр Освежающее Летний арбуз /6/72/</t>
  </si>
  <si>
    <t>12779</t>
  </si>
  <si>
    <t>Мыло Palmolive 90 гр Роза и молоко /6/72/</t>
  </si>
  <si>
    <t>12704</t>
  </si>
  <si>
    <t>Мыло Palmolive 90 гр Роскошная мягкость /6/72/</t>
  </si>
  <si>
    <t>12745</t>
  </si>
  <si>
    <t>Мыло Palmolive 90 гр Смягчающее Свежая малина /6/72/</t>
  </si>
  <si>
    <t>12703</t>
  </si>
  <si>
    <t>Мыло Palmolive 90 гр Цветок вишни /6/72/</t>
  </si>
  <si>
    <t>12792</t>
  </si>
  <si>
    <t>Мыло Palmolive 90 гр Цитрус /6/72/</t>
  </si>
  <si>
    <t>12744</t>
  </si>
  <si>
    <t>Мыло Авента 90 г Антибактериальное №2 /85/</t>
  </si>
  <si>
    <t>12753</t>
  </si>
  <si>
    <t>Мыло Авента 90 г Банное №6 /85/</t>
  </si>
  <si>
    <t>12736</t>
  </si>
  <si>
    <t>Мыло Авента 90 г Морской бриз №5 /85/</t>
  </si>
  <si>
    <t>12754</t>
  </si>
  <si>
    <t>Мыло Авента 90 г Цветочное №3 /85/</t>
  </si>
  <si>
    <t>12706</t>
  </si>
  <si>
    <t>Мыло Калужский блеск 90 г Фреш /72/</t>
  </si>
  <si>
    <t>12763</t>
  </si>
  <si>
    <t>Мыло Калужский блеск 90 г Фруктово ягодное /72/</t>
  </si>
  <si>
    <t>12773</t>
  </si>
  <si>
    <t>Мыло Калужский блеск 90 г Цветочный микс /72/</t>
  </si>
  <si>
    <t>12740</t>
  </si>
  <si>
    <t>Мыло ММЗ 100 г Антибактериальное в обертке /6/96/</t>
  </si>
  <si>
    <t>12746</t>
  </si>
  <si>
    <t>Мыло ММЗ 100 г Глицериновое в обертке /6/96/</t>
  </si>
  <si>
    <t>12700</t>
  </si>
  <si>
    <t>Мыло ММЗ 100 г Детское Календула /6/95/</t>
  </si>
  <si>
    <t>12716</t>
  </si>
  <si>
    <t>Мыло ММЗ 100 г Детское Клубника /6/95/</t>
  </si>
  <si>
    <t>12739</t>
  </si>
  <si>
    <t>Мыло ММЗ 100 г Детское Ромашка /6/95/</t>
  </si>
  <si>
    <t>12760</t>
  </si>
  <si>
    <t>Мыло ММЗ 100 г Земляничное в обертке /6/96/</t>
  </si>
  <si>
    <t>12761</t>
  </si>
  <si>
    <t>Мыло ММЗ 100 г Цветочный аромат в обертке /6/96/</t>
  </si>
  <si>
    <t>12767</t>
  </si>
  <si>
    <t>Мыло ММЗ 200 г Детское б/о /6/60/</t>
  </si>
  <si>
    <t>12770</t>
  </si>
  <si>
    <t>Мыло ММЗ 200 г Детское в прозр. обертке /50/</t>
  </si>
  <si>
    <t>12781</t>
  </si>
  <si>
    <t>Мыло ММЗ 200 г Детское в цветной обертке /6/60/</t>
  </si>
  <si>
    <t>12784</t>
  </si>
  <si>
    <t>Мыло ММЗ 200 г Туалетное в обертке /50/</t>
  </si>
  <si>
    <t>12787</t>
  </si>
  <si>
    <t>Мыло ММЗ 200 г Хвойное в обертке /50/</t>
  </si>
  <si>
    <t>12758</t>
  </si>
  <si>
    <t>Мыло ММК 100 г Детский /80/</t>
  </si>
  <si>
    <t>12756</t>
  </si>
  <si>
    <t>Мыло ММК 100 г Нейтральное /80/</t>
  </si>
  <si>
    <t>12718</t>
  </si>
  <si>
    <t>Мыло ММК 100 г ординарное Альпийская свежесть /80/</t>
  </si>
  <si>
    <t>12738</t>
  </si>
  <si>
    <t>Мыло ММК 100 г ординарное Антибактериальное /80/</t>
  </si>
  <si>
    <t>12709</t>
  </si>
  <si>
    <t>Мыло ММК 100 г ординарное Банное /80/</t>
  </si>
  <si>
    <t>12742</t>
  </si>
  <si>
    <t>Мыло ММК 100 г ординарное Лимонное /80/</t>
  </si>
  <si>
    <t>12772</t>
  </si>
  <si>
    <t>Мыло ММК 100 г ординарное Цветочное /80/</t>
  </si>
  <si>
    <t>12798</t>
  </si>
  <si>
    <t>Мыло ММК 100 г Экстра /80/</t>
  </si>
  <si>
    <t>12762</t>
  </si>
  <si>
    <t>Мыло НК 140 г Дегтярное /4/48/</t>
  </si>
  <si>
    <t>12749</t>
  </si>
  <si>
    <t>Мыло НК 140 г Хвойное /12/48/</t>
  </si>
  <si>
    <t>12728</t>
  </si>
  <si>
    <t>Мыло НК 180 г Земляничное /12/36/</t>
  </si>
  <si>
    <t>12759</t>
  </si>
  <si>
    <t>Мыло НК 90 г Вишневый сад /6/72/</t>
  </si>
  <si>
    <t>12710</t>
  </si>
  <si>
    <t>Мыло НК 90 г Детское /6/72/</t>
  </si>
  <si>
    <t>12755</t>
  </si>
  <si>
    <t>Мыло НК 90 г Детское С экстрактом Ромашки /6/72/</t>
  </si>
  <si>
    <t>12778</t>
  </si>
  <si>
    <t>Мыло НК 90 г Детское С экстрактом Череды /6/72/</t>
  </si>
  <si>
    <t>12750</t>
  </si>
  <si>
    <t>Мыло НК 90 г Детское С экстрактом Чистотела /6/72/</t>
  </si>
  <si>
    <t>12791</t>
  </si>
  <si>
    <t>Мыло НК 90 г Дивный сад Зеленое яблоко /6/72/</t>
  </si>
  <si>
    <t>12734</t>
  </si>
  <si>
    <t>Мыло НК 90 г Дивный сад Клубника /6/72/</t>
  </si>
  <si>
    <t>12737</t>
  </si>
  <si>
    <t>Мыло НК 90 г Дивный сад Лимон /6/72/</t>
  </si>
  <si>
    <t>12719</t>
  </si>
  <si>
    <t>Мыло НК 90 г Липовый цвет /6/72/</t>
  </si>
  <si>
    <t>12775</t>
  </si>
  <si>
    <t>Мыло НК 90 г Новое Вазелиновое /6/72/</t>
  </si>
  <si>
    <t>12764</t>
  </si>
  <si>
    <t>Мыло НК 90 г Новое Глицериновое /6/72/</t>
  </si>
  <si>
    <t>12777</t>
  </si>
  <si>
    <t>Мыло НК 90 г Новое Ланолиновое /6/72/</t>
  </si>
  <si>
    <t>12712</t>
  </si>
  <si>
    <t>Мыло НК 90 г Цветы любви Ландыш /6/72/</t>
  </si>
  <si>
    <t>12757</t>
  </si>
  <si>
    <t>Мыло НК 90 г Цветы любви Сирень /6/72/</t>
  </si>
  <si>
    <t>12717</t>
  </si>
  <si>
    <t>Мыло НК 90 г Яблоневый сад /6/72/</t>
  </si>
  <si>
    <t>12768</t>
  </si>
  <si>
    <t>Мыло СЖК 100 г Земляничное /84/</t>
  </si>
  <si>
    <t>12707</t>
  </si>
  <si>
    <t>Мыло СЖК 200 г Банное п/п /40/</t>
  </si>
  <si>
    <t>12731</t>
  </si>
  <si>
    <t>Мыло Чистая линия 75 гр Алоэ /12/48/</t>
  </si>
  <si>
    <t>12725</t>
  </si>
  <si>
    <t>Мыло Чистая линия 75 гр Клубника /12/48/</t>
  </si>
  <si>
    <t>12726</t>
  </si>
  <si>
    <t>Мыло Чистая линия 75 гр Смородина /12/48/</t>
  </si>
  <si>
    <t>12729</t>
  </si>
  <si>
    <t>Мыло Чистая линия 90 гр Алоэ /12/48/</t>
  </si>
  <si>
    <t>12713</t>
  </si>
  <si>
    <t>Мыло ЭФКО 190 г Банное п/п /20/</t>
  </si>
  <si>
    <t>12790</t>
  </si>
  <si>
    <t>Мыло ЭФКО 190 г Детское п/п /20/</t>
  </si>
  <si>
    <t>12715</t>
  </si>
  <si>
    <t>Мыло ЭФКО 190 г Хвойное п/п /20/</t>
  </si>
  <si>
    <t>12711</t>
  </si>
  <si>
    <t>Мыло ЭФКО 90 г Райский сад в/об /48/</t>
  </si>
  <si>
    <t>12799</t>
  </si>
  <si>
    <t>Мыло ЭФКО 90 г Тропический коктейль в/об /48/</t>
  </si>
  <si>
    <t>12723</t>
  </si>
  <si>
    <t>Мыло ЭФКО 90 г Ягодная фантазия в/об /48/</t>
  </si>
  <si>
    <t>128 Зубные пасты</t>
  </si>
  <si>
    <t>12845</t>
  </si>
  <si>
    <t>З/п Aquafresh 100мл активное отбелив. /12/</t>
  </si>
  <si>
    <t>12844</t>
  </si>
  <si>
    <t>З/п Aquafresh 100мл освежающая мята /12/</t>
  </si>
  <si>
    <t>12841</t>
  </si>
  <si>
    <t>З/п Aquafresh 100мл Тотал Мятно-мягкая /12/</t>
  </si>
  <si>
    <t>12808</t>
  </si>
  <si>
    <t>З/п Aquafresh 50мл большие зубки 6-8 /12/</t>
  </si>
  <si>
    <t>12833</t>
  </si>
  <si>
    <t>З/п Aquafresh 50мл молочный зубки 3-5 /12/</t>
  </si>
  <si>
    <t>12800</t>
  </si>
  <si>
    <t>З/п Aquafresh 50мл мягко-мятная /12/</t>
  </si>
  <si>
    <t>12817</t>
  </si>
  <si>
    <t>З/п Aquafresh 50мл освежающе-мятная /12/</t>
  </si>
  <si>
    <t>12829</t>
  </si>
  <si>
    <t>З/п Colgate 100мл Бережное отбеливание /12/48/</t>
  </si>
  <si>
    <t>12868</t>
  </si>
  <si>
    <t>З/п Colgate 100мл Защита от кариеса свежая мята /12/48/</t>
  </si>
  <si>
    <t>12839</t>
  </si>
  <si>
    <t>З/п Colgate 100мл Крепкие зубы Свежее дыхание /12/48/</t>
  </si>
  <si>
    <t>12837</t>
  </si>
  <si>
    <t>З/п Colgate 100мл Лечебные травы /12/48/</t>
  </si>
  <si>
    <t>12846</t>
  </si>
  <si>
    <t>З/п Colgate 100мл Лечебные травы отбеливание /12/48/</t>
  </si>
  <si>
    <t>12835</t>
  </si>
  <si>
    <t>З/п Colgate 100мл Максимальная защита от кариеса двойная мята /12/48/</t>
  </si>
  <si>
    <t>12806</t>
  </si>
  <si>
    <t>З/п Colgate 100мл Прополис /12/48/</t>
  </si>
  <si>
    <t>12872</t>
  </si>
  <si>
    <t>З/п Colgate 100мл Прополис отбеливающая /12/48/</t>
  </si>
  <si>
    <t>12899</t>
  </si>
  <si>
    <t>З/п Colgate 100мл Тройного действия /12/48/</t>
  </si>
  <si>
    <t>12810</t>
  </si>
  <si>
    <t>З/п Colgate 100мл Тройного действия /экстра отбеливание /12/48/</t>
  </si>
  <si>
    <t>12816</t>
  </si>
  <si>
    <t>З/п Colgate 100мл Укрепляющая с мятно-гранатовым вкусом /12/48/</t>
  </si>
  <si>
    <t>12885</t>
  </si>
  <si>
    <t>З/п Colgate 50мл бережное отбеливание /12/48/</t>
  </si>
  <si>
    <t>12882</t>
  </si>
  <si>
    <t>З/п Colgate 50мл доктор Заяц вкус жвачки /12/48/</t>
  </si>
  <si>
    <t>12801</t>
  </si>
  <si>
    <t>З/п Colgate 50мл доктор Заяц вкус клубники /12/48/</t>
  </si>
  <si>
    <t>12815</t>
  </si>
  <si>
    <t>З/п Colgate 50мл максимальная защита от кариеса Свежая мята /12/48/</t>
  </si>
  <si>
    <t>12836</t>
  </si>
  <si>
    <t>З/п Colgate 50мл тройного действия /12/48/</t>
  </si>
  <si>
    <t>12802</t>
  </si>
  <si>
    <t>З/п Lacalut 50 мл Baby(от 0 до 4 лет) /6/24/</t>
  </si>
  <si>
    <t>12803</t>
  </si>
  <si>
    <t>З/п Lacalut 50 мл Kids (от 4 до 8 лет) /6/24/</t>
  </si>
  <si>
    <t>12880</t>
  </si>
  <si>
    <t>З/п Lacalut 75 мл Актив /6/24/</t>
  </si>
  <si>
    <t>12809</t>
  </si>
  <si>
    <t>З/п Lacalut 75 мл Анти-кариес /6/24/</t>
  </si>
  <si>
    <t>12805</t>
  </si>
  <si>
    <t>З/п Lacalut 75 мл Сенситив /6/24/</t>
  </si>
  <si>
    <t>12811</t>
  </si>
  <si>
    <t>З/п Lacalut 75 мл Уайт /6/24/</t>
  </si>
  <si>
    <t>12812</t>
  </si>
  <si>
    <t>З/п Lacalut 75 мл Флуор /6/24/</t>
  </si>
  <si>
    <t>12888</t>
  </si>
  <si>
    <t>З/п Splat 100 мл Актив /25/</t>
  </si>
  <si>
    <t>12889</t>
  </si>
  <si>
    <t>З/п Splat 100 мл Биокальций /25/</t>
  </si>
  <si>
    <t>12863</t>
  </si>
  <si>
    <t>З/п Splat 100 мл Лаванасепт /25/</t>
  </si>
  <si>
    <t>12890</t>
  </si>
  <si>
    <t>З/п Splat 100 мл Лечебные травы /25/</t>
  </si>
  <si>
    <t>12852</t>
  </si>
  <si>
    <t>З/п Splat 100 мл Отбеливание+ /25/</t>
  </si>
  <si>
    <t>12819</t>
  </si>
  <si>
    <t>З/п Splat 100 мл Сенситив /25/</t>
  </si>
  <si>
    <t>12853</t>
  </si>
  <si>
    <t>З/п Splat 100 мл Ультракомплекс /25/</t>
  </si>
  <si>
    <t>12843</t>
  </si>
  <si>
    <t>З/п Весна 100 г Волжский жемчуг Кальций 981-001 /48/</t>
  </si>
  <si>
    <t>12826</t>
  </si>
  <si>
    <t>З/п детская Буратино 75 мл Лимонадный взрыв 929-014 /48/</t>
  </si>
  <si>
    <t>12831</t>
  </si>
  <si>
    <t>З/п Керасис (Корея) 120 г Лечебные травы и биосоли /36/</t>
  </si>
  <si>
    <t>12856</t>
  </si>
  <si>
    <t>З/п Керасис (Корея) 125 г Максимальная защита /36/</t>
  </si>
  <si>
    <t>12864</t>
  </si>
  <si>
    <t>З/п Керасис (Корея) 125 г Мягкая защита для чувствительных зубов и десен/36/</t>
  </si>
  <si>
    <t>12871</t>
  </si>
  <si>
    <t>З/п Керасис (Корея) 125 г Освежающая экстра мятная с капсулами/36/</t>
  </si>
  <si>
    <t>12854</t>
  </si>
  <si>
    <t>З/п Лесной бальзам 75 мл Алоэ и Белый чай /48/</t>
  </si>
  <si>
    <t>12827</t>
  </si>
  <si>
    <t>З/п Лесной бальзам 75 мл Кора дуба и Пихта /48/</t>
  </si>
  <si>
    <t>12877</t>
  </si>
  <si>
    <t>З/п Лесной бальзам 75 мл Прополис Зверобой /48/</t>
  </si>
  <si>
    <t>12894</t>
  </si>
  <si>
    <t>З/п Лесной бальзам 75 мл Ромашка и Облепиха /48/</t>
  </si>
  <si>
    <t>12895</t>
  </si>
  <si>
    <t>З/п Лесной бальзам 75 мл Шалфей и Алоэ /48/</t>
  </si>
  <si>
    <t>12842</t>
  </si>
  <si>
    <t>З/п Новый Жемчуг 100мл Для всей семьи /8/40/</t>
  </si>
  <si>
    <t>12892</t>
  </si>
  <si>
    <t>З/п Новый Жемчуг 100мл Кальций /8/40/</t>
  </si>
  <si>
    <t>12896</t>
  </si>
  <si>
    <t>З/п Новый Жемчуг 100мл Комплекс легк мята /8/40/</t>
  </si>
  <si>
    <t>12825</t>
  </si>
  <si>
    <t>З/п Новый Жемчуг 100мл Комплекс сильн мята /8/40/</t>
  </si>
  <si>
    <t>12874</t>
  </si>
  <si>
    <t>З/п Новый Жемчуг 100мл отбеливающая /8/40/</t>
  </si>
  <si>
    <t>12883</t>
  </si>
  <si>
    <t>З/п Новый Жемчуг 100мл Фтор /8/40/</t>
  </si>
  <si>
    <t>12814</t>
  </si>
  <si>
    <t>З/п Новый Жемчуг 125мл Кальций /8/40/</t>
  </si>
  <si>
    <t>12838</t>
  </si>
  <si>
    <t>З/п Новый Жемчуг 125мл Фтор /8/40/</t>
  </si>
  <si>
    <t>12832</t>
  </si>
  <si>
    <t>З/п Новый Жемчуг 50мл для детей волшебные фрукты /6/36/</t>
  </si>
  <si>
    <t>12847</t>
  </si>
  <si>
    <t>З/п Новый Жемчуг 50мл для детей клубника /6/36/</t>
  </si>
  <si>
    <t>12830</t>
  </si>
  <si>
    <t>З/п Новый Жемчуг 50мл Кальций /6/36/</t>
  </si>
  <si>
    <t>12818</t>
  </si>
  <si>
    <t>З/п Новый Жемчуг 50мл Ромашка /6/36/</t>
  </si>
  <si>
    <t>12851</t>
  </si>
  <si>
    <t>З/п Новый Жемчуг 50мл Фтор /6/36/</t>
  </si>
  <si>
    <t>12820</t>
  </si>
  <si>
    <t>З/п Новый Жемчуг 50мл Шалфей с кальцием /6/36/</t>
  </si>
  <si>
    <t>12898</t>
  </si>
  <si>
    <t>З/п Новый Жемчуг 75мл Кальций /6/36/</t>
  </si>
  <si>
    <t>12168</t>
  </si>
  <si>
    <t>З/п Новый Жемчуг 75мл Фтор /6/36/</t>
  </si>
  <si>
    <t>129 Гели для душа</t>
  </si>
  <si>
    <t>13000</t>
  </si>
  <si>
    <t>Гель для душа AXE 230 мл Анархия /6/12/</t>
  </si>
  <si>
    <t>12947</t>
  </si>
  <si>
    <t>Гель для душа AXE 250 мл Epic Fresh /6/12/</t>
  </si>
  <si>
    <t>12918</t>
  </si>
  <si>
    <t>Гель для душа AXE 250 мл Ice Chill /6/12/</t>
  </si>
  <si>
    <t>12976</t>
  </si>
  <si>
    <t>Гель для душа AXE 250 мл Аполло /6/12/</t>
  </si>
  <si>
    <t>12916</t>
  </si>
  <si>
    <t>Гель для душа AXE 250 мл Блек для него /6/12/</t>
  </si>
  <si>
    <t>12938</t>
  </si>
  <si>
    <t>Гель для душа AXE 250 мл Голд Счежесть Севера /6/12/</t>
  </si>
  <si>
    <t>12999</t>
  </si>
  <si>
    <t>Гель для душа AXE 250 мл Дарк Темптейшн для него /6/12/</t>
  </si>
  <si>
    <t>12992</t>
  </si>
  <si>
    <t>Гель для душа AXE 250 мл Кожа и печеньки /6/12/</t>
  </si>
  <si>
    <t>12937</t>
  </si>
  <si>
    <t>Гель для душа AXE 250 мл Перезагрузка /6/12/</t>
  </si>
  <si>
    <t>12914</t>
  </si>
  <si>
    <t>Гель для душа AXE 250 мл Скейтборд и розы /6/12/</t>
  </si>
  <si>
    <t>12924</t>
  </si>
  <si>
    <t>Гель для душа AXE 250 мл Феникс /6/12/</t>
  </si>
  <si>
    <t>12905</t>
  </si>
  <si>
    <t>Гель для душа AXE 250 мл Эксайт /6/12/</t>
  </si>
  <si>
    <t>12945</t>
  </si>
  <si>
    <t>Гель для душа Caketime 460 мл Вишневый Пай /10/</t>
  </si>
  <si>
    <t>12961</t>
  </si>
  <si>
    <t>Гель для душа Caketime 460 мл Лимонный Мадлен /10/</t>
  </si>
  <si>
    <t>12959</t>
  </si>
  <si>
    <t>Гель для душа Caketime 460 мл Марципан /10/</t>
  </si>
  <si>
    <t>12909</t>
  </si>
  <si>
    <t>Гель для душа Caketime 460 мл Шоколадный брауни /10/</t>
  </si>
  <si>
    <t>12954</t>
  </si>
  <si>
    <t>Гель для душа Camay 250 мл MdMsll /6/12/</t>
  </si>
  <si>
    <t>13001</t>
  </si>
  <si>
    <t>Гель для душа Camay 250 мл Гипнотическая аура /6/12/</t>
  </si>
  <si>
    <t>12952</t>
  </si>
  <si>
    <t>Гель для душа Camay 250 мл Динамик /6/12/</t>
  </si>
  <si>
    <t>13002</t>
  </si>
  <si>
    <t>Гель для душа Camay 250 мл Ирис /6/12/</t>
  </si>
  <si>
    <t>12907</t>
  </si>
  <si>
    <t>Гель для душа Camay 250 мл Магическое заклинание орхидея/масло пачули /6/12/</t>
  </si>
  <si>
    <t>12675</t>
  </si>
  <si>
    <t>Гель для душа Camay 250 мл Романтик /6/12/</t>
  </si>
  <si>
    <t>11903</t>
  </si>
  <si>
    <t>Гель для душа Camay 250 мл Тайное блаженство Секрет Влисс /6/12/</t>
  </si>
  <si>
    <t>11901</t>
  </si>
  <si>
    <t>Гель для душа Camay 250 мл Цветы граната /6/12/</t>
  </si>
  <si>
    <t>11902</t>
  </si>
  <si>
    <t>Гель для душа Camay 250 мл Японская сакура /6/12/</t>
  </si>
  <si>
    <t>12936</t>
  </si>
  <si>
    <t>Гель для душа Dove 250 мл Антистрес /6/12/</t>
  </si>
  <si>
    <t>12933</t>
  </si>
  <si>
    <t>Гель для душа Dove 250 мл Ваниль и пион /6/12/</t>
  </si>
  <si>
    <t>12932</t>
  </si>
  <si>
    <t>Гель для душа Dove 250 мл Глубокое питание и увлажнение /6/12/</t>
  </si>
  <si>
    <t>12991</t>
  </si>
  <si>
    <t>Гель для душа Dove 250 мл Детокс-уход /6/12/</t>
  </si>
  <si>
    <t>12950</t>
  </si>
  <si>
    <t>Гель для душа Dove 250 мл Инжир и лепестки апельсина /6/12/</t>
  </si>
  <si>
    <t>12941</t>
  </si>
  <si>
    <t>Гель для душа Dove 250 мл Пробуждение манго/миндаль /6/12/</t>
  </si>
  <si>
    <t>12969</t>
  </si>
  <si>
    <t>Гель для душа Dove 250 мл С маслом оливы /6/12/</t>
  </si>
  <si>
    <t>12982</t>
  </si>
  <si>
    <t>Гель для душа Dove 250 мл Фисташковый крем и магнолия /6/12/</t>
  </si>
  <si>
    <t>12920</t>
  </si>
  <si>
    <t>Гель для душа Fa 200 мл Кактус и бамбук /6/</t>
  </si>
  <si>
    <t>12906</t>
  </si>
  <si>
    <t>Гель для душа Fa 200 мл Папайя/киви /6/</t>
  </si>
  <si>
    <t>12979</t>
  </si>
  <si>
    <t>Гель для душа Fa 250 мл детский Русалочка /5/10/</t>
  </si>
  <si>
    <t>12960</t>
  </si>
  <si>
    <t>Гель для душа Fa 250 мл детский Храбрый Пират /5/10/</t>
  </si>
  <si>
    <t>13017</t>
  </si>
  <si>
    <t>Гель для душа Fa 250 мл муж. Coffee Burst /5/10/</t>
  </si>
  <si>
    <t>13018</t>
  </si>
  <si>
    <t>Гель для душа Fa 250 мл муж. Let`s Game /5/10/</t>
  </si>
  <si>
    <t>13019</t>
  </si>
  <si>
    <t>Гель для душа Fa 250 мл муж. Pure Refresh Аромат Гуараны /5/10/</t>
  </si>
  <si>
    <t>13021</t>
  </si>
  <si>
    <t>Гель для душа Fa 250 мл муж. Pure Refresh Аромат Кактуса /5/10/</t>
  </si>
  <si>
    <t>13020</t>
  </si>
  <si>
    <t>Гель для душа Fa 250 мл муж. Pure Refresh Аромат Хвои /5/10/</t>
  </si>
  <si>
    <t>13022</t>
  </si>
  <si>
    <t>Гель для душа Fa 250 мл муж. Red Cedarwood /5/10/</t>
  </si>
  <si>
    <t>12998</t>
  </si>
  <si>
    <t>Гель для душа Fa 250 мл муж. Охлаждение Экстрим 2в1 /5/10/</t>
  </si>
  <si>
    <t>12984</t>
  </si>
  <si>
    <t>Гель для душа Fa 250 мл муж. Ритм в бразилии Ночи Ипанемы /5/10/</t>
  </si>
  <si>
    <t>12930</t>
  </si>
  <si>
    <t>Гель для душа Fa 250 мл муж. Ритм в бразилии Тайна Амазони /5/10/</t>
  </si>
  <si>
    <t>12983</t>
  </si>
  <si>
    <t>Гель для душа Fa 250 мл муж. Сила притяжения /5/10/</t>
  </si>
  <si>
    <t>12940</t>
  </si>
  <si>
    <t>Гель для душа Fa 250 мл муж. Спорт перезарядка /5/10/</t>
  </si>
  <si>
    <t>12963</t>
  </si>
  <si>
    <t>Гель для душа Fa 250 мл муж. Энергия полинезии Свежесть грозы /5/10/</t>
  </si>
  <si>
    <t>12949</t>
  </si>
  <si>
    <t>Гель для душа Fa 250 мл Природная свежеить Белый чай и бамбук /5/10/</t>
  </si>
  <si>
    <t>12997</t>
  </si>
  <si>
    <t>Гель для душа Fa 250 мл Ритмы Бразилии Ночи ипанемы /5/10/</t>
  </si>
  <si>
    <t>12996</t>
  </si>
  <si>
    <t>Гель для душа Fa 250 мл Ритмы Бразилии Тайна амазон с маслом мурумуру /10/</t>
  </si>
  <si>
    <t>12901</t>
  </si>
  <si>
    <t>Гель для душа Fa 250 мл Ритмы острова Гавайи Любовь Ананас /5/10/</t>
  </si>
  <si>
    <t>12987</t>
  </si>
  <si>
    <t>Гель для душа Fa 250 мл Секреты Полинезии Аромат цветка Гибискуса /5/10/</t>
  </si>
  <si>
    <t>12988</t>
  </si>
  <si>
    <t>Гель для душа Fa 250 мл Секреты Полинезии Аромат экзотических цветов /5/10/</t>
  </si>
  <si>
    <t>12994</t>
  </si>
  <si>
    <t>Гель для душа Fructime 460 мл Банановый смузи /10/</t>
  </si>
  <si>
    <t>12951</t>
  </si>
  <si>
    <t>Гель для душа Fructime 460 мл Дынный смузи /10/</t>
  </si>
  <si>
    <t>12989</t>
  </si>
  <si>
    <t>Гель для душа Fructime 460 мл Лаймовый фреш /10/</t>
  </si>
  <si>
    <t>12939</t>
  </si>
  <si>
    <t>Гель для душа Fructime 460 мл Манговый ласси /10/</t>
  </si>
  <si>
    <t>12913</t>
  </si>
  <si>
    <t>Гель для душа Garden Dreams 1 л Лимонный сорбент и ванильные сливки /12/</t>
  </si>
  <si>
    <t>12925</t>
  </si>
  <si>
    <t>Гель для душа Garden Dreams 1 л Свежесть экзотических фруктов /12/</t>
  </si>
  <si>
    <t>12974</t>
  </si>
  <si>
    <t>Гель для душа Nivea 250 мл Love Sunshine /6/12/</t>
  </si>
  <si>
    <t>12967</t>
  </si>
  <si>
    <t>Гель для душа Nivea 250 мл Карамболь /6/12/</t>
  </si>
  <si>
    <t>12970</t>
  </si>
  <si>
    <t>Гель для душа Nivea 250 мл Кокос /6/12/</t>
  </si>
  <si>
    <t>12972</t>
  </si>
  <si>
    <t>Гель для душа Nivea 250 мл Масло Ши /6/12/</t>
  </si>
  <si>
    <t>12986</t>
  </si>
  <si>
    <t>Гель для душа Nivea 250 мл С молочком абрикоса /6/12/</t>
  </si>
  <si>
    <t>12975</t>
  </si>
  <si>
    <t>Гель для душа Nivea 250 мл Счежесть кислорода /6/12/</t>
  </si>
  <si>
    <t>12926</t>
  </si>
  <si>
    <t>Гель для душа Nivea 250 мл Увлажняющий /6/12/</t>
  </si>
  <si>
    <t>12944</t>
  </si>
  <si>
    <t>Гель для душа Nivea Men 250 мл Boost /6/12/</t>
  </si>
  <si>
    <t>12942</t>
  </si>
  <si>
    <t>Гель для душа Nivea Men 250 мл Ultra carbon /6/12/</t>
  </si>
  <si>
    <t>12902</t>
  </si>
  <si>
    <t>Гель для душа Nivea Men 250 мл Арктич.океан /6/12/</t>
  </si>
  <si>
    <t>12958</t>
  </si>
  <si>
    <t>Гель для душа Nivea Men 250 мл Защита и уход Классич. /6/12/</t>
  </si>
  <si>
    <t>12973</t>
  </si>
  <si>
    <t>Гель для душа Nivea Men 250 мл Пробуждение /6/12/</t>
  </si>
  <si>
    <t>12956</t>
  </si>
  <si>
    <t>Гель для душа Nivea Men 250 мл Сила угля /6/12/</t>
  </si>
  <si>
    <t>12919</t>
  </si>
  <si>
    <t>Гель для душа Palmolive 250 мл Арома Настроение Расслабление /6/</t>
  </si>
  <si>
    <t>12900</t>
  </si>
  <si>
    <t>Гель для душа Palmolive 250 мл Арома Настроение Такая сладкая /6/</t>
  </si>
  <si>
    <t>12953</t>
  </si>
  <si>
    <t>Гель для душа Palmolive 250 мл Арома Настроение Твой массаж /6/</t>
  </si>
  <si>
    <t>12922</t>
  </si>
  <si>
    <t>Гель для душа Palmolive 250 мл Витамин В и Гранат /6/</t>
  </si>
  <si>
    <t>12962</t>
  </si>
  <si>
    <t>Гель для душа Palmolive 250 мл Витамин Е и Зеленый чай /6/</t>
  </si>
  <si>
    <t>12946</t>
  </si>
  <si>
    <t>Гель для душа Palmolive 250 мл Витамин С и Апельсин /6/</t>
  </si>
  <si>
    <t>12966</t>
  </si>
  <si>
    <t>Гель для душа Palmolive 250 мл Гурме Спа  Кокосовое молоко /6/</t>
  </si>
  <si>
    <t>12968</t>
  </si>
  <si>
    <t>Гель для душа Palmolive 250 мл Гурмэ СПА Клубничный смузи /6/</t>
  </si>
  <si>
    <t>12903</t>
  </si>
  <si>
    <t>Гель для душа Palmolive 250 мл Ежевика /6/</t>
  </si>
  <si>
    <t>12915</t>
  </si>
  <si>
    <t>Гель для душа Palmolive 250 мл мужск. Арктич ветер синий 3в1 /6/</t>
  </si>
  <si>
    <t>12934</t>
  </si>
  <si>
    <t>Гель для душа Palmolive 250 мл мужск. Баланс 4в1 /6/</t>
  </si>
  <si>
    <t>12985</t>
  </si>
  <si>
    <t>Гель для душа Palmolive 250 мл мужск. Лимонный взрыв /6/</t>
  </si>
  <si>
    <t>12948</t>
  </si>
  <si>
    <t>Гель для душа Palmolive 250 мл мужск. Очищение и уход 4в1 /6/</t>
  </si>
  <si>
    <t>12923</t>
  </si>
  <si>
    <t>Гель для душа Palmolive 250 мл мужск. Эффект бани /6/</t>
  </si>
  <si>
    <t>12912</t>
  </si>
  <si>
    <t>Гель для душа Palmolive 250 мл Олива /6/</t>
  </si>
  <si>
    <t>12935</t>
  </si>
  <si>
    <t>Гель для душа Palmolive 250 мл Персик /6/</t>
  </si>
  <si>
    <t>13023</t>
  </si>
  <si>
    <t>Гель для душа Rain 500 мл Body Wash тонизирующий /20/</t>
  </si>
  <si>
    <t>13024</t>
  </si>
  <si>
    <t>Гель для душа Rain 500 мл Body Wash увлажняющий /20/</t>
  </si>
  <si>
    <t>12971</t>
  </si>
  <si>
    <t>Гель для душа Агафья 280 мл Цветная на соках Увлажняющ Черничный /6/</t>
  </si>
  <si>
    <t>12965</t>
  </si>
  <si>
    <t>Гель для душа Особая серия 500 мл Шоколадно-мятный мусс /12/</t>
  </si>
  <si>
    <t>12911</t>
  </si>
  <si>
    <t>Гель для душа Особая серия 500 мл Ягодный конфитюр /12/</t>
  </si>
  <si>
    <t>12943</t>
  </si>
  <si>
    <t>Гель для душа Рецепты бабушки Агафьи 500 мл Питательный, Черничные сливки /12/</t>
  </si>
  <si>
    <t>12995</t>
  </si>
  <si>
    <t>Гель для душа Рецепты бабушки Агафьи 500 мл Увлажнение, Яблоневый цвет /12/</t>
  </si>
  <si>
    <t>12955</t>
  </si>
  <si>
    <t>Гель для душа Саната 500 мл Силаприроды Ромашка Зверобой /12/</t>
  </si>
  <si>
    <t>13025</t>
  </si>
  <si>
    <t>Гель для душа Чистая линия 250 мл Питательный Сладкая клубника и мята /6/12/</t>
  </si>
  <si>
    <t>12921</t>
  </si>
  <si>
    <t>Гель для душа Чистая линия 250 мл Пробуждающий /6/12/</t>
  </si>
  <si>
    <t>12910</t>
  </si>
  <si>
    <t>Гель для душа Чистая линия 250 мл Смягчающий /6/12/</t>
  </si>
  <si>
    <t>12927</t>
  </si>
  <si>
    <t>Гель для душа Чистая линия 250 мл Увлажняющий пион и алоэ /6/12/</t>
  </si>
  <si>
    <t>12977</t>
  </si>
  <si>
    <t>Гель для интимной гигиены Чистая линия 250 мл Алоэ и ромашка /5/10/</t>
  </si>
  <si>
    <t>13139</t>
  </si>
  <si>
    <t>Крем-гель для душа Love My 300 мл Очарование мягкости /16/</t>
  </si>
  <si>
    <t>12990</t>
  </si>
  <si>
    <t>Крем-гель для душа Love My 300 мл Природная нежность /16/</t>
  </si>
  <si>
    <t>12978</t>
  </si>
  <si>
    <t>Крем-гель для душа Love My 300 мл Цветочная феерия /16/</t>
  </si>
  <si>
    <t>12993</t>
  </si>
  <si>
    <t>Крем-гель для душа Love My 300 мл Энергия свежести /16/</t>
  </si>
  <si>
    <t>12980</t>
  </si>
  <si>
    <t>Крем-гель для душа Suru 400 мл 951-076 /12/</t>
  </si>
  <si>
    <t>12981</t>
  </si>
  <si>
    <t>Крем-гель для душа Особая серия 500 мл Карамельный латте /12/</t>
  </si>
  <si>
    <t>12957</t>
  </si>
  <si>
    <t>Крем-гель для душа Особая серия 500 мл Манго слинг /12/</t>
  </si>
  <si>
    <t>130 Пена для ванны</t>
  </si>
  <si>
    <t>13015</t>
  </si>
  <si>
    <t>Крем-пена для ванны Love My 300 мл Ванильный мусс /16/</t>
  </si>
  <si>
    <t>12285</t>
  </si>
  <si>
    <t>Крем-пена для ванны Love My 300 мл Солнечные фрукты /16/</t>
  </si>
  <si>
    <t>12302</t>
  </si>
  <si>
    <t>Крем-пена для ванны Love My 300 мл Цветочный поцелуй /16/</t>
  </si>
  <si>
    <t>13009</t>
  </si>
  <si>
    <t>Пена для ванны Волшебная пена 1000мл Ароматерапия Релакс (Лаванда) /6/12/</t>
  </si>
  <si>
    <t>13026</t>
  </si>
  <si>
    <t>Пена для ванны Волшебная пена 1000мл Мята и Зеленый чай /6/12/</t>
  </si>
  <si>
    <t>13007</t>
  </si>
  <si>
    <t>Пена для ванны Волшебная пена 1000мл Райский остров /6/12/</t>
  </si>
  <si>
    <t>13008</t>
  </si>
  <si>
    <t>Пена для ванны Волшебная пена 1000мл Роза в шампанском /6/12/</t>
  </si>
  <si>
    <t>13010</t>
  </si>
  <si>
    <t>Пена для ванны Волшебная пена 1000мл Череда и Ромашка /6/12/</t>
  </si>
  <si>
    <t>13011</t>
  </si>
  <si>
    <t>Пена для ванны Особая серия 730гр Имбирный пряник /5/10/</t>
  </si>
  <si>
    <t>13012</t>
  </si>
  <si>
    <t>Пена для ванны Особая серия 730гр Карибский коктейль /5/10/</t>
  </si>
  <si>
    <t>13014</t>
  </si>
  <si>
    <t>Пена для ванны Особая серия 730гр Ягодный чизкейк /5/10/</t>
  </si>
  <si>
    <t>13003</t>
  </si>
  <si>
    <t>Пена для ванны Рецепты бабушки Агафьи 500 мл Антистресс /12/</t>
  </si>
  <si>
    <t>13005</t>
  </si>
  <si>
    <t>Пена для ванны Рецепты бабушки Агафьи 500 мл Перед сном /12/</t>
  </si>
  <si>
    <t>12267</t>
  </si>
  <si>
    <t>Пена для ванны Саната Evette 500 мл Тропические фрукты /12/</t>
  </si>
  <si>
    <t>12270</t>
  </si>
  <si>
    <t>Пена для ванны Саната Evette 500 мл Экстракт лесные ягоды  /12/</t>
  </si>
  <si>
    <t>131 Дезодоранты /одеколон/лосьон</t>
  </si>
  <si>
    <t>13100</t>
  </si>
  <si>
    <t>Дезодорант EXXE шар 50 мл муж. Energy /6/12/</t>
  </si>
  <si>
    <t>13103</t>
  </si>
  <si>
    <t>Дезодорант EXXE шар 50 мл муж. Fresh /6/12/</t>
  </si>
  <si>
    <t>13126</t>
  </si>
  <si>
    <t>Дезодорант EXXE шар 50 мл муж. Power /6/12/</t>
  </si>
  <si>
    <t>13127</t>
  </si>
  <si>
    <t>Дезодорант EXXE шар 50 мл муж. Vibe /6/12/</t>
  </si>
  <si>
    <t>13107</t>
  </si>
  <si>
    <t>Дезодорант Fa шар 50 мл Защита и комфорт Нежный аромат сирени /6/</t>
  </si>
  <si>
    <t>13128</t>
  </si>
  <si>
    <t>Дезодорант Fa шар 50 мл Острова Фиджи Арбуз /6/</t>
  </si>
  <si>
    <t>13159</t>
  </si>
  <si>
    <t>Дезодорант Fa шар 50 мл Прозрачная защита Нежный цветочный аромат /6/</t>
  </si>
  <si>
    <t>13168</t>
  </si>
  <si>
    <t>Дезодорант Fa шар 50 мл Ритмы Бразилии Ночи ипанемы /6/</t>
  </si>
  <si>
    <t>13181</t>
  </si>
  <si>
    <t>Дезодорант Fa шар 50 мл Ритмы острова Бали Манго и ваниль /6/</t>
  </si>
  <si>
    <t>13104</t>
  </si>
  <si>
    <t>Дезодорант Fa шар 50 мл Создай настроение Feel Balance /6/</t>
  </si>
  <si>
    <t>13105</t>
  </si>
  <si>
    <t>Дезодорант Fa шар 50 мл Создай настроение Go Happy /6/</t>
  </si>
  <si>
    <t>13116</t>
  </si>
  <si>
    <t>Дезодорант Nivea шар 50 мл Love Be Trendy Нежная свежесть /6/</t>
  </si>
  <si>
    <t>13122</t>
  </si>
  <si>
    <t>Дезодорант Nivea шар 50 мл Жемчужная красота Premium /6/</t>
  </si>
  <si>
    <t>13113</t>
  </si>
  <si>
    <t>Дезодорант Nivea шар 50 мл Невидимая защита /6/</t>
  </si>
  <si>
    <t>13110</t>
  </si>
  <si>
    <t>Дезодорант Nivea шар 50 мл Невидимая защита для черного и белого Clear /6/</t>
  </si>
  <si>
    <t>13118</t>
  </si>
  <si>
    <t>Дезодорант Nivea шар 50 мл Невидимая защита для черного и белого Extra /6/</t>
  </si>
  <si>
    <t>13109</t>
  </si>
  <si>
    <t>Дезодорант Nivea шар 50 мл Невидимая защита для черного и белого Pure /6/</t>
  </si>
  <si>
    <t>13121</t>
  </si>
  <si>
    <t>Дезодорант Nivea шар 50 мл Энергия свежести /6/</t>
  </si>
  <si>
    <t>13112</t>
  </si>
  <si>
    <t>Дезодорант Nivea шар 50 мл Эффект пудры /6/</t>
  </si>
  <si>
    <t>13111</t>
  </si>
  <si>
    <t>Дезодорант Rexona стик 40 мл Без запаха /6/</t>
  </si>
  <si>
    <t>13119</t>
  </si>
  <si>
    <t>Дезодорант Rexona стик 40 мл Легкость хлопока /6/</t>
  </si>
  <si>
    <t>13171</t>
  </si>
  <si>
    <t>Дезодорант Rexona стик 40 мл Невидимая черн/бел /6/</t>
  </si>
  <si>
    <t>13114</t>
  </si>
  <si>
    <t>Дезодорант Rexona стик 40 мл Прозрачный кристалл невидимая /6/</t>
  </si>
  <si>
    <t>13115</t>
  </si>
  <si>
    <t>Дезодорант Rexona стик 40 мл Свежесть душа /6/</t>
  </si>
  <si>
    <t>13117</t>
  </si>
  <si>
    <t>Дезодорант Rexona стик 40 мл Сухость пудры /6/</t>
  </si>
  <si>
    <t>13153</t>
  </si>
  <si>
    <t>Дезодорант Rexona стик 50 мл муж. Кобальт /6/</t>
  </si>
  <si>
    <t>13125</t>
  </si>
  <si>
    <t>Дезодорант Rexona стик 50 мл муж. Невидимый ч/б /6/</t>
  </si>
  <si>
    <t>13123</t>
  </si>
  <si>
    <t>Дезодорант Rexona стик 50 мл муж. Свежесть душа /6/</t>
  </si>
  <si>
    <t>13124</t>
  </si>
  <si>
    <t>Дезодорант Rexona стик 50 мл муж. Экстремальная защита /6/</t>
  </si>
  <si>
    <t>132 Краски для волос Palette Fara</t>
  </si>
  <si>
    <t>13245</t>
  </si>
  <si>
    <t>Краска для волос Fara 501 50+50+15 г черный /6/</t>
  </si>
  <si>
    <t>13246</t>
  </si>
  <si>
    <t>Краска для волос Fara 501а 50+50+15 г иссиня-черный /6/</t>
  </si>
  <si>
    <t>13248</t>
  </si>
  <si>
    <t>Краска для волос Fara 502в 50+50+15 г темно-русый /6/</t>
  </si>
  <si>
    <t>13232</t>
  </si>
  <si>
    <t>Краска для волос Fara 503 50+50+15 г темно-каштан /5/</t>
  </si>
  <si>
    <t>13208</t>
  </si>
  <si>
    <t>Краска для волос Fara 504 50+50+15 г коричн /5/</t>
  </si>
  <si>
    <t>13249</t>
  </si>
  <si>
    <t>Краска для волос Fara 505 50+50+15 г каштан /5/</t>
  </si>
  <si>
    <t>13233</t>
  </si>
  <si>
    <t>Краска для волос Fara 505а 50+50+15 г золотист. каштан /5/</t>
  </si>
  <si>
    <t>12316</t>
  </si>
  <si>
    <t>Краска для волос Fara 505б 50+50+15 г карамель /5/</t>
  </si>
  <si>
    <t>13234</t>
  </si>
  <si>
    <t>Краска для волос Fara 506а 50+50+15 г молочный шоколад /5/</t>
  </si>
  <si>
    <t>13250</t>
  </si>
  <si>
    <t>Краска для волос Fara 507 50+50+15 г светло-каштановый /5/</t>
  </si>
  <si>
    <t>13251</t>
  </si>
  <si>
    <t>Краска для волос Fara 507а 50+50+15 г натуральный шоколад /6/</t>
  </si>
  <si>
    <t>13252</t>
  </si>
  <si>
    <t>Краска для волос Fara 508 50+50+15 г лесной орех /5/</t>
  </si>
  <si>
    <t>13235</t>
  </si>
  <si>
    <t>Краска для волос Fara 509а 50+50+15 г гранат /5/</t>
  </si>
  <si>
    <t>13254</t>
  </si>
  <si>
    <t>Краска для волос Fara 510 50+50+15 г красное дерево /5/</t>
  </si>
  <si>
    <t>13236</t>
  </si>
  <si>
    <t>Краска для волос Fara 510а 50+50+15 г красное дерево св. /5/</t>
  </si>
  <si>
    <t>13207</t>
  </si>
  <si>
    <t>Краска для волос Fara 512а 50+50+15 г красное дер. темн. с фиол. /5/</t>
  </si>
  <si>
    <t>13238</t>
  </si>
  <si>
    <t>Краска для волос Fara 513 50+50+15 г золотисто-русый /5/</t>
  </si>
  <si>
    <t>13255</t>
  </si>
  <si>
    <t>Краска для волос Fara 514 50+50+15 г естественный-русый /6/</t>
  </si>
  <si>
    <t>13239</t>
  </si>
  <si>
    <t>Краска для волос Fara 515 50+50+15 г светло-русый /5/</t>
  </si>
  <si>
    <t>13240</t>
  </si>
  <si>
    <t>Краска для волос Fara 521 160 г пепельный /5/</t>
  </si>
  <si>
    <t>13242</t>
  </si>
  <si>
    <t>Краска для волос Fara 528 50+50+15 г пепельно-русый /6/</t>
  </si>
  <si>
    <t>13243</t>
  </si>
  <si>
    <t>Краска для волос Fara 530 50+50+15 г скандин. блондинка /5/</t>
  </si>
  <si>
    <t>13244</t>
  </si>
  <si>
    <t>Краска для волос Fara 531 50+50+15 г платин. блондинка /5/</t>
  </si>
  <si>
    <t>13218</t>
  </si>
  <si>
    <t>Краска для волос Palette 50 мл 10-49 Розовый блонд /5/10/</t>
  </si>
  <si>
    <t>13221</t>
  </si>
  <si>
    <t>Краска для волос Palette 50 мл 6-280 Темно-русый металлик /5/10/</t>
  </si>
  <si>
    <t>13213</t>
  </si>
  <si>
    <t>Краска для волос Palette 50 мл 7-2 Холодный русый /5/10/</t>
  </si>
  <si>
    <t>13332</t>
  </si>
  <si>
    <t>Краска для волос Palette 50 мл 8-140 Песочный русый /5/10/</t>
  </si>
  <si>
    <t>13205</t>
  </si>
  <si>
    <t>Краска для волос Palette 50 мл 8-16 Пепельно-русый /5/10/</t>
  </si>
  <si>
    <t>13219</t>
  </si>
  <si>
    <t>Краска для волос Palette 50 мл 9-14 Жемчужный светло-русый /5/10/</t>
  </si>
  <si>
    <t>13204</t>
  </si>
  <si>
    <t>Краска для волос Palette 50 мл BW10 Пудровый блонд /5/10/</t>
  </si>
  <si>
    <t>13222</t>
  </si>
  <si>
    <t>Краска для волос Palette 50 мл G3 Золотистый трюфель /5/10/</t>
  </si>
  <si>
    <t>13203</t>
  </si>
  <si>
    <t>Краска для волос Palette 50 мл G4 Какао /5/10/</t>
  </si>
  <si>
    <t>13214</t>
  </si>
  <si>
    <t>Краска для волос Palette 50 мл GK4 Благородный каштан /5/10/</t>
  </si>
  <si>
    <t>13230</t>
  </si>
  <si>
    <t>Краска для волос Palette 50 мл LW3 Горячий шоколад /5/10/</t>
  </si>
  <si>
    <t>13276</t>
  </si>
  <si>
    <t>Краска для волос Palette 50 мл N1 Черная /5/10/</t>
  </si>
  <si>
    <t>13273</t>
  </si>
  <si>
    <t>Краска для волос Palette 50 мл N2 Темно-каштановая /5/10/</t>
  </si>
  <si>
    <t>13274</t>
  </si>
  <si>
    <t>Краска для волос Palette 50 мл N3 Каштановый /5/10/</t>
  </si>
  <si>
    <t>13212</t>
  </si>
  <si>
    <t>Краска для волос Palette 50 мл N5 Темно-русый /5/10/</t>
  </si>
  <si>
    <t>13268</t>
  </si>
  <si>
    <t>Краска для волос Palette 50 мл N6 Средне-русый /5/10/</t>
  </si>
  <si>
    <t>13202</t>
  </si>
  <si>
    <t>Краска для волос Palette 50 мл №7 Русый /5/10/</t>
  </si>
  <si>
    <t>13226</t>
  </si>
  <si>
    <t>Краска для волос Palette 50 мл PL0 Платиновый осветлитель /5/10/</t>
  </si>
  <si>
    <t>13227</t>
  </si>
  <si>
    <t>Краска для волос Palette 50 мл R2 Красное дерево /5/10/</t>
  </si>
  <si>
    <t>13215</t>
  </si>
  <si>
    <t>Краска для волос Palette 50 мл R4 Каштан /5/10/</t>
  </si>
  <si>
    <t>13229</t>
  </si>
  <si>
    <t>Краска для волос Palette 50 мл RF3 Гранат /5/10/</t>
  </si>
  <si>
    <t>13282</t>
  </si>
  <si>
    <t>Краска для волос Palette 50 мл RFE3 Баклажан /5/10/</t>
  </si>
  <si>
    <t>13206</t>
  </si>
  <si>
    <t>Краска для волос Palette 50 мл W2 Темный шоколад /5/10/</t>
  </si>
  <si>
    <t>13201</t>
  </si>
  <si>
    <t>Краска для волос Palette 50 мл W№3 Золотистый кофе /5/10/</t>
  </si>
  <si>
    <t>13265</t>
  </si>
  <si>
    <t>Краска для волос Palette 50 мл А10 Жемчужный блондин /5/10/</t>
  </si>
  <si>
    <t>13210</t>
  </si>
  <si>
    <t>Краска для волос Palette 50 мл А12 Платиновый блонд /5/10/</t>
  </si>
  <si>
    <t>13237</t>
  </si>
  <si>
    <t>Краска для волос Palette 50 мл КR7 Роскошный медный /5/10/</t>
  </si>
  <si>
    <t>13220</t>
  </si>
  <si>
    <t>Краска для волос Palette 50 мл С1 Иссиня-черный /5/10/</t>
  </si>
  <si>
    <t>13228</t>
  </si>
  <si>
    <t>Краска для волос Palette 50 мл С10 Серебристый блонд /5/10/</t>
  </si>
  <si>
    <t>13216</t>
  </si>
  <si>
    <t>Краска для волос Palette 50 мл С6 Холодный средне-русый /5/10/</t>
  </si>
  <si>
    <t>13284</t>
  </si>
  <si>
    <t>Краска для волос Palette Фито 50 мл 300(8-0) Светло русый /10/</t>
  </si>
  <si>
    <t>13291</t>
  </si>
  <si>
    <t>Краска для волос Palette Фито 50 мл 400(7-0) Средне-русый /10/</t>
  </si>
  <si>
    <t>13271</t>
  </si>
  <si>
    <t>Краска для волос Palette Фито 50 мл 500 Темно русый /10/</t>
  </si>
  <si>
    <t>13200</t>
  </si>
  <si>
    <t>Краска для волос Palette Фито 50 мл 700 Каштан /10/</t>
  </si>
  <si>
    <t>13209</t>
  </si>
  <si>
    <t>Краска для волос Palette Фито 50 мл 868(3-68) Шоколадно-каштановый /10/</t>
  </si>
  <si>
    <t>13258</t>
  </si>
  <si>
    <t>Краска для волос Palette Фито 50 мл 9-1 Холодный светло русый /10/</t>
  </si>
  <si>
    <t>13295</t>
  </si>
  <si>
    <t>Краска для волос Palette Фито 50 мл 900(1-0) Черный /10/</t>
  </si>
  <si>
    <t>13224</t>
  </si>
  <si>
    <t>Краска для волос Palette Фито 50 мл L-8 Интенсивный осветляющий /10/</t>
  </si>
  <si>
    <t>133 Краски для волос Garnier Color Naturals</t>
  </si>
  <si>
    <t>13310</t>
  </si>
  <si>
    <t>Краска для волос Garnier Color Naturals 1 Черный /3/12/</t>
  </si>
  <si>
    <t>13322</t>
  </si>
  <si>
    <t>Краска для волос Garnier Color Naturals 1.10 Холодный черный /3/12/</t>
  </si>
  <si>
    <t>13305</t>
  </si>
  <si>
    <t>Краска для волос Garnier Color Naturals 10 Белое солнце /3/12/</t>
  </si>
  <si>
    <t>13316</t>
  </si>
  <si>
    <t>Краска для волос Garnier Color Naturals 1002 Ж-й ультрабл /3/12/</t>
  </si>
  <si>
    <t>13329</t>
  </si>
  <si>
    <t>Краска для волос Garnier Color Naturals 110 Сильное осветление Натурвльный блонд /3/12/</t>
  </si>
  <si>
    <t>13301</t>
  </si>
  <si>
    <t>Краска для волос Garnier Color Naturals 111 Платиновый блондин /3/12/</t>
  </si>
  <si>
    <t>13341</t>
  </si>
  <si>
    <t>Краска для волос Garnier Color Naturals 112 Жемчужный блонд /3/12/</t>
  </si>
  <si>
    <t>13323</t>
  </si>
  <si>
    <t>Краска для волос Garnier Color Naturals 2 Элегантный черный /3/12/</t>
  </si>
  <si>
    <t>13335</t>
  </si>
  <si>
    <t>Краска для волос Garnier Color Naturals 2.10 Иссиня черный /3/12/</t>
  </si>
  <si>
    <t>13338</t>
  </si>
  <si>
    <t>Краска для волос Garnier Color Naturals 3 Темный каштан /3/12/</t>
  </si>
  <si>
    <t>13354</t>
  </si>
  <si>
    <t>Краска для волос Garnier Color Naturals 3.12 Ледяной темный шатен /3/12/</t>
  </si>
  <si>
    <t>12356</t>
  </si>
  <si>
    <t>Краска для волос Garnier Color Naturals 3.23 Темный шоколад /3/12/</t>
  </si>
  <si>
    <t>13357</t>
  </si>
  <si>
    <t>Краска для волос Garnier Color Naturals 3.61 Сочная ежевика /3/12/</t>
  </si>
  <si>
    <t>13359</t>
  </si>
  <si>
    <t>Краска для волос Garnier Color Naturals 4 Каштановый /3/12/</t>
  </si>
  <si>
    <t>13362</t>
  </si>
  <si>
    <t>Краска для волос Garnier Color Naturals 4.1/2 Горький шоколад /3/12/</t>
  </si>
  <si>
    <t>13363</t>
  </si>
  <si>
    <t>Краска для волос Garnier Color Naturals 4.12 Холодный шатен /3/12/</t>
  </si>
  <si>
    <t>13317</t>
  </si>
  <si>
    <t>Краска для волос Garnier Color Naturals 4.15 Морозный каштан /3/12/</t>
  </si>
  <si>
    <t>13381</t>
  </si>
  <si>
    <t>Краска для волос Garnier Color Naturals 4.3 Золотистый каштан /3/12/</t>
  </si>
  <si>
    <t>13383</t>
  </si>
  <si>
    <t>Краска для волос Garnier Color Naturals 4.62 Спелая вишня /3/12/</t>
  </si>
  <si>
    <t>13386</t>
  </si>
  <si>
    <t>Краска для волос Garnier Color Naturals 5 Светлый каштан /3/12/</t>
  </si>
  <si>
    <t>13388</t>
  </si>
  <si>
    <t>Краска для волос Garnier Color Naturals 5.12 Ледяной светлый шатен /3/12/</t>
  </si>
  <si>
    <t>13389</t>
  </si>
  <si>
    <t>Краска для волос Garnier Color Naturals 5.15 Пряный экспрессо /3/12/</t>
  </si>
  <si>
    <t>13342</t>
  </si>
  <si>
    <t>Краска для волос Garnier Color Naturals 5.23 Пряный каштан /3/12/</t>
  </si>
  <si>
    <t>13351</t>
  </si>
  <si>
    <t>Краска для волос Garnier Color Naturals 5.25 Горячий шоколад /3/12/</t>
  </si>
  <si>
    <t>13304</t>
  </si>
  <si>
    <t>Краска для волос Garnier Color Naturals 6 Лесной орех /3/12/</t>
  </si>
  <si>
    <t>13330</t>
  </si>
  <si>
    <t>Краска для волос Garnier Color Naturals 6.25 Шоколад /3/12/</t>
  </si>
  <si>
    <t>13302</t>
  </si>
  <si>
    <t>Краска для волос Garnier Color Naturals 6.34 Карамель /3/12/</t>
  </si>
  <si>
    <t>13395</t>
  </si>
  <si>
    <t>Краска для волос Garnier Color Naturals 7 Капучино /3/12/</t>
  </si>
  <si>
    <t>13336</t>
  </si>
  <si>
    <t>Краска для волос Garnier Color Naturals 7.1 Ольха /3/12/</t>
  </si>
  <si>
    <t>13350</t>
  </si>
  <si>
    <t>Краска для волос Garnier Color Naturals 7.132 Натуральный русый /3/12/</t>
  </si>
  <si>
    <t>13397</t>
  </si>
  <si>
    <t>Краска для волос Garnier Color Naturals 7.4 Золотой медный /3/12/</t>
  </si>
  <si>
    <t>13308</t>
  </si>
  <si>
    <t>Краска для волос Garnier Color Naturals 7.40 Пленительный медный /3/12/</t>
  </si>
  <si>
    <t>13303</t>
  </si>
  <si>
    <t>Краска для волос Garnier Color Naturals 8 Пшеница /3/12/</t>
  </si>
  <si>
    <t>13333</t>
  </si>
  <si>
    <t>Краска для волос Garnier Color Naturals 8.1 Песчаный берег /3/12/</t>
  </si>
  <si>
    <t>13344</t>
  </si>
  <si>
    <t>Краска для волос Garnier Color Naturals 8.132 Натуральный светло-русый /3/12/</t>
  </si>
  <si>
    <t>13309</t>
  </si>
  <si>
    <t>Краска для волос Garnier Color Naturals 9.1 Солнечный пляж /3/12/</t>
  </si>
  <si>
    <t>13300</t>
  </si>
  <si>
    <t>Краска для волос Garnier Color Naturals 9.132 Натуральный блонд /3/12/</t>
  </si>
  <si>
    <t>134 Жидкое мыло 1 л и больше</t>
  </si>
  <si>
    <t>11785</t>
  </si>
  <si>
    <t>Жидкое кр-мыло Garden Dreams 1000 мл. Алоэ-вера дозатор /3/12/</t>
  </si>
  <si>
    <t>11754</t>
  </si>
  <si>
    <t>Жидкое кр-мыло Garden Dreams 1000 мл. Клубника и Банан дозатор /12/</t>
  </si>
  <si>
    <t>11758</t>
  </si>
  <si>
    <t>Жидкое кр-мыло Garden Dreams 1000 мл. Рижская сирень дозатор /12/</t>
  </si>
  <si>
    <t>11705</t>
  </si>
  <si>
    <t>Жидкое кр-мыло Garden Dreams 1000 мл. Чайная роза дозатор /12/</t>
  </si>
  <si>
    <t>11701</t>
  </si>
  <si>
    <t>Жидкое кр-мыло Grass Milana 1 л Fruit bubbles /6/</t>
  </si>
  <si>
    <t>11731</t>
  </si>
  <si>
    <t>Жидкое кр-мыло Grass Milana 1 л Алоэ вера /6/</t>
  </si>
  <si>
    <t>11724</t>
  </si>
  <si>
    <t>Жидкое кр-мыло Grass Milana 1 л Жемчужное арт.43221 952-113 /6/</t>
  </si>
  <si>
    <t>11735</t>
  </si>
  <si>
    <t>Жидкое кр-мыло Grass Milana 1 л Манго и лайм /6/</t>
  </si>
  <si>
    <t>11788</t>
  </si>
  <si>
    <t>Жидкое кр-мыло Grass Milana 1 л Спелая черешня арт.43661 952-112 /6/</t>
  </si>
  <si>
    <t>11750</t>
  </si>
  <si>
    <t>Жидкое кр-мыло Grass Milana 1 л Черника в йогурте /6/</t>
  </si>
  <si>
    <t>11784</t>
  </si>
  <si>
    <t>Жидкое кр-мыло Rain 1 л Антибактериальное с дозатором /12/</t>
  </si>
  <si>
    <t>11786</t>
  </si>
  <si>
    <t>Жидкое кр-мыло Rain 5 л Антибактериальное /2/</t>
  </si>
  <si>
    <t>13428</t>
  </si>
  <si>
    <t>Жидкое кр-мыло Rain 5 л Антибактериальное Клубника-Йогурт ПЭТ /2/</t>
  </si>
  <si>
    <t>11772</t>
  </si>
  <si>
    <t>Жидкое кр-мыло Rain 5 л Антибактериальное Черника-Василёк ПЭТ /2/</t>
  </si>
  <si>
    <t>11746</t>
  </si>
  <si>
    <t>Жидкое кр-мыло Rain 5 л Кокос-Ваниль ПЭТ /2/</t>
  </si>
  <si>
    <t>11709</t>
  </si>
  <si>
    <t>Жидкое кр-мыло Душистый Колокольчик 1000 мл.NEW Клубника и Банан дозатор/12/</t>
  </si>
  <si>
    <t>11713</t>
  </si>
  <si>
    <t>Жидкое кр-мыло Душистый Колокольчик 1000 мл.NEW Мароканская Роза/12/</t>
  </si>
  <si>
    <t>11715</t>
  </si>
  <si>
    <t>Жидкое кр-мыло Душистый Колокольчик 1000 мл.NEW Масло Моной /12/</t>
  </si>
  <si>
    <t>11722</t>
  </si>
  <si>
    <t>Жидкое кр-мыло Душистый Колокольчик 1000 мл.NEW Рижская сирень/12/</t>
  </si>
  <si>
    <t>11726</t>
  </si>
  <si>
    <t>Жидкое кр-мыло Душистый Колокольчик 1000 мл.NEW Яблоко и Корица/12/</t>
  </si>
  <si>
    <t>11729</t>
  </si>
  <si>
    <t>Жидкое кр-мыло Душистый Колокольчик 1000 мл.NEW Ягодный мусс/12/</t>
  </si>
  <si>
    <t>11707</t>
  </si>
  <si>
    <t>Жидкое кр-мыло Душистый Колокольчик 1000 мл.Антибактериальное дозатор/12/</t>
  </si>
  <si>
    <t>13421</t>
  </si>
  <si>
    <t>Жидкое кр-мыло Душистый Колокольчик 5000 мл. Антибак нежное /3/</t>
  </si>
  <si>
    <t>13423</t>
  </si>
  <si>
    <t>Жидкое кр-мыло Душистый Колокольчик 5000 мл. Белый лотос ПЭТ /3/</t>
  </si>
  <si>
    <t>13411</t>
  </si>
  <si>
    <t>Жидкое мыло Garden Dreams 5000 мл. Алоэ-вера с глицерином канистра /3/</t>
  </si>
  <si>
    <t>13406</t>
  </si>
  <si>
    <t>Жидкое мыло Garden Dreams 5000 мл. Алоэ-вера с глицерином ПЭТ /3/</t>
  </si>
  <si>
    <t>13407</t>
  </si>
  <si>
    <t>Жидкое мыло Garden Dreams 5000 мл. Жемчужное ПЭТ /3/</t>
  </si>
  <si>
    <t>13427</t>
  </si>
  <si>
    <t>Жидкое мыло Rain 1 л Сочное яблоко дозатор /12/</t>
  </si>
  <si>
    <t>11776</t>
  </si>
  <si>
    <t>Жидкое мыло Rain 5 л Антибактериальное Земляника ПЭТ /2/</t>
  </si>
  <si>
    <t>13425</t>
  </si>
  <si>
    <t>Жидкое мыло Rain 5 л Антибактериальное Лайм-Мята ПЭТ /2/</t>
  </si>
  <si>
    <t>13426</t>
  </si>
  <si>
    <t>Жидкое мыло Rain 5 л Грейпфрут-Малина ПЭТ /2/</t>
  </si>
  <si>
    <t>13410</t>
  </si>
  <si>
    <t>Жидкое мыло Rain 5 л Лимон ПЭТ /2/</t>
  </si>
  <si>
    <t>13424</t>
  </si>
  <si>
    <t>Жидкое мыло Rain 5 л Лимон-Ананас ПЭТ /2/</t>
  </si>
  <si>
    <t>11761</t>
  </si>
  <si>
    <t>Жидкое мыло Бионика 1000 мл с анибакт эфф.крапива /9/16/</t>
  </si>
  <si>
    <t>11766</t>
  </si>
  <si>
    <t>Жидкое мыло Бионика 1000 мл с анибакт эфф.облепиха /9/</t>
  </si>
  <si>
    <t>13412</t>
  </si>
  <si>
    <t>Жидкое мыло Душистый Колокольчик 5000 мл. Антибактериальное канистра /4/</t>
  </si>
  <si>
    <t>13417</t>
  </si>
  <si>
    <t>Жидкое мыло Душистый Колокольчик 5000 мл. Антибактериальное с глицерином ПЭТ /3/</t>
  </si>
  <si>
    <t>13416</t>
  </si>
  <si>
    <t>Жидкое мыло Душистый Колокольчик 5000 мл. Персик с глицерином канистра /4/</t>
  </si>
  <si>
    <t>13419</t>
  </si>
  <si>
    <t>Жидкое мыло Душистый Колокольчик 5000 мл. Персик с глицерином ПЭТ /3/</t>
  </si>
  <si>
    <t>13420</t>
  </si>
  <si>
    <t>Жидкое мыло-пена Душистый Колокольчик 5000 мл. ПЭТ /3/</t>
  </si>
  <si>
    <t>13429</t>
  </si>
  <si>
    <t>Средство для рук Rain 1 л Антибактериальное 60% /6/</t>
  </si>
  <si>
    <t>135-148 Бытовая химия для дома</t>
  </si>
  <si>
    <t>135 Средства для мытья посуды</t>
  </si>
  <si>
    <t>13516</t>
  </si>
  <si>
    <t>Моющее средство для посуды 2Quick 750 мл Лимон /12/</t>
  </si>
  <si>
    <t>13549</t>
  </si>
  <si>
    <t>Моющее средство для посуды 2Quick 750 мл Яблоко /12/</t>
  </si>
  <si>
    <t>13515</t>
  </si>
  <si>
    <t>Моющее средство для посуды AOS 450 мл Бальзам /20/</t>
  </si>
  <si>
    <t>13514</t>
  </si>
  <si>
    <t>Моющее средство для посуды AOS 450 мл Бальзам Алоэ вера /10/</t>
  </si>
  <si>
    <t>13563</t>
  </si>
  <si>
    <t>Моющее средство для посуды AOS 450 мл Бальзам Ромашка и Витамин Е /10/</t>
  </si>
  <si>
    <t>13528</t>
  </si>
  <si>
    <t>Моющее средство для посуды AOS 450 мл Глицерин /10/</t>
  </si>
  <si>
    <t>13502</t>
  </si>
  <si>
    <t>Моющее средство для посуды AOS 450 мл Лимон /10/</t>
  </si>
  <si>
    <t>13611</t>
  </si>
  <si>
    <t>Моющее средство для посуды AOS 900 мл Бальзам /12/</t>
  </si>
  <si>
    <t>13519</t>
  </si>
  <si>
    <t>Моющее средство для посуды AOS 900 мл Бальзам Алоэ вера /12/</t>
  </si>
  <si>
    <t>13651</t>
  </si>
  <si>
    <t>Моющее средство для посуды AOS 900 мл Бальзам Ромашка и Витамин Е /12/</t>
  </si>
  <si>
    <t>13568</t>
  </si>
  <si>
    <t>Моющее средство для посуды AOS 900 мл Лимон /12/</t>
  </si>
  <si>
    <t>13512</t>
  </si>
  <si>
    <t>Моющее средство для посуды AOS 900 мл Яблоко/мята /12/</t>
  </si>
  <si>
    <t>13524</t>
  </si>
  <si>
    <t>Моющее средство для посуды ATMIX 5 л Lux Алоэ-вера</t>
  </si>
  <si>
    <t>13559</t>
  </si>
  <si>
    <t>Моющее средство для посуды ATMIX 5 л Профессиональное</t>
  </si>
  <si>
    <t>13558</t>
  </si>
  <si>
    <t>Моющее средство для посуды ATMIX 5 л Супер концентрат Лимон</t>
  </si>
  <si>
    <t>13585</t>
  </si>
  <si>
    <t>Моющее средство для посуды Chirton 575 мл Алоэ вера /12/</t>
  </si>
  <si>
    <t>13598</t>
  </si>
  <si>
    <t>Моющее средство для посуды Chirton 575 мл Лимон /12/</t>
  </si>
  <si>
    <t>13597</t>
  </si>
  <si>
    <t>Моющее средство для посуды Fairy 450 мл Зеленое яблоко /21/</t>
  </si>
  <si>
    <t>13591</t>
  </si>
  <si>
    <t>Моющее средство для посуды Fairy 450 мл Нежные руки Розовый жасмин /21/</t>
  </si>
  <si>
    <t>13546</t>
  </si>
  <si>
    <t>Моющее средство для посуды Fairy 450 мл Нежные руки Ромашка и витамин Е /21/</t>
  </si>
  <si>
    <t>13551</t>
  </si>
  <si>
    <t>Моющее средство для посуды Fairy 450 мл Нежные руки Чайное дерево и мята /21/</t>
  </si>
  <si>
    <t>13553</t>
  </si>
  <si>
    <t>Моющее средство для посуды Fairy 450 мл Сочный лимон /21/</t>
  </si>
  <si>
    <t>13573</t>
  </si>
  <si>
    <t>Моющее средство для посуды Fairy 650 мл Апельсин /20/</t>
  </si>
  <si>
    <t>13530</t>
  </si>
  <si>
    <t>Моющее средство для посуды Fairy 650 мл Гранат /20/</t>
  </si>
  <si>
    <t>13525</t>
  </si>
  <si>
    <t>Моющее средство для посуды Fairy 650 мл Нежные руки Чайное дерево и мята /20/</t>
  </si>
  <si>
    <t>13560</t>
  </si>
  <si>
    <t>Моющее средство для посуды Fairy 650 мл Яблоко /20/</t>
  </si>
  <si>
    <t>13595</t>
  </si>
  <si>
    <t>Моющее средство для посуды Fairy 900 мл Нежные руки Ромашка и витамин Е /12/</t>
  </si>
  <si>
    <t>13590</t>
  </si>
  <si>
    <t>Моющее средство для посуды Fairy 900 мл Сочный лимон /12/</t>
  </si>
  <si>
    <t>13503</t>
  </si>
  <si>
    <t>Моющее средство для посуды Garden Dreams 5 л Лимон /3/</t>
  </si>
  <si>
    <t>13582</t>
  </si>
  <si>
    <t>Моющее средство для посуды Garden Dreams 5 л Яблоко /3/</t>
  </si>
  <si>
    <t>13533</t>
  </si>
  <si>
    <t>Моющее средство для посуды Grass 5 л Velly Зеленое яблоко /4/</t>
  </si>
  <si>
    <t>13561</t>
  </si>
  <si>
    <t>Моющее средство для посуды Grass 5 л Velly Сочный лимон /4/</t>
  </si>
  <si>
    <t>13504</t>
  </si>
  <si>
    <t>Моющее средство для посуды Help 500 мл Алоэ /12/</t>
  </si>
  <si>
    <t>13566</t>
  </si>
  <si>
    <t>Моющее средство для посуды Help 500 мл Антибактериальный /12/</t>
  </si>
  <si>
    <t>13572</t>
  </si>
  <si>
    <t>Моющее средство для посуды Help 500 мл Лимон /12/</t>
  </si>
  <si>
    <t>13592</t>
  </si>
  <si>
    <t>Моющее средство для посуды Help 500 мл Яблоко /12/</t>
  </si>
  <si>
    <t>13589</t>
  </si>
  <si>
    <t>Моющее средство для посуды Pearl эффект 0,5 л Лимон /24/</t>
  </si>
  <si>
    <t>13574</t>
  </si>
  <si>
    <t>Моющее средство для посуды Pearl эффект 0,5 л Яблоко /24/</t>
  </si>
  <si>
    <t>13532</t>
  </si>
  <si>
    <t>Моющее средство для посуды Pearl эффект Лимон 1 л  /9/</t>
  </si>
  <si>
    <t>13577</t>
  </si>
  <si>
    <t>Моющее средство для посуды Rain 1 л Алоэ-Имбирь /12/</t>
  </si>
  <si>
    <t>13576</t>
  </si>
  <si>
    <t>Моющее средство для посуды Rain 5 л Алоэ-Имбирь ПЭТ /2/</t>
  </si>
  <si>
    <t>13509</t>
  </si>
  <si>
    <t>Моющее средство для посуды Rain 5 л Имбирь-Зеленый чай ПЭТ /2/</t>
  </si>
  <si>
    <t>13545</t>
  </si>
  <si>
    <t>Моющее средство для посуды Rain 5 л Папайя-Макадамия /2/</t>
  </si>
  <si>
    <t>13583</t>
  </si>
  <si>
    <t>Моющее средство для посуды Rain 5 л Слива-Сакура ПЭТ /2/</t>
  </si>
  <si>
    <t>13537</t>
  </si>
  <si>
    <t>Моющее средство для посуды Rain 500 мл Алоэ-Имбирь /20/</t>
  </si>
  <si>
    <t>13521</t>
  </si>
  <si>
    <t>Моющее средство для посуды Rain 500 мл Имбирь-Зеленый чай /15/</t>
  </si>
  <si>
    <t>13579</t>
  </si>
  <si>
    <t>Моющее средство для посуды Rain 500 мл Папайя-Макадамия /15/</t>
  </si>
  <si>
    <t>13506</t>
  </si>
  <si>
    <t>Моющее средство для посуды Rain 500 мл Слива-Сакура /15/</t>
  </si>
  <si>
    <t>13571</t>
  </si>
  <si>
    <t>Моющее средство для посуды Rain Magic 500 мл Без отдушек и красителей /15/</t>
  </si>
  <si>
    <t>13569</t>
  </si>
  <si>
    <t>Моющее средство для посуды Rain Magic 500 мл Сочный грейпфрут /15/</t>
  </si>
  <si>
    <t>13550</t>
  </si>
  <si>
    <t>Моющее средство для посуды Sarma 500 мл Актив /20/</t>
  </si>
  <si>
    <t>13556</t>
  </si>
  <si>
    <t>Моющее средство для посуды Sarma 500 мл Лимон /20/</t>
  </si>
  <si>
    <t>13557</t>
  </si>
  <si>
    <t>Моющее средство для посуды Sarma 500 мл Фреш /20/</t>
  </si>
  <si>
    <t>13588</t>
  </si>
  <si>
    <t>Моющее средство для посуды Sorti 450 мл Апельсин и мята /20/</t>
  </si>
  <si>
    <t>13565</t>
  </si>
  <si>
    <t>Моющее средство для посуды Sorti 450 мл Бальзам Алоэ вера /20/</t>
  </si>
  <si>
    <t>13587</t>
  </si>
  <si>
    <t>Моющее средство для посуды Sorti 450 мл Бальзам Витамин Е /20/</t>
  </si>
  <si>
    <t>13501</t>
  </si>
  <si>
    <t>Моющее средство для посуды Sorti 450 мл Бальзам Ромашка /20/</t>
  </si>
  <si>
    <t>13541</t>
  </si>
  <si>
    <t>Моющее средство для посуды Sorti 450 мл Глицерин /20/</t>
  </si>
  <si>
    <t>13500</t>
  </si>
  <si>
    <t>Моющее средство для посуды Sorti 450 мл Лимон /20/</t>
  </si>
  <si>
    <t>13518</t>
  </si>
  <si>
    <t>Моющее средство для посуды Sorti 900 мл Бальзам Алоэ вера /12/</t>
  </si>
  <si>
    <t>13586</t>
  </si>
  <si>
    <t>Моющее средство для посуды Sorti 900 мл Бальзам Ромашка /12/</t>
  </si>
  <si>
    <t>13520</t>
  </si>
  <si>
    <t>Моющее средство для посуды Sorti 900 мл Бальзам с витамин Е /12/</t>
  </si>
  <si>
    <t>13584</t>
  </si>
  <si>
    <t>Моющее средство для посуды Sorti 900 мл Лимон /12/</t>
  </si>
  <si>
    <t>13507</t>
  </si>
  <si>
    <t>Моющее средство для посуды Биолан 450 мл Алоэ Вера /20/</t>
  </si>
  <si>
    <t>13554</t>
  </si>
  <si>
    <t>Моющее средство для посуды Биолан 450 мл Апельсин-Лимон /20/</t>
  </si>
  <si>
    <t>13531</t>
  </si>
  <si>
    <t>Моющее средство для посуды Биолан 450 мл Бальзам Облепиха /20/</t>
  </si>
  <si>
    <t>13510</t>
  </si>
  <si>
    <t>Моющее средство для посуды Биолан 450 мл Глицерин и ромашка /20/</t>
  </si>
  <si>
    <t>13534</t>
  </si>
  <si>
    <t>Моющее средство для посуды Биолан 450 мл Лаванда и витамин Е /20/</t>
  </si>
  <si>
    <t>13575</t>
  </si>
  <si>
    <t>Моющее средство для посуды Биолан 900 мл Апельсин и лимон /12/</t>
  </si>
  <si>
    <t>13599</t>
  </si>
  <si>
    <t>Моющее средство для посуды Биолан 900 мл Бальзам Алое Вера /12/</t>
  </si>
  <si>
    <t>13581</t>
  </si>
  <si>
    <t>Моющее средство для посуды Биолан 900 мл Бальзам Облепиха /12/</t>
  </si>
  <si>
    <t>13526</t>
  </si>
  <si>
    <t>Моющее средство для посуды Биолан 900 мл Глицерин и ромашка /12/</t>
  </si>
  <si>
    <t>13544</t>
  </si>
  <si>
    <t>Моющее средство для посуды Биолан 900 мл Лаванда Витамин Е /12/</t>
  </si>
  <si>
    <t>13505</t>
  </si>
  <si>
    <t>Моющее средство для посуды Золушка 500 мл Лимон /18/</t>
  </si>
  <si>
    <t>13580</t>
  </si>
  <si>
    <t>Моющее средство для посуды Золушка 500 мл Сода Эффект /18/</t>
  </si>
  <si>
    <t>13540</t>
  </si>
  <si>
    <t>Моющее средство для посуды Золушка 500 мл Яблоко /18/</t>
  </si>
  <si>
    <t>13529</t>
  </si>
  <si>
    <t>Моющее средство для посуды и игрушек Аистенок 500 мл /12/</t>
  </si>
  <si>
    <t>13535</t>
  </si>
  <si>
    <t>Моющее средство для посуды Минута 500 мл Алоэ /12/</t>
  </si>
  <si>
    <t>13562</t>
  </si>
  <si>
    <t>Моющее средство для посуды Минута 500 мл Лимон /12/</t>
  </si>
  <si>
    <t>13570</t>
  </si>
  <si>
    <t>Моющее средство для посуды Минута 500 мл Яблоко /12/</t>
  </si>
  <si>
    <t>13543</t>
  </si>
  <si>
    <t>Моющее средство для посуды Семь звёзд 0,5 л Лимон /20/</t>
  </si>
  <si>
    <t>13548</t>
  </si>
  <si>
    <t>Моющее средство для посуды Семь звёзд 0,5 л Ромашка /20/</t>
  </si>
  <si>
    <t>13564</t>
  </si>
  <si>
    <t>Моющее средство для посуды Семь звёзд 0,5 л Яблоко /20/</t>
  </si>
  <si>
    <t>13517</t>
  </si>
  <si>
    <t>Моющее средство для посуды Семь звёзд 1 л Лимон /20/</t>
  </si>
  <si>
    <t>13594</t>
  </si>
  <si>
    <t>Моющее средство для посуды Умка 500 мл детский /16/</t>
  </si>
  <si>
    <t>13508</t>
  </si>
  <si>
    <t>Моющее средство для посуды Ушастый нянь 500 мл Алоэ вера и ромашка /20/</t>
  </si>
  <si>
    <t>13547</t>
  </si>
  <si>
    <t>Моющее средство для посуды Чайка 500 мл бальзам Морские минералы  /10/</t>
  </si>
  <si>
    <t>13539</t>
  </si>
  <si>
    <t>Моющее средство для посуды Чайка 500 мл Детский /10/</t>
  </si>
  <si>
    <t>13555</t>
  </si>
  <si>
    <t>Моющее средство для посуды Чайка 500 мл Особое /10/</t>
  </si>
  <si>
    <t>136 Средства для мытья стекол</t>
  </si>
  <si>
    <t>13663</t>
  </si>
  <si>
    <t>Средство для мытья стекол Clin 500мл курок Лимон /10/</t>
  </si>
  <si>
    <t>13664</t>
  </si>
  <si>
    <t>Средство для мытья стекол Clin 500мл курок Яблоко /10/</t>
  </si>
  <si>
    <t>13636</t>
  </si>
  <si>
    <t>Средство для мытья стекол Clleen Room 750 мл нашатырь 988-009 /16/</t>
  </si>
  <si>
    <t>13604</t>
  </si>
  <si>
    <t>Средство для мытья стекол Grass 600мл CRISPI Эко /8/</t>
  </si>
  <si>
    <t>13614</t>
  </si>
  <si>
    <t>Средство для мытья стекол Grass 600мл Голубая лагуна 988-011 /8/</t>
  </si>
  <si>
    <t>13621</t>
  </si>
  <si>
    <t>Средство для мытья стекол Grass 600мл Лесные ягоды /8/</t>
  </si>
  <si>
    <t>13605</t>
  </si>
  <si>
    <t>Средство для мытья стекол Help 500мл курок антизапотевающий эффект /12/</t>
  </si>
  <si>
    <t>13637</t>
  </si>
  <si>
    <t>Средство для мытья стекол Help 500мл курок аромат весны /12/</t>
  </si>
  <si>
    <t>13638</t>
  </si>
  <si>
    <t>Средство для мытья стекол Help 500мл курок лимон (желтый) /12/</t>
  </si>
  <si>
    <t>13639</t>
  </si>
  <si>
    <t>Средство для мытья стекол Help 500мл курок свежий озон /6/12/</t>
  </si>
  <si>
    <t>13630</t>
  </si>
  <si>
    <t>Средство для мытья стекол Help 500мл курок яблоко /6/12/</t>
  </si>
  <si>
    <t>13678</t>
  </si>
  <si>
    <t>Средство для мытья стекол Help 500мл сменный блок лимон /12/</t>
  </si>
  <si>
    <t>13682</t>
  </si>
  <si>
    <t>Средство для мытья стекол Help 500мл сменный блок свежий озон /12/</t>
  </si>
  <si>
    <t>13679</t>
  </si>
  <si>
    <t>Средство для мытья стекол Help 750мл курок Аромат весны (розовый) /12/</t>
  </si>
  <si>
    <t>13631</t>
  </si>
  <si>
    <t>Средство для мытья стекол Help 750мл курок лимон (желтый) /12/</t>
  </si>
  <si>
    <t>13640</t>
  </si>
  <si>
    <t>Средство для мытья стекол Help 750мл курок свежий озон (синий) /12/</t>
  </si>
  <si>
    <t>13646</t>
  </si>
  <si>
    <t>Средство для мытья стекол Help 750мл курок яблоко (зеленый) /12/</t>
  </si>
  <si>
    <t>13632</t>
  </si>
  <si>
    <t>Средство для мытья стекол Help 750мл сменный блок свежий озон /12/</t>
  </si>
  <si>
    <t>13647</t>
  </si>
  <si>
    <t>Средство для мытья стекол Mr.House 500мл Грейпфрут /20/</t>
  </si>
  <si>
    <t>13606</t>
  </si>
  <si>
    <t>Средство для мытья стекол Rain 500мл сменный блок /18/</t>
  </si>
  <si>
    <t>13660</t>
  </si>
  <si>
    <t>Средство для мытья стекол Rio 750мл Свежесть озона /12/</t>
  </si>
  <si>
    <t>13674</t>
  </si>
  <si>
    <t>Средство для мытья стекол Unicum 500мл курок Морской бриз /12/</t>
  </si>
  <si>
    <t>13600</t>
  </si>
  <si>
    <t>Средство для мытья стекол Золушка 500мл курок Чистые окна Лимон /12/</t>
  </si>
  <si>
    <t>13602</t>
  </si>
  <si>
    <t>Средство для мытья стекол Золушка 500мл курок Чистые окна с нашатырным спиртом /12/</t>
  </si>
  <si>
    <t>13627</t>
  </si>
  <si>
    <t>Средство для мытья стекол Золушка 500мл курок Чистые окна Яблоко /12/</t>
  </si>
  <si>
    <t>13671</t>
  </si>
  <si>
    <t>Средство для мытья стекол Золушка 500мл см.блок Чистые окна Лимон /12/</t>
  </si>
  <si>
    <t>13601</t>
  </si>
  <si>
    <t>Средство для мытья стекол Золушка 500мл см.блок Чистые окна с Нашатырным спиртом /12/</t>
  </si>
  <si>
    <t>13607</t>
  </si>
  <si>
    <t>Средство для мытья стекол Мисс Чистота 500+10% мл Весна /12/</t>
  </si>
  <si>
    <t>13617</t>
  </si>
  <si>
    <t>Средство для мытья стекол Мисс Чистота 500+10% мл Зима /12/</t>
  </si>
  <si>
    <t>13645</t>
  </si>
  <si>
    <t>Средство для мытья стекол Мисс Чистота 500+10% мл Лето /12/</t>
  </si>
  <si>
    <t>13653</t>
  </si>
  <si>
    <t>Средство для мытья стекол Мисс Чистота 500+10% мл Осень /12/</t>
  </si>
  <si>
    <t>13654</t>
  </si>
  <si>
    <t>Средство для мытья стекол Мисс Чистота 750 мл Весна /12/</t>
  </si>
  <si>
    <t>13656</t>
  </si>
  <si>
    <t>Средство для мытья стекол Мисс Чистота 750 мл Зима /12/</t>
  </si>
  <si>
    <t>13659</t>
  </si>
  <si>
    <t>Средство для мытья стекол Мисс Чистота 750 мл Лето /12/</t>
  </si>
  <si>
    <t>13673</t>
  </si>
  <si>
    <t>Средство для мытья стекол Мисс Чистота 750 мл Осень /12/</t>
  </si>
  <si>
    <t>13603</t>
  </si>
  <si>
    <t>Средство для мытья стекол Мистер Мускул 450мл курок Лимон 988-012 /12/</t>
  </si>
  <si>
    <t>13634</t>
  </si>
  <si>
    <t>Средство для мытья стекол Мистер Мускул 500мл курок После дождя (синий) /6/12/</t>
  </si>
  <si>
    <t>13657</t>
  </si>
  <si>
    <t>Средство для мытья стекол Мистер Мускул 500мл курок Утренняя роса (зеленый) /6/12/</t>
  </si>
  <si>
    <t>13613</t>
  </si>
  <si>
    <t>Средство для мытья стекол Мистер Мускул 500мл см.блок После дождя /6/12/</t>
  </si>
  <si>
    <t>13686</t>
  </si>
  <si>
    <t>Средство для мытья стекол Мистер Мускул 500мл см.блок Утренняя роса /6/12/</t>
  </si>
  <si>
    <t>137 Прочие моющие/чистящие</t>
  </si>
  <si>
    <t>13783</t>
  </si>
  <si>
    <t>Средство для акриловых поверхностей Unicum 500 мл спрей /12/</t>
  </si>
  <si>
    <t>13707</t>
  </si>
  <si>
    <t>Средство для кухни Rain 500 мл крем /21/</t>
  </si>
  <si>
    <t>13708</t>
  </si>
  <si>
    <t>Средство для кухни Rain 500 мл Чистый казан /24/</t>
  </si>
  <si>
    <t>13721</t>
  </si>
  <si>
    <t>Средство для мытья полов Chirton 1л Лимон /6/12/</t>
  </si>
  <si>
    <t>13716</t>
  </si>
  <si>
    <t>Средство для мытья полов Chirton 1л Утренняя роса /6/12/</t>
  </si>
  <si>
    <t>13765</t>
  </si>
  <si>
    <t>Средство для мытья полов Grass Arena 1 л Водяная лилия /12/</t>
  </si>
  <si>
    <t>13741</t>
  </si>
  <si>
    <t>Средство для мытья полов Grass Arena 1 л Цветущий лотос 986-015 /12/</t>
  </si>
  <si>
    <t>13756</t>
  </si>
  <si>
    <t>Средство для мытья полов Help 1 л Лимон /12/</t>
  </si>
  <si>
    <t>13758</t>
  </si>
  <si>
    <t>Средство для мытья полов Help 1 л Морской боиз /12/</t>
  </si>
  <si>
    <t>13714</t>
  </si>
  <si>
    <t>Средство для мытья полов Mister Dez 750мл Eco-Cleaning от запахов домашних животн. 986-017 /16/</t>
  </si>
  <si>
    <t>13711</t>
  </si>
  <si>
    <t>Средство для мытья полов Rain 1 л Концентрированное /18/</t>
  </si>
  <si>
    <t>13717</t>
  </si>
  <si>
    <t>Средство для мытья полов Rain 5 л Концентрированное ПЭТ /2/</t>
  </si>
  <si>
    <t>13784</t>
  </si>
  <si>
    <t>Средство для мытья полов Аистенок 950 мл там где дети /10/</t>
  </si>
  <si>
    <t>13794</t>
  </si>
  <si>
    <t>Средство для мытья полов Баги 550 мл Оранит /12/</t>
  </si>
  <si>
    <t>13705</t>
  </si>
  <si>
    <t>Средство для мытья полов Золушка 500 мл Альпийская свежесть /16/</t>
  </si>
  <si>
    <t>13701</t>
  </si>
  <si>
    <t>Средство для мытья полов Золушка 500 мл Цитрус /16/</t>
  </si>
  <si>
    <t>13700</t>
  </si>
  <si>
    <t>Средство для мытья полов Семь звёзд 0,5 л Аромат лайма /20/</t>
  </si>
  <si>
    <t>13762</t>
  </si>
  <si>
    <t>Средство для мытья полов Семь звёзд 0,5 л Аромат лепестков роз /20/</t>
  </si>
  <si>
    <t>13715</t>
  </si>
  <si>
    <t>Средство для мытья полов Семь звёзд 0,5 л Свежесть атлантики /20/</t>
  </si>
  <si>
    <t>13752</t>
  </si>
  <si>
    <t>Средство для мытья полов Семь звёзд 1 л Аромат лайма /12/</t>
  </si>
  <si>
    <t>13703</t>
  </si>
  <si>
    <t>Средство для мытья полов Семь звёзд 1 л Аромат лепестков роз /12/</t>
  </si>
  <si>
    <t>13798</t>
  </si>
  <si>
    <t>Средство для мытья полов Семь звёзд 1 л Дизенфицирующее /12/</t>
  </si>
  <si>
    <t>13718</t>
  </si>
  <si>
    <t>Средство для мытья полов Семь звёзд 1 л Дизенфицирующее для деликатных поверхностей /12/</t>
  </si>
  <si>
    <t>13723</t>
  </si>
  <si>
    <t>Средство для мытья полов Семь звёзд 1 л Свежесть атлантики /12/</t>
  </si>
  <si>
    <t>13725</t>
  </si>
  <si>
    <t>Средство для мытья полов Семь звёзд 5 л Аромат лайма канистра /3/</t>
  </si>
  <si>
    <t>13720</t>
  </si>
  <si>
    <t>Средство для мытья полов Семь звёзд 5 л Аромат лепестков роз ПЭТ /3/</t>
  </si>
  <si>
    <t>13778</t>
  </si>
  <si>
    <t>Средство для стеклокерамики Grass Azelit 600 мл курок /8/</t>
  </si>
  <si>
    <t>13719</t>
  </si>
  <si>
    <t>Средство для стеклокерамики Золушка 250 мл с силиконом /24/</t>
  </si>
  <si>
    <t>13755</t>
  </si>
  <si>
    <t>Средство для удаления жира Grass Azelit 600 мл курок /8/</t>
  </si>
  <si>
    <t>13740</t>
  </si>
  <si>
    <t>Средство для удаления жира Grass Azelit 600 мл курок Казан /8/</t>
  </si>
  <si>
    <t>13785</t>
  </si>
  <si>
    <t>Средство для удаления жира Unicum 500 мл /12/</t>
  </si>
  <si>
    <t>13780</t>
  </si>
  <si>
    <t>Средство для удаления жира Unicum Gold 380 мл /20/</t>
  </si>
  <si>
    <t>13782</t>
  </si>
  <si>
    <t>Средство для удаления жира Unicum Гризли 500 мл /12/</t>
  </si>
  <si>
    <t>13724</t>
  </si>
  <si>
    <t>Средство для удаления жира Vash Gold 500 мл /12/</t>
  </si>
  <si>
    <t>13710</t>
  </si>
  <si>
    <t>Средство для удаления жира и нагара Rain 500 мл Антижир /15/</t>
  </si>
  <si>
    <t>13722</t>
  </si>
  <si>
    <t>Средство для удаления жира Мисс Чистота 5 л Антижир /4/</t>
  </si>
  <si>
    <t>13727</t>
  </si>
  <si>
    <t>Средство для удаления жира Мисс Чистота 500 мл Антижир курок /12/</t>
  </si>
  <si>
    <t>13773</t>
  </si>
  <si>
    <t>Средство для удаления жира Шуманит 270 мл Эконом</t>
  </si>
  <si>
    <t>13731</t>
  </si>
  <si>
    <t>Средство для удаления жира Шуманит 400 мл</t>
  </si>
  <si>
    <t>13728</t>
  </si>
  <si>
    <t>Средство для чистки ковров шампунь Chirton 500 мл /6/12/</t>
  </si>
  <si>
    <t>13706</t>
  </si>
  <si>
    <t>Средство для чистки ковров шампунь Золушка 500 мл Антистатик /16/</t>
  </si>
  <si>
    <t>13760</t>
  </si>
  <si>
    <t>Средство для чистки ковров шампунь Селена 250 мл Ковроль Экстра /16/</t>
  </si>
  <si>
    <t>13742</t>
  </si>
  <si>
    <t>Средство для чистки ковров/обивки Vanish 450 мл ручная чистка /16/</t>
  </si>
  <si>
    <t>13730</t>
  </si>
  <si>
    <t>Средство для чистки ковров/пылесосов Vanish 450 мл жидкий /16/</t>
  </si>
  <si>
    <t>13786</t>
  </si>
  <si>
    <t>Средство для чистки плит Blik 500 мл Антижир триггер 1304 /12/</t>
  </si>
  <si>
    <t>13767</t>
  </si>
  <si>
    <t>Средство для чистки плит Sanita 500 г Антижир /21/</t>
  </si>
  <si>
    <t>13776</t>
  </si>
  <si>
    <t>Средство для чистки плит Sanitol 250 мл Экстра /8/16/</t>
  </si>
  <si>
    <t>13771</t>
  </si>
  <si>
    <t>Средство для чистки плит Sanitol 500 мл курок /12/</t>
  </si>
  <si>
    <t>13709</t>
  </si>
  <si>
    <t>Средство для чистки плит Stop-пригар 500 мл Антижир 6514 /15/</t>
  </si>
  <si>
    <t>13769</t>
  </si>
  <si>
    <t>Средство для чистки фаянса 500 мл кислотный 2097 /15/</t>
  </si>
  <si>
    <t>13712</t>
  </si>
  <si>
    <t>Средство чистящее Sanita 500 г антижир мультисила /21/</t>
  </si>
  <si>
    <t>13774</t>
  </si>
  <si>
    <t>Средство чистящее Sanita 500 г антиржавчина /21/</t>
  </si>
  <si>
    <t>13735</t>
  </si>
  <si>
    <t>Средство чистящее Sanita 500 мл спрей 1 минута /15/</t>
  </si>
  <si>
    <t>13775</t>
  </si>
  <si>
    <t>Средство чистящее Sanita 600 г универсал. Зеленый чай и Лайм /12/</t>
  </si>
  <si>
    <t>13779</t>
  </si>
  <si>
    <t>Средство чистящее Sanita 600 г универсал. Сицилийский лимон /12/</t>
  </si>
  <si>
    <t>13764</t>
  </si>
  <si>
    <t>Средство чистящее Sanitol 250 мл Блеск стали /8/16/</t>
  </si>
  <si>
    <t>13743</t>
  </si>
  <si>
    <t>Средство чистящее Выгодная уборка 500 мл для кухни Антижир 2602 /20/</t>
  </si>
  <si>
    <t>13704</t>
  </si>
  <si>
    <t>Средство чистящее Сан-Мастер 1л Антиржавчина гель /16/</t>
  </si>
  <si>
    <t>13788</t>
  </si>
  <si>
    <t>Средство чистящее Сан-Мастер 750мл Антиржавчина гель /16/</t>
  </si>
  <si>
    <t>138 Отбеливатели/Пятновыводители</t>
  </si>
  <si>
    <t>13805</t>
  </si>
  <si>
    <t>Отбеливатель ACE 1 л жидкий белый /18/</t>
  </si>
  <si>
    <t>13813</t>
  </si>
  <si>
    <t>Отбеливатель Chirton 75 гр супер /48/</t>
  </si>
  <si>
    <t>13822</t>
  </si>
  <si>
    <t>Отбеливатель Антипятнин 120 гр с активным кислородом для белых вещей /20/</t>
  </si>
  <si>
    <t>13835</t>
  </si>
  <si>
    <t>Отбеливатель Белизна 1 л Rain гель смен. блок /12/</t>
  </si>
  <si>
    <t>13811</t>
  </si>
  <si>
    <t>Отбеливатель Белизна 1 л Rain крышка /15/</t>
  </si>
  <si>
    <t>13834</t>
  </si>
  <si>
    <t>Отбеливатель Белизна 1 л Rain ПНД /12/</t>
  </si>
  <si>
    <t>13817</t>
  </si>
  <si>
    <t>Отбеливатель Белизна 1 л гель /12/</t>
  </si>
  <si>
    <t>13827</t>
  </si>
  <si>
    <t>Отбеливатель Белизна 1 л гель Аквалон /8/</t>
  </si>
  <si>
    <t>13820</t>
  </si>
  <si>
    <t>Отбеливатель Белизна 1 л Саянск /12/</t>
  </si>
  <si>
    <t>13837</t>
  </si>
  <si>
    <t>Отбеливатель Белизна 1,1 л /12/</t>
  </si>
  <si>
    <t>13882</t>
  </si>
  <si>
    <t>Отбеливатель Белизна 100 гр С-28-1 /50/</t>
  </si>
  <si>
    <t>13879</t>
  </si>
  <si>
    <t>Отбеливатель Белизна 100 гр ЧС-177 /24/</t>
  </si>
  <si>
    <t>13821</t>
  </si>
  <si>
    <t>Отбеливатель Белизна ATMIX 0,9 л гель Нежная /23/</t>
  </si>
  <si>
    <t>13895</t>
  </si>
  <si>
    <t>Отбеливатель Белизна Лидер чистоты 1100 гр концентрат 3 в 1 /12/</t>
  </si>
  <si>
    <t>13838</t>
  </si>
  <si>
    <t>Отбеливатель Белизна Лидер чистоты 5 л концентрат 3 в 1 канистра /4/</t>
  </si>
  <si>
    <t>13892</t>
  </si>
  <si>
    <t>Отбеливатель Белизна Сан-Мастер 0,75 л /16/</t>
  </si>
  <si>
    <t>13893</t>
  </si>
  <si>
    <t>Отбеливатель Белизна Сан-Мастер 1 л /16/</t>
  </si>
  <si>
    <t>13890</t>
  </si>
  <si>
    <t>Отбеливатель Белизна Семь звёзд 0,5 л концентрат /20/</t>
  </si>
  <si>
    <t>13891</t>
  </si>
  <si>
    <t>Отбеливатель Белизна Семь звёзд 1 л концентрат /12/</t>
  </si>
  <si>
    <t>13889</t>
  </si>
  <si>
    <t>Отбеливатель Белизна Семь звёзд 1 л Супер с ароматом свежести /15/</t>
  </si>
  <si>
    <t>13867</t>
  </si>
  <si>
    <t>Отбеливатель Белизна Чистин 950 гр гель Ступино /11/</t>
  </si>
  <si>
    <t>13866</t>
  </si>
  <si>
    <t>Отбеливатель БОС плюс 1,2 л жидкий без хлора Аист /10/</t>
  </si>
  <si>
    <t>13849</t>
  </si>
  <si>
    <t>Отбеливатель БОС плюс 250 гр MAX п/п /65/</t>
  </si>
  <si>
    <t>13861</t>
  </si>
  <si>
    <t>Отбеливатель БОС плюс макс 300 гр порош б/хлора карт/п /48/</t>
  </si>
  <si>
    <t>13839</t>
  </si>
  <si>
    <t>Отбеливатель БОС плюс макс 600 гр порошок /30/</t>
  </si>
  <si>
    <t>13809</t>
  </si>
  <si>
    <t>Отбеливатель Персоль 100 гр Rain Кислородный /30/</t>
  </si>
  <si>
    <t>13883</t>
  </si>
  <si>
    <t>Отбеливатель Персоль 200 гр БМ Завхоз /60/</t>
  </si>
  <si>
    <t>13887</t>
  </si>
  <si>
    <t>Отбеливатель Персоль 200 гр Дзержинск Эконом /40/</t>
  </si>
  <si>
    <t>13810</t>
  </si>
  <si>
    <t>Отбеливатель Персоль 300 гр Rain Кислородный /50/</t>
  </si>
  <si>
    <t>13896</t>
  </si>
  <si>
    <t>Отбеливатель Семь звёзд 1 л гель /3/12/</t>
  </si>
  <si>
    <t>13816</t>
  </si>
  <si>
    <t>Отбеливатель ТАМ-ТАМ 350 гр для детского белья /30/</t>
  </si>
  <si>
    <t>13881</t>
  </si>
  <si>
    <t>Отбеливатель Ушастый нянь 500 гр для детского белья /11/</t>
  </si>
  <si>
    <t>13894</t>
  </si>
  <si>
    <t>Пятновыводитель Grass G-OXI 500 гр для цветного белья /8/</t>
  </si>
  <si>
    <t>13833</t>
  </si>
  <si>
    <t>Пятновыводитель Rain 650 гр д/белого Кислородный /6/</t>
  </si>
  <si>
    <t>13832</t>
  </si>
  <si>
    <t>Пятновыводитель Rain 650 гр д/цветного и белого Кислородный /6/</t>
  </si>
  <si>
    <t>13831</t>
  </si>
  <si>
    <t>Пятновыводитель Suprim 500 гр /18/</t>
  </si>
  <si>
    <t>13818</t>
  </si>
  <si>
    <t>Пятновыводитель Vanish 1 л жидкий для белого /12/</t>
  </si>
  <si>
    <t>13808</t>
  </si>
  <si>
    <t>Пятновыводитель Vanish 1 л жидкий для цветного /12/</t>
  </si>
  <si>
    <t>13806</t>
  </si>
  <si>
    <t>Пятновыводитель Vanish 450 мл жидкий д/белого /21/</t>
  </si>
  <si>
    <t>13812</t>
  </si>
  <si>
    <t>Пятновыводитель Vanish 450 мл жидкий д/цветного /21/</t>
  </si>
  <si>
    <t>13825</t>
  </si>
  <si>
    <t>Пятновыводитель Vanish Oxi Action 500гр белый /6/</t>
  </si>
  <si>
    <t>13874</t>
  </si>
  <si>
    <t>Пятновыводитель Vanish Oxi Action 500гр цветной /6/</t>
  </si>
  <si>
    <t>13884</t>
  </si>
  <si>
    <t>Пятновыводитель Антипятин 70 гр с активным кислородом концентрат пакет /30/</t>
  </si>
  <si>
    <t>13800</t>
  </si>
  <si>
    <t>Пятновыводитель Антипятин 750 гр с активным кислородом концентрат ведро /6/</t>
  </si>
  <si>
    <t>13828</t>
  </si>
  <si>
    <t>Пятновыводитель БОС Bi-o-xi 200 гр пакет /65/</t>
  </si>
  <si>
    <t>13864</t>
  </si>
  <si>
    <t>Пятновыводитель БОС Bi-o-xi 500 гр Spray с курком /16/</t>
  </si>
  <si>
    <t>13860</t>
  </si>
  <si>
    <t>Пятновыводитель БОС Bi-o-xi 500 гр банка /12/</t>
  </si>
  <si>
    <t>13829</t>
  </si>
  <si>
    <t>Пятновыводитель БОС Bi-o-xi 500 гр коробка /30/</t>
  </si>
  <si>
    <t>13863</t>
  </si>
  <si>
    <t>Пятновыводитель БОС Bi-o-xi 60 гр Stick /24/</t>
  </si>
  <si>
    <t>13815</t>
  </si>
  <si>
    <t>Пятновыводитель ТАМ-ТАМ 350 гр для детского белья /30/</t>
  </si>
  <si>
    <t>13823</t>
  </si>
  <si>
    <t>Пятновыводитель Ушастый нянь 500 гр для детского белья /11/</t>
  </si>
  <si>
    <t>13819</t>
  </si>
  <si>
    <t>Пятновыводитель Ушастый нянь 500 мл для детского белья тригер</t>
  </si>
  <si>
    <t>13824</t>
  </si>
  <si>
    <t>Пятновыводитель Ушастый нянь 750 мл для детского белья без хлора</t>
  </si>
  <si>
    <t>13885</t>
  </si>
  <si>
    <t>Пятновыводитель-карандаш Splendor 35 гр 957-014 /20/</t>
  </si>
  <si>
    <t>13872</t>
  </si>
  <si>
    <t>Пятновыводитель-карандаш Доктор Норвин 35 гр Пятен нет /28/</t>
  </si>
  <si>
    <t>13870</t>
  </si>
  <si>
    <t>Пятновыводитель+отбеливатель Chirton 500 гр Оксиджен /4/8/</t>
  </si>
  <si>
    <t>13802</t>
  </si>
  <si>
    <t>Пятновыводитель+отбеливатель Mister Dez 300 гр с активным кислородом 957-019 /36/</t>
  </si>
  <si>
    <t>139 Кондиционеры для белья</t>
  </si>
  <si>
    <t>13938</t>
  </si>
  <si>
    <t>Кондиционер для белья Chirton 1 л Альпийский луг /12/</t>
  </si>
  <si>
    <t>13939</t>
  </si>
  <si>
    <t>Кондиционер для белья Chirton 1 л Бархатная фиалка /12/</t>
  </si>
  <si>
    <t>13925</t>
  </si>
  <si>
    <t>Кондиционер для белья Chirton 1 л Морская свежесть /12/</t>
  </si>
  <si>
    <t>13932</t>
  </si>
  <si>
    <t>Кондиционер для белья Chirton 1 л Тропический остров /12/</t>
  </si>
  <si>
    <t>13941</t>
  </si>
  <si>
    <t>Кондиционер для белья Chirton 1 л Цветочная поляна /12/</t>
  </si>
  <si>
    <t>13973</t>
  </si>
  <si>
    <t>Кондиционер для белья E 1 л Fresh синий /6/12/</t>
  </si>
  <si>
    <t>13982</t>
  </si>
  <si>
    <t>Кондиционер для белья E 1 л Восточный сон /6/12/</t>
  </si>
  <si>
    <t>13975</t>
  </si>
  <si>
    <t>Кондиционер для белья E 1 л Детский белый /6/12/</t>
  </si>
  <si>
    <t>13926</t>
  </si>
  <si>
    <t>Кондиционер для белья E 2 л Fresh /4/8/</t>
  </si>
  <si>
    <t>13986</t>
  </si>
  <si>
    <t>Кондиционер для белья E 2 л Детский белый /4/8/</t>
  </si>
  <si>
    <t>13901</t>
  </si>
  <si>
    <t>Кондиционер для белья Help 1 л Альпийская свежесть /12/</t>
  </si>
  <si>
    <t>13902</t>
  </si>
  <si>
    <t>Кондиционер для белья Help 1 л Апельсин и гардения /12/</t>
  </si>
  <si>
    <t>13904</t>
  </si>
  <si>
    <t>Кондиционер для белья Help 1 л Морозное утро /12/</t>
  </si>
  <si>
    <t>13907</t>
  </si>
  <si>
    <t>Кондиционер для белья Help 1 л Подснежник и клюква /12/</t>
  </si>
  <si>
    <t>13977</t>
  </si>
  <si>
    <t>Кондиционер для белья Help 750 мл Альпийская свежесть /12/</t>
  </si>
  <si>
    <t>13924</t>
  </si>
  <si>
    <t>Кондиционер для белья Help 750 мл Детский /12/</t>
  </si>
  <si>
    <t>13927</t>
  </si>
  <si>
    <t>Кондиционер для белья Help 750 мл Золотая осень /12/</t>
  </si>
  <si>
    <t>13983</t>
  </si>
  <si>
    <t>Кондиционер для белья Help 750 мл Карибы /12/</t>
  </si>
  <si>
    <t>13978</t>
  </si>
  <si>
    <t>Кондиционер для белья Help 750 мл Морозное утро /12/</t>
  </si>
  <si>
    <t>13935</t>
  </si>
  <si>
    <t>Кондиционер для белья Help 750 мл Цветочная поляна /12/</t>
  </si>
  <si>
    <t>13984</t>
  </si>
  <si>
    <t>Кондиционер для белья Help 750 мл Ямайка /12/</t>
  </si>
  <si>
    <t>13905</t>
  </si>
  <si>
    <t>Кондиционер для белья NAN 800 мл Королевская лилия /8/</t>
  </si>
  <si>
    <t>13906</t>
  </si>
  <si>
    <t>Кондиционер для белья NAN 800 мл Подснежник /8/</t>
  </si>
  <si>
    <t>13908</t>
  </si>
  <si>
    <t>Кондиционер для белья NAN 800 мл Японская сакура /8/</t>
  </si>
  <si>
    <t>13917</t>
  </si>
  <si>
    <t>Кондиционер для белья Rain 1 л Parfum /12/</t>
  </si>
  <si>
    <t>13914</t>
  </si>
  <si>
    <t>Кондиционер для белья Rain 1 л Альпийская свежесть /12/</t>
  </si>
  <si>
    <t>13916</t>
  </si>
  <si>
    <t>Кондиционер для белья Rain 1 л Детский /12/</t>
  </si>
  <si>
    <t>13913</t>
  </si>
  <si>
    <t>Кондиционер для белья Rain 1 л Цветочный сад /12/</t>
  </si>
  <si>
    <t>13923</t>
  </si>
  <si>
    <t>Кондиционер для белья Rain 2 л Детский /8/</t>
  </si>
  <si>
    <t>13922</t>
  </si>
  <si>
    <t>Кондиционер для белья Rain 2 л Цветочный сад /8/</t>
  </si>
  <si>
    <t>13911</t>
  </si>
  <si>
    <t>Кондиционер для белья Sunday 1 л Бархат пиона /6/</t>
  </si>
  <si>
    <t>13909</t>
  </si>
  <si>
    <t>Кондиционер для белья Sunday 1 л Нежность ириса /6/</t>
  </si>
  <si>
    <t>13910</t>
  </si>
  <si>
    <t>Кондиционер для белья Sunday 1 л Свежесть ландыша /6/</t>
  </si>
  <si>
    <t>13918</t>
  </si>
  <si>
    <t>Кондиционер для белья Vernel 870 мл Арома дивная Магнолия /4/12/</t>
  </si>
  <si>
    <t>13996</t>
  </si>
  <si>
    <t>Кондиционер для белья Vernel 870 мл Арома Загадочный Лотос /4/12/</t>
  </si>
  <si>
    <t>13964</t>
  </si>
  <si>
    <t>Кондиционер для белья Vernel 870 мл Арома Пион и Белый чай /4/12/</t>
  </si>
  <si>
    <t>13915</t>
  </si>
  <si>
    <t>Кондиционер для белья Vernel 870 мл Арома Чувственная Роза /4/12/</t>
  </si>
  <si>
    <t>13951</t>
  </si>
  <si>
    <t>Кондиционер для белья Vernel 910 мл Детский /4/12/</t>
  </si>
  <si>
    <t>13952</t>
  </si>
  <si>
    <t>Кондиционер для белья Vernel 910 мл Свежесть летнего утра /4/12/</t>
  </si>
  <si>
    <t>13919</t>
  </si>
  <si>
    <t>Кондиционер для белья Vernel 910 мл Свежий бриз (голубой) /4/12/</t>
  </si>
  <si>
    <t>13912</t>
  </si>
  <si>
    <t>Кондиционер для белья Аистенок 900 мл Детский /10/</t>
  </si>
  <si>
    <t>13900</t>
  </si>
  <si>
    <t>Кондиционер для белья Золушка 750 мл Детский с антист. /12/</t>
  </si>
  <si>
    <t>13992</t>
  </si>
  <si>
    <t>Кондиционер для белья Золушка 750 мл Летнее настроение /12/</t>
  </si>
  <si>
    <t>13957</t>
  </si>
  <si>
    <t>Кондиционер для белья Золушка 750 мл Луговые цветы /12/</t>
  </si>
  <si>
    <t>13903</t>
  </si>
  <si>
    <t>Кондиционер для белья Золушка 750 мл Нежность хлопка /12/</t>
  </si>
  <si>
    <t>13950</t>
  </si>
  <si>
    <t>Кондиционер для белья Золушка 750 мл Русская зима /12/</t>
  </si>
  <si>
    <t>13989</t>
  </si>
  <si>
    <t>Кондиционер для белья Золушка 750 мл Свежесть и Прохлада /12/</t>
  </si>
  <si>
    <t>13956</t>
  </si>
  <si>
    <t>Кондиционер для белья Ушастый нянь 750 мл Детский с экстрактом алоэ-вера /11/</t>
  </si>
  <si>
    <t>13955</t>
  </si>
  <si>
    <t>Кондиционер для белья Ушастый нянь 750 мл Детский сладкий сон /11/</t>
  </si>
  <si>
    <t>140 Средства для туалета</t>
  </si>
  <si>
    <t>14003</t>
  </si>
  <si>
    <t>Блок д/слив. бачка Chirton 50 гр Морской прибой /24/</t>
  </si>
  <si>
    <t>14024</t>
  </si>
  <si>
    <t>Блок д/слив. бачка Mr.House 4 шт 14895 /40/</t>
  </si>
  <si>
    <t>14098</t>
  </si>
  <si>
    <t>Блок д/слив. бачка New Galaxy 40 гр Лаванда/Морской бриз, блистер 778-101 /24/</t>
  </si>
  <si>
    <t>14083</t>
  </si>
  <si>
    <t>Блок д/слив. бачка New Galaxy 40 гр Лес, блистер 778-045 /24/48/</t>
  </si>
  <si>
    <t>14082</t>
  </si>
  <si>
    <t>Блок д/слив. бачка New Galaxy 40 гр Лимон, блистер 778-046 /24/48/</t>
  </si>
  <si>
    <t>14081</t>
  </si>
  <si>
    <t>Блок д/слив. бачка New Galaxy 40 гр Океан, блистер 778-047 /24/48/</t>
  </si>
  <si>
    <t>14013</t>
  </si>
  <si>
    <t>Блок д/слив. бачка New Galaxy 40 гр Океан/лимон 778-082 /24/</t>
  </si>
  <si>
    <t>14000</t>
  </si>
  <si>
    <t>Блок д/слив. бачка New Galaxy Полоска чистоты Лимон/Морской бриз 3 стикера 778-108 /24/</t>
  </si>
  <si>
    <t>14054</t>
  </si>
  <si>
    <t>Блок д/слив. бачка PROWAY 32 гр Цитрус 3 шт 474-018 /10/</t>
  </si>
  <si>
    <t>14008</t>
  </si>
  <si>
    <t>Блок д/слив. бачка Санокс 40 гр WC Color Fresh голубая вода, блистер /12/</t>
  </si>
  <si>
    <t>14034</t>
  </si>
  <si>
    <t>Блок д/слив. бачка Санокс 40 гр WC Color Fresh фрукт голубая вода, блистер /12/</t>
  </si>
  <si>
    <t>14001</t>
  </si>
  <si>
    <t>Блок д/слив. бачка Туалетный утенок Стикер чистоты Лайм 3 стикера /24/</t>
  </si>
  <si>
    <t>14002</t>
  </si>
  <si>
    <t>Блок д/слив. бачка Туалетный утенок Стикер чистоты Морской 3 стикера /24/</t>
  </si>
  <si>
    <t>14025</t>
  </si>
  <si>
    <t>Блок д/слив. бачка Туалетный утенок Стикер чистоты Океан 3 стикера /24/</t>
  </si>
  <si>
    <t>14030</t>
  </si>
  <si>
    <t>Блок д/слив. бачка Туалетный утенок Стикер чистоты Цитрус 3 стикера /24/</t>
  </si>
  <si>
    <t>14094</t>
  </si>
  <si>
    <t>Диски гелевые New Galaxy 44 гр шприц 3 аромата 778-091 /8/</t>
  </si>
  <si>
    <t>14029</t>
  </si>
  <si>
    <t>Средство для туалета ATMIX 750 мл WS Professional гель /18/</t>
  </si>
  <si>
    <t>14079</t>
  </si>
  <si>
    <t>Средство для туалета Bref 700 мл гель лимон и лайм /5/10/</t>
  </si>
  <si>
    <t>14004</t>
  </si>
  <si>
    <t>Средство для туалета Grass 750 мл WC-gel /12/</t>
  </si>
  <si>
    <t>14021</t>
  </si>
  <si>
    <t>Средство для туалета Rain 500 мл от ржавчины и налета /15/</t>
  </si>
  <si>
    <t>14020</t>
  </si>
  <si>
    <t>Средство для туалета Rain 750 мл Кислота /15/</t>
  </si>
  <si>
    <t>14069</t>
  </si>
  <si>
    <t>Средство для туалета Sanfor 750 мл Лимонная свежесть /15/</t>
  </si>
  <si>
    <t>14009</t>
  </si>
  <si>
    <t>Средство для туалета Sanfor 750 мл Цветущая сакура /15/</t>
  </si>
  <si>
    <t>14032</t>
  </si>
  <si>
    <t>Средство для туалета Дося 750 мл Лимон /16/</t>
  </si>
  <si>
    <t>14017</t>
  </si>
  <si>
    <t>Средство для туалета Дося 750 мл Морской /16/</t>
  </si>
  <si>
    <t>14060</t>
  </si>
  <si>
    <t>Средство для туалета Дося 750 мл Хвоя /16/</t>
  </si>
  <si>
    <t>14033</t>
  </si>
  <si>
    <t>Средство для туалета Мастер Фреш 750 мл /15/</t>
  </si>
  <si>
    <t>14049</t>
  </si>
  <si>
    <t>Средство для туалета Мастер Фреш 750 мл универсальный конц.гель Хвойная свежесть /15/</t>
  </si>
  <si>
    <t>14050</t>
  </si>
  <si>
    <t>Средство для туалета Мастер Фреш 750 мл универсальный Эко /10/</t>
  </si>
  <si>
    <t>14012</t>
  </si>
  <si>
    <t>Средство для туалета Сан-Мастер 1000 мл /15/</t>
  </si>
  <si>
    <t>14005</t>
  </si>
  <si>
    <t>Средство для туалета Сан-Мастер 750 мл /15/</t>
  </si>
  <si>
    <t>14046</t>
  </si>
  <si>
    <t>Средство для туалета Санокс 500 мл чистая ванна /15/</t>
  </si>
  <si>
    <t>14031</t>
  </si>
  <si>
    <t>Средство для туалета Санокс 750 мл от для унитаза Ультра белый /15/</t>
  </si>
  <si>
    <t>14022</t>
  </si>
  <si>
    <t>Средство для туалета Санокс 750 мл от ржавчины /15/</t>
  </si>
  <si>
    <t>14007</t>
  </si>
  <si>
    <t>Средство для туалета Санокс 750 мл от ржавчины Вишневый сад /15/</t>
  </si>
  <si>
    <t>14041</t>
  </si>
  <si>
    <t>Средство для туалета Санокс 750 мл от ржавчины гель /15/</t>
  </si>
  <si>
    <t>14036</t>
  </si>
  <si>
    <t>Средство для туалета Санокс 750 мл от ржавчины Ультра /15/</t>
  </si>
  <si>
    <t>14038</t>
  </si>
  <si>
    <t>Средство для туалета Утенок 500 мл Видимый эффект /12/</t>
  </si>
  <si>
    <t>14040</t>
  </si>
  <si>
    <t>Средство для туалета Утенок 500 мл Морской 5 в 1 /12/</t>
  </si>
  <si>
    <t>14057</t>
  </si>
  <si>
    <t>Средство для туалета Утенок 900 мл Морской 5в1 /12/</t>
  </si>
  <si>
    <t>14056</t>
  </si>
  <si>
    <t>Средство для туалета Утенок 900 мл Супер сила Видимый эффект /12/</t>
  </si>
  <si>
    <t>14090</t>
  </si>
  <si>
    <t>Средство для туалета Утенок 900 мл Цитрус 5 в 1 /12/</t>
  </si>
  <si>
    <t>14062</t>
  </si>
  <si>
    <t>Средство для туалета Харпик 700 мл Лесная свежесть /4/</t>
  </si>
  <si>
    <t>14080</t>
  </si>
  <si>
    <t>Средство для туалета Харпик 700 мл Лимонная свежесть /4/</t>
  </si>
  <si>
    <t>14092</t>
  </si>
  <si>
    <t>Средство для туалета Харпик 700 мл Оригинал /4/</t>
  </si>
  <si>
    <t>14068</t>
  </si>
  <si>
    <t>Средство для туалета Чистин Утенок 750 гр синий /14/</t>
  </si>
  <si>
    <t>14088</t>
  </si>
  <si>
    <t>Средство для туалета Чистин Утенок 750 гр Ступино 3 в1 хлорный /14/</t>
  </si>
  <si>
    <t>14015</t>
  </si>
  <si>
    <t>Средство для туалета Чистин Утенок 750 гр Ступино красн. /14/</t>
  </si>
  <si>
    <t>14091</t>
  </si>
  <si>
    <t>Средство для чистки сантехники Mr.House 750 мл универсальное /20/</t>
  </si>
  <si>
    <t>14019</t>
  </si>
  <si>
    <t>Средство для чистки сантехники Rain 750 мл Усиленный хлор 10в1 /15/</t>
  </si>
  <si>
    <t>14078</t>
  </si>
  <si>
    <t>Средство для чистки сантехники Sarma 750 мл /18/</t>
  </si>
  <si>
    <t>14023</t>
  </si>
  <si>
    <t>Средство для чистки сантехники Sarma 750 мл Антиржавчина /18/</t>
  </si>
  <si>
    <t>14070</t>
  </si>
  <si>
    <t>Средство для чистки сантехники Sarma 750 мл Лимон /18/</t>
  </si>
  <si>
    <t>14044</t>
  </si>
  <si>
    <t>Средство чистящее Sanfor 750 гр Антиржавчина /15/</t>
  </si>
  <si>
    <t>14063</t>
  </si>
  <si>
    <t>Средство чистящее Sanfor 750 гр для Акрилованых ванн Лимон /15/</t>
  </si>
  <si>
    <t>14061</t>
  </si>
  <si>
    <t>Средство чистящее Sanfor 750 гр для ванн и туалета ультра белый /15/</t>
  </si>
  <si>
    <t>14039</t>
  </si>
  <si>
    <t>Средство чистящее Sanfor 750 гр для чистки и дезинф Сакура /15/</t>
  </si>
  <si>
    <t>14072</t>
  </si>
  <si>
    <t>Средство чистящее Sanfor 750 гр универсальный 10в1 Лимонная свежесть /15/</t>
  </si>
  <si>
    <t>14073</t>
  </si>
  <si>
    <t>Средство чистящее Sanfor 750 гр универсальный 10в1 Морской бриз /15/</t>
  </si>
  <si>
    <t>14047</t>
  </si>
  <si>
    <t>Средство чистящее Sanfor 750 гр универсальный Морской бриз /15/</t>
  </si>
  <si>
    <t>141 Мыло хозяйственное</t>
  </si>
  <si>
    <t>14121</t>
  </si>
  <si>
    <t>Жидкое мыло хозяйственное 1 л антибак РК 2461 /8/</t>
  </si>
  <si>
    <t>14174</t>
  </si>
  <si>
    <t>Жидкое мыло хозяйственное 500 мл ЭКО 952-008 /20/</t>
  </si>
  <si>
    <t>14169</t>
  </si>
  <si>
    <t>Жидкое мыло хозяйственное ATMIX 1 л /15/</t>
  </si>
  <si>
    <t>14170</t>
  </si>
  <si>
    <t>Жидкое мыло хозяйственное ATMIX 5 л</t>
  </si>
  <si>
    <t>14125</t>
  </si>
  <si>
    <t>Жидкое мыло хозяйственное Grass 1 л с маслом кедра 952-114 /6/</t>
  </si>
  <si>
    <t>14149</t>
  </si>
  <si>
    <t>Жидкое мыло хозяйственное Grass 500 мл с маслом кедра /15/</t>
  </si>
  <si>
    <t>14131</t>
  </si>
  <si>
    <t>Жидкое мыло хозяйственное Rain 1 л /12/</t>
  </si>
  <si>
    <t>14172</t>
  </si>
  <si>
    <t>Жидкое мыло хозяйственное Rain 5 л ПЭТ /2/</t>
  </si>
  <si>
    <t>14132</t>
  </si>
  <si>
    <t>Жидкое мыло хозяйственное Rain 500 мл /20/</t>
  </si>
  <si>
    <t>14133</t>
  </si>
  <si>
    <t>Жидкое мыло хозяйственное Душистый Колокольчик 5 л /3/</t>
  </si>
  <si>
    <t>14107</t>
  </si>
  <si>
    <t>Мыло хозяйственное 100гр 72% ММЗ в прозр. упаковке /96/</t>
  </si>
  <si>
    <t>14117</t>
  </si>
  <si>
    <t>Мыло хозяйственное 120гр Duru Универсальное /6/48/</t>
  </si>
  <si>
    <t>14111</t>
  </si>
  <si>
    <t>Мыло хозяйственное 120гр Duru Универсальное 2 шт /42/</t>
  </si>
  <si>
    <t>14130</t>
  </si>
  <si>
    <t>Мыло хозяйственное 140гр Sarma антибактериальное /48/</t>
  </si>
  <si>
    <t>14118</t>
  </si>
  <si>
    <t>Мыло хозяйственное 140гр Sarma отбеливающее /12/48/</t>
  </si>
  <si>
    <t>14122</t>
  </si>
  <si>
    <t>Мыло хозяйственное 140гр Sarma против пятен /12/48/</t>
  </si>
  <si>
    <t>14173</t>
  </si>
  <si>
    <t>Мыло хозяйственное 140гр Солнышко Лимон /12/48/</t>
  </si>
  <si>
    <t>14176</t>
  </si>
  <si>
    <t>Мыло хозяйственное 140гр Солнышко Ромашка /12/48/</t>
  </si>
  <si>
    <t>14195</t>
  </si>
  <si>
    <t>Мыло хозяйственное 140гр Солнышко Яблоко /12/48/</t>
  </si>
  <si>
    <t>14175</t>
  </si>
  <si>
    <t>Мыло хозяйственное 150гр 70% Аист с глицерином /60/</t>
  </si>
  <si>
    <t>14108</t>
  </si>
  <si>
    <t>Мыло хозяйственное 150гр 72% ММЗ /70/</t>
  </si>
  <si>
    <t>14112</t>
  </si>
  <si>
    <t>Мыло хозяйственное 150гр 72% ММЗ в прозр. упаковке /68/</t>
  </si>
  <si>
    <t>14123</t>
  </si>
  <si>
    <t>Мыло хозяйственное 150гр 72% ММЗ универсальное /68/</t>
  </si>
  <si>
    <t>14103</t>
  </si>
  <si>
    <t>Мыло хозяйственное 150гр 72% п/п 952-068 /84/</t>
  </si>
  <si>
    <t>14157</t>
  </si>
  <si>
    <t>Мыло хозяйственное 150гр ARO /60/</t>
  </si>
  <si>
    <t>14119</t>
  </si>
  <si>
    <t>Мыло хозяйственное 180гр Ушастый нянь против пятен /12/36/</t>
  </si>
  <si>
    <t>14110</t>
  </si>
  <si>
    <t>Мыло хозяйственное 180гр Ушастый нянь с отбеливающим эффект /12/36/</t>
  </si>
  <si>
    <t>14114</t>
  </si>
  <si>
    <t>Мыло хозяйственное 180гр ЭФКО Русь б/о /48/</t>
  </si>
  <si>
    <t>14164</t>
  </si>
  <si>
    <t>Мыло хозяйственное 200гр 65% Аист Антибактериальное в обертке /48/</t>
  </si>
  <si>
    <t>14180</t>
  </si>
  <si>
    <t>Мыло хозяйственное 200гр 65% Аист Пальмовое в обертке /48/</t>
  </si>
  <si>
    <t>14105</t>
  </si>
  <si>
    <t>Мыло хозяйственное 200гр 65% ММЗ /60/</t>
  </si>
  <si>
    <t>14138</t>
  </si>
  <si>
    <t>Мыло хозяйственное 200гр 65% ЭФКО /40/</t>
  </si>
  <si>
    <t>14160</t>
  </si>
  <si>
    <t>Мыло хозяйственное 200гр 72% Авента в обертке /50/</t>
  </si>
  <si>
    <t>14161</t>
  </si>
  <si>
    <t>Мыло хозяйственное 200гр 72% Аист в обертке /48/</t>
  </si>
  <si>
    <t>14100</t>
  </si>
  <si>
    <t>Мыло хозяйственное 200гр 72% Балабаново б/о /60/</t>
  </si>
  <si>
    <t>14154</t>
  </si>
  <si>
    <t>Мыло хозяйственное 200гр 72% Калужский блеск б/о /60/</t>
  </si>
  <si>
    <t>14142</t>
  </si>
  <si>
    <t>Мыло хозяйственное 200гр 72% Калужский блеск в обертке /60/</t>
  </si>
  <si>
    <t>14128</t>
  </si>
  <si>
    <t>Мыло хозяйственное 200гр 72% ММЗ /60/</t>
  </si>
  <si>
    <t>14136</t>
  </si>
  <si>
    <t>Мыло хозяйственное 200гр 72% ММЗ белое /60/</t>
  </si>
  <si>
    <t>14156</t>
  </si>
  <si>
    <t>Мыло хозяйственное 250гр 65% Авента /40/</t>
  </si>
  <si>
    <t>14171</t>
  </si>
  <si>
    <t>Мыло хозяйственное 250гр 65% ММЗ /48/</t>
  </si>
  <si>
    <t>14165</t>
  </si>
  <si>
    <t>Мыло хозяйственное 250гр 72% Авента Дегтярное /40/</t>
  </si>
  <si>
    <t>14101</t>
  </si>
  <si>
    <t>Мыло хозяйственное 250гр 72% Балабаево б/о /48/</t>
  </si>
  <si>
    <t>14104</t>
  </si>
  <si>
    <t>Мыло хозяйственное 250гр 72% Калужский блеск б/о /48/</t>
  </si>
  <si>
    <t>14137</t>
  </si>
  <si>
    <t>Мыло хозяйственное 250гр 72% ММЗ /48/</t>
  </si>
  <si>
    <t>14198</t>
  </si>
  <si>
    <t>Мыло хозяйственное 280гр 65% Авента /40/</t>
  </si>
  <si>
    <t>14162</t>
  </si>
  <si>
    <t>Мыло хозяйственное 280гр 72% Авента /40/</t>
  </si>
  <si>
    <t>14199</t>
  </si>
  <si>
    <t>Мыло хозяйственное 280гр 72% Авента Дегтярное /40/</t>
  </si>
  <si>
    <t>14159</t>
  </si>
  <si>
    <t>Мыло хозяйственное 300гр 65% Авента /36/</t>
  </si>
  <si>
    <t>14163</t>
  </si>
  <si>
    <t>Мыло хозяйственное 300гр 72% Авента в обертке /36/</t>
  </si>
  <si>
    <t>14167</t>
  </si>
  <si>
    <t>Мыло хозяйственное 300гр 72% Авента Дегтярное /36/</t>
  </si>
  <si>
    <t>14139</t>
  </si>
  <si>
    <t>Мыло хозяйственное 300гр 72% ММЗ /32/</t>
  </si>
  <si>
    <t>14168</t>
  </si>
  <si>
    <t>Мыло хозяйственное 350гр 72% Авента Дегтярное /32/</t>
  </si>
  <si>
    <t>14144</t>
  </si>
  <si>
    <t>Мыло хозяйственное 350гр 72% ММЗ /32/</t>
  </si>
  <si>
    <t>14146</t>
  </si>
  <si>
    <t>Мыло хозяйственное 350гр 72% ММЗ порошок /22/</t>
  </si>
  <si>
    <t>14127</t>
  </si>
  <si>
    <t>Мыло хозяйственное 90гр + 50% Антипятин /32/</t>
  </si>
  <si>
    <t>14134</t>
  </si>
  <si>
    <t>Мыло хозяйственное 90гр Антипятин /32/</t>
  </si>
  <si>
    <t>14186</t>
  </si>
  <si>
    <t>Мыло хозяйственное 90гр Антипятин для белых вещей /32/</t>
  </si>
  <si>
    <t>14106</t>
  </si>
  <si>
    <t>Мыло хозяйственное 90гр Антипятин для детских вещей /32/</t>
  </si>
  <si>
    <t>14152</t>
  </si>
  <si>
    <t>Мыло хозяйственное 90гр Антипятин для экстра сложных пятен /32/</t>
  </si>
  <si>
    <t>14109</t>
  </si>
  <si>
    <t>Мыло хозяйственное 90гр Антипятин Лимон /32/</t>
  </si>
  <si>
    <t>142 Бальзамы для белья /гели/капсулы</t>
  </si>
  <si>
    <t>14215</t>
  </si>
  <si>
    <t>Гель для стирки ATMIX 2 л для темного /8/</t>
  </si>
  <si>
    <t>14214</t>
  </si>
  <si>
    <t>Гель для стирки ATMIX 2 л Универсальный /8/</t>
  </si>
  <si>
    <t>14216</t>
  </si>
  <si>
    <t>Гель для стирки Garden Dreams 1500 мл Color /6/</t>
  </si>
  <si>
    <t>14299</t>
  </si>
  <si>
    <t>Гель для стирки Garden Dreams 1500 мл универсал /6/</t>
  </si>
  <si>
    <t>14203</t>
  </si>
  <si>
    <t>Гель для стирки Rain 1 л Универсальный /12/</t>
  </si>
  <si>
    <t>14213</t>
  </si>
  <si>
    <t>Гель для стирки Rain 2 л для цветных тканей /8/</t>
  </si>
  <si>
    <t>14212</t>
  </si>
  <si>
    <t>Гель для стирки Rain 2 л Универсальный /8/</t>
  </si>
  <si>
    <t>14217</t>
  </si>
  <si>
    <t>Гель для стирки Rain 5 л Универсальный ПЭТ /2/</t>
  </si>
  <si>
    <t>14245</t>
  </si>
  <si>
    <t>Гель для стирки Spiro&amp;Jeans 1055 мл для цветн. и джинсов. тканей /10/</t>
  </si>
  <si>
    <t>14269</t>
  </si>
  <si>
    <t>Гель для стирки Ласка 1 л для темного /4/8/</t>
  </si>
  <si>
    <t>14205</t>
  </si>
  <si>
    <t>Гель для стирки Ласка 1 л для цветного /4/8/</t>
  </si>
  <si>
    <t>14247</t>
  </si>
  <si>
    <t>Гель для стирки Ласка 1 л Уход и восстановление (зол) /4/8/</t>
  </si>
  <si>
    <t>14276</t>
  </si>
  <si>
    <t>Гель для стирки Ласка 1 л Шерсть и шелк розовая /4/8/</t>
  </si>
  <si>
    <t>14204</t>
  </si>
  <si>
    <t>Гель для стирки Мастер Фреш 1,3 л Baby /6/</t>
  </si>
  <si>
    <t>14208</t>
  </si>
  <si>
    <t>Гель для стирки Мастер Фреш 1,3 л Black /6/</t>
  </si>
  <si>
    <t>14209</t>
  </si>
  <si>
    <t>Гель для стирки Мастер Фреш 1,3 л Color /6/</t>
  </si>
  <si>
    <t>14210</t>
  </si>
  <si>
    <t>Гель для стирки Мастер Фреш 1,3 л White /6/</t>
  </si>
  <si>
    <t>14211</t>
  </si>
  <si>
    <t>Гель для стирки Мастер Фреш 1,3 л Универсальный /6/</t>
  </si>
  <si>
    <t>14282</t>
  </si>
  <si>
    <t>Гель для стирки Умка 1 л для детского белья /9/</t>
  </si>
  <si>
    <t>14296</t>
  </si>
  <si>
    <t>Гель-концентрат для стирки Chirton 1940 мл для белых тканей /6/</t>
  </si>
  <si>
    <t>14297</t>
  </si>
  <si>
    <t>Гель-концентрат для стирки Chirton 1940 мл для цветных тканей /6/</t>
  </si>
  <si>
    <t>14298</t>
  </si>
  <si>
    <t>Гель-концентрат для стирки Chirton 1940 мл для черных тканей /6/</t>
  </si>
  <si>
    <t>14295</t>
  </si>
  <si>
    <t>Гель-концентрат для стирки Chirton 1940 мл Универсал /6/</t>
  </si>
  <si>
    <t>14289</t>
  </si>
  <si>
    <t>Жидкое СМС Chirton 1325 мл Детское /6/</t>
  </si>
  <si>
    <t>14293</t>
  </si>
  <si>
    <t>Жидкое СМС Chirton 1325 мл для цветных тканей /6/</t>
  </si>
  <si>
    <t>14229</t>
  </si>
  <si>
    <t>Жидкое СМС Chirton 1325 мл для черных тканей /6/</t>
  </si>
  <si>
    <t>14294</t>
  </si>
  <si>
    <t>Жидкое СМС Chirton 1325 мл Универсальное /6/</t>
  </si>
  <si>
    <t>14249</t>
  </si>
  <si>
    <t>Жидкое СМС Help 1000 г для детского белья /8/</t>
  </si>
  <si>
    <t>14271</t>
  </si>
  <si>
    <t>Жидкое СМС Help 1000 г для цветных тканей /8/</t>
  </si>
  <si>
    <t>14272</t>
  </si>
  <si>
    <t>Жидкое СМС Help 1000 г для черных тканей /8/</t>
  </si>
  <si>
    <t>14252</t>
  </si>
  <si>
    <t>Жидкое СМС Help 1000 г для шерстяных деликатных тканей /8/</t>
  </si>
  <si>
    <t>14244</t>
  </si>
  <si>
    <t>Жидкое СМС LaVer 1 л для цветного белья 958-124 /6/</t>
  </si>
  <si>
    <t>14232</t>
  </si>
  <si>
    <t>Жидкое СМС Pearl 2 л гель /4/</t>
  </si>
  <si>
    <t>14260</t>
  </si>
  <si>
    <t>Жидкое СМС Perwoll 1 л Black /12/</t>
  </si>
  <si>
    <t>14206</t>
  </si>
  <si>
    <t>Жидкое СМС Perwoll 1 л Color /12/</t>
  </si>
  <si>
    <t>14219</t>
  </si>
  <si>
    <t>Жидкое СМС Perwoll 1 л Восстановление и уход /12/</t>
  </si>
  <si>
    <t>14224</t>
  </si>
  <si>
    <t>Жидкое СМС Ушастый нянь 750 мл для детского белья /11/</t>
  </si>
  <si>
    <t>143 Универсальные чистящие средства</t>
  </si>
  <si>
    <t>14305</t>
  </si>
  <si>
    <t>Моющее средство для уборки Help 5 л Универсал Прогрессивное /2/</t>
  </si>
  <si>
    <t>14345</t>
  </si>
  <si>
    <t>Моющее средство для уборки MR PROPER 1 л Универсал Бережная уборка /6/12/</t>
  </si>
  <si>
    <t>14300</t>
  </si>
  <si>
    <t>Моющее средство для уборки MR PROPER 1 л Универсал Горный ручей и прохлада /6/12/</t>
  </si>
  <si>
    <t>14302</t>
  </si>
  <si>
    <t>Моющее средство для уборки MR PROPER 1 л Универсал Лаванда /6/12/</t>
  </si>
  <si>
    <t>14335</t>
  </si>
  <si>
    <t>Моющее средство для уборки MR PROPER 1 л Универсал Лимон /6/12/</t>
  </si>
  <si>
    <t>14320</t>
  </si>
  <si>
    <t>Моющее средство для уборки MR PROPER 1 л Универсал Океан /6/12/</t>
  </si>
  <si>
    <t>14346</t>
  </si>
  <si>
    <t>Моющее средство для уборки MR PROPER 500 мл Универсал Бережная уборка /10/20/</t>
  </si>
  <si>
    <t>14303</t>
  </si>
  <si>
    <t>Моющее средство для уборки MR PROPER 500 мл Универсал Горный ручей и прохлада /10/20/</t>
  </si>
  <si>
    <t>14304</t>
  </si>
  <si>
    <t>Моющее средство для уборки MR PROPER 500 мл Универсал Лаванда /10/20/</t>
  </si>
  <si>
    <t>14306</t>
  </si>
  <si>
    <t>Моющее средство для уборки MR PROPER 500 мл Универсал Лимон /10/20/</t>
  </si>
  <si>
    <t>14301</t>
  </si>
  <si>
    <t>Моющее средство для уборки MR PROPER 500 мл Универсал Океан /10/20/</t>
  </si>
  <si>
    <t>14325</t>
  </si>
  <si>
    <t>Моющее средство для уборки MR PROPER 750 мл Универсал Лимон /14/</t>
  </si>
  <si>
    <t>14375</t>
  </si>
  <si>
    <t>Моющее средство для уборки MR PROPER 750 мл Универсал Океан /14/</t>
  </si>
  <si>
    <t>14395</t>
  </si>
  <si>
    <t>Моющее средство для уборки Pearl 1 л Универсал Прогресс 2000 /16/</t>
  </si>
  <si>
    <t>14316</t>
  </si>
  <si>
    <t>Моющее средство для уборки Rain 1 л Универсал Прогрессивное Концентрированное /18/</t>
  </si>
  <si>
    <t>14360</t>
  </si>
  <si>
    <t>Моющее средство для уборки Выгодная уборка 1 л Универсал 2550 /6/</t>
  </si>
  <si>
    <t>14384</t>
  </si>
  <si>
    <t>Моющее средство для уборки Золушка 1 л Универсал Прогресс /12/</t>
  </si>
  <si>
    <t>14353</t>
  </si>
  <si>
    <t>Моющее средство для уборки Санэлит 500 мл Универсал кислородный /15/</t>
  </si>
  <si>
    <t>14364</t>
  </si>
  <si>
    <t>Моющее средство для уборки Семь звезд 1 л Универсал Прогрессивное /20/</t>
  </si>
  <si>
    <t>14329</t>
  </si>
  <si>
    <t>Моющее средство для уборки Семь звезд 5 л Универсал Прогрессивное /3/</t>
  </si>
  <si>
    <t>14334</t>
  </si>
  <si>
    <t>Моющее средство для уборки Семь звезд 500 мл Универсал Прогрессивное /20/</t>
  </si>
  <si>
    <t>14378</t>
  </si>
  <si>
    <t>Чистящее средство Cillit Bang 750 мл Антипятна гигиена (белый) /8/</t>
  </si>
  <si>
    <t>14359</t>
  </si>
  <si>
    <t>Чистящее средство Cillit Bang 750 мл курок Антипятна (белый) /8/</t>
  </si>
  <si>
    <t>14327</t>
  </si>
  <si>
    <t>Чистящее средство Cillit Bang 750 мл курок Мегаблеск (синий) /8/</t>
  </si>
  <si>
    <t>14388</t>
  </si>
  <si>
    <t>Чистящее средство Econel 700 мл универсальное Гранат/Розовый перец /6/</t>
  </si>
  <si>
    <t>14381</t>
  </si>
  <si>
    <t>Чистящее средство Grass Azelit 500 мл для кухни /8/</t>
  </si>
  <si>
    <t>14386</t>
  </si>
  <si>
    <t>Чистящее средство Grass Azelit 600 мл для ванной антиналет курок /8/</t>
  </si>
  <si>
    <t>14340</t>
  </si>
  <si>
    <t>Чистящее средство Grass Azelit 750 мл для ванной и туалета Сила цитрусов /12/</t>
  </si>
  <si>
    <t>14326</t>
  </si>
  <si>
    <t>Чистящее средство Grass Crispi 600 мл для ванной Эко /8/</t>
  </si>
  <si>
    <t>14394</t>
  </si>
  <si>
    <t>Чистящее средство Help 500 мл Антиплесень /12/</t>
  </si>
  <si>
    <t>14390</t>
  </si>
  <si>
    <t>Чистящее средство Help 500 мл Чистая ванна /12/</t>
  </si>
  <si>
    <t>14389</t>
  </si>
  <si>
    <t>Чистящее средство Help 500 мл Чистая кухня /12/</t>
  </si>
  <si>
    <t>14328</t>
  </si>
  <si>
    <t>Чистящее средство Help 750 мл Чистый туалет Лимон</t>
  </si>
  <si>
    <t>14330</t>
  </si>
  <si>
    <t>Чистящее средство Help 750 мл Чистый туалет Морской бриз</t>
  </si>
  <si>
    <t>14319</t>
  </si>
  <si>
    <t>Чистящее средство Rain 1 л для ванной и туалета Кислота /12/</t>
  </si>
  <si>
    <t>14323</t>
  </si>
  <si>
    <t>Чистящее средство Rain 1 л для ванной и туалета Хлор /12/</t>
  </si>
  <si>
    <t>14318</t>
  </si>
  <si>
    <t>Чистящее средство Rain 750 мл для ванной и туалета Хлор /15/</t>
  </si>
  <si>
    <t>14307</t>
  </si>
  <si>
    <t>Чистящее средство Sanitol 500 мл универсальное курок /6/12/</t>
  </si>
  <si>
    <t>14385</t>
  </si>
  <si>
    <t>Чистящее средство Unicum 500 мл для удаления плесени курок /6/12/</t>
  </si>
  <si>
    <t>14342</t>
  </si>
  <si>
    <t>Чистящее средство Мастер Фреш 500 мл Аромат лимона /20/</t>
  </si>
  <si>
    <t>14398</t>
  </si>
  <si>
    <t>Чистящее средство Мисс Чистота 500 мл для духовок и плит /12/</t>
  </si>
  <si>
    <t>14399</t>
  </si>
  <si>
    <t>Чистящее средство Мисс Чистота 500 мл для кухни курок /12/</t>
  </si>
  <si>
    <t>14397</t>
  </si>
  <si>
    <t>Чистящее средство Мисс Чистота 500 мл для стеклокерамики курок /12/</t>
  </si>
  <si>
    <t>14339</t>
  </si>
  <si>
    <t>Чистящее средство Сан-Мастер 1 л Универсал гель /16/</t>
  </si>
  <si>
    <t>14321</t>
  </si>
  <si>
    <t>Чистящее средство Сан-Мастер 750 мл Универсал гель /16/</t>
  </si>
  <si>
    <t>14370</t>
  </si>
  <si>
    <t>Чистящее средство санитарно-гигиеническое Сан-Мастер 760 мл гель  /18/</t>
  </si>
  <si>
    <t>14372</t>
  </si>
  <si>
    <t>Чистящее средство санитарно-гигиеническое Семь звёзд 1 л /12/</t>
  </si>
  <si>
    <t>14312</t>
  </si>
  <si>
    <t>Чистящее средство санитарно-гигиеническое Семь звёзд 1 л гель /20/</t>
  </si>
  <si>
    <t>14374</t>
  </si>
  <si>
    <t>Чистящее средство санитарно-гигиеническое Семь звёзд 500 мл гель /20/</t>
  </si>
  <si>
    <t>14391</t>
  </si>
  <si>
    <t>Чистящий порошок Help 400 гр Сода-эффект Лимон /12/</t>
  </si>
  <si>
    <t>14392</t>
  </si>
  <si>
    <t>Чистящий порошок Help 480 гр Сода-эффект Лимон /12/</t>
  </si>
  <si>
    <t>14311</t>
  </si>
  <si>
    <t>Чистящий порошок Rain 400 гр Гостовский Сода-эффект /15/</t>
  </si>
  <si>
    <t>14310</t>
  </si>
  <si>
    <t>Чистящий порошок Rain 400 гр Санитарный Хлор-эффект /15/</t>
  </si>
  <si>
    <t>14315</t>
  </si>
  <si>
    <t>Чистящий порошок Rain 480 гр Ослепительно белый /15/</t>
  </si>
  <si>
    <t>14308</t>
  </si>
  <si>
    <t>Чистящий порошок Sarma 400 гр Лимон /18/</t>
  </si>
  <si>
    <t>14363</t>
  </si>
  <si>
    <t>Чистящий порошок Sorti 400 гр Ультра эффект Лимон /24/</t>
  </si>
  <si>
    <t>14309</t>
  </si>
  <si>
    <t>Чистящий порошок Sorti 500 гр Ультра эффект Лимон /24/</t>
  </si>
  <si>
    <t>14317</t>
  </si>
  <si>
    <t>Чистящий порошок Биолан 400 гр Антижир /24/</t>
  </si>
  <si>
    <t>14387</t>
  </si>
  <si>
    <t>Чистящий порошок Биолан 400 гр Горная свежесть /24/</t>
  </si>
  <si>
    <t>14347</t>
  </si>
  <si>
    <t>Чистящий порошок Биолан 400 гр Лимон /24/</t>
  </si>
  <si>
    <t>14368</t>
  </si>
  <si>
    <t>Чистящий порошок Биолан 400 гр Яблоко /24/</t>
  </si>
  <si>
    <t>14338</t>
  </si>
  <si>
    <t>Чистящий порошок Выгодная уборка 400 гр Сода-эффект Лимон 979-032</t>
  </si>
  <si>
    <t>14351</t>
  </si>
  <si>
    <t>Чистящий порошок Мастер Фреш 400 гр Аромат лимона /16/</t>
  </si>
  <si>
    <t>14352</t>
  </si>
  <si>
    <t>Чистящий порошок Мастер Фреш 400 гр Аромат сирени /16/</t>
  </si>
  <si>
    <t>13842</t>
  </si>
  <si>
    <t>Чистящий порошок Пемолюкс 480 гр Антибактериальный Эвкалипт /16/</t>
  </si>
  <si>
    <t>13748</t>
  </si>
  <si>
    <t>Чистящий порошок Пемолюкс 480 гр Лимон /16/</t>
  </si>
  <si>
    <t>13745</t>
  </si>
  <si>
    <t>Чистящий порошок Пемолюкс 480 гр Морской Бриз /16/</t>
  </si>
  <si>
    <t>14361</t>
  </si>
  <si>
    <t>Чистящий порошок Пемолюкс 480 гр Нейчер /16/</t>
  </si>
  <si>
    <t>13729</t>
  </si>
  <si>
    <t>Чистящий порошок Пемолюкс 480 гр Ослепительно белый /16/</t>
  </si>
  <si>
    <t>14324</t>
  </si>
  <si>
    <t>Чистящий порошок Пемолюкс 480 гр Яблоко /16/</t>
  </si>
  <si>
    <t>14343</t>
  </si>
  <si>
    <t>Чистящий порошок Семь звёзд 480 гр Лимон /6/24/</t>
  </si>
  <si>
    <t>14344</t>
  </si>
  <si>
    <t>Чистящий порошок Семь звёзд 480 гр Хлор /6/24/</t>
  </si>
  <si>
    <t>14362</t>
  </si>
  <si>
    <t>Чистящий порошок Семь звёзд 500 гр Лимон /6/24/</t>
  </si>
  <si>
    <t>14313</t>
  </si>
  <si>
    <t>Чистящий порошок Флора мой 400 гр м/у 979-066 /24/</t>
  </si>
  <si>
    <t>14322</t>
  </si>
  <si>
    <t>Чистящий порошок Чистин 400 гр Лимонный всплеск /20/</t>
  </si>
  <si>
    <t>144 Прочая бытовая химия для дома</t>
  </si>
  <si>
    <t>13459</t>
  </si>
  <si>
    <t>Антинакипин Аист 300 гр Nast для стиральных машин /48/</t>
  </si>
  <si>
    <t>13415</t>
  </si>
  <si>
    <t>Антинакипин Выгодная уборка 100 гр 501928 /20/</t>
  </si>
  <si>
    <t>13458</t>
  </si>
  <si>
    <t>Антинакипин для стиральных машин 750 гр /12/</t>
  </si>
  <si>
    <t>13460</t>
  </si>
  <si>
    <t>Антинакипин Золушка 100 гр красный /50/</t>
  </si>
  <si>
    <t>13450</t>
  </si>
  <si>
    <t>Антинакипин Селена 100 гр Адипинка /24/</t>
  </si>
  <si>
    <t>13418</t>
  </si>
  <si>
    <t>Антинакипин Селена 100 гр Универсал /24/</t>
  </si>
  <si>
    <t>13454</t>
  </si>
  <si>
    <t>Антинакипин Семь звезд 500 мл /20/</t>
  </si>
  <si>
    <t>14408</t>
  </si>
  <si>
    <t>Антистатик Лана 200 см3 (Арнест) 966-001 /24/</t>
  </si>
  <si>
    <t>13443</t>
  </si>
  <si>
    <t>Карандаш для чистки утюга 25 гр 985-001 /20/</t>
  </si>
  <si>
    <t>13422</t>
  </si>
  <si>
    <t>Карандаш для чистки утюга Золушка 30г /8/32/</t>
  </si>
  <si>
    <t>13414</t>
  </si>
  <si>
    <t>Карандаш для чистки утюга Селена Утюжок /36/</t>
  </si>
  <si>
    <t>13403</t>
  </si>
  <si>
    <t>Краситель для одежды Джинса коробка 32 г зеленый 459-159 /10/</t>
  </si>
  <si>
    <t>13405</t>
  </si>
  <si>
    <t>Краситель для одежды Джинса коробка 32 г красный 459-160 /10/</t>
  </si>
  <si>
    <t>14404</t>
  </si>
  <si>
    <t>Краситель для одежды Джинса коробка 32 г синий 459-161 /10/</t>
  </si>
  <si>
    <t>13402</t>
  </si>
  <si>
    <t>Краситель для одежды Джинса коробка 32 г черный 459-162 /10/</t>
  </si>
  <si>
    <t>13448</t>
  </si>
  <si>
    <t>Крахмал Селена 250 мл для любых видов тканей /16/</t>
  </si>
  <si>
    <t>13441</t>
  </si>
  <si>
    <t>Крахмал-аэрозоль Cirton 300 мл</t>
  </si>
  <si>
    <t>14401</t>
  </si>
  <si>
    <t>Очиститель для стиральных машин Тирет 250 мл /6/</t>
  </si>
  <si>
    <t>13456</t>
  </si>
  <si>
    <t>Полироль для мебели Anti-dust 300 мл Антипыль-Цитрус /12/</t>
  </si>
  <si>
    <t>13446</t>
  </si>
  <si>
    <t>Полироль для мебели Chirton 300 мл Антипыль-Весенняя свежесть /6/</t>
  </si>
  <si>
    <t>13400</t>
  </si>
  <si>
    <t>Полироль для мебели Chirton 300 мл Антипыль-Классик /6/</t>
  </si>
  <si>
    <t>13445</t>
  </si>
  <si>
    <t>Полироль для мебели Chirton 300 мл Антипыль-Лимон/Море /6/</t>
  </si>
  <si>
    <t>13457</t>
  </si>
  <si>
    <t>Полироль для мебели Chirton 300 мл Антипыль-Морской /6/</t>
  </si>
  <si>
    <t>13409</t>
  </si>
  <si>
    <t>Полироль для мебели Pronto 250 мл Чистая мебель</t>
  </si>
  <si>
    <t>13413</t>
  </si>
  <si>
    <t>Синька Золушка 250 мл /24/</t>
  </si>
  <si>
    <t>13447</t>
  </si>
  <si>
    <t>Синька Селена 250 мл Экстра /16/</t>
  </si>
  <si>
    <t>14405</t>
  </si>
  <si>
    <t>Средство для посудомоечных машин Finish 250мл /6/</t>
  </si>
  <si>
    <t>13452</t>
  </si>
  <si>
    <t>Средство для смягчения воды Calgon 400 гр 3 в 1 /6/</t>
  </si>
  <si>
    <t>13455</t>
  </si>
  <si>
    <t>Средство для удаления накипи Mr.House 500мл 11710 /20/</t>
  </si>
  <si>
    <t>14406</t>
  </si>
  <si>
    <t>Таблетки для посудомоечных машин Finish Power 100шт /3/</t>
  </si>
  <si>
    <t>145-146 Порошки стиральные</t>
  </si>
  <si>
    <t>145 Порошки стиральные до 1000 гр</t>
  </si>
  <si>
    <t>14594</t>
  </si>
  <si>
    <t>Порошок СМС April авт. 400 гр Color Protection /18/</t>
  </si>
  <si>
    <t>14579</t>
  </si>
  <si>
    <t>Порошок СМС April авт. 400 гр Provence Универсал /18/</t>
  </si>
  <si>
    <t>14567</t>
  </si>
  <si>
    <t>Порошок СМС Ariiel авт. 450 гр Color&amp;Stile /22/</t>
  </si>
  <si>
    <t>14542</t>
  </si>
  <si>
    <t>Порошок СМС ATMIX 350 гр Премиум Универсальный /40/</t>
  </si>
  <si>
    <t>14539</t>
  </si>
  <si>
    <t>Порошок СМС ATMIX 350 гр Универсальный /30/</t>
  </si>
  <si>
    <t>14541</t>
  </si>
  <si>
    <t>Порошок СМС ATMIX 900 гр Премиум Универсальный /12/</t>
  </si>
  <si>
    <t>14540</t>
  </si>
  <si>
    <t>Порошок СМС ATMIX 900 гр Универсальный /12/</t>
  </si>
  <si>
    <t>14576</t>
  </si>
  <si>
    <t>Порошок СМС BiMaxl авт. 400 гр 100 пятен /24/</t>
  </si>
  <si>
    <t>14504</t>
  </si>
  <si>
    <t>Порошок СМС BiMaxl авт. 400 гр Белоснежные вершины /24/</t>
  </si>
  <si>
    <t>14538</t>
  </si>
  <si>
    <t>Порошок СМС BiMaxl авт. 400 гр Колор /24/</t>
  </si>
  <si>
    <t>14588</t>
  </si>
  <si>
    <t>Порошок СМС BiMaxl ручн. 400 гр 100 пятен /24/</t>
  </si>
  <si>
    <t>14531</t>
  </si>
  <si>
    <t>Порошок СМС Flora 350 гр универсал 958-092 /24/</t>
  </si>
  <si>
    <t>14559</t>
  </si>
  <si>
    <t>Порошок СМС LOSK авт. 450 гр Колор /24/</t>
  </si>
  <si>
    <t>13006</t>
  </si>
  <si>
    <t>Порошок СМС Persil авт. 450 гр Эксп.св.вернеля /24/</t>
  </si>
  <si>
    <t>14514</t>
  </si>
  <si>
    <t>Порошок СМС Rain авт. 350 гр Универсальный /30/</t>
  </si>
  <si>
    <t>14519</t>
  </si>
  <si>
    <t>Порошок СМС Rain авт. 450 гр Color /11/</t>
  </si>
  <si>
    <t>14527</t>
  </si>
  <si>
    <t>Порошок СМС Rain авт. 450 гр White /11/</t>
  </si>
  <si>
    <t>14522</t>
  </si>
  <si>
    <t>Порошок СМС Rain авт. 450 гр Универсальный /11/</t>
  </si>
  <si>
    <t>14520</t>
  </si>
  <si>
    <t>Порошок СМС Sarma 400 гр Горная свежесть /22/</t>
  </si>
  <si>
    <t>14521</t>
  </si>
  <si>
    <t>Порошок СМС Sarma 800 гр Горная свежесть /16/</t>
  </si>
  <si>
    <t>14529</t>
  </si>
  <si>
    <t>Порошок СМС Sorti авт. 350 гр Активный кислород + отбеливатель/24/</t>
  </si>
  <si>
    <t>14550</t>
  </si>
  <si>
    <t>Порошок СМС Sorti авт. 350 гр Сочный цвет Color /24/</t>
  </si>
  <si>
    <t>14530</t>
  </si>
  <si>
    <t>Порошок СМС Sorti авт. 350 гр Супер эконом /24/</t>
  </si>
  <si>
    <t>14569</t>
  </si>
  <si>
    <t>Порошок СМС TIDЕ авт. 450 гр Color /11/</t>
  </si>
  <si>
    <t>14518</t>
  </si>
  <si>
    <t>Порошок СМС TIDЕ авт. 450 гр Color Сибирские травы /11/</t>
  </si>
  <si>
    <t>13053</t>
  </si>
  <si>
    <t>Порошок СМС TIDЕ авт. 450 гр Альпийская свежесть /11/</t>
  </si>
  <si>
    <t>14516</t>
  </si>
  <si>
    <t>Порошок СМС Аист 300 гр Кашемир для тюля гардин и деликатных тканей /30/</t>
  </si>
  <si>
    <t>14528</t>
  </si>
  <si>
    <t>Порошок СМС Аист 400 гр White /30/</t>
  </si>
  <si>
    <t>14551</t>
  </si>
  <si>
    <t>Порошок СМС Аист 400 гр Био /30/</t>
  </si>
  <si>
    <t>14502</t>
  </si>
  <si>
    <t>Порошок СМС Аист 400 гр Колор /30/</t>
  </si>
  <si>
    <t>14536</t>
  </si>
  <si>
    <t>Порошок СМС Аистенок авт. 400 гр Детский /30/</t>
  </si>
  <si>
    <t>14503</t>
  </si>
  <si>
    <t>Порошок СМС Аистенок авт. 400 гр Колор /30/</t>
  </si>
  <si>
    <t>14561</t>
  </si>
  <si>
    <t>Порошок СМС Биолан авт. 350 гр Апельсин и лимон /24/</t>
  </si>
  <si>
    <t>14547</t>
  </si>
  <si>
    <t>Порошок СМС Биолан авт. 350 гр Белые цветы /24/</t>
  </si>
  <si>
    <t>14546</t>
  </si>
  <si>
    <t>Порошок СМС Биолан авт. 350 гр Колор /24/</t>
  </si>
  <si>
    <t>14566</t>
  </si>
  <si>
    <t>Порошок СМС Биолан авт. 350 гр Эконом эксперт /24/</t>
  </si>
  <si>
    <t>14589</t>
  </si>
  <si>
    <t>Порошок СМС Биолан ручн. 350 гр Белые цветы 958-065 /24/</t>
  </si>
  <si>
    <t>14543</t>
  </si>
  <si>
    <t>Порошок СМС Биолан ручн. 350 гр Эконом эксперт /24/</t>
  </si>
  <si>
    <t>14585</t>
  </si>
  <si>
    <t>Порошок СМС Дося авт. 400 гр Color /22/</t>
  </si>
  <si>
    <t>14596</t>
  </si>
  <si>
    <t>Порошок СМС Дося авт. 400 гр Альпийская свежесть /22/</t>
  </si>
  <si>
    <t>14568</t>
  </si>
  <si>
    <t>Порошок СМС Зифа 400 гр Эконом /24/</t>
  </si>
  <si>
    <t>14564</t>
  </si>
  <si>
    <t>Порошок СМС Зифа 550 гр /20/</t>
  </si>
  <si>
    <t>14565</t>
  </si>
  <si>
    <t>Порошок СМС Зифа авт. 550 гр /20/</t>
  </si>
  <si>
    <t>14554</t>
  </si>
  <si>
    <t>Порошок СМС Капель 400 гр Лимон /30/</t>
  </si>
  <si>
    <t>14556</t>
  </si>
  <si>
    <t>Порошок СМС Капель 400 гр Фруктовый букет /30/</t>
  </si>
  <si>
    <t>14544</t>
  </si>
  <si>
    <t>Порошок СМС Лотос 350 гр универсальный /50/</t>
  </si>
  <si>
    <t>14592</t>
  </si>
  <si>
    <t>Порошок СМС Лотос Мира 400 гр универсальный /28/</t>
  </si>
  <si>
    <t>14507</t>
  </si>
  <si>
    <t>Порошок СМС Лотос Мира 450 гр универсальный /28/</t>
  </si>
  <si>
    <t>14599</t>
  </si>
  <si>
    <t>Порошок СМС Лотос Мира авт. 400 гр для цветного белья /28/</t>
  </si>
  <si>
    <t>14570</t>
  </si>
  <si>
    <t>Порошок СМС Лотос Мира авт. 450 гр для цветного белья /28/</t>
  </si>
  <si>
    <t>14510</t>
  </si>
  <si>
    <t>Порошок СМС Лотос Мира ручн. 400 гр /28/</t>
  </si>
  <si>
    <t>14509</t>
  </si>
  <si>
    <t>Порошок СМС Лотос Мира ручн. 450 гр /28/</t>
  </si>
  <si>
    <t>14501</t>
  </si>
  <si>
    <t>Порошок СМС МИФ авт. 400 гр Морозная свежесть /11/</t>
  </si>
  <si>
    <t>14575</t>
  </si>
  <si>
    <t>Порошок СМС МИФ авт. 400 гр Свежий цвет /11/</t>
  </si>
  <si>
    <t>13154</t>
  </si>
  <si>
    <t>Порошок СМС МИФ ручн. 400 гр Морозная свежесть /11/</t>
  </si>
  <si>
    <t>14533</t>
  </si>
  <si>
    <t>Порошок СМС НК 350 гр Ворсинка для шерстяных и деликатных тканей /11/</t>
  </si>
  <si>
    <t>14595</t>
  </si>
  <si>
    <t>Порошок СМС ПЕМОС ручн. 350 гр Активная пена /22/</t>
  </si>
  <si>
    <t>14582</t>
  </si>
  <si>
    <t>Порошок СМС Умка 400 гр /24/</t>
  </si>
  <si>
    <t>13184</t>
  </si>
  <si>
    <t>Порошок СМС Ушастый нянь 400 гр для всех видов стирки /22/</t>
  </si>
  <si>
    <t>14513</t>
  </si>
  <si>
    <t>Порошок СМС Ушастый нянь 800 гр для всех видов стирки Детский /16/</t>
  </si>
  <si>
    <t>14574</t>
  </si>
  <si>
    <t>Порошок СМС Чайка авт. 400 гр Детский /18/</t>
  </si>
  <si>
    <t>14505</t>
  </si>
  <si>
    <t>Порошок СМС Чайка авт. 400 гр для цветного Северное сияние /18/</t>
  </si>
  <si>
    <t>14506</t>
  </si>
  <si>
    <t>Порошок СМС Чайка авт. 400 гр для цветного Яркий цвет и зимняя свежесть /18/</t>
  </si>
  <si>
    <t>14587</t>
  </si>
  <si>
    <t>Порошок СМС Чайка авт. 400 гр универсал 2 в 1 /18/</t>
  </si>
  <si>
    <t>14573</t>
  </si>
  <si>
    <t>Порошок СМС Чайка авт. 400 гр универсал 3 в 1 /18/</t>
  </si>
  <si>
    <t>14562</t>
  </si>
  <si>
    <t>Порошок СМС Чайка авт. 400 гр универсал Балтийское море /18/</t>
  </si>
  <si>
    <t>146 Порошки стиральные больше 1000 гр</t>
  </si>
  <si>
    <t>14609</t>
  </si>
  <si>
    <t>Порошок СМС 2Quick авт. 1,5 кг Универсальный /4/</t>
  </si>
  <si>
    <t>14606</t>
  </si>
  <si>
    <t>Порошок СМС April авт. 1,5 кг EcoSolution Универсал /4/8/</t>
  </si>
  <si>
    <t>14626</t>
  </si>
  <si>
    <t>Порошок СМС ATMIX 2 кг Премиум Универсальный /6/</t>
  </si>
  <si>
    <t>14625</t>
  </si>
  <si>
    <t>Порошок СМС ATMIX 2,2 кг Универсальный /6/</t>
  </si>
  <si>
    <t>14691</t>
  </si>
  <si>
    <t>Порошок СМС BiMaxl авт. 1,5 кг 100 пятен /6/</t>
  </si>
  <si>
    <t>14634</t>
  </si>
  <si>
    <t>Порошок СМС BiMaxl авт. 1,5 кг Белоснежные вершины /6/</t>
  </si>
  <si>
    <t>14644</t>
  </si>
  <si>
    <t>Порошок СМС BiMaxl авт. 1,5 кг Колор /6/</t>
  </si>
  <si>
    <t>14648</t>
  </si>
  <si>
    <t>Порошок СМС BiMaxl авт. 3 кг 100 пятен /4/</t>
  </si>
  <si>
    <t>14638</t>
  </si>
  <si>
    <t>Порошок СМС BiMaxl авт. 3 кг Белоснежные вершины /4/</t>
  </si>
  <si>
    <t>14655</t>
  </si>
  <si>
    <t>Порошок СМС BiMaxl авт. 3 кг Колор /4/</t>
  </si>
  <si>
    <t>14636</t>
  </si>
  <si>
    <t>Порошок СМС LOSK авт. 2,7 кг Горное озеро /4/</t>
  </si>
  <si>
    <t>14666</t>
  </si>
  <si>
    <t>Порошок СМС LOSK авт. 2,7 кг Колор /4/</t>
  </si>
  <si>
    <t>14611</t>
  </si>
  <si>
    <t>Порошок СМС Persil авт. 3 кг Эксперт Св.вернель /4/</t>
  </si>
  <si>
    <t>14629</t>
  </si>
  <si>
    <t>Порошок СМС Rain 2,4 кг Color /8/</t>
  </si>
  <si>
    <t>14618</t>
  </si>
  <si>
    <t>Порошок СМС Rain 2,4 кг Универсальный /8/</t>
  </si>
  <si>
    <t>14617</t>
  </si>
  <si>
    <t>Порошок СМС Rain 3 кг Детский универсальный /6/</t>
  </si>
  <si>
    <t>14690</t>
  </si>
  <si>
    <t>Порошок СМС Sarma 2,4 кг Горная свежесть /6/</t>
  </si>
  <si>
    <t>14622</t>
  </si>
  <si>
    <t>Порошок СМС Sorti авт. 1,5 кг Активный кислород /6/</t>
  </si>
  <si>
    <t>14685</t>
  </si>
  <si>
    <t>Порошок СМС Sorti авт. 1,5 кг Колор /6/</t>
  </si>
  <si>
    <t>14624</t>
  </si>
  <si>
    <t>Порошок СМС Sorti авт. 1,5 кг Супер эконом /6/</t>
  </si>
  <si>
    <t>14649</t>
  </si>
  <si>
    <t>Порошок СМС Sorti авт. 2,4 кг Активный кислород /4/</t>
  </si>
  <si>
    <t>14631</t>
  </si>
  <si>
    <t>Порошок СМС Sorti авт. 2,4 кг Супер эконом /4/</t>
  </si>
  <si>
    <t>14632</t>
  </si>
  <si>
    <t>Порошок СМС Sorti ручн. 1,5 кг Супер эконом /6/</t>
  </si>
  <si>
    <t>14605</t>
  </si>
  <si>
    <t>Порошок СМС Tamiz авт. 3 кг универсал 958-128 /6/</t>
  </si>
  <si>
    <t>14699</t>
  </si>
  <si>
    <t>Порошок СМС TIDЕ авт. 2,4 кг Для чувствительной и детской кожи /6/</t>
  </si>
  <si>
    <t>14621</t>
  </si>
  <si>
    <t>Порошок СМС Аистенок авт. 1,5 кг Колор /10/</t>
  </si>
  <si>
    <t>14607</t>
  </si>
  <si>
    <t>Порошок СМС Аистенок авт. 1,8 кг Колор /10/</t>
  </si>
  <si>
    <t>14627</t>
  </si>
  <si>
    <t>Порошок СМС Аистенок авт. 2,4 кг Колор /6/</t>
  </si>
  <si>
    <t>14615</t>
  </si>
  <si>
    <t>Порошок СМС Биолан авт. 1,2 кг Белые цветы /7/</t>
  </si>
  <si>
    <t>14616</t>
  </si>
  <si>
    <t>Порошок СМС Биолан авт. 1,2 кг Колор /7/</t>
  </si>
  <si>
    <t>14604</t>
  </si>
  <si>
    <t>Порошок СМС Биолан авт. 2,4 кг Белые цветы /4/</t>
  </si>
  <si>
    <t>14635</t>
  </si>
  <si>
    <t>Порошок СМС Биолан авт. 2,4 кг Колор /4/</t>
  </si>
  <si>
    <t>14643</t>
  </si>
  <si>
    <t>Порошок СМС Биолан авт. 2,4 кг Эконом эксперт /4/</t>
  </si>
  <si>
    <t>14692</t>
  </si>
  <si>
    <t>Порошок СМС Дося авт. 1,2 кг Альпийская свежесть /15/</t>
  </si>
  <si>
    <t>14623</t>
  </si>
  <si>
    <t>Порошок СМС Дося авт. 1,2 кг Колор /15/</t>
  </si>
  <si>
    <t>14628</t>
  </si>
  <si>
    <t>Порошок СМС Лотос 1 кг универсал /20/</t>
  </si>
  <si>
    <t>14658</t>
  </si>
  <si>
    <t>Порошок СМС Лотос 2,4 кг универсал 958-093 /6/</t>
  </si>
  <si>
    <t>14608</t>
  </si>
  <si>
    <t>Порошок СМС Лотос 3 кг универсал 958-126 /3/</t>
  </si>
  <si>
    <t>14642</t>
  </si>
  <si>
    <t>Порошок СМС Лотос-М 3 кг универсал /6/</t>
  </si>
  <si>
    <t>14677</t>
  </si>
  <si>
    <t>Порошок СМС МИФ авт. 1 кг Морозная свежесть /7/</t>
  </si>
  <si>
    <t>14681</t>
  </si>
  <si>
    <t>Порошок СМС МИФ авт. 1 кг Свежий цвет /7/</t>
  </si>
  <si>
    <t>14647</t>
  </si>
  <si>
    <t>Порошок СМС МИФ авт. 2 кг Морозная свежесть /8/</t>
  </si>
  <si>
    <t>14613</t>
  </si>
  <si>
    <t>Порошок СМС МИФ авт. 2 кг Свежий цвет /8/</t>
  </si>
  <si>
    <t>13182</t>
  </si>
  <si>
    <t>Порошок СМС Ушастый нянь 2,4 кг для всех видов стирки /6/</t>
  </si>
  <si>
    <t>14602</t>
  </si>
  <si>
    <t>Порошок СМС Чайка авт. 2 кг Детский /7/</t>
  </si>
  <si>
    <t>14600</t>
  </si>
  <si>
    <t>Порошок СМС Чайка авт. 2 кг для цветного Зимняя свежесть /7/</t>
  </si>
  <si>
    <t>14640</t>
  </si>
  <si>
    <t>Порошок СМС Чайка авт. 2 кг универсальный 2 в 1 с кондиционером /7/</t>
  </si>
  <si>
    <t>14641</t>
  </si>
  <si>
    <t>Порошок СМС Чайка авт. 3 кг универсальный 3 в 1 с кондиционером /5/</t>
  </si>
  <si>
    <t>14614</t>
  </si>
  <si>
    <t>Порошок СМС Чайка авт. 3 кг универсальный Балтийское море /5/</t>
  </si>
  <si>
    <t>14633</t>
  </si>
  <si>
    <t>Порошок СМС Чайка ручн. 2 кг Свежий ветер /7/</t>
  </si>
  <si>
    <t>147 Освежители воздуха</t>
  </si>
  <si>
    <t>14774</t>
  </si>
  <si>
    <t>Ароматизатор-спрей New Galaxy 400мл 4 аромата 778-088 /12/</t>
  </si>
  <si>
    <t>14730</t>
  </si>
  <si>
    <t>Диспенсер для освежителя Автоматик 778-079 /50/</t>
  </si>
  <si>
    <t>14771</t>
  </si>
  <si>
    <t>Освежитель воздуха Airwick 290 мл Альпийские луга /12/</t>
  </si>
  <si>
    <t>14706</t>
  </si>
  <si>
    <t>Освежитель воздуха Chirton 300 мл Альпийская свежесть /12/</t>
  </si>
  <si>
    <t>14721</t>
  </si>
  <si>
    <t>Освежитель воздуха Chirton 300 мл Антитабак /12/</t>
  </si>
  <si>
    <t>14705</t>
  </si>
  <si>
    <t>Освежитель воздуха Chirton 300 мл Грейпфрут и апельсин /12/</t>
  </si>
  <si>
    <t>14731</t>
  </si>
  <si>
    <t>Освежитель воздуха Chirton 300 мл Лаванда /12/</t>
  </si>
  <si>
    <t>14709</t>
  </si>
  <si>
    <t>Освежитель воздуха Chirton 300 мл Ландыш /12/</t>
  </si>
  <si>
    <t>14759</t>
  </si>
  <si>
    <t>Освежитель воздуха Chirton 300 мл Летние ягоды /12/</t>
  </si>
  <si>
    <t>14723</t>
  </si>
  <si>
    <t>Освежитель воздуха Chirton 300 мл Лимон /12/</t>
  </si>
  <si>
    <t>14707</t>
  </si>
  <si>
    <t>Освежитель воздуха Chirton 300 мл Морская свежесть /12/</t>
  </si>
  <si>
    <t>14773</t>
  </si>
  <si>
    <t>Освежитель воздуха Chirton 300 мл Нейтрализатор запахов /12/</t>
  </si>
  <si>
    <t>14703</t>
  </si>
  <si>
    <t>Освежитель воздуха Chirton 300 мл От запахов домашних животных /12/</t>
  </si>
  <si>
    <t>14710</t>
  </si>
  <si>
    <t>Освежитель воздуха Chirton 300 мл После дождя /12/</t>
  </si>
  <si>
    <t>14758</t>
  </si>
  <si>
    <t>Освежитель воздуха Chirton 300 мл Свежий бриз /12/</t>
  </si>
  <si>
    <t>14760</t>
  </si>
  <si>
    <t>Освежитель воздуха Chirton 300 мл Сосна Вереск /12/</t>
  </si>
  <si>
    <t>14717</t>
  </si>
  <si>
    <t>Освежитель воздуха Chirton 300 мл Тропический остров /12/</t>
  </si>
  <si>
    <t>14761</t>
  </si>
  <si>
    <t>Освежитель воздуха Chirton 300 мл Яблоко /12/</t>
  </si>
  <si>
    <t>14780</t>
  </si>
  <si>
    <t>Освежитель воздуха Gold Wind 300 мл After Rain (После дождя) 474-103 /12/</t>
  </si>
  <si>
    <t>14719</t>
  </si>
  <si>
    <t>Освежитель воздуха Gold Wind 300 мл Coffee /12/</t>
  </si>
  <si>
    <t>14715</t>
  </si>
  <si>
    <t>Освежитель воздуха Gold Wind 300 мл Coniferous /12/</t>
  </si>
  <si>
    <t>14701</t>
  </si>
  <si>
    <t>Освежитель воздуха Gold Wind 300 мл Exotic /12/</t>
  </si>
  <si>
    <t>14755</t>
  </si>
  <si>
    <t>Освежитель воздуха Gold Wind 300 мл Floral blues (Цветочный блюз) /12/</t>
  </si>
  <si>
    <t>14714</t>
  </si>
  <si>
    <t>Освежитель воздуха Gold Wind 300 мл Grapefruit fresh /12/</t>
  </si>
  <si>
    <t>14720</t>
  </si>
  <si>
    <t>Освежитель воздуха Gold Wind 300 мл Green grass /12/</t>
  </si>
  <si>
    <t>14704</t>
  </si>
  <si>
    <t>Освежитель воздуха Gold Wind 300 мл Антитабак /12/</t>
  </si>
  <si>
    <t>14712</t>
  </si>
  <si>
    <t>Освежитель воздуха Gold Wind 300 мл Зеленое яблоко /12/</t>
  </si>
  <si>
    <t>14728</t>
  </si>
  <si>
    <t>Освежитель воздуха Gold Wind 300 мл Зеленый коктейль /12/</t>
  </si>
  <si>
    <t>14716</t>
  </si>
  <si>
    <t>Освежитель воздуха Gold Wind 300 мл Океан /12/</t>
  </si>
  <si>
    <t>14702</t>
  </si>
  <si>
    <t>Освежитель воздуха Gold Wind 300 мл Цитрус /12/</t>
  </si>
  <si>
    <t>14749</t>
  </si>
  <si>
    <t>Освежитель воздуха New Galaxy Аквалайф 230 мл Лимон 778-057 /12/</t>
  </si>
  <si>
    <t>14750</t>
  </si>
  <si>
    <t>Освежитель воздуха New Galaxy Аквалайф 230 мл Морской 778-058 /12/</t>
  </si>
  <si>
    <t>14751</t>
  </si>
  <si>
    <t>Освежитель воздуха New Galaxy Аквалайф 230 мл После дождя 778-059 /12/</t>
  </si>
  <si>
    <t>14763</t>
  </si>
  <si>
    <t>Освежитель воздуха New Galaxy Роял 200 мл 778-084 /12/</t>
  </si>
  <si>
    <t>14739</t>
  </si>
  <si>
    <t>Освежитель воздуха New Gelaxy 470 мл Горная свежесть 778-093 /12/</t>
  </si>
  <si>
    <t>14740</t>
  </si>
  <si>
    <t>Освежитель воздуха New Gelaxy 470 мл Свежесть леса 778-093 /12/</t>
  </si>
  <si>
    <t>14738</t>
  </si>
  <si>
    <t>Освежитель воздуха New Gelaxy 470 мл Свежесть океана 778-093 /12/</t>
  </si>
  <si>
    <t>14727</t>
  </si>
  <si>
    <t>Освежитель воздуха New Gelaxy 470 мл Цветочный 778-093 /12/</t>
  </si>
  <si>
    <t>14770</t>
  </si>
  <si>
    <t>Освежитель воздуха New Gelaxy Mystic 250 мл 4 аромата 778-097 /8/48/</t>
  </si>
  <si>
    <t>14722</t>
  </si>
  <si>
    <t>Освежитель воздуха Palitra 300 мл Антитабак /12/</t>
  </si>
  <si>
    <t>14724</t>
  </si>
  <si>
    <t>Освежитель воздуха Palitra 300 мл Горный /12/</t>
  </si>
  <si>
    <t>14725</t>
  </si>
  <si>
    <t>Освежитель воздуха Palitra 300 мл Морской бриз /12/</t>
  </si>
  <si>
    <t>14726</t>
  </si>
  <si>
    <t>Освежитель воздуха Palitra 300 мл Освежающий лимон /12/</t>
  </si>
  <si>
    <t>14729</t>
  </si>
  <si>
    <t>Освежитель воздуха Palitra 300 мл После дождя /12/</t>
  </si>
  <si>
    <t>14736</t>
  </si>
  <si>
    <t>Освежитель воздуха автом.NEW GALAXY 250 мл Fresh Bubble gum 778-146 /6/</t>
  </si>
  <si>
    <t>14735</t>
  </si>
  <si>
    <t>Освежитель воздуха автом.NEW GALAXY 250 мл Fresh Ваниль и кокос 778-145 /6/</t>
  </si>
  <si>
    <t>14733</t>
  </si>
  <si>
    <t>Освежитель воздуха автом.NEW GALAXY 250 мл Home Perfume Black opium 778-144 /6/</t>
  </si>
  <si>
    <t>14732</t>
  </si>
  <si>
    <t>Освежитель воздуха автом.NEW GALAXY 250 мл Home Perfume Million 778-142 /6/</t>
  </si>
  <si>
    <t>14734</t>
  </si>
  <si>
    <t>Освежитель воздуха автом.NEW GALAXY 250 мл Home Perfume Tobacco Vanille 778-151 /6/</t>
  </si>
  <si>
    <t>14745</t>
  </si>
  <si>
    <t>Освежитель воздуха автом.NEW GALAXY 250 мл Аромат леса /6/48/</t>
  </si>
  <si>
    <t>14744</t>
  </si>
  <si>
    <t>Освежитель воздуха автом.NEW GALAXY 250 мл Ваниль 778-036 /6/48/</t>
  </si>
  <si>
    <t>14747</t>
  </si>
  <si>
    <t>Освежитель воздуха автом.NEW GALAXY 250 мл Лаванда 778-032 /6/48/</t>
  </si>
  <si>
    <t>14742</t>
  </si>
  <si>
    <t>Освежитель воздуха автом.NEW GALAXY 250 мл Океанская свежесть 778-031 /6/48/</t>
  </si>
  <si>
    <t>14711</t>
  </si>
  <si>
    <t>Освежитель воздуха автом.NEW GALAXY 250 мл Райское наслаждение 778-030 /6/</t>
  </si>
  <si>
    <t>14746</t>
  </si>
  <si>
    <t>Освежитель воздуха автом.NEW GALAXY 250 мл Свежесть белья 778-033 /6/48/</t>
  </si>
  <si>
    <t>14700</t>
  </si>
  <si>
    <t>Освежитель воздуха автом.NEW GALAXY 250 мл Цитрус 778-035 /6/</t>
  </si>
  <si>
    <t>13286</t>
  </si>
  <si>
    <t>Освежитель воздуха см.блок Мастер Фреш 250 мл д/Аэрвика Антитабак /6/</t>
  </si>
  <si>
    <t>14743</t>
  </si>
  <si>
    <t>Освежитель воздуха см.блок Мастер Фреш 250 мл д/Аэрвика Ароматный капучино /6/</t>
  </si>
  <si>
    <t>13257</t>
  </si>
  <si>
    <t>Освежитель воздуха см.блок Мастер Фреш 250 мл д/Аэрвика Имбирный пряник /6/</t>
  </si>
  <si>
    <t>14718</t>
  </si>
  <si>
    <t>Освежитель воздуха см.блок Мастер Фреш 250 мл д/Аэрвика Королевский десерт /6/</t>
  </si>
  <si>
    <t>14776</t>
  </si>
  <si>
    <t>Освежитель воздуха см.блок Мастер Фреш 250 мл д/Аэрвика Лесная Ягода /6/</t>
  </si>
  <si>
    <t>13247</t>
  </si>
  <si>
    <t>Освежитель воздуха см.блок Мастер Фреш 250 мл д/Аэрвика Цветочный рай /6/</t>
  </si>
  <si>
    <t>14748</t>
  </si>
  <si>
    <t>Освежитель воздуха см.блок Мастер Фреш 250 мл д/Аэрвика Экзотичая Роза /6/</t>
  </si>
  <si>
    <t>14737</t>
  </si>
  <si>
    <t>Поглотитель запаха и влаги для холодильника 14897 /30/</t>
  </si>
  <si>
    <t>148 Чистящие средства Cif / Domestos/Сomet</t>
  </si>
  <si>
    <t>14806</t>
  </si>
  <si>
    <t>Блок сменный Domestos д/унитаза 40 гр Атлантик /24/</t>
  </si>
  <si>
    <t>14839</t>
  </si>
  <si>
    <t>Блок сменный Domestos д/унитаза 40 гр Лимон /24/</t>
  </si>
  <si>
    <t>14809</t>
  </si>
  <si>
    <t>Чистящее средство CIF для ВАННОЙ ультра быстрый 500мл Спрей /6/12/</t>
  </si>
  <si>
    <t>14810</t>
  </si>
  <si>
    <t>Чистящее средство CIF для КУХНИ Анти-жир 500мл Спрей /6/12/</t>
  </si>
  <si>
    <t>14858</t>
  </si>
  <si>
    <t>Чистящее средство Domestos 1 л густой Лимонная свежесть /12/</t>
  </si>
  <si>
    <t>14857</t>
  </si>
  <si>
    <t>Чистящее средство Domestos 1 л густой свежесть Атлантики /12/</t>
  </si>
  <si>
    <t>13328</t>
  </si>
  <si>
    <t>Чистящее средство Domestos 1 л густой Ультра Белый /12/</t>
  </si>
  <si>
    <t>13348</t>
  </si>
  <si>
    <t>Чистящее средство Domestos 1 л густой Ультра Блеск /12/</t>
  </si>
  <si>
    <t>13346</t>
  </si>
  <si>
    <t>Чистящее средство Domestos 1 л густой Хвойная свежесть /12/</t>
  </si>
  <si>
    <t>13319</t>
  </si>
  <si>
    <t>Чистящее средство Domestos 500 мл густой Лимонная свежесть /28/</t>
  </si>
  <si>
    <t>13331</t>
  </si>
  <si>
    <t>Чистящее средство Domestos 500 мл густой свежесть Атлантики /28/</t>
  </si>
  <si>
    <t>13340</t>
  </si>
  <si>
    <t>Чистящее средство Domestos 500 мл густой Ультра Белый /28/</t>
  </si>
  <si>
    <t>13361</t>
  </si>
  <si>
    <t>Чистящее средство Domestos 500 мл густой Ультра Блеск /28/</t>
  </si>
  <si>
    <t>13318</t>
  </si>
  <si>
    <t>Чистящее средство Domestos 500 мл густой Хвойная свежесть /28/</t>
  </si>
  <si>
    <t>14849</t>
  </si>
  <si>
    <t>Чистящее средство Сomet 450 мл Весенняя свежесть /12/</t>
  </si>
  <si>
    <t>14820</t>
  </si>
  <si>
    <t>Чистящее средство Сomet 450 мл для ванны курок</t>
  </si>
  <si>
    <t>13339</t>
  </si>
  <si>
    <t>Чистящее средство Сomet 450 мл Лимон /12/</t>
  </si>
  <si>
    <t>13313</t>
  </si>
  <si>
    <t>Чистящее средство Сomet 500 мл для ванны гель</t>
  </si>
  <si>
    <t>14800</t>
  </si>
  <si>
    <t>Чистящее средство Сomet 700 мл для туалета Весенняя свежесть /14/</t>
  </si>
  <si>
    <t>14824</t>
  </si>
  <si>
    <t>Чистящее средство Сomet 700 мл для туалета Лимон /14/</t>
  </si>
  <si>
    <t>14844</t>
  </si>
  <si>
    <t>Чистящее средство Сomet 700 мл для туалета Полярный бриз /14/</t>
  </si>
  <si>
    <t>14826</t>
  </si>
  <si>
    <t>Чистящее средство Сomet 700 мл для туалета Свежесть лепестков /14/</t>
  </si>
  <si>
    <t>13311</t>
  </si>
  <si>
    <t>Чистящее средство Сomet 700 мл Лимон /14/</t>
  </si>
  <si>
    <t>14850</t>
  </si>
  <si>
    <t>Чистящее средство Сomet 700 мл Океан /14/</t>
  </si>
  <si>
    <t>14851</t>
  </si>
  <si>
    <t>Чистящее средство Сomet 700 мл Сосна /14/</t>
  </si>
  <si>
    <t>14801</t>
  </si>
  <si>
    <t>Чистящий крем CIF 230 мл Активный лимон 979-055 /24/</t>
  </si>
  <si>
    <t>14853</t>
  </si>
  <si>
    <t>Чистящий крем CIF 230 мл Активный фреш 979-055 /24/</t>
  </si>
  <si>
    <t>14845</t>
  </si>
  <si>
    <t>Чистящий крем CIF 440 мл 979-063 /16/</t>
  </si>
  <si>
    <t>14816</t>
  </si>
  <si>
    <t>Чистящий крем CIF 450 мл Голубая сосна /16/</t>
  </si>
  <si>
    <t>13609</t>
  </si>
  <si>
    <t>Чистящий крем CIF 500 мл Активный лимон/желтый/ /16/</t>
  </si>
  <si>
    <t>14847</t>
  </si>
  <si>
    <t>Чистящий крем CIF 500 мл Розовая свежесть /16/</t>
  </si>
  <si>
    <t>14863</t>
  </si>
  <si>
    <t>Чистящий крем CIF 500 мл С аммиаком /16/</t>
  </si>
  <si>
    <t>13610</t>
  </si>
  <si>
    <t>Чистящий крем CIF 500 мл Универсальный с микрогр. Активная свежесть/белый/ /16/</t>
  </si>
  <si>
    <t>14846</t>
  </si>
  <si>
    <t>Чистящий крем CIF 500 мл Цветок лилии и фрезия /16/</t>
  </si>
  <si>
    <t>149 Сода /средства для устранения засоров</t>
  </si>
  <si>
    <t>14124</t>
  </si>
  <si>
    <t>Сода кальцинированная 200 гр БМ /45/</t>
  </si>
  <si>
    <t>14902</t>
  </si>
  <si>
    <t>Сода кальцинированная 500 гр марка Б г.Бийск /10/40/</t>
  </si>
  <si>
    <t>14932</t>
  </si>
  <si>
    <t>Сода кальцинированная 600 гр Персеус /28/</t>
  </si>
  <si>
    <t>14903</t>
  </si>
  <si>
    <t>Сода кальцинированная 600 гр Эколь /20/</t>
  </si>
  <si>
    <t>14916</t>
  </si>
  <si>
    <t>Средство для чистки труб Chirton 60 гр /48/</t>
  </si>
  <si>
    <t>14946</t>
  </si>
  <si>
    <t>Средство для чистки труб Chirton для горячей воды гранулы /48/</t>
  </si>
  <si>
    <t>14912</t>
  </si>
  <si>
    <t>Средство для чистки труб Grass 750 гр Digger-gel /12/</t>
  </si>
  <si>
    <t>14921</t>
  </si>
  <si>
    <t>Средство для чистки труб Rain 1 л /12/</t>
  </si>
  <si>
    <t>14914</t>
  </si>
  <si>
    <t>Средство для чистки труб Rain 100 гр концентрированный /30/</t>
  </si>
  <si>
    <t>14923</t>
  </si>
  <si>
    <t>Средство для чистки труб Rain 750 мл /15/</t>
  </si>
  <si>
    <t>14944</t>
  </si>
  <si>
    <t>Средство для чистки труб TRUMP 500 мл /20/</t>
  </si>
  <si>
    <t>14904</t>
  </si>
  <si>
    <t>Средство для чистки труб Unicum 70 гр антизасор Удобная минутка Турбо гранулы /60/</t>
  </si>
  <si>
    <t>14158</t>
  </si>
  <si>
    <t>Средство для чистки труб Антизасор 1 л гель красный /9/</t>
  </si>
  <si>
    <t>14194</t>
  </si>
  <si>
    <t>Средство для чистки труб Антизасор 1 л гель синий /9/</t>
  </si>
  <si>
    <t>14924</t>
  </si>
  <si>
    <t>Средство для чистки труб Антизасор 70 гр гранулы /15/</t>
  </si>
  <si>
    <t>14915</t>
  </si>
  <si>
    <t>Средство для чистки труб Дебошир 1 л Актив /8/</t>
  </si>
  <si>
    <t>14931</t>
  </si>
  <si>
    <t>Средство для чистки труб Золушка 90 гр крот (оранж.) красный /24/</t>
  </si>
  <si>
    <t>14945</t>
  </si>
  <si>
    <t>Средство для чистки труб Крот 0,9 л СГ /6/</t>
  </si>
  <si>
    <t>14907</t>
  </si>
  <si>
    <t>Средство для чистки труб Крот 1000 гр Завхоз /15/</t>
  </si>
  <si>
    <t>14934</t>
  </si>
  <si>
    <t>Средство для чистки труб Крот 365 гр Щекино Азот /18/</t>
  </si>
  <si>
    <t>14116</t>
  </si>
  <si>
    <t>Средство для чистки труб Крот 500 гр гранулы /10/</t>
  </si>
  <si>
    <t>14941</t>
  </si>
  <si>
    <t>Средство для чистки труб Мастер Фреш 70 гр против засоров /10/50/</t>
  </si>
  <si>
    <t>14928</t>
  </si>
  <si>
    <t>Средство для чистки труб Сан-Мастер Перфоратор 1000 мл /12/</t>
  </si>
  <si>
    <t>14937</t>
  </si>
  <si>
    <t>Средство для чистки труб Сан-Мастер Перфоратор 1000 мл дезинфектор Турбо /12/</t>
  </si>
  <si>
    <t>14927</t>
  </si>
  <si>
    <t>Средство для чистки труб Сан-Мастер Перфоратор 500 гр гранулы /20/</t>
  </si>
  <si>
    <t>14918</t>
  </si>
  <si>
    <t>Средство для чистки труб Сан-Мастер Перфоратор 500 мл /20/</t>
  </si>
  <si>
    <t>14016</t>
  </si>
  <si>
    <t>Средство для чистки труб Санокс 500 мл жидкий Чистый сток /15/</t>
  </si>
  <si>
    <t>14143</t>
  </si>
  <si>
    <t>Средство для чистки труб Сантехник 1 л ПЭТ /15/</t>
  </si>
  <si>
    <t>14115</t>
  </si>
  <si>
    <t>Средство для чистки труб ТИРЕТ 1 л TURBO /12/</t>
  </si>
  <si>
    <t>13738</t>
  </si>
  <si>
    <t>Средство для чистки труб ТИРЕТ 500 мл TURBO /6/</t>
  </si>
  <si>
    <t>150 Колготки/носки</t>
  </si>
  <si>
    <t>15023</t>
  </si>
  <si>
    <t>Колготки детские 80% хлопок 15% полиамид 5% спандекс 98-140 см 2-4 цв. 312-328 /12/</t>
  </si>
  <si>
    <t>15035</t>
  </si>
  <si>
    <t>Колготки детские 80% хлопок 15% полиамид 5% спандекс с бантом 2 цв. 312-327 /12/</t>
  </si>
  <si>
    <t>15032</t>
  </si>
  <si>
    <t>Колготки детские 85% нейлон 15% спандекс с декором 2 цв. 048-022 /6/</t>
  </si>
  <si>
    <t>15046</t>
  </si>
  <si>
    <t>Колготки женские 150 дэн мультифибра 048-025 /10/</t>
  </si>
  <si>
    <t>15036</t>
  </si>
  <si>
    <t>Колготки женские 20 дэн 3 цвета 312-368 /26/104/</t>
  </si>
  <si>
    <t>15030</t>
  </si>
  <si>
    <t>Колготки женские 20 дэн с рисунком горох цвет черный 048-018 /10/</t>
  </si>
  <si>
    <t>15028</t>
  </si>
  <si>
    <t>Колготки женские 20 дэн с рисунком звезды цвет черный 048-016 /10/</t>
  </si>
  <si>
    <t>15031</t>
  </si>
  <si>
    <t>Колготки женские 20 дэн с рисунком пье-де-пуль цвет черный 048-016 /10/</t>
  </si>
  <si>
    <t>15033</t>
  </si>
  <si>
    <t>Колготки женские 20 дэн с рисунком сафари цвет черный 048-023 /10/</t>
  </si>
  <si>
    <t>15029</t>
  </si>
  <si>
    <t>Колготки женские 20 дэн с рисунком сердечки цвет черный 048-017 /10/</t>
  </si>
  <si>
    <t>15043</t>
  </si>
  <si>
    <t>Колготки женские 20 дэн сетка со стразами 2 цв, 048-020 /6/</t>
  </si>
  <si>
    <t>15044</t>
  </si>
  <si>
    <t>Колготки женские 20 дэн со стразами 2 цв. 048-021 /6/</t>
  </si>
  <si>
    <t>15008</t>
  </si>
  <si>
    <t>Колготки женские 20 дэн цвет натуральный 048-014 /10/</t>
  </si>
  <si>
    <t>15058</t>
  </si>
  <si>
    <t>Колготки женские 250 дэн р-ры 2/3 4/5 цвет черный 312-319 /15/</t>
  </si>
  <si>
    <t>15024</t>
  </si>
  <si>
    <t>Колготки женские 40 дэн Domenica 3цв.312-351 /20/</t>
  </si>
  <si>
    <t>15025</t>
  </si>
  <si>
    <t>Колготки женские 40 дэн цв.карамель 312-434 /10/</t>
  </si>
  <si>
    <t>15039</t>
  </si>
  <si>
    <t>Колготки женские 70 дэн цвет коньяк 312-436 /10/</t>
  </si>
  <si>
    <t>15040</t>
  </si>
  <si>
    <t>Колготки женские 70 дэн цвет черный 312-437 /10/</t>
  </si>
  <si>
    <t>15079</t>
  </si>
  <si>
    <t>Носки детские 70% хлопок 20% полиэстер 5% спандекс р-р 14*16/16-18/18-20 019-143 /18/</t>
  </si>
  <si>
    <t>15066</t>
  </si>
  <si>
    <t>Носки детские 70% хлопок 20% спандекс 2% латекс р-р 16*22 019-062 /24/</t>
  </si>
  <si>
    <t>15037</t>
  </si>
  <si>
    <t>Носки детские 70% хлопок 25% полиамид 5% эластан 312-391 /10/</t>
  </si>
  <si>
    <t>15075</t>
  </si>
  <si>
    <t>Носки детские 78% хлопок 20% спандекс 2% латекс р-р 16-22 для девочек 019-107 /24/</t>
  </si>
  <si>
    <t>15052</t>
  </si>
  <si>
    <t>Носки женские 47% хлопок 53% ПЭ Galante размер 23-25 019-079 /10/</t>
  </si>
  <si>
    <t>15002</t>
  </si>
  <si>
    <t>Носки женские 65% полиэстер 20% акрил 15% шерсть 2 диз. 019-057 /10/</t>
  </si>
  <si>
    <t>15063</t>
  </si>
  <si>
    <t>Носки женские 65% полиэстер 20% акрил 15% шерсть 2 диз. 312-427 /10/</t>
  </si>
  <si>
    <t>15034</t>
  </si>
  <si>
    <t>Носки женские 65% полиэстер 20% акрил 15% шерсть размер 23-25 5 цв. НЖ22-2 019-155 /10/</t>
  </si>
  <si>
    <t>15012</t>
  </si>
  <si>
    <t>Носки женские 70% хлопок 25% полиамид 5% спандекс размер 23-25 4 цв. 019-172 /12/</t>
  </si>
  <si>
    <t>15050</t>
  </si>
  <si>
    <t>Носки женские 78% хлопок 20% спандекс 2% латекс размер 23-25 R135 019-178 /12/</t>
  </si>
  <si>
    <t>15076</t>
  </si>
  <si>
    <t>Носки женские 78% хлопок 20% спандекс 2% латекс размер 36-39  019-108 /12/</t>
  </si>
  <si>
    <t>15068</t>
  </si>
  <si>
    <t>Носки женские 78% хлопок 20% спандекс 2% латекс размер 36-39 019-083 /24/</t>
  </si>
  <si>
    <t>15072</t>
  </si>
  <si>
    <t>Носки женские 78% хлопок 20% спандекс 2% латекс размер 36-39 3 пары 019-103 /12/</t>
  </si>
  <si>
    <t>15006</t>
  </si>
  <si>
    <t>Носки женские 85% хлопок 10% полиамид 5% спандекс размер 23-25 2 диз. 019-134 /10/</t>
  </si>
  <si>
    <t>15027</t>
  </si>
  <si>
    <t>Носки женские 85% хлопок 10% полиамид 5% спандекс размер 23-25 2 диз. НН22-12 019-130 /10/</t>
  </si>
  <si>
    <t>15051</t>
  </si>
  <si>
    <t>Носки женские 85% хлопок 10% полиамид 5% спандекс размер 23-25 2 диз. НН22-14 019-132 /12/</t>
  </si>
  <si>
    <t>15009</t>
  </si>
  <si>
    <t>Носки женские 85% хлопок 10% полиамид 5% спандекс размер 23-25 3 диз. 019-142 /12/</t>
  </si>
  <si>
    <t>15055</t>
  </si>
  <si>
    <t>Носки женские 85% хлопок 10% полиамид 5% спандекс размер 23-25 3 цв 312-445 /8/</t>
  </si>
  <si>
    <t>15080</t>
  </si>
  <si>
    <t>Носки женские 85% хлопок 10% полиамид 5% спандекс размер 23-25 3 цв. 019-007 /12/</t>
  </si>
  <si>
    <t>15007</t>
  </si>
  <si>
    <t>Носки женские 85% хлопок 10% полиамид 5% спандекс размер 23-25 6 диз. 019-141 /12/</t>
  </si>
  <si>
    <t>15014</t>
  </si>
  <si>
    <t>Носки женские 85% хлопок 10% полиамид 5% спандекс размер 23-25 с декором 2 дз. 019-174 /12/</t>
  </si>
  <si>
    <t>15015</t>
  </si>
  <si>
    <t>Носки женские 85% хлопок 10% полиамид 5% спандекс размер 23-25 с декором 2 диз. 019-175 /12/</t>
  </si>
  <si>
    <t>15042</t>
  </si>
  <si>
    <t>Носки женские 85% хлопок 10% полиамид 5% спандекс размер 23-25 с декором 2 диз. НС22-24 019-168 /10/</t>
  </si>
  <si>
    <t>15013</t>
  </si>
  <si>
    <t>Носки женские 85% хлопок 10% полиамид 5% спандекс размер 23-25 с декором 2 цв. 019-173 /10/</t>
  </si>
  <si>
    <t>15018</t>
  </si>
  <si>
    <t>Носки женские 85% хлопок 10% полиэстер 5% спандекс размер 23-25 НН22-13 4-6 диз. 019-131 /12/</t>
  </si>
  <si>
    <t>15048</t>
  </si>
  <si>
    <t>Носки женские 85% хлопок 15% полиамид размер 25-29 6 цв. 019-088 /12/</t>
  </si>
  <si>
    <t>15005</t>
  </si>
  <si>
    <t>Носки женские 85% хлопок 15% полиамид с декором 3 диз. 312-444 /12/</t>
  </si>
  <si>
    <t>15026</t>
  </si>
  <si>
    <t>Носки женские 97% полиамид 3% эластан 40 Den 5 пар 312-458 /20/</t>
  </si>
  <si>
    <t>15065</t>
  </si>
  <si>
    <t>Носки мужские 65% полиэстер 20% акрил 15% шерсть размер 25-29 2 диз. 019-056 /10/</t>
  </si>
  <si>
    <t>15054</t>
  </si>
  <si>
    <t>Носки мужские 65% полиэстер 20% акрил 15% шерсть размер 25-29 2 диз. 019-153 /10/</t>
  </si>
  <si>
    <t>15011</t>
  </si>
  <si>
    <t>Носки мужские 70% хлопок 30% полиэфир размер 25-29 черные 312-380 /10/</t>
  </si>
  <si>
    <t>15004</t>
  </si>
  <si>
    <t>Носки мужские 78% хлопок 20% спандекс 2% латекс размер 25-29 019-065 /36/</t>
  </si>
  <si>
    <t>15067</t>
  </si>
  <si>
    <t>Носки мужские 78% хлопок 20% спандекс 2% латекс размер 40-44 019-081 /24/</t>
  </si>
  <si>
    <t>15038</t>
  </si>
  <si>
    <t>Носки мужские 80% хлопок 25% акрил размер 26-18 2 диз. 312-430 /10/</t>
  </si>
  <si>
    <t>15061</t>
  </si>
  <si>
    <t>Носки мужские 85% полиэстер 15% полиамид размер 27-29 2 цв. 312-398 /12/</t>
  </si>
  <si>
    <t>15019</t>
  </si>
  <si>
    <t>Носки мужские 85% полиэстер 15% полиамид размер 27-29 3 цв. НМ20-1 019-090 /12/</t>
  </si>
  <si>
    <t>15053</t>
  </si>
  <si>
    <t>Носки мужские 85% хлопок 10% ПА 5% спандекс Galante размер 25-29 3 цв 019-066 /12/</t>
  </si>
  <si>
    <t>15062</t>
  </si>
  <si>
    <t>Носки мужские 85% хлопок 10% полиамид 5% спандекс размер 25-29 2 диз. 312-419 /12/</t>
  </si>
  <si>
    <t>15020</t>
  </si>
  <si>
    <t>Носки мужские 85% хлопок 10% полиамид 5% спандекс размер 25-29 4 цв. НС22-05 019-123 /12/</t>
  </si>
  <si>
    <t>15049</t>
  </si>
  <si>
    <t>Носки мужские 85% хлопок 10% полиамид 5% спандекс размер 25-29 4-6 цв. 312-440 /12/</t>
  </si>
  <si>
    <t>15022</t>
  </si>
  <si>
    <t>Носки мужские 85% хлопок 10% полиамид 5% спандекс размер 27-29 1-2 диз. НВ22-10 019-128 /12/</t>
  </si>
  <si>
    <t>15078</t>
  </si>
  <si>
    <t>Носки мужские 85% хлопок 10% полиамид 5% спандекс размер 27-29 3 цв. 312-342 /12/</t>
  </si>
  <si>
    <t>15064</t>
  </si>
  <si>
    <t>Носки мужские 85% хлопок 10% полиамид 5% спандекс размер 27-29 5 цв. 312-441 /10/</t>
  </si>
  <si>
    <t>15017</t>
  </si>
  <si>
    <t>Носки мужские 85% хлопок 10% полиэстер 5% спандекс размер 25-29 4 цв. 019-121 /12/</t>
  </si>
  <si>
    <t>15057</t>
  </si>
  <si>
    <t>Носки мужские 85% хлопок 10% полиэстер 5% спандекс размер 25-29 5 цв. 019-120 /10/</t>
  </si>
  <si>
    <t>15047</t>
  </si>
  <si>
    <t>Носки мужские 85% хлопок 15% полиамид размер 25-29 3 цв.019-086 /12/</t>
  </si>
  <si>
    <t>15016</t>
  </si>
  <si>
    <t>Носки мужские Grand Line асфальт размер 29 /10/</t>
  </si>
  <si>
    <t>15056</t>
  </si>
  <si>
    <t>Перчатки мужские р-р 22 100% полиэстер 3 цв ПВ2020-17 363-255</t>
  </si>
  <si>
    <t>15000</t>
  </si>
  <si>
    <t>Трусы женские бесшовные 90% полиамид10% спандер р-ры 42/44 46/48 2-3 цв. 331-139 /6/</t>
  </si>
  <si>
    <t>160 Печное литьё</t>
  </si>
  <si>
    <t>26103</t>
  </si>
  <si>
    <t>Дверка топочная печная ДТ-3  270*230  /5/</t>
  </si>
  <si>
    <t>26004</t>
  </si>
  <si>
    <t>Конфорка печная  №1 Д120мм</t>
  </si>
  <si>
    <t>161-164 Вентиляция</t>
  </si>
  <si>
    <t>161 Вентиляторы</t>
  </si>
  <si>
    <t>16103</t>
  </si>
  <si>
    <t>Вентилятор Comfort 4 D100 осевой вытяжной</t>
  </si>
  <si>
    <t>16184</t>
  </si>
  <si>
    <t>Вентилятор Comfort 5 D125 осевой вытяжной</t>
  </si>
  <si>
    <t>16155</t>
  </si>
  <si>
    <t>Вентилятор E100 S D100 осевой с антимоскитной сеткой</t>
  </si>
  <si>
    <t>16138</t>
  </si>
  <si>
    <t>Вентилятор E100 S С D100 осевой с антимоскитной сеткой с обратным клапаном</t>
  </si>
  <si>
    <t>16192</t>
  </si>
  <si>
    <t>Вентилятор E100 С-02 D100 осевой с антимоскитной сеткой с тяговым выключателем</t>
  </si>
  <si>
    <t>16166</t>
  </si>
  <si>
    <t>Вентилятор E100-02 D100 осевой с тяговым выключателем</t>
  </si>
  <si>
    <t>16163</t>
  </si>
  <si>
    <t>Вентилятор E125 S D125 осевой с антимоскитной сеткой</t>
  </si>
  <si>
    <t>16195</t>
  </si>
  <si>
    <t>Вентилятор ERA 5S ET-02 D100 осевой с антимоскитной сеткой с тяговым выключателем электрон. таймером</t>
  </si>
  <si>
    <t>16179</t>
  </si>
  <si>
    <t>Вентилятор Favorite 4 D100 осевой вытяжной</t>
  </si>
  <si>
    <t>16183</t>
  </si>
  <si>
    <t>Вентилятор Favorite 4-01 D100 осевой вытяжной с сетевым кабелем и выключателем</t>
  </si>
  <si>
    <t>16141</t>
  </si>
  <si>
    <t>Вентилятор Optima 5 Д125 осевой вытяжной /18/</t>
  </si>
  <si>
    <t>16111</t>
  </si>
  <si>
    <t>Вентилятор Optima 5-02 Д125 осевой вытяжной со шнуровым тяговым выключателем /20/</t>
  </si>
  <si>
    <t>16109</t>
  </si>
  <si>
    <t>Вентилятор А 4 C D100 осевой с обратным клапоном</t>
  </si>
  <si>
    <t>16136</t>
  </si>
  <si>
    <t>Вентилятор Рязань ЭРА 4 Д100 осевой вытяжн.с анимоск. сетк. /20/</t>
  </si>
  <si>
    <t>16116</t>
  </si>
  <si>
    <t>Вентилятор Рязань ЭРА 4S-02 Д100 осевой вытяжн.с анимоск. сетк. с шнуров.тяговым выкл. /20/</t>
  </si>
  <si>
    <t>16188</t>
  </si>
  <si>
    <t>Вентилятор Рязань ЭРА 4С Д100 осевой вытяжн.с обратным клапаном /20/</t>
  </si>
  <si>
    <t>16150</t>
  </si>
  <si>
    <t>Вентилятор Рязань ЭРА 4С-02 Д100 осевой вытяжн.с обратным клапаном с шнуров.тяговым выкл. /20/</t>
  </si>
  <si>
    <t>16135</t>
  </si>
  <si>
    <t>Вентилятор Рязань ЭРА 5S-02 Д125 осевой вытяжн.с анимоск. сетк.шнуров.тяг.выкл. /18/</t>
  </si>
  <si>
    <t>163 Воздуховоды и соединители</t>
  </si>
  <si>
    <t>16352</t>
  </si>
  <si>
    <t>Воздуховод гофрированный Формика 1,5 м  80 ВПА</t>
  </si>
  <si>
    <t>16346</t>
  </si>
  <si>
    <t>Воздуховод гофрированный Формика 1,5 м  90 ВПА</t>
  </si>
  <si>
    <t>16321</t>
  </si>
  <si>
    <t>Воздуховод гофрированный Формика 1,5 м 100 ВПА</t>
  </si>
  <si>
    <t>16320</t>
  </si>
  <si>
    <t>Воздуховод гофрированный Формика 1,5 м 110 ВПА</t>
  </si>
  <si>
    <t>16347</t>
  </si>
  <si>
    <t>Воздуховод гофрированный Формика 1,5 м 115 ВПА</t>
  </si>
  <si>
    <t>16329</t>
  </si>
  <si>
    <t>Воздуховод гофрированный Формика 1,5 м 120 ВПА</t>
  </si>
  <si>
    <t>16327</t>
  </si>
  <si>
    <t>Воздуховод гофрированный Формика 1,5 м 125 ВПА</t>
  </si>
  <si>
    <t>16348</t>
  </si>
  <si>
    <t>Воздуховод гофрированный Формика 1,5 м 130 ВПА</t>
  </si>
  <si>
    <t>16349</t>
  </si>
  <si>
    <t>Воздуховод гофрированный Формика 1,5 м 140 ВПА</t>
  </si>
  <si>
    <t>16063</t>
  </si>
  <si>
    <t>Воздуховод гофрированный Формика 2,5 м 120 ВПА /16/</t>
  </si>
  <si>
    <t>16058</t>
  </si>
  <si>
    <t>Воздуховод гофрированный Формика 3,0 м  80 ВПА</t>
  </si>
  <si>
    <t>16350</t>
  </si>
  <si>
    <t>Воздуховод гофрированный Формика 3,0 м  90 ВПА</t>
  </si>
  <si>
    <t>16059</t>
  </si>
  <si>
    <t>Воздуховод гофрированный Формика 3,0 м 100 ВПА</t>
  </si>
  <si>
    <t>16318</t>
  </si>
  <si>
    <t>Воздуховод гофрированный Формика 3,0 м 110 ВПА</t>
  </si>
  <si>
    <t>16062</t>
  </si>
  <si>
    <t>Воздуховод гофрированный Формика 3,0 м 115 ВПА</t>
  </si>
  <si>
    <t>16358</t>
  </si>
  <si>
    <t>Воздуховод гофрированный Формика 3,0 м 125 ВПА /15/</t>
  </si>
  <si>
    <t>16301</t>
  </si>
  <si>
    <t>Воздуховод гофрированный Формика 3,0 м 130 ВПА</t>
  </si>
  <si>
    <t>16071</t>
  </si>
  <si>
    <t>Воздуховод гофрированный Формика 3,0 м 135 ВПА</t>
  </si>
  <si>
    <t>16309</t>
  </si>
  <si>
    <t>Воздуховод гофрированный Формика 3,0 м 140 ВПА</t>
  </si>
  <si>
    <t>16300</t>
  </si>
  <si>
    <t>Воздуховод гофрированный Формика 3,0 м 150 ВПА</t>
  </si>
  <si>
    <t>16351</t>
  </si>
  <si>
    <t>Воздуховод гофрированный Формика 3,0 м 160 ВПА</t>
  </si>
  <si>
    <t>16331</t>
  </si>
  <si>
    <t>Кронштейн для крепления воздуховода КМ 100 /100/</t>
  </si>
  <si>
    <t>16345</t>
  </si>
  <si>
    <t>Кронштейн для крепления воздуховода КМ 125 /100/</t>
  </si>
  <si>
    <t>16337</t>
  </si>
  <si>
    <t>Переходник комб. Д100* квадрат 100</t>
  </si>
  <si>
    <t>16115</t>
  </si>
  <si>
    <t>Переходник комб. Д140* квадрат 120</t>
  </si>
  <si>
    <t>16302</t>
  </si>
  <si>
    <t>Фланец Ф100 150*150 мм Омск /150/</t>
  </si>
  <si>
    <t>16303</t>
  </si>
  <si>
    <t>Фланец Ф120 150*150 мм Омск /120/</t>
  </si>
  <si>
    <t>16332</t>
  </si>
  <si>
    <t>Фланец ФКВ 120 Омск квадрат 168*168 мм Д120 /25/</t>
  </si>
  <si>
    <t>16048</t>
  </si>
  <si>
    <t>Фланец ФКР 100 круг/квадрат Омск /40/</t>
  </si>
  <si>
    <t>164 Решетки вентиляционные</t>
  </si>
  <si>
    <t>16450</t>
  </si>
  <si>
    <t>Диффузор приточно- вытяжной регулируемый с фланцем АБС 12,5АПВП D125</t>
  </si>
  <si>
    <t>16407</t>
  </si>
  <si>
    <t>Решетка вентиляционная 100*200 металлическая /белый/</t>
  </si>
  <si>
    <t>16463</t>
  </si>
  <si>
    <t>Решетка вентиляционная 170*240 металлическая б/п</t>
  </si>
  <si>
    <t>16076</t>
  </si>
  <si>
    <t>Решетка вентиляционная Омск А001 18*18 /60/</t>
  </si>
  <si>
    <t>16077</t>
  </si>
  <si>
    <t>Решетка вентиляционная Омск А002 18*24 /50/</t>
  </si>
  <si>
    <t>16081</t>
  </si>
  <si>
    <t>Решетка вентиляционная Омск А005 30*20 /60/</t>
  </si>
  <si>
    <t>16417</t>
  </si>
  <si>
    <t>Решетка вентиляционная Омск К001 17,4*17,4 /50/</t>
  </si>
  <si>
    <t>16466</t>
  </si>
  <si>
    <t>Решетка вентиляционная Омск К002 20,3*20,3 /30/</t>
  </si>
  <si>
    <t>16425</t>
  </si>
  <si>
    <t>Решетка вентиляционная Омск К003 17,5*24,0 /40/</t>
  </si>
  <si>
    <t>16402</t>
  </si>
  <si>
    <t>Решетка вентиляционная Омск К004 17,4*17,4 с кольцом д100 /20/</t>
  </si>
  <si>
    <t>16426</t>
  </si>
  <si>
    <t>Решетка вентиляционная Омск К005 17,4*17,4 с кольцом д125 /15/</t>
  </si>
  <si>
    <t>16085</t>
  </si>
  <si>
    <t>Решетка вентиляционная Омск К006 17,4*17,4 /30/</t>
  </si>
  <si>
    <t>16446</t>
  </si>
  <si>
    <t>Решетка вентиляционная Омск К007 20,3*20,3 /25/</t>
  </si>
  <si>
    <t>16403</t>
  </si>
  <si>
    <t>Решетка вентиляционная Омск К008 17,4*17,4 с кольцом д100 /15/</t>
  </si>
  <si>
    <t>16404</t>
  </si>
  <si>
    <t>Решетка вентиляционная Омск К009 17,4*17,4 с кольцом д125 /15/</t>
  </si>
  <si>
    <t>91821</t>
  </si>
  <si>
    <t>Решетка вентиляционная Омск К010 17,4*17,4 /40/</t>
  </si>
  <si>
    <t>16401</t>
  </si>
  <si>
    <t>Решетка вентиляционная Омск К011 17,4*17,4 с кольцом д100 /15/</t>
  </si>
  <si>
    <t>16461</t>
  </si>
  <si>
    <t>Решетка вентиляционная Омск К012 17,4*17,4 с кольцом д125 /15/</t>
  </si>
  <si>
    <t>16465</t>
  </si>
  <si>
    <t>Решетка вентиляционная Омск К013 д14 с кольцом д100 /25/</t>
  </si>
  <si>
    <t>16444</t>
  </si>
  <si>
    <t>Решетка вентиляционная Омск К014 д16,5 с кольцом д125 /15/</t>
  </si>
  <si>
    <t>16035</t>
  </si>
  <si>
    <t>Решетка вентиляционная Омск К017 46*12,3 /40/</t>
  </si>
  <si>
    <t>16405</t>
  </si>
  <si>
    <t>Решетка вентиляционная Омск К018 46*12,3 /40/</t>
  </si>
  <si>
    <t>16039</t>
  </si>
  <si>
    <t>Решетка вентиляционная Омск К020 20*30 /20/</t>
  </si>
  <si>
    <t>16439</t>
  </si>
  <si>
    <t>Решетка вентиляционная Омск Л135 Люкс с сеткой 135*185 /150/</t>
  </si>
  <si>
    <t>16409</t>
  </si>
  <si>
    <t>Решетка вентиляционная Омск Л150 Люкс с сеткой 150*150 /150/</t>
  </si>
  <si>
    <t>16428</t>
  </si>
  <si>
    <t>Решетка вентиляционная Омск Л155 Люкс с сеткой 155*155 /150/</t>
  </si>
  <si>
    <t>16416</t>
  </si>
  <si>
    <t>Решетка вентиляционная Омск Л170 Люкс с сеткой 170*240 /75/</t>
  </si>
  <si>
    <t>16429</t>
  </si>
  <si>
    <t>Решетка вентиляционная Омск Л185 Люкс с сеткой 185*185 /100/</t>
  </si>
  <si>
    <t>16418</t>
  </si>
  <si>
    <t>Решетка вентиляционная Омск Л194 Люкс с сеткой 194*194 /150/</t>
  </si>
  <si>
    <t>16420</t>
  </si>
  <si>
    <t>Решетка вентиляционная Омск Л200 Люкс с сеткой 200*300 /150/</t>
  </si>
  <si>
    <t>16430</t>
  </si>
  <si>
    <t>Решетка вентиляционная Омск Л235 Люкс с сеткой 235*235 /152/</t>
  </si>
  <si>
    <t>16431</t>
  </si>
  <si>
    <t>Решетка вентиляционная Омск Л300 Люкс с сеткой 300*300 /90/</t>
  </si>
  <si>
    <t>16432</t>
  </si>
  <si>
    <t>Решетка вентиляционная Омск ЛР150 Люкс с сеткой в рамке 150/200 /150/</t>
  </si>
  <si>
    <t>16433</t>
  </si>
  <si>
    <t>Решетка вентиляционная Омск ЛР162 Люкс с сеткой в рамке 162/162 /150/</t>
  </si>
  <si>
    <t>16434</t>
  </si>
  <si>
    <t>Решетка вентиляционная Омск ЛР170 Люкс с сеткой в рамке 170/170 /150/</t>
  </si>
  <si>
    <t>16435</t>
  </si>
  <si>
    <t>Решетка вентиляционная Омск ЛР185 Люкс с сеткой в рамке 185/255 /100/</t>
  </si>
  <si>
    <t>16437</t>
  </si>
  <si>
    <t>Решетка вентиляционная Омск ЛР200 Люкс с сеткой в рамке 200/200 /100/</t>
  </si>
  <si>
    <t>16454</t>
  </si>
  <si>
    <t>Решетка вентиляционная Омск ЛР206 Люкс с сеткой в рамке 206/300 /90/</t>
  </si>
  <si>
    <t>16455</t>
  </si>
  <si>
    <t>Решетка вентиляционная Омск ЛР250 Люкс с сеткой в рамке 250/250 /65/</t>
  </si>
  <si>
    <t>16448</t>
  </si>
  <si>
    <t>Решетка вентиляционная Омск М001 д.68мм белая /100/</t>
  </si>
  <si>
    <t>16406</t>
  </si>
  <si>
    <t>Решетка вентиляционная Омск Э001 17,4*17,4 /80/</t>
  </si>
  <si>
    <t>16090</t>
  </si>
  <si>
    <t>Решетка вентиляционная Омск Э002 23,8*17,4 /60/</t>
  </si>
  <si>
    <t>16087</t>
  </si>
  <si>
    <t>Решетка вентиляционная Омск Э003 д17,4 /80/</t>
  </si>
  <si>
    <t>16452</t>
  </si>
  <si>
    <t>Решетка вентиляционная Омск Э004 30*30 /48/</t>
  </si>
  <si>
    <t>16400</t>
  </si>
  <si>
    <t>Решетка вентиляционная Омск Э005 25*25 /55/</t>
  </si>
  <si>
    <t>16427</t>
  </si>
  <si>
    <t>Решетка вентиляционная Омск Э006 37*37 /50/</t>
  </si>
  <si>
    <t>16424</t>
  </si>
  <si>
    <t>Решетка вентиляционная стальная с покрытием полимерной эмалью 250*250</t>
  </si>
  <si>
    <t>165 Силовое оборудование</t>
  </si>
  <si>
    <t>17429</t>
  </si>
  <si>
    <t>Генератор бенз. DENZEL  DB 2500 2,2кВТ 220вт/50Гц,15л,руч пуск/94652</t>
  </si>
  <si>
    <t>166 Щитки электросварщика автоватические</t>
  </si>
  <si>
    <t>59047</t>
  </si>
  <si>
    <t>Щиток сварщика MATRIX c авт.рег.с.зат./89134</t>
  </si>
  <si>
    <t>59137</t>
  </si>
  <si>
    <t>Щиток сварщика MATRIX с автозатемн. Optimal/89131</t>
  </si>
  <si>
    <t>59097</t>
  </si>
  <si>
    <t>Щиток электросварщика PATRIOT 600S/20 автоматич.светофильтр</t>
  </si>
  <si>
    <t>59141</t>
  </si>
  <si>
    <t>Щиток электросварщика WESTER WH7 хамелеон c регулир. затемнения</t>
  </si>
  <si>
    <t>59142</t>
  </si>
  <si>
    <t>Щиток электросварщика WESTER WH8 хамелеон c регулир. затемнения</t>
  </si>
  <si>
    <t>16601</t>
  </si>
  <si>
    <t>Щиток электросварщика Гранит Ф5 хамелеон</t>
  </si>
  <si>
    <t>167 Леска для тримера</t>
  </si>
  <si>
    <t>16767</t>
  </si>
  <si>
    <t>Леска для триммера алюминиум звезда, 2,0мм*15м SIAT Premium Италия 555005</t>
  </si>
  <si>
    <t>16724</t>
  </si>
  <si>
    <t>Леска для триммера алюминиум звезда, 2,4мм*15м SIAT Premium Италия 555009</t>
  </si>
  <si>
    <t>16770</t>
  </si>
  <si>
    <t>Леска для триммера алюминиум звезда, 3,0мм*10м SIAT Premium Италия 555013</t>
  </si>
  <si>
    <t>16725</t>
  </si>
  <si>
    <t>Леска для триммера алюминиум круг, 2,4мм*15м SIAT Premium Италия 555010</t>
  </si>
  <si>
    <t>16771</t>
  </si>
  <si>
    <t>Леска для триммера алюминиум круг, 3,0мм*10м SIAT Premium Италия 555014</t>
  </si>
  <si>
    <t>16740</t>
  </si>
  <si>
    <t>Леска для триммера витая 3,0мм*60м RedVerg 990311</t>
  </si>
  <si>
    <t>16702</t>
  </si>
  <si>
    <t>Леска для триммера двухкомпонентная квадрат 2,0мм 15 м EXTRA CORD// Denzel/96124</t>
  </si>
  <si>
    <t>16729</t>
  </si>
  <si>
    <t>Леска для триммера двухкомпонентная квадрат 2,65мм 15 м EXTRA CORD// Denzel/96125</t>
  </si>
  <si>
    <t>16738</t>
  </si>
  <si>
    <t>Леска для триммера двухкомпонентная квадрат 3,0мм 15 м EXTRA CORD// Denzel/96126</t>
  </si>
  <si>
    <t>16703</t>
  </si>
  <si>
    <t>Леска для триммера двухкомпонентная круглая 2,0мм 15 м EXTRA CORD// Denzel/96127</t>
  </si>
  <si>
    <t>16704</t>
  </si>
  <si>
    <t>Леска для триммера двухкомпонентная круглая 2,65мм 15 м EXTRA CORD// Denzel/96128</t>
  </si>
  <si>
    <t>16700</t>
  </si>
  <si>
    <t>Леска для триммера звезда 2 мм х 15 м, блистер FLEX CORD// Denzel/96111</t>
  </si>
  <si>
    <t>16730</t>
  </si>
  <si>
    <t>Леска для триммера звезда 2,4 мм х 15 м, блистер FLEX CORD// Denzel/96112</t>
  </si>
  <si>
    <t>16735</t>
  </si>
  <si>
    <t>Леска для триммера звезда 2,4мм*90м RedVerg 990241</t>
  </si>
  <si>
    <t>16731</t>
  </si>
  <si>
    <t>Леска для триммера звезда 3 мм х 15 м, блистер FLEX CORD// Denzel/96113</t>
  </si>
  <si>
    <t>16715</t>
  </si>
  <si>
    <t>Леска для триммера звезда, 1,6мм*15м SIAT Professional Италия 556001</t>
  </si>
  <si>
    <t>16716</t>
  </si>
  <si>
    <t>Леска для триммера звезда, 2,0мм*15м SIAT Professional Италия 556004</t>
  </si>
  <si>
    <t>04464</t>
  </si>
  <si>
    <t>Леска для триммера звезда, 2,4м*15м, Сибртех /961735</t>
  </si>
  <si>
    <t>16727</t>
  </si>
  <si>
    <t>Леска для триммера звезда, 2,4мм*115м SIAT Professional Италия бобина</t>
  </si>
  <si>
    <t>16717</t>
  </si>
  <si>
    <t>Леска для триммера звезда, 2,4мм*15м SIAT Professional Италия 556007</t>
  </si>
  <si>
    <t>16726</t>
  </si>
  <si>
    <t>Леска для триммера звезда, 2,4мм*420м SIAT Professional Италия бобина 303219</t>
  </si>
  <si>
    <t>16718</t>
  </si>
  <si>
    <t>Леска для триммера звезда, 3,0мм*10м SIAT Professional Италия 556010</t>
  </si>
  <si>
    <t>16768</t>
  </si>
  <si>
    <t>Леска для триммера канат, 2,0мм*15м SIAT Premium Италия 555007</t>
  </si>
  <si>
    <t>16722</t>
  </si>
  <si>
    <t>Леска для триммера канат, 2,4мм*15м SIAT Premium Италия 555011</t>
  </si>
  <si>
    <t>16772</t>
  </si>
  <si>
    <t>Леска для триммера канат, 3,0мм*10м SIAT Premium Италия 555015</t>
  </si>
  <si>
    <t>16732</t>
  </si>
  <si>
    <t>Леска для триммера квадрат 2 мм х 15 м, блистер FLEX CORD// Denzel/96115</t>
  </si>
  <si>
    <t>16733</t>
  </si>
  <si>
    <t>Леска для триммера квадрат 2,4 мм х 15 м, блистер FLEX CORD// Denzel/96116</t>
  </si>
  <si>
    <t>16701</t>
  </si>
  <si>
    <t>Леска для триммера квадрат 3 мм х 15 м, блистер FLEX CORD// Denzel/96117</t>
  </si>
  <si>
    <t>16709</t>
  </si>
  <si>
    <t>Леска для триммера квадратная витая 2,4мм*15м RedVerg 990451</t>
  </si>
  <si>
    <t>16736</t>
  </si>
  <si>
    <t>Леска для триммера квадратная витая 2,4мм*90м RedVerg 990461</t>
  </si>
  <si>
    <t>16739</t>
  </si>
  <si>
    <t>Леска для триммера квадратная витая 3,0мм*15м RedVerg 990471</t>
  </si>
  <si>
    <t>16734</t>
  </si>
  <si>
    <t>Леска для триммера квадратная витая, 2,4мм*15м Denzel двухкомпонентная EXTRA CORD/16/96185</t>
  </si>
  <si>
    <t>16728</t>
  </si>
  <si>
    <t>Леска для триммера квадратная, 1,6мм*15м SIAT Professional Италия 556002</t>
  </si>
  <si>
    <t>16719</t>
  </si>
  <si>
    <t>Леска для триммера квадратная, 2,0мм*15м SIAT Professional Италия 556005</t>
  </si>
  <si>
    <t>16720</t>
  </si>
  <si>
    <t>Леска для триммера квадратная, 2,4мм*15м SIAT Professional Италия 556008</t>
  </si>
  <si>
    <t>16721</t>
  </si>
  <si>
    <t>Леска для триммера квадратная, 3,0мм*10м SIAT Professional Италия 556011</t>
  </si>
  <si>
    <t>04339</t>
  </si>
  <si>
    <t>Леска для триммера круглая 2 мм х 15 м, блистер FLEX CORD// Denzel/96107</t>
  </si>
  <si>
    <t>16706</t>
  </si>
  <si>
    <t>Леска для триммера круглая 2,4 мм х 15 м, блистер FLEX CORD// Denzel/96108</t>
  </si>
  <si>
    <t>16710</t>
  </si>
  <si>
    <t>Леска для триммера круглая 2,4мм*15м RedVerg 990161</t>
  </si>
  <si>
    <t>16737</t>
  </si>
  <si>
    <t>Леска для триммера круглая с метал. сердечником 2,4мм*90м RedVerg 990541</t>
  </si>
  <si>
    <t>16711</t>
  </si>
  <si>
    <t>Леска для триммера круглая, 1,6мм*15м SIAT Professional Италия 556003</t>
  </si>
  <si>
    <t>16712</t>
  </si>
  <si>
    <t>Леска для триммера круглая, 2,0мм*15м SIAT Professional Италия 556006</t>
  </si>
  <si>
    <t>16705</t>
  </si>
  <si>
    <t>Леска для триммера круглая, 2,4мм*15м Denzel двухкомпонентная EXTRA CORD/16/96180</t>
  </si>
  <si>
    <t>16713</t>
  </si>
  <si>
    <t>Леска для триммера круглая, 2,4мм*15м SIAT Professional Италия 556009</t>
  </si>
  <si>
    <t>17833</t>
  </si>
  <si>
    <t>Леска для триммера круглая, 2,4мм*15м Сибртех /961475 /16/</t>
  </si>
  <si>
    <t>16708</t>
  </si>
  <si>
    <t>Леска для триммера круглая, 2,4мм*387м SIAT Professional Италия бобина 303213</t>
  </si>
  <si>
    <t>16714</t>
  </si>
  <si>
    <t>Леска для триммера круглая, 3,0мм*10м SIAT Professional Италия 556012</t>
  </si>
  <si>
    <t>16765</t>
  </si>
  <si>
    <t>Леска для триммера круглая, 3,0мм*15м Denzel FLEX CORD/96109</t>
  </si>
  <si>
    <t>16769</t>
  </si>
  <si>
    <t>Леска для триммера крученый квадрат, 2,0мм*15м SIAT Premium Италия 555008</t>
  </si>
  <si>
    <t>16723</t>
  </si>
  <si>
    <t>Леска для триммера крученый квадрат, 2,4мм*15м SIAT Premium Италия 555012</t>
  </si>
  <si>
    <t>16707</t>
  </si>
  <si>
    <t>Леска для триммера крученый квадрат, 2,4мм*480м SIAT Premium Италия бобина 303207</t>
  </si>
  <si>
    <t>16773</t>
  </si>
  <si>
    <t>Леска для триммера крученый квадрат, 3,0мм*10м SIAT Premium Италия 555016</t>
  </si>
  <si>
    <t>168-179 Электро- пневмоинструмент и комплектующие</t>
  </si>
  <si>
    <t>169 Насосное оборудование</t>
  </si>
  <si>
    <t>16958</t>
  </si>
  <si>
    <t>Вибрационный насос СВН300-10, верхний забор,300 Вт, напор 75 м, 1200 л/ч,кабель 10 м/Сибртех/99301</t>
  </si>
  <si>
    <t>16959</t>
  </si>
  <si>
    <t>Вибрационный насос СВН300-15, верхний забор,300 Вт,напор 75 м, 1200 л/ч,кабель 15 м/Сибртех/99302</t>
  </si>
  <si>
    <t>16976</t>
  </si>
  <si>
    <t>Вибрационный насос СВН300-25, верхний забор,300 Вт,напор 75 м,1200 л/ч,кабель 25 м/Сибртех/99303</t>
  </si>
  <si>
    <t>05983</t>
  </si>
  <si>
    <t>Вибрационный насос СВН300Н-10, нижний забор, 300 Вт, напор 75 м, 1200 л/ч, кабель 10 м/Сибртех/99305</t>
  </si>
  <si>
    <t>16932</t>
  </si>
  <si>
    <t>Насос эл. верх.заб..300Вт, 40м,Сибртех СВН300-40,1200л/ч,высота 75м /99304</t>
  </si>
  <si>
    <t>16975</t>
  </si>
  <si>
    <t>Насос эл. нижн..заб..Сибртех СВН300Н-15, 300 Вт, напор 75 м, 1200 л/ч, кабель 15 м//99306</t>
  </si>
  <si>
    <t>170-175 Электроинструмент</t>
  </si>
  <si>
    <t>170 Электроинструмент DENZEL, СИБРТЕХ</t>
  </si>
  <si>
    <t>17033</t>
  </si>
  <si>
    <t>Дрель акк. DENZEL BLDL-IB-18-02, Li-Ion, 18 В, 2 акк./26121</t>
  </si>
  <si>
    <t>17009</t>
  </si>
  <si>
    <t>Дрель акк. DENZEL CDL-12-01CB, Li-Ion, 12 В, 1 акк./26104</t>
  </si>
  <si>
    <t>17028</t>
  </si>
  <si>
    <t>Дрель акк. DENZEL CDL-18-02BM, Li-Ion, 18 В, 2 акк./26116</t>
  </si>
  <si>
    <t>17038</t>
  </si>
  <si>
    <t>Дрель ударная DENZEL ID-550, 550Вт, БЗП-13мм с ключом, 0-2900/мин, реверс/26302</t>
  </si>
  <si>
    <t>17042</t>
  </si>
  <si>
    <t>Дрель ударная DENZEL ID-650, 650Вт, БЗП-13мм с ключом, 0-3000/мин, реверс/26304</t>
  </si>
  <si>
    <t>17044</t>
  </si>
  <si>
    <t>Дрель ударная DENZEL ID-850, 850Вт, БЗП-13мм с ключом, 0-3000/мин, реверс/26309</t>
  </si>
  <si>
    <t>17003</t>
  </si>
  <si>
    <t>Отвертка акк. DENZEL CSL-3,6-01, Li-Ion, 3,6 В, 1,3 Ач, с аксессуарами /26001</t>
  </si>
  <si>
    <t>17075</t>
  </si>
  <si>
    <t>Перфоратор DENZEL RH-600-22, 600Вт, SDS+, 2,5Дж, 2-реж. /26602</t>
  </si>
  <si>
    <t>17054</t>
  </si>
  <si>
    <t>Перфоратор DENZEL RH-650-18, 650Вт, SDS+, 2,0Дж, 3-реж./26603</t>
  </si>
  <si>
    <t>17002</t>
  </si>
  <si>
    <t>Перфоратор DENZEL RH-750-24, 750Вт, SDS+, 2,5Дж, 3-реж. /26605</t>
  </si>
  <si>
    <t>17083</t>
  </si>
  <si>
    <t>Перфоратор DENZEL RH-800-26, 800Вт, SDS+, 3Дж, 3-реж. /26607</t>
  </si>
  <si>
    <t>17032</t>
  </si>
  <si>
    <t>Пила циркулярная DENZEL СS-165, 1200Вт, пропил. 165мм /27301</t>
  </si>
  <si>
    <t>17095</t>
  </si>
  <si>
    <t>Пила циркулярная DENZEL СS-185, 1500Вт, 5500бо/м, пропил. 65мм, 185/20мм /27303</t>
  </si>
  <si>
    <t>17099</t>
  </si>
  <si>
    <t>Пила циркулярная DENZEL СS-210, 1800Вт, 5000бо/м, пропил. 73мм, 210/20мм /27305</t>
  </si>
  <si>
    <t>17122</t>
  </si>
  <si>
    <t>Сварочн.аппар. MTX инверторный ММА-180S, 180А, ПВ60%, диам. 1,6-4мм /94390</t>
  </si>
  <si>
    <t>17123</t>
  </si>
  <si>
    <t>Сварочн.аппар. MTX инверторный ММА-200S, 200А, ПВ60%, диам. 1,6-5мм /94391</t>
  </si>
  <si>
    <t>17127</t>
  </si>
  <si>
    <t>Сварочн.аппар. MTX инверторный ММА-220S, 220А, ПВ60%, диам. 1,6-5мм /94392</t>
  </si>
  <si>
    <t>17000</t>
  </si>
  <si>
    <t>Триммер бензо  Сибртех БКС-1800-2, 33см3, 1,8л.с., неразъемная штанга, состоит из 2 частей/96241</t>
  </si>
  <si>
    <t>17037</t>
  </si>
  <si>
    <t>Триммер бензо  Сибртех БКС-2500-2, 43см3, 2,5л.с., разъемная штанга, состоит из 2 частей/96244</t>
  </si>
  <si>
    <t>17006</t>
  </si>
  <si>
    <t>Триммер бензо  Сибртех БКС-3000-2, 52см3, 3л.с.,разъемная штанга, состоит из 2 частей/96246</t>
  </si>
  <si>
    <t>17062</t>
  </si>
  <si>
    <t>УШМ DENZEL AG115-1100, 1100Вт, 125мм, 3000-11000/мин /26906</t>
  </si>
  <si>
    <t>17057</t>
  </si>
  <si>
    <t>УШМ DENZEL AG115-750, 750Вт, 115мм, 11000/мин/26901</t>
  </si>
  <si>
    <t>17066</t>
  </si>
  <si>
    <t>УШМ DENZEL AG150-1500, 1500Вт, 150мм, 8500/мин /26910</t>
  </si>
  <si>
    <t>17084</t>
  </si>
  <si>
    <t>УШМ DENZEL AG230-2600, 2600Вт, 230мм, 6000/мин/26917</t>
  </si>
  <si>
    <t>17069</t>
  </si>
  <si>
    <t>УШМ DENZEL AGH125-900, 900Вт, 125мм, 11000/мин /26904</t>
  </si>
  <si>
    <t>17043</t>
  </si>
  <si>
    <t>Фен технический DENZEL HG-1800, 1800 Вт, 3 режима /28001</t>
  </si>
  <si>
    <t>17029</t>
  </si>
  <si>
    <t>Фен технический DENZEL HG-2000M, 2000 Вт, 3 режима /28005</t>
  </si>
  <si>
    <t>17119</t>
  </si>
  <si>
    <t>Шлифмашина плоская DENZEL VDS-2, 130Вт, 14000 об/мин /27614</t>
  </si>
  <si>
    <t>17111</t>
  </si>
  <si>
    <t>Шлифмашина плоская DENZEL VS-90-187, 240Вт, 6000-11000 об/мин /27611</t>
  </si>
  <si>
    <t>17089</t>
  </si>
  <si>
    <t>Эл.лобзик DENZEL JS-65, 550Вт, 65мм, 700-3000/мин, ход 18мм /27101</t>
  </si>
  <si>
    <t>17091</t>
  </si>
  <si>
    <t>Эл.лобзик DENZEL JS-80, 650Вт, 65мм, 700-3000/мин, ход 18мм /27103</t>
  </si>
  <si>
    <t>17085</t>
  </si>
  <si>
    <t>Эл.рубанок DENZEL EP-82 720Вт, шир. 82мм /27801</t>
  </si>
  <si>
    <t>171 Электроинструмент CROWN</t>
  </si>
  <si>
    <t>17108</t>
  </si>
  <si>
    <t>Гайковерт ударный CROWN CT12018, 900Вт, квадрат 1/2", 320Нм 2100/мин, 3,5кг</t>
  </si>
  <si>
    <t>17147</t>
  </si>
  <si>
    <t>Дрель акк. CROWN CT21056L-2 BMC, 18B/2.0Ач, БЗП13мм, 0-350/1250/мин 45Нм, 2акк, кейс 0,96кг  /5</t>
  </si>
  <si>
    <t>17145</t>
  </si>
  <si>
    <t>Дрель акк. CROWN CT21072HX-2 BMC, 12B/2.0Ач, БЗП10мм, 0-380/1250/мин 19/30Нм, 2акк, кейс 0,96кг /5</t>
  </si>
  <si>
    <t>17130</t>
  </si>
  <si>
    <t>Дрель- миксер CROWN CT10010, 1050Вт, БЗП-16мм, 0-550/мин, 3,2кг</t>
  </si>
  <si>
    <t>17106</t>
  </si>
  <si>
    <t>Дрель- миксер CROWN CT10148, 1200Вт, БЗП-16мм, 0-550/мин, реверс, 3,2кг</t>
  </si>
  <si>
    <t>17110</t>
  </si>
  <si>
    <t>Дрель- шуруповерт CROWN CT10113, 280Вт, БЗП-10мм, 0-350/1400мин, 22Нм, реверс, 1,5кг</t>
  </si>
  <si>
    <t>17112</t>
  </si>
  <si>
    <t>Перфоратор CROWN CT18108 ВМС, 800Вт, SDS+, 3,4Дж, 3-реж. 0-1200мин, ф32мм, кейс</t>
  </si>
  <si>
    <t>17136</t>
  </si>
  <si>
    <t>Пила циркулярная CROWN СТ15187-165, 1200Вт, 5500бо/м, пропил. 54мм, 165/20мм 3,9кг</t>
  </si>
  <si>
    <t>17131</t>
  </si>
  <si>
    <t>Полировальная машина CROWN CT13302MV, 1300Вт, 180мм, 400-3000об/мин-const, плавный пуск  3,1кг</t>
  </si>
  <si>
    <t>17117</t>
  </si>
  <si>
    <t>УШМ CROWN CT13497-125, 860Вт, 125мм, 11000/мин, 2,0кг</t>
  </si>
  <si>
    <t>17126</t>
  </si>
  <si>
    <t>УШМ CROWN CT13500-230N, 2200Вт, 230мм, 6500/мин, 5,4кг</t>
  </si>
  <si>
    <t>17178</t>
  </si>
  <si>
    <t>УШМ CROWN CT13502-125R, 1010Вт, 125мм, 11000/мин, 2,05кг</t>
  </si>
  <si>
    <t>17118</t>
  </si>
  <si>
    <t>УШМ CROWN CT13502-125V, 1010Вт, 125мм, 4000-11000/мин, 2,05кг</t>
  </si>
  <si>
    <t>17124</t>
  </si>
  <si>
    <t>УШМ CROWN CT13507-150N, 1500Вт, 150мм, 9500/мин, 3,48кг</t>
  </si>
  <si>
    <t>17148</t>
  </si>
  <si>
    <t>Фен технический CROWN CT19022K, 1800Вт, 50/450/500грС, 250/250л/500л/мин  0,7кг</t>
  </si>
  <si>
    <t>17103</t>
  </si>
  <si>
    <t>Фрезер CROWN CT11020, 430Вт, 26000/мин, цанга 6мм, ход 30мм, 1,5кг</t>
  </si>
  <si>
    <t>17167</t>
  </si>
  <si>
    <t>Фрезер кромочный CROWN CT11023S, 710Вт, 13000-33000/мин, цанга 6,8мм, ход 20мм, const 1,45кг</t>
  </si>
  <si>
    <t>17155</t>
  </si>
  <si>
    <t>Шлифмашина ленточная CROWN CT13311, 810Вт, 76х533мм 3,1кг</t>
  </si>
  <si>
    <t>17159</t>
  </si>
  <si>
    <t>Шлифмашина эксцентр. CROWN CT13395, 450Вт, 150мм, 4000-13000/мин колебаний 24000мин 2,4кг</t>
  </si>
  <si>
    <t>17156</t>
  </si>
  <si>
    <t>Шлифмашина эксцентр. CROWN CT13560V, 300Вт, 125мм, 6000-13000/мин колебаний 24000мин 1,5кг</t>
  </si>
  <si>
    <t>17140</t>
  </si>
  <si>
    <t>Эл.лобзик CROWN CT15212, 550Вт, 65мм, 700-3000/мин, ход 18мм, 1,9кг</t>
  </si>
  <si>
    <t>17141</t>
  </si>
  <si>
    <t>Эл.ножовка сабельная CROWN CT15133, 1010Вт, 700-2400/мин, 250мм, ход 28мм, 3,7кг</t>
  </si>
  <si>
    <t>17142</t>
  </si>
  <si>
    <t>Эл.рубанок CROWN CT14019X, 710Вт, 16000/мин, HRS82мм, 0-2,5мм, 2,8кг</t>
  </si>
  <si>
    <t>17143</t>
  </si>
  <si>
    <t>Эл.рубанок CROWN CT14026, 1200Вт, 16000/мин, HRS110мм, 0-3,0мм, 4,4кг</t>
  </si>
  <si>
    <t>172 Электроинструмент HAMMER</t>
  </si>
  <si>
    <t>17289</t>
  </si>
  <si>
    <t>Бензопила Hammer BPL4518C PH 4518 2,7л/c, шина 18</t>
  </si>
  <si>
    <t>17242</t>
  </si>
  <si>
    <t>Дальномер HAMMER DSL 40 GRAVIZAPPA дальность 0,2-40м</t>
  </si>
  <si>
    <t>17253</t>
  </si>
  <si>
    <t>Мойка HAMMER MVD1350, 1350Вт, 320 л/ч, макс.110бар.</t>
  </si>
  <si>
    <t>17202</t>
  </si>
  <si>
    <t>Шлифмашина плоская HAMMER PSM300, 300Вт,6000-12000об/м</t>
  </si>
  <si>
    <t>173 Электроинструмент Patriot, Лесник, Победа</t>
  </si>
  <si>
    <t>17574</t>
  </si>
  <si>
    <t>Дрель акк. Patriot BR110LI 10,8В 2акк. Кейс 1,3ам/ч, 1ч.зарядки Li-ion</t>
  </si>
  <si>
    <t>17548</t>
  </si>
  <si>
    <t>Дрель акк. Patriot BR140LI 14,4В 2акк. Кейс 1,3ам/ч. 1ч зарядки</t>
  </si>
  <si>
    <t>17547</t>
  </si>
  <si>
    <t>Дрель акк. Patriot BR207UES 18В б/щет.дв 2,0Ач 38Нм</t>
  </si>
  <si>
    <t>17514</t>
  </si>
  <si>
    <t>Пистолет паяльный Patriot ST 501</t>
  </si>
  <si>
    <t>17545</t>
  </si>
  <si>
    <t>Эл.рубанок Patriot PL110, 1300Вт, 16000об/м, ширина 110мм</t>
  </si>
  <si>
    <t>17571</t>
  </si>
  <si>
    <t>Эл.рубанок Patriot PL822, 900Вт, 16000об/м, ширина 82мм</t>
  </si>
  <si>
    <t>174 Электроинструмент ДИОЛД</t>
  </si>
  <si>
    <t>17308</t>
  </si>
  <si>
    <t>Дрель- шуруповерт ДИОЛД ЭШ-0,7 700Вт, 0-4000 об/м, до 6мм</t>
  </si>
  <si>
    <t>17402</t>
  </si>
  <si>
    <t>Дрель- шуруповерт ДИОЛД ЭШ-0,75 750Вт, 0-4000 об/м, до 6мм</t>
  </si>
  <si>
    <t>17404</t>
  </si>
  <si>
    <t>УШМ ДИОЛД  МШУ-1,3-150  1300Вт,2500-8200об/мин,Д150мм</t>
  </si>
  <si>
    <t>17074</t>
  </si>
  <si>
    <t>УШМ ДИОЛД  МШУ-1,5-180  1500Вт,6000об/мин,Д180мм</t>
  </si>
  <si>
    <t>17007</t>
  </si>
  <si>
    <t>Шлифмашина  ленточная ДИОЛД  ЛШМ 0,95-76 кейс</t>
  </si>
  <si>
    <t>175 Газосварочное оборудование</t>
  </si>
  <si>
    <t>19096</t>
  </si>
  <si>
    <t>Гайка накидная 32 П</t>
  </si>
  <si>
    <t>19059</t>
  </si>
  <si>
    <t>Горелка ацетиленовая РОАР ГС-2, нак.№1,3А, 6/6</t>
  </si>
  <si>
    <t>19034</t>
  </si>
  <si>
    <t>Клапан обратный КРАСС КО-3-Г22</t>
  </si>
  <si>
    <t>19174</t>
  </si>
  <si>
    <t>Мундштук вн.к резаку Р1 № 0П 3-8 мм  (142П,149П,РВ1,147П) /130.001.05</t>
  </si>
  <si>
    <t>19179</t>
  </si>
  <si>
    <t>Мундштук вн.к резаку Р1 № 3П 30-50мм (142П,149П,РВ1,147П) /130.001.08</t>
  </si>
  <si>
    <t>19180</t>
  </si>
  <si>
    <t>Мундштук вн.к резаку Р1 № 4П 50-100мм (142П,149П,РВ1,147П) /130.001.09</t>
  </si>
  <si>
    <t>19172</t>
  </si>
  <si>
    <t>Мундштук вн.к резаку Р1 №3А, 30-50 мм (142А, РВ1,147А) /130.001.03</t>
  </si>
  <si>
    <t>19189</t>
  </si>
  <si>
    <t>Мундштук вн.к резаку Р3 № 3П 30-50мм (300П/337П/337М/341П) /337.104.03</t>
  </si>
  <si>
    <t>19190</t>
  </si>
  <si>
    <t>Мундштук вн.к резаку Р3 № 4П 50-100мм (300П/337П/337М/341П)/337.104.04</t>
  </si>
  <si>
    <t>19191</t>
  </si>
  <si>
    <t>Мундштук вн.к резаку Р3 № 5П 100-200мм(300П/337П/337М/341П)/337.104.05</t>
  </si>
  <si>
    <t>19192</t>
  </si>
  <si>
    <t>Мундштук вн.к резаку Р3 № 6П 200-300мм(300П/337П/337М/341П)/337.104.06</t>
  </si>
  <si>
    <t>19107</t>
  </si>
  <si>
    <t>Мундштук внутрен.к резакуРС-3П№4П</t>
  </si>
  <si>
    <t>19108</t>
  </si>
  <si>
    <t>Мундштук внутрен.к резакуРС-3П№5П</t>
  </si>
  <si>
    <t>19196</t>
  </si>
  <si>
    <t>Наконечник к горелке Г2/Г3 ДОНМЕТ №1А 0,5-1,0мм в сборе  /225.100.16</t>
  </si>
  <si>
    <t>19113</t>
  </si>
  <si>
    <t>Наконечник к горелке ГПС в сб№3П</t>
  </si>
  <si>
    <t>19067</t>
  </si>
  <si>
    <t>Наконечник к горелке ГС в сб№1А</t>
  </si>
  <si>
    <t>19110</t>
  </si>
  <si>
    <t>Наконечник к горелке ГС в сб№2А</t>
  </si>
  <si>
    <t>19066</t>
  </si>
  <si>
    <t>Наконечник к горелке ГС в сб№3А</t>
  </si>
  <si>
    <t>19217</t>
  </si>
  <si>
    <t>Переходник с внешней резьбы 1/2 дюйма на штуцер 10мм, правая резьба</t>
  </si>
  <si>
    <t>19074</t>
  </si>
  <si>
    <t>Прокладка 19 полиамид</t>
  </si>
  <si>
    <t>ИЗМ48515</t>
  </si>
  <si>
    <t>Регулятор давления PF 3/4" /20/</t>
  </si>
  <si>
    <t>19064</t>
  </si>
  <si>
    <t>Стекло защитное ТИС-3 102*52 С-4 ГОСТ 21-6-87 (Старьстекло) /50/</t>
  </si>
  <si>
    <t>19037</t>
  </si>
  <si>
    <t>Стекло защитное ТИС-3 102*52 С-5 ГОСТ 21-6-87 (Старьстекло) /50/</t>
  </si>
  <si>
    <t>19038</t>
  </si>
  <si>
    <t>Стекло защитное ТИС-3 102*52 С-6 ГОСТ 21-6-87 (Старьстекло) /50/</t>
  </si>
  <si>
    <t>19181</t>
  </si>
  <si>
    <t>Стекло защитное ТИС-3 102*52 С-7 ГОСТ 21-6-87 (Старьстекло) /50/</t>
  </si>
  <si>
    <t>176 Пневмоинструмент/Запчасти для электро/пневмоинструмента</t>
  </si>
  <si>
    <t>17636</t>
  </si>
  <si>
    <t>Батарея Patriot аккумуляторная для шуруповерта BR 201Li 2,0Ач, 20В</t>
  </si>
  <si>
    <t>17620</t>
  </si>
  <si>
    <t>Батарея Patriot аккумуляторная для шуруповерта BR 241Li 2,0Ач, 24В</t>
  </si>
  <si>
    <t>17603</t>
  </si>
  <si>
    <t>Батарея Patriot аккумуляторная для шуруповерта BR101Li, BR111Li, 1,5А/ч, 12В ЗАКБ-12</t>
  </si>
  <si>
    <t>17646</t>
  </si>
  <si>
    <t>Блок питания Patriot для Li-Ni аккум. 24В</t>
  </si>
  <si>
    <t>02669</t>
  </si>
  <si>
    <t>Боек для нейлера артикул 57410// Matrix/57481</t>
  </si>
  <si>
    <t>17703</t>
  </si>
  <si>
    <t>ЗИП для CMSS9025 и CMTS1832Q Comrex- набор прокладок и уплотнений</t>
  </si>
  <si>
    <t>17705</t>
  </si>
  <si>
    <t>ЗИП для CMSS9025 и CMTS183Q Comrex- уплотнительный</t>
  </si>
  <si>
    <t>17509</t>
  </si>
  <si>
    <t>Степлер пнев.MATRIX гвоздь 10-32мм 1,0*1,25мм/57405</t>
  </si>
  <si>
    <t>17649</t>
  </si>
  <si>
    <t>Степлер пнев.MATRIX гвоздь 20-50мм 1,0*1,25мм /57410</t>
  </si>
  <si>
    <t>17508</t>
  </si>
  <si>
    <t>Степлер пнев.MATRIX скоба 10-22мм /57420/</t>
  </si>
  <si>
    <t>17648</t>
  </si>
  <si>
    <t>Степлер пнев.MATRIX скоба 11,2*6-13мм /57415/</t>
  </si>
  <si>
    <t>177 Цепи пильные, инструменты для заточки цепей</t>
  </si>
  <si>
    <t>17715</t>
  </si>
  <si>
    <t>Цепь пильная HAMMER 3/8-1.5-68z 68звен.,3/8"шаг, 1,5паз</t>
  </si>
  <si>
    <t>17706</t>
  </si>
  <si>
    <t>Цепь пильная PATRIOT 52звен.,35см(14"), 3/8"шаг, 1,3паз</t>
  </si>
  <si>
    <t>17721</t>
  </si>
  <si>
    <t>Цепь пильная PATRIOT 62звен.,45см(18"), 3/8"шаг, 1,3паз</t>
  </si>
  <si>
    <t>17723</t>
  </si>
  <si>
    <t>Цепь пильная PATRIOT 64звен.,45см(18"), 3/8"шаг, 1,3паз</t>
  </si>
  <si>
    <t>17743</t>
  </si>
  <si>
    <t>Цепь пильная PATRIOT 68звен.,50см(18"), 3/8"шаг, 1,5паз</t>
  </si>
  <si>
    <t>17724</t>
  </si>
  <si>
    <t>Цепь пильная PATRIOT 72звен.,50см(18"), 3/8"шаг, 1,5паз</t>
  </si>
  <si>
    <t>17700</t>
  </si>
  <si>
    <t>Цепь пильная PATRIOT 72звен.,50см(20"), 3/8"шаг, 1,5паз</t>
  </si>
  <si>
    <t>17739</t>
  </si>
  <si>
    <t>Цепь пильная PATRIOT 78звен., 0,325"шаг, 1,5паз</t>
  </si>
  <si>
    <t>17752</t>
  </si>
  <si>
    <t>Цепь пильная Rezer BPS 66звен 0,325"шаг, 1,5паз</t>
  </si>
  <si>
    <t>17712</t>
  </si>
  <si>
    <t>Цепь пильная Дружба /Т/</t>
  </si>
  <si>
    <t>17742</t>
  </si>
  <si>
    <t>Шина Patriot 20" 0,325 1,5мм 76зв</t>
  </si>
  <si>
    <t>178 Комплектуюшие для электроинструмента</t>
  </si>
  <si>
    <t>17801</t>
  </si>
  <si>
    <t>Адаптер MATRIX SDS+ - М12x1.25/70357</t>
  </si>
  <si>
    <t>17830</t>
  </si>
  <si>
    <t>Адаптер MATRIX SDS+ -1/2"/70356</t>
  </si>
  <si>
    <t>17834</t>
  </si>
  <si>
    <t>Адаптер MATRIX с гайкой М14 для крепления на дрель /76290</t>
  </si>
  <si>
    <t>17800</t>
  </si>
  <si>
    <t>Катушка для тримм. полуавт DENZEL быстрая заправка шестигр. HEX х15,6 болт5/16 лев.М8 лев./96364</t>
  </si>
  <si>
    <t>17811</t>
  </si>
  <si>
    <t>Катушка для триммер.а DENZEL гайка М8,гайка М10, винт М8-М10, лев. резьба,шаг 1,25 мм/96312</t>
  </si>
  <si>
    <t>17865</t>
  </si>
  <si>
    <t>Катушка для триммера (DENZEL, MTD, GREEN LINE) /96302</t>
  </si>
  <si>
    <t>17814</t>
  </si>
  <si>
    <t>Катушка для триммера DENZEL. гайка М10,гайка М8,М12,винт М8-М10, лев.резьба,шаг1,25 мм/96314</t>
  </si>
  <si>
    <t>17803</t>
  </si>
  <si>
    <t>Катушка для триммера полуавтомат. DENZEL легкая заправка лески, гайка M8x1,25, винт M8-M8 /96324</t>
  </si>
  <si>
    <t>17849</t>
  </si>
  <si>
    <t>Катушка для триммера электро(FCO 8110,8130;OLEO-MAC TR91E,TR101E)/96303</t>
  </si>
  <si>
    <t>17866</t>
  </si>
  <si>
    <t>Катушка для триммера(HOMELITE, RYOBI, ALPINA) \96301</t>
  </si>
  <si>
    <t>01887</t>
  </si>
  <si>
    <t>Катушка универ. триммер.DENZEL гайкаМ10, гайкаМ8, винтМ8-М10, лев.резьба,шаг 1,25мм/96316</t>
  </si>
  <si>
    <t>64421</t>
  </si>
  <si>
    <t>Комплект ножей к рубан HAMMER209-103 РВ82*29*3 82мм, 2шт.,</t>
  </si>
  <si>
    <t>69503</t>
  </si>
  <si>
    <t>Комплект ножей к рубан HAMMER209-104 РВ110*29*3,0 110мм, 2шт., НM</t>
  </si>
  <si>
    <t>17832</t>
  </si>
  <si>
    <t>Комплект ножей к рубан HAMMER209-107 РВ82*29*3 82мм, 2шт.,</t>
  </si>
  <si>
    <t>179 Химия для инструмента</t>
  </si>
  <si>
    <t>17910</t>
  </si>
  <si>
    <t>Масло для 2-такт. двигателей TEXOIL 20мл, минеральное</t>
  </si>
  <si>
    <t>17728</t>
  </si>
  <si>
    <t>Масло для 4-такт. двигателей SUPREME 4T 0.6л /12</t>
  </si>
  <si>
    <t>180-189 Хозяйственный инвентарь</t>
  </si>
  <si>
    <t>180 Вилы/Грабли</t>
  </si>
  <si>
    <t>18003</t>
  </si>
  <si>
    <t>Вилы 4-рогие навозные кованные Арти 66-2-004 /10/</t>
  </si>
  <si>
    <t>18085</t>
  </si>
  <si>
    <t>Вилы 4-рогие навозные цельнокованые рельсовая сталь /24/</t>
  </si>
  <si>
    <t>18023</t>
  </si>
  <si>
    <t>Вилы 4-рогие навозные цельнокованые, (рельс. сталь) б/чер. ВН-ЦК</t>
  </si>
  <si>
    <t>18055</t>
  </si>
  <si>
    <t>Вилы 4-рогие огородник б/чер. 175*220мм, длин. тулейка /63837/66-2-005</t>
  </si>
  <si>
    <t>18076</t>
  </si>
  <si>
    <t>Вилы 4-рогие садово-огородные с черенком №52</t>
  </si>
  <si>
    <t>18077</t>
  </si>
  <si>
    <t>Вилы 4-рогие садово-огородные сварные из полосы №52 /15/</t>
  </si>
  <si>
    <t>18046</t>
  </si>
  <si>
    <t>Вилы 5-рогие копальные с опорой, сварные из полосы (255*150*260) №53/3шт /2/</t>
  </si>
  <si>
    <t>18080</t>
  </si>
  <si>
    <t>Грабли 10-зубые Грин Бэлт, садовые MST018 /40/</t>
  </si>
  <si>
    <t>18084</t>
  </si>
  <si>
    <t>Грабли 14-зубые б/чер. Альтернатива, пластмассовые М4920 /25/</t>
  </si>
  <si>
    <t>18081</t>
  </si>
  <si>
    <t>Грабли 5-зубые с черенком Грин Бэлт, садовые, малые K718G /25/</t>
  </si>
  <si>
    <t>18057</t>
  </si>
  <si>
    <t>Грабли веерные 15-зубые с черенком PALISAD LUXE, телескопические, раздвижные /61787</t>
  </si>
  <si>
    <t>05349</t>
  </si>
  <si>
    <t>Грабли веерные 15-зубые с черенком PALISAD, стальные, 190-520х1200-1500мм, раздвижные /6175655</t>
  </si>
  <si>
    <t>18028</t>
  </si>
  <si>
    <t>Грабли веерные 15-зубые с черенком, раздвижные S-930-2 /24/</t>
  </si>
  <si>
    <t>18090</t>
  </si>
  <si>
    <t>Грабли веерные 18-зубые б/чер., оцинкованные, круглый зуб /СИБРТЕХ Россия/61780</t>
  </si>
  <si>
    <t>18091</t>
  </si>
  <si>
    <t>Грабли веерные 18-зубые с черенком, оцинкованные, круглый зуб /СИБРТЕХ Россия/61781</t>
  </si>
  <si>
    <t>18072</t>
  </si>
  <si>
    <t>Грабли веерные 20-зубые с черенком, пластинчатые, металл. /61779</t>
  </si>
  <si>
    <t>18017</t>
  </si>
  <si>
    <t>Грабли веерные 22-зубые б/чер. PALISAD, 300-480мм, раздвижные /617675</t>
  </si>
  <si>
    <t>18001</t>
  </si>
  <si>
    <t>Грабли веерные 22-зубые б/чер. PALISAD, стальные, 565 мм, эмалиров, усиленные /617015</t>
  </si>
  <si>
    <t>18082</t>
  </si>
  <si>
    <t>Грабли веерные 9-зубые с черенком Грин Бэлт, малые K7118N /25/</t>
  </si>
  <si>
    <t>181 Лопаты снеговые/Движки/Ледорубы</t>
  </si>
  <si>
    <t>18157</t>
  </si>
  <si>
    <t>Лопата снеговая пласт. б/ч 450*320 №4 алюм. планка (d=36) /5/</t>
  </si>
  <si>
    <t>18186</t>
  </si>
  <si>
    <t>Лопата снеговая пласт. б/ч 460*370 Аляска черная с оцинк. планка d40 /10/</t>
  </si>
  <si>
    <t>18139</t>
  </si>
  <si>
    <t>Лопата снеговая пласт. б/ч Платар без планки</t>
  </si>
  <si>
    <t>18198</t>
  </si>
  <si>
    <t>Лопата снеговая пласт. б/ч Платар с планкой</t>
  </si>
  <si>
    <t>18109</t>
  </si>
  <si>
    <t>Лопата снеговая пласт. с/ч 430*420 Альтернатива с полик-т красный М7261 /3/</t>
  </si>
  <si>
    <t>18108</t>
  </si>
  <si>
    <t>Лопата снеговая пласт. с/ч 430*420 Альтернатива с полик-т синий М8833 /3/</t>
  </si>
  <si>
    <t>18100</t>
  </si>
  <si>
    <t>Лопата снеговая пласт. с/ч 430*420 Альтернатива Эконом с полик-т М3619 /3/</t>
  </si>
  <si>
    <t>18154</t>
  </si>
  <si>
    <t>Лопата снеговая пласт. с/ч 446*357 Альтернатива Эконом с полик-т М7827 /3/</t>
  </si>
  <si>
    <t>18104</t>
  </si>
  <si>
    <t>Лопата снеговая пласт. с/ч 460*340 POLISAD метал. /61591</t>
  </si>
  <si>
    <t>18106</t>
  </si>
  <si>
    <t>Лопата снеговая пласт. с/ч 470*350 Альтернатива Комфорт с наонечником М8832 /3/</t>
  </si>
  <si>
    <t>18262</t>
  </si>
  <si>
    <t>Лопата снеговая пласт. с/ч 505-340 POLISAD алюм. телеск. /61501</t>
  </si>
  <si>
    <t>182 Лопаты</t>
  </si>
  <si>
    <t>18290</t>
  </si>
  <si>
    <t>Лопата б/ч Борск дачная ЛД</t>
  </si>
  <si>
    <t>16145</t>
  </si>
  <si>
    <t>Лопата б/ч копальная Борск ЛКО 61410 /10/</t>
  </si>
  <si>
    <t>18201</t>
  </si>
  <si>
    <t>Лопата б/ч копальная Борск прямая ЛКП 61417 /10/</t>
  </si>
  <si>
    <t>18229</t>
  </si>
  <si>
    <t>Лопата б/ч облегченная Борск ЛО /61429</t>
  </si>
  <si>
    <t>18203</t>
  </si>
  <si>
    <t>Лопата б/ч совковая Борск ЛСП хол. формовки /61415</t>
  </si>
  <si>
    <t>37017</t>
  </si>
  <si>
    <t>Лопата б/ч совковая Борск ЛСП-2 /10/</t>
  </si>
  <si>
    <t>18215</t>
  </si>
  <si>
    <t>Лопата б/ч штыковая из рельсовой стали K2, 0,7kg /10/</t>
  </si>
  <si>
    <t>18236</t>
  </si>
  <si>
    <t>Лопата б/ч штыковая из рельсовой стали №6 /12/</t>
  </si>
  <si>
    <t>18232</t>
  </si>
  <si>
    <t>Лопата б/ч штыковая из рельсовой стали Американка №4 черная /12/</t>
  </si>
  <si>
    <t>18227</t>
  </si>
  <si>
    <t>Лопата б/ч штыковая из рельсовой стали облегченная №2 черная /12/</t>
  </si>
  <si>
    <t>18205</t>
  </si>
  <si>
    <t>Лопата+пила, открывалка Ермак саперная 63 см легиров. сталь, дерево 070-009 /20/</t>
  </si>
  <si>
    <t>183 Лопаты с черенком/Метлы с черенком/черенки</t>
  </si>
  <si>
    <t>18275</t>
  </si>
  <si>
    <t>Лопата с/ч копальная Борск ЛКО /61460</t>
  </si>
  <si>
    <t>18294</t>
  </si>
  <si>
    <t>Лопата с/ч копальная Борск прямая ЛКП /61458</t>
  </si>
  <si>
    <t>18276</t>
  </si>
  <si>
    <t>Лопата с/ч совковая Борск ЛСП хол. формовки /61461</t>
  </si>
  <si>
    <t>18277</t>
  </si>
  <si>
    <t>Лопата с/ч совковая Борск ЛСП-2</t>
  </si>
  <si>
    <t>18633</t>
  </si>
  <si>
    <t>Метла полипропилен Баба Яга</t>
  </si>
  <si>
    <t>18827</t>
  </si>
  <si>
    <t>Метла полипропилен.круг.вяз. Чистюля</t>
  </si>
  <si>
    <t>18625</t>
  </si>
  <si>
    <t>Метла полипропилен.круг.вяз. Чистюля большая</t>
  </si>
  <si>
    <t>18400</t>
  </si>
  <si>
    <t>Черенок для граблей 30*1200 1 сорт. /Л Россия/68442 /20/</t>
  </si>
  <si>
    <t>18301</t>
  </si>
  <si>
    <t>Черенок для лопат 38*200 шлиф (Щ)</t>
  </si>
  <si>
    <t>18313</t>
  </si>
  <si>
    <t>Черенок для лопат 40*130/140 шлиф 1 сорт (Л) /15/</t>
  </si>
  <si>
    <t>18279</t>
  </si>
  <si>
    <t>Черенок для лопат 40*130/140 шлиф 3 сорт УЦЕНКА (Л) /15/</t>
  </si>
  <si>
    <t>18240</t>
  </si>
  <si>
    <t>Черенок для щеток 30*140 шлиф конус /68414 /50/</t>
  </si>
  <si>
    <t>184 Посуда оцинкованная/нержавейка</t>
  </si>
  <si>
    <t>18406</t>
  </si>
  <si>
    <t>Бак оцинк. 100л с крышкой МП /3/</t>
  </si>
  <si>
    <t>18403</t>
  </si>
  <si>
    <t>Бак оцинк. 20л с крышкой МП /5/</t>
  </si>
  <si>
    <t>18412</t>
  </si>
  <si>
    <t>Бак оцинк. 32л с крышкой д/белья МП 67549 /5/</t>
  </si>
  <si>
    <t>18401</t>
  </si>
  <si>
    <t>Бак оцинк. 32л с крышкой д/белья с решеткой МП /5/</t>
  </si>
  <si>
    <t>18426</t>
  </si>
  <si>
    <t>Бак оцинк. 32л с крышкой д/воды с краном МП /5/</t>
  </si>
  <si>
    <t>18432</t>
  </si>
  <si>
    <t>Бак оцинк. 55л овальный д/воды с краном МП</t>
  </si>
  <si>
    <t>18405</t>
  </si>
  <si>
    <t>Бак оцинк. 70л с крышкой МП /3/</t>
  </si>
  <si>
    <t>18433</t>
  </si>
  <si>
    <t>Бак оцинк. 75л овальный д/воды с краном МП</t>
  </si>
  <si>
    <t>18434</t>
  </si>
  <si>
    <t>Бак оцинк. 95л овальный д/воды с краном МП</t>
  </si>
  <si>
    <t>18413</t>
  </si>
  <si>
    <t>Ванна хоз/оцинк. 45л МП /4/</t>
  </si>
  <si>
    <t>18425</t>
  </si>
  <si>
    <t>Ванна хоз/оцинк. 75л МП /3/</t>
  </si>
  <si>
    <t>18431</t>
  </si>
  <si>
    <t>Ведро оцинк. 12л для ГСМ ПМ /10/</t>
  </si>
  <si>
    <t>18469</t>
  </si>
  <si>
    <t>Ведро оцинк. 12л Эконом ПМ /10/</t>
  </si>
  <si>
    <t>18449</t>
  </si>
  <si>
    <t>Ведро оцинк. 15л ПМ /10/</t>
  </si>
  <si>
    <t>18422</t>
  </si>
  <si>
    <t>Ведро оцинк. 15л эконом ПМ /10/</t>
  </si>
  <si>
    <t>18428</t>
  </si>
  <si>
    <t>Ведро оцинк. 5л ПМ /10/</t>
  </si>
  <si>
    <t>18465</t>
  </si>
  <si>
    <t>Ведро оцинк. 7л ПМ /10/</t>
  </si>
  <si>
    <t>18419</t>
  </si>
  <si>
    <t>Ведро оцинк. 9л 0,4мм ПМ /10/</t>
  </si>
  <si>
    <t>18447</t>
  </si>
  <si>
    <t>Ведро оцинк. 9л ПМ /10/</t>
  </si>
  <si>
    <t>18470</t>
  </si>
  <si>
    <t>Ведро оцинк. 9л Эконом ПМ /10/</t>
  </si>
  <si>
    <t>18464</t>
  </si>
  <si>
    <t>Ковш нерж. 0,5л 22734</t>
  </si>
  <si>
    <t>18438</t>
  </si>
  <si>
    <t>Ковш нерж. 0,7л длиная ручка</t>
  </si>
  <si>
    <t>18439</t>
  </si>
  <si>
    <t>Ковш нерж. 1,25л длиная ручка</t>
  </si>
  <si>
    <t>18468</t>
  </si>
  <si>
    <t>Ковш нерж. 2,5л с дер. ручкой МП /10/</t>
  </si>
  <si>
    <t>18421</t>
  </si>
  <si>
    <t>Ковш оцинк. 1,5л с дер. ручкой МП /10/</t>
  </si>
  <si>
    <t>18458</t>
  </si>
  <si>
    <t>Ковш оцинк. 2,5л с дер. ручкой МП /10/</t>
  </si>
  <si>
    <t>18420</t>
  </si>
  <si>
    <t>Корыто оцинк. 45л цельнотянутое МП /30/</t>
  </si>
  <si>
    <t>18467</t>
  </si>
  <si>
    <t>Лейка оцинк. 10л эллипсная</t>
  </si>
  <si>
    <t>18442</t>
  </si>
  <si>
    <t>Лейка оцинк. 8л садова-огородная /4/</t>
  </si>
  <si>
    <t>18414</t>
  </si>
  <si>
    <t>Подойник коррозионностойкий стальной 12л ПМ /5/</t>
  </si>
  <si>
    <t>18473</t>
  </si>
  <si>
    <t>Таз нерж. 6,5л Д40*0,5мм</t>
  </si>
  <si>
    <t>18404</t>
  </si>
  <si>
    <t>Таз нерж. 6,5л Д40*0,6мм</t>
  </si>
  <si>
    <t>18415</t>
  </si>
  <si>
    <t>Таз нерж. 6,5л Д45*0,6мм</t>
  </si>
  <si>
    <t>18416</t>
  </si>
  <si>
    <t>Таз нерж. 6,5л Д50*0,6мм</t>
  </si>
  <si>
    <t>18402</t>
  </si>
  <si>
    <t>Таз оцинк. 13л круглый МП /5/</t>
  </si>
  <si>
    <t>18407</t>
  </si>
  <si>
    <t>Таз оцинк. 17л овальный МП /5/</t>
  </si>
  <si>
    <t>18408</t>
  </si>
  <si>
    <t>Таз оцинк. 27л овальный МП /5/</t>
  </si>
  <si>
    <t>18424</t>
  </si>
  <si>
    <t>Таз оцинк. 9л круглый МП /5/</t>
  </si>
  <si>
    <t>18455</t>
  </si>
  <si>
    <t>Умывальник уличный оцинк. 10л Лидер</t>
  </si>
  <si>
    <t>18410</t>
  </si>
  <si>
    <t>Умывальник уличный оцинк. 12л МП</t>
  </si>
  <si>
    <t>18411</t>
  </si>
  <si>
    <t>Умывальник уличный оцинк. 20л МП</t>
  </si>
  <si>
    <t>18454</t>
  </si>
  <si>
    <t>Умывальник уличный оцинк. 4,5л Лидер</t>
  </si>
  <si>
    <t>18441</t>
  </si>
  <si>
    <t>Умывальник уличный оцинк. 9л с боковиной из нерж.ст.</t>
  </si>
  <si>
    <t>185 Мышеловка/Крысоловки/Мухобойки/Отпугиватели</t>
  </si>
  <si>
    <t>18555</t>
  </si>
  <si>
    <t>Кротоловка 2шт /50/</t>
  </si>
  <si>
    <t>18530</t>
  </si>
  <si>
    <t>Крысоловка Чистый дом /144/</t>
  </si>
  <si>
    <t>18563</t>
  </si>
  <si>
    <t>Лампа инсектицидная Чистон-7М</t>
  </si>
  <si>
    <t>18548</t>
  </si>
  <si>
    <t>Мухобойка пластик 45 см Подсолнух МТ76-18 /12/144/</t>
  </si>
  <si>
    <t>18510</t>
  </si>
  <si>
    <t>Мухобойка пластик 46 см 4 цвета 45-15 159-014 /50/</t>
  </si>
  <si>
    <t>18534</t>
  </si>
  <si>
    <t>Мухобойка пластик круглая М6267 /50/</t>
  </si>
  <si>
    <t>82223</t>
  </si>
  <si>
    <t>Мухобойка пластик фигурная М1133 /50/</t>
  </si>
  <si>
    <t>18550</t>
  </si>
  <si>
    <t>Мышеловка 100*45 мм дерево металл 156-016 /12/672/</t>
  </si>
  <si>
    <t>18527</t>
  </si>
  <si>
    <t>Мышеловка мет. дерево В-5 /100/</t>
  </si>
  <si>
    <t>18503</t>
  </si>
  <si>
    <t>Мышеловка СПАРТА деревян., 2 шт./938295</t>
  </si>
  <si>
    <t>18556</t>
  </si>
  <si>
    <t>Мышеловка Чистый дом /300/</t>
  </si>
  <si>
    <t>18516</t>
  </si>
  <si>
    <t>Мышеловка-крысоловка мет. ZK-6 /100/</t>
  </si>
  <si>
    <t>18557</t>
  </si>
  <si>
    <t>Отпугиватель грызунов (ультразвук) 220В Чистон-2</t>
  </si>
  <si>
    <t>18558</t>
  </si>
  <si>
    <t>Отпугиватель грызунов (ультразвук) 220В Чистон-2 Про</t>
  </si>
  <si>
    <t>18562</t>
  </si>
  <si>
    <t>Отпугиватель землеройных вредителей (ультразвук) 220В Чистон-3</t>
  </si>
  <si>
    <t>18600</t>
  </si>
  <si>
    <t>Отпугиватель комаров Облик 709</t>
  </si>
  <si>
    <t>18696</t>
  </si>
  <si>
    <t>Отпугиватель комаров ульртазвуковой портативный с батарейк. радиус действ. 2м 931-075 /3/96/</t>
  </si>
  <si>
    <t>18520</t>
  </si>
  <si>
    <t>Отпугиватель комаров ульртазвуковой портативный с батарейк. радиус действ. 3м 931-078 /3/96/</t>
  </si>
  <si>
    <t>18546</t>
  </si>
  <si>
    <t>Отпугиватель пауков Облик 708</t>
  </si>
  <si>
    <t>18561</t>
  </si>
  <si>
    <t>Отпугиватель собак ультразвуковой 220В Чистон-11</t>
  </si>
  <si>
    <t>18544</t>
  </si>
  <si>
    <t>Отпугиватель собак ультразвуковой с фонариком R дейс. 10м 13*4*2,5см 156-008 /5/120/</t>
  </si>
  <si>
    <t>186 Прочий хозинвентарь</t>
  </si>
  <si>
    <t>18603</t>
  </si>
  <si>
    <t>Веник сорго высший сорт /50/</t>
  </si>
  <si>
    <t>18601</t>
  </si>
  <si>
    <t>Веник сорго высший сорт 5-ти палый /50/</t>
  </si>
  <si>
    <t>18615</t>
  </si>
  <si>
    <t>Кочерга + совок для золы набор печной 2 пр.</t>
  </si>
  <si>
    <t>186220</t>
  </si>
  <si>
    <t>Лампа керосиновая "кружка" крашенная без стекла</t>
  </si>
  <si>
    <t>18669</t>
  </si>
  <si>
    <t>Лампа керосиновая "Летучая мышь" /932305</t>
  </si>
  <si>
    <t>00129</t>
  </si>
  <si>
    <t>Скребок для кафеля 230мм с вольф-карб.напыл./MATRIX//79560</t>
  </si>
  <si>
    <t>18634</t>
  </si>
  <si>
    <t>Совок для золы (С) металлический</t>
  </si>
  <si>
    <t>18610</t>
  </si>
  <si>
    <t>Совок для золы металлический L38 см</t>
  </si>
  <si>
    <t>18564</t>
  </si>
  <si>
    <t>Совок для золы окраш.100*100*40 мм L-330</t>
  </si>
  <si>
    <t>18623</t>
  </si>
  <si>
    <t>Совок для золы окраш.160*110*30 мм L-560 №41 /40/</t>
  </si>
  <si>
    <t>18607</t>
  </si>
  <si>
    <t>Совок для золы стальной BBQ time 50 см /40/</t>
  </si>
  <si>
    <t>18693</t>
  </si>
  <si>
    <t>Совок для мусора метал. большой длин. ручкой (П)</t>
  </si>
  <si>
    <t>18630</t>
  </si>
  <si>
    <t>Совок для мусора метал. ручка вертикальная 70см №58 /5/</t>
  </si>
  <si>
    <t>18676</t>
  </si>
  <si>
    <t>Ящик почтовый Альтернатива с замком декор коричн.М6434 /7/</t>
  </si>
  <si>
    <t>18673</t>
  </si>
  <si>
    <t>Ящик почтовый Альтернатива с замком декор темно-зел. М6435 /7/</t>
  </si>
  <si>
    <t>18688</t>
  </si>
  <si>
    <t>Ящик почтовый Альтернатива с замком синий М6179 /7/</t>
  </si>
  <si>
    <t>18602</t>
  </si>
  <si>
    <t>Ящик почтовый Альтернатива с замком Эконом.М7223 /7/</t>
  </si>
  <si>
    <t>187 Насадки к швабрам</t>
  </si>
  <si>
    <t>18714</t>
  </si>
  <si>
    <t>Насадка сменная к швабре 40 см Р-010</t>
  </si>
  <si>
    <t>18807</t>
  </si>
  <si>
    <t>Насадка сменная к швабре 4829 EH из микрофибры веревеч. 4830</t>
  </si>
  <si>
    <t>18744</t>
  </si>
  <si>
    <t>Насадка сменная к швабре BY из микрофибры 44*15 см 444-352 /60/</t>
  </si>
  <si>
    <t>18750</t>
  </si>
  <si>
    <t>Насадка сменная к швабре BY ПВА 28 см влажная плоская 444-357 /50/</t>
  </si>
  <si>
    <t>18749</t>
  </si>
  <si>
    <t>Насадка сменная к швабре BY хлопок 240 гр 444-360 /48/</t>
  </si>
  <si>
    <t>18875</t>
  </si>
  <si>
    <t>Насадка сменная к швабре EH из микрофибры Euro klass 2 3922</t>
  </si>
  <si>
    <t>18871</t>
  </si>
  <si>
    <t>Насадка сменная к швабре EH из микрофибры веревоч. 4367 /30/</t>
  </si>
  <si>
    <t>18813</t>
  </si>
  <si>
    <t>Насадка сменная к швабре EH х/б Euro klass 1 3923</t>
  </si>
  <si>
    <t>18709</t>
  </si>
  <si>
    <t>Насадка сменная к швабре NataM из микрофибры 41*13 см с длинным ворсом бежевая /24/</t>
  </si>
  <si>
    <t>18703</t>
  </si>
  <si>
    <t>Насадка сменная к швабре NataM из микрофибры 41*13 см с длинным ворсом мятная /24/</t>
  </si>
  <si>
    <t>18707</t>
  </si>
  <si>
    <t>Насадка сменная к швабре NataM из микрофибры 41*13 см с коротким ворсом бежевая /50/</t>
  </si>
  <si>
    <t>18702</t>
  </si>
  <si>
    <t>Насадка сменная к швабре NataM из микрофибры 41*13 см с коротким ворсом мятная /50/</t>
  </si>
  <si>
    <t>18858</t>
  </si>
  <si>
    <t>Насадка сменная к швабре NECO из микрофибры 10-1913-11 15-11913-11 444-046 /12/</t>
  </si>
  <si>
    <t>18859</t>
  </si>
  <si>
    <t>Насадка сменная к швабре NECO из микрофибры 10-4063-11 13-4063-11 444-052 /4/48/</t>
  </si>
  <si>
    <t>18800</t>
  </si>
  <si>
    <t>Насадка сменная к швабре NECO из микрофибры 444-062 /6/48/</t>
  </si>
  <si>
    <t>18748</t>
  </si>
  <si>
    <t>Насадка сменная к швабре VETTA двухстор. микрофибра/шенил эконом 40*12 см 70 г 444-374 /12/</t>
  </si>
  <si>
    <t>18864</t>
  </si>
  <si>
    <t>Насадка сменная к швабре VETTA из вискозы отжим. YKB-03В 444-005 /5/50/</t>
  </si>
  <si>
    <t>18837</t>
  </si>
  <si>
    <t>Насадка сменная к швабре VETTA из микрофибры 28 см 100гр круглая плетенная прошитая 444-138 /5/</t>
  </si>
  <si>
    <t>18730</t>
  </si>
  <si>
    <t>Насадка сменная к швабре VETTA из микрофибры 30*40 см 444-259 4 цв. 448-019 /10/</t>
  </si>
  <si>
    <t>18705</t>
  </si>
  <si>
    <t>Насадка сменная к швабре VETTA из микрофибры 32*12,5 см 444-383 /2/</t>
  </si>
  <si>
    <t>18738</t>
  </si>
  <si>
    <t>Насадка сменная к швабре VETTA из микрофибры 32*17 см 444-336 /2/50/</t>
  </si>
  <si>
    <t>18706</t>
  </si>
  <si>
    <t>Насадка сменная к швабре VETTA из микрофибры 35*10,5 см 444-382 /12/</t>
  </si>
  <si>
    <t>18717</t>
  </si>
  <si>
    <t>Насадка сменная к швабре VETTA из микрофибры 37*17 см 444-262 /10/</t>
  </si>
  <si>
    <t>18712</t>
  </si>
  <si>
    <t>Насадка сменная к швабре VETTA из микрофибры 38*12,5 см на липучках эконом 444-298 /10/</t>
  </si>
  <si>
    <t>18878</t>
  </si>
  <si>
    <t>Насадка сменная к швабре VETTA из микрофибры 40 см 444-169 /2/50/</t>
  </si>
  <si>
    <t>18745</t>
  </si>
  <si>
    <t>Насадка сменная к швабре VETTA из микрофибры 40*10 см лапша 444-363 /12/</t>
  </si>
  <si>
    <t>18720</t>
  </si>
  <si>
    <t>Насадка сменная к швабре VETTA из микрофибры 40*10 см основа полиэст. букли эконом 444-272 /12/</t>
  </si>
  <si>
    <t>18708</t>
  </si>
  <si>
    <t>Насадка сменная к швабре VETTA из микрофибры 40*10 см Полоска 4 цв. 448-018 /12/</t>
  </si>
  <si>
    <t>18713</t>
  </si>
  <si>
    <t>Насадка сменная к швабре VETTA из микрофибры 40*10 см ромбы 3 цв. 448-017 /12/</t>
  </si>
  <si>
    <t>18710</t>
  </si>
  <si>
    <t>Насадка сменная к швабре VETTA из микрофибры 40*12 см лапша эконом 444-369 /12/</t>
  </si>
  <si>
    <t>18719</t>
  </si>
  <si>
    <t>Насадка сменная к швабре VETTA из микрофибры 41*12 см 444-264 /10/</t>
  </si>
  <si>
    <t>18725</t>
  </si>
  <si>
    <t>Насадка сменная к швабре VETTA из микрофибры 41*12 см Синель 444-414 /12/</t>
  </si>
  <si>
    <t>18732</t>
  </si>
  <si>
    <t>Насадка сменная к швабре VETTA из микрофибры 41*12 см шенилл 444-345 /12/</t>
  </si>
  <si>
    <t>18731</t>
  </si>
  <si>
    <t>Насадка сменная к швабре VETTA из микрофибры 41*13 см на липучках 444-376 /12/</t>
  </si>
  <si>
    <t>18704</t>
  </si>
  <si>
    <t>Насадка сменная к швабре VETTA из микрофибры Triple 444-101 /6/48/</t>
  </si>
  <si>
    <t>18848</t>
  </si>
  <si>
    <t>Насадка сменная к швабре VETTA из микрофибры плетеной прошитая прямоугольная 140гр 444-137 /2/</t>
  </si>
  <si>
    <t>18743</t>
  </si>
  <si>
    <t>Насадка сменная к швабре VETTA из микрофибры плоский моп 444-346 /12/</t>
  </si>
  <si>
    <t>18722</t>
  </si>
  <si>
    <t>Насадка сменная к швабре VETTA МОП 29 см 200 гр хлопок 444-295 /2/</t>
  </si>
  <si>
    <t>18723</t>
  </si>
  <si>
    <t>Насадка сменная к швабре VETTA МОП 34 см 200 гр хлопок 444-296 /2/</t>
  </si>
  <si>
    <t>18716</t>
  </si>
  <si>
    <t>Насадка сменная к швабре VETTA МОП 35 см 400 гр хлопок премиум 444-293 /2/50/</t>
  </si>
  <si>
    <t>18832</t>
  </si>
  <si>
    <t>Насадка сменная к швабре VETTA ПВА 27 см отжим. Z316PF 444-050 /20/</t>
  </si>
  <si>
    <t>18746</t>
  </si>
  <si>
    <t>Насадка сменная к швабре VETTA флис 38*12 см 444-371 /10/</t>
  </si>
  <si>
    <t>18721</t>
  </si>
  <si>
    <t>Насадка сменная к швабре Альтернатива Уют М4688 /25/</t>
  </si>
  <si>
    <t>18733</t>
  </si>
  <si>
    <t>Насадка сменная к швабре из микрофибры 40*10 см Полосатая ТН-804 444-412 /90/</t>
  </si>
  <si>
    <t>18881</t>
  </si>
  <si>
    <t>Насадка сменная к швабре МОП Люкс maxi 444-012 /5/35/</t>
  </si>
  <si>
    <t>18883</t>
  </si>
  <si>
    <t>Насадка сменная к швабре МОП Люкс Премиум1 444-010 /5/25/</t>
  </si>
  <si>
    <t>18736</t>
  </si>
  <si>
    <t>Насадка сменная к швабре МОП мега 45 см 444-009 /10/30/</t>
  </si>
  <si>
    <t>188 Швабры</t>
  </si>
  <si>
    <t>18885</t>
  </si>
  <si>
    <t>Набор д/уборки Альтернатива Уют (ведро с отж.-швабра) розов. М4653</t>
  </si>
  <si>
    <t>18861</t>
  </si>
  <si>
    <t>Набор д/уборки МОП: ведро 11,8л, швабра, доп.насадка 22см, принцип отж. Юла, пласт, мет 407-032 /6/</t>
  </si>
  <si>
    <t>18941</t>
  </si>
  <si>
    <t>Набор д/уборки МОП: ведро 14л,с колес. швабра, доп.насадка 22см, принцип отж. Юла, плас, мет 407-048</t>
  </si>
  <si>
    <t>18810</t>
  </si>
  <si>
    <t>Набор д/уборки МОП: ведро 9л, швабра, доп.насадка, принцип отж. Юла, пласт 407-031 /2/</t>
  </si>
  <si>
    <t>18838</t>
  </si>
  <si>
    <t>Тряпкодержатель мет. с мет. ручкой ТР0359 444-362 /10/</t>
  </si>
  <si>
    <t>18869</t>
  </si>
  <si>
    <t>Швабра BY с насадкой из микрофибры 44*15 см телеск. ручкой 83-126 см 444-351 /24/</t>
  </si>
  <si>
    <t>18888</t>
  </si>
  <si>
    <t>Швабра BY с насадкой из хлопка 148 см 444-359 /24/</t>
  </si>
  <si>
    <t>18876</t>
  </si>
  <si>
    <t>Швабра BY с насадкой ПВА 28 см телеск. ручкой 109-132 см двойной ряд роликов 444-354 /20/</t>
  </si>
  <si>
    <t>18884</t>
  </si>
  <si>
    <t>Швабра BY с насадкой ПВА 28 см телеск. ручкой 114-141 см складная 444-356 /20/</t>
  </si>
  <si>
    <t>18836</t>
  </si>
  <si>
    <t>Швабра BY с насадкой шенилл 44*15 см телеск. ручкой 83-126 см 444-361 /24/</t>
  </si>
  <si>
    <t>18815</t>
  </si>
  <si>
    <t>Швабра NataM с насадкой из микрофибры телеск. ручка 116,5 см бежевая /24/</t>
  </si>
  <si>
    <t>18806</t>
  </si>
  <si>
    <t>Швабра NataM с насадкой из микрофибры телеск. ручка 116,5 см мятная /24/</t>
  </si>
  <si>
    <t>18899</t>
  </si>
  <si>
    <t>Швабра NECO с насадкой из микрофибры 10-1913-11 444-045 /2/24/</t>
  </si>
  <si>
    <t>18872</t>
  </si>
  <si>
    <t>Швабра VETTA 360 съемн.с отжимом и щетк.для чист.доп.нас.36 см 128 см нерж.ст.пластик 444-316 /2/30/</t>
  </si>
  <si>
    <t>18867</t>
  </si>
  <si>
    <t>Швабра VETTA с насадкой из вискозы отжимная 444-004 /2/24/</t>
  </si>
  <si>
    <t>18818</t>
  </si>
  <si>
    <t>Швабра VETTA с насадкой из микрофибры мет. пластик 12*42 см 444-256 /2/12/</t>
  </si>
  <si>
    <t>18711</t>
  </si>
  <si>
    <t>Швабра VETTA с насадкой из микрофибры мет. ручка принт. NP-2013 444-277 /2/60/</t>
  </si>
  <si>
    <t>18870</t>
  </si>
  <si>
    <t>Швабра VETTA с насадкой из микрофибры мет. телескоп.ручка 70-120 см 444-368 /20/</t>
  </si>
  <si>
    <t>18728</t>
  </si>
  <si>
    <t>Швабра VETTA с насадкой из микрофибры МОП 120 см пласт окр. мет. 444-319 /2/24/</t>
  </si>
  <si>
    <t>18868</t>
  </si>
  <si>
    <t>Швабра VETTA с насадкой из микрофибры МОП цельная с палкой из стали 448-013 /2/12/</t>
  </si>
  <si>
    <t>18820</t>
  </si>
  <si>
    <t>Швабра VETTA с насадкой из микрофибры ручка 113 см с отжим. 444-141 /10/</t>
  </si>
  <si>
    <t>18826</t>
  </si>
  <si>
    <t>Швабра VETTA с насадкой из микрофибры ручка 120 см 444-301 /6/</t>
  </si>
  <si>
    <t>18845</t>
  </si>
  <si>
    <t>Швабра VETTA с насадкой из микрофибры ручка 120 см с отжим. овал 444-208 /2/30/</t>
  </si>
  <si>
    <t>18897</t>
  </si>
  <si>
    <t>Швабра VETTA с насадкой из микрофибры телеск. ручка 110 см мет. двухстор. 444-373 /24/</t>
  </si>
  <si>
    <t>18803</t>
  </si>
  <si>
    <t>Швабра VETTA с насадкой из микрофибры телеск. ручка 120 см гладкий ворс 444-267 /2/20/</t>
  </si>
  <si>
    <t>18805</t>
  </si>
  <si>
    <t>Швабра VETTA с насадкой из микрофибры телеск. ручка 130 см 444-308 /4/40/</t>
  </si>
  <si>
    <t>18804</t>
  </si>
  <si>
    <t>Швабра VETTA с насадкой из микрофибры телеск. ручка 66-110 см сталь мех.-бабочка 444-259 /5/40/</t>
  </si>
  <si>
    <t>18825</t>
  </si>
  <si>
    <t>Швабра VETTA с насадкой из микрофибры телеск. ручка 70-120 см мет. 444-263 /5/60/</t>
  </si>
  <si>
    <t>18862</t>
  </si>
  <si>
    <t>Швабра VETTA с насадкой из микрофибры телеск. ручка 70-120 см усил. пласт. мет. 444-364 /12/</t>
  </si>
  <si>
    <t>18847</t>
  </si>
  <si>
    <t>Швабра VETTA с насадкой из микрофибры телеск. ручка 80-110 см стальная 448-014 /2/12/</t>
  </si>
  <si>
    <t>18880</t>
  </si>
  <si>
    <t>Швабра VETTA с насадкой из микрофибры телеск. ручка Z137А 444-168 /2/36/</t>
  </si>
  <si>
    <t>18855</t>
  </si>
  <si>
    <t>Швабра VETTA с насадкой из микрофибры телеск. ручка Классик 444-343 /24/</t>
  </si>
  <si>
    <t>18801</t>
  </si>
  <si>
    <t>Швабра VETTA с насадкой из микрофибры телеск. ручка Классик разборная 444-344 /24/</t>
  </si>
  <si>
    <t>18853</t>
  </si>
  <si>
    <t>Швабра VETTA с насадкой из микрофибры телеск. ручка мет. окраш. на липучках NP-2011 444-275 /2/60/</t>
  </si>
  <si>
    <t>18850</t>
  </si>
  <si>
    <t>Швабра VETTA с насадкой из микрофибры телеск. ручка окраш. 444-268 /20/</t>
  </si>
  <si>
    <t>18879</t>
  </si>
  <si>
    <t>Швабра VETTA с насадкой из хлопка 40см РО03 444-006 /2/20/</t>
  </si>
  <si>
    <t>18808</t>
  </si>
  <si>
    <t>Швабра VETTA с насадкой из хлопка мет. ручка 110 см М9-12 444-087 /5/10/</t>
  </si>
  <si>
    <t>18680</t>
  </si>
  <si>
    <t>Швабра VETTA с насадкой ПВА изогнут. ручка 1-й ряд роликов J010 444-003 /2/20/</t>
  </si>
  <si>
    <t>18683</t>
  </si>
  <si>
    <t>Швабра VETTA с насадкой ПВА стальн. ручка 1-й ряд роликов Z316PF 444-049 /2/30/</t>
  </si>
  <si>
    <t>18846</t>
  </si>
  <si>
    <t>Швабра VETTA с насадкой ПВА стальн. ручка 1-й ряд роликов Эконом РО06 444-008 /4/20/</t>
  </si>
  <si>
    <t>18840</t>
  </si>
  <si>
    <t>Швабра VETTA с насадкой ПВА стальн. ручка 2-й ряд роликов Z230FM-DS 444-167 /2/30/</t>
  </si>
  <si>
    <t>18829</t>
  </si>
  <si>
    <t>Швабра VETTA с насадкой ПВА сьемн. ручка 2-й ряд роликов Z230PDF 444-166 /30/</t>
  </si>
  <si>
    <t>18729</t>
  </si>
  <si>
    <t>Швабра VETTA с насадкой ПВА телеск. ручка 110 см съемная 2-й ряд роликов 444-321 /2/30/</t>
  </si>
  <si>
    <t>18936</t>
  </si>
  <si>
    <t>Швабра VETTA с насадкой ПВА телеск. ручка 120 см 1-й ряд роликов 444-306 /3/30/</t>
  </si>
  <si>
    <t>18727</t>
  </si>
  <si>
    <t>Швабра VETTA с насадкой ПВА телеск. ручка 120 см 2-й ряд роликов 444-310 /6/30/</t>
  </si>
  <si>
    <t>18835</t>
  </si>
  <si>
    <t>Швабра VETTA Флис 70-120 см насадка 45г 444-370 /60/</t>
  </si>
  <si>
    <t>18834</t>
  </si>
  <si>
    <t>Швабра Zalel с насадкой ПВА телеск. ручка 2-й ряд роликов М-010В /20/</t>
  </si>
  <si>
    <t>18889</t>
  </si>
  <si>
    <t>Швабра Альтернатива с черенком стандарт М1071 /22/</t>
  </si>
  <si>
    <t>18890</t>
  </si>
  <si>
    <t>Швабра Альтернатива с черенком усиленная М1040 /22/</t>
  </si>
  <si>
    <t>18819</t>
  </si>
  <si>
    <t>Швабра ВСЁГАЗИН с насадкой из хлопка ручка 148 см 444-409 /24/</t>
  </si>
  <si>
    <t>18849</t>
  </si>
  <si>
    <t>Швабра деревянная /Л/93893</t>
  </si>
  <si>
    <t>18830</t>
  </si>
  <si>
    <t>Швабра ЕН с насадкой из вискозы отжимная 6141 /30/</t>
  </si>
  <si>
    <t>18824</t>
  </si>
  <si>
    <t>Швабра ЕН с насадкой из шинила Euro klass 3 3954 /36/</t>
  </si>
  <si>
    <t>18882</t>
  </si>
  <si>
    <t>Швабра-поломойка Альтернатива Хозяюшка веревочная стандарт М2618 /20/</t>
  </si>
  <si>
    <t>18828</t>
  </si>
  <si>
    <t>Швабра-поломойка Альтернатива Хозяюшка полотно люкс М3255 /30/</t>
  </si>
  <si>
    <t>18887</t>
  </si>
  <si>
    <t>Швабра-поломойка Альтернатива Хозяюшка полотно стандарт М5539 /20/</t>
  </si>
  <si>
    <t>189 Швабры для окон</t>
  </si>
  <si>
    <t>18902</t>
  </si>
  <si>
    <t>Водосгон BY полипропилен 445-399 /48/</t>
  </si>
  <si>
    <t>18919</t>
  </si>
  <si>
    <t>Скребок д/окон с функцией наклона 27,5*35см 444-397 /200/</t>
  </si>
  <si>
    <t>18906</t>
  </si>
  <si>
    <t>Швабра д/окон EH телеск. ручка 20*120см 13346 /50/</t>
  </si>
  <si>
    <t>18900</t>
  </si>
  <si>
    <t>Швабра д/окон EH телеск. ручка 20*96см /12551</t>
  </si>
  <si>
    <t>18935</t>
  </si>
  <si>
    <t>Швабра д/окон VETTA Практик пластик рез. 12,5*15,5*6,7 см 2 цв. 444-326 /8/32/</t>
  </si>
  <si>
    <t>18917</t>
  </si>
  <si>
    <t>Швабра д/окон VETTA с насадкой из микрофибры телеск. ручка 100-142 см съемн. скребок 444-358 /20/</t>
  </si>
  <si>
    <t>18908</t>
  </si>
  <si>
    <t>Швабра д/окон VETTA с насадкой из микрофибры телеск. ручка 102-138 см универсальная 444-255 /10/</t>
  </si>
  <si>
    <t>18907</t>
  </si>
  <si>
    <t>Швабра д/окон VETTA с насадкой из микрофибры телеск. ручка 110 см со скребком 444-068 /5/</t>
  </si>
  <si>
    <t>18933</t>
  </si>
  <si>
    <t>Швабра д/окон VETTA с насадкой из микрофибры телеск. ручка 130 см съемн. скребок 444-315 /50/</t>
  </si>
  <si>
    <t>18901</t>
  </si>
  <si>
    <t>Швабра д/окон VETTA с насадкой полиэстер ручка 19 см 4 цв. 444-416 /36/</t>
  </si>
  <si>
    <t>18811</t>
  </si>
  <si>
    <t>Швабра д/окон VETTA с насадкой поролон пластик. ручка 41 см черная KFC003 444-019 /10/</t>
  </si>
  <si>
    <t>18822</t>
  </si>
  <si>
    <t>Швабра д/окон VETTA с насадкой поролон стальн. ручка 28 см зеленая KFC002 444-018 /50/</t>
  </si>
  <si>
    <t>18817</t>
  </si>
  <si>
    <t>Швабра д/окон VETTA с насадкой поролон телеск. ручка 110 см синяя KFC004 444-020 /2/50/</t>
  </si>
  <si>
    <t>18909</t>
  </si>
  <si>
    <t>Швабра д/окон VETTA с насадкой поролон телеск. ручка 111 см с резин. держ. серая KFC010 444-017 /50/</t>
  </si>
  <si>
    <t>18927</t>
  </si>
  <si>
    <t>Швабра д/окон VETTA с насадкой поролон телеск. ручка 70 см 444-379 /100/</t>
  </si>
  <si>
    <t>18938</t>
  </si>
  <si>
    <t>Швабра д/окон VETTA с насадкой поролон телеск. ручка 96 см 444-332 /2/50/</t>
  </si>
  <si>
    <t>18939</t>
  </si>
  <si>
    <t>Швабра д/окон VETTA с насадкой поролон телеск. ручка 96 см поворотная 444-333 / 40/</t>
  </si>
  <si>
    <t>49738</t>
  </si>
  <si>
    <t>Швабра д/окон с поворотом 20 см желто-серая 30014 /40/</t>
  </si>
  <si>
    <t>192-228 Посуда</t>
  </si>
  <si>
    <t>192-209 Металлическая</t>
  </si>
  <si>
    <t>192 Кастрюли эмалированые циллиндр.Новокузнецк</t>
  </si>
  <si>
    <t>19671</t>
  </si>
  <si>
    <t>Кастрюля эмаль об.цил. 2,0л белая Эльза н/о 3MD161М /4/</t>
  </si>
  <si>
    <t>19261</t>
  </si>
  <si>
    <t>Кастрюля эмаль об.цил. 2,0л белая, Роза плетистая н/о</t>
  </si>
  <si>
    <t>22087</t>
  </si>
  <si>
    <t>Кастрюля эмаль об.цил. 2,0л белый Весна н/о 1MD161M /8/</t>
  </si>
  <si>
    <t>19252</t>
  </si>
  <si>
    <t>Кастрюля эмаль об.цил. 2,0л белый Гранатовый сок вишневая кр. 6MD161М /8/</t>
  </si>
  <si>
    <t>19280</t>
  </si>
  <si>
    <t>Кастрюля эмаль об.цил. 4,0л белый Гранатовый сок вишневая кр. 6MD201М /4/</t>
  </si>
  <si>
    <t>19246</t>
  </si>
  <si>
    <t>Кастрюля эмаль цил. 1,5 л светлая декор с петлей С1607 /8/</t>
  </si>
  <si>
    <t>19284</t>
  </si>
  <si>
    <t>Кастрюля эмаль цил. 1,5 л светлая декор с пл.кнопкой С1607.3 /8/</t>
  </si>
  <si>
    <t>19265</t>
  </si>
  <si>
    <t>Кастрюля эмаль цил. 1,5 л черный рябчик Рябинушка с петлей С1607.Р*05 /8/</t>
  </si>
  <si>
    <t>19244</t>
  </si>
  <si>
    <t>Кастрюля эмаль цил. 12,0л палевая декор с петлей С1624.П /2/</t>
  </si>
  <si>
    <t>19254</t>
  </si>
  <si>
    <t>Кастрюля эмаль цил. 12,0л палевая Клубника садовая с петлей С1624.П*59 /2/</t>
  </si>
  <si>
    <t>19256</t>
  </si>
  <si>
    <t>Кастрюля эмаль цил. 12,0л палевая с петлей С41624.П /2/</t>
  </si>
  <si>
    <t>19238</t>
  </si>
  <si>
    <t>Кастрюля эмаль цил. 12,0л светлая с петлей С41624 /2/</t>
  </si>
  <si>
    <t>19234</t>
  </si>
  <si>
    <t>Кастрюля эмаль цил. 12,0л серо-голубая декор с петлей С1624.СГ /2/</t>
  </si>
  <si>
    <t>19286</t>
  </si>
  <si>
    <t>Кастрюля эмаль цил. 12,0л серо-голубая с петлей С41624.СГ /2/</t>
  </si>
  <si>
    <t>19287</t>
  </si>
  <si>
    <t>Кастрюля эмаль цил. 2,0л красно-черная декор с пл.кнопкой С1610.38 /8/</t>
  </si>
  <si>
    <t>19288</t>
  </si>
  <si>
    <t>Кастрюля эмаль цил. 2,0л палевая с петлей С41610.П /8/</t>
  </si>
  <si>
    <t>19258</t>
  </si>
  <si>
    <t>Кастрюля эмаль цил. 2,0л салатовая с петлей С41610.С /8/</t>
  </si>
  <si>
    <t>19292</t>
  </si>
  <si>
    <t>Кастрюля эмаль цил. 2,0л светлая декор с петлей С1610 /8/</t>
  </si>
  <si>
    <t>19293</t>
  </si>
  <si>
    <t>Кастрюля эмаль цил. 2,0л светлая декор с петлей С1610*59 /8/</t>
  </si>
  <si>
    <t>19268</t>
  </si>
  <si>
    <t>Кастрюля эмаль цил. 2,0л светлая декор с пл.кнопкой С1610.3 /8/</t>
  </si>
  <si>
    <t>22270</t>
  </si>
  <si>
    <t>Кастрюля эмаль цил. 2,0л светлая с петлей С41610 /8/</t>
  </si>
  <si>
    <t>19294</t>
  </si>
  <si>
    <t>Кастрюля эмаль цил. 2,0л светлая с пл.кнопкой С41610.3 /8/</t>
  </si>
  <si>
    <t>19269</t>
  </si>
  <si>
    <t>Кастрюля эмаль цил. 2,0л черный рябчик Рябинушка с петлей С1610.Р*05 /8/</t>
  </si>
  <si>
    <t>19295</t>
  </si>
  <si>
    <t>Кастрюля эмаль цил. 3,5л красно-черная декор с пл.кнопкой С1612.38 /4/</t>
  </si>
  <si>
    <t>19296</t>
  </si>
  <si>
    <t>Кастрюля эмаль цил. 3,5л палевая декор с петлей С1612.П /4/</t>
  </si>
  <si>
    <t>19297</t>
  </si>
  <si>
    <t>Кастрюля эмаль цил. 3,5л палевая декор с пл.кнопкой С1612.3П /4/</t>
  </si>
  <si>
    <t>19200</t>
  </si>
  <si>
    <t>Кастрюля эмаль цил. 3,5л палевая с петлей С41612.П /4/</t>
  </si>
  <si>
    <t>19270</t>
  </si>
  <si>
    <t>Кастрюля эмаль цил. 3,5л светлая декор с пл.кнопкой С1612.3 /4/</t>
  </si>
  <si>
    <t>19205</t>
  </si>
  <si>
    <t>Кастрюля эмаль цил. 3,5л светлая с петлей С41612 /4/</t>
  </si>
  <si>
    <t>19206</t>
  </si>
  <si>
    <t>Кастрюля эмаль цил. 3,5л светлая с пл.кнопкой С41612.3 /4/</t>
  </si>
  <si>
    <t>19271</t>
  </si>
  <si>
    <t>Кастрюля эмаль цил. 3,5л черный рябчик Рябинушка с петлей С1612.Р*05 /4/</t>
  </si>
  <si>
    <t>19210</t>
  </si>
  <si>
    <t>Кастрюля эмаль цил. 5,5л палевая декор с петлей С1617.П /4/</t>
  </si>
  <si>
    <t>19212</t>
  </si>
  <si>
    <t>Кастрюля эмаль цил. 5,5л палевая с петлей С41617.П /4/</t>
  </si>
  <si>
    <t>19216</t>
  </si>
  <si>
    <t>Кастрюля эмаль цил. 5,5л светлая декор с петлей С1617 /4/</t>
  </si>
  <si>
    <t>19272</t>
  </si>
  <si>
    <t>Кастрюля эмаль цил. 5,5л светлая декор с пл.кнопкой С1617.3 /4/</t>
  </si>
  <si>
    <t>19219</t>
  </si>
  <si>
    <t>Кастрюля эмаль цил. 5,5л светлая с петлей С41617 /4/</t>
  </si>
  <si>
    <t>19273</t>
  </si>
  <si>
    <t>Кастрюля эмаль цил. 5,5л черный рябчик Рябинушка с петлей С1617.Р*05 /4/</t>
  </si>
  <si>
    <t>19247</t>
  </si>
  <si>
    <t>Кастрюля эмаль цил. 8,0л красно-черная декор с пл.кнопкой С1620.38 /2/</t>
  </si>
  <si>
    <t>19222</t>
  </si>
  <si>
    <t>Кастрюля эмаль цил. 8,0л палевая декор с петлей С1620.П /2/</t>
  </si>
  <si>
    <t>19223</t>
  </si>
  <si>
    <t>Кастрюля эмаль цил. 8,0л светлая декор на крышке с пл.кнопкой С1620.39 /2/</t>
  </si>
  <si>
    <t>19224</t>
  </si>
  <si>
    <t>Кастрюля эмаль цил. 8,0л светлая декор с пл.кнопкой С1620.3 /2/</t>
  </si>
  <si>
    <t>19235</t>
  </si>
  <si>
    <t>Кастрюля эмаль цил. 8,0л светлая с петлей С41620 /2/</t>
  </si>
  <si>
    <t>19225</t>
  </si>
  <si>
    <t>Кастрюля эмаль цил. 8,0л светлая с пл.кнопкой С41620.3 /2/</t>
  </si>
  <si>
    <t>19228</t>
  </si>
  <si>
    <t>Кастрюля эмаль цил. 9,0л светлая Клубника садовая с петлей С1622*59 /2/</t>
  </si>
  <si>
    <t>19274</t>
  </si>
  <si>
    <t>Кастрюля эмаль цил. 9,0л черный рябчик Рябинушка с петлей С1622.Р*05 /2/</t>
  </si>
  <si>
    <t>193 Посуда Кукмор</t>
  </si>
  <si>
    <t>19309</t>
  </si>
  <si>
    <t>Казан для плова Кукмор алюм 4,5л к45 /6/</t>
  </si>
  <si>
    <t>19310</t>
  </si>
  <si>
    <t>Казан для плова Кукмор алюм 6,0л кз60 /5/</t>
  </si>
  <si>
    <t>19311</t>
  </si>
  <si>
    <t>Казан для плова Кукмор алюм. 3,5л к35 /6/</t>
  </si>
  <si>
    <t>19326</t>
  </si>
  <si>
    <t>Казан для плова Кукмор ДП бордо 4,5л k46б /3/</t>
  </si>
  <si>
    <t>19325</t>
  </si>
  <si>
    <t>Казан для плова Кукмор Мраморная темн.мрамор 3,5л ст/кр а/п кмт37а /4/</t>
  </si>
  <si>
    <t>19312</t>
  </si>
  <si>
    <t>Казан для плова Кукмор Мраморная темн.мрамор 4,5л ст/кр а/п кмт47а /3/</t>
  </si>
  <si>
    <t>19314</t>
  </si>
  <si>
    <t>Казан походный Кукмор алюм 6,0л кп61 /5/</t>
  </si>
  <si>
    <t>19425</t>
  </si>
  <si>
    <t>Кастрюля Кукмор Elite stone 3,5л ст/кр а/п к31ec /3/</t>
  </si>
  <si>
    <t>19430</t>
  </si>
  <si>
    <t>Кастрюля Кукмор Elite stone 4,5л ст/кр а/п к41ec /3/</t>
  </si>
  <si>
    <t>19345</t>
  </si>
  <si>
    <t>Кастрюля Кукмор Granit Ultra 1,0л ст/кр а/п ориг кго12a /3/</t>
  </si>
  <si>
    <t>19349</t>
  </si>
  <si>
    <t>Кастрюля Кукмор Granit Ultra 2,0л ст/кр а/п blue кгг22а /3/</t>
  </si>
  <si>
    <t>19342</t>
  </si>
  <si>
    <t>Кастрюля Кукмор Granit Ultra 2,0л ст/кр а/п ориг кго22a /3/</t>
  </si>
  <si>
    <t>19352</t>
  </si>
  <si>
    <t>Кастрюля Кукмор Granit Ultra 3,0л ст/кр а/п blue кгг32а /3/</t>
  </si>
  <si>
    <t>19359</t>
  </si>
  <si>
    <t>Кастрюля Кукмор Granit Ultra 6,0л ст/кр а/п blue кгг62а /2/</t>
  </si>
  <si>
    <t>19306</t>
  </si>
  <si>
    <t>Кастрюля Кукмор Marble induction темн.мрамор 3,0л ст/кр а/п кмти32а /3/</t>
  </si>
  <si>
    <t>19327</t>
  </si>
  <si>
    <t>Кастрюля Кукмор Trendy style Malachite 1,0л а/п ст/кр k11tsml /3/</t>
  </si>
  <si>
    <t>19488</t>
  </si>
  <si>
    <t>Кастрюля Кукмор алюм 3,0л к30 /5/</t>
  </si>
  <si>
    <t>19318</t>
  </si>
  <si>
    <t>Кастрюля Кукмор ДП бордо 2,0л k21б /4/</t>
  </si>
  <si>
    <t>19319</t>
  </si>
  <si>
    <t>Кастрюля Кукмор ДП бордо 3,0л k31б /3/</t>
  </si>
  <si>
    <t>19346</t>
  </si>
  <si>
    <t>Кастрюля Кукмор Мраморная кофейн. мрамор 1,0л ст/кр а/п кмк12а /3/</t>
  </si>
  <si>
    <t>19350</t>
  </si>
  <si>
    <t>Кастрюля Кукмор Мраморная кофейн. мрамор 2,0л ст/кр а/п кмк22а /3/</t>
  </si>
  <si>
    <t>19347</t>
  </si>
  <si>
    <t>Кастрюля Кукмор Мраморная свет.мрамор 1,0л ст/кр а/п кмс12а /3/</t>
  </si>
  <si>
    <t>19341</t>
  </si>
  <si>
    <t>Кастрюля Кукмор Мраморная свет.мрамор 2,0л ст/кр а/п кмс22а /3/</t>
  </si>
  <si>
    <t>19336</t>
  </si>
  <si>
    <t>Кастрюля Кукмор Мраморная свет.мрамор 4,0л ст/кр а/п кмс42а /3/</t>
  </si>
  <si>
    <t>19348</t>
  </si>
  <si>
    <t>Кастрюля Кукмор Мраморная темн.мрамор 1,0л ст/кр а/п кмт12а /3/</t>
  </si>
  <si>
    <t>19332</t>
  </si>
  <si>
    <t>Кастрюля Кукмор Традиция 4,0л ст/кр а/п к41а /3/</t>
  </si>
  <si>
    <t>19491</t>
  </si>
  <si>
    <t>Кастрюля-ковш Кукмор Мраморная св мр 2,2л ст/кр съем. ручка а/п кмс0225а /3/</t>
  </si>
  <si>
    <t>19333</t>
  </si>
  <si>
    <t>Кастрюля-ковш Кукмор Традиция 1,5л ст/кр а/п съёмн.ручка к017а /3/</t>
  </si>
  <si>
    <t>194 Сковороды Кукмор</t>
  </si>
  <si>
    <t>19485</t>
  </si>
  <si>
    <t>Блинница Кукмор Granit Ultra blue 240 мм а/п сбгг240a /10/</t>
  </si>
  <si>
    <t>19484</t>
  </si>
  <si>
    <t>Блинница Кукмор Granit Ultra origin 240 мм а/п сбrо240a /10/</t>
  </si>
  <si>
    <t>19403</t>
  </si>
  <si>
    <t>Блинница Кукмор Мраморная свет.мр 240мм съем.руч. а/п сбмс240-1а /6/</t>
  </si>
  <si>
    <t>19483</t>
  </si>
  <si>
    <t>Блинница Кукмор Мраморная темн.мр 240мм съем.руч. а/п сбмт240-1а /6/</t>
  </si>
  <si>
    <t>19427</t>
  </si>
  <si>
    <t>Сковорода Кукмор Elite stone 280мм а/п с280ec /4/</t>
  </si>
  <si>
    <t>19415</t>
  </si>
  <si>
    <t>Сковорода Кукмор Elite stone съем.руч. 220мм а/п с221ec /4/</t>
  </si>
  <si>
    <t>19460</t>
  </si>
  <si>
    <t>Сковорода Кукмор Elite stone съем.руч. 260мм а/п с261ec /4/</t>
  </si>
  <si>
    <t>19428</t>
  </si>
  <si>
    <t>Сковорода Кукмор Elite stone съем.руч. 280мм а/п с281ec /4/</t>
  </si>
  <si>
    <t>19420</t>
  </si>
  <si>
    <t>Сковорода Кукмор Granit Ultra 220мм а/п blue сгг220a /5/</t>
  </si>
  <si>
    <t>19437</t>
  </si>
  <si>
    <t>Сковорода Кукмор Granit Ultra 220мм а/п ориг сго220a /5/</t>
  </si>
  <si>
    <t>19402</t>
  </si>
  <si>
    <t>Сковорода Кукмор Granit Ultra 240мм а/п blue сгг240a /4/</t>
  </si>
  <si>
    <t>19448</t>
  </si>
  <si>
    <t>Сковорода Кукмор Granit Ultra 240мм а/п ориг сго240а /4/</t>
  </si>
  <si>
    <t>19481</t>
  </si>
  <si>
    <t>Сковорода Кукмор Granit Ultra 240мм ст/к а/п ориг сго241а /4/</t>
  </si>
  <si>
    <t>19401</t>
  </si>
  <si>
    <t>Сковорода Кукмор Granit Ultra 260мм а/п blue сгг260а /5/</t>
  </si>
  <si>
    <t>19462</t>
  </si>
  <si>
    <t>Сковорода Кукмор Granit Ultra 260мм а/п ориг сго260а /5/</t>
  </si>
  <si>
    <t>19479</t>
  </si>
  <si>
    <t>Сковорода Кукмор Granit Ultra 260мм ст/к а/п ориг сго261а /4/</t>
  </si>
  <si>
    <t>19446</t>
  </si>
  <si>
    <t>Сковорода Кукмор Granit Ultra 280мм а/п blue сгг280а /4/</t>
  </si>
  <si>
    <t>19466</t>
  </si>
  <si>
    <t>Сковорода Кукмор Granit Ultra 280мм а/п ориг сго280а /4/</t>
  </si>
  <si>
    <t>19423</t>
  </si>
  <si>
    <t>Сковорода Кукмор Granit Ultra съем.руч. 220мм а/п blue сгг222a /5/</t>
  </si>
  <si>
    <t>19438</t>
  </si>
  <si>
    <t>Сковорода Кукмор Granit Ultra съем.руч. 220мм а/п ориг сго222a /5/</t>
  </si>
  <si>
    <t>19421</t>
  </si>
  <si>
    <t>Сковорода Кукмор Granit Ultra съем.руч. 240мм а/п blue сгг242a /4/</t>
  </si>
  <si>
    <t>19449</t>
  </si>
  <si>
    <t>Сковорода Кукмор Granit Ultra съем.руч. 240мм а/п ориг сго242а /4/</t>
  </si>
  <si>
    <t>19416</t>
  </si>
  <si>
    <t>Сковорода Кукмор Granit Ultra съем.руч. 240мм ст/к а/п ориг сго243а /4/</t>
  </si>
  <si>
    <t>19404</t>
  </si>
  <si>
    <t>Сковорода Кукмор Granit Ultra съем.руч. 260мм а/п blue сгг262a /5/</t>
  </si>
  <si>
    <t>19463</t>
  </si>
  <si>
    <t>Сковорода Кукмор Granit Ultra съем.руч. 260мм а/п ориг сго262а /5/</t>
  </si>
  <si>
    <t>19482</t>
  </si>
  <si>
    <t>Сковорода Кукмор Granit Ultra съем.руч. 260мм ст/к а/п ориг сго263а /4/</t>
  </si>
  <si>
    <t>19461</t>
  </si>
  <si>
    <t>Сковорода Кукмор Granit Ultra съем.руч. 280мм а/п blue сгг282a /4/</t>
  </si>
  <si>
    <t>19467</t>
  </si>
  <si>
    <t>Сковорода Кукмор Granit Ultra съем.руч. 280мм а/п ориг сго282а /4/</t>
  </si>
  <si>
    <t>19308</t>
  </si>
  <si>
    <t>Сковорода Кукмор Marble inductio 240/60мм тем.мр а/п смти240а /4/</t>
  </si>
  <si>
    <t>19452</t>
  </si>
  <si>
    <t>Сковорода Кукмор Marble inductio 260/60мм тем.мр а/п смти260а /5/</t>
  </si>
  <si>
    <t>19494</t>
  </si>
  <si>
    <t>Сковорода Кукмор Marble inductio 280/60мм тем.мр а/п смти280а /4/</t>
  </si>
  <si>
    <t>19464</t>
  </si>
  <si>
    <t>Сковорода Кукмор Trendy style Mystery съем.ручка 260мм а/п 261tsm /5/</t>
  </si>
  <si>
    <t>19469</t>
  </si>
  <si>
    <t>Сковорода Кукмор алюм.со сьемнюй ручк 280/65мм с282 /7/</t>
  </si>
  <si>
    <t>19493</t>
  </si>
  <si>
    <t>Сковорода Кукмор алюм.утол.дно б/ручки 240/60мм с240 /10/</t>
  </si>
  <si>
    <t>19303</t>
  </si>
  <si>
    <t>Сковорода Кукмор алюм.утол.дно б/ручки 280/55мм с280 /10/</t>
  </si>
  <si>
    <t>19304</t>
  </si>
  <si>
    <t>Сковорода Кукмор алюм.утол.дно б/ручки 280/60мм с261 /10/</t>
  </si>
  <si>
    <t>19418</t>
  </si>
  <si>
    <t>Сковорода Кукмор Мраморная кофейн.мрамор 220/60мм а/п смк227а /4/</t>
  </si>
  <si>
    <t>19429</t>
  </si>
  <si>
    <t>Сковорода Кукмор Мраморная кофейн.мрамор 240/60мм а/п смк241а /5/</t>
  </si>
  <si>
    <t>19422</t>
  </si>
  <si>
    <t>Сковорода Кукмор Мраморная кофейн.мрамор 260/60мм а/п смк262а /5/</t>
  </si>
  <si>
    <t>19412</t>
  </si>
  <si>
    <t>Сковорода Кукмор Мраморная кофейн.мрамор 280/65мм а/п смк281а /4/</t>
  </si>
  <si>
    <t>19414</t>
  </si>
  <si>
    <t>Сковорода Кукмор Мраморная кофейн.мрамор съем.руч 220/50мм а/п смк222а /5/</t>
  </si>
  <si>
    <t>19486</t>
  </si>
  <si>
    <t>Сковорода Кукмор Мраморная кофейн.мрамор съем.руч 240/60мм а/п soft touch смк247а /5/</t>
  </si>
  <si>
    <t>19489</t>
  </si>
  <si>
    <t>Сковорода Кукмор Мраморная кофейн.мрамор съем.руч 240/60мм а/п смк246а /5/</t>
  </si>
  <si>
    <t>19439</t>
  </si>
  <si>
    <t>Сковорода Кукмор Мраморная кофейн.мрамор съем.руч 260/60мм а/п soft touch смк264а /5/</t>
  </si>
  <si>
    <t>19450</t>
  </si>
  <si>
    <t>Сковорода Кукмор Мраморная кофейн.мрамор съем.руч 260/60мм а/п смк263а /6/</t>
  </si>
  <si>
    <t>19476</t>
  </si>
  <si>
    <t>Сковорода Кукмор Мраморная кофейн.мрамор съем.руч 280/65мм а/п смк283а /4/</t>
  </si>
  <si>
    <t>19407</t>
  </si>
  <si>
    <t>Сковорода Кукмор Мраморная свет.мрамор съем.руч 220/50мм а/п смс222а /5/</t>
  </si>
  <si>
    <t>19442</t>
  </si>
  <si>
    <t>Сковорода Кукмор Мраморная свет.мрамор съем.руч 240/60мм а/п смс246а /5/</t>
  </si>
  <si>
    <t>19400</t>
  </si>
  <si>
    <t>Сковорода Кукмор Мраморная свет.мрамор съем.руч 240/60мм ст/к а/п смс24604а /4/</t>
  </si>
  <si>
    <t>19455</t>
  </si>
  <si>
    <t>Сковорода Кукмор Мраморная свет.мрамор съем.руч 260/60мм а/п смс263а /6/</t>
  </si>
  <si>
    <t>19443</t>
  </si>
  <si>
    <t>Сковорода Кукмор Мраморная свет.мрамор съем.руч 260/60мм ст/к а/п смс26604а /4/</t>
  </si>
  <si>
    <t>19496</t>
  </si>
  <si>
    <t>Сковорода Кукмор Мраморная свет.мрамор съем.руч 280/65мм а/п смс283а /4/</t>
  </si>
  <si>
    <t>19441</t>
  </si>
  <si>
    <t>Сковорода Кукмор Мраморная свет.мрамор съем.ручка soft touch 240/60мм а/п смс247а /5/</t>
  </si>
  <si>
    <t>19419</t>
  </si>
  <si>
    <t>Сковорода Кукмор Мраморная темн.мрамор 220/60мм а/п смт227а /4/</t>
  </si>
  <si>
    <t>19408</t>
  </si>
  <si>
    <t>Сковорода Кукмор Мраморная темн.мрамор 260/60мм а/п смт262а /5/</t>
  </si>
  <si>
    <t>19495</t>
  </si>
  <si>
    <t>Сковорода Кукмор Мраморная темн.мрамор 280/65мм а/п смт281а /4/</t>
  </si>
  <si>
    <t>19417</t>
  </si>
  <si>
    <t>Сковорода Кукмор Мраморная темн.мрамор съем.руч 220/50мм а/п смт222а /5/</t>
  </si>
  <si>
    <t>19487</t>
  </si>
  <si>
    <t>Сковорода Кукмор Мраморная темн.мрамор съем.руч 240/60мм а/п soft touch смт247а /5/</t>
  </si>
  <si>
    <t>19490</t>
  </si>
  <si>
    <t>Сковорода Кукмор Мраморная темн.мрамор съем.руч 240/60мм а/п смт246а /5/</t>
  </si>
  <si>
    <t>19480</t>
  </si>
  <si>
    <t>Сковорода Кукмор Мраморная темн.мрамор съем.руч 280/65мм а/п смт283а /4/</t>
  </si>
  <si>
    <t>19451</t>
  </si>
  <si>
    <t>Сковорода Кукмор Традиция 260/35мм а/п с260а /9/</t>
  </si>
  <si>
    <t>19302</t>
  </si>
  <si>
    <t>Сковорода Кукмор Традиция 280/55мм а/п с280а /6/</t>
  </si>
  <si>
    <t>19405</t>
  </si>
  <si>
    <t>Сковорода Кукмор Традиция дер.руч 180/35мм а/п с183а /5/</t>
  </si>
  <si>
    <t>19406</t>
  </si>
  <si>
    <t>Сковорода Кукмор Традиция дер.руч 200/40мм а/п с200а /5/</t>
  </si>
  <si>
    <t>19434</t>
  </si>
  <si>
    <t>Сковорода Кукмор Традиция дер.руч 220/45мм а/п с229а /5/</t>
  </si>
  <si>
    <t>19409</t>
  </si>
  <si>
    <t>Сковорода Кукмор Традиция съем.руч 220/50мм а/п с222а /5/</t>
  </si>
  <si>
    <t>19456</t>
  </si>
  <si>
    <t>Сковорода Кукмор Традиция съем.руч 260/60мм а/п с263а /6/</t>
  </si>
  <si>
    <t>19497</t>
  </si>
  <si>
    <t>Сковорода-Wok Кукмор алюм 280/95мм классич.с ручкой свк280 /3/</t>
  </si>
  <si>
    <t>19499</t>
  </si>
  <si>
    <t>Сковорода-Wok Кукмор алюм.300/100мм классич.с ручкой свк300 /3/</t>
  </si>
  <si>
    <t>19300</t>
  </si>
  <si>
    <t>Сковорода-Wok Кукмор Мраморная темн.мрамор 300/100мм с/руч а/п свкмт300а /3/</t>
  </si>
  <si>
    <t>19498</t>
  </si>
  <si>
    <t>Сковорода-Wok Кукмор Традиция 280/95мм а/п свк280а /3/</t>
  </si>
  <si>
    <t>19471</t>
  </si>
  <si>
    <t>Сковорода-гриль Кукмор Granit Ultra 280*280мм квадр.ориг.а/п crkro280а /6/</t>
  </si>
  <si>
    <t>19470</t>
  </si>
  <si>
    <t>Сковорода-гриль Кукмор Традиция 260*260мм квад.съем.руч.а/п crk261а /6/</t>
  </si>
  <si>
    <t>19472</t>
  </si>
  <si>
    <t>Сковорода-сотейник Кукмор алюм.260/75мм с267 /5/</t>
  </si>
  <si>
    <t>19474</t>
  </si>
  <si>
    <t>Сковорода-сотейник Кукмор алюм.300/75мм с309 /6/</t>
  </si>
  <si>
    <t>19301</t>
  </si>
  <si>
    <t>Сковородник Кукмор скв01 /20/</t>
  </si>
  <si>
    <t>19473</t>
  </si>
  <si>
    <t>Сотейник Кукмор ДП бордо 260/75мм с268б /4/</t>
  </si>
  <si>
    <t>19475</t>
  </si>
  <si>
    <t>Сотейник Кукмор Мраморная светлый мр 300/85мм ст/кр а/п смс308а /3/</t>
  </si>
  <si>
    <t>195 Баки/Тазы/Ведра эмалирован. Новокузнецк</t>
  </si>
  <si>
    <t>19511</t>
  </si>
  <si>
    <t>Бак эмаль 20л зел.рябчик Клубника садовая С2827*59</t>
  </si>
  <si>
    <t>19530</t>
  </si>
  <si>
    <t>Бак эмаль 20л коричневый декор С2827.В</t>
  </si>
  <si>
    <t>19501</t>
  </si>
  <si>
    <t>Бак эмаль 20л коричневый С42827.в</t>
  </si>
  <si>
    <t>22053</t>
  </si>
  <si>
    <t>Бак эмаль 32л зел. рябчик декор C2829</t>
  </si>
  <si>
    <t>19541</t>
  </si>
  <si>
    <t>Бак эмаль 32л зел. рябчик С42829</t>
  </si>
  <si>
    <t>22055</t>
  </si>
  <si>
    <t>Бак эмаль 32л коричневый декор С2829.в</t>
  </si>
  <si>
    <t>19503</t>
  </si>
  <si>
    <t>Бак эмаль 40л зел. рябчик декор C2833</t>
  </si>
  <si>
    <t>19518</t>
  </si>
  <si>
    <t>Бак эмаль 40л коричневый декор С2833.в</t>
  </si>
  <si>
    <t>19553</t>
  </si>
  <si>
    <t>Ведро эмаль б/кр.12л светлое декор С1124 /4/</t>
  </si>
  <si>
    <t>19558</t>
  </si>
  <si>
    <t>Ведро эмаль б/кр.12л светлое С41124 /4/</t>
  </si>
  <si>
    <t>19550</t>
  </si>
  <si>
    <t>Ведро эмаль б/кр.12л ц.т.цилиндр светлое декор С1124Ц /4/</t>
  </si>
  <si>
    <t>19533</t>
  </si>
  <si>
    <t>Ведро эмаль б/кр.12л черный рябчик С41124.Р /4/</t>
  </si>
  <si>
    <t>19560</t>
  </si>
  <si>
    <t>Ведро эмаль с/кр.12л васильковое внутри серо-голубое С41224.4СГ /4/</t>
  </si>
  <si>
    <t>19551</t>
  </si>
  <si>
    <t>Ведро эмаль с/кр.12л зеленый рябчик внутри палев. С1224.зП /4/</t>
  </si>
  <si>
    <t>19552</t>
  </si>
  <si>
    <t>Ведро эмаль с/кр.12л зеленый рябчик декор С1224.з /4/</t>
  </si>
  <si>
    <t>19561</t>
  </si>
  <si>
    <t>Ведро эмаль с/кр.12л коричневое внутри палевое декор С1224.вП /4/</t>
  </si>
  <si>
    <t>22262</t>
  </si>
  <si>
    <t>Ведро эмаль с/кр.12л палевое декор С1224.П /4/</t>
  </si>
  <si>
    <t>19506</t>
  </si>
  <si>
    <t>Ведро эмаль с/кр.12л светлое декор С1224 /2/</t>
  </si>
  <si>
    <t>19508</t>
  </si>
  <si>
    <t>Ведро эмаль с/кр.12л ц.т.цилиндр светлое декор С1224.Ц /2/</t>
  </si>
  <si>
    <t>19562</t>
  </si>
  <si>
    <t>Ведро эмаль с/кр.12л черн.рябчик декор внутри серо-голубое Клубника садовая С1224.РСГ*59 /4/</t>
  </si>
  <si>
    <t>19522</t>
  </si>
  <si>
    <t>Горшок ночной 1.9л палевый декор С0908.П /8/</t>
  </si>
  <si>
    <t>19521</t>
  </si>
  <si>
    <t>Горшок ночной 1.9л палевый С40908.П /8/</t>
  </si>
  <si>
    <t>22076</t>
  </si>
  <si>
    <t>Горшок ночной 1.9л светлый декор С0908 /8/</t>
  </si>
  <si>
    <t>19523</t>
  </si>
  <si>
    <t>Горшок ночной 1.9л светлый С40908 /8/</t>
  </si>
  <si>
    <t>19537</t>
  </si>
  <si>
    <t>Таз эмаль 12,0л палевый декор С3024.П /5/</t>
  </si>
  <si>
    <t>19524</t>
  </si>
  <si>
    <t>Таз эмаль 12,0л палевый С43024.П /5/</t>
  </si>
  <si>
    <t>19559</t>
  </si>
  <si>
    <t>Таз эмаль 12,0л светлый декор С3024 /5/</t>
  </si>
  <si>
    <t>22081</t>
  </si>
  <si>
    <t>Таз эмаль 12,0л светлый С43024 /5/</t>
  </si>
  <si>
    <t>22904</t>
  </si>
  <si>
    <t>Таз эмаль 16л палевый С43026.П</t>
  </si>
  <si>
    <t>22193</t>
  </si>
  <si>
    <t>Таз эмаль 16л светлый декор С3026 /3/</t>
  </si>
  <si>
    <t>22905</t>
  </si>
  <si>
    <t>Таз эмаль 16л светлый С43026</t>
  </si>
  <si>
    <t>19515</t>
  </si>
  <si>
    <t>Таз эмаль 7,0л палевый декор С3020.П /5/</t>
  </si>
  <si>
    <t>19556</t>
  </si>
  <si>
    <t>Таз эмаль 7,0л палевый С43020.П /5/</t>
  </si>
  <si>
    <t>19509</t>
  </si>
  <si>
    <t>Таз эмаль 7,0л светлый декор С3020 /5/</t>
  </si>
  <si>
    <t>19546</t>
  </si>
  <si>
    <t>Таз эмаль 7,0л светлый С43020 /5/</t>
  </si>
  <si>
    <t>19525</t>
  </si>
  <si>
    <t>Таз эмаль 9,5л палевый декор С3021.П /5/</t>
  </si>
  <si>
    <t>19512</t>
  </si>
  <si>
    <t>Таз эмаль 9,5л светлый декор С3021 /5/</t>
  </si>
  <si>
    <t>19555</t>
  </si>
  <si>
    <t>Таз эмаль 9,5л светлый С43021 /5/</t>
  </si>
  <si>
    <t>196 Кастрюли эмалированыя Новокузнецк</t>
  </si>
  <si>
    <t>19607</t>
  </si>
  <si>
    <t>Кастрюли эмаль.Набор №11 сфер.4,0 л 5,5 л 8,0 л белый Дары лета N11B62</t>
  </si>
  <si>
    <t>19641</t>
  </si>
  <si>
    <t>Кастрюли эмаль.Набор №11 сфер.4,0 л 5,5 л 8,0 л белый Рамо декор на кр. N11B60</t>
  </si>
  <si>
    <t>19642</t>
  </si>
  <si>
    <t>Кастрюли эмаль.Набор №11 сфер.4,0 л 5,5 л 8,0 л белый Тюльпан Май N11B119</t>
  </si>
  <si>
    <t>19695</t>
  </si>
  <si>
    <t>Кастрюли эмаль.Набор №11 сфер.4,0 л 5,5 л 8,0 л белый Фиалка N11B24</t>
  </si>
  <si>
    <t>19640</t>
  </si>
  <si>
    <t>Кастрюли эмаль.Набор №11 сфер.4,0 л 5,5 л 8,0 л бирюза Клубничка садовая N11V59</t>
  </si>
  <si>
    <t>19643</t>
  </si>
  <si>
    <t>Кастрюли эмаль.Набор №11 сфер.4,0 л 5,5 л 8,0 л кобальт Цветение N11K21</t>
  </si>
  <si>
    <t>19666</t>
  </si>
  <si>
    <t>Кастрюли эмаль.Набор №11 сфер.4,0 л 5,5 л 8,0 л палевый Сливовый N11Р41</t>
  </si>
  <si>
    <t>19644</t>
  </si>
  <si>
    <t>Кастрюли эмаль.Набор №19 груш.4,0 л 5,5 л 8,0 л белый Весна декор на крышке N19B77</t>
  </si>
  <si>
    <t>19648</t>
  </si>
  <si>
    <t>Кастрюли эмаль.Набор №19 сфер.4,0 л 5,5 л 8,0 л палевый декор на крышке Сливовый N19Р41</t>
  </si>
  <si>
    <t>19645</t>
  </si>
  <si>
    <t>Кастрюли эмаль.Набор №27 цил.2,0 л 3,0 л 4,0 л, чайник 3,5л белый Роза плет. декор на кр. н/о N27B88</t>
  </si>
  <si>
    <t>19646</t>
  </si>
  <si>
    <t>Кастрюли эмаль.Набор №27 цил.2,0 л 3,0 л 4,0 л, чайник 3,5л красно-черный Рябина декор на кр. N27L05</t>
  </si>
  <si>
    <t>19633</t>
  </si>
  <si>
    <t>Кастрюля эмаль. груш. 4,0 л белая тонир. декор на кр.с пл.кнопкой С2512.13 /4/</t>
  </si>
  <si>
    <t>19614</t>
  </si>
  <si>
    <t>Кастрюля эмаль. груш. 4,0 л бирюз. декор с пл.кнопкой С2512.3Б /4/</t>
  </si>
  <si>
    <t>19634</t>
  </si>
  <si>
    <t>Кастрюля эмаль. груш. 4,0 л васельковая декор с пл.кнопкой С2512.34 /4/</t>
  </si>
  <si>
    <t>19635</t>
  </si>
  <si>
    <t>Кастрюля эмаль. груш. 5,5 л белая тонир. декор с пл.кнопкой С2517.13 /4/</t>
  </si>
  <si>
    <t>19608</t>
  </si>
  <si>
    <t>Кастрюля эмаль. груш. 5,5 л васильковая декор с пл.кнопкой С2517.34 /4/</t>
  </si>
  <si>
    <t>19625</t>
  </si>
  <si>
    <t>Кастрюля эмаль. груш. 5,5 л черная декор с пл.кнопкой С2517.36 /4/</t>
  </si>
  <si>
    <t>19636</t>
  </si>
  <si>
    <t>Кастрюля эмаль. груш. 8,0 л белая тонир. декор с пл.кнопкой С2520.13 /2/</t>
  </si>
  <si>
    <t>19637</t>
  </si>
  <si>
    <t>Кастрюля эмаль. груш. 8,0 л васильковая декор с пл.кнопкой С2520.34 /2/</t>
  </si>
  <si>
    <t>19676</t>
  </si>
  <si>
    <t>Кастрюля эмаль. об.сфер. 2,0 л белый Айша вишневая н/о 6MC161P /8/</t>
  </si>
  <si>
    <t>19602</t>
  </si>
  <si>
    <t>Кастрюля эмаль. об.сфер. 3,0 л белый Клубничная поляна н/о 3MC181P /6/</t>
  </si>
  <si>
    <t>19638</t>
  </si>
  <si>
    <t>Кастрюля эмаль. об.сфер. 3,0 л вишневый Золотой узор н/о 8MC181P /6/</t>
  </si>
  <si>
    <t>19684</t>
  </si>
  <si>
    <t>Кастрюля эмаль. сфер. 2,0 л Клубничная поляна н/о 3MC161P /8/</t>
  </si>
  <si>
    <t>19630</t>
  </si>
  <si>
    <t>Кастрюля эмаль. сфер. 4,0 л белый с пл.кнопкой С1912.3 /4/</t>
  </si>
  <si>
    <t>19609</t>
  </si>
  <si>
    <t>Кастрюля эмаль. сфер. 4,0 л бирюзовая декор с пл.кнопкой С1912.3Б /4/</t>
  </si>
  <si>
    <t>19655</t>
  </si>
  <si>
    <t>Кастрюля эмаль. сфер. 4,0 л васильковая декор с пл.кнопкой С1912.34 /4/</t>
  </si>
  <si>
    <t>19656</t>
  </si>
  <si>
    <t>Кастрюля эмаль. сфер. 4,0 л кобальтовая декор с пл.кнопкой С1912.3К /4/</t>
  </si>
  <si>
    <t>19678</t>
  </si>
  <si>
    <t>Кастрюля эмаль. сфер. 4,0 л красно-черная декор с пл.кнопкой С1912.38 /4/</t>
  </si>
  <si>
    <t>19649</t>
  </si>
  <si>
    <t>Кастрюля эмаль. сфер. 4,0 л черный рябчик Рябинушка с пл.кнопкой С1912.3Р*05 /4/</t>
  </si>
  <si>
    <t>19639</t>
  </si>
  <si>
    <t>Кастрюля эмаль. сфер. 5,5 л белый декор с пл.кнопкой ковровая С1917.37 /4/</t>
  </si>
  <si>
    <t>19628</t>
  </si>
  <si>
    <t>Кастрюля эмаль. сфер. 5,5 л белый декор с пл.кнопкой С1917.3 /4/</t>
  </si>
  <si>
    <t>19622</t>
  </si>
  <si>
    <t>Кастрюля эмаль. сфер. 5,5 л бирюзовая декор с пл.кнопкой С1917.3Б /4/</t>
  </si>
  <si>
    <t>19604</t>
  </si>
  <si>
    <t>Кастрюля эмаль. сфер. 5,5 л красно-черная декор с пл.кнопкой С1917.38 /4/</t>
  </si>
  <si>
    <t>19650</t>
  </si>
  <si>
    <t>Кастрюля эмаль. сфер. 5,5 л черная декор с пл.кнопкой С1917.36 /4/</t>
  </si>
  <si>
    <t>19651</t>
  </si>
  <si>
    <t>Кастрюля эмаль. сфер. 5,5 л черный рябчик Рябинушка с пл.кнопкой С1917.3Р*05 /4/</t>
  </si>
  <si>
    <t>19605</t>
  </si>
  <si>
    <t>Кастрюля эмаль. сфер. 8,0 л белый декор с пл.кнопкой декор на крышке С1920.39 /2/</t>
  </si>
  <si>
    <t>19626</t>
  </si>
  <si>
    <t>Кастрюля эмаль. сфер. 8,0 л белый декор с пл.кнопкой С1920.3 /2/</t>
  </si>
  <si>
    <t>19629</t>
  </si>
  <si>
    <t>Кастрюля эмаль. сфер. 8,0 л палевая декор с пл.кнопкой С1920.3п /2/</t>
  </si>
  <si>
    <t>19665</t>
  </si>
  <si>
    <t>Мантоварка (Позница) 12,0 л палевая 4 вставки С41724.3П /2/</t>
  </si>
  <si>
    <t>19623</t>
  </si>
  <si>
    <t>Мантоварка (Позница) 7,5 л палевая 2 вставки С41720.3п /2/</t>
  </si>
  <si>
    <t>19627</t>
  </si>
  <si>
    <t>Мантоварка (Позница) 7,5 л светлая 2 вставки С41720.3 /2/</t>
  </si>
  <si>
    <t>19631</t>
  </si>
  <si>
    <t>Мантоварка (Позница) 7,5 л светлая декор 2 вставки С1720.3 /2/</t>
  </si>
  <si>
    <t>19647</t>
  </si>
  <si>
    <t>Мантоварка (Позница) 9,0 л светлая 3 вставки С41722.3 /2/</t>
  </si>
  <si>
    <t>19697</t>
  </si>
  <si>
    <t>Мантоварка (Позница) 9,0 л светлая декор 3 вставки С1722.3 /2/</t>
  </si>
  <si>
    <t>197 Посуда эмалированная Новокузнецк миски/ковши/кружки/дуршлаги</t>
  </si>
  <si>
    <t>22077</t>
  </si>
  <si>
    <t>Дуршлаг эмаль 0,8л палевый 41409П /15/</t>
  </si>
  <si>
    <t>19700</t>
  </si>
  <si>
    <t>Дуршлаг эмаль 0,8л палевый декор С1406.П /15/</t>
  </si>
  <si>
    <t>19514</t>
  </si>
  <si>
    <t>Дуршлаг эмаль 0,8л светлый декор С1406 /15/</t>
  </si>
  <si>
    <t>19701</t>
  </si>
  <si>
    <t>Дуршлаг эмаль 0,8л светлый С41406 /15/</t>
  </si>
  <si>
    <t>22917</t>
  </si>
  <si>
    <t>Дуршлаг эмаль 1,5л с дек.в ассор-те С-1408/Рб /8/</t>
  </si>
  <si>
    <t>19703</t>
  </si>
  <si>
    <t>Ковш эмаль 1,5л палевый декор С2008.П /15/</t>
  </si>
  <si>
    <t>19718</t>
  </si>
  <si>
    <t>Ковш эмаль 1,5л палевый С42008.П /15/</t>
  </si>
  <si>
    <t>19727</t>
  </si>
  <si>
    <t>Ковш эмаль 1,5л светлый декор с крышкой С2108.3 /12/</t>
  </si>
  <si>
    <t>19745</t>
  </si>
  <si>
    <t>Ковш эмаль 1,5л светлый декор С2008 /15/</t>
  </si>
  <si>
    <t>19717</t>
  </si>
  <si>
    <t>Ковш эмаль 1,5л светлый с крышкой С42108.3 /12/</t>
  </si>
  <si>
    <t>19704</t>
  </si>
  <si>
    <t>Ковш эмаль 1,5л светлый С42008 /15/</t>
  </si>
  <si>
    <t>19705</t>
  </si>
  <si>
    <t>Ковш эмаль 1,5л серо-голубой С42008.СГ /15/</t>
  </si>
  <si>
    <t>19739</t>
  </si>
  <si>
    <t>Ковш эмаль 2,0л белый декор С2011 /6/</t>
  </si>
  <si>
    <t>19731</t>
  </si>
  <si>
    <t>Кружка эмаль 0,25л светлая С40102</t>
  </si>
  <si>
    <t>19713</t>
  </si>
  <si>
    <t>Кружка эмаль 0,4л палевая С40103.П /32/</t>
  </si>
  <si>
    <t>19729</t>
  </si>
  <si>
    <t>Кружка эмаль 0,4л светлая С40103 /32/</t>
  </si>
  <si>
    <t>19746</t>
  </si>
  <si>
    <t>Кружка эмаль 0,4л черная С40103.6 /32/</t>
  </si>
  <si>
    <t>19708</t>
  </si>
  <si>
    <t>Кружка эмаль 1,0л кобальтовая декор С0107.К /18/</t>
  </si>
  <si>
    <t>19720</t>
  </si>
  <si>
    <t>Кружка эмаль 1,0л светлая С40107 /18/</t>
  </si>
  <si>
    <t>19734</t>
  </si>
  <si>
    <t>Миска эмаль 0,4л светлая С40303 /40/</t>
  </si>
  <si>
    <t>19724</t>
  </si>
  <si>
    <t>Миска эмаль 0,9л палевая декор С0306.П /30/</t>
  </si>
  <si>
    <t>19722</t>
  </si>
  <si>
    <t>Миска эмаль 0,9л палевая С40306П /30/</t>
  </si>
  <si>
    <t>19735</t>
  </si>
  <si>
    <t>Миска эмаль 0,9л светлая декор С0306 /30/</t>
  </si>
  <si>
    <t>19742</t>
  </si>
  <si>
    <t>Миска эмаль 0,9л светлая С40306 /30/</t>
  </si>
  <si>
    <t>22286</t>
  </si>
  <si>
    <t>Миска эмаль 2л палевая С40310.П /10/</t>
  </si>
  <si>
    <t>19743</t>
  </si>
  <si>
    <t>Миска эмаль 2л светлая Клубника садовая С0310*59 /10/</t>
  </si>
  <si>
    <t>19733</t>
  </si>
  <si>
    <t>Миска эмаль 2л светлая С40310 /10/</t>
  </si>
  <si>
    <t>22288</t>
  </si>
  <si>
    <t>Миска эмаль 2л серо-голубая С40310.СГ /10/</t>
  </si>
  <si>
    <t>19712</t>
  </si>
  <si>
    <t>Миска эмаль 4л палевая декор С0313.П /10/</t>
  </si>
  <si>
    <t>19714</t>
  </si>
  <si>
    <t>Миска эмаль 4л палевая С40313.П /10/</t>
  </si>
  <si>
    <t>19728</t>
  </si>
  <si>
    <t>Миска эмаль 4л светлая декор С0313 /10/</t>
  </si>
  <si>
    <t>19719</t>
  </si>
  <si>
    <t>Миска эмаль 4л светлая С40313 /10/</t>
  </si>
  <si>
    <t>199 Посуда алюминиевая</t>
  </si>
  <si>
    <t>22175</t>
  </si>
  <si>
    <t>Блинница алюмин.Кумир 240 мм а/п рифленое дно 1892415 /12/</t>
  </si>
  <si>
    <t>19924</t>
  </si>
  <si>
    <t>Казан Славяна Кобальт с крышкой-сковородой 2,6 л Д20*9,5+3см индукция /6/</t>
  </si>
  <si>
    <t>19911</t>
  </si>
  <si>
    <t>Кастрюля алюмин.LaDina 3 л 22 см каменное покрытие 51722 /6/</t>
  </si>
  <si>
    <t>19912</t>
  </si>
  <si>
    <t>Кастрюля алюмин.LaDina 4,2 л 24 см каменное покрытие 51724 /6/</t>
  </si>
  <si>
    <t>19913</t>
  </si>
  <si>
    <t>Кастрюля алюмин.LaDina 5,2 л 26 см каменное покрытие 51726 /6/</t>
  </si>
  <si>
    <t>22119</t>
  </si>
  <si>
    <t>Котел алюмин. 4,5 л /6/</t>
  </si>
  <si>
    <t>22159</t>
  </si>
  <si>
    <t>Кофеварка алюм. 0,5 л 19500 /20/</t>
  </si>
  <si>
    <t>22121</t>
  </si>
  <si>
    <t>Кофеварка алюм. 0,8 л 19800 /20/</t>
  </si>
  <si>
    <t>19983</t>
  </si>
  <si>
    <t>Мантоварка алюмин. Scovo 4,5 л метал. крышка с 3-мя сетками Эконом /4/</t>
  </si>
  <si>
    <t>19934</t>
  </si>
  <si>
    <t>Мантоварка алюмин. Scovo 6 л метал. крышка с 4-мя сетками Эконом</t>
  </si>
  <si>
    <t>19902</t>
  </si>
  <si>
    <t>Мантоварка алюмин. Калитва 6,0 л с 4-мя сетками Классика 180640</t>
  </si>
  <si>
    <t>19915</t>
  </si>
  <si>
    <t>Сковорода алюмин. LaDina 26 см с каменным покрытием 50326 /6/</t>
  </si>
  <si>
    <t>200 Крышки стеклянные для сковород/кастрюль</t>
  </si>
  <si>
    <t>21766</t>
  </si>
  <si>
    <t>Крышка стеклянная SATOSHI плоская складная ручка 22 см 848-004 /10/</t>
  </si>
  <si>
    <t>21070</t>
  </si>
  <si>
    <t>Крышка стеклянная SATOSHI с силиконовым ободком 24 см 3 цв 848-055 /4/16/</t>
  </si>
  <si>
    <t>20009</t>
  </si>
  <si>
    <t>Крышка стеклянная мет об.пароотвод пл. ручк.18 см /60/</t>
  </si>
  <si>
    <t>20010</t>
  </si>
  <si>
    <t>Крышка стеклянная мет об.пароотвод пл. ручк.20 см /60/</t>
  </si>
  <si>
    <t>20011</t>
  </si>
  <si>
    <t>Крышка стеклянная мет об.пароотвод пл. ручк.22 см /60/</t>
  </si>
  <si>
    <t>20012</t>
  </si>
  <si>
    <t>Крышка стеклянная мет об.пароотвод пл. ручк.24 см /30/</t>
  </si>
  <si>
    <t>20013</t>
  </si>
  <si>
    <t>Крышка стеклянная мет об.пароотвод пл. ручк.26 см /30/</t>
  </si>
  <si>
    <t>20000</t>
  </si>
  <si>
    <t>Крышка стеклянная мет обод.ручка 18см /50/</t>
  </si>
  <si>
    <t>20007</t>
  </si>
  <si>
    <t>Крышка стеклянная мет обод.ручка 20см /50/</t>
  </si>
  <si>
    <t>20008</t>
  </si>
  <si>
    <t>Крышка стеклянная мет обод.ручка 22см /40/</t>
  </si>
  <si>
    <t>21000</t>
  </si>
  <si>
    <t>Крышка стеклянная мет обод.ручка 24см /40/</t>
  </si>
  <si>
    <t>21003</t>
  </si>
  <si>
    <t>Крышка стеклянная мет обод.ручка 26см</t>
  </si>
  <si>
    <t>21011</t>
  </si>
  <si>
    <t>Крышка стеклянная мет обод.ручка 28см</t>
  </si>
  <si>
    <t>21046</t>
  </si>
  <si>
    <t>Крышка стеклянная мет обод.ручка 30см</t>
  </si>
  <si>
    <t>21060</t>
  </si>
  <si>
    <t>Крышка стеклянная мет обод.с сборе 20 см 848-060 /12/</t>
  </si>
  <si>
    <t>21056</t>
  </si>
  <si>
    <t>Крышка стеклянная мет обод.с сборе 22 см 848-061 /10/</t>
  </si>
  <si>
    <t>21063</t>
  </si>
  <si>
    <t>Крышка стеклянная мет обод.с сборе 24 см 848-062 /11/</t>
  </si>
  <si>
    <t>21072</t>
  </si>
  <si>
    <t>Крышка стеклянная мет обод.с сборе 26 см 848-063 /11/</t>
  </si>
  <si>
    <t>21055</t>
  </si>
  <si>
    <t>Крышка стеклянная мет обод.с сборе 28 см 848-064 /10/</t>
  </si>
  <si>
    <t>20003</t>
  </si>
  <si>
    <t>Крышка-сетка от брызг масла 24 см AN11-30 /12/</t>
  </si>
  <si>
    <t>20004</t>
  </si>
  <si>
    <t>Крышка-сетка от брызг масла 26 см AN11-31 /12/</t>
  </si>
  <si>
    <t>20005</t>
  </si>
  <si>
    <t>Крышка-сетка от брызг масла 28 см AN11-32 /12/</t>
  </si>
  <si>
    <t>20001</t>
  </si>
  <si>
    <t>Крышка-сетка от брызг масла 29 см с ручкой мет. окраш. 884-321 /6/</t>
  </si>
  <si>
    <t>79466</t>
  </si>
  <si>
    <t>Подставка для крышек с 2-мя крючками VL80-174 /12/</t>
  </si>
  <si>
    <t>20016</t>
  </si>
  <si>
    <t>Ручка для крышек 2 шт AHH-A15-2 /480/</t>
  </si>
  <si>
    <t>21031</t>
  </si>
  <si>
    <t>Ручка для крышек 5 см 2шт металл+пластик 848-019 /12/</t>
  </si>
  <si>
    <t>20002</t>
  </si>
  <si>
    <t>Ручка для крышек 6*5*3,5 см нерж. сталь Селфи 385-105 /600/</t>
  </si>
  <si>
    <t>202 Посуда чугунная</t>
  </si>
  <si>
    <t>22259</t>
  </si>
  <si>
    <t>Казан чугунный SATOSHI 26 см 3,0 л антипр.покр.нерж.руч.решетка ст.кр.лопатк.бамб.пал.808-029 /4/</t>
  </si>
  <si>
    <t>22260</t>
  </si>
  <si>
    <t>Казан чугунный SATOSHI 30 см 4,4 л антипр.покр.нерж.руч.решетка ст.кр.лопатк.бамб.пал.808-031 /4/</t>
  </si>
  <si>
    <t>22216</t>
  </si>
  <si>
    <t>Кастрюля чугунная 3,8 л 23*10 см нерж. ручка 808-019 /4/</t>
  </si>
  <si>
    <t>22256</t>
  </si>
  <si>
    <t>Сковорода чугунная SATOSHI 24 см антипригарное покрытие нерж. ручка 808-027 /6/</t>
  </si>
  <si>
    <t>22200</t>
  </si>
  <si>
    <t>Сковорода чугунная VETTA 20 см 2-слива 808-002 /2/10/</t>
  </si>
  <si>
    <t>20200</t>
  </si>
  <si>
    <t>Сковорода чугунная VETTA 22*5 см дерев. ручка 808-005 /2/6/</t>
  </si>
  <si>
    <t>20205</t>
  </si>
  <si>
    <t>Сковорода чугунная VETTA 24*5 см дерев. ручка 808-006 /2/6/</t>
  </si>
  <si>
    <t>20233</t>
  </si>
  <si>
    <t>Сковорода чугунная VETTA 24*5 см жаровня/6/</t>
  </si>
  <si>
    <t>22222</t>
  </si>
  <si>
    <t>Сковорода чугунная VETTA 25 см 2-слива 808-003 /2/6/</t>
  </si>
  <si>
    <t>20261</t>
  </si>
  <si>
    <t>Сковорода чугунная VETTA 26*5,5 см дерев. ручка 808-007 /2/6/</t>
  </si>
  <si>
    <t>33302</t>
  </si>
  <si>
    <t>Сковорода-вок чугунная 30*8,5 см без крышки</t>
  </si>
  <si>
    <t>22246</t>
  </si>
  <si>
    <t>Сковорода-вок чугунная 30*8,5 см со стекл. крышкой 808-009 /4/</t>
  </si>
  <si>
    <t>22255</t>
  </si>
  <si>
    <t>Сковорода-гриль чугунная 26*26*4,5 см 808-004 /2/6/</t>
  </si>
  <si>
    <t>203 Посуда стальная/нержавеющая</t>
  </si>
  <si>
    <t>22368</t>
  </si>
  <si>
    <t>Корзина д/фруктов метал. круглая 27*9,5 см ВЕ-0462 /60/</t>
  </si>
  <si>
    <t>20330</t>
  </si>
  <si>
    <t>Кружка метал. Эконом 11см 650мл /240/</t>
  </si>
  <si>
    <t>22330</t>
  </si>
  <si>
    <t>Кружка нерж. VETTA 10см 600мл 832-033 /3/72/</t>
  </si>
  <si>
    <t>22300</t>
  </si>
  <si>
    <t>Кружка нерж. VETTA 8см 300мл 832-014 /6/</t>
  </si>
  <si>
    <t>42273</t>
  </si>
  <si>
    <t>Кружка нерж. Дружба изотермическая 220мл ДК-560</t>
  </si>
  <si>
    <t>20302</t>
  </si>
  <si>
    <t>Масленка нерж. Malloni Oliatore с пласт. крышкой 18*11*4 см /30/</t>
  </si>
  <si>
    <t>22343</t>
  </si>
  <si>
    <t>Масленка нерж. с акриловой крышкой 16*5,5*12 см 844-059 /5/100/</t>
  </si>
  <si>
    <t>20332</t>
  </si>
  <si>
    <t>Миска метал. 28см №5 /204/</t>
  </si>
  <si>
    <t>20315</t>
  </si>
  <si>
    <t>Миска метал. глубокая 20см 0,75л</t>
  </si>
  <si>
    <t>20317</t>
  </si>
  <si>
    <t>Миска метал. глубокая 24см 1,5л</t>
  </si>
  <si>
    <t>20318</t>
  </si>
  <si>
    <t>Миска метал. глубокая 28см 2л</t>
  </si>
  <si>
    <t>20323</t>
  </si>
  <si>
    <t>Миска нерж. DOMINA 28см 2,5л</t>
  </si>
  <si>
    <t>20334</t>
  </si>
  <si>
    <t>Миска нерж. DOMINA 34см 4л /120/</t>
  </si>
  <si>
    <t>22311</t>
  </si>
  <si>
    <t>Миска нерж. VETTA глубокая 16см 700 мл 831-278 /6/144/</t>
  </si>
  <si>
    <t>20306</t>
  </si>
  <si>
    <t>Миска нерж. VETTA глубокая 18см 900 мл 831-570 /6/144/</t>
  </si>
  <si>
    <t>20326</t>
  </si>
  <si>
    <t>Миска нерж. VETTA глубокая 20см 1280 мл 831-281 /3/</t>
  </si>
  <si>
    <t>22107</t>
  </si>
  <si>
    <t>Миска нерж. VETTA глубокая 22см 1700 мл 831-780 /3/108/</t>
  </si>
  <si>
    <t>20316</t>
  </si>
  <si>
    <t>Миска нерж. VETTA глубокая 24см 2350 мл 831-568 /3/108/</t>
  </si>
  <si>
    <t>28025</t>
  </si>
  <si>
    <t>Миска нерж. VETTA глубокая 26см 3000 мл 831-763 /3/</t>
  </si>
  <si>
    <t>20325</t>
  </si>
  <si>
    <t>Миска нерж. VETTA глубокая 28см 3500 мл 831-282 /3/72/</t>
  </si>
  <si>
    <t>22312</t>
  </si>
  <si>
    <t>Миска нерж. VETTA глубокая 30см 4000мл 831-764 /3/72/</t>
  </si>
  <si>
    <t>20319</t>
  </si>
  <si>
    <t>Миска нерж. высокие края 24см 2,5л</t>
  </si>
  <si>
    <t>20320</t>
  </si>
  <si>
    <t>Миска нерж. высокие края 34см 6л</t>
  </si>
  <si>
    <t>20321</t>
  </si>
  <si>
    <t>Миска нерж. высокие края 36-38см 9л 08А</t>
  </si>
  <si>
    <t>20322</t>
  </si>
  <si>
    <t>Миска нерж. высокие края 40см 11л</t>
  </si>
  <si>
    <t>22358</t>
  </si>
  <si>
    <t>Поднос из нержавейки Д 30 см тонк.</t>
  </si>
  <si>
    <t>20309</t>
  </si>
  <si>
    <t>Поднос нерж. Vetta 40 см 833-028 /6/40/</t>
  </si>
  <si>
    <t>20333</t>
  </si>
  <si>
    <t>Подставка под ложку нерж.VETTA малая 812-043 /4/144/</t>
  </si>
  <si>
    <t>20308</t>
  </si>
  <si>
    <t>Салатник нерж. Satoshi глубокий 19 см 812-083 /48/</t>
  </si>
  <si>
    <t>20399</t>
  </si>
  <si>
    <t>Салатник нерж. Satoshi глубокий 21см 812-081 /24/</t>
  </si>
  <si>
    <t>20305</t>
  </si>
  <si>
    <t>Салатник нерж. Satoshi глубокий 24см 812-084 /24/</t>
  </si>
  <si>
    <t>20331</t>
  </si>
  <si>
    <t>Салатник нерж. Satoshi глубокий 25см 812-082 /24/</t>
  </si>
  <si>
    <t>28185</t>
  </si>
  <si>
    <t>Салатник нерж. VETTA евро 17см 812-032 /2/48/</t>
  </si>
  <si>
    <t>28007</t>
  </si>
  <si>
    <t>Салатник нерж. VETTA евро 25см 812-034 /2/24/</t>
  </si>
  <si>
    <t>20395</t>
  </si>
  <si>
    <t>Салатники нерж. Satoshi с крышками 14, 16, 18 см 812-080 /12/</t>
  </si>
  <si>
    <t>20301</t>
  </si>
  <si>
    <t>Салфетница метал. 10*10*3,5 см 2 цв. 827-090 /6/144/</t>
  </si>
  <si>
    <t>22352</t>
  </si>
  <si>
    <t>Салфетница нерж. 13*7,5*6 см белая 844-053 /20/</t>
  </si>
  <si>
    <t>22321</t>
  </si>
  <si>
    <t>Салфетница нерж. 13*7*6 см 3 диз. 844-055 /20/</t>
  </si>
  <si>
    <t>22381</t>
  </si>
  <si>
    <t>Салфетница нерж. 17*8 см Мурлыка 2 цв. 8445-094 /144/</t>
  </si>
  <si>
    <t>20304</t>
  </si>
  <si>
    <t>Тарелка метал. Руссо Туристо походная 19*5,5 см 123-028 /10/</t>
  </si>
  <si>
    <t>41671</t>
  </si>
  <si>
    <t>Тарелка нерж. Дружба 24 см ДК-550</t>
  </si>
  <si>
    <t>20310</t>
  </si>
  <si>
    <t>Фляжка нерж. 240 мл 841-759 /2/100/</t>
  </si>
  <si>
    <t>20303</t>
  </si>
  <si>
    <t>Чашка метал. Руссо Туристо глубокая походная двухслойная 12*5 см 123-027 /5/320/</t>
  </si>
  <si>
    <t>204 Сковороды</t>
  </si>
  <si>
    <t>20437</t>
  </si>
  <si>
    <t>Сковорода By Collecyion литая Д24 см антиприг. покр. индук. мрамор. 846-566 /6/</t>
  </si>
  <si>
    <t>20443</t>
  </si>
  <si>
    <t>Сковорода By Collecyion литая Д26 см антиприг. покр. индук. мрамор. 846-583 /6/</t>
  </si>
  <si>
    <t>20411</t>
  </si>
  <si>
    <t>Сковорода By Collecyion литая Д26 см антиприг. покр. индук. мрамор. съем. ручка 846-609 /6/</t>
  </si>
  <si>
    <t>20439</t>
  </si>
  <si>
    <t>Сковорода By Collecyion литая Д28 см антиприг. покр. индук. мрамор. 846-584 /6/</t>
  </si>
  <si>
    <t>20415</t>
  </si>
  <si>
    <t>Сковорода By Collecyion литая Д28 см антиприг. покр. индук. мрамор. съем. ручка /6/</t>
  </si>
  <si>
    <t>20432</t>
  </si>
  <si>
    <t>Сковорода SATOSHI Graphite Д20 см антиприг. покр. индук. 846-011 /10/</t>
  </si>
  <si>
    <t>20449</t>
  </si>
  <si>
    <t>Сковорода SATOSHI Graphite Д26 см антиприг. покр. индук. 846-015 /2/10/</t>
  </si>
  <si>
    <t>22424</t>
  </si>
  <si>
    <t>Сковорода SATOSHI Graphite Д28 см антиприг. покр. индук. 846-016 /2/10/</t>
  </si>
  <si>
    <t>22461</t>
  </si>
  <si>
    <t>Сковорода SATOSHI Аира Д20 см антиприг. гранит. покр. индук. 846-391 /10/</t>
  </si>
  <si>
    <t>22497</t>
  </si>
  <si>
    <t>Сковорода SATOSHI Аира Д26 см антиприг. гранит. покр. индук. 846-393 /10/</t>
  </si>
  <si>
    <t>22627</t>
  </si>
  <si>
    <t>Сковорода SATOSHI Аира Д28 см антиприг. гранит. покр. индук. 846-394 /10/</t>
  </si>
  <si>
    <t>20425</t>
  </si>
  <si>
    <t>Сковорода SATOSHI Аржанта литая глуб. Д24 см антиприг. покр. индук. мрамор. 2 цв. 846-594 /6/</t>
  </si>
  <si>
    <t>22451</t>
  </si>
  <si>
    <t>Сковорода SATOSHI Валькур литая глуб. Д24 см антиприг. покр. индук. мрамор. 846-474 /6/</t>
  </si>
  <si>
    <t>20452</t>
  </si>
  <si>
    <t>Сковорода SATOSHI Валькур литая глуб. Д28 см антиприг. покр. индук. мрамор. 846-475 /6/</t>
  </si>
  <si>
    <t>20462</t>
  </si>
  <si>
    <t>Сковорода SATOSHI Валькур литая Д22 см антиприг. покр. индук. мрамор. 846-476 /6/</t>
  </si>
  <si>
    <t>20468</t>
  </si>
  <si>
    <t>Сковорода SATOSHI Валькур литая Д26 см антиприг. покр. индук. мрамор. 846-477 /6/</t>
  </si>
  <si>
    <t>20470</t>
  </si>
  <si>
    <t>Сковорода SATOSHI Валькур литая Д30 см антиприг. покр. индук. мрамор. 846-478 /6/</t>
  </si>
  <si>
    <t>22422</t>
  </si>
  <si>
    <t>Сковорода SATOSHI Кале Д32 см антиприг. покр. индук. мрамор. 846-429 /6/</t>
  </si>
  <si>
    <t>22467</t>
  </si>
  <si>
    <t>Сковорода SATOSHI Карбон литая Д20 см антиприг. покр. индук. мрамор. 846-451 /6/</t>
  </si>
  <si>
    <t>20422</t>
  </si>
  <si>
    <t>Сковорода SATOSHI Карбон литая Д24 см антиприг. покр. индук. мрамор. 846-452 /6/</t>
  </si>
  <si>
    <t>22474</t>
  </si>
  <si>
    <t>Сковорода SATOSHI Карбон литая Д26 см антиприг. покр. индук. мрамор. 846-453 /6/</t>
  </si>
  <si>
    <t>22475</t>
  </si>
  <si>
    <t>Сковорода SATOSHI Карбон литая Д28 см антиприг. покр. индук. мрамор. 846-454 /6/</t>
  </si>
  <si>
    <t>20455</t>
  </si>
  <si>
    <t>Сковорода SATOSHI Карнуа Д20 см антиприг. покр. индук. мрамор. 846-559 /6/</t>
  </si>
  <si>
    <t>20427</t>
  </si>
  <si>
    <t>Сковорода SATOSHI Карнуа Д24 см антиприг. покр. индук. мрамор. 846-560 /6/</t>
  </si>
  <si>
    <t>20433</t>
  </si>
  <si>
    <t>Сковорода SATOSHI Карнуа Д26 см антиприг. покр. индук. мрамор. 846-561 /6/</t>
  </si>
  <si>
    <t>20467</t>
  </si>
  <si>
    <t>Сковорода SATOSHI Карнуа Д28 см антиприг. покр. индук. мрамор. 846-562 /6/</t>
  </si>
  <si>
    <t>20401</t>
  </si>
  <si>
    <t>Сковорода SATOSHI Клио Д20 см антиприг. покр. 846-310 /12/</t>
  </si>
  <si>
    <t>20403</t>
  </si>
  <si>
    <t>Сковорода SATOSHI Клио Д24 см антиприг. покр. 846-312 /12/</t>
  </si>
  <si>
    <t>20409</t>
  </si>
  <si>
    <t>Сковорода SATOSHI Клио Д26 см антиприг. покр. 846-313 /12/</t>
  </si>
  <si>
    <t>20410</t>
  </si>
  <si>
    <t>Сковорода SATOSHI Клио Д28 см антиприг. покр. 846-314 /2/12/</t>
  </si>
  <si>
    <t>20406</t>
  </si>
  <si>
    <t>Сковорода SATOSHI Ла Мери литая Д20 см антиприг. покр. индук. мрамор. 846-482 /6/</t>
  </si>
  <si>
    <t>20413</t>
  </si>
  <si>
    <t>Сковорода SATOSHI Ла Мери литая Д24 см антиприг. покр. индук. мрамор. 846-483 /6/</t>
  </si>
  <si>
    <t>22439</t>
  </si>
  <si>
    <t>Сковорода SATOSHI Ла Мери литая Д26 см антиприг. покр. индук. мрамор. 846-484 /6/</t>
  </si>
  <si>
    <t>28092</t>
  </si>
  <si>
    <t>Сковорода SATOSHI Ла Мери литая Д28 см антиприг. покр. индук. мрамор. 846-485 /6/</t>
  </si>
  <si>
    <t>20480</t>
  </si>
  <si>
    <t>Сковорода SATOSHI Ла Мери литая Д32 см антиприг. покр. индук. мрамор. 846-486 /6/</t>
  </si>
  <si>
    <t>22369</t>
  </si>
  <si>
    <t>Сковорода SATOSHI Руан блинная Д24 см антиприг. покр. индук. мрамор. 846-417 /6/</t>
  </si>
  <si>
    <t>28088</t>
  </si>
  <si>
    <t>Сковорода SATOSHI Руан блинная Д28 см антиприг. покр. индук. мрамор. 846-419 /6/</t>
  </si>
  <si>
    <t>20426</t>
  </si>
  <si>
    <t>Сковорода SATOSHI Стенвиль литая Д28 см антиприг. покр. индук. мрамор. 846-471 /6/</t>
  </si>
  <si>
    <t>22347</t>
  </si>
  <si>
    <t>Сковорода SATOSHI Стоун Д20 см антиприг. камен. покр. индук. 846-332 /2/6/</t>
  </si>
  <si>
    <t>22481</t>
  </si>
  <si>
    <t>Сковорода SATOSHI Стоун Д24 см антиприг. камен. покр. индук. 846-333 /2/6/</t>
  </si>
  <si>
    <t>22482</t>
  </si>
  <si>
    <t>Сковорода SATOSHI Стоун Д26 см антиприг. камен. покр. индук. 846-334 /2/6/</t>
  </si>
  <si>
    <t>20412</t>
  </si>
  <si>
    <t>Сковорода SATOSHI Стоун Д28 см антиприг. камен. покр. индук. 846-443 /6/</t>
  </si>
  <si>
    <t>20490</t>
  </si>
  <si>
    <t>Сковорода SATOSHI Стоун Д32 см антиприг. камен. покр. индук. 846-481 /6/</t>
  </si>
  <si>
    <t>22430</t>
  </si>
  <si>
    <t>Сковорода SATOSHI Стоун литая блинная Д24 см антиприг. покр. индук. мрамор. 846-446 /6/</t>
  </si>
  <si>
    <t>22414</t>
  </si>
  <si>
    <t>Сковорода SATOSHI Стоун литая глуб. Д24 см антиприг. покр. индук. мрамор. 846-444 /6/</t>
  </si>
  <si>
    <t>22426</t>
  </si>
  <si>
    <t>Сковорода SATOSHI Стоун литая глуб. Д28 см антиприг. покр. индук. мрамор. 846-445 /6/</t>
  </si>
  <si>
    <t>20444</t>
  </si>
  <si>
    <t>Сковорода SATOSHI Танто Д20 см антиприг. камен. покр. индук. 846-385 /2/6/</t>
  </si>
  <si>
    <t>22446</t>
  </si>
  <si>
    <t>Сковорода SATOSHI Танто Д24 см антиприг. камен. покр. индук. 846-386 /2/6/</t>
  </si>
  <si>
    <t>22447</t>
  </si>
  <si>
    <t>Сковорода SATOSHI Танто Д26 см антиприг. камен. покр. индук. 846-387 /2/6/</t>
  </si>
  <si>
    <t>22400</t>
  </si>
  <si>
    <t>Сковорода SATOSHI Танто Д28 см антиприг. камен. покр. индук. 846-388 /6/</t>
  </si>
  <si>
    <t>20435</t>
  </si>
  <si>
    <t>Сковорода SATOSHI Уран литая Д24 см антиприг. покр. индук. мрамор. сьем. ручка 846-456 /6/</t>
  </si>
  <si>
    <t>22431</t>
  </si>
  <si>
    <t>Сковорода VETTA Марсел Д26 см керам. покр. 846-137 /20/</t>
  </si>
  <si>
    <t>22473</t>
  </si>
  <si>
    <t>Сковорода Славяна Адамант литая Д24 см антиприг. покр. индук. 846-371 /6/</t>
  </si>
  <si>
    <t>22471</t>
  </si>
  <si>
    <t>Сковорода Славяна Алмаз литая Д24 см антиприг. покр. индук. 846-291 /6/</t>
  </si>
  <si>
    <t>20417</t>
  </si>
  <si>
    <t>Сковорода Славяна Алмаз литая Д28 см антиприг. покр. индук. 846-293 /6/</t>
  </si>
  <si>
    <t>20402</t>
  </si>
  <si>
    <t>Сковорода Славяна Оникс литая глуб. Д24 см керам. покр. индук. съем. ручка 846-317 /6/</t>
  </si>
  <si>
    <t>22345</t>
  </si>
  <si>
    <t>Сковорода Славяна Оникс литая глуб. Д26 см керам. покр. индук. съем. ручка 846-318 /6/</t>
  </si>
  <si>
    <t>22346</t>
  </si>
  <si>
    <t>Сковорода Славяна Оникс литая глуб. Д28 см керам. покр. индук. съем. ручка 846-319 /6/</t>
  </si>
  <si>
    <t>20400</t>
  </si>
  <si>
    <t>Сковорода Славяна Уран литая Д20 см антиприг. покр. индук. мрамор. сьем. ручка 846-455 /6/</t>
  </si>
  <si>
    <t>22628</t>
  </si>
  <si>
    <t>Сковорода Славяна Уран литая Д26 см антиприг. покр. индук. мрамор. сьем. ручка 846-457 /6/</t>
  </si>
  <si>
    <t>20494</t>
  </si>
  <si>
    <t>Сковорода Славяна Уран литая Д28см антиприг. покр. индук. мрамор. сьем. ручка 846-458 /6/</t>
  </si>
  <si>
    <t>22483</t>
  </si>
  <si>
    <t>Сковорода-вок VETTA Д30 см 846-307 /2/12/</t>
  </si>
  <si>
    <t>20475</t>
  </si>
  <si>
    <t>Сковорода-гриль SATOSHI Валькур литая 26*26 см антиприг. покр. индук. мрамор. 846-479 /6/</t>
  </si>
  <si>
    <t>20430</t>
  </si>
  <si>
    <t>Сковорода-гриль SATOSHI Стоун литая алюм. Д24 см антиприг. камен. покр. индук. 846-495/6/</t>
  </si>
  <si>
    <t>22496</t>
  </si>
  <si>
    <t>Сковорода-гриль Славяна Кобальт литая 24*24 см антиприг. камен. покр. индук. 846-384 /6/</t>
  </si>
  <si>
    <t>20465</t>
  </si>
  <si>
    <t>Сковорода-мини SATOSHI Д14 см антиприг. покр. 846-339 /2/20/</t>
  </si>
  <si>
    <t>20453</t>
  </si>
  <si>
    <t>Сковороды By Collecyion литая Д28;26 см антиприг. покр. индук. мрамор. съем. ручка 2шт</t>
  </si>
  <si>
    <t>205 Чайники/кофейники</t>
  </si>
  <si>
    <t>20516</t>
  </si>
  <si>
    <t>Кофеварка гейзерная 150 мл алюм.ст. 3 чашки</t>
  </si>
  <si>
    <t>20519</t>
  </si>
  <si>
    <t>Кофеварка гейзерная 400 мл нерж.ст.нейлон.ручк.850-130 /2/30/</t>
  </si>
  <si>
    <t>22546</t>
  </si>
  <si>
    <t>Кофеварка-турка 450мл с медным дном сталь CW-450С</t>
  </si>
  <si>
    <t>22514</t>
  </si>
  <si>
    <t>Кофеварка-турка 540мл 847-018 /2/</t>
  </si>
  <si>
    <t>20549</t>
  </si>
  <si>
    <t>Кофеварка-турка 540мл медная 2 дизайна 847-077 /50/</t>
  </si>
  <si>
    <t>20539</t>
  </si>
  <si>
    <t>Кофеварка-турка 640мл медная 2 дизайна 847-078 /40/</t>
  </si>
  <si>
    <t>20501</t>
  </si>
  <si>
    <t>Кофеварка-турка By Collection 370мл эмалиров. белая 894-520 /3/</t>
  </si>
  <si>
    <t>20509</t>
  </si>
  <si>
    <t>Кофеварка-турка Satoshi 350мл нерж.сталь., дно медн.покрытие 847-085 /24/</t>
  </si>
  <si>
    <t>20510</t>
  </si>
  <si>
    <t>Кофеварка-турка Satoshi 650мл нерж.сталь., дно медн.покрытие 847-086 /24/</t>
  </si>
  <si>
    <t>22543</t>
  </si>
  <si>
    <t>Кофеварка-турка VETTA 400мл нерж.ст. 847-030 /3/48/</t>
  </si>
  <si>
    <t>20533</t>
  </si>
  <si>
    <t>Чайник металл. 1,5 л стальной 847-062 /24/</t>
  </si>
  <si>
    <t>22529</t>
  </si>
  <si>
    <t>Чайник металл. 2,0 л Верда индукция 847-067 /12/</t>
  </si>
  <si>
    <t>22548</t>
  </si>
  <si>
    <t>Чайник металл. 2,0 л горошек синий индукция 847-063 /12/</t>
  </si>
  <si>
    <t>20500</t>
  </si>
  <si>
    <t>Чайник металл. 2,5 RWK007 К12 847-004 /12/</t>
  </si>
  <si>
    <t>20553</t>
  </si>
  <si>
    <t>Чайник металл. 2,5 зеркальный 847-008 /12/</t>
  </si>
  <si>
    <t>22534</t>
  </si>
  <si>
    <t>Чайник металл. 2,5 красный 847-002 /12/</t>
  </si>
  <si>
    <t>20514</t>
  </si>
  <si>
    <t>Чайник металл. 2,5 Сезан индукция 4 чв. 847-094 /12/</t>
  </si>
  <si>
    <t>22538</t>
  </si>
  <si>
    <t>Чайник металл. 2,7 л  Винзен индукция 847-075 /12/</t>
  </si>
  <si>
    <t>20512</t>
  </si>
  <si>
    <t>Чайник металл. 2,7 л  Золотой узор индукция 847-073 /12/</t>
  </si>
  <si>
    <t>20511</t>
  </si>
  <si>
    <t>Чайник металл. 2,7 л  Сверлый Гранит индукция 847-072 /12/</t>
  </si>
  <si>
    <t>20508</t>
  </si>
  <si>
    <t>Чайник металл. 3,0 л. Молинос индукц. 2 цв 847-079 /12/</t>
  </si>
  <si>
    <t>206 Кастрюли</t>
  </si>
  <si>
    <t>20644</t>
  </si>
  <si>
    <t>Кастрюля Isabel 5,0 л 22 см 67022 /6/</t>
  </si>
  <si>
    <t>20649</t>
  </si>
  <si>
    <t>Кастрюля SATOSHI Альбер 1,8 л 16*9,5 см со стекл. крышкой индук. 822-212 /12/</t>
  </si>
  <si>
    <t>20654</t>
  </si>
  <si>
    <t>Кастрюля SATOSHI Альбер 2,5 л 18*10,5 см со стекл. крышкой индук. 822-213 /12/</t>
  </si>
  <si>
    <t>20655</t>
  </si>
  <si>
    <t>Кастрюля SATOSHI Альбер 3,4 л 20*11,5 см со стекл. крышкой индук. 822-214 /12/</t>
  </si>
  <si>
    <t>20656</t>
  </si>
  <si>
    <t>Кастрюля SATOSHI Альбер 5,9 л 24*13,5 см со стекл. крышкой индук. 822-215 /8/</t>
  </si>
  <si>
    <t>20658</t>
  </si>
  <si>
    <t>Кастрюля SATOSHI Венрай 2,3 л 18*10 см со стекл. крышкой индук. 822-159 /4/</t>
  </si>
  <si>
    <t>22668</t>
  </si>
  <si>
    <t>Кастрюля SATOSHI Кале 6,2 л 28*12,5 см со стекл. крышкой индук. антиприг. покр. мрамор. 846-422 /4/</t>
  </si>
  <si>
    <t>22693</t>
  </si>
  <si>
    <t>Кастрюля SATOSHI Кале 8,0 л 30*13,5 см со стекл. крышкой индук. антиприг. покр. мрамор. 846-423 /4/</t>
  </si>
  <si>
    <t>20609</t>
  </si>
  <si>
    <t>Кастрюля SATOSHI Лион 2,0 л 20*9 см со стекл. крышкой индук. антиприг. покр. мрамор. 846-404 /6/</t>
  </si>
  <si>
    <t>20615</t>
  </si>
  <si>
    <t>Кастрюля SATOSHI Лион 4,2 л 24*11,5 см со стекл. крышкой индук. антиприг. покр. мрамор. 846-405 /6/</t>
  </si>
  <si>
    <t>20636</t>
  </si>
  <si>
    <t>Кастрюля SATOSHI Лион 5,8 л 26*12 см со стекл. крышкой индук. антиприг. покр. мрамор. 846-406</t>
  </si>
  <si>
    <t>20616</t>
  </si>
  <si>
    <t>Кастрюля SATOSHI Лион 6,3 л 28*12,5 см со стекл. крышкой индук. антиприг. покр. мрамор. 846-407 /6/</t>
  </si>
  <si>
    <t>20614</t>
  </si>
  <si>
    <t>Кастрюля SATOSHI Рокруа 7,1 л 28*12 см со стекл. крышкой индук. нерж. сталь 822-191 /4/</t>
  </si>
  <si>
    <t>22611</t>
  </si>
  <si>
    <t>Кастрюля Vetta Hollywood 1,7 л 18,5*8,5 см со стекл. крышкой 822-172 /6/</t>
  </si>
  <si>
    <t>22665</t>
  </si>
  <si>
    <t>Кастрюля Vetta Paris 3,4 л 22*10,5 см со стекл. крышкой индук. 822-025 /8/</t>
  </si>
  <si>
    <t>22666</t>
  </si>
  <si>
    <t>Кастрюля Vetta Paris 4,9 л 24*11,5 см со стекл. крышкой индук. 822-187 /8/</t>
  </si>
  <si>
    <t>20611</t>
  </si>
  <si>
    <t>Кастрюля Vetta Vienna 1,9 л 16,5*9,5см со стекл. крышкой 822-043 /12/</t>
  </si>
  <si>
    <t>22633</t>
  </si>
  <si>
    <t>Кастрюля Vetta Vienna 2,6 л 18*10,5см со стекл. крышкой 822-054 /12/</t>
  </si>
  <si>
    <t>20612</t>
  </si>
  <si>
    <t>Кастрюля Vetta Vienna 3,6 л 20*11,5см со стекл. крышкой 822-064 /12/</t>
  </si>
  <si>
    <t>28530</t>
  </si>
  <si>
    <t>Кастрюля Vetta Vienna 6,0 л 24*13,5см со стекл. крышкой 822-074 /8/</t>
  </si>
  <si>
    <t>22602</t>
  </si>
  <si>
    <t>Кастрюля Vetta Берн 1,9 л 16*10 см со стекл. крышкой индук. 822-099 /6/</t>
  </si>
  <si>
    <t>22676</t>
  </si>
  <si>
    <t>Кастрюля Vetta Берн 2,6 л 18*11 см со стекл. крышкой индук. 822-100 /6/</t>
  </si>
  <si>
    <t>22681</t>
  </si>
  <si>
    <t>Кастрюля Vetta Берн 3,5 л 20*12 см со стекл. крышкой индук. 822-101 /6/</t>
  </si>
  <si>
    <t>20613</t>
  </si>
  <si>
    <t>Кастрюля Vetta Берн 6,1 л 24*14 см со стекл крышкой индук. 822-102 /4/</t>
  </si>
  <si>
    <t>20601</t>
  </si>
  <si>
    <t>Кастрюля Vetta Бирмингем 2,7 л 18*11,5 см со стекл. крышкой индук. 822-136 /4/</t>
  </si>
  <si>
    <t>20602</t>
  </si>
  <si>
    <t>Кастрюля Vetta Бирмингем 3,6 л 20*12,5 см со стекл. крышкой индук. 822-137 /4/</t>
  </si>
  <si>
    <t>20603</t>
  </si>
  <si>
    <t>Кастрюля Vetta Бирмингем 4,8 л 22*13,5 см со стекл. крышкой индук. 822-138 /4/</t>
  </si>
  <si>
    <t>20604</t>
  </si>
  <si>
    <t>Кастрюля Vetta Бирмингем 6,3 л 24*14,5 см со стекл. крышкой индук. 822-139 /4/</t>
  </si>
  <si>
    <t>20640</t>
  </si>
  <si>
    <t>Кастрюля Vetta Боньер 1,7 л 16*9,5 см со стекл. крышкой индук. 822-199 /4/</t>
  </si>
  <si>
    <t>20642</t>
  </si>
  <si>
    <t>Кастрюля Vetta Боньер 2,5 л 18*10,5 см со стекл. крышкой индук. 822-200 /4/</t>
  </si>
  <si>
    <t>22610</t>
  </si>
  <si>
    <t>Кастрюля Vetta Женева 2,0 л 16*9,5 см со стекл. крышкой индук. 822-081 /6/</t>
  </si>
  <si>
    <t>28097</t>
  </si>
  <si>
    <t>Кастрюля Vetta Женева 3,8 л 20*11,5 см со стекл. крышкой индук. 822-084 /6/</t>
  </si>
  <si>
    <t>22652</t>
  </si>
  <si>
    <t>Кастрюля Vetta Фултон 2,1 л 18*10,5 см со стекл. крышкой 822-112 /8/</t>
  </si>
  <si>
    <t>22648</t>
  </si>
  <si>
    <t>Кастрюля Vetta Фултон 2,9 л 20*11,5 см со стекл. крышкой 822-113 /8/</t>
  </si>
  <si>
    <t>20673</t>
  </si>
  <si>
    <t>Кастрюля Vetta Фултон 4 л 22*12,5 см со стекл. крышкой 822-114 /8/</t>
  </si>
  <si>
    <t>20634</t>
  </si>
  <si>
    <t>Кастрюля Vetta Фултон 5,4 л 24*14 см со стекл. крышкой 822-115 /8/</t>
  </si>
  <si>
    <t>20608</t>
  </si>
  <si>
    <t>Кастрюля Альтон 3,7 л 22*11 см со стекл. крышкой 822-210 /12/</t>
  </si>
  <si>
    <t>22621</t>
  </si>
  <si>
    <t>Кастрюля Джерси 1,7 л 18*9,0 см со стекл. крышкой 822-066 /12/</t>
  </si>
  <si>
    <t>22643</t>
  </si>
  <si>
    <t>Кастрюля Джерси 2,6 л 20*10,0 см со стекл. крышкой 822-070 /12/</t>
  </si>
  <si>
    <t>20628</t>
  </si>
  <si>
    <t>Кастрюля Джерси 3,7 л 22*11 см со стекл. крышкой 822-073 /12/</t>
  </si>
  <si>
    <t>22638</t>
  </si>
  <si>
    <t>Кастрюля Стрейтон 2,1 л 18*10,5 см со стекл. крышкой 822-118 /8/</t>
  </si>
  <si>
    <t>22620</t>
  </si>
  <si>
    <t>Кастрюля Стрейтон 2,9 л 20*11,5 см со стекл. крышкой 822-119 /8/</t>
  </si>
  <si>
    <t>22635</t>
  </si>
  <si>
    <t>Кастрюля Стрейтон 5,4 л 24*14 см со стекл. крышкой 822-120 /8/</t>
  </si>
  <si>
    <t>20610</t>
  </si>
  <si>
    <t>Кастрюля Фармерс 3,7 л 22*11 см со стекл. крышкой 822-216 /12/</t>
  </si>
  <si>
    <t>20657</t>
  </si>
  <si>
    <t>Ковш SATOSHI Венрай 1,6 л 16*9 см со стекл. крышкой индук. нерж. сталь 822-158 /4/</t>
  </si>
  <si>
    <t>22863</t>
  </si>
  <si>
    <t>Ковш SATOSHI Графит 16*8 см антиприг. покр. индук. 846-402 /2/6/</t>
  </si>
  <si>
    <t>20652</t>
  </si>
  <si>
    <t>Ковш SATOSHI Ла Мери 16*8,5 см со стекл. крышкой индук. антиприг. покр. мрамор 846-487 /6/</t>
  </si>
  <si>
    <t>20651</t>
  </si>
  <si>
    <t>Ковш SATOSHI Стоун 16 см антиприг. покр. мрамор индук. 846-568 /6/</t>
  </si>
  <si>
    <t>20600</t>
  </si>
  <si>
    <t>Ковш Vetta 14 см нерж ст. 812-076 /2/24/</t>
  </si>
  <si>
    <t>22671</t>
  </si>
  <si>
    <t>Ковш Vetta 14 см с антиприг. покр. металл силик. ручка 3 цв. 846-002 /2/50/</t>
  </si>
  <si>
    <t>22684</t>
  </si>
  <si>
    <t>Ковш Джерси 1,2 л 16*8 см со стекл. крышкой 822-077 /2/12/</t>
  </si>
  <si>
    <t>20605</t>
  </si>
  <si>
    <t>Ковш метал. с ручкой 1 л 14 см</t>
  </si>
  <si>
    <t>20606</t>
  </si>
  <si>
    <t>Ковш метал. с ручкой 1,5 л 16 см</t>
  </si>
  <si>
    <t>20607</t>
  </si>
  <si>
    <t>Ковш метал. с ручкой 2 л 18 см</t>
  </si>
  <si>
    <t>22618</t>
  </si>
  <si>
    <t>Ковш Стрейтон 1,4 л 16*9,5 см со стекл. крышкой 822-117 /8/</t>
  </si>
  <si>
    <t>20662</t>
  </si>
  <si>
    <t>Мантоварка 2-х секц Д26 см /12/</t>
  </si>
  <si>
    <t>22363</t>
  </si>
  <si>
    <t>Мантоварка 3-х секц Д28 см нерж. сталь 822-107 /4/</t>
  </si>
  <si>
    <t>22370</t>
  </si>
  <si>
    <t>Мантоварка 4-х секц Д30 см нерж. сталь 822-129 /4/</t>
  </si>
  <si>
    <t>207 Кастрюли/салатники/чайники эмалированные</t>
  </si>
  <si>
    <t>20734</t>
  </si>
  <si>
    <t>Кастрюля эмаль 6 л Люпины 894-503 /2/</t>
  </si>
  <si>
    <t>20702</t>
  </si>
  <si>
    <t>Кастрюля эмаль Vetta Букет 3,6 л 22 см индукция 894-320 /12/</t>
  </si>
  <si>
    <t>20703</t>
  </si>
  <si>
    <t>Кастрюля эмаль Vetta Букет 5,0 л 24 см индукция 894-326 /12/</t>
  </si>
  <si>
    <t>20725</t>
  </si>
  <si>
    <t>Кастрюля эмаль Vetta Кантри 2 л 18 см индукция 894-496 /12/</t>
  </si>
  <si>
    <t>20728</t>
  </si>
  <si>
    <t>Кастрюля эмаль Vetta Кантри 3,6 л 22 см индукция 894-497 /12/</t>
  </si>
  <si>
    <t>20729</t>
  </si>
  <si>
    <t>Кастрюля эмаль Vetta Кантри 5 л 24 см индукция 894-498 /12/</t>
  </si>
  <si>
    <t>20710</t>
  </si>
  <si>
    <t>Кастрюля эмаль Vetta Колор 2 л 18 см 894-001 /12/</t>
  </si>
  <si>
    <t>20711</t>
  </si>
  <si>
    <t>Кастрюля эмаль Vetta Колор 2,8 л 20 см 894-002 /12/</t>
  </si>
  <si>
    <t>20713</t>
  </si>
  <si>
    <t>Кастрюля эмаль Vetta Колор 3,6 л 22 см 894-003 /12/</t>
  </si>
  <si>
    <t>20705</t>
  </si>
  <si>
    <t>Кастрюля эмаль Vetta Повар 2 л 18 см 894-439 /12/</t>
  </si>
  <si>
    <t>22760</t>
  </si>
  <si>
    <t>Кастрюля эмаль Vetta Повар 3,6 л 22 см 894-440 /12/</t>
  </si>
  <si>
    <t>22782</t>
  </si>
  <si>
    <t>Кастрюля эмаль Vetta Повар 5 л 30 см 894-441 /12/</t>
  </si>
  <si>
    <t>20737</t>
  </si>
  <si>
    <t>Кастрюля эмаль Vetta Розанна 2 л 18 см 894-449 /12/</t>
  </si>
  <si>
    <t>20731</t>
  </si>
  <si>
    <t>Кастрюля эмаль Ранчо 2 л 894-500 /4/</t>
  </si>
  <si>
    <t>20704</t>
  </si>
  <si>
    <t>Кастрюля-ковш эмаль Мерлот 1,5 л 16 см без крышки 894-482 /4/</t>
  </si>
  <si>
    <t>20722</t>
  </si>
  <si>
    <t>Салатники эмаль с крышками 3 шт Букет 894-490 /18/</t>
  </si>
  <si>
    <t>20459</t>
  </si>
  <si>
    <t>Салатники эмаль с крышками 3 шт Леона 14/16/18см, 0,7/1,1/1,4л 894-462 /8/</t>
  </si>
  <si>
    <t>20712</t>
  </si>
  <si>
    <t>Салатники эмаль с крышками Элюзия Георгина 0,7л, 1,1л, 1,4л 894-334 /2/18/</t>
  </si>
  <si>
    <t>20720</t>
  </si>
  <si>
    <t>Чайник эмаль VETTA 1,1 л Ранчо 3 диз. 894-484 /12/</t>
  </si>
  <si>
    <t>20719</t>
  </si>
  <si>
    <t>Чайник эмаль VETTA 1,7 л Иллюзия 894-446 /12/</t>
  </si>
  <si>
    <t>20701</t>
  </si>
  <si>
    <t>Чайник эмаль VETTA 1,7 л Колор 894-004 /12/</t>
  </si>
  <si>
    <t>22044</t>
  </si>
  <si>
    <t>Чайник эмаль VETTA 2,5 л Бабочка 894-433 /12/</t>
  </si>
  <si>
    <t>22718</t>
  </si>
  <si>
    <t>Чайник эмаль VETTA 2,5 л Глянец розовый 894-474 /6/</t>
  </si>
  <si>
    <t>22079</t>
  </si>
  <si>
    <t>Чайник эмаль VETTA 2,5 л Джем 894-438 /12/</t>
  </si>
  <si>
    <t>20730</t>
  </si>
  <si>
    <t>Чайник эмаль VETTA 2,5 л Кантри индукция 894-499 /12/</t>
  </si>
  <si>
    <t>22709</t>
  </si>
  <si>
    <t>Чайник эмаль VETTA 2,5 л Марика 894-456 /12/</t>
  </si>
  <si>
    <t>208 Сотейники/Противни</t>
  </si>
  <si>
    <t>20814</t>
  </si>
  <si>
    <t>Противень 30*27*4,5 см камен. покр.</t>
  </si>
  <si>
    <t>22800</t>
  </si>
  <si>
    <t>Противень Satoshi Graphite 29,0*20,0*5 см 846-037 /8/</t>
  </si>
  <si>
    <t>22801</t>
  </si>
  <si>
    <t>Противень Satoshi Graphite 34,0*24,0*5,5 см 846-038 /9/</t>
  </si>
  <si>
    <t>22802</t>
  </si>
  <si>
    <t>Противень Satoshi Graphite 40,0*27,0*6,5 см 846-039 /7/</t>
  </si>
  <si>
    <t>20832</t>
  </si>
  <si>
    <t>Противень Satoshi Валькур глуб. 35*27*7 см антиприг. покр. угл. сталь 849-174 /24/</t>
  </si>
  <si>
    <t>20834</t>
  </si>
  <si>
    <t>Противень Satoshi Валькур глуб. 40*28,5*7 см антиприг. покр. угл. сталь 849-175 /24/</t>
  </si>
  <si>
    <t>22844</t>
  </si>
  <si>
    <t>Противень Satoshi глуб. 37,5*25*5,5см антиприг. покр. мрамор. угл. сталь 849-144 /24/</t>
  </si>
  <si>
    <t>20829</t>
  </si>
  <si>
    <t>Противень Satoshi Лион 47,0*29 см антиприг. покр. мрамор. силик. протект. ручек 846-502 /6/</t>
  </si>
  <si>
    <t>28118</t>
  </si>
  <si>
    <t>Противень Tramontina Lf Pasticceria 45*32*3,5 см</t>
  </si>
  <si>
    <t>20824</t>
  </si>
  <si>
    <t>Противень VETTA 38*26,7*1,6 см SL-2001S 846-069 /2/24/</t>
  </si>
  <si>
    <t>28188</t>
  </si>
  <si>
    <t>Противень VETTA 43*29*1,8 см SL-2001М 846-068 /2/24/</t>
  </si>
  <si>
    <t>28189</t>
  </si>
  <si>
    <t>Противень VETTA 46,5*32,7*2,5 см SL-2001L 846-067 /2/24/</t>
  </si>
  <si>
    <t>22807</t>
  </si>
  <si>
    <t>Противень VETTA глуб. 36*23*4,5 см SL-2005 846-010 /2/24/</t>
  </si>
  <si>
    <t>22808</t>
  </si>
  <si>
    <t>Противень VETTA глуб. 37,5*25,5*5 см SL-2006 846-108 /24/</t>
  </si>
  <si>
    <t>20808</t>
  </si>
  <si>
    <t>Противень VETTA глуб. 42,5*29,5*5 см SL-2007 846-109 /2/24/</t>
  </si>
  <si>
    <t>28164</t>
  </si>
  <si>
    <t>Противень VETTA глуб. Ростер 37,5*25,5*5 см с решеткой SL-2055 846-075 /2/24/</t>
  </si>
  <si>
    <t>20811</t>
  </si>
  <si>
    <t>Противень алюмин. 29*20*5 см с керам. покр. 51129 /12/</t>
  </si>
  <si>
    <t>20802</t>
  </si>
  <si>
    <t>Противень алюмин. 34*24*5,5 см с керам. покр. 51134 /12/</t>
  </si>
  <si>
    <t>20809</t>
  </si>
  <si>
    <t>Противень алюмин. 40*27*6 см с керам. покр. 51140 /12/</t>
  </si>
  <si>
    <t>22842</t>
  </si>
  <si>
    <t>Противень квадратный 21*3,5 см 846-368 /10/100/</t>
  </si>
  <si>
    <t>20815</t>
  </si>
  <si>
    <t>Сотейник By Collecyion Д28 см антиприг. покр. индук. мрамор. 846-567 /6/</t>
  </si>
  <si>
    <t>20812</t>
  </si>
  <si>
    <t>Сотейник SATOSHI Cтенвиль литой Д28 см антиприг. покр. мрамор. 846-473 /6/</t>
  </si>
  <si>
    <t>20828</t>
  </si>
  <si>
    <t>Сотейник SATOSHI Аира Д28 см антиприг. гранит. покр. индук. 846-395 /6/</t>
  </si>
  <si>
    <t>20800</t>
  </si>
  <si>
    <t>Сотейник SATOSHI Верден литой Д24 см антиприг. покр. индук. мрамор. 846-463 /6/</t>
  </si>
  <si>
    <t>20801</t>
  </si>
  <si>
    <t>Сотейник SATOSHI Верден литой Д26 см антиприг. покр. индук. мрамор. 846-464 /6/</t>
  </si>
  <si>
    <t>20803</t>
  </si>
  <si>
    <t>Сотейник SATOSHI Верден литой Д28 см антиприг. покр. индук. мрамор. 846-465 /6/</t>
  </si>
  <si>
    <t>20804</t>
  </si>
  <si>
    <t>Сотейник SATOSHI Верден литой Д32 см антиприг. покр. индук. мрамор. 846-466 /6/</t>
  </si>
  <si>
    <t>20819</t>
  </si>
  <si>
    <t>Сотейник SATOSHI Карнуа Д28 см антиприг. покр. индук. мрамор. 846-563 /4/</t>
  </si>
  <si>
    <t>20806</t>
  </si>
  <si>
    <t>Сотейник SATOSHI Ла Мери литой Д28х8 см антиприг. покр. индук. мрамор. со стекл. крышкой /6/</t>
  </si>
  <si>
    <t>20833</t>
  </si>
  <si>
    <t>Сотейник SATOSHI Лион Д24*7 см 2,5 л антиприг. покр. индук. мрамор. сил. прот. ручек 846-412 /6/</t>
  </si>
  <si>
    <t>20818</t>
  </si>
  <si>
    <t>Сотейник SATOSHI Лион Д28*7,5 см 3,8 л антиприг. покр. индук. мрамор. сил. прот. ручек 846-413 /6/</t>
  </si>
  <si>
    <t>22849</t>
  </si>
  <si>
    <t>Сотейник SATOSHI Лион Д32*8,2 см 5,2 л антиприг. покр. индук. мрамор. сил. прот. ручек 846-414 /4/</t>
  </si>
  <si>
    <t>22854</t>
  </si>
  <si>
    <t>Сотейник SATOSHI Мастер литой Д28см антиприг. покр. индук. 846-401 /6/</t>
  </si>
  <si>
    <t>22805</t>
  </si>
  <si>
    <t>Сотейник SATOSHI Танто Д28 см антиприг. камен. покр. индук. 846-389 /2/6/</t>
  </si>
  <si>
    <t>22851</t>
  </si>
  <si>
    <t>Сотейник Славяна Гранит литой Д28 см антиприг. покр. индук. Whiford Diamond 846-381 /4/</t>
  </si>
  <si>
    <t>22820</t>
  </si>
  <si>
    <t>Сотейник Славяна Гранит литой Д28 см керам. покр. индук. 849-038 /4/</t>
  </si>
  <si>
    <t>20805</t>
  </si>
  <si>
    <t>Сотейник-вок SATOSHI Верден литой Д26 см антиприг. покр. индук. мрамор. 846-467 /6/</t>
  </si>
  <si>
    <t>209 Чайники эмалированные Новокузнецк</t>
  </si>
  <si>
    <t>22947</t>
  </si>
  <si>
    <t>Лоток эмаль 2,5л с дек.в ассор-те С-2511/4 /8/</t>
  </si>
  <si>
    <t>20903</t>
  </si>
  <si>
    <t>Чайник эмаль (зак.дно) 3,5л красно-черный декор с петлей С2713.8 /4/</t>
  </si>
  <si>
    <t>20961</t>
  </si>
  <si>
    <t>Чайник эмаль (зак.дно) 3,5л палевый декор с петлей С2713.П /4/</t>
  </si>
  <si>
    <t>20910</t>
  </si>
  <si>
    <t>Чайник эмаль 1,0 л заварочный светлый с пл.кнопкой С42707.3 /8/</t>
  </si>
  <si>
    <t>20932</t>
  </si>
  <si>
    <t>Чайник эмаль 2,3л красно-черный декор с петлей С2714.8 /4/</t>
  </si>
  <si>
    <t>20935</t>
  </si>
  <si>
    <t>Чайник эмаль 2,3л черный декор с пл.кнопкой С2714.36 /4/</t>
  </si>
  <si>
    <t>20933</t>
  </si>
  <si>
    <t>Чайник эмаль 2,3л черный рябчик Рябинушка с петлей С2714.Р*05 /4/</t>
  </si>
  <si>
    <t>20970</t>
  </si>
  <si>
    <t>Чайник эмаль 3,5л сферич. белый декор с петлей С2716 /4/</t>
  </si>
  <si>
    <t>20976</t>
  </si>
  <si>
    <t>Чайник эмаль 3,5л сферич. белый с пл.кнопкой С42716.3 /4/</t>
  </si>
  <si>
    <t>19652</t>
  </si>
  <si>
    <t>Чайник эмаль 3,5л сферич. васильковый декор с пл.кнопкой С2716.34 /4/</t>
  </si>
  <si>
    <t>20934</t>
  </si>
  <si>
    <t>Чайник эмаль 3,5л сферич. красно-черный декор с петлей С2716.8 /4/</t>
  </si>
  <si>
    <t>20901</t>
  </si>
  <si>
    <t>Чайник эмаль 3,5л сферич. красно-черный декор с пл.кнопкой С2716.38 /4/</t>
  </si>
  <si>
    <t>20944</t>
  </si>
  <si>
    <t>Чайник эмаль 3,5л сферич. палевый декор с пл.кнопкой С2716.3П /4/</t>
  </si>
  <si>
    <t>20906</t>
  </si>
  <si>
    <t>Чайник эмаль 3,5л сферич. серо-голубой декор с петлей С2716.СГ /4/</t>
  </si>
  <si>
    <t>20936</t>
  </si>
  <si>
    <t>Чайник эмаль 3,5л сферич. черный декор с петлей С2716.6 /4/</t>
  </si>
  <si>
    <t>210-220 Посуда стекляная</t>
  </si>
  <si>
    <t>210 Контейнеры стеклянные/Жаропрочное стекло/тарелки</t>
  </si>
  <si>
    <t>21095</t>
  </si>
  <si>
    <t>Кастрюля стекл. SATOSHI жаропрочная 1,4 л 23*20*9,5 см с крышкой 825-001 /2/12/</t>
  </si>
  <si>
    <t>21096</t>
  </si>
  <si>
    <t>Кастрюля стекл. SATOSHI жаропрочная 2,5 л 27*22*13 см с крышкой 825-002 /2/6/</t>
  </si>
  <si>
    <t>21006</t>
  </si>
  <si>
    <t>Кастрюля стекл. жаропрочная 1,0 л S2358/3 ВВ451 L /8/</t>
  </si>
  <si>
    <t>21059</t>
  </si>
  <si>
    <t>Контейнер стекл. Soft д/продуктов жаропрочный 1,38 л на защелках с разделителем /8/</t>
  </si>
  <si>
    <t>21069</t>
  </si>
  <si>
    <t>Контейнер стекл. Soft д/продуктов жаропрочный 980 мл на защелках с разделителем /12/</t>
  </si>
  <si>
    <t>21035</t>
  </si>
  <si>
    <t>Контейнер стекл. Vetta д/продуктов жаропрочный 1 л на защелках 845-112 /6/12/</t>
  </si>
  <si>
    <t>21061</t>
  </si>
  <si>
    <t>Контейнер стекл. Vetta д/продуктов жаропрочный 600 мл на защелках 845-111 /6/24/</t>
  </si>
  <si>
    <t>21057</t>
  </si>
  <si>
    <t>Контейнер стекл. Vetta д/продуктов жаропрочный 600 мл на защелках круглый 825-013 /24/</t>
  </si>
  <si>
    <t>21054</t>
  </si>
  <si>
    <t>Контейнер стекл. Vetta д/продуктов жаропрочный 950 мл на защелках круглый 825-012 /12/</t>
  </si>
  <si>
    <t>21016</t>
  </si>
  <si>
    <t>Контейнер стекл. д/продуктов жаропрочный 1,04 л с крышкой круглый /24/</t>
  </si>
  <si>
    <t>21032</t>
  </si>
  <si>
    <t>Контейнер стекл. д/продуктов жаропрочный 320 мл с крышкой /48/</t>
  </si>
  <si>
    <t>21018</t>
  </si>
  <si>
    <t>Контейнер стекл. д/продуктов жаропрочный 440 мл с крышкой круглый /48/</t>
  </si>
  <si>
    <t>21027</t>
  </si>
  <si>
    <t>Контейнер стекл. д/продуктов жаропрочный 640 мл с крышкой 2 секции /36/</t>
  </si>
  <si>
    <t>21078</t>
  </si>
  <si>
    <t>Контейнеры стекл. д/продуктов 140; 210; 350; 450; 850 мл с крышками 5 штук 828-170 /16/</t>
  </si>
  <si>
    <t>21020</t>
  </si>
  <si>
    <t>Тарелка стекл. Vetta 25 мм Нежное цветение подстановочная 830-520 /6/24/</t>
  </si>
  <si>
    <t>21608</t>
  </si>
  <si>
    <t>Тарелка стекл. Вулкан 24 см 16с1891 /24/</t>
  </si>
  <si>
    <t>21014</t>
  </si>
  <si>
    <t>Тарелка стекл. десертная Vetta 20 см Нежное цветение 830-519 /6/36/</t>
  </si>
  <si>
    <t>21024</t>
  </si>
  <si>
    <t>Тарелка стекл. десертная Гламур 13 см 08с1349 /24/</t>
  </si>
  <si>
    <t>21023</t>
  </si>
  <si>
    <t>Тарелка стекл. десертная Гортензия 200 мл 830-501 /6/36/</t>
  </si>
  <si>
    <t>21079</t>
  </si>
  <si>
    <t>Тарелка стекл. десертная Симпатия 19,6 см 16C1888 /6/36/</t>
  </si>
  <si>
    <t>21010</t>
  </si>
  <si>
    <t>Тарелка стекл. десертная Симпатия 20,8 см 877-506 /6/30/</t>
  </si>
  <si>
    <t>21062</t>
  </si>
  <si>
    <t>Тарелка стекл. Монстера 23 см подстановочная 877-627 /6/24/</t>
  </si>
  <si>
    <t>21065</t>
  </si>
  <si>
    <t>Тарелка стекл. Симпатия 25 см 16C1886 /6/36/</t>
  </si>
  <si>
    <t>21026</t>
  </si>
  <si>
    <t>Тарелка стекл. Симпатия 25 см графит 23с2315 /6/</t>
  </si>
  <si>
    <t>21071</t>
  </si>
  <si>
    <t>Тарелка стекл. Тропик 23 см подстановочная 877-628 /6/24/</t>
  </si>
  <si>
    <t>21086</t>
  </si>
  <si>
    <t>Форма стекл. 250 мл рифл. с ручками овальная 59674 /12/</t>
  </si>
  <si>
    <t>21015</t>
  </si>
  <si>
    <t>Форма стекл. Mallony Bellissimo д/выпекания жаропрочная 1,6 л с крышкой прямоугольная /6/</t>
  </si>
  <si>
    <t>21021</t>
  </si>
  <si>
    <t>Форма стекл. Satoshi д/выпекания жаропрочная 1,1 л 21,3*18,9*5 см с ручками квадратная 825-031</t>
  </si>
  <si>
    <t>22856</t>
  </si>
  <si>
    <t>Форма стекл. Satoshi д/выпекания жаропрочная 1,25 л 23*17,5*6 см с крышкой полипропилен /2/12/</t>
  </si>
  <si>
    <t>20913</t>
  </si>
  <si>
    <t>Форма стекл. Satoshi д/выпекания жаропрочная 2 л 34*21*5 с ручками прямоуг. 825-004 /2/6/</t>
  </si>
  <si>
    <t>21041</t>
  </si>
  <si>
    <t>Форма стекл. Satoshi д/выпекания жаропрочная 2,3 л 27,5*24*6 см с ручками квадратная 825-011 /6/</t>
  </si>
  <si>
    <t>22846</t>
  </si>
  <si>
    <t>Форма стекл. Satoshi д/выпекания жаропрочная 23*25,5*7 см с ручкам рельефный бортик круглая 825-003</t>
  </si>
  <si>
    <t>21029</t>
  </si>
  <si>
    <t>Форма стекл. Satoshi д/выпекания жаропрочная 26,3*5,7 см рельефный бортик круглая 825-009 /2/6/</t>
  </si>
  <si>
    <t>21004</t>
  </si>
  <si>
    <t>Форма стекл. д/выпекания жаропрочная 2 л 30*21*6 см овальная 825-006 /2/12/</t>
  </si>
  <si>
    <t>21022</t>
  </si>
  <si>
    <t>Форма стекл. д/выпекания жаропрочная 210*164 см /6/</t>
  </si>
  <si>
    <t>21025</t>
  </si>
  <si>
    <t>Форма стекл. Забава д/выпекания жаропрочная 1,3 л с ручками /6/</t>
  </si>
  <si>
    <t>211 Стопки/Бокалы/Стаканы</t>
  </si>
  <si>
    <t>21108</t>
  </si>
  <si>
    <t>Бокал стекл. Вулкан 250 мл 878-427 /16/</t>
  </si>
  <si>
    <t>21128</t>
  </si>
  <si>
    <t>Бокалы стекл. 188 мл 6 штук /8/</t>
  </si>
  <si>
    <t>21169</t>
  </si>
  <si>
    <t>Стакан стекл. 200 мл в подстаканнике HT07-C B1</t>
  </si>
  <si>
    <t>21823</t>
  </si>
  <si>
    <t>Стакан стекл. 300 мл цветное 878-274 /6/108/</t>
  </si>
  <si>
    <t>21017</t>
  </si>
  <si>
    <t>Стакан стекл. 380 мл Grall 1 шт.</t>
  </si>
  <si>
    <t>21138</t>
  </si>
  <si>
    <t>Стакан стекл. Асимметрия 250 мл 20с2197 /30/</t>
  </si>
  <si>
    <t>21134</t>
  </si>
  <si>
    <t>Стакан стекл. Гладкий 250 мл 878-294 /30/</t>
  </si>
  <si>
    <t>21146</t>
  </si>
  <si>
    <t>Стакан стекл. Гладкий 280 мл /24/</t>
  </si>
  <si>
    <t>21127</t>
  </si>
  <si>
    <t>Стакан стекл. Граненный 250 мл 03с785 /24/</t>
  </si>
  <si>
    <t>21154</t>
  </si>
  <si>
    <t>Стакан стекл. Диамант 250 мл</t>
  </si>
  <si>
    <t>21123</t>
  </si>
  <si>
    <t>Стакан стекл. Коралл Гвент 240 мл зеленый /6/</t>
  </si>
  <si>
    <t>21125</t>
  </si>
  <si>
    <t>Стакан стекл. Коралл Гвент 240 мл синий /6/</t>
  </si>
  <si>
    <t>21129</t>
  </si>
  <si>
    <t>Стакан стекл. Коралл Гвент 240 мл фиолетовый /6/</t>
  </si>
  <si>
    <t>21117</t>
  </si>
  <si>
    <t>Стакан стекл. Коралл Тебриз 240 мл зеленый /6/</t>
  </si>
  <si>
    <t>21130</t>
  </si>
  <si>
    <t>Стакан стекл. Коралл Тебриз 240 мл синий /6/</t>
  </si>
  <si>
    <t>21131</t>
  </si>
  <si>
    <t>Стакан стекл. Коралл Тебриз 240 мл фиолетовый /6/</t>
  </si>
  <si>
    <t>21132</t>
  </si>
  <si>
    <t>Стакан стекл. Коралл Тебриз 350 мл зеленый /48/</t>
  </si>
  <si>
    <t>21133</t>
  </si>
  <si>
    <t>Стакан стекл. Коралл Тебриз 350 мл синий /48/</t>
  </si>
  <si>
    <t>21190</t>
  </si>
  <si>
    <t>Стакан стекл. Кристалл 250 мл низкий 878-251 /30/</t>
  </si>
  <si>
    <t>21104</t>
  </si>
  <si>
    <t>Стакан стекл. Кристалл 300 мл высокий 878-426 /20/</t>
  </si>
  <si>
    <t>21150</t>
  </si>
  <si>
    <t>Стакан стекл. Лабиринт 230 мл /30/</t>
  </si>
  <si>
    <t>21230</t>
  </si>
  <si>
    <t>Стакан стекл. Лабиринт 250 мл /30/</t>
  </si>
  <si>
    <t>21193</t>
  </si>
  <si>
    <t>Стакан стекл. Лабиринт-С 250 мл /30/</t>
  </si>
  <si>
    <t>21109</t>
  </si>
  <si>
    <t>Стакан стекл. Ода 230 мл 05с1256 /30/</t>
  </si>
  <si>
    <t>21231</t>
  </si>
  <si>
    <t>Стакан стекл. Ода 270 мл 05с1248 /24/</t>
  </si>
  <si>
    <t>21152</t>
  </si>
  <si>
    <t>Стакан стекл. Оптима 250 мл граненый /60/</t>
  </si>
  <si>
    <t>21179</t>
  </si>
  <si>
    <t>Стакан стекл. Радуга 255 мл 6 цв. 878-325 /6/72/</t>
  </si>
  <si>
    <t>21198</t>
  </si>
  <si>
    <t>Стакан стекл. Сидней 250 мл 05с1268 /30/</t>
  </si>
  <si>
    <t>21102</t>
  </si>
  <si>
    <t>Стакан стекл. Стандарт 300 мл 07с1341-42 /24/</t>
  </si>
  <si>
    <t>21122</t>
  </si>
  <si>
    <t>Стакан стекл. Стиль 180 мл 03с852 /30/</t>
  </si>
  <si>
    <t>21116</t>
  </si>
  <si>
    <t>Стакан стекл. Татьяна 200 мл 878-295 /40/</t>
  </si>
  <si>
    <t>21105</t>
  </si>
  <si>
    <t>Стакан стекл. Шамбор 180 мл /48/</t>
  </si>
  <si>
    <t>21160</t>
  </si>
  <si>
    <t>Стакан стекл. Этюд 250 мл 05с1243 Х0031 /30/</t>
  </si>
  <si>
    <t>21115</t>
  </si>
  <si>
    <t>Стопка стекл. Ассиметрия 50 мл 20с2201 /96/</t>
  </si>
  <si>
    <t>21106</t>
  </si>
  <si>
    <t>Стопка стекл. Венеция 50 мл 03с971 /96/</t>
  </si>
  <si>
    <t>21119</t>
  </si>
  <si>
    <t>Стопка стекл. Геометрия 50 мл 20с2200 /96/</t>
  </si>
  <si>
    <t>21178</t>
  </si>
  <si>
    <t>Стопка стекл. Гладкий 50 мл 02с1022  /96/</t>
  </si>
  <si>
    <t>21110</t>
  </si>
  <si>
    <t>Стопка стекл. Глория 50 мл 03с886 Х0070 /96/</t>
  </si>
  <si>
    <t>21118</t>
  </si>
  <si>
    <t>Стопка стекл. Каприз 50 мл 05с1235 /96/</t>
  </si>
  <si>
    <t>21142</t>
  </si>
  <si>
    <t>Стопка стекл. Кристалл 50 мл 05с1241 /96/</t>
  </si>
  <si>
    <t>21136</t>
  </si>
  <si>
    <t>Стопка стекл. Ода 50 мл 05с1250 /96/</t>
  </si>
  <si>
    <t>21120</t>
  </si>
  <si>
    <t>Стопка стекл. Отражение 50 мл 20с2202 /96/</t>
  </si>
  <si>
    <t>21191</t>
  </si>
  <si>
    <t>Стопка стекл. Стиль 50 мл 03c850 /96/</t>
  </si>
  <si>
    <t>212 Кружки стеклянные</t>
  </si>
  <si>
    <t>21226</t>
  </si>
  <si>
    <t>Кружка стекл. 220 мл BMZB24FG /6/</t>
  </si>
  <si>
    <t>21229</t>
  </si>
  <si>
    <t>Кружка стекл. 220 мл BMZB24SD /6/</t>
  </si>
  <si>
    <t>21214</t>
  </si>
  <si>
    <t>Кружка стекл. 250 мл /6/</t>
  </si>
  <si>
    <t>21220</t>
  </si>
  <si>
    <t>Кружка стекл. 300 мл в ассортименте 07с 1334-40/Д3 879-117 /20/</t>
  </si>
  <si>
    <t>21245</t>
  </si>
  <si>
    <t>Кружка стекл. 340 мл JXZB13BL /6/</t>
  </si>
  <si>
    <t>21248</t>
  </si>
  <si>
    <t>Кружка стекл. 340 мл JXZB13D-1 /6/</t>
  </si>
  <si>
    <t>21261</t>
  </si>
  <si>
    <t>Кружка стекл. Gid Glass 400 мл Карамель круг 1488 /20/</t>
  </si>
  <si>
    <t>21267</t>
  </si>
  <si>
    <t>Кружка стекл. Green Tea 200 мл 07с 1335 Т 879-090 /20/</t>
  </si>
  <si>
    <t>21207</t>
  </si>
  <si>
    <t>Кружка стекл. Green Tea 200 мл Время чая 07с1335 /20/</t>
  </si>
  <si>
    <t>21209</t>
  </si>
  <si>
    <t>Кружка стекл. Green Tea 200 мл Кофе тайм 07с1335 /20/</t>
  </si>
  <si>
    <t>21210</t>
  </si>
  <si>
    <t>Кружка стекл. Green Tea 200 мл Ягоды микс 07с1335 /20/</t>
  </si>
  <si>
    <t>21242</t>
  </si>
  <si>
    <t>Кружка стекл. Luminarc 500 мл Джамбо Н8503 /6/</t>
  </si>
  <si>
    <t>21221</t>
  </si>
  <si>
    <t>Кружка стекл. VETTA 270 мл Орхидея 830-001 /15/</t>
  </si>
  <si>
    <t>21228</t>
  </si>
  <si>
    <t>Кружка стекл. Аура 300 мл 21с2222 /15/</t>
  </si>
  <si>
    <t>21232</t>
  </si>
  <si>
    <t>Кружка стекл. Аура 300 мл Модерна 21с2224 /15/</t>
  </si>
  <si>
    <t>21234</t>
  </si>
  <si>
    <t>Кружка стекл. Аура 300 мл Уника 21с2223 /15/</t>
  </si>
  <si>
    <t>21253</t>
  </si>
  <si>
    <t>Кружка стекл. Венеция 280 мл 18с2028 /18/</t>
  </si>
  <si>
    <t>21212</t>
  </si>
  <si>
    <t>Кружка стекл. Гламур 200 мл 07с1337 /40/</t>
  </si>
  <si>
    <t>21205</t>
  </si>
  <si>
    <t>Кружка стекл. Грация 250 мл 13с1649 /20/</t>
  </si>
  <si>
    <t>21211</t>
  </si>
  <si>
    <t>Кружка стекл. Грация 250 мл Красная смородина 13с1649 /20/</t>
  </si>
  <si>
    <t>21218</t>
  </si>
  <si>
    <t>Кружка стекл. Грация 250 мл Лилия 13с1649 /20/</t>
  </si>
  <si>
    <t>21237</t>
  </si>
  <si>
    <t>Кружка стекл. Грация 300 мл 806-297 /12/</t>
  </si>
  <si>
    <t>20218</t>
  </si>
  <si>
    <t>Кружка стекл. Капучино 300 мл 07с 1334 /20/</t>
  </si>
  <si>
    <t>21279</t>
  </si>
  <si>
    <t>Кружка стекл. Капучино 300 мл Гортензия 07с 1334 /20/</t>
  </si>
  <si>
    <t>21215</t>
  </si>
  <si>
    <t>Кружка стекл. Капучино 300 мл Пожелания 07с 1334 /20/</t>
  </si>
  <si>
    <t>21219</t>
  </si>
  <si>
    <t>Кружка стекл. Капучино 300 мл Тропические птицы 07с 1334 /20/</t>
  </si>
  <si>
    <t>21203</t>
  </si>
  <si>
    <t>Кружка стекл. Капучино 300 мл Тропические цветы 07с 1334 /20/</t>
  </si>
  <si>
    <t>21272</t>
  </si>
  <si>
    <t>Кружка стекл. Капучино 400 мл 09с 1488 /12/</t>
  </si>
  <si>
    <t>21259</t>
  </si>
  <si>
    <t>Кружка стекл. Кинг сайз 500 мл 15с 1858 /24/</t>
  </si>
  <si>
    <t>21213</t>
  </si>
  <si>
    <t>Кружка стекл. Кинг сайз 500 мл Гортензия 15с 1858 /24/</t>
  </si>
  <si>
    <t>21270</t>
  </si>
  <si>
    <t>Кружка стекл. Кинг сайз 500 мл Клубника и малина 15с 1858 /24/</t>
  </si>
  <si>
    <t>21206</t>
  </si>
  <si>
    <t>Кружка стекл. Коралл 215 мл прозрачный YJZB-5808-1 /6/</t>
  </si>
  <si>
    <t>21236</t>
  </si>
  <si>
    <t>Кружка стекл. Коралл 330 мл Vulcan amber color GB0910710-DDA /6/</t>
  </si>
  <si>
    <t>21204</t>
  </si>
  <si>
    <t>Кружка стекл. Матрица 250 мл 11с1566 /20/</t>
  </si>
  <si>
    <t>21243</t>
  </si>
  <si>
    <t>Кружка стекл. МФК Kaveh 590 мл Пивная /18/</t>
  </si>
  <si>
    <t>21233</t>
  </si>
  <si>
    <t>Кружка стекл. Нордик 320 мл Ромб топаз /12/</t>
  </si>
  <si>
    <t>21201</t>
  </si>
  <si>
    <t>Кружка стекл. Нордик 380 мл Лондон топаз /6/</t>
  </si>
  <si>
    <t>21244</t>
  </si>
  <si>
    <t>Кружка стекл. Нордик 380 мл Н8502 /6/</t>
  </si>
  <si>
    <t>21249</t>
  </si>
  <si>
    <t>Кружка стекл. Нордик 380 мл Сияющий графит Р9322 /6/</t>
  </si>
  <si>
    <t>21217</t>
  </si>
  <si>
    <t>Кружка стекл. ОСЗ 320 мл Лак 806-070 /12/</t>
  </si>
  <si>
    <t>21241</t>
  </si>
  <si>
    <t>Кружка стекл. ОСЗ 400 мл XXXL /12/</t>
  </si>
  <si>
    <t>21202</t>
  </si>
  <si>
    <t>Кружка стекл. Радуга 250 мл 6 цв. 806-195 /6/96/</t>
  </si>
  <si>
    <t>21235</t>
  </si>
  <si>
    <t>Кружка стекл. Термо 250 мл /100/</t>
  </si>
  <si>
    <t>21224</t>
  </si>
  <si>
    <t>Кружка стекл. Термо 350 мл /6/</t>
  </si>
  <si>
    <t>213 Кувшины/Графины/Вазы/Фруктовницы/Тортницы</t>
  </si>
  <si>
    <t>21316</t>
  </si>
  <si>
    <t>Ваза стекл. д/цветов 11,3*6,3 см арт.09-1 502-922 /80/</t>
  </si>
  <si>
    <t>21380</t>
  </si>
  <si>
    <t>Ваза стекл. д/цветов 15*40 см декор. 3 диз. 502-774 /3/12/</t>
  </si>
  <si>
    <t>21377</t>
  </si>
  <si>
    <t>Ваза стекл. д/цветов 18 см разноцветная 502-736 /12/</t>
  </si>
  <si>
    <t>21317</t>
  </si>
  <si>
    <t>Ваза стекл. д/цветов 20 см прозрачная арт.03-53 502-022 /30/</t>
  </si>
  <si>
    <t>21319</t>
  </si>
  <si>
    <t>Ваза стекл. д/цветов Альфа с узором /12/</t>
  </si>
  <si>
    <t>21320</t>
  </si>
  <si>
    <t>Ваза стекл. д/цветов Ампир с узором /12/</t>
  </si>
  <si>
    <t>21311</t>
  </si>
  <si>
    <t>Ваза стекл. д/цветов Ампир цвет Рубин</t>
  </si>
  <si>
    <t>21322</t>
  </si>
  <si>
    <t>Ваза стекл. д/цветов Барокко с узором /12/</t>
  </si>
  <si>
    <t>21323</t>
  </si>
  <si>
    <t>Ваза стекл. д/цветов Барокко с узором EAV63-373/S/Z/1 /12/</t>
  </si>
  <si>
    <t>21332</t>
  </si>
  <si>
    <t>Ваза стекл. д/цветов Барокко с узором EAV63-3966/S /12/</t>
  </si>
  <si>
    <t>21318</t>
  </si>
  <si>
    <t>Ваза стекл. д/цветов Ботаника 140 мм /6/</t>
  </si>
  <si>
    <t>21325</t>
  </si>
  <si>
    <t>Ваза стекл. д/цветов Версаль с узором /12/</t>
  </si>
  <si>
    <t>21327</t>
  </si>
  <si>
    <t>Ваза стекл. д/цветов Версаль с узором SE08-3966/S/Z/1 /12/</t>
  </si>
  <si>
    <t>21328</t>
  </si>
  <si>
    <t>Ваза стекл. д/цветов Греческий узор с узором /12/</t>
  </si>
  <si>
    <t>21310</t>
  </si>
  <si>
    <t>Ваза стекл. д/цветов Лайн с узором</t>
  </si>
  <si>
    <t>21301</t>
  </si>
  <si>
    <t>Ваза стекл. д/цветов Лофт с узором /12/</t>
  </si>
  <si>
    <t>21314</t>
  </si>
  <si>
    <t>Ваза стекл. д/цветов Монстера с узором /12/</t>
  </si>
  <si>
    <t>21329</t>
  </si>
  <si>
    <t>Ваза стекл. д/цветов Поло цвет Рубин /12/</t>
  </si>
  <si>
    <t>21330</t>
  </si>
  <si>
    <t>Ваза стекл. д/цветов Поло цвет Рубин ERV147-3267/S/Z/1 /12/</t>
  </si>
  <si>
    <t>21331</t>
  </si>
  <si>
    <t>Ваза стекл. д/цветов Русский узор с узором /12/</t>
  </si>
  <si>
    <t>21313</t>
  </si>
  <si>
    <t>Ваза стекл. д/цветов Сафари цвет Рубин</t>
  </si>
  <si>
    <t>21315</t>
  </si>
  <si>
    <t>Ваза стекл. д/цветов Энжой 260 мм Грасс /6/</t>
  </si>
  <si>
    <t>21433</t>
  </si>
  <si>
    <t>Графин стекл. 500 мл с нанесением золото 878-380 /12/</t>
  </si>
  <si>
    <t>21451</t>
  </si>
  <si>
    <t>Графин стекл. Антенна 500 мл Ш-20-500 878-315 /12/</t>
  </si>
  <si>
    <t>21364</t>
  </si>
  <si>
    <t>Графин стекл. Графский 500 мл гладье П-32-500 878-164 /9/</t>
  </si>
  <si>
    <t>21321</t>
  </si>
  <si>
    <t>Графин стекл. Классик 500 мл гладкий /18/</t>
  </si>
  <si>
    <t>21324</t>
  </si>
  <si>
    <t>Графин стекл. Легион 500 мл гладье П-35-500 878-166 /12/</t>
  </si>
  <si>
    <t>21367</t>
  </si>
  <si>
    <t>Графин стекл. Легионер 500 мл /18/</t>
  </si>
  <si>
    <t>21373</t>
  </si>
  <si>
    <t>Графин стекл. Луи 500 мл</t>
  </si>
  <si>
    <t>21418</t>
  </si>
  <si>
    <t>Графин стекл. Орнамент 500 мл 878-082 /24/</t>
  </si>
  <si>
    <t>21375</t>
  </si>
  <si>
    <t>Графин стекл. Сердце 500 мл</t>
  </si>
  <si>
    <t>21365</t>
  </si>
  <si>
    <t>Графин стекл. Сидней 500 мл Ш-20-500 878-314 /12/</t>
  </si>
  <si>
    <t>21333</t>
  </si>
  <si>
    <t>Графин стекл. Сидней-2 500 мл /15/</t>
  </si>
  <si>
    <t>21376</t>
  </si>
  <si>
    <t>Графин стекл. Ставрополь 500 мл</t>
  </si>
  <si>
    <t>21404</t>
  </si>
  <si>
    <t>Графин стекл. Цезарь 500 мл 1160 /12/</t>
  </si>
  <si>
    <t>21334</t>
  </si>
  <si>
    <t>Графин-штоф стекл. Капля Лоза 500 мл /18/</t>
  </si>
  <si>
    <t>21335</t>
  </si>
  <si>
    <t>Графин-штоф стекл. Эвелина 500 мл /12/</t>
  </si>
  <si>
    <t>21379</t>
  </si>
  <si>
    <t>Кувшин стекл. Herevin 1 л Летнее настроение 878-447 /6/</t>
  </si>
  <si>
    <t>21378</t>
  </si>
  <si>
    <t>Кувшин стекл. Herevin 1 л Мозаика 878-446 /6/</t>
  </si>
  <si>
    <t>21485</t>
  </si>
  <si>
    <t>Кувшин стекл. Herevin 1 л Совы 878-402 /6/</t>
  </si>
  <si>
    <t>21341</t>
  </si>
  <si>
    <t>Кувшин стекл. Herevin 1 л Тропики 878-059 /6/</t>
  </si>
  <si>
    <t>21357</t>
  </si>
  <si>
    <t>Кувшин стекл. Herevin 1,5 л 3 цв. 878-436 /6/</t>
  </si>
  <si>
    <t>21458</t>
  </si>
  <si>
    <t>Кувшин стекл. Herevin 1,6 л 4 цв. 878-068 /6/</t>
  </si>
  <si>
    <t>21362</t>
  </si>
  <si>
    <t>Кувшин стекл. Mallony 1,2 л зеленый /12/</t>
  </si>
  <si>
    <t>21360</t>
  </si>
  <si>
    <t>Кувшин стекл. Аметист H-3944/S</t>
  </si>
  <si>
    <t>21361</t>
  </si>
  <si>
    <t>Кувшин стекл. Аметист Лотос ЕH-298-3944/S</t>
  </si>
  <si>
    <t>21302</t>
  </si>
  <si>
    <t>Кувшин стекл. Аметист Н-3944</t>
  </si>
  <si>
    <t>21307</t>
  </si>
  <si>
    <t>Кувшин стекл. с узором Лемпач /6/</t>
  </si>
  <si>
    <t>21309</t>
  </si>
  <si>
    <t>Кувшин стекл. цвет Янтарь /6/</t>
  </si>
  <si>
    <t>214 Наборы из стекла</t>
  </si>
  <si>
    <t>21126</t>
  </si>
  <si>
    <t>Бокалы стекл. 6 шт 188 мл розовое стекло /8/</t>
  </si>
  <si>
    <t>21411</t>
  </si>
  <si>
    <t>Бокалы стекл. 6 шт 210 мл Амбер /4/</t>
  </si>
  <si>
    <t>21407</t>
  </si>
  <si>
    <t>Бокалы стекл. 6 шт 210 мл Француский ресторанчик /4/</t>
  </si>
  <si>
    <t>21408</t>
  </si>
  <si>
    <t>Бокалы стекл. для бренди 6 шт с узором Греческий узор /4/</t>
  </si>
  <si>
    <t>21417</t>
  </si>
  <si>
    <t>Бокалы стекл. для вина 6 шт с узором Барокко /4/</t>
  </si>
  <si>
    <t>21405</t>
  </si>
  <si>
    <t>Бокалы стекл. для вина 6 шт с узором Версаль GE08-430/S/Z/6 /4/</t>
  </si>
  <si>
    <t>21419</t>
  </si>
  <si>
    <t>Бокалы стекл. для вина 6 шт с узором Греческий узор 523572 /4/</t>
  </si>
  <si>
    <t>21427</t>
  </si>
  <si>
    <t>Бокалы стекл. для вина 6 шт с узором Греческий узор 526612 /4/</t>
  </si>
  <si>
    <t>21443</t>
  </si>
  <si>
    <t>Бокалы стекл. для шампанского 6 шт 200 мл Тулип Версаче GE08-160</t>
  </si>
  <si>
    <t>21420</t>
  </si>
  <si>
    <t>Бокалы стекл. для шампанского 6 шт с узором Барокко GE63-1687/S/Z/6 /4/</t>
  </si>
  <si>
    <t>21421</t>
  </si>
  <si>
    <t>Бокалы стекл. для шампанского 6 шт с узором Версаль /4/</t>
  </si>
  <si>
    <t>21413</t>
  </si>
  <si>
    <t>Рюмки стекл. 6 шт 50 мл Мускат GE05-164</t>
  </si>
  <si>
    <t>21400</t>
  </si>
  <si>
    <t>Рюмки стекл. 6 шт 60 мл Bistro 44134В Н9-3 /4/</t>
  </si>
  <si>
    <t>21442</t>
  </si>
  <si>
    <t>Рюмки стекл. 6 шт Ампир /8/</t>
  </si>
  <si>
    <t>21428</t>
  </si>
  <si>
    <t>Рюмки стекл. 6 шт Цезарь /8/</t>
  </si>
  <si>
    <t>21440</t>
  </si>
  <si>
    <t>Рюмки стекл. 6 шт Шарм цвет Рубин /8/</t>
  </si>
  <si>
    <t>21409</t>
  </si>
  <si>
    <t>Стаканы стекл. для виски 4 шт 300 мл Время дегустаций виски /4/</t>
  </si>
  <si>
    <t>21425</t>
  </si>
  <si>
    <t>Стаканы стекл. для виски 6 шт 200 мл Ампир</t>
  </si>
  <si>
    <t>21455</t>
  </si>
  <si>
    <t>Стаканы стекл. для виски 6 шт 250 мл Кристалл /6/</t>
  </si>
  <si>
    <t>21429</t>
  </si>
  <si>
    <t>Стаканы стекл. для виски 6 шт Барокко /4/</t>
  </si>
  <si>
    <t>21431</t>
  </si>
  <si>
    <t>Стаканы стекл. для виски 6 шт Версаль /4/</t>
  </si>
  <si>
    <t>21432</t>
  </si>
  <si>
    <t>Стаканы стекл. для виски 6 шт Греческий узор /4/</t>
  </si>
  <si>
    <t>21436</t>
  </si>
  <si>
    <t>Стаканы стекл. для коктейля 6 шт Барокко EAV63-102/S/Z/6 /4/</t>
  </si>
  <si>
    <t>21437</t>
  </si>
  <si>
    <t>Стаканы стекл. для коктейля 6 шт Версаль SE08-103/S/Z/6 /4/</t>
  </si>
  <si>
    <t>21450</t>
  </si>
  <si>
    <t>Стаканы стекл. для сока 6 шт 230 мл Геометрия /6/</t>
  </si>
  <si>
    <t>21452</t>
  </si>
  <si>
    <t>Стаканы стекл. для сока 6 шт 230 мл Отражение /6/</t>
  </si>
  <si>
    <t>21453</t>
  </si>
  <si>
    <t>Стаканы стекл. для сока 6 шт 280 мл Стиль /3/</t>
  </si>
  <si>
    <t>21449</t>
  </si>
  <si>
    <t>Стаканы стекл. для сока 6 шт 300 мл Венеция /3/</t>
  </si>
  <si>
    <t>21414</t>
  </si>
  <si>
    <t>Стопки стекл. 6 шт 60 мл Luna 42043 /12/</t>
  </si>
  <si>
    <t>21415</t>
  </si>
  <si>
    <t>Стопки стекл. 6 шт 60 мл Triumph 41600 /8/</t>
  </si>
  <si>
    <t>21447</t>
  </si>
  <si>
    <t>Стопки стекл. 6 шт Ампир EAV79-837/S/O /6/</t>
  </si>
  <si>
    <t>21438</t>
  </si>
  <si>
    <t>Стопки стекл. 6 шт Русский узор /8/</t>
  </si>
  <si>
    <t>21445</t>
  </si>
  <si>
    <t>Стопки стекл. 6 шт Флора /8/</t>
  </si>
  <si>
    <t>21439</t>
  </si>
  <si>
    <t>Стопки стекл. 6 шт Эрмитаж /8/</t>
  </si>
  <si>
    <t>21402</t>
  </si>
  <si>
    <t>Тортница+лопатка стекл. 2 пр. D25 S3010/2PDQ BB172 L /12/</t>
  </si>
  <si>
    <t>21403</t>
  </si>
  <si>
    <t>Тортница+лопатка стекл. 2 пр. D25 S3010/2PDQ BB431 L /12/</t>
  </si>
  <si>
    <t>21416</t>
  </si>
  <si>
    <t>Фужеры стекл. 6 шт 175 мл Bistro 44415 Н11-3 /4/</t>
  </si>
  <si>
    <t>215 Посуда из опалового стекла</t>
  </si>
  <si>
    <t>21575</t>
  </si>
  <si>
    <t>Салатник опалов. стекло Bormioli Pama 11,5*11,5 см глубокий 483-004</t>
  </si>
  <si>
    <t>21504</t>
  </si>
  <si>
    <t>Салатник опалов. стекло Millimi 16,5 см 818-178 /12/</t>
  </si>
  <si>
    <t>21523</t>
  </si>
  <si>
    <t>Салатник опалов. стекло Millimi Анета 16,5 см квадр. форма 818-459 /6/72/</t>
  </si>
  <si>
    <t>21550</t>
  </si>
  <si>
    <t>Салатник опалов. стекло Millimi Анета 19 см квадр. форма 19019 818-465 /6/48/</t>
  </si>
  <si>
    <t>21553</t>
  </si>
  <si>
    <t>Салатник опалов. стекло Millimi Анета 24 см квадр. форма 19019 818-468 /6/18/</t>
  </si>
  <si>
    <t>21500</t>
  </si>
  <si>
    <t>Салатник опалов. стекло Millimi Бьянко 16,5 см 1000 мл 818-401 /6/</t>
  </si>
  <si>
    <t>21521</t>
  </si>
  <si>
    <t>Салатник опалов. стекло Millimi Бьянко 24 см 818-432 /6/</t>
  </si>
  <si>
    <t>21503</t>
  </si>
  <si>
    <t>Салатник опалов. стекло Millimi Виола 23 см 818-409 /6/18/</t>
  </si>
  <si>
    <t>21512</t>
  </si>
  <si>
    <t>Салатник опалов. стекло Millimi Дарина 15,0 см 818-287 /6/</t>
  </si>
  <si>
    <t>21509</t>
  </si>
  <si>
    <t>Салатник опалов. стекло Millimi Дарина 18 см 18136 818-289 /6/48/</t>
  </si>
  <si>
    <t>22419</t>
  </si>
  <si>
    <t>Салатник опалов. стекло Millimi Рио 15 см 16194А 818-572 /6/48/</t>
  </si>
  <si>
    <t>21597</t>
  </si>
  <si>
    <t>Салатник опалов. стекло Millimi Рио 23 см 16194А 818-577 /3/18/</t>
  </si>
  <si>
    <t>21592</t>
  </si>
  <si>
    <t>Салатник опалов. стекло Millimi Тропикана 19,0 см квадр. форма 818-229 /6/48/</t>
  </si>
  <si>
    <t>21593</t>
  </si>
  <si>
    <t>Салатник опалов. стекло Millimi Тропикана 23 см квадр. форма 818-241 /6/18/</t>
  </si>
  <si>
    <t>21513</t>
  </si>
  <si>
    <t>Салатник стеклокерам. 15 см 420 мл 69582-сч6 /6/</t>
  </si>
  <si>
    <t>21514</t>
  </si>
  <si>
    <t>Салатник стеклокерам. 15 см 420 мл белье /6/</t>
  </si>
  <si>
    <t>21519</t>
  </si>
  <si>
    <t>Салатник стеклокерам. 17,5 см 700 мл /6/</t>
  </si>
  <si>
    <t>21522</t>
  </si>
  <si>
    <t>Салатник стеклокерам. 18 см 600 мл белый /6/</t>
  </si>
  <si>
    <t>21564</t>
  </si>
  <si>
    <t>Салатник стеклокерам. 5" 250 мл Д12,5 см 100бел-св5 /6/72/</t>
  </si>
  <si>
    <t>21565</t>
  </si>
  <si>
    <t>Салатник стеклокерам. 5" 250 мл Д12,5 см 6916-св5 /6/</t>
  </si>
  <si>
    <t>21524</t>
  </si>
  <si>
    <t>Салатник стеклокерам. 6,5" 16 см 550 мл 10бел-св6,5 /6/</t>
  </si>
  <si>
    <t>21526</t>
  </si>
  <si>
    <t>Салатник стеклокерам. Амелия 15 см 420 мл /6/</t>
  </si>
  <si>
    <t>21527</t>
  </si>
  <si>
    <t>Салатник стеклокерам. Бутоны 10 см 110 мл /6/</t>
  </si>
  <si>
    <t>21529</t>
  </si>
  <si>
    <t>Салатник стеклокерам. Бутоны 11,4 см /6/</t>
  </si>
  <si>
    <t>21530</t>
  </si>
  <si>
    <t>Салатник стеклокерам. Бутоны 12,5 см 220 мл /6/</t>
  </si>
  <si>
    <t>21532</t>
  </si>
  <si>
    <t>Салатник стеклокерам. Бутоны 15 см 420 мл /6/</t>
  </si>
  <si>
    <t>21533</t>
  </si>
  <si>
    <t>Салатник стеклокерам. Бутоны 15 см 420 мл 18109-сч /6/</t>
  </si>
  <si>
    <t>21534</t>
  </si>
  <si>
    <t>Салатник стеклокерам. Дольче Вита 15 см 420 мл /6/</t>
  </si>
  <si>
    <t>21536</t>
  </si>
  <si>
    <t>Салатник стеклокерам. Камилла 15 см 420 мл /6/</t>
  </si>
  <si>
    <t>21580</t>
  </si>
  <si>
    <t>Салатник стеклокерам. Розовый цветок 12 см /6/</t>
  </si>
  <si>
    <t>21562</t>
  </si>
  <si>
    <t>Салатники стеклокерам. Шиповник с крышками 1350; 950; 550 мл 3 пр.</t>
  </si>
  <si>
    <t>21590</t>
  </si>
  <si>
    <t>Сахарница стеклокерам. 4" декор 3502 /48/</t>
  </si>
  <si>
    <t>21557</t>
  </si>
  <si>
    <t>Столовый набор опалов. стекло Millimi 8 пр. тарелка/салатник 17,5 см/16,5 см 4 шт/4 шт 818-156 /8/</t>
  </si>
  <si>
    <t>21518</t>
  </si>
  <si>
    <t>Столовый набор опалов. стекло Millimi Анета 13 пр. квадр. форма 818-456 /2/</t>
  </si>
  <si>
    <t>21591</t>
  </si>
  <si>
    <t>Столовый набор опалов. стекло Millimi Тропикана 13 пр. квадр. форма 818-199 /2/</t>
  </si>
  <si>
    <t>21505</t>
  </si>
  <si>
    <t>Тарелка опалов. стекло 23 см подстановочная 818-189 /6/</t>
  </si>
  <si>
    <t>22440</t>
  </si>
  <si>
    <t>Тарелка опалов. стекло Millimi Анета 28 см подстановочная квадр. форма 818-543 /6/24/</t>
  </si>
  <si>
    <t>21648</t>
  </si>
  <si>
    <t>Тарелка опалов. стекло Millimi Бьянко 227 мм подставочная 818-007 /6/36/</t>
  </si>
  <si>
    <t>21551</t>
  </si>
  <si>
    <t>Тарелка опалов. стекло Millimi Бьянко 24 см подстановочная 818-446 /6/36/</t>
  </si>
  <si>
    <t>21517</t>
  </si>
  <si>
    <t>Тарелка опалов. стекло Millimi Виола 25 см подстановочная 818-417 /6/36/</t>
  </si>
  <si>
    <t>21554</t>
  </si>
  <si>
    <t>Тарелка опалов. стекло Millimi Дарина 24 см подставочная 818-321 /6/36/</t>
  </si>
  <si>
    <t>21599</t>
  </si>
  <si>
    <t>Тарелка опалов. стекло Millimi Рио 24 см подстановочная 818-584 /6/36/</t>
  </si>
  <si>
    <t>21625</t>
  </si>
  <si>
    <t>Тарелка опалов. стекло Аделина 228 мм подстановочная 818-926 /6/36/</t>
  </si>
  <si>
    <t>21549</t>
  </si>
  <si>
    <t>Тарелка опалов. стекло десертная Millimi Анета 21 см квадр. форма 818-539 /6/48/</t>
  </si>
  <si>
    <t>21508</t>
  </si>
  <si>
    <t>Тарелка опалов. стекло десертная Millimi Виола 20 см 818-415 /6/48/</t>
  </si>
  <si>
    <t>21511</t>
  </si>
  <si>
    <t>Тарелка опалов. стекло десертная Millimi Дарина 21,5 см 818-313 /6/48/</t>
  </si>
  <si>
    <t>21598</t>
  </si>
  <si>
    <t>Тарелка опалов. стекло десертная Millimi Рио 21,5 см 818-579 /6/48/</t>
  </si>
  <si>
    <t>21594</t>
  </si>
  <si>
    <t>Тарелка опалов. стекло десертная Millimi Тропикана 21,5 см 818-242 /6/48/</t>
  </si>
  <si>
    <t>21615</t>
  </si>
  <si>
    <t>Тарелка опалов. стекло Кристина 228 мм подстановочная 818-927 /6/36/</t>
  </si>
  <si>
    <t>21578</t>
  </si>
  <si>
    <t>Тарелка опалов. стекло суповая Bormioli Pama 22,5*22,5 см 483-008</t>
  </si>
  <si>
    <t>21595</t>
  </si>
  <si>
    <t>Тарелка опалов. стекло Тропикана 28 мм подстановочная квадр. форма 818-268 /6/24/</t>
  </si>
  <si>
    <t>21535</t>
  </si>
  <si>
    <t>Тарелка стеклокерам. 18 см 7" белая /6/</t>
  </si>
  <si>
    <t>21525</t>
  </si>
  <si>
    <t>Тарелка стеклокерам. 19 см 7,5" 100 бел-твч /6/72/</t>
  </si>
  <si>
    <t>21539</t>
  </si>
  <si>
    <t>Тарелка стеклокерам. 20 см 8" 6619 /6/48/</t>
  </si>
  <si>
    <t>21540</t>
  </si>
  <si>
    <t>Тарелка стеклокерам. 20 см 8" 6753 /6/48/</t>
  </si>
  <si>
    <t>21541</t>
  </si>
  <si>
    <t>Тарелка стеклокерам. 20 см 8" белая /6/48/</t>
  </si>
  <si>
    <t>21528</t>
  </si>
  <si>
    <t>Тарелка стеклокерам. 22 см 8,5" 100 бел-твч /6/48/</t>
  </si>
  <si>
    <t>21548</t>
  </si>
  <si>
    <t>Тарелка стеклокерам. 23 см 9" 164 бел-т9 H13 /6/</t>
  </si>
  <si>
    <t>21542</t>
  </si>
  <si>
    <t>Тарелка стеклокерам. 23 см 9" 6040 /6/36/</t>
  </si>
  <si>
    <t>21531</t>
  </si>
  <si>
    <t>Тарелка стеклокерам. 24 см 9,5" 100 бел-твч /6/36/</t>
  </si>
  <si>
    <t>21543</t>
  </si>
  <si>
    <t>Тарелка стеклокерам. Амелия 17,5 см /6/</t>
  </si>
  <si>
    <t>21545</t>
  </si>
  <si>
    <t>Тарелка стеклокерам. Амелия 20 см /6/</t>
  </si>
  <si>
    <t>21537</t>
  </si>
  <si>
    <t>Тарелка стеклокерам. Розочка 16,5 см /6/</t>
  </si>
  <si>
    <t>21544</t>
  </si>
  <si>
    <t>Тарелка стеклокерам. Черный мрамор 17,5 см /6/</t>
  </si>
  <si>
    <t>21546</t>
  </si>
  <si>
    <t>Тарелка стеклокерам. Черный мрамор 20 см /6/</t>
  </si>
  <si>
    <t>21547</t>
  </si>
  <si>
    <t>Тарелка стеклокерам. Черный мрамор 21,5 см /6/</t>
  </si>
  <si>
    <t>216 Салатники/миски</t>
  </si>
  <si>
    <t>21633</t>
  </si>
  <si>
    <t>Миска стекл. 12,5*5,5 см прозрачная 877-533 /4/72/</t>
  </si>
  <si>
    <t>21618</t>
  </si>
  <si>
    <t>Миска стекл. Daniks 1 л 361444 /12/</t>
  </si>
  <si>
    <t>21624</t>
  </si>
  <si>
    <t>Миска стекл. Daniks 2 л 361445 /12/</t>
  </si>
  <si>
    <t>21674</t>
  </si>
  <si>
    <t>Салатник стекл. 350 мл 4 цв. 877-559 /6/72/</t>
  </si>
  <si>
    <t>21675</t>
  </si>
  <si>
    <t>Салатник стекл. 400 мл 877-538 /6/72/</t>
  </si>
  <si>
    <t>21607</t>
  </si>
  <si>
    <t>Салатник стекл. 400 мл 877-541 /6/72/</t>
  </si>
  <si>
    <t>21632</t>
  </si>
  <si>
    <t>Салатник стекл. Bormioli Rocco Basic 1,8 л 20*11,2 см 838-040</t>
  </si>
  <si>
    <t>21600</t>
  </si>
  <si>
    <t>Салатник стекл. Vetta 178 мм Летний ситчик 830-481 /6/48/</t>
  </si>
  <si>
    <t>21700</t>
  </si>
  <si>
    <t>Салатник стекл. Vetta 228 мм Гортензия 830-500 /6/24/</t>
  </si>
  <si>
    <t>21630</t>
  </si>
  <si>
    <t>Салатник стекл. Vetta 228 мм Земляничная поляна 830-404 /6/24/</t>
  </si>
  <si>
    <t>21645</t>
  </si>
  <si>
    <t>Салатник стекл. Vetta 228 мм Кофейня 830-494 /6/24/</t>
  </si>
  <si>
    <t>21737</t>
  </si>
  <si>
    <t>Салатник стекл. Vetta 228 мм Нежное цветение 830-518 /6/24/</t>
  </si>
  <si>
    <t>21723</t>
  </si>
  <si>
    <t>Салатник стекл. Vetta 228 мм Сочная земляника 830-512 /6/24/</t>
  </si>
  <si>
    <t>21374</t>
  </si>
  <si>
    <t>Салатник стекл. Vetta 228 мм Яблоневый цвет 830-488</t>
  </si>
  <si>
    <t>21611</t>
  </si>
  <si>
    <t>Салатник стекл. Vetta 228мм Чаепитие 830-476 /6/24/</t>
  </si>
  <si>
    <t>21692</t>
  </si>
  <si>
    <t>Салатник стекл. Вулкан 13 см 16с1922 /6/</t>
  </si>
  <si>
    <t>21628</t>
  </si>
  <si>
    <t>Салатник стекл. Гладкий 10 см 10с1542 /6/</t>
  </si>
  <si>
    <t>21655</t>
  </si>
  <si>
    <t>Салатник стекл. Гладкий 11 см 07с1322-66 /36/</t>
  </si>
  <si>
    <t>21695</t>
  </si>
  <si>
    <t>Салатник стекл. Гладкий 13 см Яркие цветы 07с1322 /6/</t>
  </si>
  <si>
    <t>21603</t>
  </si>
  <si>
    <t>Салатник стекл. Гладкий 800 мл 09с1447 /6/</t>
  </si>
  <si>
    <t>21699</t>
  </si>
  <si>
    <t>Салатник стекл. Д12,5 см 2 диз. 275-026 /12/</t>
  </si>
  <si>
    <t>21687</t>
  </si>
  <si>
    <t>Салатник стекл. Идиллия 23 см лондон топаз ТQ /6/12/</t>
  </si>
  <si>
    <t>21612</t>
  </si>
  <si>
    <t>Салатник стекл. Космос 12,5 см Т L4893/0 /24/</t>
  </si>
  <si>
    <t>21664</t>
  </si>
  <si>
    <t>Салатник стекл. Лабиринт 250 мл 07с1323 /36/</t>
  </si>
  <si>
    <t>21613</t>
  </si>
  <si>
    <t>Салатник стекл. Лабиринт 800 мл 09с1447 /12/</t>
  </si>
  <si>
    <t>21671</t>
  </si>
  <si>
    <t>Салатник стекл. Луиз 12 см липак Т /6/36/</t>
  </si>
  <si>
    <t>21684</t>
  </si>
  <si>
    <t>Салатник стекл. Луиз 12 см лондон топаз Т /6/36/</t>
  </si>
  <si>
    <t>21662</t>
  </si>
  <si>
    <t>Салатник стекл. Луиз 12 см эклипс Т /6/36/</t>
  </si>
  <si>
    <t>21669</t>
  </si>
  <si>
    <t>Салатник стекл. Луиз 16 см эклипс Т /6/24/</t>
  </si>
  <si>
    <t>21665</t>
  </si>
  <si>
    <t>Салатник стекл. Монарх 1500 мл 07с1328 /6/</t>
  </si>
  <si>
    <t>21614</t>
  </si>
  <si>
    <t>Салатник стекл. Монарх 250 мл 07с1324 /36/</t>
  </si>
  <si>
    <t>21066</t>
  </si>
  <si>
    <t>Салатник стекл. Монарх 800 мл 09с1448 /12/</t>
  </si>
  <si>
    <t>21617</t>
  </si>
  <si>
    <t>Салатник стекл. Монстера 17 см 830-564 /6/36/</t>
  </si>
  <si>
    <t>21605</t>
  </si>
  <si>
    <t>Салатник стекл. МФК Kaveh Celine 11 см 270 мл /6/</t>
  </si>
  <si>
    <t>21606</t>
  </si>
  <si>
    <t>Салатник стекл. МФК Kaveh Queen 12,5 см 270 мл /6/</t>
  </si>
  <si>
    <t>21673</t>
  </si>
  <si>
    <t>Салатник стекл. Сидней 250 мл 07с1325 /36/</t>
  </si>
  <si>
    <t>21609</t>
  </si>
  <si>
    <t>Салатник стекл. Сидней 800 мл 09с1449 /18/</t>
  </si>
  <si>
    <t>21601</t>
  </si>
  <si>
    <t>Салатник стекл. Шеф 140 мм закаленый /24/</t>
  </si>
  <si>
    <t>21653</t>
  </si>
  <si>
    <t>Салатники стекл. 5 шт с голубыми крышками /12/</t>
  </si>
  <si>
    <t>21642</t>
  </si>
  <si>
    <t>Салатники стекл. 5 шт с крышками 3266</t>
  </si>
  <si>
    <t>21649</t>
  </si>
  <si>
    <t>Салатники стекл. 5 шт с крышками 3267</t>
  </si>
  <si>
    <t>21637</t>
  </si>
  <si>
    <t>Салатники стекл. 5 шт с крышками 3270</t>
  </si>
  <si>
    <t>21651</t>
  </si>
  <si>
    <t>Салатники стекл. 6 шт 66*66 мм Грей /8/</t>
  </si>
  <si>
    <t>217 Прочая посуда из стекла</t>
  </si>
  <si>
    <t>21744</t>
  </si>
  <si>
    <t>Банка стекл. с крышкой квадратная 1000 мл 8*20 см YAD39</t>
  </si>
  <si>
    <t>21745</t>
  </si>
  <si>
    <t>Банка стекл. с крышкой квадратная 1100 мл 10*15 см MFG03</t>
  </si>
  <si>
    <t>21746</t>
  </si>
  <si>
    <t>Банка стекл. с крышкой квадратная 350 мл 8*8 см YAD39</t>
  </si>
  <si>
    <t>21748</t>
  </si>
  <si>
    <t>Банка стекл. с крышкой квадратная 450 мл 8*10 см YAD39</t>
  </si>
  <si>
    <t>21747</t>
  </si>
  <si>
    <t>Банка стекл. с крышкой квадратная 550 мл 8*12 см YAD39</t>
  </si>
  <si>
    <t>21750</t>
  </si>
  <si>
    <t>Банка стекл. с крышкой квадратная 700 мл 10*10 см MFG03</t>
  </si>
  <si>
    <t>21752</t>
  </si>
  <si>
    <t>Банка стекл. с крышкой квадратная 700 мл 8*15 см YAD39</t>
  </si>
  <si>
    <t>21753</t>
  </si>
  <si>
    <t>Банка стекл. с крышкой квадратная 800 мл 10*12 см MFG03</t>
  </si>
  <si>
    <t>21754</t>
  </si>
  <si>
    <t>Банка стекл. с крышкой квадратная 900 мл 8*18 см YAD39</t>
  </si>
  <si>
    <t>21715</t>
  </si>
  <si>
    <t>Блюдо стекл. Luminarc 32 см Луиз 877-643 /6/</t>
  </si>
  <si>
    <t>21704</t>
  </si>
  <si>
    <t>Блюдо стекл. VETTA 25,4 см Элиан квадр. 830-303</t>
  </si>
  <si>
    <t>42247</t>
  </si>
  <si>
    <t>Бутылка стекл. д/воды 0,25 л салатовая МВ 80539 /24/</t>
  </si>
  <si>
    <t>21761</t>
  </si>
  <si>
    <t>Бутылка-распылитель стекл. д/масла 100 мл Y113-137 /80/</t>
  </si>
  <si>
    <t>21743</t>
  </si>
  <si>
    <t>Бутылка-распылитель стекл. д/масла 200 мл Y113-136 /80/</t>
  </si>
  <si>
    <t>21707</t>
  </si>
  <si>
    <t>Бутылка-распылитель стекл. д/масла Malloni Oliva 100 мл 100132 /24/</t>
  </si>
  <si>
    <t>21701</t>
  </si>
  <si>
    <t>Конфетница стекл. Bonjart 11,5*11,5*10,5 см с крышкой 26955 /36/</t>
  </si>
  <si>
    <t>21706</t>
  </si>
  <si>
    <t>Конфетница стекл. Bonjart 11*11*11 см с крышкой 26941 /36/</t>
  </si>
  <si>
    <t>21712</t>
  </si>
  <si>
    <t>Конфетница стекл. Bonjart 12*12*10 см с крышкой 26953 /36/</t>
  </si>
  <si>
    <t>21725</t>
  </si>
  <si>
    <t>Конфетница стекл. Аврора 107,5 см на ножке /6/</t>
  </si>
  <si>
    <t>21709</t>
  </si>
  <si>
    <t>Конфетница стекл. Иллюзия 15*10,5 см 877-600 /48/</t>
  </si>
  <si>
    <t>21742</t>
  </si>
  <si>
    <t>Конфетница стекл. Иллюзия 9*8,5 см 877-526 /3/48/</t>
  </si>
  <si>
    <t>21726</t>
  </si>
  <si>
    <t>Креманка стекл. New Bell 275 мл Пламя /24/</t>
  </si>
  <si>
    <t>21770</t>
  </si>
  <si>
    <t>Креманка стекл. Барокко на ножке /6/</t>
  </si>
  <si>
    <t>21771</t>
  </si>
  <si>
    <t>Креманка стекл. Версаль на ножке /4/</t>
  </si>
  <si>
    <t>21722</t>
  </si>
  <si>
    <t>Креманка стекл. Виктория 240 мл 03С1133 /24/</t>
  </si>
  <si>
    <t>21729</t>
  </si>
  <si>
    <t>Креманка стекл. Мальва 280 мл 12с1571/0 /12/</t>
  </si>
  <si>
    <t>21733</t>
  </si>
  <si>
    <t>Креманка стекл. Мальва 280 мл Монарх 12с1581/0 /12/</t>
  </si>
  <si>
    <t>21711</t>
  </si>
  <si>
    <t>Лимонница стекл. 10,5*11 см круглая с крышкой 359-0420</t>
  </si>
  <si>
    <t>21755</t>
  </si>
  <si>
    <t>Масленка стекл. Розарий 98402/р /12/</t>
  </si>
  <si>
    <t>21765</t>
  </si>
  <si>
    <t>Менажница стекл. МФК Kaveh Larous 28 см 4-х секционная /10/</t>
  </si>
  <si>
    <t>21717</t>
  </si>
  <si>
    <t>Пепельница стекл. Версаль 516-313 /12/</t>
  </si>
  <si>
    <t>21705</t>
  </si>
  <si>
    <t>Пепельница стекл. Герб России 106 мм</t>
  </si>
  <si>
    <t>21702</t>
  </si>
  <si>
    <t>Пепельница стекл. Круглая 02с1015 /24/</t>
  </si>
  <si>
    <t>21763</t>
  </si>
  <si>
    <t>Пепельница стекл. Круглая Осз 10,6 см 04с1162-70 /24/</t>
  </si>
  <si>
    <t>22725</t>
  </si>
  <si>
    <t>Подставка стекл. п/ложку 23 см SP04-X310 /12/</t>
  </si>
  <si>
    <t>21767</t>
  </si>
  <si>
    <t>Сахарница стекл. Webber 200 мл нерж. сталь /48/</t>
  </si>
  <si>
    <t>21792</t>
  </si>
  <si>
    <t>Сахарница стекл. Webber 220 мл Круг с ложкой /24/</t>
  </si>
  <si>
    <t>21710</t>
  </si>
  <si>
    <t>Сахарница стекл. в метал. подстаканнике НТ02-SВ1</t>
  </si>
  <si>
    <t>21764</t>
  </si>
  <si>
    <t>Сахарница стекл. в метал. подстаканнике НТ03-3В1</t>
  </si>
  <si>
    <t>21734</t>
  </si>
  <si>
    <t>Сахарница стекл. в метал. подстаканнике НТ04-SВ1</t>
  </si>
  <si>
    <t>21760</t>
  </si>
  <si>
    <t>Сахарница стекл. в метал. подстаканнике НТ06-SВ1</t>
  </si>
  <si>
    <t>21731</t>
  </si>
  <si>
    <t>Сахарница стекл. Коралл 12,5*12,5*6,5 см GB1840H /4/36/</t>
  </si>
  <si>
    <t>21721</t>
  </si>
  <si>
    <t>Сахарница стекл. с дозатором 140 мл LR красный 28705 /72/</t>
  </si>
  <si>
    <t>21713</t>
  </si>
  <si>
    <t>Сахарница стекл. с дозатором 230 мл МВ 26879 /96/</t>
  </si>
  <si>
    <t>21716</t>
  </si>
  <si>
    <t>Сахарница стекл. с дозатором 250 мл BE-0071 /96/</t>
  </si>
  <si>
    <t>21728</t>
  </si>
  <si>
    <t>Сахарница стекл. с дозатором 320 мл 3 цв. 828-244 /12/24/</t>
  </si>
  <si>
    <t>21774</t>
  </si>
  <si>
    <t>Сахарница стекл. с дозатором кувшинчик 828-151 /4/96/</t>
  </si>
  <si>
    <t>21727</t>
  </si>
  <si>
    <t>Сахарница стекл. с дозатором мет Y-001/005</t>
  </si>
  <si>
    <t>21740</t>
  </si>
  <si>
    <t>Сахарница стекл. Симпатия 16C1911 /12/</t>
  </si>
  <si>
    <t>21703</t>
  </si>
  <si>
    <t>Сахарница стеклокерам. 4" декор 3694 /48/</t>
  </si>
  <si>
    <t>218 Pasabahce</t>
  </si>
  <si>
    <t>21877</t>
  </si>
  <si>
    <t>Блюдо стекл. Pasabahce 32,2 см закаленн. 877-633 /6/</t>
  </si>
  <si>
    <t>21801</t>
  </si>
  <si>
    <t>Блюдо стекл. Pasabahce Patisserie Д240 мм 10351 /6/</t>
  </si>
  <si>
    <t>21814</t>
  </si>
  <si>
    <t>Блюдо стекл. Pasabahce Piknik Д300 мм 54646 /6/</t>
  </si>
  <si>
    <t>21829</t>
  </si>
  <si>
    <t>Бокалы стекл. Pasabahce Karat 6 шт 163 мл 440148 /4/</t>
  </si>
  <si>
    <t>21827</t>
  </si>
  <si>
    <t>Бульонница стекл. Pasabahce Gray 480 мл 53772 /12/</t>
  </si>
  <si>
    <t>21892</t>
  </si>
  <si>
    <t>Бульонница стекл. Pasabahce Gray 600 мл 55303 /12/</t>
  </si>
  <si>
    <t>21864</t>
  </si>
  <si>
    <t>Бульонница стекл. Pasabahce Броунз 625 мл /12/</t>
  </si>
  <si>
    <t>21312</t>
  </si>
  <si>
    <t>Ваза стекл. Pasabahce Flora 10*8*14 см Ботаника 877-471 /6/</t>
  </si>
  <si>
    <t>21809</t>
  </si>
  <si>
    <t>Графин стекл. Pasabahce Karat 500 мл с пробкой /6/</t>
  </si>
  <si>
    <t>21757</t>
  </si>
  <si>
    <t>Креманка стекл. Pasabahce Айсвиль 100 мм 877-524 /6/</t>
  </si>
  <si>
    <t>21759</t>
  </si>
  <si>
    <t>Креманка стекл. Pasabahce Айсвиль 130 мм 51068 /6/</t>
  </si>
  <si>
    <t>21807</t>
  </si>
  <si>
    <t>Креманка стекл. Pasabahce Энжой 118 мм Блю /12/</t>
  </si>
  <si>
    <t>21878</t>
  </si>
  <si>
    <t>Креманка стекл. Pasabahce Энжой 118 мм Грин /12/</t>
  </si>
  <si>
    <t>21808</t>
  </si>
  <si>
    <t>Креманки стекл. Pasabahce Piknik F&amp;D 2 шт 180 мл 51238 /12/</t>
  </si>
  <si>
    <t>21903</t>
  </si>
  <si>
    <t>Креманки стекл. Pasabahce Айсвиль 3 шт 877-632 /8/</t>
  </si>
  <si>
    <t>21811</t>
  </si>
  <si>
    <t>Креманки стекл. Pasabahce Зеленое 6 шт 170 мл 82192 /8/</t>
  </si>
  <si>
    <t>21869</t>
  </si>
  <si>
    <t>Кружка стекл. Pasabahce Aqua 330 мл 55393 SL /12/</t>
  </si>
  <si>
    <t>21803</t>
  </si>
  <si>
    <t>Кружка стекл. Pasabahce Basilico 300 мл Lava Grey дымка 62505-12 /12/</t>
  </si>
  <si>
    <t>21802</t>
  </si>
  <si>
    <t>Кувшин стекл. Pasabahce Basik 1300 мл с прозр. пласт. крышкой 43964 /6/</t>
  </si>
  <si>
    <t>21862</t>
  </si>
  <si>
    <t>Кувшин стекл. Pasabahce Casablanca 1140 мл /6/</t>
  </si>
  <si>
    <t>21820</t>
  </si>
  <si>
    <t>Кувшин стекл. Pasabahce Frigo 1340 мл с красной крышкой 80052К /6/</t>
  </si>
  <si>
    <t>21861</t>
  </si>
  <si>
    <t>Кувшин стекл. Pasabahce Sylvana 1350 мл 878-289 /6/</t>
  </si>
  <si>
    <t>21897</t>
  </si>
  <si>
    <t>Кувшин стекл. Pasabahce Бистро 1000 мл с крышкой 80102SLM H12-2 /6/</t>
  </si>
  <si>
    <t>21895</t>
  </si>
  <si>
    <t>Кувшин стекл. Pasabahce Бистро 500 мл без крышки 878-232 /6/</t>
  </si>
  <si>
    <t>21841</t>
  </si>
  <si>
    <t>Кувшин стекл. Pasabahce Дансе 1600 мл 65127 /6/</t>
  </si>
  <si>
    <t>21859</t>
  </si>
  <si>
    <t>Кувшин стекл. Pasabahce Кошем 1000 мл с крышкой /12/</t>
  </si>
  <si>
    <t>21846</t>
  </si>
  <si>
    <t>Кувшин стекл. Pasabahce Кошем 1250 мл 878-291 /6/</t>
  </si>
  <si>
    <t>21896</t>
  </si>
  <si>
    <t>Кувшин стекл. Pasabahce Кошем 1500 мл 43414В Н10-2 /6/</t>
  </si>
  <si>
    <t>21849</t>
  </si>
  <si>
    <t>Менажница стекл. Pasabahce Perla 270 мм /6/</t>
  </si>
  <si>
    <t>21818</t>
  </si>
  <si>
    <t>Менажница стекл. Pasabahce Piknik 300 мм 24646BB /6/</t>
  </si>
  <si>
    <t>21810</t>
  </si>
  <si>
    <t>Пепельница стекл. Pasabahce Bistro 107 мм 54036 /12/</t>
  </si>
  <si>
    <t>21819</t>
  </si>
  <si>
    <t>Подставка стекл. д/яйца Pasabahce Basic 12,7 см 53382 /24/</t>
  </si>
  <si>
    <t>21816</t>
  </si>
  <si>
    <t>Рюмки стекл. Pasabahce Karat 6 шт 58 мл 440145 /8/</t>
  </si>
  <si>
    <t>21868</t>
  </si>
  <si>
    <t>Салатник стекл. Pasabahce Gray 125*125 мм 53056SL /12/</t>
  </si>
  <si>
    <t>21882</t>
  </si>
  <si>
    <t>Салатник стекл. Pasabahce Lacy 300 мм 250 мл 10588 /12/</t>
  </si>
  <si>
    <t>21666</t>
  </si>
  <si>
    <t>Салатник стекл. Pasabahce Papillion 300 мл 10274 /24/</t>
  </si>
  <si>
    <t>21806</t>
  </si>
  <si>
    <t>Салатник стекл. Pasabahce Pastoral 130 мм 300 мл 10437SL /12/</t>
  </si>
  <si>
    <t>21898</t>
  </si>
  <si>
    <t>Салатник стекл. Pasabahce Pastoral 160 мм 550 мл 10275 /12/</t>
  </si>
  <si>
    <t>21821</t>
  </si>
  <si>
    <t>Салатник стекл. Pasabahce Sultana 120 мм 10286SLB /12/</t>
  </si>
  <si>
    <t>21629</t>
  </si>
  <si>
    <t>Салатник стекл. Pasabahce Sultana 120 мм Графит 10286-H</t>
  </si>
  <si>
    <t>21804</t>
  </si>
  <si>
    <t>Салатник стекл. Pasabahce Sultana 23 см 10284SLB /6/</t>
  </si>
  <si>
    <t>21657</t>
  </si>
  <si>
    <t>Салатник стекл. Pasabahce Sultana 305 мм 10283 /6/</t>
  </si>
  <si>
    <t>21658</t>
  </si>
  <si>
    <t>Салатник стекл. Pasabahce Sultana 305 мм Морская волна 10283-H /6/</t>
  </si>
  <si>
    <t>21856</t>
  </si>
  <si>
    <t>Салатник стекл. Pasabahce Tokio 125 мм 300 мл 53056SL /12/</t>
  </si>
  <si>
    <t>21791</t>
  </si>
  <si>
    <t>Салатник стекл. Pasabahce Tokio 160 мм 500 мл 53066SL 818-724 /12/</t>
  </si>
  <si>
    <t>21884</t>
  </si>
  <si>
    <t>Салатник стекл. Pasabahce Бохо 162 мм Бежевый /12/</t>
  </si>
  <si>
    <t>21885</t>
  </si>
  <si>
    <t>Салатник стекл. Pasabahce Бохо 162 мм Зеленый /12/</t>
  </si>
  <si>
    <t>21886</t>
  </si>
  <si>
    <t>Салатник стекл. Pasabahce Бохо 162 мм Розовый /12/</t>
  </si>
  <si>
    <t>21860</t>
  </si>
  <si>
    <t>Салатник стекл. Pasabahce Броунз 12,5 см /12/</t>
  </si>
  <si>
    <t>21870</t>
  </si>
  <si>
    <t>Салатник стекл. Pasabahce Меззе 190*122 мм 53712SL /12/</t>
  </si>
  <si>
    <t>21681</t>
  </si>
  <si>
    <t>Салатник стекл. Pasabahce Мозаик 160 мм 877-512 /12/</t>
  </si>
  <si>
    <t>21682</t>
  </si>
  <si>
    <t>Салатник стекл. Pasabahce Тоскана 130 мм 877-517 /24/</t>
  </si>
  <si>
    <t>21817</t>
  </si>
  <si>
    <t>Салатники стекл. Pasabahce Гуси 2 шт 850 мл 53553 /24/</t>
  </si>
  <si>
    <t>21848</t>
  </si>
  <si>
    <t>Сахарница стекл. Pasabahce Konya Д12 см 877-301 /12/</t>
  </si>
  <si>
    <t>21825</t>
  </si>
  <si>
    <t>Сахарница стекл. Pasabahce Perla Д14 см 97236В /12/</t>
  </si>
  <si>
    <t>21863</t>
  </si>
  <si>
    <t>Сахарница стекл. Pasabahce Piknik 350 мл /12/</t>
  </si>
  <si>
    <t>21875</t>
  </si>
  <si>
    <t>Стакан стекл. Pasabahce Касабланка 475 мл 878-249 /12/</t>
  </si>
  <si>
    <t>21815</t>
  </si>
  <si>
    <t>Стакан стекл. Pasabahce Энжой Лофт 280 мл голубой /12/</t>
  </si>
  <si>
    <t>21812</t>
  </si>
  <si>
    <t>Стакан стекл. Pasabahce Энжой Лофт 280 мл розовый /12/</t>
  </si>
  <si>
    <t>21874</t>
  </si>
  <si>
    <t>Стаканы стекл. Pasabahce Кошем 6 шт 210 мл 878-353 /8/</t>
  </si>
  <si>
    <t>21899</t>
  </si>
  <si>
    <t>Стопка стекл. Pasabahce Basic 55 мл 52837SL /6/</t>
  </si>
  <si>
    <t>21853</t>
  </si>
  <si>
    <t>Стопка стекл. Pasabahce Pleasure 60 мл 420502SL /24/</t>
  </si>
  <si>
    <t>21881</t>
  </si>
  <si>
    <t>Тарелка стекл. Pasabahce Barbaris 19,5 см 10327 /12/</t>
  </si>
  <si>
    <t>21836</t>
  </si>
  <si>
    <t>Тарелка стекл. Pasabahce Barbaris 22 см 10335 /12/</t>
  </si>
  <si>
    <t>21865</t>
  </si>
  <si>
    <t>Тарелка стекл. Pasabahce Barbaris 26 см 10328 /12/</t>
  </si>
  <si>
    <t>21855</t>
  </si>
  <si>
    <t>Тарелка стекл. Pasabahce Invitation 26 см 10328 /12/</t>
  </si>
  <si>
    <t>21840</t>
  </si>
  <si>
    <t>Тарелка стекл. Pasabahce Lacy 19,4 см 10528 /12/</t>
  </si>
  <si>
    <t>21879</t>
  </si>
  <si>
    <t>Тарелка стекл. Pasabahce Lacy 224*290 см 10558 /12/</t>
  </si>
  <si>
    <t>21867</t>
  </si>
  <si>
    <t>Тарелка стекл. Pasabahce Marine 250*360 мм 10258В</t>
  </si>
  <si>
    <t>21832</t>
  </si>
  <si>
    <t>Тарелка стекл. Pasabahce Marine 255*210 мм 10257 /6/</t>
  </si>
  <si>
    <t>21888</t>
  </si>
  <si>
    <t>Тарелка стекл. Pasabahce Mosaic 240 мм /12/</t>
  </si>
  <si>
    <t>21871</t>
  </si>
  <si>
    <t>Тарелка стекл. Pasabahce Pastoral 25 см 10597 /12/</t>
  </si>
  <si>
    <t>21880</t>
  </si>
  <si>
    <t>Тарелка стекл. Pasabahce Provence 19,5 см 10327 /12/</t>
  </si>
  <si>
    <t>21876</t>
  </si>
  <si>
    <t>Тарелка стекл. Pasabahce Sultana 24 см 10288 /12/</t>
  </si>
  <si>
    <t>21602</t>
  </si>
  <si>
    <t>Тарелка стекл. Pasabahce Tokio 19,5*19,5 см 54077 /6/</t>
  </si>
  <si>
    <t>21866</t>
  </si>
  <si>
    <t>Тарелка стекл. Pasabahce Сакура 265*265 мм /6/</t>
  </si>
  <si>
    <t>21854</t>
  </si>
  <si>
    <t>Тарелка стекл. Pasabahce Хэйз 190 мм глубокая 10375SLB /12/</t>
  </si>
  <si>
    <t>21850</t>
  </si>
  <si>
    <t>Тарелки стекл. Pasabahce Lacy 6 шт 21,5 см 10527 /4/</t>
  </si>
  <si>
    <t>219 Коллекционные серии из стекла/столовые наборы из стекла</t>
  </si>
  <si>
    <t>21787</t>
  </si>
  <si>
    <t>Бульонница дымчатое стекло 670 мл 877-297 /12/</t>
  </si>
  <si>
    <t>21902</t>
  </si>
  <si>
    <t>Бульонница дымчатое стекло Basilico 670 мл Lava Grey с ручкой /12/</t>
  </si>
  <si>
    <t>21904</t>
  </si>
  <si>
    <t>Бульонница дымчатое стекло Elica 510 мл с ушками /12/</t>
  </si>
  <si>
    <t>21667</t>
  </si>
  <si>
    <t>Бульонница дымчатое стекло Elica 670 мл</t>
  </si>
  <si>
    <t>21828</t>
  </si>
  <si>
    <t>Бульонница дымчатое стекло Primo 510 мл с ушками 877-296 /12/</t>
  </si>
  <si>
    <t>21917</t>
  </si>
  <si>
    <t>Кружка дымчатое стекло Basilico 300 мл Lava Grey 62008 /12/</t>
  </si>
  <si>
    <t>21918</t>
  </si>
  <si>
    <t>Кружка дымчатое стекло Basilico 420 мл Lava Grey /12/</t>
  </si>
  <si>
    <t>21920</t>
  </si>
  <si>
    <t>Кружка дымчатое стекло Basilico 420 мл Nottei e Di /12/</t>
  </si>
  <si>
    <t>21908</t>
  </si>
  <si>
    <t>Кружка дымчатое стекло Basilico 500 мл Cinquecento /24/</t>
  </si>
  <si>
    <t>21923</t>
  </si>
  <si>
    <t>Кружка дымчатое стекло Diamond 350 мл Black /16/</t>
  </si>
  <si>
    <t>21924</t>
  </si>
  <si>
    <t>Кружка дымчатое стекло Diamond 350 мл Fancy /16/</t>
  </si>
  <si>
    <t>21257</t>
  </si>
  <si>
    <t>Кружка дымчатое стекло Elica 250 мл 62048 /12/</t>
  </si>
  <si>
    <t>21255</t>
  </si>
  <si>
    <t>Кружка дымчатое стекло Elica 300 мл 62059 /12/</t>
  </si>
  <si>
    <t>21227</t>
  </si>
  <si>
    <t>Кружка дымчатое стекло Matinai 300 мл Di Cafe 879-042 /12/</t>
  </si>
  <si>
    <t>21905</t>
  </si>
  <si>
    <t>Кружка дымчатое стекло Mattina 300 мл Банановый микс /60/</t>
  </si>
  <si>
    <t>21276</t>
  </si>
  <si>
    <t>Кружка дымчатое стекло Mattina 300 мл Сливовый микс</t>
  </si>
  <si>
    <t>21900</t>
  </si>
  <si>
    <t>Кружка дымчатое стекло Muniti 310 мл 879-151 /6/</t>
  </si>
  <si>
    <t>20212</t>
  </si>
  <si>
    <t>Кружка дымчатое стекло Ogni glorno 250 мл 879-041 /6/</t>
  </si>
  <si>
    <t>21914</t>
  </si>
  <si>
    <t>Кружка дымчатое стекло Джамбо 500 мл Н9152 /6/</t>
  </si>
  <si>
    <t>21961</t>
  </si>
  <si>
    <t>Салатник дымчатое стекло Alta Marea 20 см /6/</t>
  </si>
  <si>
    <t>21935</t>
  </si>
  <si>
    <t>Салатник дымчатое стекло Basilico 13 см 877-551 /12/</t>
  </si>
  <si>
    <t>21928</t>
  </si>
  <si>
    <t>Салатник дымчатое стекло Diamond 13 см Black /12/</t>
  </si>
  <si>
    <t>21929</t>
  </si>
  <si>
    <t>Салатник дымчатое стекло Diamond 13 см Fancy /12/</t>
  </si>
  <si>
    <t>21936</t>
  </si>
  <si>
    <t>Салатник дымчатое стекло Elica 13 см 877-552 /18/</t>
  </si>
  <si>
    <t>21944</t>
  </si>
  <si>
    <t>Салатник дымчатое стекло Elica 20 см /6/</t>
  </si>
  <si>
    <t>21916</t>
  </si>
  <si>
    <t>Салатник дымчатое стекло Вензель 13 см</t>
  </si>
  <si>
    <t>21926</t>
  </si>
  <si>
    <t>Салатник дымчатое стекло Удобное хранение 17 см Т Н9992/0 /16/</t>
  </si>
  <si>
    <t>21906</t>
  </si>
  <si>
    <t>Салатники Gid Glass 3 шт Гжельские Узоры /4/</t>
  </si>
  <si>
    <t>21907</t>
  </si>
  <si>
    <t>Салатники Gid Glass 3 шт Карамель Круг /4/</t>
  </si>
  <si>
    <t>21915</t>
  </si>
  <si>
    <t>Сахарница дымчатое стекло Абьянте эклипс</t>
  </si>
  <si>
    <t>21922</t>
  </si>
  <si>
    <t>Столовый набор дымчатое стекло 3 пр. ALTA MAREA</t>
  </si>
  <si>
    <t>21927</t>
  </si>
  <si>
    <t>Тарелка дымчатое стекло Basilico 19 см Lava Grey глубокая /6/</t>
  </si>
  <si>
    <t>21679</t>
  </si>
  <si>
    <t>Тарелка дымчатое стекло Basilico 20 см 62072 877-508 /6/</t>
  </si>
  <si>
    <t>21919</t>
  </si>
  <si>
    <t>Тарелка дымчатое стекло Basilico 20 см Lava Grey /6/</t>
  </si>
  <si>
    <t>21680</t>
  </si>
  <si>
    <t>Тарелка дымчатое стекло Elica 20 см 62102 877-509 /6/</t>
  </si>
  <si>
    <t>21962</t>
  </si>
  <si>
    <t>Тарелка дымчатое стекло Elica десертная 17 см /6/24/</t>
  </si>
  <si>
    <t>21913</t>
  </si>
  <si>
    <t>Тарелка дымчатое стекло Saphir 21 см Sea Brim /6/</t>
  </si>
  <si>
    <t>21912</t>
  </si>
  <si>
    <t>Тарелка дымчатое стекло десертная Alta Marea 17 см /6/</t>
  </si>
  <si>
    <t>220 Заварники</t>
  </si>
  <si>
    <t>22536</t>
  </si>
  <si>
    <t>Френч-пресс стекл. 350 мл пластик 4 цв. 850-114 /30/</t>
  </si>
  <si>
    <t>22038</t>
  </si>
  <si>
    <t>Френч-пресс стекл. BY Collectioon 600 мл нерж. сталь двойные стенки 850-202 /12/</t>
  </si>
  <si>
    <t>22014</t>
  </si>
  <si>
    <t>Френч-пресс стекл. Satoshi Верона жаропрочный 350 мл нерж. сталь 850-194 /30/</t>
  </si>
  <si>
    <t>22017</t>
  </si>
  <si>
    <t>Френч-пресс стекл. Satoshi Верона жаропрочный 600 мл нерж. сталь 850-195 /24/</t>
  </si>
  <si>
    <t>22037</t>
  </si>
  <si>
    <t>Френч-пресс стекл. Satoshi Гельсингфорс жаропрочный 1000 мл нерж. сталь 4 диз. 850-201 /12/</t>
  </si>
  <si>
    <t>22036</t>
  </si>
  <si>
    <t>Френч-пресс стекл. Satoshi Гельсингфорс жаропрочный 600 мл нерж. сталь 4 диз. 850-200 /24/</t>
  </si>
  <si>
    <t>21197</t>
  </si>
  <si>
    <t>Френч-пресс стекл. Satoshi Рейн жаропрочный 350 мл нерж. сталь 850-187 /2/30/</t>
  </si>
  <si>
    <t>21195</t>
  </si>
  <si>
    <t>Френч-пресс стекл. Satoshi Рейн жаропрочный 600 мл нерж. сталь 850-188 /2/24/</t>
  </si>
  <si>
    <t>21103</t>
  </si>
  <si>
    <t>Френч-пресс стекл. Satoshi Тэму жаропрочный 350 мл нерж. сталь 850-184 /2/30/</t>
  </si>
  <si>
    <t>21100</t>
  </si>
  <si>
    <t>Френч-пресс стекл. Satoshi Тэму жаропрочный 600 мл нерж. сталь 850-185 /2/30/</t>
  </si>
  <si>
    <t>21101</t>
  </si>
  <si>
    <t>Френч-пресс стекл. Satoshi Тэму жаропрочный 800 мл нерж. сталь 850-186 /2/24/</t>
  </si>
  <si>
    <t>21143</t>
  </si>
  <si>
    <t>Френч-пресс стекл. VETTA Делайн жаропрочный 600 мл нерж. сталь 850-190 /24/</t>
  </si>
  <si>
    <t>22068</t>
  </si>
  <si>
    <t>Френч-пресс стекл. VETTA Мелана 1000 мл пластик 850-176 /2/24/</t>
  </si>
  <si>
    <t>22005</t>
  </si>
  <si>
    <t>Френч-пресс стекл. VETTA Мелана 800 мл пластик 850-061 /2/24/</t>
  </si>
  <si>
    <t>22003</t>
  </si>
  <si>
    <t>Френч-пресс стекл. VETTA Флор 350 мл нерж. сталь 850-073 /3/30/</t>
  </si>
  <si>
    <t>22554</t>
  </si>
  <si>
    <t>Френч-пресс стекл. VETTA Флор 800 мл нерж. сталь 850-074 /2/24/</t>
  </si>
  <si>
    <t>21137</t>
  </si>
  <si>
    <t>Френч-пресс стекл. Амели 350 мл пластик 4 цв. 850-159 /2/24/</t>
  </si>
  <si>
    <t>22001</t>
  </si>
  <si>
    <t>Френч-пресс стекл. Амели 600 мл пластик 3 цв. 850-180 /24/</t>
  </si>
  <si>
    <t>22040</t>
  </si>
  <si>
    <t>Чайник заварочный стекл. без фильтра 600 мл силикон 850-205 /24/</t>
  </si>
  <si>
    <t>22521</t>
  </si>
  <si>
    <t>Чайник заварочный стекл. с фильтром 1,5 мл 850-101 /2/24/</t>
  </si>
  <si>
    <t>22025</t>
  </si>
  <si>
    <t>Чайник заварочный стекл. с фильтром 1100 мл нерж. сталь</t>
  </si>
  <si>
    <t>22041</t>
  </si>
  <si>
    <t>Чайник заварочный стекл. с фильтром 1150 мл нерж. сталь 38-В /36/</t>
  </si>
  <si>
    <t>21135</t>
  </si>
  <si>
    <t>Чайник заварочный стекл. с фильтром 1200 мл нерж. сталь</t>
  </si>
  <si>
    <t>21124</t>
  </si>
  <si>
    <t>Чайник заварочный стекл. с фильтром 1250 мл метал. 151-32003</t>
  </si>
  <si>
    <t>22020</t>
  </si>
  <si>
    <t>Чайник заварочный стекл. с фильтром 1250 мл метал. 151-32004</t>
  </si>
  <si>
    <t>21177</t>
  </si>
  <si>
    <t>Чайник заварочный стекл. с фильтром 1250 мл нерж. сталь пластик 850-748 /4/48/</t>
  </si>
  <si>
    <t>21068</t>
  </si>
  <si>
    <t>Чайник заварочный стекл. с фильтром 1400 мл нерж. сталь</t>
  </si>
  <si>
    <t>21012</t>
  </si>
  <si>
    <t>Чайник заварочный стекл. с фильтром 1500 мл нерж. сталь пластик 850-143 /2/24/</t>
  </si>
  <si>
    <t>22019</t>
  </si>
  <si>
    <t>Чайник заварочный стекл. с фильтром 1500 мл нерж. сталь полипр. 850-197 /24/</t>
  </si>
  <si>
    <t>21121</t>
  </si>
  <si>
    <t>Чайник заварочный стекл. с фильтром 1600 мл нерж. сталь</t>
  </si>
  <si>
    <t>22018</t>
  </si>
  <si>
    <t>Чайник заварочный стекл. с фильтром 1800 мл пластик CL-7006</t>
  </si>
  <si>
    <t>22030</t>
  </si>
  <si>
    <t>Чайник заварочный стекл. с фильтром 500 мл CD-500А</t>
  </si>
  <si>
    <t>22046</t>
  </si>
  <si>
    <t>Чайник заварочный стекл. с фильтром 500 мл нерж. сталь 30-В /48/</t>
  </si>
  <si>
    <t>22012</t>
  </si>
  <si>
    <t>Чайник заварочный стекл. с фильтром 500 мл нерж. сталь полипр. 850-156 /2/72/</t>
  </si>
  <si>
    <t>21173</t>
  </si>
  <si>
    <t>Чайник заварочный стекл. с фильтром 600 мл 850-157 /2/48/</t>
  </si>
  <si>
    <t>22825</t>
  </si>
  <si>
    <t>Чайник заварочный стекл. с фильтром 750 мл 029-20014</t>
  </si>
  <si>
    <t>21005</t>
  </si>
  <si>
    <t>Чайник заварочный стекл. с фильтром 750 мл 850-377 /5/60/</t>
  </si>
  <si>
    <t>21039</t>
  </si>
  <si>
    <t>Чайник заварочный стекл. с фильтром 750 мл нерж. сталь пластик 3 цвета 850-168 /6/48/</t>
  </si>
  <si>
    <t>21001</t>
  </si>
  <si>
    <t>Чайник заварочный стекл. с фильтром 750 мл нерж. сталь пластик 4 цв. 850-141 /2/36/</t>
  </si>
  <si>
    <t>22039</t>
  </si>
  <si>
    <t>Чайник заварочный стекл. с фильтром 750 мл нерж. сталь полистерол 850-196 /48/</t>
  </si>
  <si>
    <t>22000</t>
  </si>
  <si>
    <t>Чайник заварочный стекл. с фильтром 750 мл овальный 3 цв. 850-704 /5/60/</t>
  </si>
  <si>
    <t>21113</t>
  </si>
  <si>
    <t>Чайник заварочный стекл. с фильтром 800 мл 850-158 /2/48/</t>
  </si>
  <si>
    <t>22031</t>
  </si>
  <si>
    <t>Чайник заварочный стекл. с фильтром 800 мл CD-800А</t>
  </si>
  <si>
    <t>22013</t>
  </si>
  <si>
    <t>Чайник заварочный стекл. с фильтром 800 мл нерж. сталь</t>
  </si>
  <si>
    <t>22048</t>
  </si>
  <si>
    <t>Чайник заварочный стекл. с фильтром 800 мл нерж. сталь 34-В /48/</t>
  </si>
  <si>
    <t>22047</t>
  </si>
  <si>
    <t>Чайник заварочный стекл. с фильтром 900 мл CD-900А</t>
  </si>
  <si>
    <t>22022</t>
  </si>
  <si>
    <t>Чайник заварочный стекл. с фильтром 900 мл лавандовый /36/</t>
  </si>
  <si>
    <t>22024</t>
  </si>
  <si>
    <t>Чайник заварочный стекл. с фильтром 900 мл метал. 151-32002</t>
  </si>
  <si>
    <t>22016</t>
  </si>
  <si>
    <t>Чайник заварочный стекл. с фильтром Satoshi Цейлон 1,5 л 850-173 /24/</t>
  </si>
  <si>
    <t>22032</t>
  </si>
  <si>
    <t>Чайник заварочный стекл. с фильтром Satoshi Цейлон 600 мл 850-218 /36/</t>
  </si>
  <si>
    <t>22069</t>
  </si>
  <si>
    <t>Чайник заварочный стекл. с фильтром Vetta 1,25 л Дени пластик 850-172 /24/</t>
  </si>
  <si>
    <t>22043</t>
  </si>
  <si>
    <t>Чайник заварочный стекл. с фильтром Vetta 1,8 л нерж. сталь пластик 850-203 /24/</t>
  </si>
  <si>
    <t>22565</t>
  </si>
  <si>
    <t>Чайник заварочный стекл. с фильтром Vetta 500 мл нерж. сталь 850-081 /2/48/</t>
  </si>
  <si>
    <t>22002</t>
  </si>
  <si>
    <t>Чайник заварочный стекл. с фильтром Vetta 800 мл Гунфу с кнопкой нерж. сталь 850-204 /60/</t>
  </si>
  <si>
    <t>221-228 Фарфор-керамика</t>
  </si>
  <si>
    <t>221 Жаропрочная керамика</t>
  </si>
  <si>
    <t>22100</t>
  </si>
  <si>
    <t>Форма керам. By Collection д/запекания кругл. 25,5*21*7 см зеленая 826-348 /16/</t>
  </si>
  <si>
    <t>22101</t>
  </si>
  <si>
    <t>Форма керам. By Collection д/запекания кругл. 25,5*21*7 см красная 826-349 /16/</t>
  </si>
  <si>
    <t>22105</t>
  </si>
  <si>
    <t>Форма керам. By Collection д/запекания кругл. 25,5*5,5 см зеленая 826-350 /12/</t>
  </si>
  <si>
    <t>22108</t>
  </si>
  <si>
    <t>Форма керам. By Collection д/запекания кругл. 5,5*5,5 см красная 826-351 /12/</t>
  </si>
  <si>
    <t>22128</t>
  </si>
  <si>
    <t>Форма керам. I.K Вензель д/запекания прямоуг. 17*15*4 см с ручками</t>
  </si>
  <si>
    <t>22103</t>
  </si>
  <si>
    <t>Форма керам. Millimi д/запекания кругл. 22*5 см рифл. 2 цв. 826-336 /16/</t>
  </si>
  <si>
    <t>22104</t>
  </si>
  <si>
    <t>Форма керам. Millimi д/запекания овал. 31*21*6 см с ручками рельефн. 826-338 /8/</t>
  </si>
  <si>
    <t>22106</t>
  </si>
  <si>
    <t>Форма керам. Millimi д/запекания прямоуг. 27,5*17*6 см с ручками 2 цв. 826-340 /12/</t>
  </si>
  <si>
    <t>22110</t>
  </si>
  <si>
    <t>Форма керам. Millimi д/запекания прямоуг. 31*19,5*7 см с ручками 2 цв. 826-342 /6/</t>
  </si>
  <si>
    <t>222 Кружки</t>
  </si>
  <si>
    <t>20219</t>
  </si>
  <si>
    <t>Кружка 350 мл ZC07-DGF88 /12/</t>
  </si>
  <si>
    <t>20216</t>
  </si>
  <si>
    <t>Кружка Девочка с фруктами 350 мл</t>
  </si>
  <si>
    <t>20227</t>
  </si>
  <si>
    <t>Кружка Капучинка 230 мл непрозрачный глянец 2006-Н микс</t>
  </si>
  <si>
    <t>22226</t>
  </si>
  <si>
    <t>Кружка керам. 300 мл SDM029-1223 /12/</t>
  </si>
  <si>
    <t>22232</t>
  </si>
  <si>
    <t>Кружка керам. 320 мл D712 /12/</t>
  </si>
  <si>
    <t>22236</t>
  </si>
  <si>
    <t>Кружка керам. 320 мл V9-20 /12/</t>
  </si>
  <si>
    <t>22237</t>
  </si>
  <si>
    <t>Кружка керам. 320 мл VQ-8 /12/</t>
  </si>
  <si>
    <t>22231</t>
  </si>
  <si>
    <t>Кружка керам. 320 мл А-13 /12/</t>
  </si>
  <si>
    <t>22238</t>
  </si>
  <si>
    <t>Кружка керам. 330 мл M-67 /12/</t>
  </si>
  <si>
    <t>22242</t>
  </si>
  <si>
    <t>Кружка керам. 330 мл W/N009 /12/</t>
  </si>
  <si>
    <t>22243</t>
  </si>
  <si>
    <t>Кружка керам. 350 мл 13-86 /12/</t>
  </si>
  <si>
    <t>22241</t>
  </si>
  <si>
    <t>Кружка керам. 350 мл SDM029-1225</t>
  </si>
  <si>
    <t>22205</t>
  </si>
  <si>
    <t>Кружка керам. Millimi 320 мл Оригинальная 4 диз. 806-003 /12/48/</t>
  </si>
  <si>
    <t>22204</t>
  </si>
  <si>
    <t>Кружка керам. Millimi 340 мл 33 Коровы 4 диз. 820-104 /12/48/</t>
  </si>
  <si>
    <t>22219</t>
  </si>
  <si>
    <t>Кружка керам. Millimi 340 мл Велюр 4 диз. 806-019 /12/</t>
  </si>
  <si>
    <t>20256</t>
  </si>
  <si>
    <t>Кружка керам. Millimi 350 мл Тропики 4 диз. 806-137 /12/48/</t>
  </si>
  <si>
    <t>20257</t>
  </si>
  <si>
    <t>Кружка керам. Millimi 350 мл Тропические птицы 4 диз. 806-139 /12/48/</t>
  </si>
  <si>
    <t>20341</t>
  </si>
  <si>
    <t>Кружка керам. Витраж 350 мл 528-173 /6/48/</t>
  </si>
  <si>
    <t>22220</t>
  </si>
  <si>
    <t>Кружка керам. Кофейня 280 мл 4 диз. 824-067 /12/72/</t>
  </si>
  <si>
    <t>20228</t>
  </si>
  <si>
    <t>Кружка керам. Мурмур 340 мл 4 цв. 824-904 /8/48/</t>
  </si>
  <si>
    <t>20229</t>
  </si>
  <si>
    <t>Кружка керам. Черный кот 2 310 мл 4 цв. 824-052 /8/48/</t>
  </si>
  <si>
    <t>22214</t>
  </si>
  <si>
    <t>Кружка фарфор. Millimi 340 мл Пальметта 4 диз. 806-060 /12/</t>
  </si>
  <si>
    <t>22247</t>
  </si>
  <si>
    <t>Кружка фарфор. Millimi 360 мл Не разлей вода 4 диз. 806-068 /12/</t>
  </si>
  <si>
    <t>22234</t>
  </si>
  <si>
    <t>Кружка фарфор. Millimi 400 мл Ларго подароч. упаковка 3 диз. 802-352 /6/48/</t>
  </si>
  <si>
    <t>22217</t>
  </si>
  <si>
    <t>Кружка фарфор. Millimi 410 мл Ретро 4 диз. 806-069 /12/</t>
  </si>
  <si>
    <t>22290</t>
  </si>
  <si>
    <t>Кружка фарфор. Гвардейка 250 мл 814-116 /24/</t>
  </si>
  <si>
    <t>20258</t>
  </si>
  <si>
    <t>Кружка фарфор. Каприз 350 мл 4 диз. 806-286 /12/48/</t>
  </si>
  <si>
    <t>22202</t>
  </si>
  <si>
    <t>Кружка фарфор. Капучино 350 мл 4 диз. 806-038 /12/48/</t>
  </si>
  <si>
    <t>22248</t>
  </si>
  <si>
    <t>Кружка фарфор. Колорит 350 мл 4 диз. 806-072 /12/</t>
  </si>
  <si>
    <t>22211</t>
  </si>
  <si>
    <t>Кружка фарфор. Краски вкуса 350 мл 4 диз. 806-402 /12/48/</t>
  </si>
  <si>
    <t>22249</t>
  </si>
  <si>
    <t>Кружка фарфор. Лето 350 мл 4 диз. 806-075 /12/</t>
  </si>
  <si>
    <t>22203</t>
  </si>
  <si>
    <t>Кружка фарфор. Маки 350 мл 4 диз. 806-343 /12/48/</t>
  </si>
  <si>
    <t>22229</t>
  </si>
  <si>
    <t>Кружка фарфор. МФК Horeca 350 мл белый /60/</t>
  </si>
  <si>
    <t>22285</t>
  </si>
  <si>
    <t>Кружка фарфор. Нежная 350 мл 4 диз. 806-058 /12/48/</t>
  </si>
  <si>
    <t>22235</t>
  </si>
  <si>
    <t>Кружка фарфор. Перья 280 мл 4 цв. 806-465 /12/72/</t>
  </si>
  <si>
    <t>20202</t>
  </si>
  <si>
    <t>Кружка фарфор. Цветы-3 350 мл 4 диз. 806-493 /12/72/</t>
  </si>
  <si>
    <t>20289</t>
  </si>
  <si>
    <t>Кружка фарфор. Цветы-5 350 мл 4 диз. 806-085 /12/48/</t>
  </si>
  <si>
    <t>224 Миски/Тарелки/Салатники</t>
  </si>
  <si>
    <t>22405</t>
  </si>
  <si>
    <t>Блюдо-салатник керам. Teropal Виктория 24,5*20 см /24/</t>
  </si>
  <si>
    <t>22403</t>
  </si>
  <si>
    <t>Миска/коса фарфор. узбек. 15,5 см средняя, желтая /60/</t>
  </si>
  <si>
    <t>22479</t>
  </si>
  <si>
    <t>Салатник керам. Chinbull Дорис 23 см 1700 мл /18/</t>
  </si>
  <si>
    <t>22427</t>
  </si>
  <si>
    <t>Салатник керам. Millimi Блэк джинс 16,5*7,5 см 824-480 /24/</t>
  </si>
  <si>
    <t>20456</t>
  </si>
  <si>
    <t>Салатник керам. Millimi Гортензия 16 см 600 мл 824-945 /2/24/</t>
  </si>
  <si>
    <t>22485</t>
  </si>
  <si>
    <t>Салатник керам. NataM Белый суповая 13 см 300 мл</t>
  </si>
  <si>
    <t>22404</t>
  </si>
  <si>
    <t>Салатник керам. Галактика 15 см /12/</t>
  </si>
  <si>
    <t>22441</t>
  </si>
  <si>
    <t>Салатник керам. Джунгли 15 см /12/</t>
  </si>
  <si>
    <t>22443</t>
  </si>
  <si>
    <t>Салатник керам. Ультрамарин 15 см /12/</t>
  </si>
  <si>
    <t>22445</t>
  </si>
  <si>
    <t>Салатник керам. Ультрамарин 17,5 см /12/</t>
  </si>
  <si>
    <t>22444</t>
  </si>
  <si>
    <t>Салатник керам. Хлопок 15 см /12/</t>
  </si>
  <si>
    <t>22460</t>
  </si>
  <si>
    <t>Салатник фарфор. Millimi Менуэт 15,5*5 см 460 мл 821-116 /18/</t>
  </si>
  <si>
    <t>22416</t>
  </si>
  <si>
    <t>Салатник фарфор. белый 5 200 мл /12/</t>
  </si>
  <si>
    <t>22435</t>
  </si>
  <si>
    <t>Салатник фарфор. белый 6 15 см 400 мл /12/</t>
  </si>
  <si>
    <t>22472</t>
  </si>
  <si>
    <t>Салатник фарфор. белый 6 15 см 400 мл D-26 /12/</t>
  </si>
  <si>
    <t>22480</t>
  </si>
  <si>
    <t>Салатник фарфор. белый 7 17,5 см 500 мл /12/</t>
  </si>
  <si>
    <t>22477</t>
  </si>
  <si>
    <t>Салатник фарфор. белый 7 17,5 см 500 мл D-27 /12/</t>
  </si>
  <si>
    <t>22498</t>
  </si>
  <si>
    <t>Салатник фарфор. Коралл Дамаск 17 см 510 мл бордовый /60/</t>
  </si>
  <si>
    <t>22499</t>
  </si>
  <si>
    <t>Салатник фарфор. Коралл Дамаск 17 см 510 мл зеленый /60/</t>
  </si>
  <si>
    <t>22412</t>
  </si>
  <si>
    <t>Салатник фарфор. Коралл Сицилия 17 см 510 мл зеленый /60/</t>
  </si>
  <si>
    <t>22491</t>
  </si>
  <si>
    <t>Салатник фарфор. МФК Horeca 11,5 см 300 мл белый /80/</t>
  </si>
  <si>
    <t>22492</t>
  </si>
  <si>
    <t>Салатник фарфор. МФК Horeca 14,5 см 400 мл белый /80/</t>
  </si>
  <si>
    <t>22493</t>
  </si>
  <si>
    <t>Салатник фарфор. МФК Лепесток 15 см 350 мл /6/</t>
  </si>
  <si>
    <t>22490</t>
  </si>
  <si>
    <t>Салатник фарфор. МФК Оливки 15 см 350 мл /6/</t>
  </si>
  <si>
    <t>22489</t>
  </si>
  <si>
    <t>Салатник/пиала фарфор. Добрушский 250 мл Гуси /20/</t>
  </si>
  <si>
    <t>22437</t>
  </si>
  <si>
    <t>Тарелка керам. Галактика 19 см /12/</t>
  </si>
  <si>
    <t>22455</t>
  </si>
  <si>
    <t>Тарелка керам. Галактика 19 см лунная форма /12/</t>
  </si>
  <si>
    <t>22457</t>
  </si>
  <si>
    <t>Тарелка керам. Галактика 20 см /12/</t>
  </si>
  <si>
    <t>22465</t>
  </si>
  <si>
    <t>Тарелка керам. Галактика 22,5 см /12/</t>
  </si>
  <si>
    <t>22423</t>
  </si>
  <si>
    <t>Тарелка керам. десертная Daniks 19 см Бухара</t>
  </si>
  <si>
    <t>22425</t>
  </si>
  <si>
    <t>Тарелка керам. десертная Daniks 19 см Дамаск</t>
  </si>
  <si>
    <t>22429</t>
  </si>
  <si>
    <t>Тарелка керам. десертная Daniks 19 см Маракеш</t>
  </si>
  <si>
    <t>22484</t>
  </si>
  <si>
    <t>Тарелка керам. десертная NataM 18 см Белый</t>
  </si>
  <si>
    <t>22434</t>
  </si>
  <si>
    <t>Тарелка керам. Джунгли 17,5 см /12/</t>
  </si>
  <si>
    <t>22459</t>
  </si>
  <si>
    <t>Тарелка керам. Джунгли 20 см /12/</t>
  </si>
  <si>
    <t>22466</t>
  </si>
  <si>
    <t>Тарелка керам. Магнолия 23 см /12/</t>
  </si>
  <si>
    <t>22436</t>
  </si>
  <si>
    <t>Тарелка керам. Ультрамарин 17,5 см /12/</t>
  </si>
  <si>
    <t>22463</t>
  </si>
  <si>
    <t>Тарелка керам. Ультрамарин 20 см /12/</t>
  </si>
  <si>
    <t>22454</t>
  </si>
  <si>
    <t>Тарелка керам. Хлопок 17,5 см /12/</t>
  </si>
  <si>
    <t>22464</t>
  </si>
  <si>
    <t>Тарелка керам. Хлопок 20 см /12/</t>
  </si>
  <si>
    <t>22530</t>
  </si>
  <si>
    <t>Тарелка фарфор. 17,5 см 125 мл суповая белая /12/72/</t>
  </si>
  <si>
    <t>22420</t>
  </si>
  <si>
    <t>Тарелка фарфор. 20 см 200 мл подстановочная белая /12/72/</t>
  </si>
  <si>
    <t>20421</t>
  </si>
  <si>
    <t>Тарелка фарфор. Millimi Альбина 21*4 см суповая 821-708 /6/24/</t>
  </si>
  <si>
    <t>20431</t>
  </si>
  <si>
    <t>Тарелка фарфор. Millimi Альбина 25 см подстановочная 821-706 /6/24/</t>
  </si>
  <si>
    <t>20499</t>
  </si>
  <si>
    <t>Тарелка фарфор. Бабочки 23 см подстановочная 821-020 /6/36/</t>
  </si>
  <si>
    <t>20485</t>
  </si>
  <si>
    <t>Тарелка фарфор. Волшебный цветок 23 см подстановочная 809-035 /6/36/</t>
  </si>
  <si>
    <t>22524</t>
  </si>
  <si>
    <t>Тарелка фарфор. Клубника 20 см /12/</t>
  </si>
  <si>
    <t>22421</t>
  </si>
  <si>
    <t>Тарелка фарфор. Коралл Дамаск 19 см 300 мл суповая бордовая /6/</t>
  </si>
  <si>
    <t>22428</t>
  </si>
  <si>
    <t>Тарелка фарфор. Коралл Дамаск 19 см 300 мл суповая зеленая /6/</t>
  </si>
  <si>
    <t>22448</t>
  </si>
  <si>
    <t>Тарелка фарфор. Коралл Дамаск 19 см 300 мл суповая синяя /6/</t>
  </si>
  <si>
    <t>22449</t>
  </si>
  <si>
    <t>Тарелка фарфор. Коралл Сицилия 19 см суповая кобальт бело-синяя /6/</t>
  </si>
  <si>
    <t>22476</t>
  </si>
  <si>
    <t>Тарелка фарфор. Коралл Хлопок 19 см суповая бело-синяя /6/</t>
  </si>
  <si>
    <t>20416</t>
  </si>
  <si>
    <t>Тарелка фарфор. Кружево 23 см подстановочная 821-698 /6/36/</t>
  </si>
  <si>
    <t>20420</t>
  </si>
  <si>
    <t>Тарелка фарфор. Лесная земляника 23 см подстановочная 821-701 /6/36/</t>
  </si>
  <si>
    <t>22401</t>
  </si>
  <si>
    <t>Тарелка фарфор. МФК Horeca 17 см суповая широкий край белая /6/</t>
  </si>
  <si>
    <t>20445</t>
  </si>
  <si>
    <t>Тарелка фарфор. Розовый венок 23 см подстановочная 821-998 /6/36/</t>
  </si>
  <si>
    <t>22523</t>
  </si>
  <si>
    <t>Тарелка фарфор. Шиповник 18 см /12/</t>
  </si>
  <si>
    <t>22525</t>
  </si>
  <si>
    <t>Тарелка фарфор. Шиповник 20 см /12/</t>
  </si>
  <si>
    <t>22413</t>
  </si>
  <si>
    <t>Тарелка/ляган керам. узбек. Мехроб 26 см /20/</t>
  </si>
  <si>
    <t>22415</t>
  </si>
  <si>
    <t>Тарелка/ляган керам. узбек. Мехроб 28 см /20/</t>
  </si>
  <si>
    <t>225 Фарфоровая посуда Китай</t>
  </si>
  <si>
    <t>22583</t>
  </si>
  <si>
    <t>Блюдо 9" 229 мм 560 мл WP-003/090/038 /40/</t>
  </si>
  <si>
    <t>22552</t>
  </si>
  <si>
    <t>Кружка 200 мл WC-004/020/027 /12/72/</t>
  </si>
  <si>
    <t>22555</t>
  </si>
  <si>
    <t>Кружка 240 мл CM-004/024/037 /12/72/</t>
  </si>
  <si>
    <t>22518</t>
  </si>
  <si>
    <t>Кружка 270 мл WC-004/027/022 /12/36/</t>
  </si>
  <si>
    <t>22597</t>
  </si>
  <si>
    <t>Кружка 330 мл PM-004/033/091 /12/72/</t>
  </si>
  <si>
    <t>22576</t>
  </si>
  <si>
    <t>Кружка 340 мл MC-004/034/068 /12/24/</t>
  </si>
  <si>
    <t>22591</t>
  </si>
  <si>
    <t>Миска 8" 203 мм 1070 мл WB-003/080/001 /30/</t>
  </si>
  <si>
    <t>22508</t>
  </si>
  <si>
    <t>Тарелка квадратная 9" 229 мм 270 мл WQP-003/090/043 /40/</t>
  </si>
  <si>
    <t>226 Масленки/сахарницы/конфетницы</t>
  </si>
  <si>
    <t>22614</t>
  </si>
  <si>
    <t>Масленка керам. Восторг НС800-А16</t>
  </si>
  <si>
    <t>22634</t>
  </si>
  <si>
    <t>Сахарница керам. Daniks Классика 320 мл Y4-2749 /48/</t>
  </si>
  <si>
    <t>22636</t>
  </si>
  <si>
    <t>Сахарница керам. Daniks Классика 425 мл Y4-2750 /48/</t>
  </si>
  <si>
    <t>22600</t>
  </si>
  <si>
    <t>Сахарница керам. Millimi Черный кот 550 мл 820-698 /32/</t>
  </si>
  <si>
    <t>20972</t>
  </si>
  <si>
    <t>Сахарница керам. Millimi Элегия 350 мл 821-578 /24/</t>
  </si>
  <si>
    <t>227 Фарфор-керамика прочее</t>
  </si>
  <si>
    <t>22728</t>
  </si>
  <si>
    <t>Лимонница 762477 /48/</t>
  </si>
  <si>
    <t>22729</t>
  </si>
  <si>
    <t>Лимонница 81396 /48/</t>
  </si>
  <si>
    <t>22734</t>
  </si>
  <si>
    <t>Лимонница Бабочка НС610-К04 /48/</t>
  </si>
  <si>
    <t>20939</t>
  </si>
  <si>
    <t>Салфетница керам. Millimi Аромат 11*5*7 см 820-674 /4/72/</t>
  </si>
  <si>
    <t>20941</t>
  </si>
  <si>
    <t>Салфетница керам. Millimi Ваниль 11*5*7 см 820-691 /4/72/</t>
  </si>
  <si>
    <t>20919</t>
  </si>
  <si>
    <t>Салфетница керам. Олива 11*5*7 см 820-683 /4/72/</t>
  </si>
  <si>
    <t>228 Чайные наборы/Чайники/Заварники</t>
  </si>
  <si>
    <t>22845</t>
  </si>
  <si>
    <t>Набор посуды детский керам. Daniks Милашка 3 предмета С659</t>
  </si>
  <si>
    <t>22847</t>
  </si>
  <si>
    <t>Набор посуды детский керам. Daniks Русалка 3 предмета С653</t>
  </si>
  <si>
    <t>22840</t>
  </si>
  <si>
    <t>Набор посуды детский керам. МФК Джунгли 3 предмета /4/</t>
  </si>
  <si>
    <t>22812</t>
  </si>
  <si>
    <t>Чайник заварочный 750 мл 029-20013</t>
  </si>
  <si>
    <t>22830</t>
  </si>
  <si>
    <t>Чайник заварочный 750 мл 029-20015</t>
  </si>
  <si>
    <t>22834</t>
  </si>
  <si>
    <t>Чайник заварочный керам. Акварель 950 мл</t>
  </si>
  <si>
    <t>22827</t>
  </si>
  <si>
    <t>Чайник заварочный керам. Коралл 1000 мл Dream tea /12/</t>
  </si>
  <si>
    <t>22822</t>
  </si>
  <si>
    <t>Чайник заварочный керам. Коралл 1000 мл Lavender /24/</t>
  </si>
  <si>
    <t>22824</t>
  </si>
  <si>
    <t>Чайник заварочный керам. Коралл 1000 мл бело-коричневый Кофе /24/</t>
  </si>
  <si>
    <t>22890</t>
  </si>
  <si>
    <t>Чайник заварочный керам. Общепит Коралл 850 мл TP03</t>
  </si>
  <si>
    <t>22888</t>
  </si>
  <si>
    <t>Чайник заварочный керам. Риштанская кераммика 1000 мл желтый</t>
  </si>
  <si>
    <t>22813</t>
  </si>
  <si>
    <t>Чайник заварочный фарфор. Коралл 800 мл Букет 5568</t>
  </si>
  <si>
    <t>20091</t>
  </si>
  <si>
    <t>Чайный набор фарфор. Millimi 12 пр. Прованс 200 мл 821-612 /6/</t>
  </si>
  <si>
    <t>22838</t>
  </si>
  <si>
    <t>Чайный набор фарфор. Millimi 12 пр. Радуга 250 мл подароч. упаковка 801-100 /8/</t>
  </si>
  <si>
    <t>22009</t>
  </si>
  <si>
    <t>Чайный набор фарфор. Millimi 14 пр. Роскошь 802-001 /2/</t>
  </si>
  <si>
    <t>229-239 Скобяные изделия</t>
  </si>
  <si>
    <t>229 Петли рояльные</t>
  </si>
  <si>
    <t>22900</t>
  </si>
  <si>
    <t>Петля рояльная 1000 мм оцинк /20/</t>
  </si>
  <si>
    <t>23525</t>
  </si>
  <si>
    <t>Петля рояльная 545мм Могилев оксид. /20/</t>
  </si>
  <si>
    <t>22901</t>
  </si>
  <si>
    <t>Петля рояльная 545мм Могилев оцинк. /20/</t>
  </si>
  <si>
    <t>23528</t>
  </si>
  <si>
    <t>Петля рояльная 766мм Могилев оксид. /20/</t>
  </si>
  <si>
    <t>23543</t>
  </si>
  <si>
    <t>Петля рояльная 766мм Могилев оцинк. /20/</t>
  </si>
  <si>
    <t>23530</t>
  </si>
  <si>
    <t>Петля рояльная 788мм Могилев оксид. /20/</t>
  </si>
  <si>
    <t>23531</t>
  </si>
  <si>
    <t>Петля рояльная 788мм Могилев оцинк. /20/</t>
  </si>
  <si>
    <t>230 Крепежные элементы</t>
  </si>
  <si>
    <t>23015</t>
  </si>
  <si>
    <t>Планка крепежная Домарт 100*20 2шт хром /50/</t>
  </si>
  <si>
    <t>23014</t>
  </si>
  <si>
    <t>Планка крепежная Домарт 120*20 2шт хром /50/</t>
  </si>
  <si>
    <t>23013</t>
  </si>
  <si>
    <t>Планка крепежная Домарт 160*20 2шт хром /50/</t>
  </si>
  <si>
    <t>23012</t>
  </si>
  <si>
    <t>Планка крепежная Домарт 200*20 2шт хром /50/</t>
  </si>
  <si>
    <t>23006</t>
  </si>
  <si>
    <t>Планка крепежная Домарт 60*16 2шт хром /50/</t>
  </si>
  <si>
    <t>23007</t>
  </si>
  <si>
    <t>Планка крепежная Домарт 76*30 2шт хром /50/</t>
  </si>
  <si>
    <t>23009</t>
  </si>
  <si>
    <t>Планка крепежная Домарт 80*20 2шт хром /50/</t>
  </si>
  <si>
    <t>23010</t>
  </si>
  <si>
    <t>Планка крепежная Домарт 96*40 2шт хром /50/</t>
  </si>
  <si>
    <t>23005</t>
  </si>
  <si>
    <t>Уголок крепежный Домарт 50*50*40 2шт хром /50/</t>
  </si>
  <si>
    <t>231 Шпингалеты/завертки</t>
  </si>
  <si>
    <t>23181</t>
  </si>
  <si>
    <t>Задвижка Нытва накладная ШП-50 П бел. /250/</t>
  </si>
  <si>
    <t>23182</t>
  </si>
  <si>
    <t>Задвижка Нытва накладная ШП-50 цинк /400/</t>
  </si>
  <si>
    <t>23131</t>
  </si>
  <si>
    <t>Задвижка торцевая  FB-01-140G золото /20/</t>
  </si>
  <si>
    <t>23101</t>
  </si>
  <si>
    <t>Шпингалет 501-100 золото /20/</t>
  </si>
  <si>
    <t>23100</t>
  </si>
  <si>
    <t>Шпингалет 501-100 мат хром /20/</t>
  </si>
  <si>
    <t>23102</t>
  </si>
  <si>
    <t>Шпингалет 501-50 белый /20/</t>
  </si>
  <si>
    <t>23103</t>
  </si>
  <si>
    <t>Шпингалет 501-50 золото /20/</t>
  </si>
  <si>
    <t>23105</t>
  </si>
  <si>
    <t>Шпингалет 501-60 белый /20/</t>
  </si>
  <si>
    <t>23108</t>
  </si>
  <si>
    <t>Шпингалет 501-60 золото /20/</t>
  </si>
  <si>
    <t>23115</t>
  </si>
  <si>
    <t>Шпингалет 501-80 белый /20/</t>
  </si>
  <si>
    <t>23116</t>
  </si>
  <si>
    <t>Шпингалет 501-80 золото /20/</t>
  </si>
  <si>
    <t>23118</t>
  </si>
  <si>
    <t>Шпингалет 501-80 хром /20/</t>
  </si>
  <si>
    <t>232 Гвозди</t>
  </si>
  <si>
    <t>23240</t>
  </si>
  <si>
    <t>Гвозди 1 килограмм L- 16</t>
  </si>
  <si>
    <t>23220</t>
  </si>
  <si>
    <t>Гвозди 1 килограмм L- 40 тонкие д2</t>
  </si>
  <si>
    <t>23218</t>
  </si>
  <si>
    <t>Гвозди 1 килограмм L- 50</t>
  </si>
  <si>
    <t>23223</t>
  </si>
  <si>
    <t>Гвозди 1 килограмм L- 60</t>
  </si>
  <si>
    <t>23224</t>
  </si>
  <si>
    <t>Гвозди 1 килограмм L- 70</t>
  </si>
  <si>
    <t>232070</t>
  </si>
  <si>
    <t>Гвозди 1 килограмм L- 80</t>
  </si>
  <si>
    <t>23269</t>
  </si>
  <si>
    <t>Гвозди 1 килограмм L- 90</t>
  </si>
  <si>
    <t>23233</t>
  </si>
  <si>
    <t>Гвозди 1 килограмм L-150</t>
  </si>
  <si>
    <t>23215</t>
  </si>
  <si>
    <t>Гвозди L- 40 10кг</t>
  </si>
  <si>
    <t>23216</t>
  </si>
  <si>
    <t>Гвозди L- 50 25кг</t>
  </si>
  <si>
    <t>23205</t>
  </si>
  <si>
    <t>Гвозди L- 60 25кг</t>
  </si>
  <si>
    <t>23277</t>
  </si>
  <si>
    <t>Гвозди L- 60 5кг</t>
  </si>
  <si>
    <t>23227</t>
  </si>
  <si>
    <t>Гвозди L- 70 25кг</t>
  </si>
  <si>
    <t>23245</t>
  </si>
  <si>
    <t>Гвозди L- 80 5кг</t>
  </si>
  <si>
    <t>23228</t>
  </si>
  <si>
    <t>Гвозди L- 90 25кг</t>
  </si>
  <si>
    <t>23202</t>
  </si>
  <si>
    <t>Гвозди L-100 25кг</t>
  </si>
  <si>
    <t>23247</t>
  </si>
  <si>
    <t>Гвозди L-120 20кг</t>
  </si>
  <si>
    <t>23239</t>
  </si>
  <si>
    <t>Гвозди L-120 25кг</t>
  </si>
  <si>
    <t>23206</t>
  </si>
  <si>
    <t>Гвозди L-150 25кг</t>
  </si>
  <si>
    <t>23234</t>
  </si>
  <si>
    <t>Гвозди L-200 25кг</t>
  </si>
  <si>
    <t>23258</t>
  </si>
  <si>
    <t>Гвозди меб. 100 шт бронза</t>
  </si>
  <si>
    <t>23260</t>
  </si>
  <si>
    <t>Гвозди меб. 100 шт золото</t>
  </si>
  <si>
    <t>23297</t>
  </si>
  <si>
    <t>Гвозди меб. 100 шт малые белые /300/</t>
  </si>
  <si>
    <t>23276</t>
  </si>
  <si>
    <t>Гвозди меб. 100 шт медь /100/</t>
  </si>
  <si>
    <t>23275</t>
  </si>
  <si>
    <t>Гвозди меб. 100 шт хром /100/</t>
  </si>
  <si>
    <t>23203</t>
  </si>
  <si>
    <t>Гвозди меб.1,5*20 латунь 14 шт /100/</t>
  </si>
  <si>
    <t>23221</t>
  </si>
  <si>
    <t>Гвозди меб.усиленные 100 гр 167 шт бронза 639-060</t>
  </si>
  <si>
    <t>23238</t>
  </si>
  <si>
    <t>Гвозди меб.усиленные 100 гр 167 шт медь 639-062</t>
  </si>
  <si>
    <t>23271</t>
  </si>
  <si>
    <t>Гвозди шиферные L-120 10кг</t>
  </si>
  <si>
    <t>233 Засовы дверные/гаражные</t>
  </si>
  <si>
    <t>23353</t>
  </si>
  <si>
    <t>Засов гаражные КГ2009 КМЦ корич.металлик с ц</t>
  </si>
  <si>
    <t>23283</t>
  </si>
  <si>
    <t>Засов гаражный автоматический 210мм никель П</t>
  </si>
  <si>
    <t>23282</t>
  </si>
  <si>
    <t>Засов гаражный автоматический 210мм серебро П</t>
  </si>
  <si>
    <t>23286</t>
  </si>
  <si>
    <t>Засов гаражный автоматический 500мм никель серебро П</t>
  </si>
  <si>
    <t>23361</t>
  </si>
  <si>
    <t>Засов гаражный Домарт ЗГ-200 б/п /10/</t>
  </si>
  <si>
    <t>23437</t>
  </si>
  <si>
    <t>Засов гаражный Домарт ЗГ-400 б/п /10/</t>
  </si>
  <si>
    <t>23455</t>
  </si>
  <si>
    <t>Засов гаражный Домарт ЗГ-400 мод.2 б/п /5/</t>
  </si>
  <si>
    <t>23314</t>
  </si>
  <si>
    <t>Засов гаражный Домарт ЗГ-400 мод.2 черный /5/</t>
  </si>
  <si>
    <t>23472</t>
  </si>
  <si>
    <t>Засов гаражный с проушиной Домарт 300мм черный /5/</t>
  </si>
  <si>
    <t>23395</t>
  </si>
  <si>
    <t>Засов гаражный с пружиной Домарт 600мм черный</t>
  </si>
  <si>
    <t>23458</t>
  </si>
  <si>
    <t>Засов гаражный с пружиной Домарт ЗСП-400 мод.2 (б/п) /5/</t>
  </si>
  <si>
    <t>23339</t>
  </si>
  <si>
    <t>Засов гаражный с пружиной Домарт ЗСП-400 мод.4 (б/п) /5/</t>
  </si>
  <si>
    <t>23399</t>
  </si>
  <si>
    <t>Засов гаражный с пружиной Домарт ЗСП-500 мод.2 (б/п) /5/</t>
  </si>
  <si>
    <t>23352</t>
  </si>
  <si>
    <t>Засов гаражный с пружиной Домарт ЗСП-500 мод.4 (б/п) /5/</t>
  </si>
  <si>
    <t>23342</t>
  </si>
  <si>
    <t>Засов гаражный с пружиной Домарт ЗСП-600 мод.2 (б/п) /5/</t>
  </si>
  <si>
    <t>23338</t>
  </si>
  <si>
    <t>Засов гаражный с пружиной Домарт ЗСП-600 мод.3 (б/п) /5/</t>
  </si>
  <si>
    <t>23337</t>
  </si>
  <si>
    <t>Засов гаражный с пружиной Домарт ЗСП-600 мод.4 (б/п) /5/</t>
  </si>
  <si>
    <t>23351</t>
  </si>
  <si>
    <t>Засов дверной Боровичи ЗЩ018 врезной L-77мм</t>
  </si>
  <si>
    <t>23434</t>
  </si>
  <si>
    <t>Засов дверной Боровичи ЗЩ09 врезной L-112мм</t>
  </si>
  <si>
    <t>23370</t>
  </si>
  <si>
    <t>Засов дверной Домарт ЗД-100 белый /10/</t>
  </si>
  <si>
    <t>23371</t>
  </si>
  <si>
    <t>Засов дверной Домарт ЗД-100 бронза антик /10/</t>
  </si>
  <si>
    <t>23372</t>
  </si>
  <si>
    <t>Засов дверной Домарт ЗД-100 медь антик /10/</t>
  </si>
  <si>
    <t>23363</t>
  </si>
  <si>
    <t>Засов дверной Домарт ЗД-170 б/п /10/</t>
  </si>
  <si>
    <t>23364</t>
  </si>
  <si>
    <t>Засов дверной Домарт ЗД-170 черный /10/</t>
  </si>
  <si>
    <t>23433</t>
  </si>
  <si>
    <t>Засов дверной Домарт ЗД-300 б/п /5/</t>
  </si>
  <si>
    <t>23310</t>
  </si>
  <si>
    <t>Засов дверной Домарт ЗД-300 черный/5/</t>
  </si>
  <si>
    <t>23365</t>
  </si>
  <si>
    <t>Засов дверной Домарт ЗД-60 белый /30/</t>
  </si>
  <si>
    <t>23368</t>
  </si>
  <si>
    <t>Засов дверной Домарт ЗД-80 белый /10/</t>
  </si>
  <si>
    <t>23369</t>
  </si>
  <si>
    <t>Засов дверной Домарт ЗД-80 медь антик /10/</t>
  </si>
  <si>
    <t>23585</t>
  </si>
  <si>
    <t>Засов дверной фигурный Домарт ЗДФ-100 медь антик /10/</t>
  </si>
  <si>
    <t>23336</t>
  </si>
  <si>
    <t>Засов дверной фигурный Домарт ЗДФ-60  черный /10/</t>
  </si>
  <si>
    <t>23546</t>
  </si>
  <si>
    <t>Засов дверной фигурный Домарт ЗДФ-60 белый антик /10/</t>
  </si>
  <si>
    <t>23556</t>
  </si>
  <si>
    <t>Засов дверной фигурный Домарт ЗДФ-60 медь антик /10/</t>
  </si>
  <si>
    <t>23552</t>
  </si>
  <si>
    <t>Засов дверной фигурный Домарт ЗДФ-80 белый антик /10/</t>
  </si>
  <si>
    <t>23580</t>
  </si>
  <si>
    <t>Засов дверной фигурный Домарт ЗДФ-80 хром /10/</t>
  </si>
  <si>
    <t>23300</t>
  </si>
  <si>
    <t>Засов Делга врезной круглый /35/</t>
  </si>
  <si>
    <t>23468</t>
  </si>
  <si>
    <t>Засов Делга врезной медь /40/</t>
  </si>
  <si>
    <t>23343</t>
  </si>
  <si>
    <t>Засов Делга врезной плоский /25/</t>
  </si>
  <si>
    <t>23334</t>
  </si>
  <si>
    <t>Засов Делга гаражный медь /20/</t>
  </si>
  <si>
    <t>23462</t>
  </si>
  <si>
    <t>Засов Делга дверной круглый оригинальн. /40/</t>
  </si>
  <si>
    <t>23312</t>
  </si>
  <si>
    <t>Засов Делга круглый с проушиной /25/</t>
  </si>
  <si>
    <t>23302</t>
  </si>
  <si>
    <t>Засов Делга круглый универсальный /40/</t>
  </si>
  <si>
    <t>23340</t>
  </si>
  <si>
    <t>Засов Делга с проушиной /30/</t>
  </si>
  <si>
    <t>23359</t>
  </si>
  <si>
    <t>Засов Домарт Добрыня 300 мм б/п</t>
  </si>
  <si>
    <t>23358</t>
  </si>
  <si>
    <t>Засов Домарт Добрыня 300 мм мод.2 б/п</t>
  </si>
  <si>
    <t>23355</t>
  </si>
  <si>
    <t>Засов Домарт Добрыня 450 мм мод.2 с пружиной б/п</t>
  </si>
  <si>
    <t>23307</t>
  </si>
  <si>
    <t>Засов малый 3-016 ЛЗ под золото 4-039 ЛЗ</t>
  </si>
  <si>
    <t>23454</t>
  </si>
  <si>
    <t>Засов малый 3-016 НБ никель блестящий 4-039 НБ</t>
  </si>
  <si>
    <t>23346</t>
  </si>
  <si>
    <t>Засов плоский с проушиной Домарт ЗПП-350 б/п</t>
  </si>
  <si>
    <t>23383</t>
  </si>
  <si>
    <t>Засов плоский с проушиной Домарт ЗПП-350 медный антик /10/</t>
  </si>
  <si>
    <t>23329</t>
  </si>
  <si>
    <t>Засов плоский с проушиной Домарт ЗПП-350 мод 2 б/п</t>
  </si>
  <si>
    <t>23385</t>
  </si>
  <si>
    <t>Засов плоский с проушиной Домарт ЗПП-350 мод 2 бронза антик</t>
  </si>
  <si>
    <t>23386</t>
  </si>
  <si>
    <t>Засов плоский с проушиной Домарт ЗПП-350 мод 2 черный /10/</t>
  </si>
  <si>
    <t>23467</t>
  </si>
  <si>
    <t>Засов с цепочкой мод.2009 КМН коричневый металик с никелем 4-037 КМН</t>
  </si>
  <si>
    <t>23306</t>
  </si>
  <si>
    <t>Засов с цепочкой мод.2009 ЛЗ под золото 4-037 ЛЗ</t>
  </si>
  <si>
    <t>23333</t>
  </si>
  <si>
    <t>Засов универсальный Домарт ЗУ-250 с накладкой черный /10/</t>
  </si>
  <si>
    <t>23498</t>
  </si>
  <si>
    <t>Засов универсальный Домарт ЗУ-300 б/п /5/</t>
  </si>
  <si>
    <t>23499</t>
  </si>
  <si>
    <t>Засов универсальный Домарт ЗУ-400 мод2 б/п /5/</t>
  </si>
  <si>
    <t>23317</t>
  </si>
  <si>
    <t>Засов универсальный Домарт ЗУ-400 мод2 черный /5/</t>
  </si>
  <si>
    <t>23319</t>
  </si>
  <si>
    <t>Засов универсальный фигурный Домарт ЗУФ-300 б/п /5/</t>
  </si>
  <si>
    <t>23325</t>
  </si>
  <si>
    <t>Засов универсальный фигурный Домарт ЗУФ-300 с накладкой б/п /5/</t>
  </si>
  <si>
    <t>23326</t>
  </si>
  <si>
    <t>Засов универсальный фигурный Домарт ЗУФ-300 с накладкой черный /5/</t>
  </si>
  <si>
    <t>23354</t>
  </si>
  <si>
    <t>Засовы гаражные комлект КГЗ-018 КМЦ корич.металлик с ц</t>
  </si>
  <si>
    <t>234 Задвижки</t>
  </si>
  <si>
    <t>23409</t>
  </si>
  <si>
    <t>Задвижка дверная большая ЗД-300 №1 медь /10/</t>
  </si>
  <si>
    <t>23494</t>
  </si>
  <si>
    <t>Задвижка дверная большая ЗД-300 №1 черный глянец /10/</t>
  </si>
  <si>
    <t>23411</t>
  </si>
  <si>
    <t>Задвижка дверная Секрет ЗД-01 бронза /20/</t>
  </si>
  <si>
    <t>23413</t>
  </si>
  <si>
    <t>Задвижка дверная Секрет ЗД-02 бронза прям.ригель /20/</t>
  </si>
  <si>
    <t>23110</t>
  </si>
  <si>
    <t>Задвижка дверная Секрет ЗД-03 антик бронза гаражная /20/</t>
  </si>
  <si>
    <t>23417</t>
  </si>
  <si>
    <t>Задвижка дверная Секрет ЗД-04 с проушиной бронза/20/</t>
  </si>
  <si>
    <t>23421</t>
  </si>
  <si>
    <t>Задвижка дверная Секрет ЗД-05 бронза /25/</t>
  </si>
  <si>
    <t>23422</t>
  </si>
  <si>
    <t>Задвижка дверная Секрет ЗД-06 квадратный ригель бронза /20/</t>
  </si>
  <si>
    <t>23418</t>
  </si>
  <si>
    <t>Задвижка дверная Секрет ЗД-07 бронза /100/</t>
  </si>
  <si>
    <t>23443</t>
  </si>
  <si>
    <t>Задвижка дверная Секрет ЗД-08 *120 гаражная под сварку гнутый риг. /30/</t>
  </si>
  <si>
    <t>23137</t>
  </si>
  <si>
    <t>Задвижка дверная Секрет ЗД-08 *180 гаражная под сварку гнутый риг. /20/</t>
  </si>
  <si>
    <t>23451</t>
  </si>
  <si>
    <t>Задвижка дверная Секрет ЗД-09 гаражная под сварку гнутый риг. с тягой /20/</t>
  </si>
  <si>
    <t>23167</t>
  </si>
  <si>
    <t>Задвижка дверная Секрет ЗД-10 *120 круглый ригель с тягой /25/</t>
  </si>
  <si>
    <t>23124</t>
  </si>
  <si>
    <t>Задвижка дверная Секрет ЗД-10 *180 круглый ригель с тягой /20/</t>
  </si>
  <si>
    <t>23446</t>
  </si>
  <si>
    <t>Задвижка дверная Секрет ЗД-11 прямой ригель с тягой /16/</t>
  </si>
  <si>
    <t>23448</t>
  </si>
  <si>
    <t>Задвижка дверная Секрет ЗД-12 под проушину /25/</t>
  </si>
  <si>
    <t>23449</t>
  </si>
  <si>
    <t>Задвижка дверная Секрет ЗД-13 с проушиной под замок /25/</t>
  </si>
  <si>
    <t>23453</t>
  </si>
  <si>
    <t>Задвижка дверная Секрет ЗД-14 с проушиной под замок /25/</t>
  </si>
  <si>
    <t>23430</t>
  </si>
  <si>
    <t>Задвижка круглая Д20 мм с ответной частью (с151) цинк</t>
  </si>
  <si>
    <t>235 Петли гаражные</t>
  </si>
  <si>
    <t>23520</t>
  </si>
  <si>
    <t>Петля гаражная Д-14*90 /100/</t>
  </si>
  <si>
    <t>23500</t>
  </si>
  <si>
    <t>Петля гаражная Д-16*120 /70/</t>
  </si>
  <si>
    <t>23502</t>
  </si>
  <si>
    <t>Петля гаражная Д-18*120 /54/</t>
  </si>
  <si>
    <t>23503</t>
  </si>
  <si>
    <t>Петля гаражная Д-20*120 /48/</t>
  </si>
  <si>
    <t>23504</t>
  </si>
  <si>
    <t>Петля гаражная Д-22*120 /34/</t>
  </si>
  <si>
    <t>23506</t>
  </si>
  <si>
    <t>Петля гаражная Д-25*120 /30/</t>
  </si>
  <si>
    <t>23507</t>
  </si>
  <si>
    <t>Петля гаражная Д-28*120 /24/</t>
  </si>
  <si>
    <t>23533</t>
  </si>
  <si>
    <t>Петля гаражная Д-30*140 /20/</t>
  </si>
  <si>
    <t>23523</t>
  </si>
  <si>
    <t>Петля гаражная Д-30*140 /Ш/</t>
  </si>
  <si>
    <t>23596</t>
  </si>
  <si>
    <t>Петля гаражная Д-30*140 с тавотницей  П</t>
  </si>
  <si>
    <t>23510</t>
  </si>
  <si>
    <t>Петля гаражная Д-32*140 /16/</t>
  </si>
  <si>
    <t>23512</t>
  </si>
  <si>
    <t>Петля гаражная Д-36*140 /12/</t>
  </si>
  <si>
    <t>23515</t>
  </si>
  <si>
    <t>Петля гаражная Д-40*140 /10/</t>
  </si>
  <si>
    <t>23578</t>
  </si>
  <si>
    <t>Петля гаражная Д-42*140 /16/</t>
  </si>
  <si>
    <t>23519</t>
  </si>
  <si>
    <t>Петля гаражная Д-45*180 /10/</t>
  </si>
  <si>
    <t>23567</t>
  </si>
  <si>
    <t>Петля гаражная запрессованный шарик Д-16*100 /100/</t>
  </si>
  <si>
    <t>23576</t>
  </si>
  <si>
    <t>Петля гаражная запрессованный шарик Д-18*120 /74/</t>
  </si>
  <si>
    <t>23566</t>
  </si>
  <si>
    <t>Петля гаражная запрессованный шарик Д-20*120 /50/</t>
  </si>
  <si>
    <t>23594</t>
  </si>
  <si>
    <t>Петля гаражная запрессованный шарик Д-22*120 /24/</t>
  </si>
  <si>
    <t>23544</t>
  </si>
  <si>
    <t>Петля гаражная запрессованный шарик Д-25*120 /34/</t>
  </si>
  <si>
    <t>23509</t>
  </si>
  <si>
    <t>Петля гаражная запрессованный шарик Д-28*120 /28/</t>
  </si>
  <si>
    <t>23562</t>
  </si>
  <si>
    <t>Петля гаражная запрессованный шарик Д-30*140 /18/</t>
  </si>
  <si>
    <t>23574</t>
  </si>
  <si>
    <t>Петля гаражная запрессованный шарик Д-32*140 /18/</t>
  </si>
  <si>
    <t>23560</t>
  </si>
  <si>
    <t>Петля гаражная запрессованный шарик Д-34*140 /16/</t>
  </si>
  <si>
    <t>23514</t>
  </si>
  <si>
    <t>Петля гаражная запрессованный шарик Д-36*140 /14/</t>
  </si>
  <si>
    <t>23536</t>
  </si>
  <si>
    <t>Петля гаражная запрессованный шарик Д-38*140 /14/</t>
  </si>
  <si>
    <t>23541</t>
  </si>
  <si>
    <t>Петля гаражная запрессованный шарик Д-40*140 /10/</t>
  </si>
  <si>
    <t>23589</t>
  </si>
  <si>
    <t>Петля гаражная запрессованный шарик с масленкой Д-25*140 /34/</t>
  </si>
  <si>
    <t>23553</t>
  </si>
  <si>
    <t>Петля гаражная запрессованный шарик с масленкой Д-30*140 /18/</t>
  </si>
  <si>
    <t>23508</t>
  </si>
  <si>
    <t>Петля гаражная запрессованный шарик с масленкой Д-40*140 /10/</t>
  </si>
  <si>
    <t>23591</t>
  </si>
  <si>
    <t>Петля гаражная каплевидная с подшипником Д-20*160 /10/60/</t>
  </si>
  <si>
    <t>23522</t>
  </si>
  <si>
    <t>Петля гаражная каплевидная с подшипником Д-25*180 /8/32/</t>
  </si>
  <si>
    <t>236 Петли стрелы</t>
  </si>
  <si>
    <t>23711</t>
  </si>
  <si>
    <t>Навес для калитки (малый) (С)</t>
  </si>
  <si>
    <t>23765</t>
  </si>
  <si>
    <t>Навес для калитки (С)</t>
  </si>
  <si>
    <t>23658</t>
  </si>
  <si>
    <t>Петля стрела L=286 /50/</t>
  </si>
  <si>
    <t>23615</t>
  </si>
  <si>
    <t>Петля стрела L=286 оцинкованная /50/</t>
  </si>
  <si>
    <t>23535</t>
  </si>
  <si>
    <t>Петля стрела L=331 /40/</t>
  </si>
  <si>
    <t>23537</t>
  </si>
  <si>
    <t>Петля стрела L=361 /40/</t>
  </si>
  <si>
    <t>23966</t>
  </si>
  <si>
    <t>Петля стрела L=380 декоративная /П/</t>
  </si>
  <si>
    <t>23538</t>
  </si>
  <si>
    <t>Петля стрела L=381 /80/</t>
  </si>
  <si>
    <t>23676</t>
  </si>
  <si>
    <t>Петля стрела L=400 декоративная /П/</t>
  </si>
  <si>
    <t>23646</t>
  </si>
  <si>
    <t>Петля стрела ПС 200 3 мм /20/</t>
  </si>
  <si>
    <t>23622</t>
  </si>
  <si>
    <t>Петля стрела ПС 300 3 мм /20/</t>
  </si>
  <si>
    <t>23647</t>
  </si>
  <si>
    <t>Петля стрела ПС 350 4 мм /10/</t>
  </si>
  <si>
    <t>23607</t>
  </si>
  <si>
    <t>Петля стрела ПС 400 4 мм /10/</t>
  </si>
  <si>
    <t>23675</t>
  </si>
  <si>
    <t>Петля стрела ПС 500 4 мм /10/</t>
  </si>
  <si>
    <t>23617</t>
  </si>
  <si>
    <t>Петля стрела ПС 600 4 мм /10/</t>
  </si>
  <si>
    <t>23630</t>
  </si>
  <si>
    <t>Петля стрела усиленная L=315 6мм /4/</t>
  </si>
  <si>
    <t>23661</t>
  </si>
  <si>
    <t>Петля стрела усиленная L=450 6мм /4/</t>
  </si>
  <si>
    <t>23631</t>
  </si>
  <si>
    <t>Петля стрела усиленная L=750 6мм /4/</t>
  </si>
  <si>
    <t>23627</t>
  </si>
  <si>
    <t>Петля стрела фигурн. ПС 350 -Фр-2,0-53 черн</t>
  </si>
  <si>
    <t>23603</t>
  </si>
  <si>
    <t>Петля-стрела Домарт ПС-200 белый антик /10/</t>
  </si>
  <si>
    <t>23688</t>
  </si>
  <si>
    <t>Петля-стрела Домарт ПС-250 б/п /10/</t>
  </si>
  <si>
    <t>23609</t>
  </si>
  <si>
    <t>Петля-стрела Домарт ПС-250 белый антик</t>
  </si>
  <si>
    <t>23612</t>
  </si>
  <si>
    <t>Петля-стрела Домарт ПС-250 бронза антик</t>
  </si>
  <si>
    <t>23619</t>
  </si>
  <si>
    <t>Петля-стрела Домарт ПС-250 медь антик</t>
  </si>
  <si>
    <t>23689</t>
  </si>
  <si>
    <t>Петля-стрела Домарт ПС-250 черный /10/</t>
  </si>
  <si>
    <t>23690</t>
  </si>
  <si>
    <t>Петля-стрела Домарт ПС-300 б/п /10/</t>
  </si>
  <si>
    <t>23621</t>
  </si>
  <si>
    <t>Петля-стрела Домарт ПС-300 белый антик</t>
  </si>
  <si>
    <t>23691</t>
  </si>
  <si>
    <t>Петля-стрела Домарт ПС-300 черный /10/</t>
  </si>
  <si>
    <t>23628</t>
  </si>
  <si>
    <t>Петля-стрела Домарт ПС-350 белый антик</t>
  </si>
  <si>
    <t>23629</t>
  </si>
  <si>
    <t>Петля-стрела Домарт ПС-350 бронза антик</t>
  </si>
  <si>
    <t>23634</t>
  </si>
  <si>
    <t>Петля-стрела Домарт ПС-350 медь антик</t>
  </si>
  <si>
    <t>23693</t>
  </si>
  <si>
    <t>Петля-стрела Домарт ПС-350 черный /10/</t>
  </si>
  <si>
    <t>23640</t>
  </si>
  <si>
    <t>Петля-стрела Домарт ПС-400 белый антик</t>
  </si>
  <si>
    <t>23642</t>
  </si>
  <si>
    <t>Петля-стрела Домарт ПС-400 бронза антик</t>
  </si>
  <si>
    <t>23643</t>
  </si>
  <si>
    <t>Петля-стрела Домарт ПС-400 медь антик</t>
  </si>
  <si>
    <t>23653</t>
  </si>
  <si>
    <t>Петля-стрела Домарт ПС-450 белый антик</t>
  </si>
  <si>
    <t>23657</t>
  </si>
  <si>
    <t>Петля-стрела Домарт ПС-450 бронза антик</t>
  </si>
  <si>
    <t>23659</t>
  </si>
  <si>
    <t>Петля-стрела Домарт ПС-450 медь антик</t>
  </si>
  <si>
    <t>23601</t>
  </si>
  <si>
    <t>Петля-стрела Домарт ПС-500 б/п /10/</t>
  </si>
  <si>
    <t>23602</t>
  </si>
  <si>
    <t>Петля-стрела Домарт ПС-550 б/п /10/</t>
  </si>
  <si>
    <t>23599</t>
  </si>
  <si>
    <t>Петля-стрела Домарт ПС-600 б/п /10/</t>
  </si>
  <si>
    <t>23641</t>
  </si>
  <si>
    <t>Петля-стрела Домарт ПС-700 б/п /10/</t>
  </si>
  <si>
    <t>23654</t>
  </si>
  <si>
    <t>Петля-стрела Домарт усиленная ПСУ-200 б/п /10/</t>
  </si>
  <si>
    <t>23672</t>
  </si>
  <si>
    <t>Петля-стрела Домарт усиленная ПСУ-200 бронза антик /10/</t>
  </si>
  <si>
    <t>23625</t>
  </si>
  <si>
    <t>Петля-стрела Домарт усиленная ПСУ-200 медь антик /10/</t>
  </si>
  <si>
    <t>23616</t>
  </si>
  <si>
    <t>Петля-стрела Домарт усиленная ПСУ-200 черный /10/</t>
  </si>
  <si>
    <t>23651</t>
  </si>
  <si>
    <t>Петля-стрела Домарт усиленная ПСУ-300 б/п /10/</t>
  </si>
  <si>
    <t>23626</t>
  </si>
  <si>
    <t>Петля-стрела Домарт усиленная ПСУ-300 бронза антик /10/</t>
  </si>
  <si>
    <t>23637</t>
  </si>
  <si>
    <t>Петля-стрела Домарт усиленная ПСУ-300 медь антик /10/</t>
  </si>
  <si>
    <t>23670</t>
  </si>
  <si>
    <t>Петля-стрела Домарт усиленная ПСУ-400 б/п /10/</t>
  </si>
  <si>
    <t>23605</t>
  </si>
  <si>
    <t>Петля-стрела Домарт усиленная ПСУ-500 б/п /10/</t>
  </si>
  <si>
    <t>23671</t>
  </si>
  <si>
    <t>Петля-стрела Домарт усиленная ПСУ-600 черный /10/</t>
  </si>
  <si>
    <t>23669</t>
  </si>
  <si>
    <t>Петля-стрела Домарт усиленная ПСУ-700 б/п /10/</t>
  </si>
  <si>
    <t>23598</t>
  </si>
  <si>
    <t>Петля-стрела Домарт усиленная ПСУ-700 черный /10/</t>
  </si>
  <si>
    <t>23733</t>
  </si>
  <si>
    <t>Петля-стрела фигурная декаротивная двойная /Г/</t>
  </si>
  <si>
    <t>23685</t>
  </si>
  <si>
    <t>Петля-стрела фигурная Домарт ПС-200 бронза антик /10/</t>
  </si>
  <si>
    <t>23648</t>
  </si>
  <si>
    <t>Петля-стрела фигурная Домарт ПС-200 мод.4 бронза антик /10/</t>
  </si>
  <si>
    <t>23655</t>
  </si>
  <si>
    <t>Петля-стрела фигурная Домарт ПС-200 мод.4 медь антик /10/</t>
  </si>
  <si>
    <t>23666</t>
  </si>
  <si>
    <t>Петля-стрела фигурная Домарт ПС-200 мод.4 черный /10/</t>
  </si>
  <si>
    <t>23695</t>
  </si>
  <si>
    <t>Петля-стрела фигурная Домарт ПС-250 бронза антик /10/</t>
  </si>
  <si>
    <t>23697</t>
  </si>
  <si>
    <t>Петля-стрела фигурная сьемная Домарт ПС-200 левая медь антик /10/</t>
  </si>
  <si>
    <t>23698</t>
  </si>
  <si>
    <t>Петля-стрела фигурная сьемная Домарт ПС-200 правая медь антик /10/</t>
  </si>
  <si>
    <t>23699</t>
  </si>
  <si>
    <t>Петля-стрела фигурная сьемная Домарт ПС-250 левая медь антик /10/</t>
  </si>
  <si>
    <t>30076</t>
  </si>
  <si>
    <t>Петля-стрела фигурная сьемная Домарт ПС-250 правая медь антик /10/</t>
  </si>
  <si>
    <t>237 Петли дверные</t>
  </si>
  <si>
    <t>23718</t>
  </si>
  <si>
    <t>Петля 73*38*1 мм золото пара 639-059 /10/</t>
  </si>
  <si>
    <t>23716</t>
  </si>
  <si>
    <t>Петля Koral без врезки 100*75*2,5 хром золото метал. 639-058</t>
  </si>
  <si>
    <t>23636</t>
  </si>
  <si>
    <t>Петля Koral без врезки 4*3*2,5 мат. графит. (100*75*2,5) пара 620-180</t>
  </si>
  <si>
    <t>23649</t>
  </si>
  <si>
    <t>Петля Koral без врезки 4*3*2,5 хром. (100*75*2,5) 620-021</t>
  </si>
  <si>
    <t>23719</t>
  </si>
  <si>
    <t>Петля без врезки 4 х 3,0 х 2,2 золото 673-058 /100/</t>
  </si>
  <si>
    <t>23721</t>
  </si>
  <si>
    <t>Петля без врезки 4 х 3,0 х 2,2 хром 673-059 /100/</t>
  </si>
  <si>
    <t>23736</t>
  </si>
  <si>
    <t>Петля без врезки Alpuso 4" 100 х 75 х 2,5 2ВВ G золото пара</t>
  </si>
  <si>
    <t>23723</t>
  </si>
  <si>
    <t>Петля без врезки Alpuso 4" 100 х 75 х 2,5 2ВВ АВ бронза пара</t>
  </si>
  <si>
    <t>15086</t>
  </si>
  <si>
    <t>Петля без врезки Антал 4" 100*63*2 AC медь пара /100/</t>
  </si>
  <si>
    <t>15084</t>
  </si>
  <si>
    <t>Петля без врезки Антал 4" 100*63*2 SN мат.хром пара</t>
  </si>
  <si>
    <t>23782</t>
  </si>
  <si>
    <t>Петля без врезки ПБ-100 белый /50/</t>
  </si>
  <si>
    <t>23795</t>
  </si>
  <si>
    <t>Петля без врезки ПБ-100 золото /100/</t>
  </si>
  <si>
    <t>23737</t>
  </si>
  <si>
    <t>Петля без врезки ПБ-100 цинк /50/</t>
  </si>
  <si>
    <t>23746</t>
  </si>
  <si>
    <t>Петля без врезки ПБВ 100*75*2,5 BL черн.мат. с подшипником пара /100/</t>
  </si>
  <si>
    <t>23748</t>
  </si>
  <si>
    <t>Петля без врезки ПБВ 100*75*2,5 BN черн. никель с подшипником пара /100/</t>
  </si>
  <si>
    <t>23756</t>
  </si>
  <si>
    <t>Петля без врезки ПБВ 100*75*2,5 GP золото с подшипником пара /100/</t>
  </si>
  <si>
    <t>23796</t>
  </si>
  <si>
    <t>Петля без врезки ПБВ 100*75*2,5 SB мат золото с подшипником пара /100/</t>
  </si>
  <si>
    <t>23758</t>
  </si>
  <si>
    <t>Петля без врезки ПБВ 100*75*2,5 SN мат хром с подшипником пара /100/</t>
  </si>
  <si>
    <t>23757</t>
  </si>
  <si>
    <t>Петля без врезки ПБВ 100*75*2,5 АВ бронза с подшипником пара /100/</t>
  </si>
  <si>
    <t>23759</t>
  </si>
  <si>
    <t>Петля без врезки ПБВ 100*75*2,5 АС медь с подшипником пара /50/</t>
  </si>
  <si>
    <t>23750</t>
  </si>
  <si>
    <t>Петля без врезки ПБВ 100*75*2,5 СF матовый золотистый кофе с подшипником пара /100/</t>
  </si>
  <si>
    <t>23753</t>
  </si>
  <si>
    <t>Петля без врезки ПБВ 100*75*2,5 СFВ светлый золотистый кофе с подшипником пара /100/</t>
  </si>
  <si>
    <t>23793</t>
  </si>
  <si>
    <t>Петля без врезки ПБВ 100*75*2,5 СР хром с подшипником пара /100/</t>
  </si>
  <si>
    <t>23799</t>
  </si>
  <si>
    <t>Петля ввертная ПВв-1 д8 1-845.Б белая</t>
  </si>
  <si>
    <t>23735</t>
  </si>
  <si>
    <t>Петля ввертная ПВв-1 д8 1-845.ЦБ цинк белый</t>
  </si>
  <si>
    <t>23762</t>
  </si>
  <si>
    <t>Петля метро KL-100 мм CP хром</t>
  </si>
  <si>
    <t>23760</t>
  </si>
  <si>
    <t>Петля метро KL-120 мм CP хром</t>
  </si>
  <si>
    <t>23764</t>
  </si>
  <si>
    <t>Петля метро KL-80 мм PB золото</t>
  </si>
  <si>
    <t>23705</t>
  </si>
  <si>
    <t>Петля накл.пн1-130 оксид Л /100/</t>
  </si>
  <si>
    <t>23725</t>
  </si>
  <si>
    <t>Петля накладная Домарт ПН-120 ф.з. 2,5 бел. лев. /50/</t>
  </si>
  <si>
    <t>23700</t>
  </si>
  <si>
    <t>Петля накладная Домарт ПН-120 ф.з. 2,5 бел. прав. /50/</t>
  </si>
  <si>
    <t>23752</t>
  </si>
  <si>
    <t>Петля накладная ПД-150Б белая пр.уг.б/противовеса  пов. над.1-815.Б</t>
  </si>
  <si>
    <t>23755</t>
  </si>
  <si>
    <t>Петля накладная ПД-150КМ коричнев.мет. пр.уг.с против.пов.над.1-814.КМ</t>
  </si>
  <si>
    <t>23702</t>
  </si>
  <si>
    <t>Петля накладная пн1- 85 Киров окс. Л /250/</t>
  </si>
  <si>
    <t>23727</t>
  </si>
  <si>
    <t>Петля накладная ПН5-60 белая /150/</t>
  </si>
  <si>
    <t>23761</t>
  </si>
  <si>
    <t>Петля накладная ПН5-60 цинк /150/</t>
  </si>
  <si>
    <t>23797</t>
  </si>
  <si>
    <t>Петля пятниковая разборная</t>
  </si>
  <si>
    <t>23701</t>
  </si>
  <si>
    <t>Петля фигурная Домарт 130*140 бронза антик /30/</t>
  </si>
  <si>
    <t>23597</t>
  </si>
  <si>
    <t>Петля фигурная Домарт 130*140 медь антик /30/</t>
  </si>
  <si>
    <t>23731</t>
  </si>
  <si>
    <t>Петля фигурная Домарт 230*130 медный антик</t>
  </si>
  <si>
    <t>23720</t>
  </si>
  <si>
    <t>Петля фигурная Домарт 90*260 левая черный</t>
  </si>
  <si>
    <t>23749</t>
  </si>
  <si>
    <t>Петля фигурная Домарт 90*260 правая черный</t>
  </si>
  <si>
    <t>238 Проушины/пружины/накладки дверные</t>
  </si>
  <si>
    <t>23804</t>
  </si>
  <si>
    <t>Накладка дверная НД-140 черный /50/</t>
  </si>
  <si>
    <t>23899</t>
  </si>
  <si>
    <t>Накладка дверная НД-223 хром /50/</t>
  </si>
  <si>
    <t>23873</t>
  </si>
  <si>
    <t>Пластина L 100 цинк Нытва /700/</t>
  </si>
  <si>
    <t>23815</t>
  </si>
  <si>
    <t>Пластина L 40 цинк Нытва /2500/</t>
  </si>
  <si>
    <t>23840</t>
  </si>
  <si>
    <t>Пластина L 60 цинк Нытва /2000/</t>
  </si>
  <si>
    <t>23847</t>
  </si>
  <si>
    <t>Пластина L 80 цинк Нытва /800/</t>
  </si>
  <si>
    <t>28801</t>
  </si>
  <si>
    <t>Проушина 28*77 (105*40*3) Г-обр-я /150/</t>
  </si>
  <si>
    <t>23677</t>
  </si>
  <si>
    <t>Проушина 56*77 (133*40/3) Г-обр-я белый цинк /150/</t>
  </si>
  <si>
    <t>23807</t>
  </si>
  <si>
    <t>Проушина 70*30 (35*30*2) гнутая белый цинк /200/</t>
  </si>
  <si>
    <t>23881</t>
  </si>
  <si>
    <t>Проушина 75*40 (35*40*2) гнутая белый цинк /150/</t>
  </si>
  <si>
    <t>23837</t>
  </si>
  <si>
    <t>Проушина воротная Домарт 350*45*40 толщ.5 мм б/п</t>
  </si>
  <si>
    <t>23839</t>
  </si>
  <si>
    <t>Проушина воротная Домарт 350*45*40 толщ.5 мм черная</t>
  </si>
  <si>
    <t>23896</t>
  </si>
  <si>
    <t>Проушина гаражная 50*450 мм /10/</t>
  </si>
  <si>
    <t>23819</t>
  </si>
  <si>
    <t>Проушина Домарт гаражная 50*150 бронза антик /10/</t>
  </si>
  <si>
    <t>23844</t>
  </si>
  <si>
    <t>Проушина Домарт гаражная 50*150 толщ.4мм,планка,крепеж бронза антик /10/</t>
  </si>
  <si>
    <t>23856</t>
  </si>
  <si>
    <t>Проушина Домарт прямая 30* 80 /100/</t>
  </si>
  <si>
    <t>23831</t>
  </si>
  <si>
    <t>Проушина Домарт прямая усиленная толщ.5мм 120*40 б/п /50/</t>
  </si>
  <si>
    <t>23829</t>
  </si>
  <si>
    <t>Проушина Домарт прямая усиленная толщ.5мм 80*40 б/п /50/</t>
  </si>
  <si>
    <t>23889</t>
  </si>
  <si>
    <t>Проушина Домарт прямая усиленная толщ.5мм 80*40 серый /50/</t>
  </si>
  <si>
    <t>23876</t>
  </si>
  <si>
    <t>Проушина Домарт угловая 30* 60 /100/</t>
  </si>
  <si>
    <t>23877</t>
  </si>
  <si>
    <t>Проушина Домарт угловая 30* 80 /100/</t>
  </si>
  <si>
    <t>23878</t>
  </si>
  <si>
    <t>Проушина Домарт угловая 35* 70 /100/</t>
  </si>
  <si>
    <t>23897</t>
  </si>
  <si>
    <t>Проушина Домарт угловая 35* 90 /100/</t>
  </si>
  <si>
    <t>23841</t>
  </si>
  <si>
    <t>Проушина Домарт угловая фигурная 145*100*50 б/п</t>
  </si>
  <si>
    <t>23843</t>
  </si>
  <si>
    <t>Проушина Домарт угловая фигурная 145*100*50 бронза антик</t>
  </si>
  <si>
    <t>23866</t>
  </si>
  <si>
    <t>Проушина Домарт угловая фигурная 145*100*50 коричневый металлик</t>
  </si>
  <si>
    <t>23884</t>
  </si>
  <si>
    <t>Проушина Домарт угловая фигурная 145*100*50 черный</t>
  </si>
  <si>
    <t>23850</t>
  </si>
  <si>
    <t>Проушина Домарт угловая фигурная 245*100*50 б/п /30/</t>
  </si>
  <si>
    <t>23854</t>
  </si>
  <si>
    <t>Проушина Домарт угловая фигурная 80*80*45 /50/</t>
  </si>
  <si>
    <t>23868</t>
  </si>
  <si>
    <t>Проушина Домарт угловая фигурная 80*80*45 бронза антик /50/</t>
  </si>
  <si>
    <t>23678</t>
  </si>
  <si>
    <t>Проушина Нытва (30*70) гнутая фас. цинк /700/</t>
  </si>
  <si>
    <t>23679</t>
  </si>
  <si>
    <t>Проушина Нытва (30*70) фас. цинк /600/</t>
  </si>
  <si>
    <t>23817</t>
  </si>
  <si>
    <t>Проушина Нытва (40*90) гнутая. цинк /150/</t>
  </si>
  <si>
    <t>23824</t>
  </si>
  <si>
    <t>Проушина Нытва (40*90) фас. цинк /200/</t>
  </si>
  <si>
    <t>23810</t>
  </si>
  <si>
    <t>Проушина Ярославль 2664 (30*70) /600/</t>
  </si>
  <si>
    <t>23812</t>
  </si>
  <si>
    <t>Проушина Ярославль 2666 (90*52) /400/</t>
  </si>
  <si>
    <t>23830</t>
  </si>
  <si>
    <t>Проушина Ярославль 2667 (75*40) /500/</t>
  </si>
  <si>
    <t>23826</t>
  </si>
  <si>
    <t>Проушина Ярославль 2669 (90*40) Г-образная /250/</t>
  </si>
  <si>
    <t>23835</t>
  </si>
  <si>
    <t>Проушина Ярославль 2671 (37*37) Г-образная /500/</t>
  </si>
  <si>
    <t>23806</t>
  </si>
  <si>
    <t>Пружина дверная 250мм с крепежом оксид. /60/</t>
  </si>
  <si>
    <t>23863</t>
  </si>
  <si>
    <t>Пружина дверная 300мм Д20 мм оцинк. /100/</t>
  </si>
  <si>
    <t>23846</t>
  </si>
  <si>
    <t>Пружина дверная 300мм Д20 ммс крепежом оцинк. /100/</t>
  </si>
  <si>
    <t>23849</t>
  </si>
  <si>
    <t>Пружина дверная 300мм с крепежом оксид /40/</t>
  </si>
  <si>
    <t>23845</t>
  </si>
  <si>
    <t>Пружина дверная 300мм с крепежом оцинк. /40/</t>
  </si>
  <si>
    <t>23869</t>
  </si>
  <si>
    <t>Пружина дверная 320мм нормализованная со скобой /100/</t>
  </si>
  <si>
    <t>23811</t>
  </si>
  <si>
    <t>Пружина дверная 320мм с крепежом оксид. /100/</t>
  </si>
  <si>
    <t>23852</t>
  </si>
  <si>
    <t>Уголок фигурный Домарт 250*250 белый антик /30/</t>
  </si>
  <si>
    <t>239 Прочие скобяные изделия</t>
  </si>
  <si>
    <t>23947</t>
  </si>
  <si>
    <t>Замок накидной золото /50/</t>
  </si>
  <si>
    <t>23912</t>
  </si>
  <si>
    <t>Замок накидной черный /50/</t>
  </si>
  <si>
    <t>23902</t>
  </si>
  <si>
    <t>Крючок прутковый 200мм бел</t>
  </si>
  <si>
    <t>23994</t>
  </si>
  <si>
    <t>Крючок прутковый мод2 350мм б/п (Т)</t>
  </si>
  <si>
    <t>23995</t>
  </si>
  <si>
    <t>Крючок прутковый мод2 400мм б/п (Т)</t>
  </si>
  <si>
    <t>23998</t>
  </si>
  <si>
    <t>Навеска д/багетных рамок 10 шт белый</t>
  </si>
  <si>
    <t>23973</t>
  </si>
  <si>
    <t>Навеска Н-45 2 шт белый</t>
  </si>
  <si>
    <t>23900</t>
  </si>
  <si>
    <t>Опора для перил ОП-75-1 черный матовый /20/</t>
  </si>
  <si>
    <t>23958</t>
  </si>
  <si>
    <t>Планка ответная 11*13*30 2 шт хром /50/</t>
  </si>
  <si>
    <t>23853</t>
  </si>
  <si>
    <t>Ручка откидная б/п мод2 /Т</t>
  </si>
  <si>
    <t>23954</t>
  </si>
  <si>
    <t>Ручка откидная Домарт 185 кованая Кострома чернен серебро</t>
  </si>
  <si>
    <t>23920</t>
  </si>
  <si>
    <t>Ручка откидная Домарт 185 кованая Кострома черный</t>
  </si>
  <si>
    <t>23910</t>
  </si>
  <si>
    <t>Скоба строительная Д 6</t>
  </si>
  <si>
    <t>23915</t>
  </si>
  <si>
    <t>Скоба строительная Д 8</t>
  </si>
  <si>
    <t>23956</t>
  </si>
  <si>
    <t>Скоба строительная Д10</t>
  </si>
  <si>
    <t>11757</t>
  </si>
  <si>
    <t>Спец. гайка ВВ</t>
  </si>
  <si>
    <t>23908</t>
  </si>
  <si>
    <t>Упор воротный 150 мм медь антик /10/</t>
  </si>
  <si>
    <t>23904</t>
  </si>
  <si>
    <t>Упор воротный 150 мм черный /10/</t>
  </si>
  <si>
    <t>23957</t>
  </si>
  <si>
    <t>Упор воротный 200 мм б/п /10/</t>
  </si>
  <si>
    <t>23985</t>
  </si>
  <si>
    <t>Упор воротный 300 мм черный /10/</t>
  </si>
  <si>
    <t>23932</t>
  </si>
  <si>
    <t>Упор воротный усиленный регулируемый 400-450 мм д16 /10/</t>
  </si>
  <si>
    <t>23921</t>
  </si>
  <si>
    <t>Цепь для привязки скота Т-5КС</t>
  </si>
  <si>
    <t>23930</t>
  </si>
  <si>
    <t>Цепь хозяйственная КС-5</t>
  </si>
  <si>
    <t>23939</t>
  </si>
  <si>
    <t>Цепь хозяйственная КС-8</t>
  </si>
  <si>
    <t>23922</t>
  </si>
  <si>
    <t>Цепь хозяйственная Хуторок КС-5</t>
  </si>
  <si>
    <t>23927</t>
  </si>
  <si>
    <t>Цепь хозяйственная Хуторок КС-8</t>
  </si>
  <si>
    <t>23906</t>
  </si>
  <si>
    <t>Штырь метал. d 8 270мм</t>
  </si>
  <si>
    <t>240-249 Крепёж</t>
  </si>
  <si>
    <t>240 Дюбеля с шурупами</t>
  </si>
  <si>
    <t>24010</t>
  </si>
  <si>
    <t>Дюбель с полукольцом KRHS- 6 Tech-KREP /200/</t>
  </si>
  <si>
    <t>24072</t>
  </si>
  <si>
    <t>Дюбель с полукольцом KRHS-12 Tech-KREP /50/</t>
  </si>
  <si>
    <t>24050</t>
  </si>
  <si>
    <t>Дюбель с прямым крюком KRHP- 6 Tech-KREP /200/</t>
  </si>
  <si>
    <t>24052</t>
  </si>
  <si>
    <t>Дюбель с прямым крюком KRHP- 8 Tech-KREP /200/</t>
  </si>
  <si>
    <t>24092</t>
  </si>
  <si>
    <t>Дюбель с прямым крюком KRHP-10 Tech-KREP /100/</t>
  </si>
  <si>
    <t>24095</t>
  </si>
  <si>
    <t>Дюбель с прямым крюком KRHP-12 Tech-KREP /50/</t>
  </si>
  <si>
    <t>24021</t>
  </si>
  <si>
    <t>Дюбель фасад.с шуруп.гол.6-тигр.HILTI HRD-U 10*140 /70/</t>
  </si>
  <si>
    <t>24008</t>
  </si>
  <si>
    <t>Дюбель фасад.с шуруп.гол.6-тигр.TSX-500 10*100 Tech-KREP /50/</t>
  </si>
  <si>
    <t>24098</t>
  </si>
  <si>
    <t>Дюбель фасад.с шуруп.гол.6-тигр.TSX-S10*100 Tech-KREP /50/</t>
  </si>
  <si>
    <t>24079</t>
  </si>
  <si>
    <t>Дюбель фасад.с шуруп.гол.6-тигр.TSX-S10*115 Tech-KREP /50/</t>
  </si>
  <si>
    <t>24062</t>
  </si>
  <si>
    <t>Дюбель фасад.с шуруп.гол.6-тигр.TSX-S8*100 Tech-KREP /100/</t>
  </si>
  <si>
    <t>24089</t>
  </si>
  <si>
    <t>Дюбель-гвоздь OMAX гриб 6*80 /1000/</t>
  </si>
  <si>
    <t>24053</t>
  </si>
  <si>
    <t>Дюбель-гвоздь OMAX потай 8*80 /500/</t>
  </si>
  <si>
    <t>24179</t>
  </si>
  <si>
    <t>Дюбель-гвоздь SteelRex 6,3*38</t>
  </si>
  <si>
    <t>24126</t>
  </si>
  <si>
    <t>Дюбель-гвоздь полипроп, гриб SM-G 6*40 Tech-KREP 200шт</t>
  </si>
  <si>
    <t>241260</t>
  </si>
  <si>
    <t>Дюбель-гвоздь полипроп, гриб SM-G 6*40 Tech-KREP 200шт - 1 штука</t>
  </si>
  <si>
    <t>24028</t>
  </si>
  <si>
    <t>Дюбель-гвоздь полипроп, гриб SM-G 6*60 Tech-KREP 200шт</t>
  </si>
  <si>
    <t>240280</t>
  </si>
  <si>
    <t>Дюбель-гвоздь полипроп, гриб SM-G 6*60 Tech-KREP 200шт - 1 штука</t>
  </si>
  <si>
    <t>24055</t>
  </si>
  <si>
    <t>Дюбель-гвоздь полипроп, гриб SM-G 6*80 Tech-KREP 100шт</t>
  </si>
  <si>
    <t>240550</t>
  </si>
  <si>
    <t>Дюбель-гвоздь полипроп, гриб SM-G 6*80 Tech-KREP 100шт - 1 штука</t>
  </si>
  <si>
    <t>24105</t>
  </si>
  <si>
    <t>Дюбель-гвоздь полипроп, потай SM-L 6*40 Tech-KREP 200шт</t>
  </si>
  <si>
    <t>241050</t>
  </si>
  <si>
    <t>Дюбель-гвоздь полипроп, потай SM-L 6*40 Tech-KREP 200шт - 1 штука</t>
  </si>
  <si>
    <t>24108</t>
  </si>
  <si>
    <t>Дюбель-гвоздь полипроп, потай SM-L 6*60 Tech-KREP 200шт</t>
  </si>
  <si>
    <t>241080</t>
  </si>
  <si>
    <t>Дюбель-гвоздь полипроп, потай SM-L 6*60 Tech-KREP 200шт - 1 штука</t>
  </si>
  <si>
    <t>24054</t>
  </si>
  <si>
    <t>Дюбель-гвоздь полипроп, потай SM-L 6*80 Tech-KREP 100шт</t>
  </si>
  <si>
    <t>240540</t>
  </si>
  <si>
    <t>Дюбель-гвоздь полипроп, потай SM-L 6*80 Tech-KREP 100шт - 1 штука</t>
  </si>
  <si>
    <t>24205</t>
  </si>
  <si>
    <t>Дюбель-гвоздь полипроп, потай SM-L 8*120 Tech-KREP 1 штука /100/</t>
  </si>
  <si>
    <t>24091</t>
  </si>
  <si>
    <t>Дюбель-гвоздь полипроп, потай SM-L 8*140 Tech-KREP 1 штука /50/</t>
  </si>
  <si>
    <t>24085</t>
  </si>
  <si>
    <t>Дюбель-гвоздь полипроп, потай SM-L 8*160 Tech-KREP 1 штука /50/</t>
  </si>
  <si>
    <t>241110</t>
  </si>
  <si>
    <t>Дюбель-гвоздь полипроп, потай SM-L 8*60 Tech-KREP 100шт - 1 штука</t>
  </si>
  <si>
    <t>24087</t>
  </si>
  <si>
    <t>Дюбель-гвоздь полипроп, потай SM-L 8*80 Tech-KREP 100шт</t>
  </si>
  <si>
    <t>240870</t>
  </si>
  <si>
    <t>Дюбель-гвоздь полипроп, потай SM-L 8*80 Tech-KREP 100шт - 1 штука</t>
  </si>
  <si>
    <t>24027</t>
  </si>
  <si>
    <t>Дюбель-гвоздь полипроп, потай с усом SM-L 5*25 Tech-KREP 200шт</t>
  </si>
  <si>
    <t>241 Прочий крепеж</t>
  </si>
  <si>
    <t>24229</t>
  </si>
  <si>
    <t>Болт декоративный 8*50,шайба,гайка комп.5шт. б/п /30/</t>
  </si>
  <si>
    <t>24118</t>
  </si>
  <si>
    <t>Болт декоративный 8*50,шайба,гайка комп.5шт. черн /30/</t>
  </si>
  <si>
    <t>24227</t>
  </si>
  <si>
    <t>Болт мебельный 8*35 ВВ</t>
  </si>
  <si>
    <t>24211</t>
  </si>
  <si>
    <t>Болт мебельный 8*50 ВВ</t>
  </si>
  <si>
    <t>24100</t>
  </si>
  <si>
    <t>Дюбель-гвоздь монтажный 4,5*60 (1шт.) /У</t>
  </si>
  <si>
    <t>24321</t>
  </si>
  <si>
    <t>Конфирмат 70-50 головка потай-шестигр.цинк 7,0*50 1 шт</t>
  </si>
  <si>
    <t>24186</t>
  </si>
  <si>
    <t>Шпилька резьбовая (штанга) М18 TR18*1000мм Tech-KREP /10/</t>
  </si>
  <si>
    <t>24330</t>
  </si>
  <si>
    <t>Шпилька резьбовая (штанга) М6 TR6*2000мм Tech-KREP /100/</t>
  </si>
  <si>
    <t>24178</t>
  </si>
  <si>
    <t>Шпилька-шуруп + дюбель, гайка М8 8*100мм</t>
  </si>
  <si>
    <t>24371</t>
  </si>
  <si>
    <t>Шпилька-шуруп М8 8*100мм Tech-KREP /900/</t>
  </si>
  <si>
    <t>24018</t>
  </si>
  <si>
    <t>Шуруп 032А-06-60 головка шестигр"Глухарь"6*60 (6шт)</t>
  </si>
  <si>
    <t>24175</t>
  </si>
  <si>
    <t>Шуруп головка квадрат. "Глухарь"8*40 (1шт) черный</t>
  </si>
  <si>
    <t>24152</t>
  </si>
  <si>
    <t>Шуруп головка шестигр. "Глухарь"6*120 (1шт) Tech-KREP</t>
  </si>
  <si>
    <t>24044</t>
  </si>
  <si>
    <t>Шуруп головка шестигр. "Глухарь"6*40 (1шт) Tech-KREP</t>
  </si>
  <si>
    <t>24288</t>
  </si>
  <si>
    <t>Шуруп головка шестигр. "Глухарь"6*60 (1шт) Tech-KREP</t>
  </si>
  <si>
    <t>24289</t>
  </si>
  <si>
    <t>Шуруп головка шестигр. "Глухарь"6*80 (1шт) Tech-KREP</t>
  </si>
  <si>
    <t>24349</t>
  </si>
  <si>
    <t>Шуруп головка шестигр. "Глухарь"8*120 (1шт) Tech-KREP</t>
  </si>
  <si>
    <t>24122</t>
  </si>
  <si>
    <t>Шуруп головка шестигр. "Глухарь"8*40 (1шт) Tech-KREP</t>
  </si>
  <si>
    <t>24168</t>
  </si>
  <si>
    <t>Шуруп по бетону FRS-S 7,5х132 Tech-KREP /100/</t>
  </si>
  <si>
    <t>24185</t>
  </si>
  <si>
    <t>Шуруп по бетону FRS-S 7,5х152 Tech-KREP /100/</t>
  </si>
  <si>
    <t>24041</t>
  </si>
  <si>
    <t>Шуруп по бетону FRS-S 7,5х52 Tech-KREP /100/</t>
  </si>
  <si>
    <t>24173</t>
  </si>
  <si>
    <t>Шуруп по бетону FRS-S 7,5х72 Tech-KREP /100/</t>
  </si>
  <si>
    <t>242 Метрический крепеж</t>
  </si>
  <si>
    <t>24263</t>
  </si>
  <si>
    <t>Болт шестигранник 500В-М6-50 цинк М6*50 (6шт.)</t>
  </si>
  <si>
    <t>24278</t>
  </si>
  <si>
    <t>Болт шестигранник DIN 933 М6*20 1шт.Tech-Krep</t>
  </si>
  <si>
    <t>24252</t>
  </si>
  <si>
    <t>Болт шестигранник DIN 933 М6*25 1шт.Tech-Krep</t>
  </si>
  <si>
    <t>24279</t>
  </si>
  <si>
    <t>Болт шестигранник DIN 933 М6*40 1шт.Tech-Krep</t>
  </si>
  <si>
    <t>24293</t>
  </si>
  <si>
    <t>Болт шестигранник ПЕ-М12*30 (2шт)</t>
  </si>
  <si>
    <t>24294</t>
  </si>
  <si>
    <t>Болт шестигранник ПЕ-М12*40 (2шт)</t>
  </si>
  <si>
    <t>24299</t>
  </si>
  <si>
    <t>Болт шестигранник ПЕ-М6*50 (6шт)</t>
  </si>
  <si>
    <t>24232</t>
  </si>
  <si>
    <t>Винт головка полусфера 515В-М4-16 цинк М4*16 (30шт.)</t>
  </si>
  <si>
    <t>24076</t>
  </si>
  <si>
    <t>Винт головка потай 510В-М5-40 кр. цинк М5*40 (12шт)</t>
  </si>
  <si>
    <t>24399</t>
  </si>
  <si>
    <t>Винт головка потай М4*30 1 штука</t>
  </si>
  <si>
    <t>24384</t>
  </si>
  <si>
    <t>Винт головка потай М5*60 1 штука</t>
  </si>
  <si>
    <t>24329</t>
  </si>
  <si>
    <t>Гайка 540В-М3 шестигранная цинк М3 (100шт.)</t>
  </si>
  <si>
    <t>24223</t>
  </si>
  <si>
    <t>Гайка DIN 934 М12 1шт Tech-KREP</t>
  </si>
  <si>
    <t>24281</t>
  </si>
  <si>
    <t>Гайка DIN 934 М14 1шт Tech-KREP</t>
  </si>
  <si>
    <t>24283</t>
  </si>
  <si>
    <t>Гайка DIN 934 М16 1шт Tech-KREP</t>
  </si>
  <si>
    <t>24307</t>
  </si>
  <si>
    <t>Гайка DIN 934 М18 1шт Tech-KREP</t>
  </si>
  <si>
    <t>24183</t>
  </si>
  <si>
    <t>Гайка DIN 934 М20 1шт Tech-KREP</t>
  </si>
  <si>
    <t>24284</t>
  </si>
  <si>
    <t>Гайка DIN 934 М5 1шт Tech-KREP</t>
  </si>
  <si>
    <t>24268</t>
  </si>
  <si>
    <t>Гайка DIN 934 М6 1шт Tech-KREP</t>
  </si>
  <si>
    <t>24251</t>
  </si>
  <si>
    <t>Гайка DIN 934 М6 Tech-KREP 210грамм ~100шт. пакет.</t>
  </si>
  <si>
    <t>24270</t>
  </si>
  <si>
    <t>Гайка DIN 934 М8 1шт Tech-KREP</t>
  </si>
  <si>
    <t>24221</t>
  </si>
  <si>
    <t>Гайка М6 шестигранная б/п 100гр (50шт.)</t>
  </si>
  <si>
    <t>24233</t>
  </si>
  <si>
    <t>Гайка ПЕ-М14 со стоп.кольцом (4шт.)</t>
  </si>
  <si>
    <t>24234</t>
  </si>
  <si>
    <t>Гайка ПЕ-М14 шестигранная цинк (3шт.)</t>
  </si>
  <si>
    <t>24206</t>
  </si>
  <si>
    <t>Гайка ПЕ-М6 шестигранная цинк (15шт.) пакет</t>
  </si>
  <si>
    <t>10964</t>
  </si>
  <si>
    <t>Шайба 590В-М5 пружинная гроверная цинк М5 (60шт)</t>
  </si>
  <si>
    <t>24296</t>
  </si>
  <si>
    <t>Шайба DIN 125 М12 1шт  Tech-KREP</t>
  </si>
  <si>
    <t>24291</t>
  </si>
  <si>
    <t>Шайба DIN 125 М14 1шт Tech-KREP</t>
  </si>
  <si>
    <t>24253</t>
  </si>
  <si>
    <t>Шайба DIN 125 М16 1шт Tech-KREP</t>
  </si>
  <si>
    <t>24272</t>
  </si>
  <si>
    <t>Шайба DIN 125 М5 1шт Tech-KREP</t>
  </si>
  <si>
    <t>24287</t>
  </si>
  <si>
    <t>Шайба DIN 125 М8 1шт Tech-KREP</t>
  </si>
  <si>
    <t>24274</t>
  </si>
  <si>
    <t>Шайба DIN 127 М5 гроверная Tech-KREP 1 штука</t>
  </si>
  <si>
    <t>24277</t>
  </si>
  <si>
    <t>Шайба DIN 127 М6 гроверная Tech-KREP 1 штука</t>
  </si>
  <si>
    <t>24249</t>
  </si>
  <si>
    <t>Шайба DIN 127 М8 гроверная Tech-KREP 1 штука</t>
  </si>
  <si>
    <t>24238</t>
  </si>
  <si>
    <t>Шайба DIN 9021 М14 1шт увеличенная Tech-KREP 15кг/474 шт</t>
  </si>
  <si>
    <t>24201</t>
  </si>
  <si>
    <t>Шайба DIN 9021 М16 1шт увеличенная Tech-KREP 15кг/370 шт</t>
  </si>
  <si>
    <t>24290</t>
  </si>
  <si>
    <t>Шайба ПЕ-М5 гроверная цинк (60шт)</t>
  </si>
  <si>
    <t>243 Дюбеля</t>
  </si>
  <si>
    <t>01331</t>
  </si>
  <si>
    <t>Дюбели 10*48 нейлоновые 50 шт SPARTA /421265</t>
  </si>
  <si>
    <t>01330</t>
  </si>
  <si>
    <t>Дюбели 8*40 нейлоновые 100 шт SPARTA /421245</t>
  </si>
  <si>
    <t>240400</t>
  </si>
  <si>
    <t>Дюбель "Бабочка" для гк 10-50мм 1 штука</t>
  </si>
  <si>
    <t>01027</t>
  </si>
  <si>
    <t>Дюбель 10х50 "Ус" распорный полипропиленовый, 1 шт. Сибртех /46017</t>
  </si>
  <si>
    <t>01290</t>
  </si>
  <si>
    <t>Дюбель 10х50 "Ус" распорный полипропиленовый, 20 шт. Сибртех /46002</t>
  </si>
  <si>
    <t>01026</t>
  </si>
  <si>
    <t>Дюбель 8х40 "Еж" распорный полипропиленовый, 1 шт. Сибртех /46016</t>
  </si>
  <si>
    <t>24037</t>
  </si>
  <si>
    <t>Дюбель д/изоляции пластик IZO 10*100мм /1000/</t>
  </si>
  <si>
    <t>24312</t>
  </si>
  <si>
    <t>Дюбель д/изоляции пластик IZO 10*110мм /1000/</t>
  </si>
  <si>
    <t>24314</t>
  </si>
  <si>
    <t>Дюбель д/изоляции пластик IZO 10*120мм /1000/</t>
  </si>
  <si>
    <t>24338</t>
  </si>
  <si>
    <t>Дюбель д/изоляции пластик IZO 10*140мм /500/</t>
  </si>
  <si>
    <t>24315</t>
  </si>
  <si>
    <t>Дюбель д/изоляции пластик IZO 10*160мм /500/</t>
  </si>
  <si>
    <t>24316</t>
  </si>
  <si>
    <t>Дюбель д/изоляции пластик IZO 10*180мм /500/</t>
  </si>
  <si>
    <t>24322</t>
  </si>
  <si>
    <t>Дюбель д/изоляции пластик IZO 10*200мм /500/</t>
  </si>
  <si>
    <t>24317</t>
  </si>
  <si>
    <t>Дюбель Дрива пласт. для гипсокартона T-22 200шт</t>
  </si>
  <si>
    <t>24389</t>
  </si>
  <si>
    <t>Дюбель металлический для пустотелых конструкций MOLLY 4*20 /100/</t>
  </si>
  <si>
    <t>24398</t>
  </si>
  <si>
    <t>Дюбель металлический для пустотелых конструкций MOLLY 8*80 /50/</t>
  </si>
  <si>
    <t>1668</t>
  </si>
  <si>
    <t>Дюбель металлический для пустотелых конструкций с прямоугольным крюком MOLLY 5*52 W</t>
  </si>
  <si>
    <t>24151</t>
  </si>
  <si>
    <t>Дюбель ПЕ-10*50 распорный полипропилен (50шт.)</t>
  </si>
  <si>
    <t>241510</t>
  </si>
  <si>
    <t>Дюбель ПЕ-10*50 распорный полипропилен 1 штука</t>
  </si>
  <si>
    <t>24113</t>
  </si>
  <si>
    <t>Дюбель ПЕ-8*60 распорный усиленный (10шт.)</t>
  </si>
  <si>
    <t>24014</t>
  </si>
  <si>
    <t>Дюбель распорный 100Е-08-50 полипр. 8*50 (70шт.)</t>
  </si>
  <si>
    <t>24383</t>
  </si>
  <si>
    <t>Дюбель распорный HILTI HUD-1 10*50мм усы, шипы 1 штука</t>
  </si>
  <si>
    <t>24319</t>
  </si>
  <si>
    <t>Дюбель распорный Tchappai 10*50мм усы, шипы (100шт)</t>
  </si>
  <si>
    <t>24320</t>
  </si>
  <si>
    <t>Дюбель распорный Tchappai 10*60мм усы, шипы (100шт)</t>
  </si>
  <si>
    <t>24331</t>
  </si>
  <si>
    <t>Дюбель распорный Tchappai 8*40мм усы, шипы (200шт)</t>
  </si>
  <si>
    <t>24333</t>
  </si>
  <si>
    <t>Дюбель распорный Tchappai 8*50мм усы, шипы (300шт)</t>
  </si>
  <si>
    <t>24332</t>
  </si>
  <si>
    <t>Дюбель распорный Tchappai 8*60мм усы, шипы (200шт)</t>
  </si>
  <si>
    <t>24346</t>
  </si>
  <si>
    <t>Дюбель распорный Tchappai 8*80мм усы, шипы (200шт)</t>
  </si>
  <si>
    <t>24363</t>
  </si>
  <si>
    <t>Дюбель складной пруж С-кольцо M8х100 /50/</t>
  </si>
  <si>
    <t>244 Анкеры</t>
  </si>
  <si>
    <t>24306</t>
  </si>
  <si>
    <t>Анкер забивной DRM М 6 (8х25) /100/</t>
  </si>
  <si>
    <t>24478</t>
  </si>
  <si>
    <t>Анкер забивной DRM М14 (18*60)</t>
  </si>
  <si>
    <t>24455</t>
  </si>
  <si>
    <t>Анкер клиновой WAM 10*130 Tech-KREP /20/</t>
  </si>
  <si>
    <t>24466</t>
  </si>
  <si>
    <t>Анкер клиновой WAM 10*150 Tech-KREP /30/</t>
  </si>
  <si>
    <t>24347</t>
  </si>
  <si>
    <t>Анкер клиновой WAM 10*65 Tech-KREP /50/</t>
  </si>
  <si>
    <t>24123</t>
  </si>
  <si>
    <t>Анкер клиновой WAM 10*80 Tech-KREP /50/</t>
  </si>
  <si>
    <t>24124</t>
  </si>
  <si>
    <t>Анкер клиновой WAM 10*95 Tech-KREP /25/</t>
  </si>
  <si>
    <t>24125</t>
  </si>
  <si>
    <t>Анкер клиновой WAM 12*100 Tech-KREP /25/</t>
  </si>
  <si>
    <t>24129</t>
  </si>
  <si>
    <t>Анкер клиновой WAM 12*120 Tech-KREP /20/</t>
  </si>
  <si>
    <t>24413</t>
  </si>
  <si>
    <t>Анкер клиновой WAM 12*135 Tech-KREP /20/</t>
  </si>
  <si>
    <t>24143</t>
  </si>
  <si>
    <t>Анкер клиновой WAM 12*150 Tech-KREP /20/</t>
  </si>
  <si>
    <t>24136</t>
  </si>
  <si>
    <t>Анкер клиновой WAM 6*40 Tech-KREP /100/</t>
  </si>
  <si>
    <t>24220</t>
  </si>
  <si>
    <t>Анкер клиновой WAM 6*95 Tech-KREP /100/</t>
  </si>
  <si>
    <t>24402</t>
  </si>
  <si>
    <t>Анкер клиновой WAM 8*120Tech-KREP /50/</t>
  </si>
  <si>
    <t>24377</t>
  </si>
  <si>
    <t>Анкер клиновой WAM 8*50 SteelRex</t>
  </si>
  <si>
    <t>24138</t>
  </si>
  <si>
    <t>Анкер клиновой WAM 8*50 Tech-KREP /100/</t>
  </si>
  <si>
    <t>24147</t>
  </si>
  <si>
    <t>Анкер клиновой WAM 8*70 Tech-KREP /50/</t>
  </si>
  <si>
    <t>24386</t>
  </si>
  <si>
    <t>Анкер клиновой WAM 8*80 SteelRex</t>
  </si>
  <si>
    <t>24150</t>
  </si>
  <si>
    <t>Анкер клиновой WAM 8*95 Tech-KREP /50/</t>
  </si>
  <si>
    <t>24096</t>
  </si>
  <si>
    <t>Анкер клиновой потолочны MAN 6*40 Tech-KREP /100/</t>
  </si>
  <si>
    <t>24471</t>
  </si>
  <si>
    <t>Анкер клиновой потолочны MAN 6*65 Tech-KREP /100/</t>
  </si>
  <si>
    <t>24256</t>
  </si>
  <si>
    <t>Анкер потолочный WAM 6*60 Tech-KREP /100/</t>
  </si>
  <si>
    <t>24483</t>
  </si>
  <si>
    <t>Анкерный болт HBM12*100 Tech-KREP /25/</t>
  </si>
  <si>
    <t>24426</t>
  </si>
  <si>
    <t>Анкерный болт с кольцом HA20*75 M12 Тech-KREP /50/</t>
  </si>
  <si>
    <t>24001</t>
  </si>
  <si>
    <t>Анкерный болт с крюком HG10*60 M8 Тech-KREP /50/</t>
  </si>
  <si>
    <t>24247</t>
  </si>
  <si>
    <t>Анкерный болт с крюком HG16*80 M12 Тech-KREP /20/</t>
  </si>
  <si>
    <t>24276</t>
  </si>
  <si>
    <t>Анкерный болт с крюком HG8*40 М6 Tech-KREP /100/</t>
  </si>
  <si>
    <t>24951</t>
  </si>
  <si>
    <t>Анкерный болт с крюком HG8*45 М6 Tech-KREP /100/</t>
  </si>
  <si>
    <t>24351</t>
  </si>
  <si>
    <t>Анкерный болт с крюком M6 1 шт</t>
  </si>
  <si>
    <t>24200</t>
  </si>
  <si>
    <t>Дюбель рамный, потай MF 10*112 Tech-KREP /100/</t>
  </si>
  <si>
    <t>24000</t>
  </si>
  <si>
    <t>Дюбель рамный, потай MF 10*132 Tech-KREP /100/</t>
  </si>
  <si>
    <t>24368</t>
  </si>
  <si>
    <t>Дюбель рамный, потай MF 10*152 Tech-KREP /100/</t>
  </si>
  <si>
    <t>24039</t>
  </si>
  <si>
    <t>Дюбель рамный, потай MF 10*182 Tech-KREP /100/</t>
  </si>
  <si>
    <t>24120</t>
  </si>
  <si>
    <t>Дюбель рамный, потай MF 10*202 Tech-KREP /100/</t>
  </si>
  <si>
    <t>24082</t>
  </si>
  <si>
    <t>Дюбель рамный, потай MF 10*92 Tech-KREP /100/</t>
  </si>
  <si>
    <t>24061</t>
  </si>
  <si>
    <t>Дюбель рамный, потай MF 8*112 Tech-KREP /100/</t>
  </si>
  <si>
    <t>24442</t>
  </si>
  <si>
    <t>Дюбель рамный, потай MF 8*132 Tech-KREP /100/</t>
  </si>
  <si>
    <t>24058</t>
  </si>
  <si>
    <t>Дюбель рамный, потай MF 8*152 Tech-KREP /100/</t>
  </si>
  <si>
    <t>24006</t>
  </si>
  <si>
    <t>Дюбель рамный, потай MF 8*172 Tech-KREP /100/</t>
  </si>
  <si>
    <t>24063</t>
  </si>
  <si>
    <t>Дюбель рамный, потай MF 8*72 Tech-KREP /100/</t>
  </si>
  <si>
    <t>245 Саморезы Tech-KREP</t>
  </si>
  <si>
    <t>2450 Саморезы Tech-KREP ПОШТУЧНО</t>
  </si>
  <si>
    <t>245640</t>
  </si>
  <si>
    <t>Саморез с п/ш, мет. 4,2*41 цинк Tech-KREP 1штука</t>
  </si>
  <si>
    <t>245680</t>
  </si>
  <si>
    <t>Саморез с п/ш, мет. сверло 4,2*41 цинк Tech-KREP 1 штука</t>
  </si>
  <si>
    <t>24492</t>
  </si>
  <si>
    <t>Саморез г/к, дер,ДСП 3,5*32 (1000шт) чер Tech-KREP</t>
  </si>
  <si>
    <t>24541</t>
  </si>
  <si>
    <t>Саморез г/к, мет.до 0,9мм 3,5*25 (1000шт) чер Tech-KREP</t>
  </si>
  <si>
    <t>24555</t>
  </si>
  <si>
    <t>Саморез г/к, мет.до 0,9мм 3,5*32 (1000шт) чер Tech-KREP</t>
  </si>
  <si>
    <t>24525</t>
  </si>
  <si>
    <t>Саморез с п/ш, мет. 4,2*16 (1000шт) цинк Tech-KREP</t>
  </si>
  <si>
    <t>24161</t>
  </si>
  <si>
    <t>Саморез с п/ш, мет. 4,2*16 (8000шт) цинк Tech-KREP</t>
  </si>
  <si>
    <t>24516</t>
  </si>
  <si>
    <t>Саморез с п/ш, мет. 4,2*38 (500шт) цинк Tech-KREP</t>
  </si>
  <si>
    <t>24565</t>
  </si>
  <si>
    <t>Саморез с п/ш, мет. 4,2*50 (500шт) цинк Tech-KREP</t>
  </si>
  <si>
    <t>24164</t>
  </si>
  <si>
    <t>Саморез с п/ш, мет. сверло 4,2*13 (1000шт) цинк Tech-KREP</t>
  </si>
  <si>
    <t>24567</t>
  </si>
  <si>
    <t>Саморез с п/ш, мет. сверло 4,2*38 (500шт) цинк Tech-KREP</t>
  </si>
  <si>
    <t>24597</t>
  </si>
  <si>
    <t>Саморез сверло, 3,5*11 бел.цинк (1000шт) Tech-KREP</t>
  </si>
  <si>
    <t>24522</t>
  </si>
  <si>
    <t>Саморез сверло, 3,5*11 черный (1000шт) Tech-KREP</t>
  </si>
  <si>
    <t>24405</t>
  </si>
  <si>
    <t>Саморез унив. 5,0*20 жел.цинк (1200шт) Ordam</t>
  </si>
  <si>
    <t>24518</t>
  </si>
  <si>
    <t>Саморез универ. WS 4,1*25 оконные белые цинк без раззенковки (1000шт.) Tech-KREP</t>
  </si>
  <si>
    <t>24515</t>
  </si>
  <si>
    <t>Саморез универ. WS 4,1*30 оконные белые цинк без раззенковки (1000шт.) Tech-KREP</t>
  </si>
  <si>
    <t>24533</t>
  </si>
  <si>
    <t>Саморез универ. WS 4,1*35 оконные белые цинк без раззенковки (1000шт.) Tech-KREP</t>
  </si>
  <si>
    <t>24648</t>
  </si>
  <si>
    <t>Саморез универ. сверло WS- SD- W 3.9*16 оконные белые цинк (1000шт.) Tech-KREP</t>
  </si>
  <si>
    <t>24524</t>
  </si>
  <si>
    <t>Саморез универ. сверло WS- SD- W 3.9*19 оконные белые цинк (1000шт.) Tech-KREP</t>
  </si>
  <si>
    <t>246 Саморезы Два бригадира</t>
  </si>
  <si>
    <t>10716</t>
  </si>
  <si>
    <t>Саморез 009Е-25-10 универ. 2,5*10 (2500шт.) жел.цинк</t>
  </si>
  <si>
    <t>10721</t>
  </si>
  <si>
    <t>Саморез 009Е-30-40 универ. 3,0*40 (350шт.) жел.цинк</t>
  </si>
  <si>
    <t>307221</t>
  </si>
  <si>
    <t>Саморез 009Е-35-20 универ. 3,5*20 (700шт.) жел.цинк</t>
  </si>
  <si>
    <t>10722</t>
  </si>
  <si>
    <t>Саморез 009Е-35-30 универ. 3,5*30 (400шт.) жел.цинк</t>
  </si>
  <si>
    <t>24640</t>
  </si>
  <si>
    <t>Саморез SG универ. 2,5*10 (1000шт.) жел.цинк</t>
  </si>
  <si>
    <t>24641</t>
  </si>
  <si>
    <t>Саморез SG универ. 2,5*20 (1000шт.) жел.цинк</t>
  </si>
  <si>
    <t>24633</t>
  </si>
  <si>
    <t>Саморез SG универ. 3,5*20 (1000шт.) жел.цинк</t>
  </si>
  <si>
    <t>24626</t>
  </si>
  <si>
    <t>Саморез SG универ. 3*10 (1000шт.) жел.цинк</t>
  </si>
  <si>
    <t>24639</t>
  </si>
  <si>
    <t>Саморез SG универ. 4*25 (1000шт.) жел.цинк</t>
  </si>
  <si>
    <t>247 Анкерные болты с 6-гр гайкой</t>
  </si>
  <si>
    <t>24303</t>
  </si>
  <si>
    <t>Анкерный болт с 6-гр.гайк. 8*100 (4шт) 178С-08-100</t>
  </si>
  <si>
    <t>24342</t>
  </si>
  <si>
    <t>Анкерный болт с 6-гр.гайк. 8*120 (4шт) 178С-08-120</t>
  </si>
  <si>
    <t>24489</t>
  </si>
  <si>
    <t>Анкерный болт с 6-гр.гайк. HNM10*77 Tech-KREP /50/</t>
  </si>
  <si>
    <t>24490</t>
  </si>
  <si>
    <t>Анкерный болт с 6-гр.гайк. HNM10*97 Tech-KREP /60/</t>
  </si>
  <si>
    <t>24356</t>
  </si>
  <si>
    <t>Анкерный болт с 6-гр.гайк. HNM12*129 Тech-KREP /30/</t>
  </si>
  <si>
    <t>24427</t>
  </si>
  <si>
    <t>Анкерный болт с 6-гр.гайк. HNM16*65 Tech-KREP/30/</t>
  </si>
  <si>
    <t>24457</t>
  </si>
  <si>
    <t>Анкерный болт с 6-гр.гайк. HNM8*100 Tech-KREP /100/</t>
  </si>
  <si>
    <t>24459</t>
  </si>
  <si>
    <t>Анкерный болт с 6-гр.гайк. HNM8*120 Tech-KREP /100/</t>
  </si>
  <si>
    <t>24499</t>
  </si>
  <si>
    <t>Анкерный болт с 6-гр.гайк. HNM8*65 Tech-KREP /50/</t>
  </si>
  <si>
    <t>24458</t>
  </si>
  <si>
    <t>Анкерный болт с 6-гр.гайк. HNM8*85 Tech-KREP /60/</t>
  </si>
  <si>
    <t>24409</t>
  </si>
  <si>
    <t>Анкерный болт с 6-гр.гайк. двухрасп. HND12*100 Tech-KREP /25/</t>
  </si>
  <si>
    <t>248 Саморезы кровельные</t>
  </si>
  <si>
    <t>24815</t>
  </si>
  <si>
    <t>Саморез 026А-48-28 Кровельный 4,8*28 (14шт) цинк /24/</t>
  </si>
  <si>
    <t>24615</t>
  </si>
  <si>
    <t>Саморез 026А-48-64 Кровельный 4,8*64 (8шт) цинк /24/</t>
  </si>
  <si>
    <t>24623</t>
  </si>
  <si>
    <t>Саморез 026А-48-76 Кровельный 4,8*76 (6шт) цинк /24/</t>
  </si>
  <si>
    <t>24820</t>
  </si>
  <si>
    <t>Саморез 028А-55-32 Кровельный 5,5*32 (8шт) цинк /24/</t>
  </si>
  <si>
    <t>24618</t>
  </si>
  <si>
    <t>Саморез 028А-55-64 Кровельный 5,5*64 (6шт) цинк /24/</t>
  </si>
  <si>
    <t>24811</t>
  </si>
  <si>
    <t>Саморез Кровельный 4,8*29 (3005) винно-красн цинк Tech-KREP 1 штука</t>
  </si>
  <si>
    <t>24812</t>
  </si>
  <si>
    <t>Саморез Кровельный 4,8*29 (5024) синий цинк Tech-KREP 1 штука</t>
  </si>
  <si>
    <t>24813</t>
  </si>
  <si>
    <t>Саморез Кровельный 4,8*29 (8017) шок-коричн цинк Tech-KREP 1 штука</t>
  </si>
  <si>
    <t>24814</t>
  </si>
  <si>
    <t>Саморез Кровельный 4,8*29 (8019) корич цинк Tech-KREP 1 штука</t>
  </si>
  <si>
    <t>248300</t>
  </si>
  <si>
    <t>Саморез Кровельный 4,8*29 цинк Tech-KREP 1 штука</t>
  </si>
  <si>
    <t>248310</t>
  </si>
  <si>
    <t>Саморез Кровельный 4,8*35 цинк Tech-KREP 1 штука</t>
  </si>
  <si>
    <t>24801</t>
  </si>
  <si>
    <t>Саморез Кровельный 4,8*50 цинк Tech-KREP 1 штука</t>
  </si>
  <si>
    <t>24697</t>
  </si>
  <si>
    <t>Саморез Кровельный 4,8*64 цинк Tech-KREP 1 штука</t>
  </si>
  <si>
    <t>24824</t>
  </si>
  <si>
    <t>Саморез Кровельный 4,8*70 (150шт) цинк Tech-KREP</t>
  </si>
  <si>
    <t>248240</t>
  </si>
  <si>
    <t>Саморез Кровельный 4,8*70 цинк Tech-KREP 1 штука</t>
  </si>
  <si>
    <t>24809</t>
  </si>
  <si>
    <t>Саморез Кровельный 5,5*32 цинк Tech-KREP 1 штука</t>
  </si>
  <si>
    <t>248260</t>
  </si>
  <si>
    <t>Саморез Кровельный 5,5*38 цинк Tech-KREP 1 штука</t>
  </si>
  <si>
    <t>248270</t>
  </si>
  <si>
    <t>Саморез Кровельный 5,5*51 цинк Tech-KREP 1 штука</t>
  </si>
  <si>
    <t>24810</t>
  </si>
  <si>
    <t>Саморез Кровельный 5,5*64 цинк Tech-KREP 1 штука</t>
  </si>
  <si>
    <t>24625</t>
  </si>
  <si>
    <t>Саморез Кровельный 5,5*76 цинк Tech-KREP 1 штука</t>
  </si>
  <si>
    <t>24828</t>
  </si>
  <si>
    <t>Саморез Кровельный 6,3*19 цинк Tech-KREP 1 штука</t>
  </si>
  <si>
    <t>24800</t>
  </si>
  <si>
    <t>Саморез Кровельный 6,3*32 цинк Tech-KREP 1 штука</t>
  </si>
  <si>
    <t>24637</t>
  </si>
  <si>
    <t>Саморез Кровельный 6,3*51 цинк Tech-KREP 1 штука</t>
  </si>
  <si>
    <t>24512</t>
  </si>
  <si>
    <t>Саморез ПЕ-4,8*51 Кровельный цинк 1 штука</t>
  </si>
  <si>
    <t>249 Такелаж</t>
  </si>
  <si>
    <t>24381</t>
  </si>
  <si>
    <t>Зажим для стальных канатов оцинк. 14</t>
  </si>
  <si>
    <t>24960</t>
  </si>
  <si>
    <t>Зажим для стальных канатов оцинк. M10 DIN 741 /50/</t>
  </si>
  <si>
    <t>24961</t>
  </si>
  <si>
    <t>Зажим для стальных канатов оцинк. M12 DIN 741 /25/</t>
  </si>
  <si>
    <t>23113</t>
  </si>
  <si>
    <t>Карабин 8 см с код. замком. мет. розовый 468-060 /12/</t>
  </si>
  <si>
    <t>24973</t>
  </si>
  <si>
    <t>Карабин винтовой KB Д16 Tech-KREP /25/</t>
  </si>
  <si>
    <t>23992</t>
  </si>
  <si>
    <t>Карабин пожарный Д6, оцинк</t>
  </si>
  <si>
    <t>24900</t>
  </si>
  <si>
    <t>Коуш для стальных канатов покрытие цинк 3мм</t>
  </si>
  <si>
    <t>24963</t>
  </si>
  <si>
    <t>Крюк такелажный с фикс. KT DIN 689 M500 /48/</t>
  </si>
  <si>
    <t>24922</t>
  </si>
  <si>
    <t>Соединитель цепи C-LC 4 /250/</t>
  </si>
  <si>
    <t>24923</t>
  </si>
  <si>
    <t>Соединитель цепи C-LC 5 /150/</t>
  </si>
  <si>
    <t>24924</t>
  </si>
  <si>
    <t>Соединитель цепи C-LC 6 /50/</t>
  </si>
  <si>
    <t>24925</t>
  </si>
  <si>
    <t>Соединитель цепи C-LC 8 /100/</t>
  </si>
  <si>
    <t>24917</t>
  </si>
  <si>
    <t>Талреп кольцо-кольцо 10 оцинк. 1480 RR /100/</t>
  </si>
  <si>
    <t>24940</t>
  </si>
  <si>
    <t>Талреп кольцо-кольцо 12 оцинк. 1480 RR /70/</t>
  </si>
  <si>
    <t>24941</t>
  </si>
  <si>
    <t>Талреп кольцо-кольцо 6 оцинк. 1480 RR /300/</t>
  </si>
  <si>
    <t>24916</t>
  </si>
  <si>
    <t>Талреп кольцо-кольцо 8 оцинк. 1480 RR /300/</t>
  </si>
  <si>
    <t>23943</t>
  </si>
  <si>
    <t>Талреп крюк-кольцо 10 оцинк. 1480 НR /100/</t>
  </si>
  <si>
    <t>23933</t>
  </si>
  <si>
    <t>Талреп крюк-кольцо 12 оцинк. 1480 НR /70/</t>
  </si>
  <si>
    <t>24939</t>
  </si>
  <si>
    <t>Талреп крюк-кольцо 14 оцинк. 1480 НR /40/</t>
  </si>
  <si>
    <t>23953</t>
  </si>
  <si>
    <t>Талреп крюк-кольцо 16 оцинк. 1480 НR</t>
  </si>
  <si>
    <t>23964</t>
  </si>
  <si>
    <t>Талреп крюк-кольцо 6 оцинк. 1480 НR /300/</t>
  </si>
  <si>
    <t>24930</t>
  </si>
  <si>
    <t>Талреп крюк-кольцо 8 оцинк. 1480 НR /300/</t>
  </si>
  <si>
    <t>24937</t>
  </si>
  <si>
    <t>Талреп крюк-крюк 10 оцинк. 1480 НH /100/</t>
  </si>
  <si>
    <t>24915</t>
  </si>
  <si>
    <t>Талреп крюк-крюк 12 оцинк. 1480 НH /70/</t>
  </si>
  <si>
    <t>24914</t>
  </si>
  <si>
    <t>Талреп крюк-крюк 14 оцинк. 1480 НH /40/</t>
  </si>
  <si>
    <t>24936</t>
  </si>
  <si>
    <t>Талреп крюк-крюк 6 оцинк. 1480 НH /300/</t>
  </si>
  <si>
    <t>24938</t>
  </si>
  <si>
    <t>Талреп крюк-крюк 8 оцинк. 1480 НH /100/</t>
  </si>
  <si>
    <t>24903</t>
  </si>
  <si>
    <t>Талреп Ник</t>
  </si>
  <si>
    <t>24978</t>
  </si>
  <si>
    <t>Трос для растяжки в оплетке ПВХ М8/10 89 м</t>
  </si>
  <si>
    <t>8283</t>
  </si>
  <si>
    <t>Цанга латунная LAZ M10*40</t>
  </si>
  <si>
    <t>24942</t>
  </si>
  <si>
    <t>Цанга латунная LAZ M16</t>
  </si>
  <si>
    <t>24943</t>
  </si>
  <si>
    <t>Цанга латунная LAZ M20</t>
  </si>
  <si>
    <t>24965</t>
  </si>
  <si>
    <t>Цанга латунная LAZ M6</t>
  </si>
  <si>
    <t>24944</t>
  </si>
  <si>
    <t>Цанга латунная LAZ M8</t>
  </si>
  <si>
    <t>6127</t>
  </si>
  <si>
    <t>Цанга латунная М10*32</t>
  </si>
  <si>
    <t>6860</t>
  </si>
  <si>
    <t>Цанга латунная М12*16*50</t>
  </si>
  <si>
    <t>6129</t>
  </si>
  <si>
    <t>Цанга латунная М5*20</t>
  </si>
  <si>
    <t>6130</t>
  </si>
  <si>
    <t>Цанга латунная М6*24</t>
  </si>
  <si>
    <t>24390</t>
  </si>
  <si>
    <t>Цепь сварная длиннозвенная, оцинк. 2мм, 80м</t>
  </si>
  <si>
    <t>250-265 Фурнитура</t>
  </si>
  <si>
    <t>250 Фурнитура оконная</t>
  </si>
  <si>
    <t>25058</t>
  </si>
  <si>
    <t>Замок блокир. д/пласт.окна Dorf Защита от детей с ключом белый /25/</t>
  </si>
  <si>
    <t>25053</t>
  </si>
  <si>
    <t>Замок блокир. д/пласт.окна Ермак Защита от детей пластик блистер 634-032</t>
  </si>
  <si>
    <t>25049</t>
  </si>
  <si>
    <t>Замок оконный без ручки</t>
  </si>
  <si>
    <t>25001</t>
  </si>
  <si>
    <t>Оконный ограничитель д/пласт.окон Нытва белый 150мм /150/</t>
  </si>
  <si>
    <t>25023</t>
  </si>
  <si>
    <t>Оконный ограничитель д/пласт.окон с "гребенкой" белый 165 мм /50/</t>
  </si>
  <si>
    <t>25000</t>
  </si>
  <si>
    <t>Оконный ограничитель д/пласт.окон с "гребенкой" белый пластик -105 мм /50/</t>
  </si>
  <si>
    <t>25056</t>
  </si>
  <si>
    <t>Ручка внешняя для балкон.дверей металл белая 50мм /100/</t>
  </si>
  <si>
    <t>25059</t>
  </si>
  <si>
    <t>Ручка внешняя для балкон.дверей ПВХ WS белая 50мм /100/</t>
  </si>
  <si>
    <t>25055</t>
  </si>
  <si>
    <t>Ручка оконная белая алюмин Victori штифт 35 мм 8-поз с замком 1кл /100/</t>
  </si>
  <si>
    <t>25050</t>
  </si>
  <si>
    <t>Ручка оконная белая алюмин Victory штифт 35 мм 8-поз /100/</t>
  </si>
  <si>
    <t>25060</t>
  </si>
  <si>
    <t>Ручка оконная белая метал №303</t>
  </si>
  <si>
    <t>23117</t>
  </si>
  <si>
    <t>Ручка оконная белая с замком и ключом KL303A WW-ET белая 0817</t>
  </si>
  <si>
    <t>25445</t>
  </si>
  <si>
    <t>Стяжка оконная Ст60 Мв60 цинк белый 1-530.ЦБ</t>
  </si>
  <si>
    <t>25030</t>
  </si>
  <si>
    <t>Уголок оконный УГ 100-1 цинк /200/</t>
  </si>
  <si>
    <t>25033</t>
  </si>
  <si>
    <t>Уголок оконный УГ 125*125 цинк</t>
  </si>
  <si>
    <t>25039</t>
  </si>
  <si>
    <t>Уголок оконный УГ 75 белый</t>
  </si>
  <si>
    <t>25009</t>
  </si>
  <si>
    <t>Уголок оконный УГ 75-1 цинк /300/</t>
  </si>
  <si>
    <t>25016</t>
  </si>
  <si>
    <t>Уголок оконный УГ 75*-2 белый 1-501.Б</t>
  </si>
  <si>
    <t>251 Ручки-кнопки деревянные</t>
  </si>
  <si>
    <t>25132</t>
  </si>
  <si>
    <t>Ручка-кнопка дерев. Домарт мод.3 б/п</t>
  </si>
  <si>
    <t>25129</t>
  </si>
  <si>
    <t>Ручка-кнопка дерев. Домарт мод.3 белый</t>
  </si>
  <si>
    <t>25130</t>
  </si>
  <si>
    <t>Ручка-кнопка дерев. Домарт мод.3 белый антик</t>
  </si>
  <si>
    <t>25128</t>
  </si>
  <si>
    <t>Ручка-кнопка дерев. Домарт мод.3 бронза антик</t>
  </si>
  <si>
    <t>25123</t>
  </si>
  <si>
    <t>Ручка-кнопка дерев. Домарт мод.3 золото</t>
  </si>
  <si>
    <t>25122</t>
  </si>
  <si>
    <t>Ручка-кнопка дерев. Домарт мод.3 корич метал</t>
  </si>
  <si>
    <t>25113</t>
  </si>
  <si>
    <t>Ручка-кнопка дерев. Домарт мод.3 медь антик</t>
  </si>
  <si>
    <t>25112</t>
  </si>
  <si>
    <t>Ручка-кнопка дерев. Домарт мод.3 сер метал</t>
  </si>
  <si>
    <t>25169</t>
  </si>
  <si>
    <t>Ручка-кнопка дерев. Подольск 1Бб1 большая белая планка /30/</t>
  </si>
  <si>
    <t>25114</t>
  </si>
  <si>
    <t>Ручка-кнопка дерев. Подольск 1Бб1-1 большая белая планка пуговка /30/</t>
  </si>
  <si>
    <t>25111</t>
  </si>
  <si>
    <t>Ручка-кнопка дерев. Подольск 1Бс1 большая светлая планка /30/</t>
  </si>
  <si>
    <t>25163</t>
  </si>
  <si>
    <t>Ручка-кнопка дерев. Подольск 1Бс1-1 большая светлая пуговка пл. /30/</t>
  </si>
  <si>
    <t>25161</t>
  </si>
  <si>
    <t>Ручка-кнопка дерев. Подольск 1Бс2-1 большая светлая пуговка пл. мат. /30/</t>
  </si>
  <si>
    <t>25107</t>
  </si>
  <si>
    <t>Ручка-кнопка дерев. Подольск 1Бт1 большая темная зол.планка /30/</t>
  </si>
  <si>
    <t>25168</t>
  </si>
  <si>
    <t>Ручка-кнопка дерев. Подольск 1Бт1-1 большая темная пуговка пл. /30/</t>
  </si>
  <si>
    <t>25121</t>
  </si>
  <si>
    <t>Ручка-кнопка дерев. Подольск 1Бт2 большая темная планка мат. /30/</t>
  </si>
  <si>
    <t>25164</t>
  </si>
  <si>
    <t>Ручка-кнопка дерев. Подольск 1Бт2-1 большая темная пуговка мат. /30/</t>
  </si>
  <si>
    <t>25102</t>
  </si>
  <si>
    <t>Ручка-кнопка дерев. Подольск Бб1 большая белая /30/</t>
  </si>
  <si>
    <t>25104</t>
  </si>
  <si>
    <t>Ручка-кнопка дерев. Подольск Бб1-1 большая белая пуговка /30/</t>
  </si>
  <si>
    <t>25105</t>
  </si>
  <si>
    <t>Ручка-кнопка дерев. Подольск Бс1 большая светлая /30/</t>
  </si>
  <si>
    <t>25140</t>
  </si>
  <si>
    <t>Ручка-кнопка дерев. Подольск Бс1-1 большая светлая пуговка /30/</t>
  </si>
  <si>
    <t>25158</t>
  </si>
  <si>
    <t>Ручка-кнопка дерев. Подольск Бс2 большая светлая матовая /30/</t>
  </si>
  <si>
    <t>25116</t>
  </si>
  <si>
    <t>Ручка-кнопка дерев. Подольск Бс2-1 большая светлая пуговка мат. /30/</t>
  </si>
  <si>
    <t>25101</t>
  </si>
  <si>
    <t>Ручка-кнопка дерев. Подольск Бт1 большая темная глянц /30/</t>
  </si>
  <si>
    <t>25134</t>
  </si>
  <si>
    <t>Ручка-кнопка дерев. Подольск Бт1-1 большая темная пуговка /30/</t>
  </si>
  <si>
    <t>25118</t>
  </si>
  <si>
    <t>Ручка-кнопка дерев. Подольск Бт2 большая темная мат. /30/</t>
  </si>
  <si>
    <t>25120</t>
  </si>
  <si>
    <t>Ручка-кнопка дерев. Подольск Бт2-1 большая темная пуговка /30/</t>
  </si>
  <si>
    <t>25124</t>
  </si>
  <si>
    <t>Ручка-кнопка дерев. Подольск Мб1 малая белая /30/</t>
  </si>
  <si>
    <t>25133</t>
  </si>
  <si>
    <t>Ручка-кнопка дерев. Подольск Мб1-1 малая белая пуговка /30/</t>
  </si>
  <si>
    <t>25125</t>
  </si>
  <si>
    <t>Ручка-кнопка дерев. Подольск Мс1 малая светлая /30/</t>
  </si>
  <si>
    <t>25117</t>
  </si>
  <si>
    <t>Ручка-кнопка дерев. Подольск Мс1-1 малая светлая пуговка /30/</t>
  </si>
  <si>
    <t>25119</t>
  </si>
  <si>
    <t>Ручка-кнопка дерев. Подольск Мс2 малая светлая /30/</t>
  </si>
  <si>
    <t>25157</t>
  </si>
  <si>
    <t>Ручка-кнопка дерев. Подольск Мс2-1 малая светлая пуговка мат. /30/</t>
  </si>
  <si>
    <t>25126</t>
  </si>
  <si>
    <t>Ручка-кнопка дерев. Подольск Мт1 малая темная гл. /30/</t>
  </si>
  <si>
    <t>25138</t>
  </si>
  <si>
    <t>Ручка-кнопка дерев. Подольск Мт1-1 малая темная пуговка /30/</t>
  </si>
  <si>
    <t>25127</t>
  </si>
  <si>
    <t>Ручка-кнопка дерев. Подольск Мт2 малая темная мат. /30/</t>
  </si>
  <si>
    <t>25100</t>
  </si>
  <si>
    <t>Ручка-кнопка дерев. Подольск Мт2-1 малая темная пуговка мат. /30/</t>
  </si>
  <si>
    <t>252 Ручки-кнопки мебельные</t>
  </si>
  <si>
    <t>25210</t>
  </si>
  <si>
    <t>Ручка дверная металл белая /С/</t>
  </si>
  <si>
    <t>25291</t>
  </si>
  <si>
    <t>Ручка меб. 3024 золото 621-058</t>
  </si>
  <si>
    <t>25269</t>
  </si>
  <si>
    <t>Ручка меб. GG 0503 золото</t>
  </si>
  <si>
    <t>25272</t>
  </si>
  <si>
    <t>Ручка меб. GР 191A/MLK фарфор</t>
  </si>
  <si>
    <t>25273</t>
  </si>
  <si>
    <t>Ручка меб. KR 0503N патина на латуни</t>
  </si>
  <si>
    <t>25216</t>
  </si>
  <si>
    <t>Ручка меб. А-102.G3.G3 золото</t>
  </si>
  <si>
    <t>25242</t>
  </si>
  <si>
    <t>Ручка меб. А-125.G2 хром</t>
  </si>
  <si>
    <t>25222</t>
  </si>
  <si>
    <t>Ручка меб. капля 60мм бронза</t>
  </si>
  <si>
    <t>25244</t>
  </si>
  <si>
    <t>Ручка меб. капля 60мм зол. /90/</t>
  </si>
  <si>
    <t>25293</t>
  </si>
  <si>
    <t>Ручка меб. капля KL-343 AC PB золото 0311</t>
  </si>
  <si>
    <t>25294</t>
  </si>
  <si>
    <t>Ручка меб. капля KL-343 AC медь 0312</t>
  </si>
  <si>
    <t>25131</t>
  </si>
  <si>
    <t>Ручка меб. капля Аксельбант /90/</t>
  </si>
  <si>
    <t>25215</t>
  </si>
  <si>
    <t>Ручка меб. метал. медь Бамбук 6см 621-017</t>
  </si>
  <si>
    <t>25268</t>
  </si>
  <si>
    <t>Ручка меб. метал. Пик медь 621-014</t>
  </si>
  <si>
    <t>25248</t>
  </si>
  <si>
    <t>Ручка меб. метал. пласт. темн. бежевый</t>
  </si>
  <si>
    <t>25257</t>
  </si>
  <si>
    <t>Ручка меб. метал. пласт. темн. корич. матовая</t>
  </si>
  <si>
    <t>25240</t>
  </si>
  <si>
    <t>Ручка меб. РС-95 белое дерево /10/</t>
  </si>
  <si>
    <t>25247</t>
  </si>
  <si>
    <t>Ручка-кнопка 306 (5022) золото</t>
  </si>
  <si>
    <t>25296</t>
  </si>
  <si>
    <t>Ручка-кнопка меб. KL-346 AC медь 0395</t>
  </si>
  <si>
    <t>25297</t>
  </si>
  <si>
    <t>Ручка-кнопка меб. KL-346 PB золото 1091</t>
  </si>
  <si>
    <t>25205</t>
  </si>
  <si>
    <t>Ручка-кнопка меб. KL-40-6 М</t>
  </si>
  <si>
    <t>25201</t>
  </si>
  <si>
    <t>Ручка-кнопка меб. KL-40-8 М</t>
  </si>
  <si>
    <t>25202</t>
  </si>
  <si>
    <t>Ручка-кнопка меб. KL-46 PB золото 1052</t>
  </si>
  <si>
    <t>25298</t>
  </si>
  <si>
    <t>Ручка-кнопка меб. KL-49 PB золото 0407</t>
  </si>
  <si>
    <t>25229</t>
  </si>
  <si>
    <t>Ручка-кнопка меб. дерев. большая светлая /8/</t>
  </si>
  <si>
    <t>25226</t>
  </si>
  <si>
    <t>Ручка-кнопка меб. дерев. большая темная /8/</t>
  </si>
  <si>
    <t>25213</t>
  </si>
  <si>
    <t>Ручка-кнопка меб. дерев. малая темная /8/</t>
  </si>
  <si>
    <t>25207</t>
  </si>
  <si>
    <t>Ручка-кнопка меб. метал. Букетик 3см 621-004</t>
  </si>
  <si>
    <t>25250</t>
  </si>
  <si>
    <t>Ручка-кнопка меб. метал. Роза 621-005</t>
  </si>
  <si>
    <t>25203</t>
  </si>
  <si>
    <t>Ручка-кнопка меб. РДП-01-1 пластм. с кольцом белая /25/</t>
  </si>
  <si>
    <t>25206</t>
  </si>
  <si>
    <t>Ручка-кнопка меб. РДП-03-1 пластм. без кольца белая /25/</t>
  </si>
  <si>
    <t>25208</t>
  </si>
  <si>
    <t>Ручка-кнопка меб. РДП-03-3 пластм. без кольца темн. дерево /25/</t>
  </si>
  <si>
    <t>25220</t>
  </si>
  <si>
    <t>Ручка-кнопка меб. РК-23 латунированная №288 /10/</t>
  </si>
  <si>
    <t>25227</t>
  </si>
  <si>
    <t>Ручка-кнопка меб. РК-25 латунированная №283 /10/</t>
  </si>
  <si>
    <t>25260</t>
  </si>
  <si>
    <t>Ручка-кнопка меб. РК-25 тем. дерево</t>
  </si>
  <si>
    <t>25261</t>
  </si>
  <si>
    <t>Ручка-кнопка меб. РК-26 дерево /10/</t>
  </si>
  <si>
    <t>25235</t>
  </si>
  <si>
    <t>Ручка-кнопка меб. РК-30 светл. дерево №42 /10/</t>
  </si>
  <si>
    <t>25233</t>
  </si>
  <si>
    <t>Ручка-кнопка меб. РК-30 светлая белая /10/</t>
  </si>
  <si>
    <t>25237</t>
  </si>
  <si>
    <t>Ручка-кнопка меб. РК-30 темн. дерево /10/</t>
  </si>
  <si>
    <t>25238</t>
  </si>
  <si>
    <t>Ручка-кнопка меб. РК-30 темн. дерево №40 М-5 /10/</t>
  </si>
  <si>
    <t>25239</t>
  </si>
  <si>
    <t>Ручка-кнопка меб. РК-32 латунированная №49 /10/</t>
  </si>
  <si>
    <t>253 Ручки-кнопки/ кольцо</t>
  </si>
  <si>
    <t>25768</t>
  </si>
  <si>
    <t>Ручка дверная KL-65 SS мат.хром 0609</t>
  </si>
  <si>
    <t>25347</t>
  </si>
  <si>
    <t>Ручка-кнопка золото /10/120/</t>
  </si>
  <si>
    <t>25277</t>
  </si>
  <si>
    <t>Ручка-кнопка пластмассовая ВВ</t>
  </si>
  <si>
    <t>25310</t>
  </si>
  <si>
    <t>Ручка-кнопка пластмассовая РК1-7 белая Кунгур /25/</t>
  </si>
  <si>
    <t>25336</t>
  </si>
  <si>
    <t>Ручка-кнопка РД 001 (08 ш) Могилев антик медь /40/</t>
  </si>
  <si>
    <t>25338</t>
  </si>
  <si>
    <t>Ручка-кнопка РД 001 (08 ш) Могилев белая /40/</t>
  </si>
  <si>
    <t>25312</t>
  </si>
  <si>
    <t>Ручка-кнопка РД 001 (08 ш) Могилев бронза /40/</t>
  </si>
  <si>
    <t>25308</t>
  </si>
  <si>
    <t>Ручка-кнопка РД 001 (08 ш) Могилев золото /40/</t>
  </si>
  <si>
    <t>25315</t>
  </si>
  <si>
    <t>Ручка-кнопка РД 001 (08 ш) Могилев мрамор /40/</t>
  </si>
  <si>
    <t>25340</t>
  </si>
  <si>
    <t>Ручка-кнопка РД 001 (08 ш) Могилев серебро /40/</t>
  </si>
  <si>
    <t>25342</t>
  </si>
  <si>
    <t>Ручка-кнопка РД 001 (08 ш) Могилев хром /40/</t>
  </si>
  <si>
    <t>25300</t>
  </si>
  <si>
    <t>Ручка-кнопка РД 001 (08 ш) Могилев черная /40/</t>
  </si>
  <si>
    <t>25363</t>
  </si>
  <si>
    <t>Ручка-кнопка РД 002 (08 п) Могилев антик /35/</t>
  </si>
  <si>
    <t>25311</t>
  </si>
  <si>
    <t>Ручка-кнопка РД 002 (08 п) Могилев бронза /35/</t>
  </si>
  <si>
    <t>25320</t>
  </si>
  <si>
    <t>Ручка-кнопка РД 002 (08 п) Могилев золото /35/</t>
  </si>
  <si>
    <t>25232</t>
  </si>
  <si>
    <t>Ручка-кнопка РД 002 (08 п) Могилев мрамор /35/</t>
  </si>
  <si>
    <t>25304</t>
  </si>
  <si>
    <t>Ручка-кнопка РД 002 (08 п) Могилев серебро /35/</t>
  </si>
  <si>
    <t>25243</t>
  </si>
  <si>
    <t>Ручка-кнопка РД 002 (08 п) Могилев хром /35/</t>
  </si>
  <si>
    <t>25345</t>
  </si>
  <si>
    <t>Ручка-кнопка РД 002 (08 п) Могилев черная /35/</t>
  </si>
  <si>
    <t>25349</t>
  </si>
  <si>
    <t>Ручка-кнопка РДК Могилев антик мед. /40/</t>
  </si>
  <si>
    <t>25350</t>
  </si>
  <si>
    <t>Ручка-кнопка РДК Могилев белая /40/</t>
  </si>
  <si>
    <t>25353</t>
  </si>
  <si>
    <t>Ручка-кнопка РДК Могилев бронза /40/</t>
  </si>
  <si>
    <t>25359</t>
  </si>
  <si>
    <t>Ручка-кнопка РДК Могилев золото /40/</t>
  </si>
  <si>
    <t>25360</t>
  </si>
  <si>
    <t>Ручка-кнопка РДК Могилев мрамор /40/</t>
  </si>
  <si>
    <t>25361</t>
  </si>
  <si>
    <t>Ручка-кнопка РДК Могилев серебро /40/</t>
  </si>
  <si>
    <t>25221</t>
  </si>
  <si>
    <t>Ручка-кнопка РДК Могилев хром /40/</t>
  </si>
  <si>
    <t>25364</t>
  </si>
  <si>
    <t>Ручка-кнопка РДК Могилев черный /40/</t>
  </si>
  <si>
    <t>25352</t>
  </si>
  <si>
    <t>Ручка-кнопка РК-2-04 Курск медь</t>
  </si>
  <si>
    <t>25301</t>
  </si>
  <si>
    <t>Ручка-кнопка РК1-18-3 Георгин Алапаевск белая /20/</t>
  </si>
  <si>
    <t>25355</t>
  </si>
  <si>
    <t>Ручка-кольцо Лева с Могилева ст. медь</t>
  </si>
  <si>
    <t>25356</t>
  </si>
  <si>
    <t>Ручка-кольцо Лева с Могилева ст.бронза</t>
  </si>
  <si>
    <t>25337</t>
  </si>
  <si>
    <t>Ручка-кольцо Лева с Могилева ст.серебро</t>
  </si>
  <si>
    <t>25339</t>
  </si>
  <si>
    <t>Ручка-кольцо РК-100 мод 1 бронза антик</t>
  </si>
  <si>
    <t>25358</t>
  </si>
  <si>
    <t>Ручка-кольцо РК-100 мод 1 медь антик</t>
  </si>
  <si>
    <t>25362</t>
  </si>
  <si>
    <t>Ручка-кольцо РК-100 мод 1 черный</t>
  </si>
  <si>
    <t>25365</t>
  </si>
  <si>
    <t>Ручка-кольцо РК-110 мод 3 бронза антик</t>
  </si>
  <si>
    <t>25366</t>
  </si>
  <si>
    <t>Ручка-кольцо РК-110 мод 3 медь антик</t>
  </si>
  <si>
    <t>25378</t>
  </si>
  <si>
    <t>Ручка-кольцо РК-80 Кострома мод 5 черн</t>
  </si>
  <si>
    <t>25377</t>
  </si>
  <si>
    <t>Ручка-кольцо РК-80 Кострома мод 5 чернен серебро</t>
  </si>
  <si>
    <t>25368</t>
  </si>
  <si>
    <t>Ручка-кольцо РК-80 мод 1 бронза антик</t>
  </si>
  <si>
    <t>25369</t>
  </si>
  <si>
    <t>Ручка-кольцо РК-80 мод 1 медь антик</t>
  </si>
  <si>
    <t>25370</t>
  </si>
  <si>
    <t>Ручка-кольцо РК-80 мод 1 черный</t>
  </si>
  <si>
    <t>25371</t>
  </si>
  <si>
    <t>Ручка-кольцо РК-80 мод 2 бронза антик</t>
  </si>
  <si>
    <t>25372</t>
  </si>
  <si>
    <t>Ручка-кольцо РК-80 мод 2 медь антик</t>
  </si>
  <si>
    <t>25373</t>
  </si>
  <si>
    <t>Ручка-кольцо РК-80 мод 2 черный</t>
  </si>
  <si>
    <t>25374</t>
  </si>
  <si>
    <t>Ручка-кольцо РК-80 мод 3 бронза антик</t>
  </si>
  <si>
    <t>25375</t>
  </si>
  <si>
    <t>Ручка-кольцо РК-80 мод 3 медь антик</t>
  </si>
  <si>
    <t>25376</t>
  </si>
  <si>
    <t>Ручка-кольцо РК-80 мод 3 черный</t>
  </si>
  <si>
    <t>254 Фурнитура мебельная</t>
  </si>
  <si>
    <t>25402</t>
  </si>
  <si>
    <t>Ввертыш мебельный</t>
  </si>
  <si>
    <t>23109</t>
  </si>
  <si>
    <t>Задвижка мебельная /С/</t>
  </si>
  <si>
    <t>48407</t>
  </si>
  <si>
    <t>Защита для мебели универсальная 4*4*0,8 см 4 шт силикон 4 цв 416-177</t>
  </si>
  <si>
    <t>25426</t>
  </si>
  <si>
    <t>Защита для углов каучук 6*3 см 3 цв. 639-051</t>
  </si>
  <si>
    <t>25499</t>
  </si>
  <si>
    <t>Защита для углов мебели 4 шт VL90-158 /48/96/</t>
  </si>
  <si>
    <t>25411</t>
  </si>
  <si>
    <t>Защита для углов силиконовая 4 см ПВХ 2 диз. 639-050 /12/</t>
  </si>
  <si>
    <t>25351</t>
  </si>
  <si>
    <t>Кронштейн д/мебельной опоры М10</t>
  </si>
  <si>
    <t>25459</t>
  </si>
  <si>
    <t>Магнитная защелка меб. KL-31-B 0803</t>
  </si>
  <si>
    <t>23976</t>
  </si>
  <si>
    <t>Магнитная защелка меб. большая белая /40/</t>
  </si>
  <si>
    <t>23977</t>
  </si>
  <si>
    <t>Магнитная защелка меб. большая коричневая /40/</t>
  </si>
  <si>
    <t>25442</t>
  </si>
  <si>
    <t>Магнитная защелка меб. малая коричневая /50/</t>
  </si>
  <si>
    <t>25409</t>
  </si>
  <si>
    <t>Магнитная защелка меб. средняя белая /50/</t>
  </si>
  <si>
    <t>25559</t>
  </si>
  <si>
    <t>Магнитная защелка меб. средняя коричневая /50/</t>
  </si>
  <si>
    <t>25703</t>
  </si>
  <si>
    <t>Набор для стеклянных дверей ВВ</t>
  </si>
  <si>
    <t>63799</t>
  </si>
  <si>
    <t>Набор для установки стеклян.дверей (никель)</t>
  </si>
  <si>
    <t>25013</t>
  </si>
  <si>
    <t>Палкодержатель пластм. цветная ВВ</t>
  </si>
  <si>
    <t>80810</t>
  </si>
  <si>
    <t>Палкодержатель пластм. черный ВВ</t>
  </si>
  <si>
    <t>25469</t>
  </si>
  <si>
    <t>Петля меб. KL-262 0465 /60/</t>
  </si>
  <si>
    <t>25344</t>
  </si>
  <si>
    <t>Петля меб. Лягушка 639-073 /20/</t>
  </si>
  <si>
    <t>25490</t>
  </si>
  <si>
    <t>Петля меб. Лягушка никель прямая малая /100/400/</t>
  </si>
  <si>
    <t>25424</t>
  </si>
  <si>
    <t>Петля меб. Лягушка никель складная малая /10/</t>
  </si>
  <si>
    <t>25552</t>
  </si>
  <si>
    <t>Петля меб. Лягушка угловая малая /100/</t>
  </si>
  <si>
    <t>25491</t>
  </si>
  <si>
    <t>Подвеска для полок угловая с креплением</t>
  </si>
  <si>
    <t>25408</t>
  </si>
  <si>
    <t>Подвеска мебельная Н-105 цинк /300/</t>
  </si>
  <si>
    <t>25437</t>
  </si>
  <si>
    <t>Подвеска мебельная Н-65 цинк /500/</t>
  </si>
  <si>
    <t>25494</t>
  </si>
  <si>
    <t>Подпятник мебельный</t>
  </si>
  <si>
    <t>25481</t>
  </si>
  <si>
    <t>Протекторы для мебели 4 шт. MS45-22 /12/144/</t>
  </si>
  <si>
    <t>25403</t>
  </si>
  <si>
    <t>Протекторы для мебели 6 шт. MS45-21 /12/144/</t>
  </si>
  <si>
    <t>25498</t>
  </si>
  <si>
    <t>Стяжка мебельная (комплект)</t>
  </si>
  <si>
    <t>255 Доводчики</t>
  </si>
  <si>
    <t>25502</t>
  </si>
  <si>
    <t>Доводчик №2 до 50кг Нора золото 602 морозостойкий /10/</t>
  </si>
  <si>
    <t>25504</t>
  </si>
  <si>
    <t>Доводчик №2 до 50кг Нора сереб. 602 морозостойкий /10/</t>
  </si>
  <si>
    <t>25506</t>
  </si>
  <si>
    <t>Доводчик №3 до 80кг Нора белый 603 большой морозостойкий /10/</t>
  </si>
  <si>
    <t>25541</t>
  </si>
  <si>
    <t>Доводчик №3 до 80кг Нора белый малый морозостойкий /10/</t>
  </si>
  <si>
    <t>25507</t>
  </si>
  <si>
    <t>Доводчик №3 до 80кг Нора золото большой морозостойкий /10/</t>
  </si>
  <si>
    <t>25508</t>
  </si>
  <si>
    <t>Доводчик №3 до 80кг Нора золото малый морозостойкий /10/</t>
  </si>
  <si>
    <t>25582</t>
  </si>
  <si>
    <t>Доводчик №3 до 80кг Нора коричн. малый морозостойкий /10/</t>
  </si>
  <si>
    <t>25533</t>
  </si>
  <si>
    <t>Доводчик №3 до 80кг Нора сереб. малый морозостойкий /10/</t>
  </si>
  <si>
    <t>25537</t>
  </si>
  <si>
    <t>Доводчик №4 до 120кг Нора белый 604 /10/</t>
  </si>
  <si>
    <t>25512</t>
  </si>
  <si>
    <t>Доводчик №4 до 120кг Нора золото 604 /10/</t>
  </si>
  <si>
    <t>25551</t>
  </si>
  <si>
    <t>Доводчик №4 до 120кг Нора коричн. 604 морозостойкий /10/</t>
  </si>
  <si>
    <t>25531</t>
  </si>
  <si>
    <t>Доводчик №4 до 120кг Нора сереб. 604 морозостойкий /10/</t>
  </si>
  <si>
    <t>25514</t>
  </si>
  <si>
    <t>Доводчик №5 до 160кг Нора белый 605 морозостойкий /10/</t>
  </si>
  <si>
    <t>25553</t>
  </si>
  <si>
    <t>Доводчик №5 до 160кг Нора бронза морозостойкий /10/</t>
  </si>
  <si>
    <t>25515</t>
  </si>
  <si>
    <t>Доводчик №5 до 160кг Нора золото 605 /10/</t>
  </si>
  <si>
    <t>25563</t>
  </si>
  <si>
    <t>Доводчик №5 до 160кг Нора коричн. 605 морозостойкий /10/</t>
  </si>
  <si>
    <t>25517</t>
  </si>
  <si>
    <t>Доводчик ДО2-080 морозостойкий белый /10/</t>
  </si>
  <si>
    <t>25522</t>
  </si>
  <si>
    <t>Доводчик ДО2-080 морозостойкий серебро /10/</t>
  </si>
  <si>
    <t>25536</t>
  </si>
  <si>
    <t>Доводчик Сазар ДО1-150 золото</t>
  </si>
  <si>
    <t>256 Ручки-скобы</t>
  </si>
  <si>
    <t>25657</t>
  </si>
  <si>
    <t>Ручка-скоба Винтаж РС 250-05 черная</t>
  </si>
  <si>
    <t>25655</t>
  </si>
  <si>
    <t>Ручка-скоба Винтаж РС 250-SL оксид. /30/</t>
  </si>
  <si>
    <t>25646</t>
  </si>
  <si>
    <t>Ручка-скоба Винтаж-2 РС 250-S черная мат. /10/</t>
  </si>
  <si>
    <t>25659</t>
  </si>
  <si>
    <t>Ручка-скоба Дебют 2 РС 250-SL черная мат./бук /10/</t>
  </si>
  <si>
    <t>25663</t>
  </si>
  <si>
    <t>Ручка-скоба Дебют 2 РС 300-SL черная мат./бук /10/</t>
  </si>
  <si>
    <t>25658</t>
  </si>
  <si>
    <t>Ручка-скоба Дебют РС 250-53 черная</t>
  </si>
  <si>
    <t>25601</t>
  </si>
  <si>
    <t>Ручка-скоба дерев. Домарт мод.1 б/п</t>
  </si>
  <si>
    <t>25612</t>
  </si>
  <si>
    <t>Ручка-скоба дерев. Домарт мод.1 белый</t>
  </si>
  <si>
    <t>25608</t>
  </si>
  <si>
    <t>Ручка-скоба дерев. Домарт мод.1 белый антик</t>
  </si>
  <si>
    <t>25614</t>
  </si>
  <si>
    <t>Ручка-скоба дерев. Домарт мод.1 бронза антик</t>
  </si>
  <si>
    <t>25615</t>
  </si>
  <si>
    <t>Ручка-скоба дерев. Домарт мод.1 золото</t>
  </si>
  <si>
    <t>25617</t>
  </si>
  <si>
    <t>Ручка-скоба дерев. Домарт мод.1 корич метал</t>
  </si>
  <si>
    <t>25620</t>
  </si>
  <si>
    <t>Ручка-скоба дерев. Домарт мод.1 медь антик</t>
  </si>
  <si>
    <t>25621</t>
  </si>
  <si>
    <t>Ручка-скоба дерев. Домарт мод.1 серый метал</t>
  </si>
  <si>
    <t>25625</t>
  </si>
  <si>
    <t>Ручка-скоба дерев. Домарт мод.1 хром</t>
  </si>
  <si>
    <t>25628</t>
  </si>
  <si>
    <t>Ручка-скоба дерев. Домарт мод.1 черн</t>
  </si>
  <si>
    <t>25645</t>
  </si>
  <si>
    <t>Ручка-скоба дерев. Домарт мод.2 без лака черный</t>
  </si>
  <si>
    <t>25656</t>
  </si>
  <si>
    <t>Ручка-скоба дерев. РС 200 банная фигурная</t>
  </si>
  <si>
    <t>25634</t>
  </si>
  <si>
    <t>Ручка-скоба дерев. РС-140-ТР банная Н.Новгород /50/</t>
  </si>
  <si>
    <t>25629</t>
  </si>
  <si>
    <t>Ручка-скоба дерев. РС-180 банная плоская Н.Новгород /60/</t>
  </si>
  <si>
    <t>25652</t>
  </si>
  <si>
    <t>Ручка-скоба дерев. РС-200 банная  /60/</t>
  </si>
  <si>
    <t>25631</t>
  </si>
  <si>
    <t>Ручка-скоба дерев. РС-200-ТР банная Н.Новгород /50/</t>
  </si>
  <si>
    <t>25604</t>
  </si>
  <si>
    <t>Ручка-скоба дерев. РС-300 ТР /40/</t>
  </si>
  <si>
    <t>25632</t>
  </si>
  <si>
    <t>Ручка-скоба дерев. РС100 /80/</t>
  </si>
  <si>
    <t>25633</t>
  </si>
  <si>
    <t>Ручка-скоба дерев. РС100 ТР /80/</t>
  </si>
  <si>
    <t>25678</t>
  </si>
  <si>
    <t>Ручка-скоба дерев. РС140 оксид /80/</t>
  </si>
  <si>
    <t>25635</t>
  </si>
  <si>
    <t>Ручка-скоба дерев. РС140 ТР /80/</t>
  </si>
  <si>
    <t>25640</t>
  </si>
  <si>
    <t>Ручка-скоба дерев. РС200-ТР /60/</t>
  </si>
  <si>
    <t>25638</t>
  </si>
  <si>
    <t>Ручка-скоба дерев. РС80 ТР /80/</t>
  </si>
  <si>
    <t>25695</t>
  </si>
  <si>
    <t>Ручка-скоба Домарт 180 мм белый</t>
  </si>
  <si>
    <t>25694</t>
  </si>
  <si>
    <t>Ручка-скоба Домарт 180 мм белый антик</t>
  </si>
  <si>
    <t>25696</t>
  </si>
  <si>
    <t>Ручка-скоба Домарт 180 мм бронза антик</t>
  </si>
  <si>
    <t>25697</t>
  </si>
  <si>
    <t>Ручка-скоба Домарт 180 мм золото</t>
  </si>
  <si>
    <t>25698</t>
  </si>
  <si>
    <t>Ручка-скоба Домарт 180 мм корич метал</t>
  </si>
  <si>
    <t>25605</t>
  </si>
  <si>
    <t>Ручка-скоба Домарт 180 мм серый метал</t>
  </si>
  <si>
    <t>25651</t>
  </si>
  <si>
    <t>Ручка-скоба Домарт 185 мм бронза антик</t>
  </si>
  <si>
    <t>25662</t>
  </si>
  <si>
    <t>Ручка-скоба Домарт 250 мм б/п</t>
  </si>
  <si>
    <t>25664</t>
  </si>
  <si>
    <t>Ручка-скоба Домарт 250 мм белый антик</t>
  </si>
  <si>
    <t>25639</t>
  </si>
  <si>
    <t>Ручка-скоба Домарт 250 мм бронза антик</t>
  </si>
  <si>
    <t>25649</t>
  </si>
  <si>
    <t>Ручка-скоба Домарт 250 мм золото</t>
  </si>
  <si>
    <t>25670</t>
  </si>
  <si>
    <t>Ручка-скоба Домарт 250 мм корич метал</t>
  </si>
  <si>
    <t>25618</t>
  </si>
  <si>
    <t>Ручка-скоба Домарт 250 мм серый метал</t>
  </si>
  <si>
    <t>25611</t>
  </si>
  <si>
    <t>Ручка-скоба Домарт 250 мм хром</t>
  </si>
  <si>
    <t>25610</t>
  </si>
  <si>
    <t>Ручка-скоба Домарт 250 мм черн</t>
  </si>
  <si>
    <t>25676</t>
  </si>
  <si>
    <t>Ручка-скоба Домарт мод.4 225 мм б/п</t>
  </si>
  <si>
    <t>25677</t>
  </si>
  <si>
    <t>Ручка-скоба Домарт мод.4 225 мм белый антик</t>
  </si>
  <si>
    <t>25680</t>
  </si>
  <si>
    <t>Ручка-скоба Домарт мод.4 225 мм бронза антик</t>
  </si>
  <si>
    <t>25681</t>
  </si>
  <si>
    <t>Ручка-скоба Домарт мод.4 225 мм медь антик</t>
  </si>
  <si>
    <t>25682</t>
  </si>
  <si>
    <t>Ручка-скоба Домарт мод.4 225 мм черн</t>
  </si>
  <si>
    <t>25683</t>
  </si>
  <si>
    <t>Ручка-скоба Домарт мод.4 250 мм б/п</t>
  </si>
  <si>
    <t>25684</t>
  </si>
  <si>
    <t>Ручка-скоба Домарт мод.4 250 мм белый антик</t>
  </si>
  <si>
    <t>25685</t>
  </si>
  <si>
    <t>Ручка-скоба Домарт мод.4 250 мм бронза антик</t>
  </si>
  <si>
    <t>25686</t>
  </si>
  <si>
    <t>Ручка-скоба Домарт мод.4 250 мм медь антик</t>
  </si>
  <si>
    <t>25687</t>
  </si>
  <si>
    <t>Ручка-скоба Домарт мод.4 320 мм б/п</t>
  </si>
  <si>
    <t>25688</t>
  </si>
  <si>
    <t>Ручка-скоба Домарт мод.4 320 мм белый антик</t>
  </si>
  <si>
    <t>25689</t>
  </si>
  <si>
    <t>Ручка-скоба Домарт мод.4 320 мм бронза антик</t>
  </si>
  <si>
    <t>25690</t>
  </si>
  <si>
    <t>Ручка-скоба Домарт мод.4 320 мм медь антик</t>
  </si>
  <si>
    <t>25691</t>
  </si>
  <si>
    <t>Ручка-скоба Домарт мод.4 320 мм черн</t>
  </si>
  <si>
    <t>25648</t>
  </si>
  <si>
    <t>Ручка-скоба Домарт мод.5 205 мм черный /10/</t>
  </si>
  <si>
    <t>25600</t>
  </si>
  <si>
    <t>Ручка-скоба Металлист РС100-3 /60/</t>
  </si>
  <si>
    <t>25613</t>
  </si>
  <si>
    <t>Ручка-скоба Металлист РС100-5 /50/</t>
  </si>
  <si>
    <t>25616</t>
  </si>
  <si>
    <t>Ручка-скоба Металлист РС120 /50/</t>
  </si>
  <si>
    <t>25622</t>
  </si>
  <si>
    <t>Ручка-скоба Металлист РС125 /50/</t>
  </si>
  <si>
    <t>25623</t>
  </si>
  <si>
    <t>Ручка-скоба Металлист РС50 /150/</t>
  </si>
  <si>
    <t>25669</t>
  </si>
  <si>
    <t>Ручка-скоба Металлист РС65 /20/</t>
  </si>
  <si>
    <t>25672</t>
  </si>
  <si>
    <t>Ручка-скоба Металлист РС68 /20/</t>
  </si>
  <si>
    <t>25619</t>
  </si>
  <si>
    <t>Ручка-скоба Металлист РС70 /150/</t>
  </si>
  <si>
    <t>25654</t>
  </si>
  <si>
    <t>Ручка-скоба Металлист РС71 /12/</t>
  </si>
  <si>
    <t>25673</t>
  </si>
  <si>
    <t>Ручка-скоба Металлист РС80-2 /23/</t>
  </si>
  <si>
    <t>25675</t>
  </si>
  <si>
    <t>Ручка-скоба Металлист РС80-3 пол. белый /80/</t>
  </si>
  <si>
    <t>25627</t>
  </si>
  <si>
    <t>Ручка-скоба Металлист РС80-3 цинк. /150/</t>
  </si>
  <si>
    <t>25609</t>
  </si>
  <si>
    <t>Ручка-скоба Металлист РС88 /24/</t>
  </si>
  <si>
    <t>25626</t>
  </si>
  <si>
    <t>Ручка-скоба Металлист РС90 /96/</t>
  </si>
  <si>
    <t>25641</t>
  </si>
  <si>
    <t>Ручка-скоба Секрет РС 100 цинк /80/</t>
  </si>
  <si>
    <t>25665</t>
  </si>
  <si>
    <t>Ручка-скоба Секрет РС 80 цинк /100/</t>
  </si>
  <si>
    <t>257 Дверная фурнитура</t>
  </si>
  <si>
    <t>25790</t>
  </si>
  <si>
    <t>Завертка дверная Домарт хром</t>
  </si>
  <si>
    <t>25720</t>
  </si>
  <si>
    <t>Ограничитель дверной 100 золото</t>
  </si>
  <si>
    <t>25721</t>
  </si>
  <si>
    <t>Ограничитель дверной 101 золото</t>
  </si>
  <si>
    <t>25733</t>
  </si>
  <si>
    <t>Ограничитель дверной 103 золото</t>
  </si>
  <si>
    <t>25734</t>
  </si>
  <si>
    <t>Ограничитель дверной 106 мат.золото</t>
  </si>
  <si>
    <t>25735</t>
  </si>
  <si>
    <t>Ограничитель дверной 108 золото</t>
  </si>
  <si>
    <t>25749</t>
  </si>
  <si>
    <t>Ограничитель дверной магнитный пластик-мет 2 цв. 416-083</t>
  </si>
  <si>
    <t>25754</t>
  </si>
  <si>
    <t>Ограничитель дверной напольный белый /100/</t>
  </si>
  <si>
    <t>25757</t>
  </si>
  <si>
    <t>Стопор дверной 2,6*3см 2шт. ПВХ прозрачный 416-081</t>
  </si>
  <si>
    <t>25727</t>
  </si>
  <si>
    <t>Стопор дверной 3*2,5 см 2 шт. 3 цв. 639-006 /12/</t>
  </si>
  <si>
    <t>25791</t>
  </si>
  <si>
    <t>Стопор дверной 4 шт. на саморезах 416-165 /6/288/</t>
  </si>
  <si>
    <t>25795</t>
  </si>
  <si>
    <t>Стопор дверной KL-115 NO-1 AC медь 0322</t>
  </si>
  <si>
    <t>25793</t>
  </si>
  <si>
    <t>Стопор дверной KL-115 NO-1 PB золото 0320</t>
  </si>
  <si>
    <t>25774</t>
  </si>
  <si>
    <t>Стопор дверной KL-1212 AC медь 0393</t>
  </si>
  <si>
    <t>25769</t>
  </si>
  <si>
    <t>Стопор дверной KL-123 PB золото 0386</t>
  </si>
  <si>
    <t>25739</t>
  </si>
  <si>
    <t>Упор дверной 688-1 золото 602-036</t>
  </si>
  <si>
    <t>25740</t>
  </si>
  <si>
    <t>Упор дверной 688-3 золото 602-031</t>
  </si>
  <si>
    <t>25747</t>
  </si>
  <si>
    <t>Упор дверной 803 хром мет. 602-116</t>
  </si>
  <si>
    <t>25738</t>
  </si>
  <si>
    <t>Упор дверной 99499 медь мет. 602-120</t>
  </si>
  <si>
    <t>25711</t>
  </si>
  <si>
    <t>Упор дверной золото 99499 602-001</t>
  </si>
  <si>
    <t>25714</t>
  </si>
  <si>
    <t>Упор дверной мод. 300*25 матов. золото SB CDS004M AMIG</t>
  </si>
  <si>
    <t>25724</t>
  </si>
  <si>
    <t>Упор настенный №120 большой, золото /36/</t>
  </si>
  <si>
    <t>25718</t>
  </si>
  <si>
    <t>Упор-отбойник дверной Д6 см NY45-5 /12/288/</t>
  </si>
  <si>
    <t>25713</t>
  </si>
  <si>
    <t>Упоры-отбойники дверной 2 шт. нерж. MS45-6 /12/288/</t>
  </si>
  <si>
    <t>25717</t>
  </si>
  <si>
    <t>Упоры-отбойники дверной 2 шт. нерж. с покрытием MS45-7 /12/288/</t>
  </si>
  <si>
    <t>25776</t>
  </si>
  <si>
    <t>Упоры-отбойники дверной 2 шт. Эконом MS45-8 /12/144/</t>
  </si>
  <si>
    <t>25753</t>
  </si>
  <si>
    <t>Цепочка дверная №4 золото /20/</t>
  </si>
  <si>
    <t>25700</t>
  </si>
  <si>
    <t>Цепочка дверная №4 хром /20/</t>
  </si>
  <si>
    <t>258 Цифры</t>
  </si>
  <si>
    <t>23931</t>
  </si>
  <si>
    <t>Цифра дверного номера "0" самокл. /150/</t>
  </si>
  <si>
    <t>25828</t>
  </si>
  <si>
    <t>Цифра дверного номера "1" самокл. /150/</t>
  </si>
  <si>
    <t>11718</t>
  </si>
  <si>
    <t>Цифра дверного номера "2" самокл. /150/</t>
  </si>
  <si>
    <t>11719</t>
  </si>
  <si>
    <t>Цифра дверного номера "3" самокл. /150/</t>
  </si>
  <si>
    <t>23934</t>
  </si>
  <si>
    <t>Цифра дверного номера "4" самокл. /150/</t>
  </si>
  <si>
    <t>23935</t>
  </si>
  <si>
    <t>Цифра дверного номера "5" самокл. /150/</t>
  </si>
  <si>
    <t>23936</t>
  </si>
  <si>
    <t>Цифра дверного номера "6" самокл. /150/</t>
  </si>
  <si>
    <t>23937</t>
  </si>
  <si>
    <t>Цифра дверного номера "7" самокл. /150/</t>
  </si>
  <si>
    <t>23938</t>
  </si>
  <si>
    <t>Цифра дверного номера "8" самокл. /150/</t>
  </si>
  <si>
    <t>25827</t>
  </si>
  <si>
    <t>Цифра дверного номера "9" самокл. /150/</t>
  </si>
  <si>
    <t>25819</t>
  </si>
  <si>
    <t>Цифра дверного номера KL-92-0 "0"</t>
  </si>
  <si>
    <t>25798</t>
  </si>
  <si>
    <t>Цифра дверного номера KL-92-2 мал 0706 4518</t>
  </si>
  <si>
    <t>25821</t>
  </si>
  <si>
    <t>Цифра дверного номера KL-92-4 "4"</t>
  </si>
  <si>
    <t>25822</t>
  </si>
  <si>
    <t>Цифра дверного номера KL-92-5 "5"</t>
  </si>
  <si>
    <t>25823</t>
  </si>
  <si>
    <t>Цифра дверного номера KL-92-6 "6"</t>
  </si>
  <si>
    <t>25824</t>
  </si>
  <si>
    <t>Цифра дверного номера KL-92-7 "7"</t>
  </si>
  <si>
    <t>25825</t>
  </si>
  <si>
    <t>Цифра дверного номера KL-92-8 "8"</t>
  </si>
  <si>
    <t>25826</t>
  </si>
  <si>
    <t>Цифра дверного номера KL-92-9 "9"</t>
  </si>
  <si>
    <t>25800</t>
  </si>
  <si>
    <t>Цифра дверного номера Алюр "0"</t>
  </si>
  <si>
    <t>25802</t>
  </si>
  <si>
    <t>Цифра дверного номера Алюр "2"</t>
  </si>
  <si>
    <t>25804</t>
  </si>
  <si>
    <t>Цифра дверного номера Алюр "3"</t>
  </si>
  <si>
    <t>25805</t>
  </si>
  <si>
    <t>Цифра дверного номера Алюр "4"</t>
  </si>
  <si>
    <t>25803</t>
  </si>
  <si>
    <t>Цифра дверного номера Алюр "6"</t>
  </si>
  <si>
    <t>25808</t>
  </si>
  <si>
    <t>Цифра дверного номера Алюр "8"</t>
  </si>
  <si>
    <t>25809</t>
  </si>
  <si>
    <t>Цифра дверного номера Алюр "9"</t>
  </si>
  <si>
    <t>25810</t>
  </si>
  <si>
    <t>Цифра дверного номера пластм.самокл.золото "0"</t>
  </si>
  <si>
    <t>25812</t>
  </si>
  <si>
    <t>Цифра дверного номера пластм.самокл.золото "4"</t>
  </si>
  <si>
    <t>25813</t>
  </si>
  <si>
    <t>Цифра дверного номера пластм.самокл.золото "5"</t>
  </si>
  <si>
    <t>25814</t>
  </si>
  <si>
    <t>Цифра дверного номера пластм.самокл.золото "7"</t>
  </si>
  <si>
    <t>25815</t>
  </si>
  <si>
    <t>Цифра дверного номера пластм.самокл.золото "8"</t>
  </si>
  <si>
    <t>25816</t>
  </si>
  <si>
    <t>Цифра дверного номера пластм.самокл.золото "9"</t>
  </si>
  <si>
    <t>259 Уголки для полок/Кронштейны</t>
  </si>
  <si>
    <t>23064</t>
  </si>
  <si>
    <t>Кронштейн для балконного ящика 2шт. ING60004FЧР</t>
  </si>
  <si>
    <t>25943</t>
  </si>
  <si>
    <t>Кронштейн для ТВ Rexant 10-27"</t>
  </si>
  <si>
    <t>25942</t>
  </si>
  <si>
    <t>Кронштейн для ТВ Rexant наклоннsй 10-27"</t>
  </si>
  <si>
    <t>25983</t>
  </si>
  <si>
    <t>Кронштейн для ТВ наклонно-поворотный 13-27" до 15кг 75x75 LEBEN 469-200 /2/40/</t>
  </si>
  <si>
    <t>25977</t>
  </si>
  <si>
    <t>Кронштейн для ТВ наклонно-поворотный до 30кг 100*100 до 200*200мм 469-204 /10/</t>
  </si>
  <si>
    <t>25976</t>
  </si>
  <si>
    <t>Кронштейн для ТВ наклонно-поворотный до 45кг 50*50 до 400*400мм 469-205 /10/</t>
  </si>
  <si>
    <t>25970</t>
  </si>
  <si>
    <t>Кронштейн для ТВ наклонный до 25 кг 75*75 до 100*100 мм 469-197 /5/50/</t>
  </si>
  <si>
    <t>25962</t>
  </si>
  <si>
    <t>Кронштейн для ТВ наклонный до 25 кг 75*75 до 200*200 мм 469-201 /20/</t>
  </si>
  <si>
    <t>25963</t>
  </si>
  <si>
    <t>Кронштейн для ТВ наклонный до 50 кг 75*75 до 400*400мм 469-203 /15/</t>
  </si>
  <si>
    <t>25975</t>
  </si>
  <si>
    <t>Кронштейн для ТВ фиксированный до 45кг 200*200 до 400*400мм 469-199</t>
  </si>
  <si>
    <t>25910</t>
  </si>
  <si>
    <t>Кронштейн универсальный 20 см №2 639-002</t>
  </si>
  <si>
    <t>25911</t>
  </si>
  <si>
    <t>Кронштейн универсальный двойной 13 см №5 639-003</t>
  </si>
  <si>
    <t>25944</t>
  </si>
  <si>
    <t>Уголок д/полок бел. 100*125 /24/288/</t>
  </si>
  <si>
    <t>25946</t>
  </si>
  <si>
    <t>Уголок д/полок бел. 150*200 /24/288/</t>
  </si>
  <si>
    <t>25947</t>
  </si>
  <si>
    <t>Уголок д/полок бел. 200*250 /24/144/</t>
  </si>
  <si>
    <t>25921</t>
  </si>
  <si>
    <t>Уголок д/полок бел. 250*300 /24/144/</t>
  </si>
  <si>
    <t>25955</t>
  </si>
  <si>
    <t>Уголок д/полок бел. 350*400 /24/72/</t>
  </si>
  <si>
    <t>25956</t>
  </si>
  <si>
    <t>Уголок д/полок бел. 400*450 /24/48/</t>
  </si>
  <si>
    <t>25412</t>
  </si>
  <si>
    <t>Уголок д/полок бел. 75*100 /24/288/</t>
  </si>
  <si>
    <t>25472</t>
  </si>
  <si>
    <t>Уголок д/полок корич. 100*125 /24/288/</t>
  </si>
  <si>
    <t>25950</t>
  </si>
  <si>
    <t>Уголок д/полок корич. 150*200 /24/288/</t>
  </si>
  <si>
    <t>25949</t>
  </si>
  <si>
    <t>Уголок д/полок корич. 175*225 /24/240/</t>
  </si>
  <si>
    <t>25900</t>
  </si>
  <si>
    <t>Уголок д/полок корич. 200*250 /24/144/</t>
  </si>
  <si>
    <t>25416</t>
  </si>
  <si>
    <t>Уголок д/полок корич. 250*300 /24/144/</t>
  </si>
  <si>
    <t>25913</t>
  </si>
  <si>
    <t>Уголок д/полок корич. 300*350 /24/144/</t>
  </si>
  <si>
    <t>25941</t>
  </si>
  <si>
    <t>Уголок д/полок корич. 350*400 /24/72/</t>
  </si>
  <si>
    <t>25940</t>
  </si>
  <si>
    <t>Уголок д/полок корич. 400*450 /24/48/</t>
  </si>
  <si>
    <t>25438</t>
  </si>
  <si>
    <t>Уголок д/полок корич. 75*100 /24/288/</t>
  </si>
  <si>
    <t>25455</t>
  </si>
  <si>
    <t>Уголок д/полок сереб. 100*125 /24/288/</t>
  </si>
  <si>
    <t>25917</t>
  </si>
  <si>
    <t>Уголок д/полок сереб. 150*200 /24/288/</t>
  </si>
  <si>
    <t>25454</t>
  </si>
  <si>
    <t>Уголок д/полок сереб. 200*250 /24/144/</t>
  </si>
  <si>
    <t>25413</t>
  </si>
  <si>
    <t>Уголок д/полок сереб. 250*300 /24/144/</t>
  </si>
  <si>
    <t>25912</t>
  </si>
  <si>
    <t>Уголок д/полок сереб. 300*350 /24/144/</t>
  </si>
  <si>
    <t>25953</t>
  </si>
  <si>
    <t>Уголок д/полок сереб. 350*400 /24/72/</t>
  </si>
  <si>
    <t>25954</t>
  </si>
  <si>
    <t>Уголок д/полок сереб. 400*450 /24/48/</t>
  </si>
  <si>
    <t>25432</t>
  </si>
  <si>
    <t>Уголок д/полок сереб. 75*100 /24/288/</t>
  </si>
  <si>
    <t>260 Уголки мебельные/Полкодержатели</t>
  </si>
  <si>
    <t>26025</t>
  </si>
  <si>
    <t>Полкодержатель KL-108 AC медь 0649</t>
  </si>
  <si>
    <t>26010</t>
  </si>
  <si>
    <t>Полкодержатель KL-109 AC медь 0643</t>
  </si>
  <si>
    <t>26020</t>
  </si>
  <si>
    <t>Полкодержатель KL-109 SB мат.золото 0646</t>
  </si>
  <si>
    <t>26038</t>
  </si>
  <si>
    <t>Полкодержатель KL-306 PB золото 0662 пара</t>
  </si>
  <si>
    <t>26000</t>
  </si>
  <si>
    <t>Полкодержатель KL-307 SS мат.хром 0661</t>
  </si>
  <si>
    <t>25458</t>
  </si>
  <si>
    <t>Полкодержатель для стекол 79208м РВ 623-016 2 шт 623-016</t>
  </si>
  <si>
    <t>25461</t>
  </si>
  <si>
    <t>Полкодержатель пеликан 79201 М PB золото 2шт 623-008</t>
  </si>
  <si>
    <t>26002</t>
  </si>
  <si>
    <t>Уголок мебел. 100*100 цинк Нытва /200/</t>
  </si>
  <si>
    <t>26056</t>
  </si>
  <si>
    <t>Уголок мебел. 20*20 цинк Нытва /2000/</t>
  </si>
  <si>
    <t>26073</t>
  </si>
  <si>
    <t>Уголок мебел. 30 цинк Нытва /400/</t>
  </si>
  <si>
    <t>26057</t>
  </si>
  <si>
    <t>Уголок мебел. 30*30 цинк Нытва /1000/</t>
  </si>
  <si>
    <t>26072</t>
  </si>
  <si>
    <t>Уголок мебел. 35*37 цинк Нытва /200/</t>
  </si>
  <si>
    <t>26058</t>
  </si>
  <si>
    <t>Уголок мебел. 40*40 цинк Нытва /500/</t>
  </si>
  <si>
    <t>26074</t>
  </si>
  <si>
    <t>Уголок мебел. 40*40 цинк Нытва квадрат /200/</t>
  </si>
  <si>
    <t>26059</t>
  </si>
  <si>
    <t>Уголок мебел. 50*50 цинк Нытва /700/</t>
  </si>
  <si>
    <t>26012</t>
  </si>
  <si>
    <t>Уголок мебел. 60*60 цинк Нытва /500/</t>
  </si>
  <si>
    <t>26060</t>
  </si>
  <si>
    <t>Уголок мебел. 80*80 цинк Нытва /250/</t>
  </si>
  <si>
    <t>26054</t>
  </si>
  <si>
    <t>Уголок мебел. большой /С</t>
  </si>
  <si>
    <t>26071</t>
  </si>
  <si>
    <t>Уголок мебел. Домарт 100*100*20 2 шт хром /50/</t>
  </si>
  <si>
    <t>26062</t>
  </si>
  <si>
    <t>Уголок мебел. Домарт 40*40*20 2 шт белый /50/</t>
  </si>
  <si>
    <t>26065</t>
  </si>
  <si>
    <t>Уголок мебел. Домарт 50*50*20 2 шт белый /50/</t>
  </si>
  <si>
    <t>25487</t>
  </si>
  <si>
    <t>Уголок мебел. Домарт 60*60*20 2 шт б/п /50/</t>
  </si>
  <si>
    <t>261 Крючки</t>
  </si>
  <si>
    <t>26158</t>
  </si>
  <si>
    <t>Крючки на планке 3 KL-82 AC 0080 /6/90/</t>
  </si>
  <si>
    <t>26149</t>
  </si>
  <si>
    <t>Крючки на планке 3 KL-82 CP 0079 /6/90/</t>
  </si>
  <si>
    <t>26172</t>
  </si>
  <si>
    <t>Крючки на планке 3 KL-82 PB 0078 /6/90/</t>
  </si>
  <si>
    <t>26109</t>
  </si>
  <si>
    <t>Крючки на планке 3 золото HV 82В /6/</t>
  </si>
  <si>
    <t>26110</t>
  </si>
  <si>
    <t>Крючки на планке 3 хром HV 82В /6/</t>
  </si>
  <si>
    <t>26111</t>
  </si>
  <si>
    <t>Крючки на планке 4 золото HV 83В /6/</t>
  </si>
  <si>
    <t>26114</t>
  </si>
  <si>
    <t>Крючки на планке 4 хром HV 83В /6/</t>
  </si>
  <si>
    <t>26107</t>
  </si>
  <si>
    <t>Крючок 0150 золото</t>
  </si>
  <si>
    <t>26104</t>
  </si>
  <si>
    <t>Крючок 026 PB №10 /50/</t>
  </si>
  <si>
    <t>26134</t>
  </si>
  <si>
    <t>Крючок 1000 KL-57  PВ золото 0048</t>
  </si>
  <si>
    <t>26169</t>
  </si>
  <si>
    <t>Крючок 1001 KL-58  PB золото 0052 /150/</t>
  </si>
  <si>
    <t>26148</t>
  </si>
  <si>
    <t>Крючок 1010 РВ золото 623-054 /100/</t>
  </si>
  <si>
    <t>26105</t>
  </si>
  <si>
    <t>Крючок 1010 СР двойной хром /100/</t>
  </si>
  <si>
    <t>26113</t>
  </si>
  <si>
    <t>Крючок 1010 СР хром золото мет. 639-068 /40/</t>
  </si>
  <si>
    <t>26191</t>
  </si>
  <si>
    <t>Крючок 1035 SS двойной мат хром /100/</t>
  </si>
  <si>
    <t>26131</t>
  </si>
  <si>
    <t>Крючок 1035 АВ двойной бронза /100/</t>
  </si>
  <si>
    <t>26132</t>
  </si>
  <si>
    <t>Крючок 1035 АС двойной медь /100/</t>
  </si>
  <si>
    <t>26153</t>
  </si>
  <si>
    <t>Крючок 1037 KL-258 AB бронза 0137 /48/</t>
  </si>
  <si>
    <t>26139</t>
  </si>
  <si>
    <t>Крючок 1037 KL-258 AC медь 0136</t>
  </si>
  <si>
    <t>26123</t>
  </si>
  <si>
    <t>Крючок 1037 KL-258 CP хром 0135 /48/</t>
  </si>
  <si>
    <t>26138</t>
  </si>
  <si>
    <t>Крючок 1037 KL-258 PB золото 0134</t>
  </si>
  <si>
    <t>23073</t>
  </si>
  <si>
    <t>Крючок 1037 SB мат золото /10/</t>
  </si>
  <si>
    <t>26118</t>
  </si>
  <si>
    <t>Крючок 1037 СР хром медь 639-069 /20/</t>
  </si>
  <si>
    <t>26121</t>
  </si>
  <si>
    <t>Крючок 1089 GР одинарный золото /200/</t>
  </si>
  <si>
    <t>26122</t>
  </si>
  <si>
    <t>Крючок 1089 SS одинарный средний мат хром /100/</t>
  </si>
  <si>
    <t>26177</t>
  </si>
  <si>
    <t>Крючок 1089 АС одинарный средний медь /100/</t>
  </si>
  <si>
    <t>26193</t>
  </si>
  <si>
    <t>Крючок 1092 РВ золото /40/</t>
  </si>
  <si>
    <t>26119</t>
  </si>
  <si>
    <t>Крючок 1092 РВ серебро /40/</t>
  </si>
  <si>
    <t>26120</t>
  </si>
  <si>
    <t>Крючок 1092 РВ хром /40/</t>
  </si>
  <si>
    <t>26173</t>
  </si>
  <si>
    <t>Крючок 1132 GР двойной усилен золото /20/</t>
  </si>
  <si>
    <t>26151</t>
  </si>
  <si>
    <t>Крючок 1132 СР двойной усилен хром /20/</t>
  </si>
  <si>
    <t>26182</t>
  </si>
  <si>
    <t>Крючок 1149L KL-112 AB бронза 0123 /20/</t>
  </si>
  <si>
    <t>26180</t>
  </si>
  <si>
    <t>Крючок 1149L KL-112 AС медь 0122 /20/</t>
  </si>
  <si>
    <t>26115</t>
  </si>
  <si>
    <t>Крючок 1149L KL-112 PB золото 0120 /20/</t>
  </si>
  <si>
    <t>26165</t>
  </si>
  <si>
    <t>Крючок 1149L KL-112 SS мат. хром 0124 /20/</t>
  </si>
  <si>
    <t>26188</t>
  </si>
  <si>
    <t>Крючок 1149S KL-111 AС медь 0129 /20/</t>
  </si>
  <si>
    <t>26156</t>
  </si>
  <si>
    <t>Крючок 1149S KL-111 CP хром 0128 /100/</t>
  </si>
  <si>
    <t>26199</t>
  </si>
  <si>
    <t>Крючок 1149S KL-111 PB золото 0127 /20/</t>
  </si>
  <si>
    <t>26198</t>
  </si>
  <si>
    <t>Крючок 1205 KL-51 CP хром 0010</t>
  </si>
  <si>
    <t>26197</t>
  </si>
  <si>
    <t>Крючок 1205 KL-51 PB золото 0009</t>
  </si>
  <si>
    <t>26124</t>
  </si>
  <si>
    <t>Крючок 1227 KL-55 AB бронза 0031</t>
  </si>
  <si>
    <t>26116</t>
  </si>
  <si>
    <t>Крючок 1227 KL-55 AС медь 0030</t>
  </si>
  <si>
    <t>26159</t>
  </si>
  <si>
    <t>Крючок 1227 KL-55 PB золото 0028</t>
  </si>
  <si>
    <t>26102</t>
  </si>
  <si>
    <t>Крючок 1235A SS хром /80/</t>
  </si>
  <si>
    <t>26221</t>
  </si>
  <si>
    <t>Крючок 206 2-х рожковый золото 623-414 /18/</t>
  </si>
  <si>
    <t>26222</t>
  </si>
  <si>
    <t>Крючок 206 2-х рожковый хром 623-415 /18/</t>
  </si>
  <si>
    <t>26117</t>
  </si>
  <si>
    <t>Крючок 231B метал 639-070 /36/</t>
  </si>
  <si>
    <t>26150</t>
  </si>
  <si>
    <t>Крючок 2541 AB двойной больш бронза /60/</t>
  </si>
  <si>
    <t>26189</t>
  </si>
  <si>
    <t>Крючок 2541 AC двойной больш медь /60/</t>
  </si>
  <si>
    <t>26181</t>
  </si>
  <si>
    <t>Крючок 2541 SS двойной больш мат хром /60/</t>
  </si>
  <si>
    <t>26160</t>
  </si>
  <si>
    <t>Крючок 839 хром двойной 623-097</t>
  </si>
  <si>
    <t>26161</t>
  </si>
  <si>
    <t>Крючок 843 KL-52 AB бронза 0018 /60/</t>
  </si>
  <si>
    <t>26167</t>
  </si>
  <si>
    <t>Крючок 843 KL-52 AС медь двойной 0017 /60/</t>
  </si>
  <si>
    <t>26127</t>
  </si>
  <si>
    <t>Крючок KL-205 АВ бронза 1780 /50/</t>
  </si>
  <si>
    <t>90025</t>
  </si>
  <si>
    <t>Крючок VIR EG-501 золото</t>
  </si>
  <si>
    <t>26101</t>
  </si>
  <si>
    <t>Крючок Бабочка четверной бронза /20/</t>
  </si>
  <si>
    <t>26100</t>
  </si>
  <si>
    <t>Крючок Бабочка четверной золото /20/</t>
  </si>
  <si>
    <t>262 Зеркалодержатели</t>
  </si>
  <si>
    <t>26200</t>
  </si>
  <si>
    <t>Зеркалодержатель KL-2005 CP хром 4 шт блистер 1332 /10/</t>
  </si>
  <si>
    <t>26201</t>
  </si>
  <si>
    <t>Зеркалодержатель KL-2005 PB золото 4 шт блистер 1331 /10/</t>
  </si>
  <si>
    <t>25450</t>
  </si>
  <si>
    <t>Зеркалодержатель KL-24/18*40 СB хром 1078</t>
  </si>
  <si>
    <t>25418</t>
  </si>
  <si>
    <t>Зеркалодержатель KL-301 CP хром 0693</t>
  </si>
  <si>
    <t>25449</t>
  </si>
  <si>
    <t>Зеркалодержатель KL-305 РВ золото</t>
  </si>
  <si>
    <t>26202</t>
  </si>
  <si>
    <t>Зеркалодержатель KL-309 tempo PB золото 0697 /24/</t>
  </si>
  <si>
    <t>26227</t>
  </si>
  <si>
    <t>Зеркалодержатель KL-309 tempo SS мат.хром 0699 /24/</t>
  </si>
  <si>
    <t>26203</t>
  </si>
  <si>
    <t>Зеркалодержатель KL-309 tempo СP хром 0698 /24/</t>
  </si>
  <si>
    <t>26220</t>
  </si>
  <si>
    <t>Зеркалодержатель KL-310 tempo PB золото 0700 /24/</t>
  </si>
  <si>
    <t>26228</t>
  </si>
  <si>
    <t>Зеркалодержатель KL-310 tempo SS мат.хром 0702 /24/</t>
  </si>
  <si>
    <t>26204</t>
  </si>
  <si>
    <t>Зеркалодержатель KL-310 tempo СP хром 0701 /24/</t>
  </si>
  <si>
    <t>26207</t>
  </si>
  <si>
    <t>Зеркалодержатель KL-38 PB золото 0874 /24/</t>
  </si>
  <si>
    <t>26208</t>
  </si>
  <si>
    <t>Зеркалодержатель KL-38 СP хром 0866 /24/</t>
  </si>
  <si>
    <t>26217</t>
  </si>
  <si>
    <t>Зеркалодержатель KL-559 CP хром 22Ф конус 1556 /50/</t>
  </si>
  <si>
    <t>263 Крючки Могилев/Россия</t>
  </si>
  <si>
    <t>26324</t>
  </si>
  <si>
    <t>Крючок Домарт 1 рожковый бронза антик</t>
  </si>
  <si>
    <t>26327</t>
  </si>
  <si>
    <t>Крючок Домарт 2-х рожковый бронза антик</t>
  </si>
  <si>
    <t>26328</t>
  </si>
  <si>
    <t>Крючок Домарт 2-х рожковый медь антик</t>
  </si>
  <si>
    <t>26315</t>
  </si>
  <si>
    <t>Крючок КР-03 металл антик /200/</t>
  </si>
  <si>
    <t>26316</t>
  </si>
  <si>
    <t>Крючок КР-03 металл белый /200/</t>
  </si>
  <si>
    <t>26317</t>
  </si>
  <si>
    <t>Крючок КР-03 металл бронза /200/</t>
  </si>
  <si>
    <t>26318</t>
  </si>
  <si>
    <t>Крючок КР-03 металл золото /200/</t>
  </si>
  <si>
    <t>26321</t>
  </si>
  <si>
    <t>Крючок КР-03 металл хром /200/</t>
  </si>
  <si>
    <t>26313</t>
  </si>
  <si>
    <t>Крючок КР-03 металл черный /200/</t>
  </si>
  <si>
    <t>23142</t>
  </si>
  <si>
    <t>Крючок Могилев 01 антик /75/</t>
  </si>
  <si>
    <t>23084</t>
  </si>
  <si>
    <t>Крючок Могилев 01 белый /75/</t>
  </si>
  <si>
    <t>23026</t>
  </si>
  <si>
    <t>Крючок Могилев 01 бронза /75/</t>
  </si>
  <si>
    <t>26142</t>
  </si>
  <si>
    <t>Крючок Могилев 01 золото блест. /75/</t>
  </si>
  <si>
    <t>26145</t>
  </si>
  <si>
    <t>Крючок Могилев 01 мрамор /75/</t>
  </si>
  <si>
    <t>23083</t>
  </si>
  <si>
    <t>Крючок Могилев 01 серебро /75/</t>
  </si>
  <si>
    <t>26175</t>
  </si>
  <si>
    <t>Крючок Могилев 01 хром /75/</t>
  </si>
  <si>
    <t>23098</t>
  </si>
  <si>
    <t>Крючок Могилев 01 черный /75/</t>
  </si>
  <si>
    <t>23008</t>
  </si>
  <si>
    <t>Крючок Могилев 05 белый /70/</t>
  </si>
  <si>
    <t>26301</t>
  </si>
  <si>
    <t>Крючок Могилев 05 бронза /70/</t>
  </si>
  <si>
    <t>26302</t>
  </si>
  <si>
    <t>Крючок Могилев 05 золото /70/</t>
  </si>
  <si>
    <t>26303</t>
  </si>
  <si>
    <t>Крючок Могилев 05 мрамор /70/</t>
  </si>
  <si>
    <t>26304</t>
  </si>
  <si>
    <t>Крючок Могилев 05 серебро /70/</t>
  </si>
  <si>
    <t>26305</t>
  </si>
  <si>
    <t>Крючок Могилев 05 хром /70/</t>
  </si>
  <si>
    <t>26300</t>
  </si>
  <si>
    <t>Крючок Могилев 05 черный /70/</t>
  </si>
  <si>
    <t>26306</t>
  </si>
  <si>
    <t>Крючок Могилев 06 антик медь /50/</t>
  </si>
  <si>
    <t>26307</t>
  </si>
  <si>
    <t>Крючок Могилев 06 белый /50/</t>
  </si>
  <si>
    <t>26308</t>
  </si>
  <si>
    <t>Крючок Могилев 06 бронза /50/</t>
  </si>
  <si>
    <t>26309</t>
  </si>
  <si>
    <t>Крючок Могилев 06 золото /50/</t>
  </si>
  <si>
    <t>26310</t>
  </si>
  <si>
    <t>Крючок Могилев 06 мрамор /50/</t>
  </si>
  <si>
    <t>26322</t>
  </si>
  <si>
    <t>Крючок Могилев 06 серебро /50/</t>
  </si>
  <si>
    <t>23027</t>
  </si>
  <si>
    <t>Крючок Могилев 06 хром /50/</t>
  </si>
  <si>
    <t>26314</t>
  </si>
  <si>
    <t>Крючок Могилев 06 черный /50/</t>
  </si>
  <si>
    <t>264 Ручки-скобы мебельные</t>
  </si>
  <si>
    <t>26415</t>
  </si>
  <si>
    <t>Ручка-скоба меб. KL-171-64М PB/ SB золото и мат.золото 1479</t>
  </si>
  <si>
    <t>26404</t>
  </si>
  <si>
    <t>Ручка-скоба меб. KL-2605-24М AC медь 1511</t>
  </si>
  <si>
    <t>26410</t>
  </si>
  <si>
    <t>Ручка-скоба меб. KL-284 AB бронза 0244</t>
  </si>
  <si>
    <t>26425</t>
  </si>
  <si>
    <t>Ручка-скоба меб. KL-284 AC медь 0243 /80/</t>
  </si>
  <si>
    <t>26424</t>
  </si>
  <si>
    <t>Ручка-скоба меб. KL-284 CP хром 0242 /80/</t>
  </si>
  <si>
    <t>26426</t>
  </si>
  <si>
    <t>Ручка-скоба меб. KL-284 SS мат.хром 0245 /80/</t>
  </si>
  <si>
    <t>26403</t>
  </si>
  <si>
    <t>Ручка-скоба меб. KL-284-96М BN мат.черный 7602 /80/</t>
  </si>
  <si>
    <t>26431</t>
  </si>
  <si>
    <t>Ручка-скоба меб. KL-289-96M PB золото 1507 /80/</t>
  </si>
  <si>
    <t>26417</t>
  </si>
  <si>
    <t>Ручка-скоба меб. KL-359-64М CP хром 1680</t>
  </si>
  <si>
    <t>26413</t>
  </si>
  <si>
    <t>Ручка-скоба меб. KL-5518-96М AC медь 1430</t>
  </si>
  <si>
    <t>25200</t>
  </si>
  <si>
    <t>Ручка-скоба меб. РД-90 желтая пара /10/</t>
  </si>
  <si>
    <t>26428</t>
  </si>
  <si>
    <t>Ручка-скоба меб. РС-64 итальянская №359 восьмерка бронза /50/</t>
  </si>
  <si>
    <t>25258</t>
  </si>
  <si>
    <t>Ручка-скоба меб. РС-95 латунир. с керамикой /10/</t>
  </si>
  <si>
    <t>26430</t>
  </si>
  <si>
    <t>Ручка-скоба меб. РС-96 итальянская №360 восьмерка бронза /50/</t>
  </si>
  <si>
    <t>26427</t>
  </si>
  <si>
    <t>Ручка-скоба меб. РС-96 остр. точка №663 медь /10/</t>
  </si>
  <si>
    <t>26429</t>
  </si>
  <si>
    <t>Ручка-скоба меб. РС-96 фионит №5505 утка желтая /60/</t>
  </si>
  <si>
    <t>26432</t>
  </si>
  <si>
    <t>Ручка-скоба ОМ комодный Ф-2 64мм</t>
  </si>
  <si>
    <t>265 Колеса мебельные</t>
  </si>
  <si>
    <t>26537</t>
  </si>
  <si>
    <t>Колесо мебел 40 мм с пятой черное 043562 /200/</t>
  </si>
  <si>
    <t>26504</t>
  </si>
  <si>
    <t>Колесо мебел KL-0142 25 мм поворотн. метал. серое 1004 /50/</t>
  </si>
  <si>
    <t>26543</t>
  </si>
  <si>
    <t>Колесо мебел KL-05 1006</t>
  </si>
  <si>
    <t>26541</t>
  </si>
  <si>
    <t>Колесо мебел KL-06 0141 1003</t>
  </si>
  <si>
    <t>25492</t>
  </si>
  <si>
    <t>Колесо мебел KL-313-Big 50 мм поворотн. метал. хромир.  0567 /12/</t>
  </si>
  <si>
    <t>26508</t>
  </si>
  <si>
    <t>Колесо мебел KL-313-M 40 мм поворотн. пластм. хромир. черное 0566 /20/</t>
  </si>
  <si>
    <t>26509</t>
  </si>
  <si>
    <t>Колесо мебел KL-314-M 38 мм поворотн. пластм. черное 0562</t>
  </si>
  <si>
    <t>26548</t>
  </si>
  <si>
    <t>Колесо мебел KL-315-Big 40 мм поворотн. пластм. черное 0562 /40/</t>
  </si>
  <si>
    <t>26513</t>
  </si>
  <si>
    <t>Колесо мебел KL-315-Big 50 мм поворотн. пластм. черное 0563 /50/</t>
  </si>
  <si>
    <t>26544</t>
  </si>
  <si>
    <t>Колесо мебел KL-327-40/328-М серый 6885</t>
  </si>
  <si>
    <t>26545</t>
  </si>
  <si>
    <t>Колесо мебел KL-327-50/329-BIG серый 6886</t>
  </si>
  <si>
    <t>26518</t>
  </si>
  <si>
    <t>Колесо мебел KL-329-Big 0571</t>
  </si>
  <si>
    <t>26539</t>
  </si>
  <si>
    <t>Колесо мебел KL-332 38 мм поворотн метал. черное 6525</t>
  </si>
  <si>
    <t>26519</t>
  </si>
  <si>
    <t>Колесо мебел KL-332 50 мм поворотн. метал. черное 6526</t>
  </si>
  <si>
    <t>26520</t>
  </si>
  <si>
    <t>Колесо мебел KL-332ВК 38 мм поворотн. метал. со стопором черное 6529</t>
  </si>
  <si>
    <t>26522</t>
  </si>
  <si>
    <t>Колесо мебел KL-332Р 38 мм не поворотное метал. черное 6527 /120/</t>
  </si>
  <si>
    <t>26523</t>
  </si>
  <si>
    <t>Колесо мебел KL-332Р 50 мм не поворотное метал. черное 6528 /100/</t>
  </si>
  <si>
    <t>25400</t>
  </si>
  <si>
    <t>Колесо мебел KL-334 поворотн. 1086 /200/</t>
  </si>
  <si>
    <t>26525</t>
  </si>
  <si>
    <t>Колесо мебел KL-336 25 мм поворотн. метал. 1559</t>
  </si>
  <si>
    <t>26527</t>
  </si>
  <si>
    <t>Колесо мебел KL-336 38 мм поворотн. метал. 1362</t>
  </si>
  <si>
    <t>26528</t>
  </si>
  <si>
    <t>Колесо мебел KL-336 50 мм поворотн. метал. коричн. 1339</t>
  </si>
  <si>
    <t>26529</t>
  </si>
  <si>
    <t>Колесо мебел KL-336 65 мм поворотн. метал. 1340</t>
  </si>
  <si>
    <t>26531</t>
  </si>
  <si>
    <t>Колесо мебел KL-337 38 мм не поворотн. метал. коричн. 1024</t>
  </si>
  <si>
    <t>26533</t>
  </si>
  <si>
    <t>Колесо мебел KL-337 65 мм прямое метал. 1363</t>
  </si>
  <si>
    <t>26500</t>
  </si>
  <si>
    <t>Опора для колес d40 h59 00636 /100/</t>
  </si>
  <si>
    <t>26501</t>
  </si>
  <si>
    <t>Опора для колес со штырем d50 CHD-6 /400/</t>
  </si>
  <si>
    <t>25406</t>
  </si>
  <si>
    <t>Опора мебельная поворотная ВВ грибок пластик</t>
  </si>
  <si>
    <t>266 Домарт Кронштейны</t>
  </si>
  <si>
    <t>26602</t>
  </si>
  <si>
    <t>Кронштейн 150*125 бронза антик /40/</t>
  </si>
  <si>
    <t>26603</t>
  </si>
  <si>
    <t>Кронштейн 150*125 золото /40/</t>
  </si>
  <si>
    <t>26605</t>
  </si>
  <si>
    <t>Кронштейн 150*125 медь антик /40/</t>
  </si>
  <si>
    <t>26608</t>
  </si>
  <si>
    <t>Кронштейн 150*125 мод 11 белый</t>
  </si>
  <si>
    <t>26609</t>
  </si>
  <si>
    <t>Кронштейн 150*125 мод 11 бронза антик</t>
  </si>
  <si>
    <t>26610</t>
  </si>
  <si>
    <t>Кронштейн 150*125 мод 11 черный</t>
  </si>
  <si>
    <t>26606</t>
  </si>
  <si>
    <t>Кронштейн 150*125 серый /10/</t>
  </si>
  <si>
    <t>25902</t>
  </si>
  <si>
    <t>Кронштейн 150*125 черный /10/</t>
  </si>
  <si>
    <t>26611</t>
  </si>
  <si>
    <t>Кронштейн 200*150 белый антик /10/</t>
  </si>
  <si>
    <t>26614</t>
  </si>
  <si>
    <t>Кронштейн 200*150 золото /10/</t>
  </si>
  <si>
    <t>26616</t>
  </si>
  <si>
    <t>Кронштейн 200*150 медь антик /10/</t>
  </si>
  <si>
    <t>26620</t>
  </si>
  <si>
    <t>Кронштейн 200*150 мод 11 белый</t>
  </si>
  <si>
    <t>26617</t>
  </si>
  <si>
    <t>Кронштейн 200*150 сер метал /10/</t>
  </si>
  <si>
    <t>26618</t>
  </si>
  <si>
    <t>Кронштейн 200*150 хром /10/</t>
  </si>
  <si>
    <t>26624</t>
  </si>
  <si>
    <t>Кронштейн 250*200 мод 11 бронза антик</t>
  </si>
  <si>
    <t>26628</t>
  </si>
  <si>
    <t>Кронштейн для кашпо мод 1 17 см медь антик</t>
  </si>
  <si>
    <t>26631</t>
  </si>
  <si>
    <t>Кронштейн для кашпо мод 10 25 см белый</t>
  </si>
  <si>
    <t>26633</t>
  </si>
  <si>
    <t>Кронштейн для кашпо мод 10 25 см медь антик</t>
  </si>
  <si>
    <t>26635</t>
  </si>
  <si>
    <t>Кронштейн для кашпо мод 10 25 см черный</t>
  </si>
  <si>
    <t>26638</t>
  </si>
  <si>
    <t>Кронштейн для кашпо мод 12 13 см медь антик</t>
  </si>
  <si>
    <t>26644</t>
  </si>
  <si>
    <t>Кронштейн для кашпо мод 2 21 см медь антик</t>
  </si>
  <si>
    <t>26645</t>
  </si>
  <si>
    <t>Кронштейн для кашпо мод 2 21 см хром</t>
  </si>
  <si>
    <t>26649</t>
  </si>
  <si>
    <t>Кронштейн фигурный 150*125 белый</t>
  </si>
  <si>
    <t>26648</t>
  </si>
  <si>
    <t>Кронштейн фигурный 150*125 белый антик</t>
  </si>
  <si>
    <t>26651</t>
  </si>
  <si>
    <t>Кронштейн фигурный 150*125 золото</t>
  </si>
  <si>
    <t>26652</t>
  </si>
  <si>
    <t>Кронштейн фигурный 150*125 корич метал</t>
  </si>
  <si>
    <t>26653</t>
  </si>
  <si>
    <t>Кронштейн фигурный 150*125 медь антик</t>
  </si>
  <si>
    <t>26655</t>
  </si>
  <si>
    <t>Кронштейн фигурный 150*125 хром</t>
  </si>
  <si>
    <t>26656</t>
  </si>
  <si>
    <t>Кронштейн фигурный 150*125 черный</t>
  </si>
  <si>
    <t>26657</t>
  </si>
  <si>
    <t>Кронштейн фигурный 200*150 б/п /10/</t>
  </si>
  <si>
    <t>26659</t>
  </si>
  <si>
    <t>Кронштейн фигурный 200*150 белый</t>
  </si>
  <si>
    <t>26658</t>
  </si>
  <si>
    <t>Кронштейн фигурный 200*150 белый антик /10/</t>
  </si>
  <si>
    <t>26660</t>
  </si>
  <si>
    <t>Кронштейн фигурный 200*150 бронза антик</t>
  </si>
  <si>
    <t>26662</t>
  </si>
  <si>
    <t>Кронштейн фигурный 200*150 корич мет</t>
  </si>
  <si>
    <t>26663</t>
  </si>
  <si>
    <t>Кронштейн фигурный 200*150 медь антик</t>
  </si>
  <si>
    <t>26667</t>
  </si>
  <si>
    <t>Кронштейн фигурный 200*150 мод.3 б/п /10/</t>
  </si>
  <si>
    <t>26669</t>
  </si>
  <si>
    <t>Кронштейн фигурный 200*150 мод.3 белый</t>
  </si>
  <si>
    <t>26670</t>
  </si>
  <si>
    <t>Кронштейн фигурный 200*150 мод.3 бронза антик</t>
  </si>
  <si>
    <t>26672</t>
  </si>
  <si>
    <t>Кронштейн фигурный 200*150 мод.3 корич метал</t>
  </si>
  <si>
    <t>26673</t>
  </si>
  <si>
    <t>Кронштейн фигурный 200*150 мод.3 медь антик</t>
  </si>
  <si>
    <t>26674</t>
  </si>
  <si>
    <t>Кронштейн фигурный 200*150 мод.3 сер метал</t>
  </si>
  <si>
    <t>26676</t>
  </si>
  <si>
    <t>Кронштейн фигурный 200*150 мод.3 черный</t>
  </si>
  <si>
    <t>26664</t>
  </si>
  <si>
    <t>Кронштейн фигурный 200*150 сер метал</t>
  </si>
  <si>
    <t>26665</t>
  </si>
  <si>
    <t>Кронштейн фигурный 200*150 хром</t>
  </si>
  <si>
    <t>26680</t>
  </si>
  <si>
    <t>Кронштейн фигурный 250*200 бронза антик</t>
  </si>
  <si>
    <t>26682</t>
  </si>
  <si>
    <t>Кронштейн фигурный 250*200 корич метал</t>
  </si>
  <si>
    <t>26683</t>
  </si>
  <si>
    <t>Кронштейн фигурный 250*200 медь антик</t>
  </si>
  <si>
    <t>26685</t>
  </si>
  <si>
    <t>Кронштейн фигурный 250*200 хром</t>
  </si>
  <si>
    <t>269-288 Упаковка/Тара</t>
  </si>
  <si>
    <t>269 Пакеты подарочные ПВД с петлевой ручкой</t>
  </si>
  <si>
    <t>28375</t>
  </si>
  <si>
    <t>Пакет подарочный ПВД с петлевой ручкой 38*42 см 40 мкм Воспоминания /25/</t>
  </si>
  <si>
    <t>26900</t>
  </si>
  <si>
    <t>Пакет подарочный ПВД с петлевой ручкой 38*42 см 40 мкм Летний сад /25/</t>
  </si>
  <si>
    <t>26925</t>
  </si>
  <si>
    <t>Пакет подарочный ПВД с петлевой ручкой 38*42 см 40 мкм Модель /25/</t>
  </si>
  <si>
    <t>28389</t>
  </si>
  <si>
    <t>Пакет подарочный ПВД с петлевой ручкой 38*42 см 40 мкм Незабудки /25/</t>
  </si>
  <si>
    <t>26928</t>
  </si>
  <si>
    <t>Пакет подарочный ПВД с петлевой ручкой 38*42 см 40 мкм Пионы /25/</t>
  </si>
  <si>
    <t>26902</t>
  </si>
  <si>
    <t>Пакет подарочный ПВД с петлевой ручкой 38*42 см 40 мкм Топтыжка /25/</t>
  </si>
  <si>
    <t>26927</t>
  </si>
  <si>
    <t>Пакет подарочный ПВД с петлевой ручкой 38*42 см 40 мкм Утро /25/</t>
  </si>
  <si>
    <t>26904</t>
  </si>
  <si>
    <t>Пакет подарочный ПВД с петлевой ручкой 40*42 см 45 мкм Аукцион /25/</t>
  </si>
  <si>
    <t>28303</t>
  </si>
  <si>
    <t>Пакет подарочный ПВД с петлевой ручкой 40*42 см 45 мкм Город Любви /25/</t>
  </si>
  <si>
    <t>28387</t>
  </si>
  <si>
    <t>Пакет подарочный ПВД с петлевой ручкой 40*42 см 45 мкм Наслаждение /25/</t>
  </si>
  <si>
    <t>26907</t>
  </si>
  <si>
    <t>Пакет подарочный ПВД с петлевой ручкой 40*42 см 45 мкм Пожелание /25/</t>
  </si>
  <si>
    <t>28305</t>
  </si>
  <si>
    <t>Пакет подарочный ПВД с петлевой ручкой 40*42 см 45 мкм Старое время /25/</t>
  </si>
  <si>
    <t>28301</t>
  </si>
  <si>
    <t>Пакет подарочный ПВД с петлевой ручкой 40*42 см 45 мкм Чудо /25/</t>
  </si>
  <si>
    <t>26905</t>
  </si>
  <si>
    <t>Пакет подарочный ПВД с петлевой ручкой 44*44 см 70 мкм Букет /25/</t>
  </si>
  <si>
    <t>28336</t>
  </si>
  <si>
    <t>Пакет подарочный ПВД с петлевой ручкой 44*44 см 70 мкм Казанова /25/</t>
  </si>
  <si>
    <t>26906</t>
  </si>
  <si>
    <t>Пакет подарочный ПВД с петлевой ручкой 44*44 см 70 мкм Радужный /25/</t>
  </si>
  <si>
    <t>28344</t>
  </si>
  <si>
    <t>Пакет подарочный ПВД с петлевой ручкой 44*44 см 70 мкм Райский Сад /25/</t>
  </si>
  <si>
    <t>26911</t>
  </si>
  <si>
    <t>Пакет подарочный ПВД с петлевой ручкой 50*40 см 160 мкм Эко сумка Чайная роза /10/</t>
  </si>
  <si>
    <t>26912</t>
  </si>
  <si>
    <t>Пакет подарочный ПВД с петлевой ручкой 50*40 см 160 мкм Эко сумка Яблоко /10/</t>
  </si>
  <si>
    <t>26916</t>
  </si>
  <si>
    <t>Пакет подарочный ПВД с петлевой ручкой 60*50 см 160 мкм Эко сумка Золотая линия /10/</t>
  </si>
  <si>
    <t>26918</t>
  </si>
  <si>
    <t>Пакет подарочный ПВД с петлевой ручкой 60*50 см 160 мкм Эко сумка Экстрим /10/</t>
  </si>
  <si>
    <t>26908</t>
  </si>
  <si>
    <t>Пакет подарочный ПВД с петлевой ручкой 60*50 см 70 мкм Кэжл /25/</t>
  </si>
  <si>
    <t>26909</t>
  </si>
  <si>
    <t>Пакет подарочный ПВД с петлевой ручкой 60*50 см 70 мкм Мода /25/</t>
  </si>
  <si>
    <t>28373</t>
  </si>
  <si>
    <t>Пакет подарочный ПВД с петлевой ручкой 60*50 см 70 мкм Овация /25/</t>
  </si>
  <si>
    <t>26910</t>
  </si>
  <si>
    <t>Пакет подарочный ПВД с петлевой ручкой 71*55 см 90 мкм Большой праздник /25/</t>
  </si>
  <si>
    <t>26920</t>
  </si>
  <si>
    <t>Пакет подарочный ПВД с петлевой ручкой 71*55 см 90 мкм Экскурсия /25/</t>
  </si>
  <si>
    <t>270 Веревки/Тросы/Канаты/фал</t>
  </si>
  <si>
    <t>27090</t>
  </si>
  <si>
    <t>Веревка бельевая 3м с мет. крючками МА-104 /12/</t>
  </si>
  <si>
    <t>26901</t>
  </si>
  <si>
    <t>Веревка бельевая х/б Узбекс. 10м*8мм витая 453-015 /10/</t>
  </si>
  <si>
    <t>27000</t>
  </si>
  <si>
    <t>Веревка джутовая 10м*10мм</t>
  </si>
  <si>
    <t>27001</t>
  </si>
  <si>
    <t>Веревка джутовая 10м*12мм</t>
  </si>
  <si>
    <t>27021</t>
  </si>
  <si>
    <t>Веревка джутовая 10м*8мм 94013 /10/</t>
  </si>
  <si>
    <t>27003</t>
  </si>
  <si>
    <t>Веревка капроновая Vetta 15м*3мм 453-938 /12/</t>
  </si>
  <si>
    <t>27297</t>
  </si>
  <si>
    <t>Веревка капроновая Vetta 20м*3мм 453-095 /12/</t>
  </si>
  <si>
    <t>27296</t>
  </si>
  <si>
    <t>Веревка капроновая Vetta 20м*6мм 4 цв. 453-093 /12/</t>
  </si>
  <si>
    <t>27002</t>
  </si>
  <si>
    <t>Веревка капроновая с крючками 10м /20/</t>
  </si>
  <si>
    <t>27005</t>
  </si>
  <si>
    <t>Веревка капроновая с крючками 5м /20/</t>
  </si>
  <si>
    <t>27006</t>
  </si>
  <si>
    <t>Веревка капроновая с крючками 8м /20/</t>
  </si>
  <si>
    <t>27026</t>
  </si>
  <si>
    <t>Веревка цветная 12 м 453-094 /12/</t>
  </si>
  <si>
    <t>27095</t>
  </si>
  <si>
    <t>Лента киперная 20мм 50м 8994 /20/</t>
  </si>
  <si>
    <t>29047</t>
  </si>
  <si>
    <t>Нить капроновая в катушках белая 50 м /300/</t>
  </si>
  <si>
    <t>29048</t>
  </si>
  <si>
    <t>Нить капроновая в катушках черная 50 м /300/</t>
  </si>
  <si>
    <t>29006</t>
  </si>
  <si>
    <t>Нить капроновая в катушках черная 65-75м 308-091 /20/300/</t>
  </si>
  <si>
    <t>271 Стяжки для груза</t>
  </si>
  <si>
    <t>27102</t>
  </si>
  <si>
    <t>Паук багажный STELS усиленный, 8 крюков /54364</t>
  </si>
  <si>
    <t>27046</t>
  </si>
  <si>
    <t>Резинки багажные 450-600-900мм 3шт /543345</t>
  </si>
  <si>
    <t>27148</t>
  </si>
  <si>
    <t>Резинки багажные STELS с крюками, 0,38х10м, храповый механизм Automatic /54366</t>
  </si>
  <si>
    <t>27125</t>
  </si>
  <si>
    <t>Резинки багажные STELS усиленные 2 шт, 1000 мм /54361</t>
  </si>
  <si>
    <t>27100</t>
  </si>
  <si>
    <t>Резинки багажные STELS усиленные 2 шт, 600 мм /54360</t>
  </si>
  <si>
    <t>27132</t>
  </si>
  <si>
    <t>Ремень багажный SPARTA с крюками, 5 м, храповой механизм /543385</t>
  </si>
  <si>
    <t>27054</t>
  </si>
  <si>
    <t>Стяжка груза "паук" 8 крючков 543305 /10/</t>
  </si>
  <si>
    <t>27193</t>
  </si>
  <si>
    <t>Стяжка груза 5м, 400кг 2 крюка 773-052 /6/</t>
  </si>
  <si>
    <t>27103</t>
  </si>
  <si>
    <t>Стяжка груза NEW GALAXY 10м ширина ленты 50мм 800кг 773-075 /20/</t>
  </si>
  <si>
    <t>27048</t>
  </si>
  <si>
    <t>Стяжка груза NEW GALAXY 12м ширина ленты 50мм 2000/4000кг 773-076 /10/</t>
  </si>
  <si>
    <t>27123</t>
  </si>
  <si>
    <t>Стяжка груза NEW GALAXY 4,5м ширина ленты 25мм 800кг 773-024 /2/60/</t>
  </si>
  <si>
    <t>27128</t>
  </si>
  <si>
    <t>Стяжка груза NEW GALAXY 4м ширина ленты 25мм 500/900кг с храпов. 110 мм 746-037 /25/</t>
  </si>
  <si>
    <t>27118</t>
  </si>
  <si>
    <t>Стяжка груза NEW GALAXY 5м ширина ленты 25мм 500/900кг с храпов. 110 мм 746-024 /2/40/</t>
  </si>
  <si>
    <t>27140</t>
  </si>
  <si>
    <t>Стяжка груза NEW GALAXY 6м ширина ленты 50мм 800кг 773-042 /10/</t>
  </si>
  <si>
    <t>27126</t>
  </si>
  <si>
    <t>Стяжка груза NEW GALAXY 8м ширина ленты 50мм 800кг 773-043 /10/</t>
  </si>
  <si>
    <t>27116</t>
  </si>
  <si>
    <t>Стяжка груза NEW GALAXY резиновая 0,8 см*0,8м 4 штуки паук 746-052 /40/</t>
  </si>
  <si>
    <t>27104</t>
  </si>
  <si>
    <t>Стяжка груза NEW GALAXY резиновая 0,8 см*0,8м мет. крюки 2 шт 746-051 /100/</t>
  </si>
  <si>
    <t>27189</t>
  </si>
  <si>
    <t>Стяжка груза резиновая эконом 10 мм*1,1 м 467-009 /20/</t>
  </si>
  <si>
    <t>27113</t>
  </si>
  <si>
    <t>Стяжка груза резиновая эконом 10 мм*1,3 м 467-010 /20/</t>
  </si>
  <si>
    <t>27172</t>
  </si>
  <si>
    <t>Стяжка груза резиновая эконом 10 мм*1,6 м 467-011 /20/</t>
  </si>
  <si>
    <t>27188</t>
  </si>
  <si>
    <t>Стяжка груза резиновая эконом 8 мм*1,1 м 467-006 /25/</t>
  </si>
  <si>
    <t>27190</t>
  </si>
  <si>
    <t>Стяжка груза резиновая эконом 8 мм*1,3 м 467-007 /25/</t>
  </si>
  <si>
    <t>27105</t>
  </si>
  <si>
    <t>Стяжка груза резиновая эконом 8 мм*1,6 м 467-008 /25/</t>
  </si>
  <si>
    <t>272 Пакеты фасовочные</t>
  </si>
  <si>
    <t>27267</t>
  </si>
  <si>
    <t>Зажим для пакетов Птичка DH75-89 /12/</t>
  </si>
  <si>
    <t>27218</t>
  </si>
  <si>
    <t>Зажим для пакетов силикон 438-093 /12/</t>
  </si>
  <si>
    <t>27353</t>
  </si>
  <si>
    <t>Зажим-держатель для пакетов 18*9,5*3,5 см 438-097 /5/</t>
  </si>
  <si>
    <t>27238</t>
  </si>
  <si>
    <t>Зажимы для пакетов 100шт, фольга, металл 8см 505-031 /20/</t>
  </si>
  <si>
    <t>27255</t>
  </si>
  <si>
    <t>Зажимы для пакетов 20шт, фольга, металл 12см 505-032 /20/</t>
  </si>
  <si>
    <t>27298</t>
  </si>
  <si>
    <t>Зажимы для пакетов 4шт, пластик, 10см с датами 438-016 /12/</t>
  </si>
  <si>
    <t>79507</t>
  </si>
  <si>
    <t>Зажимы для пакетов 5шт, с магнитом 5,3*4 см 7718 /6/48/</t>
  </si>
  <si>
    <t>27239</t>
  </si>
  <si>
    <t>Зажимы для пакетов 6шт, пластик 10см 438-014 /12/</t>
  </si>
  <si>
    <t>27266</t>
  </si>
  <si>
    <t>Зажимы для пакетов 750шт, фольга, металл 8см 2 цв. 505-030 /12/</t>
  </si>
  <si>
    <t>27201</t>
  </si>
  <si>
    <t>Зажимы для пакетов Клип 4шт, пластик 10 см LF75-74 /12/</t>
  </si>
  <si>
    <t>27273</t>
  </si>
  <si>
    <t>Зажимы для пакетов Клип 4шт, пластик 11 см LF75-75 /24/</t>
  </si>
  <si>
    <t>27220</t>
  </si>
  <si>
    <t>Зажимы для пакетов Клип 4шт, пластик 14 см LF75-76 /12/</t>
  </si>
  <si>
    <t>27210</t>
  </si>
  <si>
    <t>Зажимы для пакетов на мусорное ведро ЕН 2шт, полипропилен 8,5*3см черный 8049 /24/</t>
  </si>
  <si>
    <t>27223</t>
  </si>
  <si>
    <t>Пакеты фасовочные в пластах 18*35 Эконом 1000шт /10/</t>
  </si>
  <si>
    <t>27250</t>
  </si>
  <si>
    <t>Пакеты фасовочные в пластах 18*35 Яблоко 1000шт /10/</t>
  </si>
  <si>
    <t>27205</t>
  </si>
  <si>
    <t>Пакеты фасовочные Веселый пикничек 25*32 25шт /100/</t>
  </si>
  <si>
    <t>27240</t>
  </si>
  <si>
    <t>Пакеты фасовочные для заморозки прод. 25*32см 7 мкм в рулоне 30 шт синие /50/</t>
  </si>
  <si>
    <t>27209</t>
  </si>
  <si>
    <t>Пакеты фасовочные ЕН 24*31см в рулоне 50шт Эко 13281 /58/</t>
  </si>
  <si>
    <t>27211</t>
  </si>
  <si>
    <t>Пакеты фасовочные ЕН 25*32см в рулоне 50шт 3618 /50/</t>
  </si>
  <si>
    <t>27244</t>
  </si>
  <si>
    <t>Пакеты фасовочные Люкс ПНД 25*40см в рулоне 500шт /20/</t>
  </si>
  <si>
    <t>27252</t>
  </si>
  <si>
    <t>Пакеты фасовочные ПНД 24*37,7см 7 мкм в пласте 1000шт /10/</t>
  </si>
  <si>
    <t>27251</t>
  </si>
  <si>
    <t>Пакеты фасовочные ПНД 24*37см в рулоне 100шт 5 рулонов /14/</t>
  </si>
  <si>
    <t>27234</t>
  </si>
  <si>
    <t>Пакеты фасовочные ПНД 30*40см 7 мкм в пласте 1000шт /10/</t>
  </si>
  <si>
    <t>273 Шпагаты</t>
  </si>
  <si>
    <t>27330</t>
  </si>
  <si>
    <t>Шпагат джутовый 1250 текс 1000гр 800м</t>
  </si>
  <si>
    <t>27307</t>
  </si>
  <si>
    <t>Шпагат джутовый 1250 текс 100гр 80м</t>
  </si>
  <si>
    <t>27348</t>
  </si>
  <si>
    <t>Шпагат джутовый 1250 текс 1500гр 1200м</t>
  </si>
  <si>
    <t>27316</t>
  </si>
  <si>
    <t>Шпагат джутовый 1250 текс 200гр 160м</t>
  </si>
  <si>
    <t>27349</t>
  </si>
  <si>
    <t>Шпагат джутовый 1250 текс 300гр 240м</t>
  </si>
  <si>
    <t>27329</t>
  </si>
  <si>
    <t>Шпагат джутовый 1250 текс 500гр 400м</t>
  </si>
  <si>
    <t>27331</t>
  </si>
  <si>
    <t>Шпагат джутовый 1670 текс 1000г 600м</t>
  </si>
  <si>
    <t>27358</t>
  </si>
  <si>
    <t>Шпагат джутовый 1670 текс 100г 60м</t>
  </si>
  <si>
    <t>27351</t>
  </si>
  <si>
    <t>Шпагат джутовый 1670 текс 1500г 900м</t>
  </si>
  <si>
    <t>27361</t>
  </si>
  <si>
    <t>Шпагат джутовый 1670 текс 200г 120м</t>
  </si>
  <si>
    <t>27334</t>
  </si>
  <si>
    <t>Шпагат джутовый 1670 текс 500г 300м</t>
  </si>
  <si>
    <t>27302</t>
  </si>
  <si>
    <t>Шпагат льнопеньковый 1,25 текс 100гр 80м</t>
  </si>
  <si>
    <t>27337</t>
  </si>
  <si>
    <t>Шпагат льнопеньковый 1,25 текс 1500гр 1200м</t>
  </si>
  <si>
    <t>27306</t>
  </si>
  <si>
    <t>Шпагат льнопеньковый 1,25 текс 200гр 160м</t>
  </si>
  <si>
    <t>27333</t>
  </si>
  <si>
    <t>Шпагат льнопеньковый 1,25 текс 500гр 400м</t>
  </si>
  <si>
    <t>27340</t>
  </si>
  <si>
    <t>Шпагат льнопеньковый 1,67 текс 100гр 60м</t>
  </si>
  <si>
    <t>27345</t>
  </si>
  <si>
    <t>Шпагат льнопеньковый 1,67 текс 300гр 180м</t>
  </si>
  <si>
    <t>27323</t>
  </si>
  <si>
    <t>Шпагат полипропиленовый 1000 текс 1000гр 1000м</t>
  </si>
  <si>
    <t>27324</t>
  </si>
  <si>
    <t>Шпагат полипропиленовый 1000 текс 100гр 100м</t>
  </si>
  <si>
    <t>27341</t>
  </si>
  <si>
    <t>Шпагат полипропиленовый 1000 текс 150гр 150м</t>
  </si>
  <si>
    <t>27336</t>
  </si>
  <si>
    <t>Шпагат полипропиленовый 1200 текс 1000г 833м</t>
  </si>
  <si>
    <t>27326</t>
  </si>
  <si>
    <t>Шпагат полипропиленовый 1200 текс 100гр 83м</t>
  </si>
  <si>
    <t>27327</t>
  </si>
  <si>
    <t>Шпагат полипропиленовый 1200 текс 200гр 166м</t>
  </si>
  <si>
    <t>27352</t>
  </si>
  <si>
    <t>Шпагат полипропиленовый 1600 текс 1000г 625м</t>
  </si>
  <si>
    <t>27363</t>
  </si>
  <si>
    <t>Шпагат полипропиленовый 1600 текс 100г 62м</t>
  </si>
  <si>
    <t>27364</t>
  </si>
  <si>
    <t>Шпагат полипропиленовый 1600 текс 200г 124м</t>
  </si>
  <si>
    <t>27365</t>
  </si>
  <si>
    <t>Шпагат полипропиленовый 2200 текс 100г 45м</t>
  </si>
  <si>
    <t>27366</t>
  </si>
  <si>
    <t>Шпагат полипропиленовый 2200 текс 200г 90м</t>
  </si>
  <si>
    <t>274 Пленка стрейч/Фольга/Пакеты для запекания</t>
  </si>
  <si>
    <t>27467</t>
  </si>
  <si>
    <t>Бумага для выпечки 30 см 5м коричн. в термоус. пленке 438-063 /40/</t>
  </si>
  <si>
    <t>27462</t>
  </si>
  <si>
    <t>Бумага для выпечки 30 см 6м в пленке 438-080 /48/</t>
  </si>
  <si>
    <t>27437</t>
  </si>
  <si>
    <t>Бумага для выпечки 38см*25м силикониз. пергам. 438-244 /20/</t>
  </si>
  <si>
    <t>27446</t>
  </si>
  <si>
    <t>Бумага для выпечки 38см*50м силикониз. пергам. 438-245 /12/</t>
  </si>
  <si>
    <t>27473</t>
  </si>
  <si>
    <t>Бумага для выпечки Grifon 38*42*см в листах 101-324 438-206 /5/35/</t>
  </si>
  <si>
    <t>27411</t>
  </si>
  <si>
    <t>Бумага для выпечки Grifon 380мм*8м в пленке 101-301 438-010 /12/48/</t>
  </si>
  <si>
    <t>27421</t>
  </si>
  <si>
    <t>Бумага для выпечки Grifon силикониз.Д36 см 7 листов 438-135 /10/30/</t>
  </si>
  <si>
    <t>27499</t>
  </si>
  <si>
    <t>Бумага для выпечки Vetta 28см 8м пергам. 438-110 /6/30/</t>
  </si>
  <si>
    <t>27466</t>
  </si>
  <si>
    <t>Бумага для выпечки ЕН 3м*28см ЭКО /13282 /36/</t>
  </si>
  <si>
    <t>27489</t>
  </si>
  <si>
    <t>Бумага для выпечки ЕН 5м*28см 13343 /30/</t>
  </si>
  <si>
    <t>27401</t>
  </si>
  <si>
    <t>Бумага для выпечки ЕН 8м*28см /5216 /30/</t>
  </si>
  <si>
    <t>27472</t>
  </si>
  <si>
    <t>Бумага для выпечки ЕН HD 10м*28см Lux 10844 /24/</t>
  </si>
  <si>
    <t>27471</t>
  </si>
  <si>
    <t>Бумага для выпечки ЕН силиконизир. 6м*28см Lux 13345 /24/</t>
  </si>
  <si>
    <t>27490</t>
  </si>
  <si>
    <t>Бумага для выпечки ЕН силиконизир. крулый 36см 10шт Lux 13850 /24/</t>
  </si>
  <si>
    <t>27464</t>
  </si>
  <si>
    <t>Бумага для выпечки силиконизированная 30 см 5м в 438-113 /5/40/</t>
  </si>
  <si>
    <t>27402</t>
  </si>
  <si>
    <t>Коврик тефлоновый д/запекания 33*40 см 11684 /20/</t>
  </si>
  <si>
    <t>27491</t>
  </si>
  <si>
    <t>Пакетики для приготовления льда 196 куб., 7 листов</t>
  </si>
  <si>
    <t>27417</t>
  </si>
  <si>
    <t>Пакеты д/заморозки Grifon 25*35см 3л 18мкм перфор 30шт 438-027 /10/</t>
  </si>
  <si>
    <t>27418</t>
  </si>
  <si>
    <t>Пакеты д/заморозки Grifon Bio 25*35см 3л перфор 80шт 100-003 /6/42/</t>
  </si>
  <si>
    <t>27453</t>
  </si>
  <si>
    <t>Пакеты д/заморозки ЕН 25*35см 3л 30шт 15460 /30/</t>
  </si>
  <si>
    <t>27410</t>
  </si>
  <si>
    <t>Пакеты д/запекания 30*40см, 5шт 438-068 /12/192/</t>
  </si>
  <si>
    <t>27428</t>
  </si>
  <si>
    <t>Пакеты д/запекания 5шт с завязками арт.5743 /30/</t>
  </si>
  <si>
    <t>27476</t>
  </si>
  <si>
    <t>Пакеты д/запекания 5шт с клипсами 35х43 XXL 9064 /30/</t>
  </si>
  <si>
    <t>27439</t>
  </si>
  <si>
    <t>Пакеты д/запекания Grifon универсальные 30*40см 5шт 438-007 /12/48/</t>
  </si>
  <si>
    <t>27498</t>
  </si>
  <si>
    <t>Пакеты д/запекания Vetta универсальные 30*40см 4шт клипсы 438-112 /15/30/</t>
  </si>
  <si>
    <t>27463</t>
  </si>
  <si>
    <t>Пакеты д/запекания ВСЁГАЗИН универсальные 30*40см 6шт 438-034 /30/</t>
  </si>
  <si>
    <t>27481</t>
  </si>
  <si>
    <t>Пакеты д/запекания Прома 30*40см 4шт клипсы /50/</t>
  </si>
  <si>
    <t>27414</t>
  </si>
  <si>
    <t>Пакеты д/запекания рыбы 25*55см, 5шт в уп. шоу-бокс 101-210 438-009 /6/96/</t>
  </si>
  <si>
    <t>27435</t>
  </si>
  <si>
    <t>Пакеты для льда 216 шар 101-100 438-004 /5/25/</t>
  </si>
  <si>
    <t>27474</t>
  </si>
  <si>
    <t>Пакеты для льда 216 шариков 438-067 /10/200/</t>
  </si>
  <si>
    <t>27440</t>
  </si>
  <si>
    <t>Пакеты для льда 280 шариков 101-111 438-218 /55/</t>
  </si>
  <si>
    <t>27488</t>
  </si>
  <si>
    <t>Пакеты еврослот/скотч 6х8 см 33 мкм 1000 шт /1000/</t>
  </si>
  <si>
    <t>27482</t>
  </si>
  <si>
    <t>Пакеты еврослот/скотч 7х10 см 33 мкм /1000/</t>
  </si>
  <si>
    <t>27483</t>
  </si>
  <si>
    <t>Пакеты еврослот/скотч 8х12 см 33 мкм /1000/</t>
  </si>
  <si>
    <t>27459</t>
  </si>
  <si>
    <t>Пакеты с замком 10шт 20х30см 438-041 /12/240/</t>
  </si>
  <si>
    <t>27451</t>
  </si>
  <si>
    <t>Пакеты с замком 10шт 22х18см устойчивое дно 438-235 /24/</t>
  </si>
  <si>
    <t>27449</t>
  </si>
  <si>
    <t>Пакеты с замком 16шт 15х22см 438-042 /12/240/</t>
  </si>
  <si>
    <t>27458</t>
  </si>
  <si>
    <t>Пакеты с замком ЕН 10шт 23*30см 5413 /50/</t>
  </si>
  <si>
    <t>27460</t>
  </si>
  <si>
    <t>Пакеты с замком ЕН 16шт 20*30см 13551 /50/</t>
  </si>
  <si>
    <t>27433</t>
  </si>
  <si>
    <t>Пленка пищевая 29см*20м Grifon в п/п пленке 438-077 /40/</t>
  </si>
  <si>
    <t>27404</t>
  </si>
  <si>
    <t>Пленка пищевая 30см*10м в ПП 438-088 /15/60/</t>
  </si>
  <si>
    <t>27497</t>
  </si>
  <si>
    <t>Пленка пищевая 30см*20м в пакете 438-118 /5/55/</t>
  </si>
  <si>
    <t>27429</t>
  </si>
  <si>
    <t>Пленка пищевая EH 29см*20м в п/п 7мкм 3805 /50/</t>
  </si>
  <si>
    <t>27438</t>
  </si>
  <si>
    <t>Пленка пищевая EH 30см*200м ПВД /13608 /12/</t>
  </si>
  <si>
    <t>27470</t>
  </si>
  <si>
    <t>Пленка пищевая EH 30см*20м Эко /14430 /45/</t>
  </si>
  <si>
    <t>27432</t>
  </si>
  <si>
    <t>Пленка пищевая Grifon для хранения 29см 20м в п/п пленке 438-012 /10/40/</t>
  </si>
  <si>
    <t>27495</t>
  </si>
  <si>
    <t>Пленка пищевая VETTA с перфорацией 29см*20м в пленке 6 мкм 438-121 /40/</t>
  </si>
  <si>
    <t>27434</t>
  </si>
  <si>
    <t>Пленка стрейч 500мм*195м 20 мкм 1,8 кг вторичка /6/</t>
  </si>
  <si>
    <t>27450</t>
  </si>
  <si>
    <t>Пленка стрейч 500мм*195м 20мкр 2кг /6/</t>
  </si>
  <si>
    <t>27457</t>
  </si>
  <si>
    <t>Пленка стрейч 500мм*230м 17мкр 2кг /6/</t>
  </si>
  <si>
    <t>27424</t>
  </si>
  <si>
    <t>Пленка стрейч багажная 290мм*70м 469-177 /5/15/</t>
  </si>
  <si>
    <t>27452</t>
  </si>
  <si>
    <t>Пленка стрейч багажная 300мм*70м цветная /12/</t>
  </si>
  <si>
    <t>27412</t>
  </si>
  <si>
    <t>Рукав для запекания 3м с завязками ЕН /5611 /24/</t>
  </si>
  <si>
    <t>27486</t>
  </si>
  <si>
    <t>Рукав для запекания Grifon с клипсами 2м*30см 438-031 /10/50/</t>
  </si>
  <si>
    <t>27496</t>
  </si>
  <si>
    <t>Рукав для запекания Vetta 3м*30см в пакете 438-119 /10/</t>
  </si>
  <si>
    <t>27454</t>
  </si>
  <si>
    <t>Рукав для запекания XXL 5 м с клипсами ЕН 9063 /24/</t>
  </si>
  <si>
    <t>27478</t>
  </si>
  <si>
    <t>Фольга защитная для эл.плиты 4 конф. 50*60 см 438-072 /10/400/</t>
  </si>
  <si>
    <t>27479</t>
  </si>
  <si>
    <t>Фольга защитная для эл.плиты одинарн. 12 шт 27*27 см 438-073 /10/200/</t>
  </si>
  <si>
    <t>27461</t>
  </si>
  <si>
    <t>Фольга пищевая 29см*10м в пленке 9 мкм 108-010 438-107 /6/54/</t>
  </si>
  <si>
    <t>27444</t>
  </si>
  <si>
    <t>Фольга пищевая Grifon 29см*10м в пленке 14 мкм 438-035 /6/24/</t>
  </si>
  <si>
    <t>27469</t>
  </si>
  <si>
    <t>Фольга пищевая Grifon 29см*10м в пленке 438-033 /6/24/</t>
  </si>
  <si>
    <t>27441</t>
  </si>
  <si>
    <t>Фольга пищевая Grifon 29см*5м в пленке 438-032 /15/30/</t>
  </si>
  <si>
    <t>27494</t>
  </si>
  <si>
    <t>Фольга пищевая VETTA 29см*10м в пленке 9 мкм 438-116 /12/24/</t>
  </si>
  <si>
    <t>27426</t>
  </si>
  <si>
    <t>Фольга пищевая ЕН алюмин. 30см*10м в п/п 3588 /24/</t>
  </si>
  <si>
    <t>27420</t>
  </si>
  <si>
    <t>Фольга пищевая ЕН алюмин. 30см*20м в п/п 3590 /24/</t>
  </si>
  <si>
    <t>27431</t>
  </si>
  <si>
    <t>Фольга пищевая ЕН алюмин. 30см*3м в п/п 12755 /24/</t>
  </si>
  <si>
    <t>27427</t>
  </si>
  <si>
    <t>Фольга пищевая ЕН алюмин. 30см*5м в п/п 3589 /24/</t>
  </si>
  <si>
    <t>27413</t>
  </si>
  <si>
    <t>Фольга пищевая ЕН алюмин. 30см*8м в п/п 3587 /24/</t>
  </si>
  <si>
    <t>27423</t>
  </si>
  <si>
    <t>Фольга пищевая Саянская Гриль 10м*290мм 20мкм /20/</t>
  </si>
  <si>
    <t>27480</t>
  </si>
  <si>
    <t>Фольга пищевая Стандартная 20м*290мм /42/</t>
  </si>
  <si>
    <t>27407</t>
  </si>
  <si>
    <t>Фольга пищевая Эконом 30см*10м в коробке 9мк 438-106 /5/35/</t>
  </si>
  <si>
    <t>27419</t>
  </si>
  <si>
    <t>Фольга пищевая Эконом 30см*20м в пленке 9мк 438-111 /23/46/</t>
  </si>
  <si>
    <t>275 Лента клеющая</t>
  </si>
  <si>
    <t>27529</t>
  </si>
  <si>
    <t>Лента битумная для кровли TYTAN Professional RS TAPE 10см х 10м алюминий</t>
  </si>
  <si>
    <t>27501</t>
  </si>
  <si>
    <t>Лента битумная для кровли TYTAN Professional RS TAPE 10см х 10м антрацит</t>
  </si>
  <si>
    <t>27531</t>
  </si>
  <si>
    <t>Лента клеющая 2-х сторонняя Ермак 12 мм-5 м 472-016 /5/</t>
  </si>
  <si>
    <t>27519</t>
  </si>
  <si>
    <t>Лента клеющая 2-х сторонняя Ермак 22 мм-2 м 472-017 /10/</t>
  </si>
  <si>
    <t>27537</t>
  </si>
  <si>
    <t>Лента клеющая 2-х сторонняя Ермак 22 мм-5 м 472-018 /10/</t>
  </si>
  <si>
    <t>27522</t>
  </si>
  <si>
    <t>Лента клеющая 2-х сторонняя Ермак 30 мм-2 м 472-019 /10/</t>
  </si>
  <si>
    <t>27520</t>
  </si>
  <si>
    <t>Лента клеющая 2-х сторонняя Ермак 30 мм-5 м 472-020 /5/</t>
  </si>
  <si>
    <t>27523</t>
  </si>
  <si>
    <t>Лента клеющая 2-х сторонняя Ермак 40 мм-2 м 472-021 /10/</t>
  </si>
  <si>
    <t>27521</t>
  </si>
  <si>
    <t>Лента клеющая 2-х сторонняя Ермак 50 мм-2 м 472-024 /10/</t>
  </si>
  <si>
    <t>27524</t>
  </si>
  <si>
    <t>Лента клеющая 2-х сторонняя Ермак 50 мм-5 м 472-025 /5/</t>
  </si>
  <si>
    <t>27525</t>
  </si>
  <si>
    <t>Лента клеющая 2-х сторонняя Ермак профессиональная 6мм-5м 472-028 /10/</t>
  </si>
  <si>
    <t>27526</t>
  </si>
  <si>
    <t>Лента клеющая 2-х сторонняя Ермак сверхпрочная невидимая 15мм*3м 472-034 /12/</t>
  </si>
  <si>
    <t>27528</t>
  </si>
  <si>
    <t>Лента клеющая 2-х сторонняя Ермак сверхпрочная невидимая 19мм*3м 472-041 /12/</t>
  </si>
  <si>
    <t>27538</t>
  </si>
  <si>
    <t>Лента клеющая Ермак 10 мм-150 м акрил 446-041 /100/</t>
  </si>
  <si>
    <t>276 Скотч</t>
  </si>
  <si>
    <t>72008</t>
  </si>
  <si>
    <t>Лента армир. Клеящая Супер Лента Момент 10м /41012 /6/</t>
  </si>
  <si>
    <t>27679</t>
  </si>
  <si>
    <t>Скотч 12мм*57м 40 мкм прозрачный Klebebander арт228 /24/144/</t>
  </si>
  <si>
    <t>27607</t>
  </si>
  <si>
    <t>Скотч 15мм*28м прозрачный канцелярский Klebebander /12/300/</t>
  </si>
  <si>
    <t>27609</t>
  </si>
  <si>
    <t>Скотч 19мм*57м 40 мкм прозрачный Klebebander арт228 /24/96/</t>
  </si>
  <si>
    <t>27624</t>
  </si>
  <si>
    <t>Скотч 25мм*57м 40 мкм прозрачный Klebebander арт228 /12/72/</t>
  </si>
  <si>
    <t>27632</t>
  </si>
  <si>
    <t>Скотч 38мм*57м 40 мкм прозрачный Klebebander арт228 /6/48/</t>
  </si>
  <si>
    <t>27636</t>
  </si>
  <si>
    <t>Скотч 48мм*14м 40 мкм прозрачный Klebebander арт207 /6/36/</t>
  </si>
  <si>
    <t>27620</t>
  </si>
  <si>
    <t>Скотч 48мм*18м 40 мкм прозрачный Klebebander арт209 /6/36/</t>
  </si>
  <si>
    <t>27650</t>
  </si>
  <si>
    <t>Скотч 48мм*25м 40 мкм прозрачный Klebebander арт212 /6/36/</t>
  </si>
  <si>
    <t>27695</t>
  </si>
  <si>
    <t>Скотч 48мм*36м 40 мкм прозрачный Klebebander арт218 /6/36/</t>
  </si>
  <si>
    <t>27675</t>
  </si>
  <si>
    <t>Скотч 50мм*120м 40 мкм КОРИЧН. Klebebander арт260 /6/36/</t>
  </si>
  <si>
    <t>27708</t>
  </si>
  <si>
    <t>Скотч 50мм*120м 40 мкм прозрачный Klebebander арт260 /6/36/</t>
  </si>
  <si>
    <t>27641</t>
  </si>
  <si>
    <t>Скотч 50мм*120м 45 мкм КОРИЧ. Klebebander арт160 /6/36/</t>
  </si>
  <si>
    <t>27658</t>
  </si>
  <si>
    <t>Скотч 50мм*120м 45 мкм прозрачный Klebebander арт160 /6/36/</t>
  </si>
  <si>
    <t>27655</t>
  </si>
  <si>
    <t>Скотч 50мм*140м 40 мкм прозрачный Klebebander арт270 /6/36/</t>
  </si>
  <si>
    <t>27621</t>
  </si>
  <si>
    <t>Скотч 50мм*40м 40 мкм КОРИЧН. Klebebander арт220 /6/36/</t>
  </si>
  <si>
    <t>27651</t>
  </si>
  <si>
    <t>Скотч 50мм*40м 40 мкм прозрачный Klebebander арт220 /6/36/</t>
  </si>
  <si>
    <t>27672</t>
  </si>
  <si>
    <t>Скотч 50мм*50м 40 мкм КОРИЧН. Klebebander арт225 /6/36/</t>
  </si>
  <si>
    <t>27652</t>
  </si>
  <si>
    <t>Скотч 50мм*50м 40 мкм прозрачный Klebebander арт225 /6/36/</t>
  </si>
  <si>
    <t>27666</t>
  </si>
  <si>
    <t>Скотч 50мм*50м 45 мкм прозрачный Klebebander арт125 /6/36/</t>
  </si>
  <si>
    <t>27668</t>
  </si>
  <si>
    <t>Скотч 50мм*57м 40 мкм прозрачный Klebebander арт228 /6/36/</t>
  </si>
  <si>
    <t>27657</t>
  </si>
  <si>
    <t>Скотч 50мм*57м 45 мкм прозрачный Klebebander арт128 /6/36/</t>
  </si>
  <si>
    <t>27674</t>
  </si>
  <si>
    <t>Скотч 50мм*63м 40 мкм КОРИЧН. Klebebander арт231 /6/36/</t>
  </si>
  <si>
    <t>27710</t>
  </si>
  <si>
    <t>Скотч 50мм*63м 40 мкм прозрачный Klebebander арт231 /6/36/</t>
  </si>
  <si>
    <t>27670</t>
  </si>
  <si>
    <t>Скотч 50мм*63м 45 мкм прозрачный Klebebander арт131 /6/36/</t>
  </si>
  <si>
    <t>27612</t>
  </si>
  <si>
    <t>Скотч 72мм*57м 40 мкм прозрачный Klebebander арт228 /4/24/</t>
  </si>
  <si>
    <t>27601</t>
  </si>
  <si>
    <t>Скотч 72мм*57м 45 мкм прозрачный Klebebander арт128 /4/24/</t>
  </si>
  <si>
    <t>27680</t>
  </si>
  <si>
    <t>Скотч Nova Roll 48мм*120м 38 мкм прозрачный /24/</t>
  </si>
  <si>
    <t>27742</t>
  </si>
  <si>
    <t>Скотч Unibob 50мм*50м алюминиевый Россия /88815 /36/</t>
  </si>
  <si>
    <t>27659</t>
  </si>
  <si>
    <t>Скотч алюминиевый 50мм*10м 50мк Klebebander /6/24/</t>
  </si>
  <si>
    <t>27660</t>
  </si>
  <si>
    <t>Скотч алюминиевый 50мм*25м 50мк Klebebander /6/24/</t>
  </si>
  <si>
    <t>27661</t>
  </si>
  <si>
    <t>Скотч алюминиевый 50мм*50м 50мк Klebebander /6/18/</t>
  </si>
  <si>
    <t>27664</t>
  </si>
  <si>
    <t>Скотч водозащ д/гидроиз TPL 50мм*25м серый Klebebander /6/36/</t>
  </si>
  <si>
    <t>27622</t>
  </si>
  <si>
    <t>Скотч двухсторонний 38мм*10м полипропилен Klebebander /6/48/</t>
  </si>
  <si>
    <t>27634</t>
  </si>
  <si>
    <t>Скотч двухсторонний 38мм*10м ткань Klebebander /6/48/</t>
  </si>
  <si>
    <t>27604</t>
  </si>
  <si>
    <t>Скотч двухсторонний 38мм*5м полипропилен Klebebander /6/48/</t>
  </si>
  <si>
    <t>27638</t>
  </si>
  <si>
    <t>Скотч двухсторонний 38мм*5м ткань Klebebander /6/48/</t>
  </si>
  <si>
    <t>27629</t>
  </si>
  <si>
    <t>Скотч двухсторонний 50мм*10м полипропилен Klebebander /6/36/</t>
  </si>
  <si>
    <t>27614</t>
  </si>
  <si>
    <t>Скотч двухсторонний 50мм*5м полипропилен Klebebander /6/36/</t>
  </si>
  <si>
    <t>27642</t>
  </si>
  <si>
    <t>Скотч двухсторонний 50мм*5м ткань Klebebander /6/36/</t>
  </si>
  <si>
    <t>27617</t>
  </si>
  <si>
    <t>Скотч Ермак 48мм*40м 40 мкм КОРИЧН. 472-057 /6/72/</t>
  </si>
  <si>
    <t>27689</t>
  </si>
  <si>
    <t>Скотч цвет. 50мм*57м 40 мкм белый Klebebander арт128 /6/36/</t>
  </si>
  <si>
    <t>27706</t>
  </si>
  <si>
    <t>Скотч цвет. 50мм*57м 40 мкм желтый Klebebander арт228 /6/36/</t>
  </si>
  <si>
    <t>27611</t>
  </si>
  <si>
    <t>Скотч цвет. 50мм*57м 40 мкм зеленый Klebebander арт128 /6/36/</t>
  </si>
  <si>
    <t>27616</t>
  </si>
  <si>
    <t>Скотч цвет. 50мм*57м 40 мкм красный Klebebander арт228 /6/36/</t>
  </si>
  <si>
    <t>27637</t>
  </si>
  <si>
    <t>Скотч цвет. 50мм*57м 40 мкм оранжевый Klebebander арт228 /6/36/</t>
  </si>
  <si>
    <t>27685</t>
  </si>
  <si>
    <t>Скотч цвет. 50мм*57м 40 мкм синий Klebebander арт228 /6/36/</t>
  </si>
  <si>
    <t>27686</t>
  </si>
  <si>
    <t>Скотч цвет. 50мм*57м 40 мкм черный Klebebander арт228 /6/36/</t>
  </si>
  <si>
    <t>277 Шнуры</t>
  </si>
  <si>
    <t>27739</t>
  </si>
  <si>
    <t>Шнур Veta с мет.жилой 15м 453-023 /12/</t>
  </si>
  <si>
    <t>47204</t>
  </si>
  <si>
    <t>Шнур Veta с мет.жилой 20м 453-021 /12/</t>
  </si>
  <si>
    <t>27733</t>
  </si>
  <si>
    <t>Шнур Veta с мет.жилой 30м 453-022 /12/</t>
  </si>
  <si>
    <t>27770</t>
  </si>
  <si>
    <t>Шнур бельевой 10м стальной сердечник /120/</t>
  </si>
  <si>
    <t>27765</t>
  </si>
  <si>
    <t>Шнур бельевой 20м стальной сердечник /60/</t>
  </si>
  <si>
    <t>27778</t>
  </si>
  <si>
    <t>Шнур бельевой 30м стальной сердечник /60/</t>
  </si>
  <si>
    <t>27737</t>
  </si>
  <si>
    <t>Шнур бельевой EH 10м /14084</t>
  </si>
  <si>
    <t>27738</t>
  </si>
  <si>
    <t>Шнур бельевой EH 20м /14085</t>
  </si>
  <si>
    <t>27745</t>
  </si>
  <si>
    <t>Шнур Веселый роджер с капрон.жилой 2мм*20м 453-092 /10/100/</t>
  </si>
  <si>
    <t>27758</t>
  </si>
  <si>
    <t>Шнур Веселый роджер с мет.жилой круч 3мм*20м 453-089 /10/</t>
  </si>
  <si>
    <t>27793</t>
  </si>
  <si>
    <t>Шнур вязаный ПП д.3мм 20м б/с</t>
  </si>
  <si>
    <t>27704</t>
  </si>
  <si>
    <t>Шнур вязаный ПП д.3мм 20м с/с</t>
  </si>
  <si>
    <t>27744</t>
  </si>
  <si>
    <t>Шнур вязаный ПП д.3мм 50м с/с</t>
  </si>
  <si>
    <t>27768</t>
  </si>
  <si>
    <t>Шнур вязаный ПП д.4мм 10м с/с цветной</t>
  </si>
  <si>
    <t>27729</t>
  </si>
  <si>
    <t>Шнур вязаный ПП д.4мм 20м б/с</t>
  </si>
  <si>
    <t>27707</t>
  </si>
  <si>
    <t>Шнур вязаный ПП д.4мм 20м с/с</t>
  </si>
  <si>
    <t>27735</t>
  </si>
  <si>
    <t>Шнур вязаный ПП д.4мм 20м с/с цветной</t>
  </si>
  <si>
    <t>27746</t>
  </si>
  <si>
    <t>Шнур вязаный ПП д.4мм 50м с/с</t>
  </si>
  <si>
    <t>27762</t>
  </si>
  <si>
    <t>Шнур вязаный ПП д.5мм 10м с/с цветной</t>
  </si>
  <si>
    <t>27730</t>
  </si>
  <si>
    <t>Шнур вязаный ПП д.5мм 20м б/с</t>
  </si>
  <si>
    <t>27709</t>
  </si>
  <si>
    <t>Шнур вязаный ПП д.5мм 20м с/с</t>
  </si>
  <si>
    <t>27774</t>
  </si>
  <si>
    <t>Шнур вязаный ПП д.5мм 20м с/с цветной</t>
  </si>
  <si>
    <t>27790</t>
  </si>
  <si>
    <t>Шнур вязаный ПП д.5мм 50м с/с</t>
  </si>
  <si>
    <t>27760</t>
  </si>
  <si>
    <t>Шнур вязаный ПП д.6мм 10м с/с цветной</t>
  </si>
  <si>
    <t>27731</t>
  </si>
  <si>
    <t>Шнур вязаный ПП д.6мм 20м б/с</t>
  </si>
  <si>
    <t>27715</t>
  </si>
  <si>
    <t>Шнур вязаный ПП д.6мм 20м с/с</t>
  </si>
  <si>
    <t>27794</t>
  </si>
  <si>
    <t>Шнур вязаный ПП д.6мм 20м с/с цветной</t>
  </si>
  <si>
    <t>27791</t>
  </si>
  <si>
    <t>Шнур вязаный ПП д.6мм 50м с/с</t>
  </si>
  <si>
    <t>27712</t>
  </si>
  <si>
    <t>Шнур вязаный ПП д.7мм 10м с/с цветной</t>
  </si>
  <si>
    <t>27724</t>
  </si>
  <si>
    <t>Шнур вязаный ПП д.7мм 20м с/с</t>
  </si>
  <si>
    <t>27792</t>
  </si>
  <si>
    <t>Шнур вязаный ПП д.7мм 50м с/с</t>
  </si>
  <si>
    <t>27799</t>
  </si>
  <si>
    <t>Шнур вязаный ПП д.8мм 10м с/с цветной</t>
  </si>
  <si>
    <t>27725</t>
  </si>
  <si>
    <t>Шнур вязаный ПП д.8мм 20м с/с</t>
  </si>
  <si>
    <t>27796</t>
  </si>
  <si>
    <t>Шнур вязаный ПП д.8мм 20м с/с цветной</t>
  </si>
  <si>
    <t>27797</t>
  </si>
  <si>
    <t>Шнур вязаный ПП д.9мм 20м с/с цветной</t>
  </si>
  <si>
    <t>27756</t>
  </si>
  <si>
    <t>Шнур плетеный полиамид Д3мм 10м 16пр. с/с</t>
  </si>
  <si>
    <t>27755</t>
  </si>
  <si>
    <t>Шнур плетеный полиамид Д4мм 10м 16пр. с/с</t>
  </si>
  <si>
    <t>27700</t>
  </si>
  <si>
    <t>Шнур плетеный полиамид Д5мм 10м 16пр. с/с</t>
  </si>
  <si>
    <t>27703</t>
  </si>
  <si>
    <t>Шнур плетеный полиамид Д6мм 10м 16пр. с/с</t>
  </si>
  <si>
    <t>27721</t>
  </si>
  <si>
    <t>Шнур с металлической жилой разноцветной 20 м 453-056 /12/120/</t>
  </si>
  <si>
    <t>27718</t>
  </si>
  <si>
    <t>Шнур хоз.плотный  д4мм, 20м  РАДУГА 5-063 453-068 /20/</t>
  </si>
  <si>
    <t>27701</t>
  </si>
  <si>
    <t>Шнур хоз.плотный №3 10м 5-082 453-073 /50/500/</t>
  </si>
  <si>
    <t>27702</t>
  </si>
  <si>
    <t>Шнур хоз.плотный №6 10м 5-100 453-077 /10/100/</t>
  </si>
  <si>
    <t>278 Скотч малярный</t>
  </si>
  <si>
    <t>27807</t>
  </si>
  <si>
    <t>Скотч малярный Klebebander 19мм*30м арт015 /16/96/</t>
  </si>
  <si>
    <t>27809</t>
  </si>
  <si>
    <t>Скотч малярный Klebebander 25мм*20м арт010 /12/72/</t>
  </si>
  <si>
    <t>27810</t>
  </si>
  <si>
    <t>Скотч малярный Klebebander 25мм*30м арт015 /12/72/</t>
  </si>
  <si>
    <t>27640</t>
  </si>
  <si>
    <t>Скотч малярный Klebebander 25мм*40м арт020 /12/72/</t>
  </si>
  <si>
    <t>27811</t>
  </si>
  <si>
    <t>Скотч малярный Klebebander 30мм*20м KFK 010T /12/60/</t>
  </si>
  <si>
    <t>27812</t>
  </si>
  <si>
    <t>Скотч малярный Klebebander 30мм*30м арт015 /12/60/</t>
  </si>
  <si>
    <t>27619</t>
  </si>
  <si>
    <t>Скотч малярный Klebebander 38мм*20м арт010 /8/48/</t>
  </si>
  <si>
    <t>27817</t>
  </si>
  <si>
    <t>Скотч малярный Klebebander 38мм*30м арт015 /8/48/</t>
  </si>
  <si>
    <t>27801</t>
  </si>
  <si>
    <t>Скотч малярный Klebebander 38мм*40м арт020 /6/48/</t>
  </si>
  <si>
    <t>27803</t>
  </si>
  <si>
    <t>Скотч малярный Klebebander 50мм*10м арт005 /6/36/</t>
  </si>
  <si>
    <t>27815</t>
  </si>
  <si>
    <t>Скотч малярный Klebebander 50мм*20м арт010 /6/36/</t>
  </si>
  <si>
    <t>27804</t>
  </si>
  <si>
    <t>Скотч малярный Klebebander 50мм*30м арт015 /6/36/</t>
  </si>
  <si>
    <t>27802</t>
  </si>
  <si>
    <t>Скотч малярный Klebebander 50мм*40м арт020 /6/36/</t>
  </si>
  <si>
    <t>27816</t>
  </si>
  <si>
    <t>Скотч малярный Klebebander 50мм*50м арт025 /6/36/</t>
  </si>
  <si>
    <t>27806</t>
  </si>
  <si>
    <t>Скотч малярный Klebebander 75мм*30м арт015 /4/24/</t>
  </si>
  <si>
    <t>27819</t>
  </si>
  <si>
    <t>Скотч малярный Klebebander 75мм*40м арт020 /4/24/</t>
  </si>
  <si>
    <t>27818</t>
  </si>
  <si>
    <t>Скотч малярный TYTAN Professional 48мм*50м /20/</t>
  </si>
  <si>
    <t>279 Прочая тара</t>
  </si>
  <si>
    <t>27933</t>
  </si>
  <si>
    <t>Вкладыш для бочки 100л 100мк (650*1100мм) 50шт</t>
  </si>
  <si>
    <t>279330</t>
  </si>
  <si>
    <t>Вкладыш для бочки 100л 100мк (650*1100мм) 50шт-1штука</t>
  </si>
  <si>
    <t>27948</t>
  </si>
  <si>
    <t>Вкладыш для бочки 100л 150мк (650*1100мм) 50шт</t>
  </si>
  <si>
    <t>279480</t>
  </si>
  <si>
    <t>Вкладыш для бочки 100л 150мк (650*1100мм) 50шт - 1 штука</t>
  </si>
  <si>
    <t>27935</t>
  </si>
  <si>
    <t>Вкладыш для бочки 150л 100мк (700*1300мм) 50шт</t>
  </si>
  <si>
    <t>279350</t>
  </si>
  <si>
    <t>Вкладыш для бочки 150л 100мк (700*1300мм) 50шт - 1 штука</t>
  </si>
  <si>
    <t>27916</t>
  </si>
  <si>
    <t>Вкладыш для бочки 150л 150мк (700*1300мм) 25шт</t>
  </si>
  <si>
    <t>27927</t>
  </si>
  <si>
    <t>Вкладыш для бочки 150л 150мк (700*1300мм) 50шт</t>
  </si>
  <si>
    <t>279270</t>
  </si>
  <si>
    <t>Вкладыш для бочки 150л 150мк (700*1300мм) 50шт - 1 штука</t>
  </si>
  <si>
    <t>27977</t>
  </si>
  <si>
    <t>Вкладыш для бочки 200л 100мк (900*1350мм) 50шт</t>
  </si>
  <si>
    <t>279770</t>
  </si>
  <si>
    <t>Вкладыш для бочки 200л 100мк (900*1350мм) 50шт - 1 штука</t>
  </si>
  <si>
    <t>27986</t>
  </si>
  <si>
    <t>Вкладыш для бочки 200л 150мк (900*1350мм) 25шт</t>
  </si>
  <si>
    <t>279860</t>
  </si>
  <si>
    <t>Вкладыш для бочки 200л 150мк (900*1350мм) 25шт - 1 штука</t>
  </si>
  <si>
    <t>27907</t>
  </si>
  <si>
    <t>Вкладыш для бочки 200л 200мк (900*1350мм) 25шт</t>
  </si>
  <si>
    <t>279070</t>
  </si>
  <si>
    <t>Вкладыш для бочки 200л 200мк (900*1350мм) 25шт - 1 штука</t>
  </si>
  <si>
    <t>27912</t>
  </si>
  <si>
    <t>Вкладыш для бочки 200л 250мк (900*1350мм) 25шт</t>
  </si>
  <si>
    <t>279120</t>
  </si>
  <si>
    <t>Вкладыш для бочки 200л 250мк (900*1350мм) 25шт - 1 штука</t>
  </si>
  <si>
    <t>27900</t>
  </si>
  <si>
    <t>Вкладыш для бочки 250л 100мк (1100*1400мм) 50шт</t>
  </si>
  <si>
    <t>279000</t>
  </si>
  <si>
    <t>Вкладыш для бочки 250л 100мк (1100*1400мм) 50шт - 1 штука</t>
  </si>
  <si>
    <t>27918</t>
  </si>
  <si>
    <t>Вкладыш для бочки 250л 125мк (1100*1400мм) 25шт</t>
  </si>
  <si>
    <t>27924</t>
  </si>
  <si>
    <t>Вкладыш для бочки 250л 125мк (1100*1400мм) 50шт</t>
  </si>
  <si>
    <t>279240</t>
  </si>
  <si>
    <t>Вкладыш для бочки 250л 125мк (1100*1400мм) 50шт - 1 штука</t>
  </si>
  <si>
    <t>27914</t>
  </si>
  <si>
    <t>Вкладыш для бочки 250л 150мк (950*1500мм) 50шт</t>
  </si>
  <si>
    <t>279140</t>
  </si>
  <si>
    <t>Вкладыш для бочки 250л 150мк (950*1500мм) 50шт - 1 штука</t>
  </si>
  <si>
    <t>27934</t>
  </si>
  <si>
    <t>Вкладыш для бочки 250л 250мк (950*1500мм) 25шт</t>
  </si>
  <si>
    <t>279340</t>
  </si>
  <si>
    <t>Вкладыш для бочки 250л 250мк (950*1500мм) 25шт - 1 штука</t>
  </si>
  <si>
    <t>27920</t>
  </si>
  <si>
    <t>Вкладыш для бочки 50л 100мк (600*900мм) 50шт</t>
  </si>
  <si>
    <t>279200</t>
  </si>
  <si>
    <t>Вкладыш для бочки 50л 100мк (600*900мм) 50шт - 1 штука</t>
  </si>
  <si>
    <t>27901</t>
  </si>
  <si>
    <t>Вкладыш для бочки 50л 150мк (600*900мм) 50шт</t>
  </si>
  <si>
    <t>279010</t>
  </si>
  <si>
    <t>Вкладыш для бочки 50л 150мк (600*900мм) 50шт - 1 штука</t>
  </si>
  <si>
    <t>27909</t>
  </si>
  <si>
    <t>Мешок п/п Росиия 55*95 63 гр белый 1-й сорт /100/</t>
  </si>
  <si>
    <t>27913</t>
  </si>
  <si>
    <t>Мешок п/п Россия 55*105 60гр белый /100/</t>
  </si>
  <si>
    <t>27902</t>
  </si>
  <si>
    <t>Мешок п/п Россия 55*95 65 гр зеленый /100/93904</t>
  </si>
  <si>
    <t>79347</t>
  </si>
  <si>
    <t>Сетка для пакетов 3 цв, 29*15,5*10см 452-044</t>
  </si>
  <si>
    <t>27906</t>
  </si>
  <si>
    <t>Сетка-мешок овощная 26*40 5 кг красная 100 шт /20/</t>
  </si>
  <si>
    <t>27998</t>
  </si>
  <si>
    <t>Сетка-мешок овощная 30*47 10 кг красная 100 шт /20/</t>
  </si>
  <si>
    <t>27925</t>
  </si>
  <si>
    <t>Сетка-мешок овощная 30*47 10 кг фиолетовая 100 шт /20/</t>
  </si>
  <si>
    <t>27904</t>
  </si>
  <si>
    <t>Сетка-мешок овощная 45*75 32 кг красная 100 шт /30/</t>
  </si>
  <si>
    <t>27944</t>
  </si>
  <si>
    <t>Сетка-мешок овощная 50*80 40 кг красная 100 шт /30/</t>
  </si>
  <si>
    <t>280 Мусорные мешки до 100 л</t>
  </si>
  <si>
    <t>28026</t>
  </si>
  <si>
    <t>Мусорные мешки MirPack City ПСД 45 л 20 шт 25 мкм черные /10/</t>
  </si>
  <si>
    <t>28027</t>
  </si>
  <si>
    <t>Мусорные мешки MirPack City ПСД 55 л 20 шт 25 мкм черные /10/</t>
  </si>
  <si>
    <t>28030</t>
  </si>
  <si>
    <t>Мусорные мешки MirPack City ПСД 65 л 20 шт 25 мкм черные /12/</t>
  </si>
  <si>
    <t>28013</t>
  </si>
  <si>
    <t>Мусорные мешки MirPack Classic ПНД 30 л 20 шт 7 мкм черные /40/</t>
  </si>
  <si>
    <t>28846</t>
  </si>
  <si>
    <t>Мусорные мешки MirPack Classic ПНД 60 л 20 шт 6 мкм синие /40/</t>
  </si>
  <si>
    <t>28033</t>
  </si>
  <si>
    <t>Мусорные мешки MirPack Classic ПНД 60 л 20 шт 7 мкм черные /40/</t>
  </si>
  <si>
    <t>28038</t>
  </si>
  <si>
    <t>Мусорные мешки MirPack Deluxe ПВД 35 л 20 шт 30 мкм с завязками черные /20/</t>
  </si>
  <si>
    <t>28039</t>
  </si>
  <si>
    <t>Мусорные мешки MirPack Deluxe ПВД 35 л 30 шт 30 мкм с завязками черные /10/</t>
  </si>
  <si>
    <t>28867</t>
  </si>
  <si>
    <t>Мусорные мешки MirPack Deluxe ПВД 60 л 10 шт 35 мкм с завязками желтые /25/</t>
  </si>
  <si>
    <t>28868</t>
  </si>
  <si>
    <t>Мусорные мешки MirPack Deluxe ПВД 60 л 10 шт 35 мкм с завязками красные /25/</t>
  </si>
  <si>
    <t>28869</t>
  </si>
  <si>
    <t>Мусорные мешки MirPack Deluxe ПВД 60 л 10 шт 35 мкм с завязками синие /25/</t>
  </si>
  <si>
    <t>28870</t>
  </si>
  <si>
    <t>Мусорные мешки MirPack Deluxe ПВД 60 л 10 шт 35 мкм с завязками черные /25/</t>
  </si>
  <si>
    <t>28046</t>
  </si>
  <si>
    <t>Мусорные мешки MirPack Extra ПВД 60 л 20 шт 45 мкм черные /8/</t>
  </si>
  <si>
    <t>28016</t>
  </si>
  <si>
    <t>Мусорные мешки MirPack Extra ПНД 30 л 20 шт 12 мкм синие /33/</t>
  </si>
  <si>
    <t>28825</t>
  </si>
  <si>
    <t>Мусорные мешки MirPack Extra ПНД 30 л 20 шт 12 мкм черные /33/</t>
  </si>
  <si>
    <t>28017</t>
  </si>
  <si>
    <t>Мусорные мешки MirPack Extra ПНД 30 л 50 шт 12 мкм черные /15/</t>
  </si>
  <si>
    <t>28832</t>
  </si>
  <si>
    <t>Мусорные мешки MirPack Extra ПНД 35 л 30 шт 12 мкм оранжевые /18/</t>
  </si>
  <si>
    <t>28831</t>
  </si>
  <si>
    <t>Мусорные мешки MirPack Extra ПНД 35 л 30 шт 12 мкм синие /18/</t>
  </si>
  <si>
    <t>28830</t>
  </si>
  <si>
    <t>Мусорные мешки MirPack Extra ПНД 35 л 30 шт 12 мкм черные /18/</t>
  </si>
  <si>
    <t>28851</t>
  </si>
  <si>
    <t>Мусорные мешки MirPack Extra ПНД 60 л 20 шт 12 мкм белые /32/</t>
  </si>
  <si>
    <t>28852</t>
  </si>
  <si>
    <t>Мусорные мешки MirPack Extra ПНД 60 л 20 шт 12 мкм синие /32/</t>
  </si>
  <si>
    <t>28854</t>
  </si>
  <si>
    <t>Мусорные мешки MirPack Extra ПНД 60 л 30 шт 12 мкм черные /24/</t>
  </si>
  <si>
    <t>28805</t>
  </si>
  <si>
    <t>Мусорные мешки MirPack Practical life ПНД 35 л 30 шт 14 мкм с ручками со скотч клапаном черные /30/</t>
  </si>
  <si>
    <t>28737</t>
  </si>
  <si>
    <t>Мусорные мешки MirPack Practical life ПНД 60 л 30 шт 13 мкм с ручками со скотч клапаном черные /40/</t>
  </si>
  <si>
    <t>28031</t>
  </si>
  <si>
    <t>Мусорные мешки MirPack Premium+ ПВД 90 л 10 шт 40 мкм черные /15/</t>
  </si>
  <si>
    <t>28032</t>
  </si>
  <si>
    <t>Мусорные мешки MirPack Premium+ ПВД 90 л 20 шт 40 мкм черные /8/</t>
  </si>
  <si>
    <t>28051</t>
  </si>
  <si>
    <t>Мусорные мешки MirPack Premium+ ПСД 30 л 30 шт 20 мкм черные /15/</t>
  </si>
  <si>
    <t>28036</t>
  </si>
  <si>
    <t>Мусорные мешки MirPack Premium+ ПСД 30 л 50 шт 20 мкм черные /10/</t>
  </si>
  <si>
    <t>28043</t>
  </si>
  <si>
    <t>Мусорные мешки MirPack Premium+ ПСД 35 л 20 шт 20 мкм синие /21/</t>
  </si>
  <si>
    <t>28049</t>
  </si>
  <si>
    <t>Мусорные мешки MirPack Premium+ ПСД 60 л 10 шт 20 мкм черные /40/</t>
  </si>
  <si>
    <t>28003</t>
  </si>
  <si>
    <t>Мусорные мешки MirPack Premium+ ПСД 60 л 20 шт 20 мкм синие /21/</t>
  </si>
  <si>
    <t>28044</t>
  </si>
  <si>
    <t>Мусорные мешки MirPack Premium+ ПСД 60 л 50 шт 20 мкм черные /10/</t>
  </si>
  <si>
    <t>28814</t>
  </si>
  <si>
    <t>Мусорные мешки MirPack Professional ПНД 60 л 50 шт 7 мкм прозрачные /20/</t>
  </si>
  <si>
    <t>28042</t>
  </si>
  <si>
    <t>Мусорные мешки MirPack Pure Ecology Био ПВД 30 л 20 шт 12 мкм зеленые /33/</t>
  </si>
  <si>
    <t>28011</t>
  </si>
  <si>
    <t>Мусорные мешки MirPack Pure Ecology Био ПВД 30 л 20 шт 30 мкм зеленые /12/</t>
  </si>
  <si>
    <t>28045</t>
  </si>
  <si>
    <t>Мусорные мешки MirPack Standart ПНД 60 л 30 шт 6 мкм черные /28/</t>
  </si>
  <si>
    <t>28023</t>
  </si>
  <si>
    <t>Мусорные мешки MirPack VIP ПНД 35 л 15 шт 15 мкм с завязками белые /50/</t>
  </si>
  <si>
    <t>28834</t>
  </si>
  <si>
    <t>Мусорные мешки MirPack VIP ПНД 35 л 15 шт 15 мкм с завязками синие /50/</t>
  </si>
  <si>
    <t>28835</t>
  </si>
  <si>
    <t>Мусорные мешки MirPack VIP ПНД 35 л 15 шт 15 мкм с завязками черные /50/</t>
  </si>
  <si>
    <t>28857</t>
  </si>
  <si>
    <t>Мусорные мешки MirPack VIP ПНД 60 л 10 шт 15 мкм с завязками белые /40/</t>
  </si>
  <si>
    <t>28047</t>
  </si>
  <si>
    <t>Мусорные мешки MirPack VIP ПНД 60 л 10 шт 15 мкм с завязками желтые /40/</t>
  </si>
  <si>
    <t>28856</t>
  </si>
  <si>
    <t>Мусорные мешки MirPack VIP ПНД 60 л 10 шт 15 мкм с завязками черные /40/</t>
  </si>
  <si>
    <t>28815</t>
  </si>
  <si>
    <t>Мусорные мешки MirPack Силачи ПВД 35 л 15 шт 30 мкм черные /18/</t>
  </si>
  <si>
    <t>28840</t>
  </si>
  <si>
    <t>Мусорные мешки MirPack Силачи ПВД 35 л 20 шт 30 мкм черные /12/</t>
  </si>
  <si>
    <t>28052</t>
  </si>
  <si>
    <t>Мусорные мешки MirPack Силачи ПВД 60 л 10 шт 25 мкм черные /27/</t>
  </si>
  <si>
    <t>28050</t>
  </si>
  <si>
    <t>Мусорные мешки MirPack Силачи ПВД 60 л 20 шт 25 мкм черные /15/</t>
  </si>
  <si>
    <t>28034</t>
  </si>
  <si>
    <t>Мусорные мешки MirPack Ушки ПСД 35 л 30 шт 20 мкм черные /35/</t>
  </si>
  <si>
    <t>28817</t>
  </si>
  <si>
    <t>Мусорные мешки MirPack Хит ПНД 30 л 20 шт 8 мкм черные /36/</t>
  </si>
  <si>
    <t>28822</t>
  </si>
  <si>
    <t>Мусорные мешки MirPack Хит ПНД 30 л 25 шт 8 мкм черные /32/</t>
  </si>
  <si>
    <t>28823</t>
  </si>
  <si>
    <t>Мусорные мешки MirPack Хит ПНД 30 л 30 шт 8 мкм черные /26/</t>
  </si>
  <si>
    <t>28037</t>
  </si>
  <si>
    <t>Мусорные мешки MirPack Хит ПНД 30 л 50 шт 8 мкм черные /18/</t>
  </si>
  <si>
    <t>28848</t>
  </si>
  <si>
    <t>Мусорные мешки MirPack Хит ПНД 60 л 20 шт 8 мкм черные /36/</t>
  </si>
  <si>
    <t>28849</t>
  </si>
  <si>
    <t>Мусорные мешки MirPack Хит ПНД 60 л 25 шт 8 мкм черные /32/</t>
  </si>
  <si>
    <t>28850</t>
  </si>
  <si>
    <t>Мусорные мешки MirPack Хит ПНД 60 л 30 шт 8 мкм черные /24/</t>
  </si>
  <si>
    <t>28048</t>
  </si>
  <si>
    <t>Мусорные мешки MirPack Хит ПНД 60 л 50 шт 8 мкм черные /15/</t>
  </si>
  <si>
    <t>27202</t>
  </si>
  <si>
    <t>Мусорные мешки Мегапак 20л 30шт рулон /80/</t>
  </si>
  <si>
    <t>27225</t>
  </si>
  <si>
    <t>Мусорные мешки Мегапак 20л 50шт рулон /60/</t>
  </si>
  <si>
    <t>27274</t>
  </si>
  <si>
    <t>Мусорные мешки Мегапак 30л 30шт рулон /80/</t>
  </si>
  <si>
    <t>27310</t>
  </si>
  <si>
    <t>Мусорные мешки Мегапак 30л 50шт рулон /60/</t>
  </si>
  <si>
    <t>27207</t>
  </si>
  <si>
    <t>Мусорные мешки Мегапак 50л 25шт рулон /60/</t>
  </si>
  <si>
    <t>27237</t>
  </si>
  <si>
    <t>Мусорные мешки Мегапак 60л 25шт рулон /60/</t>
  </si>
  <si>
    <t>27313</t>
  </si>
  <si>
    <t>Мусорные мешки Мегапак 90л 20шт рулон /40/</t>
  </si>
  <si>
    <t>27940</t>
  </si>
  <si>
    <t>Мусорные мешки Пакман 20л 30шт рулон /80/</t>
  </si>
  <si>
    <t>27275</t>
  </si>
  <si>
    <t>Мусорные мешки Пакман 30л 20шт рулон /120/</t>
  </si>
  <si>
    <t>27269</t>
  </si>
  <si>
    <t>Мусорные мешки Пакман 30л 30шт рулон /80/</t>
  </si>
  <si>
    <t>28053</t>
  </si>
  <si>
    <t>Мусорные мешки Пакман 30л 50шт рулон /60/</t>
  </si>
  <si>
    <t>27276</t>
  </si>
  <si>
    <t>Мусорные мешки Пакман 50л 20шт рулон /100/</t>
  </si>
  <si>
    <t>27279</t>
  </si>
  <si>
    <t>Мусорные мешки Пакман 50л 30шт рулон /60/</t>
  </si>
  <si>
    <t>27271</t>
  </si>
  <si>
    <t>Мусорные мешки Пакман 50л 50шт рулон /40/</t>
  </si>
  <si>
    <t>28029</t>
  </si>
  <si>
    <t>Мусорные мешки Пакман 60л 30шт рулон /60/</t>
  </si>
  <si>
    <t>27227</t>
  </si>
  <si>
    <t>Мусорные мешки Пакман 90л 20шт рулон /40/</t>
  </si>
  <si>
    <t>281 Пакеты подарочные бумажные</t>
  </si>
  <si>
    <t>28119</t>
  </si>
  <si>
    <t>Пакет подарочный бумажный 11,5*14,5*6,5 см Блестящий перламутр 7 цв. 507-120 /7/</t>
  </si>
  <si>
    <t>28169</t>
  </si>
  <si>
    <t>Пакет подарочный бумажный 17,5*21*13,8 см Листья 4 диз. 507-202 /12/</t>
  </si>
  <si>
    <t>28177</t>
  </si>
  <si>
    <t>Пакет подарочный бумажный 17,5*24*8 см Мотоциклы 4 диз. 507-294 /12/</t>
  </si>
  <si>
    <t>28162</t>
  </si>
  <si>
    <t>Пакет подарочный бумажный 18,5*9,5*25,5 см Ретро 4 диз. 507-266 /12/</t>
  </si>
  <si>
    <t>28168</t>
  </si>
  <si>
    <t>Пакет подарочный бумажный 18*13,5*11 см с окном 6 цв. 507-187 /12/</t>
  </si>
  <si>
    <t>28171</t>
  </si>
  <si>
    <t>Пакет подарочный бумажный 18*23*8 см Бабочка 4 диз. 507-263 /12/</t>
  </si>
  <si>
    <t>28176</t>
  </si>
  <si>
    <t>Пакет подарочный бумажный 18*23*8 см Принцесса 4 диз. 507-292 /12/</t>
  </si>
  <si>
    <t>28172</t>
  </si>
  <si>
    <t>Пакет подарочный бумажный 18*23*8 см Цветы 4 диз. 507-271 /12/</t>
  </si>
  <si>
    <t>28148</t>
  </si>
  <si>
    <t>Пакет подарочный бумажный 18*24 см 83 /12/</t>
  </si>
  <si>
    <t>28152</t>
  </si>
  <si>
    <t>Пакет подарочный бумажный 18*24*7 см Бабочки 4 диз. 507-151 /12/</t>
  </si>
  <si>
    <t>28151</t>
  </si>
  <si>
    <t>Пакет подарочный бумажный 18*24*7 см С Днем Рождения 4 диз. 507-136 /12/</t>
  </si>
  <si>
    <t>28154</t>
  </si>
  <si>
    <t>Пакет подарочный бумажный 18*24*7 см Цветы 4 диз. 507-174 /12/</t>
  </si>
  <si>
    <t>28174</t>
  </si>
  <si>
    <t>Пакет подарочный бумажный 19*9*27 см конверт с бантом Цветочный принт 4 диз. 507-208 /12/</t>
  </si>
  <si>
    <t>28157</t>
  </si>
  <si>
    <t>Пакет подарочный бумажный 22*27*11 см 4 диз. 507-217 /12/</t>
  </si>
  <si>
    <t>28173</t>
  </si>
  <si>
    <t>Пакет подарочный бумажный 24*20*11 см с окном 6 цв. 507-188 /12/</t>
  </si>
  <si>
    <t>28145</t>
  </si>
  <si>
    <t>Пакет подарочный бумажный 25*36*8 см 512-003 /50/</t>
  </si>
  <si>
    <t>28144</t>
  </si>
  <si>
    <t>Пакет подарочный бумажный 26*32 см 2120 /12/</t>
  </si>
  <si>
    <t>28146</t>
  </si>
  <si>
    <t>Пакет подарочный бумажный 26*32 см 2304 /12/</t>
  </si>
  <si>
    <t>28109</t>
  </si>
  <si>
    <t>Пакет подарочный бумажный 26*32*10 см 12 диз. 507-008 /12/</t>
  </si>
  <si>
    <t>28131</t>
  </si>
  <si>
    <t>Пакет подарочный бумажный 26*32*10 см 6 диз. 507-025 /12/</t>
  </si>
  <si>
    <t>28127</t>
  </si>
  <si>
    <t>Пакет подарочный бумажный 26*32*10 см с глиттером 12 диз. 507-007 /12/</t>
  </si>
  <si>
    <t>28156</t>
  </si>
  <si>
    <t>Пакет подарочный бумажный 26*32*10 см С Днем Рождения 4 диз. 507-216 /12/</t>
  </si>
  <si>
    <t>28165</t>
  </si>
  <si>
    <t>Пакет подарочный бумажный 26*32*10 см Совушки 4 диз. 507-291 /12/</t>
  </si>
  <si>
    <t>28161</t>
  </si>
  <si>
    <t>Пакет подарочный бумажный 26*32*10 см Цветочный принт 4 диз. 507-265 /12/</t>
  </si>
  <si>
    <t>28160</t>
  </si>
  <si>
    <t>Пакет подарочный бумажный 26*32*10 см Цветочный узор 4 диз. 507-260 /12/</t>
  </si>
  <si>
    <t>28175</t>
  </si>
  <si>
    <t>Пакет подарочный бумажный 26*32*12 см с фольг. слоем 12 цв. 507-223 /12/</t>
  </si>
  <si>
    <t>28141</t>
  </si>
  <si>
    <t>Пакет подарочный бумажный 26*38*21 см 507-037 /12/</t>
  </si>
  <si>
    <t>28136</t>
  </si>
  <si>
    <t>Пакет подарочный бумажный 27*22*11 см Круги 4 цв. 507-181 /12/</t>
  </si>
  <si>
    <t>28117</t>
  </si>
  <si>
    <t>Пакет подарочный бумажный 30*36*10 см 2 диз. 505-094 /120/</t>
  </si>
  <si>
    <t>28159</t>
  </si>
  <si>
    <t>Пакет подарочный бумажный 30*41*11 см Акварель 4 цв. 507-251 /12/</t>
  </si>
  <si>
    <t>28158</t>
  </si>
  <si>
    <t>Пакет подарочный бумажный 31*42*12 см Полосы 4 диз. 507-232 /12/</t>
  </si>
  <si>
    <t>28155</t>
  </si>
  <si>
    <t>Пакет подарочный бумажный 31*42*12 см С Днем Рождения 4 диз. 507-215 /12/</t>
  </si>
  <si>
    <t>28170</t>
  </si>
  <si>
    <t>Пакет подарочный бумажный 31*42*12 см Цветы 4 диз. 507-261 /12/</t>
  </si>
  <si>
    <t>28120</t>
  </si>
  <si>
    <t>Пакет подарочный бумажный 32*44*9,5 см Блестящий перламутр 7 цв. 507-122 /7/</t>
  </si>
  <si>
    <t>28153</t>
  </si>
  <si>
    <t>Пакет подарочный бумажный 34*40*10 см Цветной узор 4 диз. 507-165 /12/</t>
  </si>
  <si>
    <t>28135</t>
  </si>
  <si>
    <t>Пакет подарочный бумажный 42*31*12 см однотонный 12 цв. 507-180 /12/</t>
  </si>
  <si>
    <t>28166</t>
  </si>
  <si>
    <t>Пакет подарочный бумажный крафт 19*24*8 см однотонный с канатной ручкой 507-306 /12/</t>
  </si>
  <si>
    <t>28124</t>
  </si>
  <si>
    <t>Пакет подарочный бумажный крафт 26*32*12 см с рисунком 6 диз. 507-183 /12/</t>
  </si>
  <si>
    <t>28167</t>
  </si>
  <si>
    <t>Пакет подарочный бумажный крафт 27*39*9 см однотонный с канатной ручкой 507-308 /12/</t>
  </si>
  <si>
    <t>282 Упаковка подарочная</t>
  </si>
  <si>
    <t>28213</t>
  </si>
  <si>
    <t>Коробка подарочная 18*14*5,5 см мраморный рисунок 207-054 /4/</t>
  </si>
  <si>
    <t>28226</t>
  </si>
  <si>
    <t>Коробка подарочная 22,5*16,5*4,5 см с бантом 4 цв. 207-058 /4/</t>
  </si>
  <si>
    <t>28147</t>
  </si>
  <si>
    <t>Коробка подарочная складная бумажная 25*31*17,3 см 3 диз. 507-774 /12/</t>
  </si>
  <si>
    <t>28211</t>
  </si>
  <si>
    <t>Лента подарочная голография 0,7см*18м 505-042 /24/</t>
  </si>
  <si>
    <t>28236</t>
  </si>
  <si>
    <t>Лента подарочная голография 1,8см*15м 8 цв. 8 шт 505-008 /20/</t>
  </si>
  <si>
    <t>28203</t>
  </si>
  <si>
    <t>Лента подарочная декоративная 1,8см*8м пластик 10 цветов с золот полосками 505-038 /36/</t>
  </si>
  <si>
    <t>28208</t>
  </si>
  <si>
    <t>Лента подарочная перламутр 0,5см*10м 6 цветов 505-043 /24/</t>
  </si>
  <si>
    <t>28230</t>
  </si>
  <si>
    <t>Лента подарочная с пайетками 1,8x200 cм 3 цвета 505-047 /33/</t>
  </si>
  <si>
    <t>28228</t>
  </si>
  <si>
    <t>Лента подарочная с пайетками 3 метра 6-8 цветов 505-048 /24/</t>
  </si>
  <si>
    <t>28231</t>
  </si>
  <si>
    <t>Упаковка подарочная мелованная бумага 68,5*100см 80г 7диз. 207-009 /100/</t>
  </si>
  <si>
    <t>283 Пакеты подарочные ПВД с вырубной ручкой</t>
  </si>
  <si>
    <t>28377</t>
  </si>
  <si>
    <t>Пакет подарочный ПВД с вырубной ручкой 20*30 см 30 мкм Тиффани /100/</t>
  </si>
  <si>
    <t>28306</t>
  </si>
  <si>
    <t>Пакет подарочный ПВД с вырубной ручкой 30*37 см 90 мкм Эффект бабочки /50/</t>
  </si>
  <si>
    <t>28312</t>
  </si>
  <si>
    <t>Пакет подарочный ПВД с вырубной ручкой 30*40 см 50 мкм Бразильская ночь /50/</t>
  </si>
  <si>
    <t>28477</t>
  </si>
  <si>
    <t>Пакет подарочный ПВД с вырубной ручкой 30*40 см 50 мкм Диана /50/</t>
  </si>
  <si>
    <t>28478</t>
  </si>
  <si>
    <t>Пакет подарочный ПВД с вырубной ручкой 30*40 см 50 мкм Книги /50/</t>
  </si>
  <si>
    <t>28479</t>
  </si>
  <si>
    <t>Пакет подарочный ПВД с вырубной ручкой 30*40 см 50 мкм Прогулка /50/</t>
  </si>
  <si>
    <t>28383</t>
  </si>
  <si>
    <t>Пакет подарочный ПВД с вырубной ручкой 31*40 см 60 мкм Клумба /50/</t>
  </si>
  <si>
    <t>28328</t>
  </si>
  <si>
    <t>Пакет подарочный ПВД с вырубной ручкой 31*40 см 60 мкм Кофе /50/</t>
  </si>
  <si>
    <t>28330</t>
  </si>
  <si>
    <t>Пакет подарочный ПВД с вырубной ручкой 31*40 см 60 мкм Кузя /50/</t>
  </si>
  <si>
    <t>28329</t>
  </si>
  <si>
    <t>Пакет подарочный ПВД с вырубной ручкой 31*40 см 60 мкм Мечта /50/</t>
  </si>
  <si>
    <t>28482</t>
  </si>
  <si>
    <t>Пакет подарочный ПВД с вырубной ручкой 31*40 см 60 мкм Озеро /50/</t>
  </si>
  <si>
    <t>28335</t>
  </si>
  <si>
    <t>Пакет подарочный ПВД с вырубной ручкой 31*40 см 60 мкм Таинственный сад /50/</t>
  </si>
  <si>
    <t>28345</t>
  </si>
  <si>
    <t>Пакет подарочный ПВД с вырубной ручкой 31*40 см 60 мкм Фиалка /50/</t>
  </si>
  <si>
    <t>28395</t>
  </si>
  <si>
    <t>Пакет подарочный ПВД с вырубной ручкой 31*40 см 60 мкм Этюд /50/</t>
  </si>
  <si>
    <t>28346</t>
  </si>
  <si>
    <t>Пакет подарочный ПВД с вырубной ручкой 38*45 см 50 мкм Золотая полоса /50/</t>
  </si>
  <si>
    <t>28347</t>
  </si>
  <si>
    <t>Пакет подарочный ПВД с вырубной ручкой 38*47 см 60 мкм Винтаж /50/</t>
  </si>
  <si>
    <t>28326</t>
  </si>
  <si>
    <t>Пакет подарочный ПВД с вырубной ручкой 38*47 см 60 мкм Гламур /50/</t>
  </si>
  <si>
    <t>28397</t>
  </si>
  <si>
    <t>Пакет подарочный ПВД с вырубной ручкой 38*47 см 60 мкм Европа лам. /50/</t>
  </si>
  <si>
    <t>28396</t>
  </si>
  <si>
    <t>Пакет подарочный ПВД с вырубной ручкой 38*47 см 60 мкм Ирисы /50/</t>
  </si>
  <si>
    <t>28398</t>
  </si>
  <si>
    <t>Пакет подарочный ПВД с вырубной ручкой 38*47 см 60 мкм Комплимент /50/</t>
  </si>
  <si>
    <t>28399</t>
  </si>
  <si>
    <t>Пакет подарочный ПВД с вырубной ручкой 38*47 см 60 мкм Нежность /50/</t>
  </si>
  <si>
    <t>28314</t>
  </si>
  <si>
    <t>Пакет подарочный ПВД с вырубной ручкой 38*47 см 60 мкм Ночные огни /50/</t>
  </si>
  <si>
    <t>28355</t>
  </si>
  <si>
    <t>Пакет подарочный ПВД с вырубной ручкой 38*47 см 60 мкм Ромашки /50/</t>
  </si>
  <si>
    <t>28380</t>
  </si>
  <si>
    <t>Пакет подарочный ПВД с вырубной ручкой 38*47 см 60 мкм Ящерица /50/</t>
  </si>
  <si>
    <t>28311</t>
  </si>
  <si>
    <t>Пакет подарочный ПВД с вырубной ручкой 40*47 см 45 мкм DOMINA /50/</t>
  </si>
  <si>
    <t>28352</t>
  </si>
  <si>
    <t>Пакет подарочный ПВД с вырубной ручкой 40*47 см 45 мкм Бабочки /50/</t>
  </si>
  <si>
    <t>28358</t>
  </si>
  <si>
    <t>Пакет подарочный ПВД с вырубной ручкой 40*47 см 45 мкм Зеленая долина /50/</t>
  </si>
  <si>
    <t>28309</t>
  </si>
  <si>
    <t>Пакет подарочный ПВД с вырубной ручкой 40*47 см 45 мкм Магия /50/</t>
  </si>
  <si>
    <t>28343</t>
  </si>
  <si>
    <t>Пакет подарочный ПВД с вырубной ручкой 40*47 см 45 мкм Ралли /50/</t>
  </si>
  <si>
    <t>28308</t>
  </si>
  <si>
    <t>Пакет подарочный ПВД с вырубной ручкой 40*47 см 45 мкм Русское поле /50/</t>
  </si>
  <si>
    <t>28351</t>
  </si>
  <si>
    <t>Пакет подарочный ПВД с вырубной ручкой 40*47 см 45 мкм Сирень /50/</t>
  </si>
  <si>
    <t>28321</t>
  </si>
  <si>
    <t>Пакет подарочный ПВД с вырубной ручкой 40*47 см 45 мкм Смайлики /50/</t>
  </si>
  <si>
    <t>28325</t>
  </si>
  <si>
    <t>Пакет подарочный ПВД с вырубной ручкой 40*47 см 45 мкм Страницы /50/</t>
  </si>
  <si>
    <t>28363</t>
  </si>
  <si>
    <t>Пакет подарочный ПВД с вырубной ручкой 40*50 см 45 мкм Дикая роза /50/</t>
  </si>
  <si>
    <t>28302</t>
  </si>
  <si>
    <t>Пакет подарочный ПВД с вырубной ручкой 40*50 см 80 мкм Арман /50/</t>
  </si>
  <si>
    <t>28381</t>
  </si>
  <si>
    <t>Пакет подарочный ПВД с вырубной ручкой 40*50 см 80 мкм Бай /50/</t>
  </si>
  <si>
    <t>28304</t>
  </si>
  <si>
    <t>Пакет подарочный ПВД с вырубной ручкой 40*50 см 80 мкм Башни /50/</t>
  </si>
  <si>
    <t>28369</t>
  </si>
  <si>
    <t>Пакет подарочный ПВД с вырубной ручкой 40*50 см 80 мкм Винил /50/</t>
  </si>
  <si>
    <t>28376</t>
  </si>
  <si>
    <t>Пакет подарочный ПВД с вырубной ручкой 40*50 см 80 мкм Индустрия моды /50/</t>
  </si>
  <si>
    <t>28300</t>
  </si>
  <si>
    <t>Пакет подарочный ПВД с вырубной ручкой 40*50 см 80 мкм Лилу /50/</t>
  </si>
  <si>
    <t>28310</t>
  </si>
  <si>
    <t>Пакет подарочный ПВД с вырубной ручкой 40*50 см 80 мкм Ноктюрн /50/</t>
  </si>
  <si>
    <t>28366</t>
  </si>
  <si>
    <t>Пакет подарочный ПВД с вырубной ручкой 44*44 см 45 мкм Бизнес Леди /50/</t>
  </si>
  <si>
    <t>28371</t>
  </si>
  <si>
    <t>Пакет подарочный ПВД с вырубной ручкой 44*44 см 45 мкм Британец /50/</t>
  </si>
  <si>
    <t>28316</t>
  </si>
  <si>
    <t>Пакет подарочный ПВД с вырубной ручкой 44*44 см 70 мкм Голландия /50/</t>
  </si>
  <si>
    <t>28307</t>
  </si>
  <si>
    <t>Пакет подарочный ПВД с вырубной ручкой 44*44 см 70 мкм Дипломат /50/</t>
  </si>
  <si>
    <t>28338</t>
  </si>
  <si>
    <t>Пакет подарочный ПВД с вырубной ручкой 44*44 см 70 мкм Признание /50/</t>
  </si>
  <si>
    <t>28459</t>
  </si>
  <si>
    <t>Пакет подарочный ПВД с вырубной ручкой 44*44 см 70 мкм Тайная Роза /50/</t>
  </si>
  <si>
    <t>28317</t>
  </si>
  <si>
    <t>Пакет подарочный ПВД с петлевой ручкой 60*50 см 70 мкм Анабель /25/</t>
  </si>
  <si>
    <t>284 Пакеты подарочные ПВД с пластиковой ручкой</t>
  </si>
  <si>
    <t>28438</t>
  </si>
  <si>
    <t>Пакет подарочный ПВД с пластиковой ручкой 37*34 см 80 мкм Аврора /10/</t>
  </si>
  <si>
    <t>28468</t>
  </si>
  <si>
    <t>Пакет подарочный ПВД с пластиковой ручкой 37*34 см 80 мкм Бразилия /10/</t>
  </si>
  <si>
    <t>28439</t>
  </si>
  <si>
    <t>Пакет подарочный ПВД с пластиковой ручкой 37*34 см 80 мкм Десерт /10/</t>
  </si>
  <si>
    <t>28462</t>
  </si>
  <si>
    <t>Пакет подарочный ПВД с пластиковой ручкой 37*34 см 80 мкм Каролина /10/</t>
  </si>
  <si>
    <t>28433</t>
  </si>
  <si>
    <t>Пакет подарочный ПВД с пластиковой ручкой 37*34 см 80 мкм Лайк /10/</t>
  </si>
  <si>
    <t>28469</t>
  </si>
  <si>
    <t>Пакет подарочный ПВД с пластиковой ручкой 37*34 см 80 мкм Лепесток /10/</t>
  </si>
  <si>
    <t>28463</t>
  </si>
  <si>
    <t>Пакет подарочный ПВД с пластиковой ручкой 37*34 см 80 мкм Манифик /10/</t>
  </si>
  <si>
    <t>28464</t>
  </si>
  <si>
    <t>Пакет подарочный ПВД с пластиковой ручкой 37*34 см 80 мкм Новости /10/</t>
  </si>
  <si>
    <t>28465</t>
  </si>
  <si>
    <t>Пакет подарочный ПВД с пластиковой ручкой 37*34 см 80 мкм Синяя птица /10/</t>
  </si>
  <si>
    <t>28466</t>
  </si>
  <si>
    <t>Пакет подарочный ПВД с пластиковой ручкой 37*34 см 80 мкм Цветение /10/</t>
  </si>
  <si>
    <t>28470</t>
  </si>
  <si>
    <t>Пакет подарочный ПВД с пластиковой ручкой 37*34 см 80 мкм Шпиц /10/</t>
  </si>
  <si>
    <t>28409</t>
  </si>
  <si>
    <t>Пакет подарочный ПВД с пластиковой ручкой 38*35 см 90 мкм Богема /10/</t>
  </si>
  <si>
    <t>28483</t>
  </si>
  <si>
    <t>Пакет подарочный ПВД с пластиковой ручкой 38*35 см 90 мкм Виолет /10/</t>
  </si>
  <si>
    <t>28420</t>
  </si>
  <si>
    <t>Пакет подарочный ПВД с пластиковой ручкой 38*35 см 90 мкм Глянец /10/</t>
  </si>
  <si>
    <t>28445</t>
  </si>
  <si>
    <t>Пакет подарочный ПВД с пластиковой ручкой 38*35 см 90 мкм Грация /10/</t>
  </si>
  <si>
    <t>28484</t>
  </si>
  <si>
    <t>Пакет подарочный ПВД с пластиковой ручкой 38*35 см 90 мкм Изумруд /10/</t>
  </si>
  <si>
    <t>28458</t>
  </si>
  <si>
    <t>Пакет подарочный ПВД с пластиковой ручкой 38*35 см 90 мкм Инстинкт /10/</t>
  </si>
  <si>
    <t>28426</t>
  </si>
  <si>
    <t>Пакет подарочный ПВД с пластиковой ручкой 38*35 см 90 мкм Колокольчик /10/</t>
  </si>
  <si>
    <t>28467</t>
  </si>
  <si>
    <t>Пакет подарочный ПВД с пластиковой ручкой 38*35 см 90 мкм Песня лета /10/</t>
  </si>
  <si>
    <t>28402</t>
  </si>
  <si>
    <t>Пакет подарочный ПВД с пластиковой ручкой 38*35 см 90 мкм Соблазн /10/</t>
  </si>
  <si>
    <t>28471</t>
  </si>
  <si>
    <t>Пакет подарочный ПВД с пластиковой ручкой 38*35 см 90 мкм Тур-де-Франс /10/</t>
  </si>
  <si>
    <t>28418</t>
  </si>
  <si>
    <t>Пакет подарочный ПВД с пластиковой ручкой 38*35 см 90 мкм Феличита /10/</t>
  </si>
  <si>
    <t>28423</t>
  </si>
  <si>
    <t>Пакет подарочный ПВД с пластиковой ручкой 38*35 см 90 мкм Шарлотта /10/</t>
  </si>
  <si>
    <t>28407</t>
  </si>
  <si>
    <t>Пакет подарочный ПВД с пластиковой ручкой 38*35 см 90 мкм Шарм /10/</t>
  </si>
  <si>
    <t>28486</t>
  </si>
  <si>
    <t>Пакет подарочный ПВД с пластиковой ручкой 38*35 см 90 мкм Шоколад /10/</t>
  </si>
  <si>
    <t>28340</t>
  </si>
  <si>
    <t>Пакет подарочный ПВД с пластиковой ручкой 40*44 см 100 мкм Арабика /10/</t>
  </si>
  <si>
    <t>28472</t>
  </si>
  <si>
    <t>Пакет подарочный ПВД с пластиковой ручкой 40*44 см 100 мкм Беатрис /10/</t>
  </si>
  <si>
    <t>28422</t>
  </si>
  <si>
    <t>Пакет подарочный ПВД с пластиковой ручкой 40*44 см 100 мкм Бенефис /10/</t>
  </si>
  <si>
    <t>28362</t>
  </si>
  <si>
    <t>Пакет подарочный ПВД с пластиковой ручкой 40*44 см 100 мкм География /10/</t>
  </si>
  <si>
    <t>28416</t>
  </si>
  <si>
    <t>Пакет подарочный ПВД с пластиковой ручкой 40*44 см 100 мкм Мадрид /10/</t>
  </si>
  <si>
    <t>28417</t>
  </si>
  <si>
    <t>Пакет подарочный ПВД с пластиковой ручкой 40*44 см 100 мкм Миледи лам /10/</t>
  </si>
  <si>
    <t>28413</t>
  </si>
  <si>
    <t>Пакет подарочный ПВД с пластиковой ручкой 40*44 см 100 мкм Хаски /10/</t>
  </si>
  <si>
    <t>285 Сумки хозяйственнве/рюкзаки</t>
  </si>
  <si>
    <t>28561</t>
  </si>
  <si>
    <t>Велосумка Silapro на раму Книга, полиэстер, 14*13*9 см 195-043 /100/</t>
  </si>
  <si>
    <t>28575</t>
  </si>
  <si>
    <t>Мешок для сменной обуви 41,5*34,8 см Мьюзик Бит полиэстер 233-071 /12/300/</t>
  </si>
  <si>
    <t>28533</t>
  </si>
  <si>
    <t>Мешок для сменной обуви 41,5*34,8 см однот. с рис. полиэстер 5 цв. 583-194 /10/600/</t>
  </si>
  <si>
    <t>28574</t>
  </si>
  <si>
    <t>Мешок для сменной обуви 41,5*34,8 см Роял Кити 233-068 /4/300/</t>
  </si>
  <si>
    <t>27923</t>
  </si>
  <si>
    <t>Ранец школьный Принцесса 36*27*16 см жест.разборн.1 отд на молнии 3 карм ручка ножки 583-196 /12/</t>
  </si>
  <si>
    <t>27966</t>
  </si>
  <si>
    <t>Ранец школьный Смайлик 36*27*16 см жест.разборн. 1 отд на молнии 3 карм ручка ножки 583-197 /12/</t>
  </si>
  <si>
    <t>28521</t>
  </si>
  <si>
    <t>Рюкзак 23*40*12 см 4 цв. 367-089</t>
  </si>
  <si>
    <t>28540</t>
  </si>
  <si>
    <t>Рюкзак детский 38*30*14 см ПЭ Кити/Мото 254-390 /4/20/</t>
  </si>
  <si>
    <t>28534</t>
  </si>
  <si>
    <t>Рюкзак детский 4 в 1 ( +2 сумочки пенал) 40*22,5*12,5 см ПЭ брелок мет.цепь 3 цв. 254-295 /3/30/</t>
  </si>
  <si>
    <t>27994</t>
  </si>
  <si>
    <t>Рюкзак школьный 38*29*17 см Еноты мягк. 1 отд на молнии 3 карм. 583-199 /24/</t>
  </si>
  <si>
    <t>28511</t>
  </si>
  <si>
    <t>Сумка дорожная Pavo полиэстер, ПВХ, 47*26*18 см 3 цв. 367-084 /3/48/</t>
  </si>
  <si>
    <t>28568</t>
  </si>
  <si>
    <t>Сумка дорожная Vetta складная полиэстер, 45*36,5*20 см 2 цв. 467-192 /2/24/</t>
  </si>
  <si>
    <t>28517</t>
  </si>
  <si>
    <t>Сумка спортивная Silapro полиэстер 21*18*38 4 цв. 204-003 /2/96/</t>
  </si>
  <si>
    <t>28556</t>
  </si>
  <si>
    <t>Сумка спортивная Silapro полиэстер 22*22*42 4 цв. 204-005 /3/48/</t>
  </si>
  <si>
    <t>28555</t>
  </si>
  <si>
    <t>Сумка спортивная Silapro полиэстер 28*22*48 4 цв. 204-004 /2/48/</t>
  </si>
  <si>
    <t>28571</t>
  </si>
  <si>
    <t>Сумка хоз Vetta неламинированный пропилен 60*37*26 см 550 л 467-212 /5/120/</t>
  </si>
  <si>
    <t>28570</t>
  </si>
  <si>
    <t>Сумка хоз Vetta неламинированный пропилен 75*37*26 см 70 л 467-211 /5/</t>
  </si>
  <si>
    <t>28569</t>
  </si>
  <si>
    <t>Сумка хоз Vetta неламинированный пропилен 85*44*36 см 130 л 467-210 /2/100/</t>
  </si>
  <si>
    <t>28573</t>
  </si>
  <si>
    <t>Сумка хоз Vetta оксфорд водонепр. 90*60*30 см 160 л 2 цв. 467-216 /2/40/</t>
  </si>
  <si>
    <t>28544</t>
  </si>
  <si>
    <t>Сумка хоз с рисунком, нетканный материал, 40*45*18 см /12/</t>
  </si>
  <si>
    <t>28583</t>
  </si>
  <si>
    <t>Сумка хоз с рисунком, нетканный материал, 40*45*20 см 4 диз. 467-094 /12/120/</t>
  </si>
  <si>
    <t>28536</t>
  </si>
  <si>
    <t>Сумка хоз с рисунком, нетканный материал, 45*50*20 см /12/</t>
  </si>
  <si>
    <t>28525</t>
  </si>
  <si>
    <t>Сумка хоз с рисунком, нетканный материал, 50*35*18 см /10/</t>
  </si>
  <si>
    <t>46608</t>
  </si>
  <si>
    <t>Сумка хоз с рисунком, нетканный материал, 50*50*20 см 4 цвета 467-096 /6/120/</t>
  </si>
  <si>
    <t>28500</t>
  </si>
  <si>
    <t>Сумка хоз с рисунком, нетканный материал, 50*55*25 см /12/</t>
  </si>
  <si>
    <t>46607</t>
  </si>
  <si>
    <t>Сумка хоз с рисунком, нетканный материал, 50*55*25 см 4 цвета 467-095 /6/</t>
  </si>
  <si>
    <t>28532</t>
  </si>
  <si>
    <t>Сумка хоз с рисунком, нетканный материал, 55*65*25 см /12/</t>
  </si>
  <si>
    <t>28502</t>
  </si>
  <si>
    <t>Сумка хоз с рисунком, нетканный материал, 60*45*20 см /10/</t>
  </si>
  <si>
    <t>28503</t>
  </si>
  <si>
    <t>Сумка хоз с рисунком, нетканный материал, 60*70*28 см /12/</t>
  </si>
  <si>
    <t>28504</t>
  </si>
  <si>
    <t>Сумка хоз с рисунком, нетканный материал, 70*55*23 см /10/</t>
  </si>
  <si>
    <t>28510</t>
  </si>
  <si>
    <t>Сумка хоз с рисунком, нетканный материал, 80*60*26 см /10/</t>
  </si>
  <si>
    <t>28514</t>
  </si>
  <si>
    <t>Сумка хоз складная, полиэстер, 43-63, 5 дизайна 467-161 /12/180/</t>
  </si>
  <si>
    <t>28562</t>
  </si>
  <si>
    <t>Сумка хоз складная, полиэстер, 47*43см 3 дизайна 467-173 /5/100/</t>
  </si>
  <si>
    <t>28563</t>
  </si>
  <si>
    <t>Сумка хоз складная, полиэстер, 49*45см 3 дизайна 467-174 /6/</t>
  </si>
  <si>
    <t>28518</t>
  </si>
  <si>
    <t>Сумка хоз складная, полиэстер, 58-43, 3 дизайна 467-172 /6/</t>
  </si>
  <si>
    <t>27983</t>
  </si>
  <si>
    <t>Сумка хозяйственная 3-х слойная полиэстер красная 34*40*12,5 см 467-147 /10/160/</t>
  </si>
  <si>
    <t>27963</t>
  </si>
  <si>
    <t>Сумка хозяйственная 33*37*12 см 2 диз 467-088 /12/504/</t>
  </si>
  <si>
    <t>27960</t>
  </si>
  <si>
    <t>Сумка хозяйственная 60*45*20 см 467-134 /6/96/</t>
  </si>
  <si>
    <t>28505</t>
  </si>
  <si>
    <t>Сумка хозяйственная Vetta By Сказки складная Мобильник 38*58 см полиэстер 467-207 /10/</t>
  </si>
  <si>
    <t>28526</t>
  </si>
  <si>
    <t>Сумка хозяйственная Vetta оксфорд 210D 63*40-22 см 50 л 467-213 /2/</t>
  </si>
  <si>
    <t>27910</t>
  </si>
  <si>
    <t>Сумка хозяйственная Гламурная 40*62*10см клеенка 467-054 /12/180/</t>
  </si>
  <si>
    <t>27921</t>
  </si>
  <si>
    <t>Сумка хозяйственная Зонтик складная 38*58см 467-051 /12/600/</t>
  </si>
  <si>
    <t>27995</t>
  </si>
  <si>
    <t>Сумка хозяйственная Индия нетканый матер. 60*45*20 см 3 диз. 467-130 /6/</t>
  </si>
  <si>
    <t>28552</t>
  </si>
  <si>
    <t>Сумка хозяйственная клетка G40*45*20 см /100/</t>
  </si>
  <si>
    <t>28542</t>
  </si>
  <si>
    <t>Сумка хозяйственная клетка G50*40*20 см /100/</t>
  </si>
  <si>
    <t>28551</t>
  </si>
  <si>
    <t>Сумка хозяйственная клетка G55*48*20 см /100/</t>
  </si>
  <si>
    <t>28550</t>
  </si>
  <si>
    <t>Сумка хозяйственная клетка G60*45*20 см /100/</t>
  </si>
  <si>
    <t>28549</t>
  </si>
  <si>
    <t>Сумка хозяйственная клетка G63*48*25 см /100/</t>
  </si>
  <si>
    <t>28548</t>
  </si>
  <si>
    <t>Сумка хозяйственная клетка G70*50*30 см /100/</t>
  </si>
  <si>
    <t>28546</t>
  </si>
  <si>
    <t>Сумка хозяйственная клетка G70*58*25 см /100/</t>
  </si>
  <si>
    <t>28543</t>
  </si>
  <si>
    <t>Сумка хозяйственная клетка G80*55*30 см /100/</t>
  </si>
  <si>
    <t>28545</t>
  </si>
  <si>
    <t>Сумка хозяйственная клетка G80*60*25 см /100/</t>
  </si>
  <si>
    <t>28547</t>
  </si>
  <si>
    <t>Сумка хозяйственная клетка G90*60*25 см /100/</t>
  </si>
  <si>
    <t>27996</t>
  </si>
  <si>
    <t>Сумка хозяйственная нетканый материал 40*30*15 см 3 диз. 467-131 /6/</t>
  </si>
  <si>
    <t>28506</t>
  </si>
  <si>
    <t>Сумка хозяйственная полипропилен, неткан. матер. 50*35*20 см 4 диз. 467-102 /6/</t>
  </si>
  <si>
    <t>28507</t>
  </si>
  <si>
    <t>Сумка хозяйственная с вырубленной ручкой, полипроп. неткан 32*42*10см 3 диз 467-160 /12/</t>
  </si>
  <si>
    <t>28508</t>
  </si>
  <si>
    <t>Сумка хозяйственная с вырубленной ручкой, полипроп. неткан 40*50см 4 цв 467-165 /12/</t>
  </si>
  <si>
    <t>28002</t>
  </si>
  <si>
    <t>Сумка хозяйственная с рисунком, неткан. 55*65*25см 4цв. 467-132 /6/120/</t>
  </si>
  <si>
    <t>28400</t>
  </si>
  <si>
    <t>Сумка хозяйственная складная 35*45см /10/ (А)</t>
  </si>
  <si>
    <t>27988</t>
  </si>
  <si>
    <t>Сумка хозяйственная складная Мобильник 38*58 см полиэстер 4 цв. 467-048 /20/</t>
  </si>
  <si>
    <t>27989</t>
  </si>
  <si>
    <t>Сумка хозяйственная складная Стильная 37*52*10 см брезент 467-055 /12/</t>
  </si>
  <si>
    <t>27991</t>
  </si>
  <si>
    <t>Сумка хозяйственная Эмка полиэстер 31*34*10см 4 диз 467-089 /12/</t>
  </si>
  <si>
    <t>27915</t>
  </si>
  <si>
    <t>Сумка хозяйственная Ягода складная 38*58см 467-044 /20/</t>
  </si>
  <si>
    <t>28531</t>
  </si>
  <si>
    <t>Сумка-мешок 45*55 см</t>
  </si>
  <si>
    <t>28539</t>
  </si>
  <si>
    <t>Сумка-рюкзак Silapro 40х30см, полиэстер 3 цвета</t>
  </si>
  <si>
    <t>28520</t>
  </si>
  <si>
    <t>Термосумка REALIST</t>
  </si>
  <si>
    <t>28528</t>
  </si>
  <si>
    <t>Термосумка REALIST mini</t>
  </si>
  <si>
    <t>28524</t>
  </si>
  <si>
    <t>Термосумка Vetta для ланчбоксов 36*26*18 см хлопок 4 диз 467-209 /4/</t>
  </si>
  <si>
    <t>28513</t>
  </si>
  <si>
    <t>Термосумка Яркое лето 30*16*24см 11л оксфорд, фольга 118-061 /2/60/</t>
  </si>
  <si>
    <t>28515</t>
  </si>
  <si>
    <t>Термосумка Яркое лето 32,5*19*28см 17л оксфорд, фольга, пенополиэтилен 2 цв. 118-064 /33/</t>
  </si>
  <si>
    <t>28522</t>
  </si>
  <si>
    <t>Термосумка Яркое лето 36*25,5*37см 34л оксфорд, пенополиэтилен 4 цв. 118-130 /23/</t>
  </si>
  <si>
    <t>28523</t>
  </si>
  <si>
    <t>Термосумка Яркое лето 37*25*35см 32л оксфорд, фольга, пенополиэтилен хаки 118-132 /24/</t>
  </si>
  <si>
    <t>286 Пакеты подарочные мягкий пластик</t>
  </si>
  <si>
    <t>28619</t>
  </si>
  <si>
    <t>Пакет подарочный мягкий пластик, 23*27 см 150 мкм Анжелика /10/40/</t>
  </si>
  <si>
    <t>28440</t>
  </si>
  <si>
    <t>Пакет подарочный мягкий пластик, 23*27 см 150 мкм Милашка /10/40/</t>
  </si>
  <si>
    <t>28623</t>
  </si>
  <si>
    <t>Пакет подарочный мягкий пластик, 23*27 см 150 мкм Розовые сны /10/40/</t>
  </si>
  <si>
    <t>28331</t>
  </si>
  <si>
    <t>Пакет подарочный мягкий пластик, 23*27 см 150 мкм София /10/40/</t>
  </si>
  <si>
    <t>28627</t>
  </si>
  <si>
    <t>Пакет подарочный мягкий пластик, 23*27 см 150 мкм Спорт /10/40/</t>
  </si>
  <si>
    <t>28628</t>
  </si>
  <si>
    <t>Пакет подарочный мягкий пластик, 23*27 см 150 мкм Щенок /10/40/</t>
  </si>
  <si>
    <t>28106</t>
  </si>
  <si>
    <t>Пакет подарочный мягкий пластик, 30*30 см 150 мкм Вернисаж /10/40/</t>
  </si>
  <si>
    <t>28603</t>
  </si>
  <si>
    <t>Пакет подарочный мягкий пластик, 30*30 см 150 мкм Кэт /10/40/</t>
  </si>
  <si>
    <t>28191</t>
  </si>
  <si>
    <t>Пакет подарочный мягкий пластик, 30*30 см 150 мкм Малахит /10/40/</t>
  </si>
  <si>
    <t>28605</t>
  </si>
  <si>
    <t>Пакет подарочный мягкий пластик, 30*30 см 150 мкм Офелия /10/40/</t>
  </si>
  <si>
    <t>28113</t>
  </si>
  <si>
    <t>Пакет подарочный мягкий пластик, 30*40 см 150 мкм Вивальди /10/40/</t>
  </si>
  <si>
    <t>28608</t>
  </si>
  <si>
    <t>Пакет подарочный мягкий пластик, 30*40 см 150 мкм Византия /10/40/</t>
  </si>
  <si>
    <t>28618</t>
  </si>
  <si>
    <t>Пакет подарочный мягкий пластик, 30*40 см 150 мкм Высший пилотаж /10/40/</t>
  </si>
  <si>
    <t>28602</t>
  </si>
  <si>
    <t>Пакет подарочный мягкий пластик, 30*40 см 150 мкм Ева /10/40/</t>
  </si>
  <si>
    <t>28436</t>
  </si>
  <si>
    <t>Пакет подарочный мягкий пластик, 30*40 см 150 мкм Июль /10/40/</t>
  </si>
  <si>
    <t>28612</t>
  </si>
  <si>
    <t>Пакет подарочный мягкий пластик, 30*40 см 150 мкм Поэзия /10/40/</t>
  </si>
  <si>
    <t>28613</t>
  </si>
  <si>
    <t>Пакет подарочный мягкий пластик, 30*40 см 150 мкм Сумерки /10/</t>
  </si>
  <si>
    <t>287 Пакеты-майка</t>
  </si>
  <si>
    <t>27208</t>
  </si>
  <si>
    <t>Пакет-майка 24*44 10мкм ПНД 100шт /40/</t>
  </si>
  <si>
    <t>28729</t>
  </si>
  <si>
    <t>Пакет-майка 27*49 14мкм ПНД Спасибо за покупку 100 шт /40/</t>
  </si>
  <si>
    <t>28706</t>
  </si>
  <si>
    <t>Пакет-майка 28*50 14мкм ПНД белый 100 шт /20/</t>
  </si>
  <si>
    <t>27256</t>
  </si>
  <si>
    <t>Пакет-майка 28*50 14мкм ПНД белый 50шт</t>
  </si>
  <si>
    <t>27217</t>
  </si>
  <si>
    <t>Пакет-майка 28*50-30*60 МАЛЫЙ  1 штука</t>
  </si>
  <si>
    <t>28711</t>
  </si>
  <si>
    <t>Пакет-майка 30*52,5 16мкм ПНД Электрон черный 50шт /50/</t>
  </si>
  <si>
    <t>28702</t>
  </si>
  <si>
    <t>Пакет-майка 30*54 13 мкм ПНД белый 100 шт /20/</t>
  </si>
  <si>
    <t>28739</t>
  </si>
  <si>
    <t>Пакет-майка 30*54 16мкм ПНД Электрон оранж 100шт /25/</t>
  </si>
  <si>
    <t>27200</t>
  </si>
  <si>
    <t>Пакет-майка 30*55 12мкм черный 100шт /30/</t>
  </si>
  <si>
    <t>28719</t>
  </si>
  <si>
    <t>Пакет-майка 30*55 24 мкм ПНД FA вишня 100 шт /10/</t>
  </si>
  <si>
    <t>28715</t>
  </si>
  <si>
    <t>Пакет-майка 30*55 24 мкм ПНД FA зеленая 100 шт /10/</t>
  </si>
  <si>
    <t>28700</t>
  </si>
  <si>
    <t>Пакет-майка 30*55 30 мкм ПНД FA бирюзовая 100 шт /10/</t>
  </si>
  <si>
    <t>28728</t>
  </si>
  <si>
    <t>Пакет-майка 30*55 30 мкм ПНД FA желтый 100шт /10/</t>
  </si>
  <si>
    <t>28724</t>
  </si>
  <si>
    <t>Пакет-майка 30*55 30 мкм ПНД FA оранж 100 шт /10/</t>
  </si>
  <si>
    <t>28717</t>
  </si>
  <si>
    <t>Пакет-майка 30*55 30 мкм ПНД FA фиолетовый 100 шт /10/</t>
  </si>
  <si>
    <t>28720</t>
  </si>
  <si>
    <t>Пакет-майка 30*55 30 мкм ПНД FA черный 100 шт /10/</t>
  </si>
  <si>
    <t>28746</t>
  </si>
  <si>
    <t>Пакет-майка 30*55 35 мкм ПНД 50 кг Долматин цветной 50шт /20/</t>
  </si>
  <si>
    <t>28705</t>
  </si>
  <si>
    <t>Пакет-майка 30*55 35 мкм ПНД 50 кг Долматин черный 50шт /50/</t>
  </si>
  <si>
    <t>28723</t>
  </si>
  <si>
    <t>Пакет-майка 30*60 14мкм ПНД белый 50шт</t>
  </si>
  <si>
    <t>28725</t>
  </si>
  <si>
    <t>Пакет-майка 40*62 15мкм ПНД 20 мкм Электрон оранжевый 25 шт</t>
  </si>
  <si>
    <t>28726</t>
  </si>
  <si>
    <t>Пакет-майка 42,5*62 24 мкм ПНД Карго черный 25 шт /20/</t>
  </si>
  <si>
    <t>272800</t>
  </si>
  <si>
    <t>Пакет-майка 42*65- 60*80 БОЛЬШОЙ 1 штука</t>
  </si>
  <si>
    <t>28712</t>
  </si>
  <si>
    <t>Пакет-майка 43*68 40 мкм ПНД Карго синий Интерпак 50 шт /10/</t>
  </si>
  <si>
    <t>288 Мусорные мешки больше 100 л</t>
  </si>
  <si>
    <t>28041</t>
  </si>
  <si>
    <t>Мусорные мешки MirPack Classic ПНД 120 л 10 шт 12 мкм синые /40/</t>
  </si>
  <si>
    <t>28040</t>
  </si>
  <si>
    <t>Мусорные мешки MirPack Classic ПНД 120 л 10 шт 12 мкм черные /40/</t>
  </si>
  <si>
    <t>28892</t>
  </si>
  <si>
    <t>Мусорные мешки MirPack Deluxe ПВД 120 л 10 шт 35 мкм с завязками красные /15/</t>
  </si>
  <si>
    <t>28833</t>
  </si>
  <si>
    <t>Мусорные мешки MirPack Deluxe ПВД 120 л 10 шт 35 мкм с завязками черные /15/</t>
  </si>
  <si>
    <t>28862</t>
  </si>
  <si>
    <t>Мусорные мешки MirPack Deluxe ПВД 180 л 10 шт 35 мкм с завязками черные /15/</t>
  </si>
  <si>
    <t>28884</t>
  </si>
  <si>
    <t>Мусорные мешки MirPack Extra black ПВД 120 л 10 шт 50 мкм черные /10/</t>
  </si>
  <si>
    <t>28875</t>
  </si>
  <si>
    <t>Мусорные мешки MirPack Extra ПВД 120 л 10 шт 14 мкм желтые /30/</t>
  </si>
  <si>
    <t>28877</t>
  </si>
  <si>
    <t>Мусорные мешки MirPack Extra ПВД 120 л 10 шт 14 мкм зеленые /30/</t>
  </si>
  <si>
    <t>28876</t>
  </si>
  <si>
    <t>Мусорные мешки MirPack Extra ПВД 120 л 10 шт 14 мкм красные /30/</t>
  </si>
  <si>
    <t>28874</t>
  </si>
  <si>
    <t>Мусорные мешки MirPack Extra ПВД 120 л 10 шт 14 мкм синие /30/</t>
  </si>
  <si>
    <t>28872</t>
  </si>
  <si>
    <t>Мусорные мешки MirPack Extra ПВД 120 л 10 шт 14 мкм черные /30/</t>
  </si>
  <si>
    <t>28827</t>
  </si>
  <si>
    <t>Мусорные мешки MirPack Premium+ ПВД 100 л 10 шт 70 мкм черные /8/</t>
  </si>
  <si>
    <t>28829</t>
  </si>
  <si>
    <t>Мусорные мешки MirPack Premium+ ПВД 120 л 10 шт 40 мкм желтые /12/</t>
  </si>
  <si>
    <t>28896</t>
  </si>
  <si>
    <t>Мусорные мешки MirPack Premium+ ПВД 120 л 10 шт 40 мкм красные /12/</t>
  </si>
  <si>
    <t>28897</t>
  </si>
  <si>
    <t>Мусорные мешки MirPack Premium+ ПВД 120 л 10 шт 40 мкм оранжевые /12/</t>
  </si>
  <si>
    <t>28895</t>
  </si>
  <si>
    <t>Мусорные мешки MirPack Premium+ ПВД 120 л 10 шт 40 мкм синие /12/</t>
  </si>
  <si>
    <t>28894</t>
  </si>
  <si>
    <t>Мусорные мешки MirPack Premium+ ПВД 120 л 10 шт 40 мкм черные /12/</t>
  </si>
  <si>
    <t>20823</t>
  </si>
  <si>
    <t>Мусорные мешки MirPack Premium+ ПВД 160 л 10 шт 35 мкм черные /14/</t>
  </si>
  <si>
    <t>28858</t>
  </si>
  <si>
    <t>Мусорные мешки MirPack Premium+ ПВД 240 л 10 шт 45 мкм белые /10/</t>
  </si>
  <si>
    <t>28837</t>
  </si>
  <si>
    <t>Мусорные мешки MirPack Premium+ ПВД 300 л 10 шт 70 мкм черные /6/</t>
  </si>
  <si>
    <t>28707</t>
  </si>
  <si>
    <t>Мусорные мешки MirPack Professional ПВД 180 л 10 шт 30 мкм прозрачные /20/</t>
  </si>
  <si>
    <t>28806</t>
  </si>
  <si>
    <t>Мусорные мешки MirPack Professional ПВД 180 л 10 шт 30 мкм черные /18/</t>
  </si>
  <si>
    <t>28809</t>
  </si>
  <si>
    <t>Мусорные мешки MirPack Professional ПВД 240 л 10 шт 35 мкм прозрачные /14/</t>
  </si>
  <si>
    <t>28863</t>
  </si>
  <si>
    <t>Мусорные мешки MirPack Professional ПВД 360 л 10 шт 65 мкм черные /6/</t>
  </si>
  <si>
    <t>28878</t>
  </si>
  <si>
    <t>Мусорные мешки MirPack Professional ПНД 120 л 50 шт 14 мкм прозрачные /10/</t>
  </si>
  <si>
    <t>28886</t>
  </si>
  <si>
    <t>Мусорные мешки MirPack Professional ПНД 120 л 50 шт 20 мкм синие /6/</t>
  </si>
  <si>
    <t>28861</t>
  </si>
  <si>
    <t>Мусорные мешки MirPack Professional ПНД 120 л 50 шт 20 мкм черные /6/</t>
  </si>
  <si>
    <t>28885</t>
  </si>
  <si>
    <t>Мусорные мешки MirPack Standart ПВД 120 л 10 шт 18 мкм оранжевые /30/</t>
  </si>
  <si>
    <t>28810</t>
  </si>
  <si>
    <t>Мусорные мешки MirPack Standart ПВД 120 л 10 шт 18 мкм черные /25/</t>
  </si>
  <si>
    <t>28701</t>
  </si>
  <si>
    <t>Мусорные мешки MirPack Standart ПВД 180 л 10 шт 25 мкм синие /18/</t>
  </si>
  <si>
    <t>28807</t>
  </si>
  <si>
    <t>Мусорные мешки MirPack Standart ПВД 240 л 10 шт 30 мкм синие /10/</t>
  </si>
  <si>
    <t>28879</t>
  </si>
  <si>
    <t>Мусорные мешки MirPack VIP ПНД 120 л 10 шт 15 мкм с завязками белые /25/</t>
  </si>
  <si>
    <t>28880</t>
  </si>
  <si>
    <t>Мусорные мешки MirPack VIP ПНД 120 л 10 шт 15 мкм с завязками желтые /25/</t>
  </si>
  <si>
    <t>28881</t>
  </si>
  <si>
    <t>Мусорные мешки MirPack VIP ПНД 120 л 10 шт 15 мкм с завязками зеленые /25/</t>
  </si>
  <si>
    <t>28882</t>
  </si>
  <si>
    <t>Мусорные мешки MirPack VIP ПНД 120 л 10 шт 15 мкм с завязками красные /25/</t>
  </si>
  <si>
    <t>28883</t>
  </si>
  <si>
    <t>Мусорные мешки MirPack VIP ПНД 120 л 10 шт 15 мкм с завязками синие /25/</t>
  </si>
  <si>
    <t>28811</t>
  </si>
  <si>
    <t>Мусорные мешки MirPack VIP ПНД 120 л 10 шт 15 мкм с завязками черные /25/</t>
  </si>
  <si>
    <t>28812</t>
  </si>
  <si>
    <t>Мусорные мешки MirPack Добрыня ПВД 120 л 10 шт 100 мкм черные /10/</t>
  </si>
  <si>
    <t>28819</t>
  </si>
  <si>
    <t>Мусорные мешки MirPack Добрыня ПВД 280 л 10 шт 110 мкм черные /5/</t>
  </si>
  <si>
    <t>28813</t>
  </si>
  <si>
    <t>Мусорные мешки MirPack Надежные ПВД 120 л 20 шт 25 мкм черные /10/</t>
  </si>
  <si>
    <t>28889</t>
  </si>
  <si>
    <t>Мусорные мешки MirPack Надежные ПВД 120 л 25 шт 30 мкм черные /7/</t>
  </si>
  <si>
    <t>28839</t>
  </si>
  <si>
    <t>Мусорные мешки MirPack ПВД 120 л 10 шт 36 мкм черные /20/</t>
  </si>
  <si>
    <t>28826</t>
  </si>
  <si>
    <t>Мусорные мешки MirPack ПВД 180 л 10 шт 35 мкм черные /10/</t>
  </si>
  <si>
    <t>28847</t>
  </si>
  <si>
    <t>Мусорные мешки MirPack ПВД 240 л 10 шт 30 мкм черные /10/</t>
  </si>
  <si>
    <t>28824</t>
  </si>
  <si>
    <t>Мусорные мешки MirPack ПВД 240 л 10 шт 80 мкм черные /5/</t>
  </si>
  <si>
    <t>28890</t>
  </si>
  <si>
    <t>Мусорные мешки MirPack Силачи ПВД 120 л 10 шт 35 мкм черные /15/</t>
  </si>
  <si>
    <t>28898</t>
  </si>
  <si>
    <t>Мусорные мешки MirPack Стройка ПВД 120 л 10 шт 70 мкм черные /7/</t>
  </si>
  <si>
    <t>28887</t>
  </si>
  <si>
    <t>Мусорные мешки MirPack Экономка ПВД 120 л 50 шт 5 мкм черные /6/</t>
  </si>
  <si>
    <t>27312</t>
  </si>
  <si>
    <t>Мусорные мешки Мегапак 125л 10шт рулон /50/</t>
  </si>
  <si>
    <t>28019</t>
  </si>
  <si>
    <t>Мусорные мешки Пакман 120л 20шт рулон /40/</t>
  </si>
  <si>
    <t>27258</t>
  </si>
  <si>
    <t>Мусорные мешки Пакман 120л 30шт рулон /25/</t>
  </si>
  <si>
    <t>28009</t>
  </si>
  <si>
    <t>Мусорные мешки Пакман 120л 50шт рулон /15/</t>
  </si>
  <si>
    <t>289-299 Галантерея</t>
  </si>
  <si>
    <t>289 Расчески</t>
  </si>
  <si>
    <t>28923</t>
  </si>
  <si>
    <t>Расческа для волос 12,4 см /250/</t>
  </si>
  <si>
    <t>28926</t>
  </si>
  <si>
    <t>Расческа для волос 18,6 см /100/</t>
  </si>
  <si>
    <t>28916</t>
  </si>
  <si>
    <t>Расческа для волос ЕН 19,5 см 15421 /200/</t>
  </si>
  <si>
    <t>28913</t>
  </si>
  <si>
    <t>Расческа для волос на листе /12/</t>
  </si>
  <si>
    <t>28911</t>
  </si>
  <si>
    <t>Расческа дорожная с зеркальцем пластик 4х19,5см, 6 цв. К-03 301-188 /12/</t>
  </si>
  <si>
    <t>28906</t>
  </si>
  <si>
    <t>Расческа дорожная с зеркальцем пластик 6,5 см 4 цв. Р-01 301-187 /12/</t>
  </si>
  <si>
    <t>28910</t>
  </si>
  <si>
    <t>Расческа дорожная с зеркальцем пластик 6х8 см 4 цв. 319-177 /12/</t>
  </si>
  <si>
    <t>28955</t>
  </si>
  <si>
    <t>Расческа массажная EH 24см прямоугольная 14035 /12/</t>
  </si>
  <si>
    <t>28920</t>
  </si>
  <si>
    <t>Расческа массажная GALANTE пластик 22 см черная с фуксией 318-009 /12/</t>
  </si>
  <si>
    <t>28957</t>
  </si>
  <si>
    <t>Расческа массажная GALANTE пластик 24 см черная с фуксией 318-007 /12/</t>
  </si>
  <si>
    <t>28925</t>
  </si>
  <si>
    <t>Расческа массажная GALANTE пластик 25,5 см розовая/фиолетовая плоская силикон 356-197 /12/</t>
  </si>
  <si>
    <t>29416</t>
  </si>
  <si>
    <t>Расческа массажная пластик 22,3*7см 4 диз 356-627 /12/</t>
  </si>
  <si>
    <t>28933</t>
  </si>
  <si>
    <t>Расческа массажная пластик 23,5*6,5 см 4 диз РМ20-4 356-928 /12/</t>
  </si>
  <si>
    <t>28907</t>
  </si>
  <si>
    <t>Расческа массажная пластик 23,8*6см узкая черно серая 356-035 /12/</t>
  </si>
  <si>
    <t>28908</t>
  </si>
  <si>
    <t>Расческа массажная пластик 23,8*7 см широкая черно серая 356-128 /12/</t>
  </si>
  <si>
    <t>28929</t>
  </si>
  <si>
    <t>Расческа массажная пластик 23*45 см пластик 4 диз 356-925 /12/</t>
  </si>
  <si>
    <t>28934</t>
  </si>
  <si>
    <t>Расческа массажная пластик 25*8,2 см 4 диз РМ20-6 356-930 /12/</t>
  </si>
  <si>
    <t>28935</t>
  </si>
  <si>
    <t>Расческа массажная пластик 8589Н /240/</t>
  </si>
  <si>
    <t>28914</t>
  </si>
  <si>
    <t>Расческа массажная пластик 9595-AR /240/</t>
  </si>
  <si>
    <t>28917</t>
  </si>
  <si>
    <t>Расческа массажная пластик Пастель 24*7см 4 цв. 319-147 /12/</t>
  </si>
  <si>
    <t>28905</t>
  </si>
  <si>
    <t>Расческа массажная пластик резина 17,3*5,2см 2-4 диз 356-923 /12/</t>
  </si>
  <si>
    <t>28915</t>
  </si>
  <si>
    <t>Расческа массажная пластик с зеркалом М50-260 /240/</t>
  </si>
  <si>
    <t>28901</t>
  </si>
  <si>
    <t>Расческа массажная пластик Эко дерево 22,3*6,2см 2 цв. 319-145 /12/</t>
  </si>
  <si>
    <t>28909</t>
  </si>
  <si>
    <t>Расческа массажная профессиональная 9*7см 6 цв 356-255 /12/</t>
  </si>
  <si>
    <t>28958</t>
  </si>
  <si>
    <t>Расческа массажная Рим пластик 23,2*6,3 см 356-401 /12/</t>
  </si>
  <si>
    <t>29449</t>
  </si>
  <si>
    <t>Расческа массажная с зеркалом, пластик M87-22 /240/</t>
  </si>
  <si>
    <t>28938</t>
  </si>
  <si>
    <t>Расческа массажная ЮниLook 3D пластик 31,7*6,8 6 диз. 356-831 /12/</t>
  </si>
  <si>
    <t>28939</t>
  </si>
  <si>
    <t>Расческа массажная ЮниLook Глянец пластик 13,8*5,6 3-4 цв. 356-922 /12/</t>
  </si>
  <si>
    <t>28959</t>
  </si>
  <si>
    <t>Расческа массажная ЮниLook Грани пластик 23,5*4,2 4 цв. 319-142 /12/</t>
  </si>
  <si>
    <t>28960</t>
  </si>
  <si>
    <t>Расческа массажная ЮниLook Грани пластик 23*3,7 4 цв. 319-143 /12/</t>
  </si>
  <si>
    <t>28962</t>
  </si>
  <si>
    <t>Расческа массажная ЮниLook Леденец пластик 9,0*6,5 3 цв. 319-150 /12/</t>
  </si>
  <si>
    <t>28964</t>
  </si>
  <si>
    <t>Расческа массажная ЮниLook Люкс пластик 22,5*4,0 319-153 /12/</t>
  </si>
  <si>
    <t>28970</t>
  </si>
  <si>
    <t>Расческа массажная ЮниLook Люкс пластик 23,5*3,8 319-154 /12/</t>
  </si>
  <si>
    <t>28967</t>
  </si>
  <si>
    <t>Расческа массажная ЮниLook Люкс пластик 24*6,3 319-152 /12/</t>
  </si>
  <si>
    <t>28965</t>
  </si>
  <si>
    <t>Расческа массажная ЮниLook Люкс пластик 25,5*8,5 319-155 /12/</t>
  </si>
  <si>
    <t>28963</t>
  </si>
  <si>
    <t>Расческа массажная ЮниLook Мини пластик 18,0*5,0 4 цв. 319-151 /12/</t>
  </si>
  <si>
    <t>28968</t>
  </si>
  <si>
    <t>Расческа массажная ЮниLook пластик 17,7*5,7 4 цв. 356-929 /12/</t>
  </si>
  <si>
    <t>28966</t>
  </si>
  <si>
    <t>Расческа массажная ЮниLook пластик 22,3*6,4 4 цв. 319-160 /12/</t>
  </si>
  <si>
    <t>28937</t>
  </si>
  <si>
    <t>Расческа массажная ЮниLook пластик 8,5*6,5 3-4 цв. 356-794 /12/</t>
  </si>
  <si>
    <t>28969</t>
  </si>
  <si>
    <t>Расческа массажная ЮниLook Эко дерево 22,5*6,0 356-584 /12/</t>
  </si>
  <si>
    <t>28936</t>
  </si>
  <si>
    <t>Расческа массажная ЮниLook Эко дерево 22,5*6,5 356-589 /12/</t>
  </si>
  <si>
    <t>28921</t>
  </si>
  <si>
    <t>Расческа массажная ЮниLook Эко дерево нейлон 21*4,5 2 цв. 319-171 /6/</t>
  </si>
  <si>
    <t>28961</t>
  </si>
  <si>
    <t>Расческа массажная ЮниLook Эко дерево пластик 24,5*8,0 2 цв. 319-146 /12/</t>
  </si>
  <si>
    <t>28919</t>
  </si>
  <si>
    <t>Расческа- гребень 14,2 см мужская черный 319-094 /12/</t>
  </si>
  <si>
    <t>28900</t>
  </si>
  <si>
    <t>Расческа- гребень 17,7*3,1 см металлик пластик 4цв 319-017 /12/</t>
  </si>
  <si>
    <t>28918</t>
  </si>
  <si>
    <t>Расческа- гребень 21,2*2,6 см с метал. стержнем черный 319-002 /12/</t>
  </si>
  <si>
    <t>28951</t>
  </si>
  <si>
    <t>Расческа- гребень 22*5 см черный пластик 319-042 /12/</t>
  </si>
  <si>
    <t>28904</t>
  </si>
  <si>
    <t>Расческа- гребень антистатик эффект 18*2,5 см карбон черная 319-049 /12/</t>
  </si>
  <si>
    <t>28902</t>
  </si>
  <si>
    <t>Расческа- гребень антистатик эффект 22*3 см карбон черная 319-047 /12/</t>
  </si>
  <si>
    <t>28912</t>
  </si>
  <si>
    <t>Расческа- гребень на листе /12/</t>
  </si>
  <si>
    <t>290 Швейные принадлежности</t>
  </si>
  <si>
    <t>29055</t>
  </si>
  <si>
    <t>Булавки английские 40 шт на листе /12/</t>
  </si>
  <si>
    <t>29010</t>
  </si>
  <si>
    <t>Булавки английские 6 шт 308-273 50-60мм 3 диз. 308-273 /12/</t>
  </si>
  <si>
    <t>29000</t>
  </si>
  <si>
    <t>Булавки английские в пластиковой коробке 308-058 /20/</t>
  </si>
  <si>
    <t>29021</t>
  </si>
  <si>
    <t>Иглы швейные 10 шт с золотым ушком сталь 308-011 /12/</t>
  </si>
  <si>
    <t>29038</t>
  </si>
  <si>
    <t>Иглы швейные 12 шт с золотым ушком сталь 308-060 /12/</t>
  </si>
  <si>
    <t>29051</t>
  </si>
  <si>
    <t>Иглы швейные 15 шт Home на листе /72/</t>
  </si>
  <si>
    <t>29022</t>
  </si>
  <si>
    <t>Иглы швейные 5 шт для слабовидящих на бл.сталь 308-124 /12/</t>
  </si>
  <si>
    <t>29028</t>
  </si>
  <si>
    <t>Иглы швейные 60 шт +нитевдеватель сталь 308-125 /12/</t>
  </si>
  <si>
    <t>29049</t>
  </si>
  <si>
    <t>Иглы швейные NP-27 /36/</t>
  </si>
  <si>
    <t>29024</t>
  </si>
  <si>
    <t>Иглы швейные в круглой коробке набор 308-592 /50/</t>
  </si>
  <si>
    <t>29050</t>
  </si>
  <si>
    <t>Иглы швейные РС-4 /12/</t>
  </si>
  <si>
    <t>29056</t>
  </si>
  <si>
    <t>Крючки вязальные сталь 4 шт 308-123 /12/</t>
  </si>
  <si>
    <t>29054</t>
  </si>
  <si>
    <t>Набор декора для шитья 20 шт 1*5 см 4 диз 366-210</t>
  </si>
  <si>
    <t>29030</t>
  </si>
  <si>
    <t>Набор для шитья (нитки иголки ножницы сантиметр) 8,5*6,5 см пластик.упак. 308-115 /12/</t>
  </si>
  <si>
    <t>29026</t>
  </si>
  <si>
    <t>Набор для шитья в сумочке цвет mix 308-083 /12/</t>
  </si>
  <si>
    <t>27635</t>
  </si>
  <si>
    <t>Нитки №40 ассортимент</t>
  </si>
  <si>
    <t>29057</t>
  </si>
  <si>
    <t>Нитки RUNIS полиэстер белые №40 намотка 100м 10 шт /200/</t>
  </si>
  <si>
    <t>29005</t>
  </si>
  <si>
    <t>Нитки RUNIS полиэстер белые №40 намотка 200м 10 шт 308-548 /100/</t>
  </si>
  <si>
    <t>29045</t>
  </si>
  <si>
    <t>Нитки RUNIS полиэстер цветные №40 намотка 100м 10 шт 308-006 /200/</t>
  </si>
  <si>
    <t>29007</t>
  </si>
  <si>
    <t>Нитки RUNIS полиэстер цветные №40 намотка 200м 10 шт 308-549 /100/</t>
  </si>
  <si>
    <t>29013</t>
  </si>
  <si>
    <t>Нитки RUNIS полиэстер черные №40 намотка 100м 10 шт 308-550 /100/</t>
  </si>
  <si>
    <t>29012</t>
  </si>
  <si>
    <t>Нитки RUNIS полиэстер черные+белые №40 намотка 100м 10 шт /200/</t>
  </si>
  <si>
    <t>29014</t>
  </si>
  <si>
    <t>Резинка бельевая длина 1,6 м ширина 1,5 см 308-010 /12/</t>
  </si>
  <si>
    <t>29009</t>
  </si>
  <si>
    <t>Резинка бельевая длина 2,1 м ширина 1,5 см белая /12/</t>
  </si>
  <si>
    <t>29015</t>
  </si>
  <si>
    <t>Резинка бельевая длина 2,1 м ширина 1,5 см черная /12/</t>
  </si>
  <si>
    <t>29025</t>
  </si>
  <si>
    <t>Резинка бельевая длина 2,2 м ширина 1 см 308-013 /12/</t>
  </si>
  <si>
    <t>29011</t>
  </si>
  <si>
    <t>Резинка бельевая длина 3,8 м ширина 0,5 см 308-014 /12/</t>
  </si>
  <si>
    <t>29002</t>
  </si>
  <si>
    <t>Резинка бельевая длина 5,2 м ширина 0,5 см белая /12/</t>
  </si>
  <si>
    <t>29016</t>
  </si>
  <si>
    <t>Резинка бельевая длина 5,2 м ширина 0,5 см черная /12/</t>
  </si>
  <si>
    <t>29037</t>
  </si>
  <si>
    <t>Резинка светоотражающая 1,65 м на бл.полиэстер 308-121</t>
  </si>
  <si>
    <t>29034</t>
  </si>
  <si>
    <t>Сантиметр портновский 1,5 м в рулетке пластик ПВХ 308-003 /12/</t>
  </si>
  <si>
    <t>29004</t>
  </si>
  <si>
    <t>Сантиметр портновский 1,5 м ПВХ S-1 308-004 /12/</t>
  </si>
  <si>
    <t>291 Маникюрные принадлежности</t>
  </si>
  <si>
    <t>11857</t>
  </si>
  <si>
    <t>Бафик-мини для полировки ногтей 4-хсторонний, 9х2х2,5см, ЭВА 6 цветов, В204 305-236 /6/</t>
  </si>
  <si>
    <t>29103</t>
  </si>
  <si>
    <t>Карандаш для коррекции дефектов маникюра с насадками пластик 357-108 /12/</t>
  </si>
  <si>
    <t>29243</t>
  </si>
  <si>
    <t>Карандаш для маникюра с насадками 5цв 357-107 /10/</t>
  </si>
  <si>
    <t>29119</t>
  </si>
  <si>
    <t>Кисти для маникюра 6 шт. дерево мет.ворс.нейлон 18-19 см 2 цв. 305-379 /6/</t>
  </si>
  <si>
    <t>29117</t>
  </si>
  <si>
    <t>Кусачки для кутикул мет. 9,5 см двойная пружина мат. 305-175 /6/</t>
  </si>
  <si>
    <t>29191</t>
  </si>
  <si>
    <t>Кусачки для кутикул с прорезиненой ручкой хром мет 10 см 4 цв 305-218 /6/</t>
  </si>
  <si>
    <t>29144</t>
  </si>
  <si>
    <t>Кусачки для ногтей металл 10 см двойн. пружина 8715-1 305-282 /6/</t>
  </si>
  <si>
    <t>29141</t>
  </si>
  <si>
    <t>Кусачки для ногтей металл 10 см одинарн. пружина 8715 305-281 /6/</t>
  </si>
  <si>
    <t>29159</t>
  </si>
  <si>
    <t>Кусачки для ногтей металл 211 305-256 /6/</t>
  </si>
  <si>
    <t>29154</t>
  </si>
  <si>
    <t>Кусачки для ногтей металл 7 см 211H /12/</t>
  </si>
  <si>
    <t>29108</t>
  </si>
  <si>
    <t>Кусачки для ногтей металл 7 см 70728 /12/</t>
  </si>
  <si>
    <t>29155</t>
  </si>
  <si>
    <t>Кусачки для ногтей металл 8 см с силик. ручкой 3 цв. 305-182 /6/</t>
  </si>
  <si>
    <t>29142</t>
  </si>
  <si>
    <t>Кусачки для ногтей металл 9,5 см одинарн. пружина 8711 305-280 /6/</t>
  </si>
  <si>
    <t>29120</t>
  </si>
  <si>
    <t>Кусачки для ногтей металл на листе 070103 /12/</t>
  </si>
  <si>
    <t>29121</t>
  </si>
  <si>
    <t>Кусачки для ногтей металл на листе 070108 /12/</t>
  </si>
  <si>
    <t>29130</t>
  </si>
  <si>
    <t>Кусачки для ногтей металл на листе 106 /12/</t>
  </si>
  <si>
    <t>29145</t>
  </si>
  <si>
    <t>Лампа для сушки гель лака LED mini с USB приводом 13*7*1 см 6 Вт пластик 330-306 /6/</t>
  </si>
  <si>
    <t>29114</t>
  </si>
  <si>
    <t>Лампа для сушки гель-лака LED 36Вт USB-провод 330-310 /2/</t>
  </si>
  <si>
    <t>29128</t>
  </si>
  <si>
    <t>Маникюрный набор 4 пр. 10,5*7 см мет.пластик 3 диз 305-380 /6/</t>
  </si>
  <si>
    <t>29151</t>
  </si>
  <si>
    <t>Маникюрный набор 5 пр. в пластиковой коробке 305-341 /6/</t>
  </si>
  <si>
    <t>29126</t>
  </si>
  <si>
    <t>Маникюрный набор 5 пр. на листе S161 /12/</t>
  </si>
  <si>
    <t>29127</t>
  </si>
  <si>
    <t>Маникюрный набор CALANTE 7 пр. 62026-7 305-205 /2/</t>
  </si>
  <si>
    <t>29239</t>
  </si>
  <si>
    <t>Наклейки на ногти 34-48диз. 357-151 /48/</t>
  </si>
  <si>
    <t>29115</t>
  </si>
  <si>
    <t>Ножницы маникюрные S175 /24/</t>
  </si>
  <si>
    <t>29131</t>
  </si>
  <si>
    <t>Ножницы маникюрные мет. 8,8 см HS-0621-3 305-277 /12/</t>
  </si>
  <si>
    <t>29112</t>
  </si>
  <si>
    <t>Ножницы маникюрные мет. 9 см 305-276 /6/</t>
  </si>
  <si>
    <t>29129</t>
  </si>
  <si>
    <t>Ножницы маникюрные мет. Rige блист. /24/</t>
  </si>
  <si>
    <t>29175</t>
  </si>
  <si>
    <t>Ножницы маникюрные мет. загнутые 8,8 см хром 305-168 /6/</t>
  </si>
  <si>
    <t>29107</t>
  </si>
  <si>
    <t>Ножницы маникюрные мет. загнутые на блистере /12/</t>
  </si>
  <si>
    <t>29179</t>
  </si>
  <si>
    <t>Ножницы маникюрные мет. прямые хром 8,8 см 305-167 /24/</t>
  </si>
  <si>
    <t>29153</t>
  </si>
  <si>
    <t>Палочки деревяные для маникюра 30шт 14,8 см 305-375 /6/</t>
  </si>
  <si>
    <t>29124</t>
  </si>
  <si>
    <t>Пилочка для ногтей 15,7 см в чехле мет+пласт /12/</t>
  </si>
  <si>
    <t>29152</t>
  </si>
  <si>
    <t>Пилочка для ногтей 16,0 см 2-х стороняя с триммером сталь пластик резина 3 цв. 305-016 /12/</t>
  </si>
  <si>
    <t>29187</t>
  </si>
  <si>
    <t>Пилочка для ногтей 18,7 см в чехле мет+пласт /12/</t>
  </si>
  <si>
    <t>29176</t>
  </si>
  <si>
    <t>Пилочка для ногтей маникюрная 15,2 см изогнутая с алм. нап. сталь пластик 3 цв. 305-330 /12/</t>
  </si>
  <si>
    <t>29135</t>
  </si>
  <si>
    <t>Пилочка для ногтей маникюрная 15см сталь силикон 3 цв. 305-332 /12/</t>
  </si>
  <si>
    <t>29160</t>
  </si>
  <si>
    <t>Пилочка для ногтей маникюрная 17,8 см шлифовальная прямоуг. 2-х стор. 305-296 /12/</t>
  </si>
  <si>
    <t>29157</t>
  </si>
  <si>
    <t>Пилочка для ногтей маникюрная 4-х сторон S163 305-352 /24/</t>
  </si>
  <si>
    <t>29102</t>
  </si>
  <si>
    <t>Пилочка для ногтей маникюрная метал. 17,8 см полировочная бумеранг 2-х стор 6 цв. 305-295 /12/</t>
  </si>
  <si>
    <t>29158</t>
  </si>
  <si>
    <t>Пилочка для ногтей маникюрная метал. 17,8 см шлифовальная овальная 2-х стор 6 цв. 305-232 /6/</t>
  </si>
  <si>
    <t>29134</t>
  </si>
  <si>
    <t>Пилочка для ногтей маникюрная метал. 17см 106 305-291 /12/</t>
  </si>
  <si>
    <t>29118</t>
  </si>
  <si>
    <t>Пилочка для ногтей маникюрная метал. А7 /12/</t>
  </si>
  <si>
    <t>29137</t>
  </si>
  <si>
    <t>Пилочка для ногтей маникюрная метал. с пластик. ручкой 13 см 3 цв 305-186 /12/</t>
  </si>
  <si>
    <t>29173</t>
  </si>
  <si>
    <t>Пилочка для ногтей маникюрная на листе А-965 S166 /12/</t>
  </si>
  <si>
    <t>29172</t>
  </si>
  <si>
    <t>Пилочка для ногтей маникюрная прозрачная S165 /12/</t>
  </si>
  <si>
    <t>29140</t>
  </si>
  <si>
    <t>Пилочка для ногтей маникюрная складная S164 /24/</t>
  </si>
  <si>
    <t>29100</t>
  </si>
  <si>
    <t>Пилочка для ногтей металлическая с пластиковой ручкой 15см 105# 305-289 /12/</t>
  </si>
  <si>
    <t>29111</t>
  </si>
  <si>
    <t>Пинцет для бровей на блистере 228А /24/</t>
  </si>
  <si>
    <t>29116</t>
  </si>
  <si>
    <t>Пинцет для бровей на блистере 228В /24/</t>
  </si>
  <si>
    <t>29146</t>
  </si>
  <si>
    <t>Пинцет для бровей на блистере Rige /24/</t>
  </si>
  <si>
    <t>29247</t>
  </si>
  <si>
    <t>Шабер 2-х сторонний лопатка топорик 13 см сталь 305-204 /12/</t>
  </si>
  <si>
    <t>29655</t>
  </si>
  <si>
    <t>Щипчики для ногтей маникюрные 8712 /24/</t>
  </si>
  <si>
    <t>29656</t>
  </si>
  <si>
    <t>Щипчики для ногтей маникюрные 8715 /24/</t>
  </si>
  <si>
    <t>29122</t>
  </si>
  <si>
    <t>Щипчики для ногтей педикюрные 8714 305-283 /12/</t>
  </si>
  <si>
    <t>292 Лупы/Шары</t>
  </si>
  <si>
    <t>29216</t>
  </si>
  <si>
    <t>Лупа SPARTA для закрепления на голове /913845</t>
  </si>
  <si>
    <t>29210</t>
  </si>
  <si>
    <t>Лупа SPARTA с допол. линзами, с подсветкой, для закрепления на голове /913825</t>
  </si>
  <si>
    <t>29019</t>
  </si>
  <si>
    <t>Лупа SPARTA с дополнит. линзами, c креплениями  к голове /913835</t>
  </si>
  <si>
    <t>29206</t>
  </si>
  <si>
    <t>Лупа SPARTA с рукояткой, 2,5-кратная, D50 складная карманная /914705</t>
  </si>
  <si>
    <t>29203</t>
  </si>
  <si>
    <t>Лупа SPARTA с рукояткой, 2,5-кратная, D75 с подсветкой /914695</t>
  </si>
  <si>
    <t>29200</t>
  </si>
  <si>
    <t>Лупа SPARTA с рукояткой, 5-кратная, D65 /913725</t>
  </si>
  <si>
    <t>29226</t>
  </si>
  <si>
    <t>Лупа SPARTA складная карманная, 6-кратная, D56, 25мм /913675</t>
  </si>
  <si>
    <t>29058</t>
  </si>
  <si>
    <t>Лупа увеличительная Д100 мм /10/</t>
  </si>
  <si>
    <t>29224</t>
  </si>
  <si>
    <t>Лупа увеличительная Д100 мм 3-кратн. увел. пластик 309-433 /10/</t>
  </si>
  <si>
    <t>29231</t>
  </si>
  <si>
    <t>Лупа увеличительная Д40 мм /10/</t>
  </si>
  <si>
    <t>29001</t>
  </si>
  <si>
    <t>Лупа увеличительная Д50 мм /10/</t>
  </si>
  <si>
    <t>29227</t>
  </si>
  <si>
    <t>Лупа увеличительная Д60 мм /10/</t>
  </si>
  <si>
    <t>29221</t>
  </si>
  <si>
    <t>Лупа увеличительная Д60 мм 5-кратн. увел. пластик 309-428 /10/</t>
  </si>
  <si>
    <t>29222</t>
  </si>
  <si>
    <t>Лупа увеличительная Д75 мм 3-кратн. увел. пластик 309-429</t>
  </si>
  <si>
    <t>29223</t>
  </si>
  <si>
    <t>Лупа увеличительная Д90 мм 3-кратн. увел. пластик 309-430 /10/</t>
  </si>
  <si>
    <t>29701</t>
  </si>
  <si>
    <t>Насос для воздушных шаров пластик 33/5,5 см в пакете 513-115 /8/120/</t>
  </si>
  <si>
    <t>29260</t>
  </si>
  <si>
    <t>Шары воздушные 10 " Микс 10 шт мелаллик в пакете 513-200 /10/</t>
  </si>
  <si>
    <t>29205</t>
  </si>
  <si>
    <t>Шары воздушные 10 " Микс 10 шт цветные латекс пастель в пакете 513-194 /10/</t>
  </si>
  <si>
    <t>29250</t>
  </si>
  <si>
    <t>Шары воздушные 12 " 10 шт цветные в пакете 513-089 /10/</t>
  </si>
  <si>
    <t>41415</t>
  </si>
  <si>
    <t>Шары воздушные 12 " 100 шт цветные в пакете 513-092 /10/</t>
  </si>
  <si>
    <t>29261</t>
  </si>
  <si>
    <t>Шары воздушные 12 " 25 шт цветные 518-062 /12/</t>
  </si>
  <si>
    <t>29251</t>
  </si>
  <si>
    <t>Шары воздушные 12 " 25 шт цветныев пакете 513-090 /10/</t>
  </si>
  <si>
    <t>29788</t>
  </si>
  <si>
    <t>Шары воздушные 12 " 5 шт с рисунком хромированные 5 цв.393-255 /12/</t>
  </si>
  <si>
    <t>29789</t>
  </si>
  <si>
    <t>Шары воздушные 12 " 6 шт 2 вида 518-060 /12/</t>
  </si>
  <si>
    <t>29212</t>
  </si>
  <si>
    <t>Шары воздушные 12" с наполнителем 5шар+5труб+5держ. 518-036 /6/</t>
  </si>
  <si>
    <t>29747</t>
  </si>
  <si>
    <t>Шары воздушные 18 " с наполнителем конфети 518-044</t>
  </si>
  <si>
    <t>41436</t>
  </si>
  <si>
    <t>Шары воздушные 9 " Микс 10 шт цветные металл в пакете 513-198 /10/</t>
  </si>
  <si>
    <t>29255</t>
  </si>
  <si>
    <t>Шары воздушные FNtastic 12 " 10 шт хром 9 цветов 518-064 /10/</t>
  </si>
  <si>
    <t>29213</t>
  </si>
  <si>
    <t>Шары воздушные FNtastic 12 " 7 шт цифра 8 фольга лвтекс 518-081 /12/</t>
  </si>
  <si>
    <t>29258</t>
  </si>
  <si>
    <t>Шары воздушные FNtastic 18 " 7 шт кольцо фольга лвтекс 518-085 /12/</t>
  </si>
  <si>
    <t>29256</t>
  </si>
  <si>
    <t>Шары воздушные FNtastic 18 " 7 шт фольга латекс голубые 518-083 /12/</t>
  </si>
  <si>
    <t>29257</t>
  </si>
  <si>
    <t>Шары воздушные FNtastic 18 " 7 шт фольга латекс розовые 518-084 /12/</t>
  </si>
  <si>
    <t>29259</t>
  </si>
  <si>
    <t>Шары воздушные Сердце 12 " 10 шт цветные в пакете 513-093 /10/</t>
  </si>
  <si>
    <t>293 Зеркала карманные/настольные</t>
  </si>
  <si>
    <t>29367</t>
  </si>
  <si>
    <t>Зеркало настольное Д14 2-х сторон. 218Х-2 /60/</t>
  </si>
  <si>
    <t>29301</t>
  </si>
  <si>
    <t>Зеркало настольное Д18 2-х сторон 178R</t>
  </si>
  <si>
    <t>29377</t>
  </si>
  <si>
    <t>Зеркало настольное трансформер картон 13,5*17,2 см 12 цветов 347-049 /8/</t>
  </si>
  <si>
    <t>29395</t>
  </si>
  <si>
    <t>Зеркало настольное увеличительное с LED подсчеткой Р796-5Е /20/</t>
  </si>
  <si>
    <t>29342</t>
  </si>
  <si>
    <t>Зеркало настольное увеличительное с LED подсчеткой Р796-5С /20/</t>
  </si>
  <si>
    <t>29343</t>
  </si>
  <si>
    <t>Зеркальце карманное метал. Д7,5 см 6 диз 301-120 /24/</t>
  </si>
  <si>
    <t>29300</t>
  </si>
  <si>
    <t>Зеркальце карманное пластик стекло Д6,8 см 12 диз. 301-239 /12/</t>
  </si>
  <si>
    <t>294 Резинки для волос/ободки/заколки</t>
  </si>
  <si>
    <t>29482</t>
  </si>
  <si>
    <t>Бант школьный на резинке 10 см полиэст. пластик. бел. 316-319 /6/</t>
  </si>
  <si>
    <t>29439</t>
  </si>
  <si>
    <t>Бублик для создания прически мягкий поролон с липучками 8 см 3 цв. 321-029 /12/</t>
  </si>
  <si>
    <t>29599</t>
  </si>
  <si>
    <t>Зажим для волос 5,5-6,5 см пластик сплав 6 диз 321-294 /12/</t>
  </si>
  <si>
    <t>29370</t>
  </si>
  <si>
    <t>Зажим для волос 6,5-7 см акрил сплав 2 диз 321-296 /12/</t>
  </si>
  <si>
    <t>29456</t>
  </si>
  <si>
    <t>Зажимы для волос 5 см пластик сплав 6 цв. 2 шт 321-275 /12/</t>
  </si>
  <si>
    <t>29410</t>
  </si>
  <si>
    <t>Зажимы для волос 5-6 см  пластик сплав 6 цв. 2 шт 321-298 /12/</t>
  </si>
  <si>
    <t>29387</t>
  </si>
  <si>
    <t>Зажимы для волос 5-7 см  пластик сплав 3 диз. 3 шт 321-297 /12/</t>
  </si>
  <si>
    <t>29445</t>
  </si>
  <si>
    <t>Зажимы для волос 7,5 см металл 6 шт 321-157 /12/</t>
  </si>
  <si>
    <t>29415</t>
  </si>
  <si>
    <t>Заколка для волос 6 см сплав пластик 2 диз 321-305 /12/</t>
  </si>
  <si>
    <t>29426</t>
  </si>
  <si>
    <t>Заколка для волос 7*1,2 см сплав акрил 6 цв. 321-320 /12/</t>
  </si>
  <si>
    <t>29468</t>
  </si>
  <si>
    <t>Заколка для волос Д12 см пластик 3 диз. 321-338 /12/</t>
  </si>
  <si>
    <t>29494</t>
  </si>
  <si>
    <t>Заколка для волос полиэстер сплав 4*3см/6*3см 2диз. 4-6цв. 316-298 /12/</t>
  </si>
  <si>
    <t>29495</t>
  </si>
  <si>
    <t>Заколка-автомат для волос мет. пластик 8см 6диз. 321-205 /6/</t>
  </si>
  <si>
    <t>29586</t>
  </si>
  <si>
    <t>Заколка-автомат для волос мет. пластик 9,5см 4-12диз. 321-290 /12/</t>
  </si>
  <si>
    <t>29523</t>
  </si>
  <si>
    <t>Заколка-зажим для волос 4,5 см сплав полиэстер 4 диз. 321-306 /12/</t>
  </si>
  <si>
    <t>29524</t>
  </si>
  <si>
    <t>Заколка-зажим для волос 4,5 см сплав полиэстер 4 диз. 321-307 /12/</t>
  </si>
  <si>
    <t>29463</t>
  </si>
  <si>
    <t>Заколка-зажим для волос 6,6/7 см пластик 2 диз. 321-327 /12/</t>
  </si>
  <si>
    <t>29429</t>
  </si>
  <si>
    <t>Заколка-зажим для волос 7/8 см метал. пластик 2 диз. 321-287 /12/</t>
  </si>
  <si>
    <t>29409</t>
  </si>
  <si>
    <t>Заколка-зажим для волос с декором полиэстер сплав 5,5*11 см 6 цв. 316-326 /6/</t>
  </si>
  <si>
    <t>29511</t>
  </si>
  <si>
    <t>Заколки для волос 3,5 см сплав полиэстер пластик 4 диз. 2 шт. 321-302 /12/</t>
  </si>
  <si>
    <t>29521</t>
  </si>
  <si>
    <t>Заколки для волос 3,5-5 см сплав полиэстер 2 диз 321-303 /12/</t>
  </si>
  <si>
    <t>29522</t>
  </si>
  <si>
    <t>Заколки клик-клак для волос 4,6 см сплав полиэстер 3 диз. 2 шт 321-304 /12/</t>
  </si>
  <si>
    <t>29510</t>
  </si>
  <si>
    <t>Заколки клик-клак для волос 5 см сплав полиэстер 6 диз. 2 шт 321-300 /12/</t>
  </si>
  <si>
    <t>29465</t>
  </si>
  <si>
    <t>Заколки-зажим для волос 2 шт 5,5 см*7 см сплав акрил 4 цв. 321-295 /12/</t>
  </si>
  <si>
    <t>29450</t>
  </si>
  <si>
    <t>Заколки-зажим для волос 2 шт 7 см полиэстер металл 3 цв. 321-339 /24/</t>
  </si>
  <si>
    <t>29480</t>
  </si>
  <si>
    <t>Заколки-зажим для волос 2 шт полиэстер пластик сплав 5,5 см 6 цветов 316-287 /24/</t>
  </si>
  <si>
    <t>29485</t>
  </si>
  <si>
    <t>Заколки-зажим для волос 4 шт 4,5 см пластик 4 цв. 323-218 /12/</t>
  </si>
  <si>
    <t>29413</t>
  </si>
  <si>
    <t>Заколки+невидимки для волос 10 шт металл 2 дз. 323-120 /12/</t>
  </si>
  <si>
    <t>29458</t>
  </si>
  <si>
    <t>Краб для волос 10 см пластик 2 диз. 321-336 /12/</t>
  </si>
  <si>
    <t>29442</t>
  </si>
  <si>
    <t>Краб для волос 2,5 см пластик 6 диз. 321-351 /12/</t>
  </si>
  <si>
    <t>29393</t>
  </si>
  <si>
    <t>Краб для волос 3 см пластик с декором 2 диз. 356-845 /12/</t>
  </si>
  <si>
    <t>29473</t>
  </si>
  <si>
    <t>Краб для волос 5 см пластик 6 цв. 321-329 /12/</t>
  </si>
  <si>
    <t>29466</t>
  </si>
  <si>
    <t>Краб для волос 5 см пластик 6 цв. 321-337 /12/</t>
  </si>
  <si>
    <t>29453</t>
  </si>
  <si>
    <t>Краб для волос 6 см пластик 3 диз. 321-335 /12/</t>
  </si>
  <si>
    <t>29491</t>
  </si>
  <si>
    <t>Краб для волос 6,0 см мет.пластик 2 диз. 324-112 /12/</t>
  </si>
  <si>
    <t>29403</t>
  </si>
  <si>
    <t>Краб для волос 6,7*7,7 см мет.пластик 6 диз. 321-332 /12/</t>
  </si>
  <si>
    <t>29421</t>
  </si>
  <si>
    <t>Краб для волос 7 см пластик 2 диз. 324-153 /12/</t>
  </si>
  <si>
    <t>29483</t>
  </si>
  <si>
    <t>Краб для волос 7-8 см сплав 4-6 диз. 324-152 /12/</t>
  </si>
  <si>
    <t>29412</t>
  </si>
  <si>
    <t>Краб для волос 7,5 см мет.полиэстер 3 диз. 321-333 /12/</t>
  </si>
  <si>
    <t>29371</t>
  </si>
  <si>
    <t>Краб для волос 8 см пластик 324-019 /6/</t>
  </si>
  <si>
    <t>29457</t>
  </si>
  <si>
    <t>Краб для волос 8,3 см металл, пластик 6 цв. 4426-3 324-103 /12/</t>
  </si>
  <si>
    <t>29481</t>
  </si>
  <si>
    <t>Краб для волос 9 см пластик ЧК-11 324-025 /6/</t>
  </si>
  <si>
    <t>29459</t>
  </si>
  <si>
    <t>Краб для волос мет.пластик 5 см 2 диз. 324-110 /12/</t>
  </si>
  <si>
    <t>29440</t>
  </si>
  <si>
    <t>Набор для волос 2 предм. заколка 4 см резинка 4 см полиэст. сплавр 3 цв. 321-324 /12/</t>
  </si>
  <si>
    <t>29427</t>
  </si>
  <si>
    <t>Набор для волос 3 предм. заколки 5 см резинка 4 см пластик сплавр 3 диз. 321-321 /12/</t>
  </si>
  <si>
    <t>29490</t>
  </si>
  <si>
    <t>Набор для моделирования прически ПВХ 2 цв. 316-002 /10/</t>
  </si>
  <si>
    <t>29475</t>
  </si>
  <si>
    <t>Невидимки для волос 27 шт 4,8 см метал. 321-315 /12/</t>
  </si>
  <si>
    <t>29400</t>
  </si>
  <si>
    <t>Невидимки для волос 27 шт метал. 3 цв 323-122 /6/</t>
  </si>
  <si>
    <t>29408</t>
  </si>
  <si>
    <t>Ободок для волос 0,7 см пластик 2 диз. 323-258 /12/</t>
  </si>
  <si>
    <t>29435</t>
  </si>
  <si>
    <t>Ободок для волос 0,8 см пластик Жемчужина 2-6 цв. 323-109 /12/</t>
  </si>
  <si>
    <t>29431</t>
  </si>
  <si>
    <t>Ободок для волос 1 см полиэстер 6 цв. 323-259 /12/</t>
  </si>
  <si>
    <t>29322</t>
  </si>
  <si>
    <t>Ободок для волос 3 см пластик 4 цв. 323-248 /6/</t>
  </si>
  <si>
    <t>29467</t>
  </si>
  <si>
    <t>Ободок для волос 3 см полиэстер 6 цв. 323-261 /6/</t>
  </si>
  <si>
    <t>29470</t>
  </si>
  <si>
    <t>Ободок для волос 3 см полиэстер, пластик 6 цв. 323-262 /6/</t>
  </si>
  <si>
    <t>29417</t>
  </si>
  <si>
    <t>Ободок для волос 3,5 см пластик черный 323-158 /6/</t>
  </si>
  <si>
    <t>29407</t>
  </si>
  <si>
    <t>Ободок для волос с декором 1,0 см полиэстер пластик 3 цв. 316-331 /12/</t>
  </si>
  <si>
    <t>29335</t>
  </si>
  <si>
    <t>Повязка на голову для косметических продцедур п/обхват 18см шир.10см полиэстер 6 цв.323-250 /6/</t>
  </si>
  <si>
    <t>29486</t>
  </si>
  <si>
    <t>Резинка для волос бархат с камнями полиэстер Д7 см 6 цв 356-297 /12/</t>
  </si>
  <si>
    <t>29316</t>
  </si>
  <si>
    <t>Резинка для волос Д10 см полиэстер 2 диз. 322-229 /12/</t>
  </si>
  <si>
    <t>29451</t>
  </si>
  <si>
    <t>Резинка для волос Д5 см 4-6 цв. 322-238 /12/</t>
  </si>
  <si>
    <t>29315</t>
  </si>
  <si>
    <t>Резинка для волос Д5,5 см полиэстер пластик с декором 4-8 диз. 322-189 /12/</t>
  </si>
  <si>
    <t>29404</t>
  </si>
  <si>
    <t>Резинка для волос полиэстер с лентой 5 см 2-4 диз. 322-222 /12/</t>
  </si>
  <si>
    <t>29462</t>
  </si>
  <si>
    <t>Резинка для волос с бантом полиэстер 13 см 2 цвета 316-316 /12/</t>
  </si>
  <si>
    <t>29478</t>
  </si>
  <si>
    <t>Резинка для волос с бантом полиэстер Д4 см 4 цвета 316-282 /12/</t>
  </si>
  <si>
    <t>29479</t>
  </si>
  <si>
    <t>Резинка для волос с бантом полиэстер Д4 см 4 цвета 316-283 /24/</t>
  </si>
  <si>
    <t>29428</t>
  </si>
  <si>
    <t>Резинка для волос с декором, полиэстер, металл, Д10 см 6 цв. 322-264 /12/</t>
  </si>
  <si>
    <t>29433</t>
  </si>
  <si>
    <t>Резинка для волос с декором, полиэстер, пластик, 5-6 цв НА2016-19 322-113 /12/</t>
  </si>
  <si>
    <t>29430</t>
  </si>
  <si>
    <t>Резинка для волос с декором, полиэстер, пластик, 6*20 см 6 цв. 322-266 /12/</t>
  </si>
  <si>
    <t>29424</t>
  </si>
  <si>
    <t>Резинка для волос с декором, полиэстер, пластик, Д10 см 2 диз. 322-262 /12/</t>
  </si>
  <si>
    <t>29425</t>
  </si>
  <si>
    <t>Резинка для волос с декором, полиэстер, пластик, Д10 см 6 цв. 322-263 /12/</t>
  </si>
  <si>
    <t>29493</t>
  </si>
  <si>
    <t>Резинка для волос с декором, полиэстер, пластик, Д4,5 см 3 цв. 322-250 /12/</t>
  </si>
  <si>
    <t>29464</t>
  </si>
  <si>
    <t>Резинка для волос с декором, полиэстер, пластик, Д7 см 6 цв. 322-265 /12/</t>
  </si>
  <si>
    <t>29492</t>
  </si>
  <si>
    <t>Резинка для волос с камнем, полиэстер, пластик, Д5 см 4-6 цв. 322-214 /12/</t>
  </si>
  <si>
    <t>29418</t>
  </si>
  <si>
    <t>Резинка для волос с люрексом, полиэстер, Д10 см 2 диз. 322-216 /12/</t>
  </si>
  <si>
    <t>29436</t>
  </si>
  <si>
    <t>Резинки для волос 10 шт 5 см полиэстер 4 цв. 322-267 /12/</t>
  </si>
  <si>
    <t>29401</t>
  </si>
  <si>
    <t>Резинки для волос 10 шт в тубе 4 см полиэстер 6 цв. 322-004 /6/</t>
  </si>
  <si>
    <t>29589</t>
  </si>
  <si>
    <t>Резинки для волос 100 шт Д3,5 см 7-10 цв 356-156 /10/</t>
  </si>
  <si>
    <t>29590</t>
  </si>
  <si>
    <t>Резинки для волос 12 шт Д5 см полиэстер разноцветные 356-159 /12/</t>
  </si>
  <si>
    <t>29392</t>
  </si>
  <si>
    <t>Резинки для волос 12 шт Д6 см пластик полиэстер 5-6 диз. 356-115 /12/</t>
  </si>
  <si>
    <t>29489</t>
  </si>
  <si>
    <t>Резинки для волос 2 шт Д3-4 см пластик фигурные 4 диз. 322-258 /12/</t>
  </si>
  <si>
    <t>29402</t>
  </si>
  <si>
    <t>Резинки для волос 2 шт Д3,5 см полиэстер пластик 4 цв. 322-257 /12/</t>
  </si>
  <si>
    <t>29460</t>
  </si>
  <si>
    <t>Резинки для волос 2 шт Д4,5 см полиэстер пластик 6 цв. 322-210 /12/</t>
  </si>
  <si>
    <t>29472</t>
  </si>
  <si>
    <t>Резинки для волос 2 шт Д5 см полиэстер пластик 2 диз. 322-255 /12/</t>
  </si>
  <si>
    <t>29446</t>
  </si>
  <si>
    <t>Резинки для волос 2 шт Д5 см полиэстер пластик 4 диз. 322-254 /12/</t>
  </si>
  <si>
    <t>29406</t>
  </si>
  <si>
    <t>Резинки для волос 2 шт Д5,5 см полиэстер пластик стекло 322-053 /12/</t>
  </si>
  <si>
    <t>29441</t>
  </si>
  <si>
    <t>Резинки для волос 2 шт Д6 см полиэстер пластик 3 диз. 322-270 /12/</t>
  </si>
  <si>
    <t>29411</t>
  </si>
  <si>
    <t>Резинки для волос 2 шт Д7 см полиэстер пластик черн. 316-165 /6/</t>
  </si>
  <si>
    <t>29314</t>
  </si>
  <si>
    <t>Резинки для волос 2 шт Д8 см полиэстер пластик 4-6 диз. 322-161 /12/</t>
  </si>
  <si>
    <t>29443</t>
  </si>
  <si>
    <t>Резинки для волос 25 шт Д2 см нейлон 3-4 цв. 322-271 /12/</t>
  </si>
  <si>
    <t>29488</t>
  </si>
  <si>
    <t>Резинки для волос 3 шт европодвес №8 /12/</t>
  </si>
  <si>
    <t>29474</t>
  </si>
  <si>
    <t>Резинки для волос 36 шт Д5 см полиэстер 12 цв. 356-158 /10/</t>
  </si>
  <si>
    <t>29448</t>
  </si>
  <si>
    <t>Резинки для волос 4 шт Д3 см 2-3 диз. 316-327 /12/</t>
  </si>
  <si>
    <t>29394</t>
  </si>
  <si>
    <t>Резинки для волос 4 шт Д5 см полиэстер черные BL-01 322-062 /12/</t>
  </si>
  <si>
    <t>29420</t>
  </si>
  <si>
    <t>Резинки для волос 5 шт Д5 см 322-020 /12/</t>
  </si>
  <si>
    <t>29447</t>
  </si>
  <si>
    <t>Резинки для волос 6 шт Д4 см полиэстер черные 322-061 /6/</t>
  </si>
  <si>
    <t>29432</t>
  </si>
  <si>
    <t>Резинки для волос 6 шт Д4,5 см нейлон 6 цветов 322-236 /12/</t>
  </si>
  <si>
    <t>29434</t>
  </si>
  <si>
    <t>Резинки для волос 6 шт Д4,5 см полиэстер 4 цветов 322-252 /12/</t>
  </si>
  <si>
    <t>29444</t>
  </si>
  <si>
    <t>Резинки для волос 6 шт Д5 см полиэстер черн. и бел 316-312 /12/</t>
  </si>
  <si>
    <t>29499</t>
  </si>
  <si>
    <t>Резинки для волос 6 шт черные №6 /12/</t>
  </si>
  <si>
    <t>29498</t>
  </si>
  <si>
    <t>Резинки для волос 6 шт черные и белые №5 /12/</t>
  </si>
  <si>
    <t>29455</t>
  </si>
  <si>
    <t>Резинки для волос 95-100 шт Д1,5 см силикон 316-323 /12/</t>
  </si>
  <si>
    <t>29477</t>
  </si>
  <si>
    <t>Резинки для волос в пакете №1 /12/</t>
  </si>
  <si>
    <t>29405</t>
  </si>
  <si>
    <t>Резинки для волос в пакете №10 /12/</t>
  </si>
  <si>
    <t>29414</t>
  </si>
  <si>
    <t>Резинки для волос в пакете №12 /12/</t>
  </si>
  <si>
    <t>29487</t>
  </si>
  <si>
    <t>Резинки для волос в пакете №9 /12/</t>
  </si>
  <si>
    <t>29512</t>
  </si>
  <si>
    <t>Резинки для волос европодвес №2 /12/</t>
  </si>
  <si>
    <t>29515</t>
  </si>
  <si>
    <t>Резинки для волос европодвес №3 /12/</t>
  </si>
  <si>
    <t>29516</t>
  </si>
  <si>
    <t>Резинки для волос европодвес №7 /12/</t>
  </si>
  <si>
    <t>29454</t>
  </si>
  <si>
    <t>Резинки для волос европодвес в полоску №4 /12/</t>
  </si>
  <si>
    <t>29497</t>
  </si>
  <si>
    <t>Резинки для волос черно-белые №11 /12/</t>
  </si>
  <si>
    <t>29452</t>
  </si>
  <si>
    <t>Твистер для создания гульки на кнопочке 23,5*5 см полиэстер пластик 8 цв. 323-172 /8/</t>
  </si>
  <si>
    <t>29437</t>
  </si>
  <si>
    <t>Твистер для создания гульки с деккором 23,2*4,8 см поролон пластик Т6099-1 323-171 /6/</t>
  </si>
  <si>
    <t>29469</t>
  </si>
  <si>
    <t>Твистер для создания прически 31,5*4,3 см поролон полиэстер 5 цв 323-245 /10/</t>
  </si>
  <si>
    <t>29317</t>
  </si>
  <si>
    <t>Хвост искуственный на заколке 40 см канекалон 2-3 диз. 323-050 /6/</t>
  </si>
  <si>
    <t>29438</t>
  </si>
  <si>
    <t>Цветные пряди волос на гребне, длина 35-40см, ПВХ, 6 цветов 323-240 /12/</t>
  </si>
  <si>
    <t>29321</t>
  </si>
  <si>
    <t>Цветные пряди волос на невидимках длина 25-28 см ПВХ 3 диз. 323-241 /12/</t>
  </si>
  <si>
    <t>29419</t>
  </si>
  <si>
    <t>Шпильки для волос 50шт, металл, 6см, черный 323-123 /12/</t>
  </si>
  <si>
    <t>295 Зонты</t>
  </si>
  <si>
    <t>29501</t>
  </si>
  <si>
    <t>Зонт женский автомат, металл, пластик, полиэстер, 53,5см, 8 спиц, 6 цв. 302-293 /6/</t>
  </si>
  <si>
    <t>29543</t>
  </si>
  <si>
    <t>Зонт женский полуавтомат металл полиэстер 60 см 8 спиц 6 диз. 302-206 /3/</t>
  </si>
  <si>
    <t>29552</t>
  </si>
  <si>
    <t>Зонт женский полуавтомат металл сплав пластик Д 85 см Витражи 528-180</t>
  </si>
  <si>
    <t>29536</t>
  </si>
  <si>
    <t>Зонт женский прозрачный трость S-8</t>
  </si>
  <si>
    <t>29502</t>
  </si>
  <si>
    <t>Зонт мужской. автомат, сплав, пластик, полиэстер, 55см, 8 спиц, черный 302-317 /6/</t>
  </si>
  <si>
    <t>29503</t>
  </si>
  <si>
    <t>Зонт складной в тканевом чехле пластм.ручк. Д82 см 8 спиц 044734 /60/</t>
  </si>
  <si>
    <t>29517</t>
  </si>
  <si>
    <t>Зонт складной в чехле-бутылке пластм.ручк. 8 спиц 008200 /60/</t>
  </si>
  <si>
    <t>29518</t>
  </si>
  <si>
    <t>Зонт складной в чехле-цветке пластм.ручк. 8 спиц 008243 /60/</t>
  </si>
  <si>
    <t>29508</t>
  </si>
  <si>
    <t>Зонт универс., автомат, металл, пластик, полиэстер 53,5см 8 спиц 4 цв. 302-339 /4/</t>
  </si>
  <si>
    <t>29504</t>
  </si>
  <si>
    <t>Зонт универс., автомат, металл, пластик, полиэстер, 58,5см, 10 спиц, 6 цв. 302-319 /6/</t>
  </si>
  <si>
    <t>29500</t>
  </si>
  <si>
    <t>Зонт универс., автомат, металл, пластик, резина, полиэстер 55см 8 спиц 6 цв. 3002 302-295 /6/</t>
  </si>
  <si>
    <t>29506</t>
  </si>
  <si>
    <t>Зонт универс., автомат, сплав, полиэстер, 53,5см, 8 спиц, 4 диз. 302-330 /4/</t>
  </si>
  <si>
    <t>29505</t>
  </si>
  <si>
    <t>Зонт универс., автомат, сплав, полиэстер, 53см, 8 спиц, 4-6 цвета 302-327 /12/</t>
  </si>
  <si>
    <t>29578</t>
  </si>
  <si>
    <t>Зонт-трость д/м, сплав,пластик,ПВХ,полиэстер,длина 50см,8спиц,4 дизайна,0051 302-309 /6/60/</t>
  </si>
  <si>
    <t>29580</t>
  </si>
  <si>
    <t>Зонт-трость женский с проявляющимся рис,пластик,сплав, ПВХдлина 60см,8спиц,4 цвета,060 302-306 /4/60</t>
  </si>
  <si>
    <t>296 Принадлежности для макияжа/бигуди</t>
  </si>
  <si>
    <t>29606</t>
  </si>
  <si>
    <t>Апликаторы 4-стор. 6см 114 25шт 305-302 /6/</t>
  </si>
  <si>
    <t>29653</t>
  </si>
  <si>
    <t>Апликаторы для помады и блеска для губ 9,2 см пластик 25 шт 357-217 /6/</t>
  </si>
  <si>
    <t>29612</t>
  </si>
  <si>
    <t>Бигуди для волос №2 24 см полимер Н-1166 5 штук /12/</t>
  </si>
  <si>
    <t>29611</t>
  </si>
  <si>
    <t>Бигуди для волос №2 24 см полимер/металл 3U*2057 5 штук /12/</t>
  </si>
  <si>
    <t>29600</t>
  </si>
  <si>
    <t>Бигуди для волос с крючком 25*3 см 12 шт 2 цв. 323-265 /6/</t>
  </si>
  <si>
    <t>29660</t>
  </si>
  <si>
    <t>Кисточки для макияжа набор 3 шт и резинки спиральки 3 шт 2 цв. 357-231 /6/</t>
  </si>
  <si>
    <t>29661</t>
  </si>
  <si>
    <t>Кисточки для макияжа набор 5 шт 12-14,5 см мет. нейлон 3 диз 357-249 /6/</t>
  </si>
  <si>
    <t>29616</t>
  </si>
  <si>
    <t>Кисточки для макияжа набор 5 шт 13,5 см пластик нейлон. 3 диз. 357-068 /6/</t>
  </si>
  <si>
    <t>29649</t>
  </si>
  <si>
    <t>Кисточки для макияжа набор 5 шт 15см пластик ворс. нейлон 357-209 /6/</t>
  </si>
  <si>
    <t>29613</t>
  </si>
  <si>
    <t>Кисточки для макияжа набор 5 шт 16см дерево синт. нейлон 305-360 /6/</t>
  </si>
  <si>
    <t>29603</t>
  </si>
  <si>
    <t>Кисточки для макияжа набор 5 шт 305-361 /12/</t>
  </si>
  <si>
    <t>29619</t>
  </si>
  <si>
    <t>Кисточки для макияжа набор 7 шт 15см пластик синт. нейлон 357-043 /6/</t>
  </si>
  <si>
    <t>29658</t>
  </si>
  <si>
    <t>Кисточки для макияжа набор 8 шт 11-13 см мет.пластик нейлон. в косметичке 5 цв. 357-241 /5/</t>
  </si>
  <si>
    <t>57563</t>
  </si>
  <si>
    <t>Кисточки для макияжа ЮниLook 4шт пластик, металл 357-203 /6/</t>
  </si>
  <si>
    <t>29647</t>
  </si>
  <si>
    <t>Кисть для бровей акрил мет. ворс нейлон 14,9 см 2 диз 357-196 /6/</t>
  </si>
  <si>
    <t>29648</t>
  </si>
  <si>
    <t>Кисть для губ акрил мет. ворс нейлон 15 см 2 диз 357-197 /6/</t>
  </si>
  <si>
    <t>29650</t>
  </si>
  <si>
    <t>Кисть для губ дерево мет. ворс нейлон 16,5 см черная 357-212 /6/</t>
  </si>
  <si>
    <t>29645</t>
  </si>
  <si>
    <t>Кисть для компактной пудры акрил мет. ворс нейлон 17,2 см 2 диз 357-193 /6/</t>
  </si>
  <si>
    <t>29632</t>
  </si>
  <si>
    <t>Кисть для компактной пудры или румян пластик мет. ворс иск. мех 20 см 357-174 357-002 /6/</t>
  </si>
  <si>
    <t>29628</t>
  </si>
  <si>
    <t>Кисть для нанесения и растушевки теней, 14,1см пластик, иск.мех, сплав, КТ-2 357-184 /6/600/</t>
  </si>
  <si>
    <t>29630</t>
  </si>
  <si>
    <t>Кисть для нанесения и растушевки теней, 14,8см пластик иск.мех, сплав, КТ-1 357-183 /6/600/</t>
  </si>
  <si>
    <t>29652</t>
  </si>
  <si>
    <t>Кисть для нанесения и растушевки теней, 15см акрил металл ворс нейлон 2 диз 357-215 /6/</t>
  </si>
  <si>
    <t>29631</t>
  </si>
  <si>
    <t>Кисть для нанесения и растушевки теней, 18см пластик металл, ворс иск. мех 357-175 /6/</t>
  </si>
  <si>
    <t>29629</t>
  </si>
  <si>
    <t>Кисть для нанесения и растушевки теней, 19,3см пластик, металл, ворс скр. мех 357-177 /6/</t>
  </si>
  <si>
    <t>29651</t>
  </si>
  <si>
    <t>Кисть для подводки изогнутая дерево мет. ворс нейлон 16,5 см черная 357-214 /6/</t>
  </si>
  <si>
    <t>29644</t>
  </si>
  <si>
    <t>Кисть для растушовки ВВ крема пластик мет. ворс нейлон 13,5 см 357-154 /6/</t>
  </si>
  <si>
    <t>29646</t>
  </si>
  <si>
    <t>Кисть для румян акрил мет. ворс нейлон 16,7 см 2 диз 357-194 /6/</t>
  </si>
  <si>
    <t>29654</t>
  </si>
  <si>
    <t>Кисть кабуки мет.ворс нейлон 7 см 357-218 /6/</t>
  </si>
  <si>
    <t>46605</t>
  </si>
  <si>
    <t>Органайзер для косметики с крышкой, полистирол, пластик, прозрач 357-077 /2/</t>
  </si>
  <si>
    <t>46606</t>
  </si>
  <si>
    <t>Органайзер для косметики с крышкой, полистирол, пластик, прозрач 9*7*9см 357-080 /2/</t>
  </si>
  <si>
    <t>29625</t>
  </si>
  <si>
    <t>Органайзер для косметики, полистирол, прозрач 9,4*17,3*6,6см 357-051 /2/</t>
  </si>
  <si>
    <t>29659</t>
  </si>
  <si>
    <t>Пинцет для бровей 9,5 см острый сталь черный 357-252 /6/</t>
  </si>
  <si>
    <t>29170</t>
  </si>
  <si>
    <t>Пинцет для бровей металл 8 см с ручками 305-273 /12/</t>
  </si>
  <si>
    <t>29640</t>
  </si>
  <si>
    <t>Пинцет для бровей металл с расческой 10*1 см черный 357-118 /12/</t>
  </si>
  <si>
    <t>29602</t>
  </si>
  <si>
    <t>Пинцет для бровей металл хром 8,5 см скошенный черный 357-059 /12/</t>
  </si>
  <si>
    <t>29601</t>
  </si>
  <si>
    <t>Пинцет для бровей металл хром 8,7 см скошенный 357-024 /12/</t>
  </si>
  <si>
    <t>29641</t>
  </si>
  <si>
    <t>Пинцет для бровей нерж. сталь с силиконовыми держателями 9,3 см 3 цв. 357-206 /12/</t>
  </si>
  <si>
    <t>29604</t>
  </si>
  <si>
    <t>Пинцет для бровей хром, металл, 9,2см черный 21B634 357-060 /12/</t>
  </si>
  <si>
    <t>29633</t>
  </si>
  <si>
    <t>Ресницы накладные 3 пары +пинцет 357-201 /6/</t>
  </si>
  <si>
    <t>29643</t>
  </si>
  <si>
    <t>Спонжи для лица Д7*0,8 см целюлоза 3 шт 357-007 /12/</t>
  </si>
  <si>
    <t>29627</t>
  </si>
  <si>
    <t>Точилка для косметических карандашей 357-066 /12/</t>
  </si>
  <si>
    <t>297 Канцтовары</t>
  </si>
  <si>
    <t>29774</t>
  </si>
  <si>
    <t>Авторучка шариковая синяя 0,7 мм пластик 626-002 /50/</t>
  </si>
  <si>
    <t>29739</t>
  </si>
  <si>
    <t>Антистеплер ClipStudio 598-030</t>
  </si>
  <si>
    <t>29725</t>
  </si>
  <si>
    <t>Зажимы для бумаг ClipStudio мет. черные 25 мм 12 шт в коробке 588-007 /12/</t>
  </si>
  <si>
    <t>29724</t>
  </si>
  <si>
    <t>Карандаш чернографитный шестигран, зеленый пластик 525-122 /144/</t>
  </si>
  <si>
    <t>29772</t>
  </si>
  <si>
    <t>Карандаш чернографитовый 12 шт</t>
  </si>
  <si>
    <t>29780</t>
  </si>
  <si>
    <t>Карандаш-клей 15 гр на основе PVA 526-510 /24/</t>
  </si>
  <si>
    <t>29776</t>
  </si>
  <si>
    <t>Карандаш-клей 8 гр на основе PVA 526-509 /24/</t>
  </si>
  <si>
    <t>29755</t>
  </si>
  <si>
    <t>Карандаш-клей ClipStudio 15 гр быстросохнущий 586-016 /24/</t>
  </si>
  <si>
    <t>29798</t>
  </si>
  <si>
    <t>Карандаши ClipStudio 12цв. Альфа 3-х гр. заточ. дерево 2М улучш. прокрас премиум 228-157 /12/</t>
  </si>
  <si>
    <t>29719</t>
  </si>
  <si>
    <t>Карандаши ClipStudio 12цв. шестигр. заточ. 228-012 /12/</t>
  </si>
  <si>
    <t>29797</t>
  </si>
  <si>
    <t>Карандаши ClipStudio 18цв. шестигр. заточ. пластик улучшенное письмо в карт.коробке 228-154 /10/</t>
  </si>
  <si>
    <t>29790</t>
  </si>
  <si>
    <t>Карандаши ClipStudio 6цв. шестигр. заточ. 583-168 /24/</t>
  </si>
  <si>
    <t>29746</t>
  </si>
  <si>
    <t>Карандаши ClipStudio чернографитные чертежные 3 шт дерево в пакете 525-118 /24/</t>
  </si>
  <si>
    <t>29728</t>
  </si>
  <si>
    <t>Кнопки-гвоздики канцелярские ClipStudio, 50 штук, цветные 588-010 /10/</t>
  </si>
  <si>
    <t>29723</t>
  </si>
  <si>
    <t>Корректор ClipStudio жидкость в карандаше 3 мл 587-002 /12/</t>
  </si>
  <si>
    <t>29715</t>
  </si>
  <si>
    <t>Корректор ClipStudio лента 5 мм пластик 587-001 /24/</t>
  </si>
  <si>
    <t>29784</t>
  </si>
  <si>
    <t>Лазерная указка 12 насадок /12/</t>
  </si>
  <si>
    <t>29744</t>
  </si>
  <si>
    <t>Лазерная указка 3 насадки /12/</t>
  </si>
  <si>
    <t>29795</t>
  </si>
  <si>
    <t>Лазерная указка 8 насадок /12/</t>
  </si>
  <si>
    <t>57564</t>
  </si>
  <si>
    <t>Линейка пластиковая 30 см прозрачная в пакете 526-258 /60/</t>
  </si>
  <si>
    <t>29750</t>
  </si>
  <si>
    <t>Листочки д/записи 76*76 4 цветный, 200 лист. 526-420 /12/</t>
  </si>
  <si>
    <t>29752</t>
  </si>
  <si>
    <t>Листочки д/записи фигурные 68*68 4 цвета, 4 формы 100 лист. 533-015 /12/</t>
  </si>
  <si>
    <t>29781</t>
  </si>
  <si>
    <t>Листочки самоклеющиеся 4 блока 50 л 38*51 см 4 цв. 533-013 /24/</t>
  </si>
  <si>
    <t>29783</t>
  </si>
  <si>
    <t>Листочки самоклеющиеся бумажн 50х12см, 4x100 листов 4 цв 533-016 /12/</t>
  </si>
  <si>
    <t>41421</t>
  </si>
  <si>
    <t>Листочки самоклеющиеся бумажн 76*76 мм 100 шт 526-418 /12/</t>
  </si>
  <si>
    <t>29791</t>
  </si>
  <si>
    <t>Магниты для доски Д3 см ассорти 5 цв. бл. 5 штук 526-517 /24/</t>
  </si>
  <si>
    <t>29741</t>
  </si>
  <si>
    <t>Маркер контурный 2-х сторонний серебристый + желтый 3 цв 613-035 /12/</t>
  </si>
  <si>
    <t>29730</t>
  </si>
  <si>
    <t>Маркер контурный 2-х сторонний серебристый + красный 3 цв 613-033 /12/</t>
  </si>
  <si>
    <t>29740</t>
  </si>
  <si>
    <t>Маркер контурный 2-х сторонний серебристый + синий 3 цв 613-034 /12/</t>
  </si>
  <si>
    <t>41418</t>
  </si>
  <si>
    <t>Маркер перманентный Chen Yun двусторонний красный /10/</t>
  </si>
  <si>
    <t>41419</t>
  </si>
  <si>
    <t>Маркер перманентный Chen Yun двусторонний синий /10/</t>
  </si>
  <si>
    <t>29749</t>
  </si>
  <si>
    <t>Маркер перманентный FLK-6824 двусторонний красный /12/</t>
  </si>
  <si>
    <t>29718</t>
  </si>
  <si>
    <t>Маркер перманентный HENG LIANG синий /10/</t>
  </si>
  <si>
    <t>29726</t>
  </si>
  <si>
    <t>Маркер перманентный HENG LIANG черный /10/</t>
  </si>
  <si>
    <t>29743</t>
  </si>
  <si>
    <t>Маркер перманентный пулевидный наконечник 3 мм красный /13-0-051</t>
  </si>
  <si>
    <t>29773</t>
  </si>
  <si>
    <t>Маркер перманентный пулевидный наконечник 3 мм красный 526-504 /24/</t>
  </si>
  <si>
    <t>29765</t>
  </si>
  <si>
    <t>Маркер перманентный пулевидный наконечник 3 мм синий 526-502 /24/</t>
  </si>
  <si>
    <t>48912</t>
  </si>
  <si>
    <t>Маркер по стеклу красный /12/</t>
  </si>
  <si>
    <t>41430</t>
  </si>
  <si>
    <t>Маркер по стеклу черный /12/</t>
  </si>
  <si>
    <t>29708</t>
  </si>
  <si>
    <t>Маркер-выделитель Альфа 3-гранный корпус 6цв. 613-037 /12/</t>
  </si>
  <si>
    <t>29748</t>
  </si>
  <si>
    <t>Маркеры-выделители ClipStudio 3 цвета круг. корпус скош.наконечник 4мм в ПВХ пенале 526-497 /12/</t>
  </si>
  <si>
    <t>29775</t>
  </si>
  <si>
    <t>Резинка банковская цветная набор 100 гр. 50 мм /200/</t>
  </si>
  <si>
    <t>29796</t>
  </si>
  <si>
    <t>Резинка банковская цветная набор 100 гр. д4 см /100/</t>
  </si>
  <si>
    <t>29702</t>
  </si>
  <si>
    <t>Резинка банковская цветная набор 50 гр. 50 мм /400/</t>
  </si>
  <si>
    <t>29727</t>
  </si>
  <si>
    <t>Резинка банковская цветная набор 50 гр. д4 см в пакете 526-518 /12/</t>
  </si>
  <si>
    <t>29703</t>
  </si>
  <si>
    <t>Резинка банковская цветная набор 500 гр. 50 мм /40/</t>
  </si>
  <si>
    <t>29738</t>
  </si>
  <si>
    <t>Ручка гелевая Альфа 0,5 мм 4 цв. корпуса синяя 614-071 /50/</t>
  </si>
  <si>
    <t>29782</t>
  </si>
  <si>
    <t>Ручка гелевая синяя 0,5 мм с резиновым держателем 14,9 см 614-003 /50/</t>
  </si>
  <si>
    <t>29742</t>
  </si>
  <si>
    <t>Ручка гелевая синяя 14,9 см пластик 614-001 /50/</t>
  </si>
  <si>
    <t>29733</t>
  </si>
  <si>
    <t>Ручка гелевая синяя тонированный корпус 614-055 /50/</t>
  </si>
  <si>
    <t>29706</t>
  </si>
  <si>
    <t>Ручка гелевая черная 14,9 см пластик 614-002 /50/</t>
  </si>
  <si>
    <t>29717</t>
  </si>
  <si>
    <t>Ручка шариковая синяя масл. черн. након. 0,7мм 525-112 /50/</t>
  </si>
  <si>
    <t>29734</t>
  </si>
  <si>
    <t>Ручка шариковая синяя с белым корпусом и инд.маркировкой 627-019 /50/</t>
  </si>
  <si>
    <t>29716</t>
  </si>
  <si>
    <t>Ручка шариковая синяя с желтым корпусом линия 0,7 мм 525-103 /50/</t>
  </si>
  <si>
    <t>29799</t>
  </si>
  <si>
    <t>Ручка шариковая синяя с прозрачным корпусом линия 0,7 мм 525-104 /50/</t>
  </si>
  <si>
    <t>29709</t>
  </si>
  <si>
    <t>Ручка шариковая синяя с цветным закрученным корпусом 0,7 мм 4 цв.корп. 627-071 /48/</t>
  </si>
  <si>
    <t>29707</t>
  </si>
  <si>
    <t>Скобы для степлера №10 1000 шт в картонной коробке 598-001 /10/</t>
  </si>
  <si>
    <t>29735</t>
  </si>
  <si>
    <t>Степлер для скоб №10 в картонной каробке кацеляр. 598-003 /12/</t>
  </si>
  <si>
    <t>29812</t>
  </si>
  <si>
    <t>Степлер для скоб №10 на 12 листов 6,3*4,3 в карт. коробке 598-117 /12/</t>
  </si>
  <si>
    <t>29770</t>
  </si>
  <si>
    <t>Точилка карандашей без контейнера 3,9 см 1 отвестие 4 цв. 576-043 /12/</t>
  </si>
  <si>
    <t>29786</t>
  </si>
  <si>
    <t>Точилка карандашей с контейнером 3,5*4,3 см 2-х секц. корпус шоколадка 576-015 /12/</t>
  </si>
  <si>
    <t>29704</t>
  </si>
  <si>
    <t>Точилка карандашей с контейнером 4,3x3,3 см 526-514 /12/</t>
  </si>
  <si>
    <t>29756</t>
  </si>
  <si>
    <t>Точилка карандашей с контейнером 5,5*3,2 см фрукты 4 диз. 576-046 /8/</t>
  </si>
  <si>
    <t>29768</t>
  </si>
  <si>
    <t>Точилка карандашей с контейнером 5,5*5,5 см самолетик 4 цв. 576-014 /12/</t>
  </si>
  <si>
    <t>29754</t>
  </si>
  <si>
    <t>Точилка карандашей с контейнером 5*3,5 см зайчик 3 диз. 576-042 /12/</t>
  </si>
  <si>
    <t>29732</t>
  </si>
  <si>
    <t>Точилка карандашей с контейнером и ластиком 6.5*3 см ассорти 2 цв. 526-515 /12/</t>
  </si>
  <si>
    <t>29753</t>
  </si>
  <si>
    <t>Точилка карандашей с сачтиком Камень-ножницы-бумага пластик ТПР 3 диз. 576-037 /480/</t>
  </si>
  <si>
    <t>298 Брелки/подвески/украшения</t>
  </si>
  <si>
    <t>40536</t>
  </si>
  <si>
    <t>Брелок для ключей 1 шт 526-516 /50/</t>
  </si>
  <si>
    <t>29833</t>
  </si>
  <si>
    <t>Брелок для ключей 3,5*5 см джойстик каучук мет.карабин петля из ПВХ 5 цв. 095-011 /6/</t>
  </si>
  <si>
    <t>29811</t>
  </si>
  <si>
    <t>Брелок для ключей 3,5*5 см единорог смола гальваническое покр.мет.карабин 5 цв. 095-009 /5/</t>
  </si>
  <si>
    <t>29810</t>
  </si>
  <si>
    <t>Брелок для ключей метал. 5-5,5*3-3,5см Мишки 4 диз. 095-041 /4/</t>
  </si>
  <si>
    <t>29801</t>
  </si>
  <si>
    <t>Брелок для ключей метал. карабин 5,5*10 см Мишки и фрукты 3 диз. 095-004</t>
  </si>
  <si>
    <t>29803</t>
  </si>
  <si>
    <t>Брелок для ключей метал. карабин 5,5*3,5см Ящеры 6 цв. 095-008 /6/</t>
  </si>
  <si>
    <t>29807</t>
  </si>
  <si>
    <t>Брелок для ключей метал. карабин 5,5*5см Ящеры 4 цв. 095-040 /4/</t>
  </si>
  <si>
    <t>29802</t>
  </si>
  <si>
    <t>Брелок для ключей метал. карабин 6,5*7,3 см с зеркальцем и расческой 095-007 /4/</t>
  </si>
  <si>
    <t>29806</t>
  </si>
  <si>
    <t>Брелок для ключей метал. карабин 6*8 см в форме крокодила плюш 2 диз. 095-030 /4/</t>
  </si>
  <si>
    <t>29805</t>
  </si>
  <si>
    <t>Брелок для ключей метал. карабин 6*8 см в форме сумочки плюш 4 цв. 095-028 /8/</t>
  </si>
  <si>
    <t>29850</t>
  </si>
  <si>
    <t>Брелок подвеска иск.мех, сплав, ПУ, 8см 3 дизайна 4 цвета 308-257 /12/</t>
  </si>
  <si>
    <t>29821</t>
  </si>
  <si>
    <t>Брелок Пушок с декором искусств мех Д8см 6цв. 308-196</t>
  </si>
  <si>
    <t>29851</t>
  </si>
  <si>
    <t>Брелок Сноу Бум Мышка в короне, полистоун 4,5см бронза 2диз. 359-707 /12/</t>
  </si>
  <si>
    <t>29808</t>
  </si>
  <si>
    <t>Украшение декоративное на булавке Мотылек пластик 12 см 491-136 /50/</t>
  </si>
  <si>
    <t>29809</t>
  </si>
  <si>
    <t>Украшение декоративное на булавке Насекомое пластик 9 см 491-137 /50/</t>
  </si>
  <si>
    <t>299 Ножницы универсальные</t>
  </si>
  <si>
    <t>29902</t>
  </si>
  <si>
    <t>Ножницы ClipStudio 13 см с линейкой+пласт.ручки 3цв. 583-177 /6/</t>
  </si>
  <si>
    <t>49323</t>
  </si>
  <si>
    <t>Ножницы Domina универсальные 14 см /12/</t>
  </si>
  <si>
    <t>49325</t>
  </si>
  <si>
    <t>Ножницы Domina универсальные 18 см /12/</t>
  </si>
  <si>
    <t>49318</t>
  </si>
  <si>
    <t>Ножницы Galante Basic универсальные 6,5" 18,1см 350-025 /12/</t>
  </si>
  <si>
    <t>29924</t>
  </si>
  <si>
    <t>Ножницы Galante Basic универсальные 7,5" 19,5см 350-027 /12/</t>
  </si>
  <si>
    <t>49319</t>
  </si>
  <si>
    <t>Ножницы Galante Basic универсальные 7" 17,5см 350-026 /12/</t>
  </si>
  <si>
    <t>49321</t>
  </si>
  <si>
    <t>Ножницы Galante Basic универсальные 8,5" 21см 350-028 /12/</t>
  </si>
  <si>
    <t>49322</t>
  </si>
  <si>
    <t>Ножницы Galante Basic универсальные 9,5" 23,7 см 350-029 /12/</t>
  </si>
  <si>
    <t>29927</t>
  </si>
  <si>
    <t>Ножницы Galante Premium универсальные 7,5" 19,5см 350-041 /12/</t>
  </si>
  <si>
    <t>29916</t>
  </si>
  <si>
    <t>Ножницы Galante Premium универсальные 7" 17,4 см 350-011 /24/</t>
  </si>
  <si>
    <t>29926</t>
  </si>
  <si>
    <t>Ножницы Galante Premium универсальные 8,5" 21см 350-040 /12/</t>
  </si>
  <si>
    <t>29925</t>
  </si>
  <si>
    <t>Ножницы Galante Premium универсальные 9,5" 23,5см 350-039 /12/</t>
  </si>
  <si>
    <t>29909</t>
  </si>
  <si>
    <t>Ножницы LaDina универсальные 14 см 400002-1 /12/</t>
  </si>
  <si>
    <t>29901</t>
  </si>
  <si>
    <t>Ножницы VETTA универсальные BJ-9007FD 6,5" 17см 350-042 /12/</t>
  </si>
  <si>
    <t>49340</t>
  </si>
  <si>
    <t>Ножницы VETTA универсальные BJ-9306С 6,5" 15,5см 350-006 /12/</t>
  </si>
  <si>
    <t>49300</t>
  </si>
  <si>
    <t>Ножницы VETTA универсальные BJ-К106 6,5" 17см 350-004 /12/</t>
  </si>
  <si>
    <t>29908</t>
  </si>
  <si>
    <t>Ножницы канцелярские 19 см двухцв.металл/пластик на карточк. 589-002 /12/</t>
  </si>
  <si>
    <t>29907</t>
  </si>
  <si>
    <t>Ножницы канцелярские 20 см металл/пластик 350-052 /12/</t>
  </si>
  <si>
    <t>29904</t>
  </si>
  <si>
    <t>Ножницы парикмахерские 17,2 см филировочные метал 350-047 /12/</t>
  </si>
  <si>
    <t>29903</t>
  </si>
  <si>
    <t>Ножницы парикмахерские 17,4 см метал 350-046 /12/</t>
  </si>
  <si>
    <t>29912</t>
  </si>
  <si>
    <t>Ножницы хозяйственные MATRIX 250мм, мпонентные рукоятки /79135</t>
  </si>
  <si>
    <t>29914</t>
  </si>
  <si>
    <t>Ножницы хозяйственные MATRIX 280мм, двухкомпонент. рукоятки /79134</t>
  </si>
  <si>
    <t>29913</t>
  </si>
  <si>
    <t>Ценники на ленте 20*30 300шт маленькие /5/</t>
  </si>
  <si>
    <t>29906</t>
  </si>
  <si>
    <t>Ценники на ленте 36*50 150шт большие /5/</t>
  </si>
  <si>
    <t>300-392 Электротовары</t>
  </si>
  <si>
    <t>300-308 Лампы</t>
  </si>
  <si>
    <t>300 Лампы галогеновые/зеркальные/Лампы ртутные</t>
  </si>
  <si>
    <t>0068871</t>
  </si>
  <si>
    <t>Лампа гал. Camelion JDR 50W Е27 220V с защ. стеклом /10/</t>
  </si>
  <si>
    <t>30082</t>
  </si>
  <si>
    <t>Лампа гал. Uniel 60W E14 свеча витая прозрачная /100/</t>
  </si>
  <si>
    <t>30083</t>
  </si>
  <si>
    <t>Лампа гал. Uniel 60W E14 свеча на ветру прозрачная /100/</t>
  </si>
  <si>
    <t>30086</t>
  </si>
  <si>
    <t>Лампа гал. Uniel 60W E14 шар прозрачная /100/</t>
  </si>
  <si>
    <t>30087</t>
  </si>
  <si>
    <t>Лампа гал. Uniel 60W E27 шар прозрачная /100/</t>
  </si>
  <si>
    <t>30022</t>
  </si>
  <si>
    <t>Лампа гал. линейн. J117 230V 500W R7s Космос /50/</t>
  </si>
  <si>
    <t>30032</t>
  </si>
  <si>
    <t>Лампа гал. линейн. J189 230V 1000W Космос</t>
  </si>
  <si>
    <t>30033</t>
  </si>
  <si>
    <t>Лампа гал. линейн. J254 230V 1500W R7s</t>
  </si>
  <si>
    <t>30049</t>
  </si>
  <si>
    <t>Лампа гал. с отраж. MR16 220V GU10 35w ZEON JCDR</t>
  </si>
  <si>
    <t>30264</t>
  </si>
  <si>
    <t>Лампа гал. с отраж. MR16 220V GU10 35W ЕРМАК JCDRC 624-023</t>
  </si>
  <si>
    <t>30072</t>
  </si>
  <si>
    <t>Лампа гал. с отраж. MR16 220V GU10 35W Космос JCDRC /10/</t>
  </si>
  <si>
    <t>30026</t>
  </si>
  <si>
    <t>Лампа гал. с отраж. MR16 220V GU10 50W Космос JCDRC /10/</t>
  </si>
  <si>
    <t>30020</t>
  </si>
  <si>
    <t>Лампа гал. с отраж. MR16 230V GU5.3 35W CL Эра /10/</t>
  </si>
  <si>
    <t>30046</t>
  </si>
  <si>
    <t>Лампа гал. с отраж. MR16 230V GU5.3 75W CL Эра /10/</t>
  </si>
  <si>
    <t>30028</t>
  </si>
  <si>
    <t>Лампа гал. с отраж. MR16/ст. 12V 20W GU5.3 Космос 03 /10/</t>
  </si>
  <si>
    <t>30069</t>
  </si>
  <si>
    <t>Лампа гал. с отраж. MR16/ст. 12V 35W GU5.3 ЕРМАК 624-021</t>
  </si>
  <si>
    <t>30015</t>
  </si>
  <si>
    <t>Лампа гал. с отраж. MR16/ст. 12V 50W GU5.3 Feron /15/</t>
  </si>
  <si>
    <t>30006</t>
  </si>
  <si>
    <t>Лампа гал. с отраж. MR16/ст. 12V 50W GU5.3 Эра CL /10/</t>
  </si>
  <si>
    <t>30019</t>
  </si>
  <si>
    <t>Лампа гал. с отраж. MR16/ст. 12V 75W GU5.3 Космос 06 /10/</t>
  </si>
  <si>
    <t>30011</t>
  </si>
  <si>
    <t>Лампа гал. точеч. б/отраж. 220V G4 40W Эра JCD /100/</t>
  </si>
  <si>
    <t>30041</t>
  </si>
  <si>
    <t>Лампа гал. точеч. б/отраж. 220V G6.35 35W Космос JCD /100/</t>
  </si>
  <si>
    <t>30047</t>
  </si>
  <si>
    <t>Лампа гал. точеч. б/отраж. 220V G6.35 50W Космос JCD /100/</t>
  </si>
  <si>
    <t>30061</t>
  </si>
  <si>
    <t>Лампа гал. точеч. б/отраж. 220V G9 60W Космос JDC ПР /100/</t>
  </si>
  <si>
    <t>30027</t>
  </si>
  <si>
    <t>Лампа гал. точеч. б/отраж. 220V G9 75W Космос JDC ПР /100/</t>
  </si>
  <si>
    <t>30048</t>
  </si>
  <si>
    <t>Лампа гал. точеч. б/отраж. JC 12V 10W G4 Эра /100/</t>
  </si>
  <si>
    <t>30073</t>
  </si>
  <si>
    <t>Лампа гал. точеч. б/отраж. JC 12V 20W G4 Эра /100/</t>
  </si>
  <si>
    <t>30045</t>
  </si>
  <si>
    <t>Лампа гал. точеч. б/отраж. JC 12V 35W G6.35 Космос (капсула) /100/</t>
  </si>
  <si>
    <t>30024</t>
  </si>
  <si>
    <t>Лампа гал. точеч. б/отраж. JC 12V 50W G6.35 Космос /100/</t>
  </si>
  <si>
    <t>30001</t>
  </si>
  <si>
    <t>Лампа гал. точеч. б/отраж. JCD 230V 25W G9 CL Эра /10/</t>
  </si>
  <si>
    <t>30009</t>
  </si>
  <si>
    <t>Лампа зеркальная R39 30W E14 92524 GE /10/</t>
  </si>
  <si>
    <t>30036</t>
  </si>
  <si>
    <t>Лампа зеркальная R39 40W E14 TDM /10/</t>
  </si>
  <si>
    <t>30055</t>
  </si>
  <si>
    <t>Лампа зеркальная R63 40W E27 91079 GE /10/</t>
  </si>
  <si>
    <t>30608</t>
  </si>
  <si>
    <t>Лампа ртутная ДРЛ-125 Е27 LISMA /21/</t>
  </si>
  <si>
    <t>30600</t>
  </si>
  <si>
    <t>Лампа ртутная ДРЛ-125 Е27 Phoenix</t>
  </si>
  <si>
    <t>301 Лампы светодиодные Эра</t>
  </si>
  <si>
    <t>30282</t>
  </si>
  <si>
    <t>Лампа светодиодная Эра G4 2,5Вт 12V теплый 827 /10/</t>
  </si>
  <si>
    <t>30139</t>
  </si>
  <si>
    <t>Лампа светодиодная Эра G4 2,5Вт 12V холодный  840 /10/</t>
  </si>
  <si>
    <t>30169</t>
  </si>
  <si>
    <t>Лампа светодиодная Эра G4 2,5Вт 12V холодный 840 /10/</t>
  </si>
  <si>
    <t>30176</t>
  </si>
  <si>
    <t>Лампа светодиодная Эра G4 2Вт теплый /12/</t>
  </si>
  <si>
    <t>30283</t>
  </si>
  <si>
    <t>Лампа светодиодная Эра G4 3,5Вт 12V теплый 827 /10/</t>
  </si>
  <si>
    <t>30284</t>
  </si>
  <si>
    <t>Лампа светодиодная Эра G4 3Вт 12V теплый 827 /10/</t>
  </si>
  <si>
    <t>30285</t>
  </si>
  <si>
    <t>Лампа светодиодная Эра G4 5Вт 220V холодный 840 керам /10/</t>
  </si>
  <si>
    <t>30286</t>
  </si>
  <si>
    <t>Лампа светодиодная Эра G4 7Вт 220V холодный 840 керам /10/</t>
  </si>
  <si>
    <t>30287</t>
  </si>
  <si>
    <t>Лампа светодиодная Эра G9 5Вт 220V теплый 827 керам /10/</t>
  </si>
  <si>
    <t>30288</t>
  </si>
  <si>
    <t>Лампа светодиодная Эра G9 9Вт 220V теплый 827 керам /10/</t>
  </si>
  <si>
    <t>30289</t>
  </si>
  <si>
    <t>Лампа светодиодная Эра G9 9Вт 220V холодный 840 керам /10/</t>
  </si>
  <si>
    <t>30066</t>
  </si>
  <si>
    <t>Лампа светодиодная Эра GX53 10Вт 827 теплый Эко /10/</t>
  </si>
  <si>
    <t>30134</t>
  </si>
  <si>
    <t>Лампа светодиодная Эра GX53 10Вт 865 R холодный Эко /10/</t>
  </si>
  <si>
    <t>30315</t>
  </si>
  <si>
    <t>Лампа светодиодная Эра GX53 12Вт 840 /10/</t>
  </si>
  <si>
    <t>30114</t>
  </si>
  <si>
    <t>Лампа светодиодная Эра GX53 12Вт Red 840 /10/</t>
  </si>
  <si>
    <t>30051</t>
  </si>
  <si>
    <t>Лампа светодиодная Эра GX53 12Вт Red 865 /10/</t>
  </si>
  <si>
    <t>30108</t>
  </si>
  <si>
    <t>Лампа светодиодная Эра GX53 7Вт 827 теплый /10/</t>
  </si>
  <si>
    <t>30118</t>
  </si>
  <si>
    <t>Лампа светодиодная Эра GX53 7Вт 840 /10/</t>
  </si>
  <si>
    <t>30171</t>
  </si>
  <si>
    <t>Лампа светодиодная Эра GX53 7Вт 860 /10/</t>
  </si>
  <si>
    <t>30132</t>
  </si>
  <si>
    <t>Лампа светодиодная Эра GX53 8Вт 840 R холодный /10/</t>
  </si>
  <si>
    <t>30104</t>
  </si>
  <si>
    <t>Лампа светодиодная Эра GX53 8Вт 865 R холодный /10/</t>
  </si>
  <si>
    <t>30173</t>
  </si>
  <si>
    <t>Лампа светодиодная Эра GX53 8Вт 865 R холодный Эко /10/</t>
  </si>
  <si>
    <t>30106</t>
  </si>
  <si>
    <t>Лампа светодиодная Эра MR16 10Вт GU5.3 холодный 840 Эко /10/</t>
  </si>
  <si>
    <t>30030</t>
  </si>
  <si>
    <t>Лампа светодиодная Эра MR16 11Вт GU10 теплый 827 Эко /10/</t>
  </si>
  <si>
    <t>30162</t>
  </si>
  <si>
    <t>Лампа светодиодная Эра MR16 11Вт GU5.3 нейтр 840 Эко /10/</t>
  </si>
  <si>
    <t>30281</t>
  </si>
  <si>
    <t>Лампа светодиодная Эра MR16 11Вт GU5.3 теплый 827 Эко /10/</t>
  </si>
  <si>
    <t>30074</t>
  </si>
  <si>
    <t>Лампа светодиодная Эра MR16 12Вт GU5.3 очень холодый 860 /10/</t>
  </si>
  <si>
    <t>30043</t>
  </si>
  <si>
    <t>Лампа светодиодная Эра MR16 12Вт GU5.3 теплый 827 /10/</t>
  </si>
  <si>
    <t>30071</t>
  </si>
  <si>
    <t>Лампа светодиодная Эра MR16 12Вт GU5.3 холодный 840 /10/</t>
  </si>
  <si>
    <t>30113</t>
  </si>
  <si>
    <t>Лампа светодиодная Эра MR16 4Вт GU5.3 теплый /10/</t>
  </si>
  <si>
    <t>30092</t>
  </si>
  <si>
    <t>Лампа светодиодная Эра MR16 4Вт GU5.3 Яркий белый /10/</t>
  </si>
  <si>
    <t>30165</t>
  </si>
  <si>
    <t>Лампа светодиодная Эра MR16 5Вт GU10 теплый 827 Эко /10/</t>
  </si>
  <si>
    <t>30168</t>
  </si>
  <si>
    <t>Лампа светодиодная Эра MR16 5Вт GU10 холодный 840 Эко /10/</t>
  </si>
  <si>
    <t>30117</t>
  </si>
  <si>
    <t>Лампа светодиодная Эра MR16 5Вт GU5.3 теплый ЭКО /10/</t>
  </si>
  <si>
    <t>30129</t>
  </si>
  <si>
    <t>Лампа светодиодная Эра MR16 5Вт GU5.3 холодный ЭКО /10/</t>
  </si>
  <si>
    <t>30389</t>
  </si>
  <si>
    <t>Лампа светодиодная Эра MR16 6Вт GU5.3 очень холодный 860 /10/</t>
  </si>
  <si>
    <t>30178</t>
  </si>
  <si>
    <t>Лампа светодиодная Эра MR16 6Вт GU5.3 теплый 827</t>
  </si>
  <si>
    <t>30115</t>
  </si>
  <si>
    <t>Лампа светодиодная Эра MR16 6Вт GU5.3 холодный /10/</t>
  </si>
  <si>
    <t>30021</t>
  </si>
  <si>
    <t>Лампа светодиодная Эра MR16 7Вт GU5.3 нейтр. 840 R /10/</t>
  </si>
  <si>
    <t>30018</t>
  </si>
  <si>
    <t>Лампа светодиодная Эра MR16 7Вт GU5.3 теплый 827 R /10/</t>
  </si>
  <si>
    <t>30126</t>
  </si>
  <si>
    <t>Лампа светодиодная Эра MR16 8Вт 12V GU5.3 очень холодный 860 /10/</t>
  </si>
  <si>
    <t>30136</t>
  </si>
  <si>
    <t>Лампа светодиодная Эра MR16 8Вт 12V GU5.3 теплый 827 /10/</t>
  </si>
  <si>
    <t>30102</t>
  </si>
  <si>
    <t>Лампа светодиодная Эра MR16 8Вт 12V GU5.3 холодный 840 /10/</t>
  </si>
  <si>
    <t>30160</t>
  </si>
  <si>
    <t>Лампа светодиодная Эра MR16 8Вт GU5.3 очень холодный 860 /10/</t>
  </si>
  <si>
    <t>30246</t>
  </si>
  <si>
    <t>Лампа светодиодная Эра MR16 8Вт GU5.3 теплый 827 /10/</t>
  </si>
  <si>
    <t>30247</t>
  </si>
  <si>
    <t>Лампа светодиодная Эра MR16 8Вт GU5.3 холодный /10/</t>
  </si>
  <si>
    <t>30063</t>
  </si>
  <si>
    <t>Лампа светодиодная Эра MR16 9Вт GU5.3 теплый 827 Эко /10/</t>
  </si>
  <si>
    <t>30025</t>
  </si>
  <si>
    <t>Лампа светодиодная Эра MR16 9Вт GU5.3 холодный 840 R /10/</t>
  </si>
  <si>
    <t>30164</t>
  </si>
  <si>
    <t>Лампа светодиодная Эра MR16 9Вт GU5.3 холодный 840 Эко /10/</t>
  </si>
  <si>
    <t>30364</t>
  </si>
  <si>
    <t>Лампа светодиодная Эра R39 4Вт Е14 теплый 827 /10/</t>
  </si>
  <si>
    <t>30135</t>
  </si>
  <si>
    <t>Лампа светодиодная Эра R39 4Вт Е14 холодный 840 /10/</t>
  </si>
  <si>
    <t>30367</t>
  </si>
  <si>
    <t>Лампа светодиодная Эра R50 6Вт Е14 R холодный 840 Эко /10/</t>
  </si>
  <si>
    <t>30189</t>
  </si>
  <si>
    <t>Лампа светодиодная Эра R63 8Вт Е27 теплый /12/</t>
  </si>
  <si>
    <t>30190</t>
  </si>
  <si>
    <t>Лампа светодиодная Эра R63 8Вт Е27 теплый 827 Эко /10/</t>
  </si>
  <si>
    <t>30167</t>
  </si>
  <si>
    <t>Лампа светодиодная Эра R63 8Вт Е27 холодный эконом /10/</t>
  </si>
  <si>
    <t>30238</t>
  </si>
  <si>
    <t>Лампа светодиодная Эра А55 6Вт Е27 холодный 840 ЭКО /10/</t>
  </si>
  <si>
    <t>30152</t>
  </si>
  <si>
    <t>Лампа светодиодная Эра А55 8Вт Е27 теплый 827 ЭКО /6/</t>
  </si>
  <si>
    <t>30154</t>
  </si>
  <si>
    <t>Лампа светодиодная Эра А55 8Вт Е27 холодный 840 ЭКО /6/</t>
  </si>
  <si>
    <t>30198</t>
  </si>
  <si>
    <t>Лампа светодиодная Эра А60 10Вт Е27 теплый эконом мат. (60) /10/</t>
  </si>
  <si>
    <t>30144</t>
  </si>
  <si>
    <t>Лампа светодиодная Эра А60 10Вт Е27 холодн 865 Red мат /10/</t>
  </si>
  <si>
    <t>30138</t>
  </si>
  <si>
    <t>Лампа светодиодная Эра А60 10Вт Е27 холодный 840 эконом мат (60) /10/</t>
  </si>
  <si>
    <t>30290</t>
  </si>
  <si>
    <t>Лампа светодиодная Эра А60 11Вт Е27 очень холодный матовая 860 /10/</t>
  </si>
  <si>
    <t>30158</t>
  </si>
  <si>
    <t>Лампа светодиодная Эра А60 11Вт Е27 теплый матовый 827 /10/</t>
  </si>
  <si>
    <t>30122</t>
  </si>
  <si>
    <t>Лампа светодиодная Эра А60 11Вт Е27 холодный матовая 840/10/</t>
  </si>
  <si>
    <t>30111</t>
  </si>
  <si>
    <t>Лампа светодиодная Эра А60 12Вт Е27 теплый ЭКО 827 /10/</t>
  </si>
  <si>
    <t>30170</t>
  </si>
  <si>
    <t>Лампа светодиодная Эра А60 12Вт Е27 холод ЭКО 865 /10/</t>
  </si>
  <si>
    <t>30177</t>
  </si>
  <si>
    <t>Лампа светодиодная Эра А60 12Вт Е27 холодный Red 840 /10/</t>
  </si>
  <si>
    <t>30291</t>
  </si>
  <si>
    <t>Лампа светодиодная Эра А60 13Вт Е27 теплый 827 /6/</t>
  </si>
  <si>
    <t>30151</t>
  </si>
  <si>
    <t>Лампа светодиодная Эра А60 13Вт Е27 холодный 840 /6/</t>
  </si>
  <si>
    <t>30191</t>
  </si>
  <si>
    <t>Лампа светодиодная Эра А60 15Вт Е27 нейтр ЭКО 840 /10/</t>
  </si>
  <si>
    <t>30148</t>
  </si>
  <si>
    <t>Лампа светодиодная Эра А60 15Вт Е27 очень холодный 860 /10/</t>
  </si>
  <si>
    <t>30292</t>
  </si>
  <si>
    <t>Лампа светодиодная Эра А60 15Вт Е27 теплый 827 /6/</t>
  </si>
  <si>
    <t>30293</t>
  </si>
  <si>
    <t>Лампа светодиодная Эра А60 15Вт Е27 холодный 840 /10/</t>
  </si>
  <si>
    <t>30297</t>
  </si>
  <si>
    <t>Лампа светодиодная Эра А60 17Вт Е27 очень холодный 860 /10/</t>
  </si>
  <si>
    <t>30296</t>
  </si>
  <si>
    <t>Лампа светодиодная Эра А60 17Вт Е27 теплый 827 /10/</t>
  </si>
  <si>
    <t>30119</t>
  </si>
  <si>
    <t>Лампа светодиодная Эра А60 17Вт Е27 холод 840 /10/</t>
  </si>
  <si>
    <t>30199</t>
  </si>
  <si>
    <t>Лампа светодиодная Эра А60 6Вт Е27 2700 теплый эконом (60) /10/</t>
  </si>
  <si>
    <t>30159</t>
  </si>
  <si>
    <t>Лампа светодиодная Эра А60 8Вт Е27 очень холодный Red 865 /10/</t>
  </si>
  <si>
    <t>30194</t>
  </si>
  <si>
    <t>Лампа светодиодная Эра А60 8Вт Е27 теплый 827 /10/</t>
  </si>
  <si>
    <t>30128</t>
  </si>
  <si>
    <t>Лампа светодиодная Эра А60 8Вт Е27 Яркий белый /6/</t>
  </si>
  <si>
    <t>30259</t>
  </si>
  <si>
    <t>Лампа светодиодная Эра А60 9Вт Е27 очень холодный 860 /10/</t>
  </si>
  <si>
    <t>30002</t>
  </si>
  <si>
    <t>Лампа светодиодная Эра А60 9Вт Е27 теплый 827 /6/</t>
  </si>
  <si>
    <t>30035</t>
  </si>
  <si>
    <t>Лампа светодиодная Эра А60 9Вт Е27 холодный 840 /6/</t>
  </si>
  <si>
    <t>30195</t>
  </si>
  <si>
    <t>Лампа светодиодная Эра А65 18Вт Е27 теплый RED 827 /10/</t>
  </si>
  <si>
    <t>30105</t>
  </si>
  <si>
    <t>Лампа светодиодная Эра А65 18Вт Е27 холодный RED 840 /10/</t>
  </si>
  <si>
    <t>30250</t>
  </si>
  <si>
    <t>Лампа светодиодная Эра А65 18Вт Е27 холодный эконом 840 /10/</t>
  </si>
  <si>
    <t>30355</t>
  </si>
  <si>
    <t>Лампа светодиодная Эра А65 19Вт Е27 очень холодный 860 /10/</t>
  </si>
  <si>
    <t>30298</t>
  </si>
  <si>
    <t>Лампа светодиодная Эра А65 19Вт Е27 теплый 827 /10/</t>
  </si>
  <si>
    <t>30299</t>
  </si>
  <si>
    <t>Лампа светодиодная Эра А65 19Вт Е27 холодный 840 /10/</t>
  </si>
  <si>
    <t>30064</t>
  </si>
  <si>
    <t>Лампа светодиодная Эра А65 20Вт Е27 теплый 827 Эко /10/</t>
  </si>
  <si>
    <t>30109</t>
  </si>
  <si>
    <t>Лампа светодиодная Эра А65 20Вт Е27 холодный 840 Red /10/</t>
  </si>
  <si>
    <t>30187</t>
  </si>
  <si>
    <t>Лампа светодиодная Эра А65 20Вт Е27 холодный 865 Red /10/</t>
  </si>
  <si>
    <t>30358</t>
  </si>
  <si>
    <t>Лампа светодиодная Эра А65 21Вт Е27 очень холодный 860 /10/</t>
  </si>
  <si>
    <t>30356</t>
  </si>
  <si>
    <t>Лампа светодиодная Эра А65 21Вт Е27 теплый 827 /10/</t>
  </si>
  <si>
    <t>30357</t>
  </si>
  <si>
    <t>Лампа светодиодная Эра А65 21Вт Е27 холодный 840 /10/</t>
  </si>
  <si>
    <t>30361</t>
  </si>
  <si>
    <t>Лампа светодиодная Эра А65 25Вт Е27 очень холодный 860 /10/</t>
  </si>
  <si>
    <t>30174</t>
  </si>
  <si>
    <t>Лампа светодиодная Эра А65 25Вт Е27 очень холодный Red 865 /10/</t>
  </si>
  <si>
    <t>30359</t>
  </si>
  <si>
    <t>Лампа светодиодная Эра А65 25Вт Е27 теплый 827 /10/</t>
  </si>
  <si>
    <t>30360</t>
  </si>
  <si>
    <t>Лампа светодиодная Эра А65 25Вт Е27 холодный 840 /10/</t>
  </si>
  <si>
    <t>30149</t>
  </si>
  <si>
    <t>Лампа светодиодная Эра А65 25Вт Е27 холодный RED 840 /10/</t>
  </si>
  <si>
    <t>30363</t>
  </si>
  <si>
    <t>Лампа светодиодная Эра А65 30Вт Е27 очень холодный 860 /10/</t>
  </si>
  <si>
    <t>30362</t>
  </si>
  <si>
    <t>Лампа светодиодная Эра А65 30Вт Е27 холодный 840 /10/</t>
  </si>
  <si>
    <t>30236</t>
  </si>
  <si>
    <t>Лампа светодиодная Эра свеча на ветру ВXS 5Вт Е14 холодный /10/</t>
  </si>
  <si>
    <t>30153</t>
  </si>
  <si>
    <t>Лампа светодиодная Эра свеча на ветру ВXS 7Вт Е14 теплый /10/</t>
  </si>
  <si>
    <t>30161</t>
  </si>
  <si>
    <t>Лампа светодиодная Эра свеча на ветру ВXS Clear 7Вт Е14 теплый /12/</t>
  </si>
  <si>
    <t>30107</t>
  </si>
  <si>
    <t>Лампа светодиодная Эра свеча на ветру ВXS Clear 7Вт Е14 холодный /6/</t>
  </si>
  <si>
    <t>302 Лампы светодиодные</t>
  </si>
  <si>
    <t>30232</t>
  </si>
  <si>
    <t>Лампа светодиодная Forza А60 12 W Е27 1050лм 3000 К 935-060 /10/100/</t>
  </si>
  <si>
    <t>30294</t>
  </si>
  <si>
    <t>Лампа светодиодная Forza А60 6 W Е27 510 лм 3000 К 925-049 /10/100/</t>
  </si>
  <si>
    <t>30206</t>
  </si>
  <si>
    <t>Лампа светодиодная Forza А65 16 W Е27 1280лм 4000 К 925-060 /10/100/</t>
  </si>
  <si>
    <t>30241</t>
  </si>
  <si>
    <t>Лампа светодиодная Forza филам. А60 5W Е27 400лм 2800 К 925-052</t>
  </si>
  <si>
    <t>30255</t>
  </si>
  <si>
    <t>Лампа светодиодная Forza филам. А60 5W Е27 560лм 2800 К 925-054</t>
  </si>
  <si>
    <t>30266</t>
  </si>
  <si>
    <t>Лампа светодиодная Forza филам. свеча 4 W Е14 390 0лм 2800 К 925-056 /10/100/</t>
  </si>
  <si>
    <t>30211</t>
  </si>
  <si>
    <t>Лампа светодиодная Leek Le JC Led 2W 4K G4 12V /100/</t>
  </si>
  <si>
    <t>30133</t>
  </si>
  <si>
    <t>Лампа светодиодная Navigator 94 254 NLL-MR16-2.8-12-3K-GU5.3</t>
  </si>
  <si>
    <t>30635</t>
  </si>
  <si>
    <t>Лампа светодиодная Promo A60 5W E27 300ml 4200k 935-075 /10/100/</t>
  </si>
  <si>
    <t>30200</t>
  </si>
  <si>
    <t>Лампа светодиодная REXANT филам. груша 11,5Вт Е27 для растений /10/</t>
  </si>
  <si>
    <t>30203</t>
  </si>
  <si>
    <t>Лампа светодиодная Uniel филам. форма А 8Вт Е27 для растений /10/</t>
  </si>
  <si>
    <t>30209</t>
  </si>
  <si>
    <t>Лампа светодиодная Uniel филам. форма А 9Вт Е27 для растений /10/</t>
  </si>
  <si>
    <t>30263</t>
  </si>
  <si>
    <t>Лампа светодиодная Ермак с датч.движ. 8Вт Е27 560Лм 4000К  624-018</t>
  </si>
  <si>
    <t>30110</t>
  </si>
  <si>
    <t>Лампа светодиодная Космос premium св.на ветру LED 3 Вт Е14 230v 3000K</t>
  </si>
  <si>
    <t>30205</t>
  </si>
  <si>
    <t>Лампа светодиодная Спутник GX53 10 Вт 4000 К</t>
  </si>
  <si>
    <t>30210</t>
  </si>
  <si>
    <t>Лампа светодиодная Спутник GX53 10 Вт 6000 К</t>
  </si>
  <si>
    <t>30257</t>
  </si>
  <si>
    <t>Лампа светодиодная Спутник GX53 12 Вт 4000 К</t>
  </si>
  <si>
    <t>30339</t>
  </si>
  <si>
    <t>Лампа светодиодная Спутник GX53 15 Вт 4000 К</t>
  </si>
  <si>
    <t>30201</t>
  </si>
  <si>
    <t>Лампа светодиодная Спутник GX53 15 Вт 6000 К</t>
  </si>
  <si>
    <t>30249</t>
  </si>
  <si>
    <t>Лампа светодиодная Спутник GX53 8 Вт 4000 К</t>
  </si>
  <si>
    <t>30234</t>
  </si>
  <si>
    <t>Лампа светодиодная Спутник GX53 8 Вт 6000 К</t>
  </si>
  <si>
    <t>30690</t>
  </si>
  <si>
    <t>Лампа светодиодная Спутник LED G45 10 Вт Е14 3000 К</t>
  </si>
  <si>
    <t>30691</t>
  </si>
  <si>
    <t>Лампа светодиодная Спутник LED G45 10 Вт Е14 4000 К</t>
  </si>
  <si>
    <t>30215</t>
  </si>
  <si>
    <t>Лампа светодиодная Спутник LED G45 10 Вт Е27 3000 К</t>
  </si>
  <si>
    <t>30242</t>
  </si>
  <si>
    <t>Лампа светодиодная Спутник LED G45 10 Вт Е27 4000 К</t>
  </si>
  <si>
    <t>30300</t>
  </si>
  <si>
    <t>Лампа светодиодная Спутник LED G45 10 Вт Е27 6000 К</t>
  </si>
  <si>
    <t>30304</t>
  </si>
  <si>
    <t>Лампа светодиодная Спутник LED G45 12 Вт Е14 4000 К</t>
  </si>
  <si>
    <t>30302</t>
  </si>
  <si>
    <t>Лампа светодиодная Спутник LED G45 12 Вт Е27 3000 К</t>
  </si>
  <si>
    <t>30306</t>
  </si>
  <si>
    <t>Лампа светодиодная Спутник LED G45 12 Вт Е27 4000 К</t>
  </si>
  <si>
    <t>30307</t>
  </si>
  <si>
    <t>Лампа светодиодная Спутник LED G45 12 Вт Е27 6000 К</t>
  </si>
  <si>
    <t>30207</t>
  </si>
  <si>
    <t>Лампа светодиодная Спутник LED G45 8 Вт Е14 4000 К</t>
  </si>
  <si>
    <t>30308</t>
  </si>
  <si>
    <t>Лампа светодиодная Спутник LED G45 8 Вт Е27 3000 К</t>
  </si>
  <si>
    <t>30309</t>
  </si>
  <si>
    <t>Лампа светодиодная Спутник LED G45 8 Вт Е27 4000 К</t>
  </si>
  <si>
    <t>30248</t>
  </si>
  <si>
    <t>Лампа светодиодная Спутник LED G45 8 Вт Е27 6000 К</t>
  </si>
  <si>
    <t>30204</t>
  </si>
  <si>
    <t>Лампа светодиодная Спутник LED GU5.3 220 V 12 W 4000K</t>
  </si>
  <si>
    <t>30261</t>
  </si>
  <si>
    <t>Лампа светодиодная Спутник LED GU5.3 220 V 8 W 4000K</t>
  </si>
  <si>
    <t>30260</t>
  </si>
  <si>
    <t>Лампа светодиодная Спутник LED R39 5 Вт Е14 4000К</t>
  </si>
  <si>
    <t>30331</t>
  </si>
  <si>
    <t>Лампа светодиодная Спутник LED R50 8 Вт Е14 4000К</t>
  </si>
  <si>
    <t>30332</t>
  </si>
  <si>
    <t>Лампа светодиодная Спутник LED R63 10 Вт Е27 4000К</t>
  </si>
  <si>
    <t>30222</t>
  </si>
  <si>
    <t>Лампа светодиодная Спутник LED А60 10 Вт Е27 3000 К</t>
  </si>
  <si>
    <t>30228</t>
  </si>
  <si>
    <t>Лампа светодиодная Спутник LED А60 10 Вт Е27 4000 К</t>
  </si>
  <si>
    <t>30223</t>
  </si>
  <si>
    <t>Лампа светодиодная Спутник LED А60 10 Вт Е27 6000 К</t>
  </si>
  <si>
    <t>30225</t>
  </si>
  <si>
    <t>Лампа светодиодная Спутник LED А60 12 Вт Е27 3000 К</t>
  </si>
  <si>
    <t>30227</t>
  </si>
  <si>
    <t>Лампа светодиодная Спутник LED А60 12 Вт Е27 4000 К</t>
  </si>
  <si>
    <t>30256</t>
  </si>
  <si>
    <t>Лампа светодиодная Спутник LED А60 12 Вт Е27 6000 К</t>
  </si>
  <si>
    <t>30231</t>
  </si>
  <si>
    <t>Лампа светодиодная Спутник LED А60 15 Вт Е27 3000 К</t>
  </si>
  <si>
    <t>30240</t>
  </si>
  <si>
    <t>Лампа светодиодная Спутник LED А60 15 Вт Е27 4000 К</t>
  </si>
  <si>
    <t>30233</t>
  </si>
  <si>
    <t>Лампа светодиодная Спутник LED А60 15 Вт Е27 6000 К</t>
  </si>
  <si>
    <t>30220</t>
  </si>
  <si>
    <t>Лампа светодиодная Спутник LED А60 18 Вт Е27 4000 К</t>
  </si>
  <si>
    <t>30272</t>
  </si>
  <si>
    <t>Лампа светодиодная Спутник LED А60 18 Вт Е27 6000 К</t>
  </si>
  <si>
    <t>30314</t>
  </si>
  <si>
    <t>Лампа светодиодная Спутник LED С37 10 Вт Е14 4000К</t>
  </si>
  <si>
    <t>30213</t>
  </si>
  <si>
    <t>Лампа светодиодная Спутник LED С37 10 Вт Е14 6000К</t>
  </si>
  <si>
    <t>30313</t>
  </si>
  <si>
    <t>Лампа светодиодная Спутник LED С37 10 Вт Е27 3000К</t>
  </si>
  <si>
    <t>30316</t>
  </si>
  <si>
    <t>Лампа светодиодная Спутник LED С37 10 Вт Е27 4000К</t>
  </si>
  <si>
    <t>30320</t>
  </si>
  <si>
    <t>Лампа светодиодная Спутник LED С37 12 Вт Е14 3000К</t>
  </si>
  <si>
    <t>30321</t>
  </si>
  <si>
    <t>Лампа светодиодная Спутник LED С37 12 Вт Е14 4000К</t>
  </si>
  <si>
    <t>30324</t>
  </si>
  <si>
    <t>Лампа светодиодная Спутник LED С37 12 Вт Е14 6000К</t>
  </si>
  <si>
    <t>30323</t>
  </si>
  <si>
    <t>Лампа светодиодная Спутник LED С37 12 Вт Е27 4000К</t>
  </si>
  <si>
    <t>30150</t>
  </si>
  <si>
    <t>Лампа светодиодная Спутник LED С37 5 Вт Е27 4000К /10/50/</t>
  </si>
  <si>
    <t>30327</t>
  </si>
  <si>
    <t>Лампа светодиодная Спутник LED С37 8 Вт Е14 3000К</t>
  </si>
  <si>
    <t>30328</t>
  </si>
  <si>
    <t>Лампа светодиодная Спутник LED С37 8 Вт Е14 4000К</t>
  </si>
  <si>
    <t>30330</t>
  </si>
  <si>
    <t>Лампа светодиодная Спутник LED С37 8 Вт Е14 6000К</t>
  </si>
  <si>
    <t>30329</t>
  </si>
  <si>
    <t>Лампа светодиодная Спутник LED С37 8 Вт Е27 4000К</t>
  </si>
  <si>
    <t>30214</t>
  </si>
  <si>
    <t>Лампа светодиодная Фарлайт GX53 11 Вт 2700 К</t>
  </si>
  <si>
    <t>30218</t>
  </si>
  <si>
    <t>Лампа светодиодная Фарлайт GX53 11 Вт 4000 К</t>
  </si>
  <si>
    <t>30216</t>
  </si>
  <si>
    <t>Лампа светодиодная Фарлайт высокой мощности 360 35 Вт Е27 6500 К</t>
  </si>
  <si>
    <t>30230</t>
  </si>
  <si>
    <t>Лампа светодиодная Фарлайт свеча С35 8 Вт Е27 2700 К /10/</t>
  </si>
  <si>
    <t>30202</t>
  </si>
  <si>
    <t>Лампа светодиодная филаментная Фарлайт А60 7 Вт Е27 4000</t>
  </si>
  <si>
    <t>30607</t>
  </si>
  <si>
    <t>Лампа светодиодная Экономка LED R63 7 Вт Е27 230v 3000К</t>
  </si>
  <si>
    <t>30609</t>
  </si>
  <si>
    <t>Лампа светодиодная Экономка LED R63 7 Вт Е27 230v 4500К</t>
  </si>
  <si>
    <t>303 Лампы светодиодные Эра R45 шарики/ B35 свечки</t>
  </si>
  <si>
    <t>30394</t>
  </si>
  <si>
    <t>Лампа светодиодная Эра P45 10Вт Е14 холодный 840 Red /10/</t>
  </si>
  <si>
    <t>30112</t>
  </si>
  <si>
    <t>Лампа светодиодная Эра P45 10Вт Е27 теплый 827 мат ЭКО /10/</t>
  </si>
  <si>
    <t>30391</t>
  </si>
  <si>
    <t>Лампа светодиодная Эра P45 10Вт Е27 холодный 840 R /10/</t>
  </si>
  <si>
    <t>30276</t>
  </si>
  <si>
    <t>Лампа светодиодная Эра P45 10Вт Е27 холодный 840 ЭКО /10/</t>
  </si>
  <si>
    <t>30317</t>
  </si>
  <si>
    <t>Лампа светодиодная Эра P45 11Вт Е14 теплый 827 /10/</t>
  </si>
  <si>
    <t>30345</t>
  </si>
  <si>
    <t>Лампа светодиодная Эра P45 11Вт Е14 холодный 840 /10/</t>
  </si>
  <si>
    <t>30348</t>
  </si>
  <si>
    <t>Лампа светодиодная Эра P45 11Вт Е27 теплый 827 /10/</t>
  </si>
  <si>
    <t>30351</t>
  </si>
  <si>
    <t>Лампа светодиодная Эра P45 11Вт Е27 холодный 840 /10/</t>
  </si>
  <si>
    <t>30166</t>
  </si>
  <si>
    <t>Лампа светодиодная Эра P45 5Вт Е14 теплый /12/</t>
  </si>
  <si>
    <t>30277</t>
  </si>
  <si>
    <t>Лампа светодиодная Эра P45 6Вт Е27 холодный 840 ЭКО /10/</t>
  </si>
  <si>
    <t>30180</t>
  </si>
  <si>
    <t>Лампа светодиодная Эра P45 7Вт Е14 теплый /10/</t>
  </si>
  <si>
    <t>30184</t>
  </si>
  <si>
    <t>Лампа светодиодная Эра P45 7Вт Е14 Яркий белый /10/</t>
  </si>
  <si>
    <t>30182</t>
  </si>
  <si>
    <t>Лампа светодиодная Эра P45 7Вт Е27 теплый /10/</t>
  </si>
  <si>
    <t>30101</t>
  </si>
  <si>
    <t>Лампа светодиодная Эра P45 7Вт Е27 холодный 840 /10/</t>
  </si>
  <si>
    <t>30131</t>
  </si>
  <si>
    <t>Лампа светодиодная Эра P45 7Вт Е27 Яркий белый 860 /10/</t>
  </si>
  <si>
    <t>30390</t>
  </si>
  <si>
    <t>Лампа светодиодная Эра P45 8Вт Е14 R очень холодный 865 /10/</t>
  </si>
  <si>
    <t>30312</t>
  </si>
  <si>
    <t>Лампа светодиодная Эра P45 8Вт Е14 теплый 827 ЭКО /10/</t>
  </si>
  <si>
    <t>30454</t>
  </si>
  <si>
    <t>Лампа светодиодная Эра P45 8Вт Е14 холодный 840 Эко /10/</t>
  </si>
  <si>
    <t>30333</t>
  </si>
  <si>
    <t>Лампа светодиодная Эра P45 8Вт Е27 очень холодный Red 865 /10/</t>
  </si>
  <si>
    <t>30054</t>
  </si>
  <si>
    <t>Лампа светодиодная Эра P45 8Вт Е27 теплый 827 ЭКО /10/</t>
  </si>
  <si>
    <t>30279</t>
  </si>
  <si>
    <t>Лампа светодиодная Эра P45 8Вт Е27 холодный 840 ЭКО /10/</t>
  </si>
  <si>
    <t>30229</t>
  </si>
  <si>
    <t>Лампа светодиодная Эра P45 9Вт Е14 теплый 827 /10/</t>
  </si>
  <si>
    <t>30130</t>
  </si>
  <si>
    <t>Лампа светодиодная Эра P45 9Вт Е14 холодный 840 /10/</t>
  </si>
  <si>
    <t>30172</t>
  </si>
  <si>
    <t>Лампа светодиодная Эра P45 9Вт Е27 белый 860 /10/</t>
  </si>
  <si>
    <t>30140</t>
  </si>
  <si>
    <t>Лампа светодиодная Эра P45 9Вт Е27 теплый 827 /10/</t>
  </si>
  <si>
    <t>30146</t>
  </si>
  <si>
    <t>Лампа светодиодная Эра P45 9Вт Е27 холодный 840 /10/</t>
  </si>
  <si>
    <t>30163</t>
  </si>
  <si>
    <t>Лампа светодиодная Эра P45 Clear 5Вт Е14 холодный /10/</t>
  </si>
  <si>
    <t>30052</t>
  </si>
  <si>
    <t>Лампа светодиодная Эра P45 Clear 5Вт Е27 теплый /10/</t>
  </si>
  <si>
    <t>30179</t>
  </si>
  <si>
    <t>Лампа светодиодная Эра P45 Clear 5Вт Е27 Яркий белый 3 год гар</t>
  </si>
  <si>
    <t>30181</t>
  </si>
  <si>
    <t>Лампа светодиодная Эра P45 Clear 7Вт Е14 теплый /12/</t>
  </si>
  <si>
    <t>30183</t>
  </si>
  <si>
    <t>Лампа светодиодная Эра P45 Clear 7Вт Е27 теплый /12/</t>
  </si>
  <si>
    <t>30186</t>
  </si>
  <si>
    <t>Лампа светодиодная Эра P45 Clear 7Вт Е27 Яркий белый /6/</t>
  </si>
  <si>
    <t>30375</t>
  </si>
  <si>
    <t>Лампа светодиодная Эра В35 10Вт Е14 R холодный 840 ЭКО /10/</t>
  </si>
  <si>
    <t>30334</t>
  </si>
  <si>
    <t>Лампа светодиодная Эра В35 10Вт Е14 очень холодный Red 865 /10/</t>
  </si>
  <si>
    <t>30268</t>
  </si>
  <si>
    <t>Лампа светодиодная Эра В35 10Вт Е14 теплый 827 ЭКО /10/</t>
  </si>
  <si>
    <t>30270</t>
  </si>
  <si>
    <t>Лампа светодиодная Эра В35 10Вт Е27 теплый 827 ЭКО /10/</t>
  </si>
  <si>
    <t>30271</t>
  </si>
  <si>
    <t>Лампа светодиодная Эра В35 10Вт Е27 холодный 840 ЭКО /10/</t>
  </si>
  <si>
    <t>30342</t>
  </si>
  <si>
    <t>Лампа светодиодная Эра В35 10Вт Е27 холодный 865 Red /10/</t>
  </si>
  <si>
    <t>30127</t>
  </si>
  <si>
    <t>Лампа светодиодная Эра В35 11Вт Е14 белый холодный 860 /10/</t>
  </si>
  <si>
    <t>30303</t>
  </si>
  <si>
    <t>Лампа светодиодная Эра В35 11Вт Е14 теплый 827 ЭКО /10/</t>
  </si>
  <si>
    <t>30305</t>
  </si>
  <si>
    <t>Лампа светодиодная Эра В35 11Вт Е14 холодный 840 /10/</t>
  </si>
  <si>
    <t>30384</t>
  </si>
  <si>
    <t>Лампа светодиодная Эра В35 11Вт Е27 очень холодный 860 /10/</t>
  </si>
  <si>
    <t>30376</t>
  </si>
  <si>
    <t>Лампа светодиодная Эра В35 11Вт Е27 теплый 827 /10/</t>
  </si>
  <si>
    <t>30379</t>
  </si>
  <si>
    <t>Лампа светодиодная Эра В35 11Вт Е27 холодный 840 /10/</t>
  </si>
  <si>
    <t>30368</t>
  </si>
  <si>
    <t>Лампа светодиодная Эра В35 6Вт Е14 R очень холодный /10/</t>
  </si>
  <si>
    <t>30124</t>
  </si>
  <si>
    <t>Лампа светодиодная Эра В35 6Вт Е14 теплый 827 ЭКО /10/</t>
  </si>
  <si>
    <t>30369</t>
  </si>
  <si>
    <t>Лампа светодиодная Эра В35 6Вт Е27 теплый 827 ЭКО /10/</t>
  </si>
  <si>
    <t>30373</t>
  </si>
  <si>
    <t>Лампа светодиодная Эра В35 6Вт Е27 холодный 840 ЭКО /10/</t>
  </si>
  <si>
    <t>30123</t>
  </si>
  <si>
    <t>Лампа светодиодная Эра В35 7Вт Е14 теплый /6/</t>
  </si>
  <si>
    <t>30311</t>
  </si>
  <si>
    <t>Лампа светодиодная Эра В35 7Вт Е14 холодный 840 /10/</t>
  </si>
  <si>
    <t>30441</t>
  </si>
  <si>
    <t>Лампа светодиодная Эра В35 7Вт Е14 яркий белый 860 /10/</t>
  </si>
  <si>
    <t>30156</t>
  </si>
  <si>
    <t>Лампа светодиодная Эра В35 7Вт Е27 теплый /12/</t>
  </si>
  <si>
    <t>30448</t>
  </si>
  <si>
    <t>Лампа светодиодная Эра В35 7Вт Е27 ярко белый 840 /10/</t>
  </si>
  <si>
    <t>30393</t>
  </si>
  <si>
    <t>Лампа светодиодная Эра В35 8Вт Е14 холодный Red 840 /10/</t>
  </si>
  <si>
    <t>30145</t>
  </si>
  <si>
    <t>Лампа светодиодная Эра В35 8Вт Е27 теплый 827 ЭКО /10/</t>
  </si>
  <si>
    <t>30273</t>
  </si>
  <si>
    <t>Лампа светодиодная Эра В35 8Вт Е27 холодный 840 ЭКО /10/</t>
  </si>
  <si>
    <t>30344</t>
  </si>
  <si>
    <t>Лампа светодиодная Эра В35 8Вт Е27 холодный 865 ЭКО /10/</t>
  </si>
  <si>
    <t>30353</t>
  </si>
  <si>
    <t>Лампа светодиодная Эра В35 9Вт Е14 теплый 827 /10/</t>
  </si>
  <si>
    <t>30392</t>
  </si>
  <si>
    <t>Лампа светодиодная Эра В35 9Вт Е14 холодный 840 /10/</t>
  </si>
  <si>
    <t>30143</t>
  </si>
  <si>
    <t>Лампа светодиодная Эра В35 9Вт Е27 теплый 827 /10/</t>
  </si>
  <si>
    <t>30237</t>
  </si>
  <si>
    <t>Лампа светодиодная Эра В35 9Вт Е27 холодный 840 /10/</t>
  </si>
  <si>
    <t>30188</t>
  </si>
  <si>
    <t>Лампа светодиодная Эра В35 Clear 5Вт Е14 белый /10/</t>
  </si>
  <si>
    <t>30121</t>
  </si>
  <si>
    <t>Лампа светодиодная Эра В35 Clear 7Вт Е14 белый /6/</t>
  </si>
  <si>
    <t>30155</t>
  </si>
  <si>
    <t>Лампа светодиодная Эра В35 Clear 7Вт Е14 теплый /6/</t>
  </si>
  <si>
    <t>30120</t>
  </si>
  <si>
    <t>Лампа светодиодная Эра В35 Clear 7Вт Е27 теплый /12/</t>
  </si>
  <si>
    <t>30175</t>
  </si>
  <si>
    <t>Лампа светодиодная Эра В35 Clear 7Вт Е27 холодный /12/</t>
  </si>
  <si>
    <t>30239</t>
  </si>
  <si>
    <t>Лампа светодиодная Эра В35 Clear 7Вт Е27 Яркий белый /6/</t>
  </si>
  <si>
    <t>304 Лампа накаливания</t>
  </si>
  <si>
    <t>30437</t>
  </si>
  <si>
    <t>Лампа (теплоизлучатель) СТ230-2400 150-2 Вт Е27 /100/</t>
  </si>
  <si>
    <t>30422</t>
  </si>
  <si>
    <t>Лампа (теплоизлучатель) СТ230-2400 200-2 Вт Е27 /100/</t>
  </si>
  <si>
    <t>30438</t>
  </si>
  <si>
    <t>Лампа (теплоизлучатель) СТ230-2400 300-2 Вт Е27 /90/</t>
  </si>
  <si>
    <t>30470</t>
  </si>
  <si>
    <t>Лампа (теплоизлучатель) СТ230-2400 500-2 Вт Е40 /48/</t>
  </si>
  <si>
    <t>30400</t>
  </si>
  <si>
    <t>Лампа ЛОН 25 Вт 230 В Е27 /100/</t>
  </si>
  <si>
    <t>30319</t>
  </si>
  <si>
    <t>Лампа ЛОН 40 Вт 230 В Е27 /100/</t>
  </si>
  <si>
    <t>30413</t>
  </si>
  <si>
    <t>Лампа ЛОН 60 Вт 230 В Е27 913-010 /100/</t>
  </si>
  <si>
    <t>30494</t>
  </si>
  <si>
    <t>Лампа ЛОН 75 Вт 230 В Е27 913-011 /154/</t>
  </si>
  <si>
    <t>30403</t>
  </si>
  <si>
    <t>Лампа ЛОН 95 Вт 230 В Е27 грибок 913-012 /100/</t>
  </si>
  <si>
    <t>30409</t>
  </si>
  <si>
    <t>Лампа ЛОН 95 Вт 230 В Е27 колба /100/</t>
  </si>
  <si>
    <t>30443</t>
  </si>
  <si>
    <t>Лампа ЛОН д/дух. шкафов Favor 15 Вт E14 /300/</t>
  </si>
  <si>
    <t>30419</t>
  </si>
  <si>
    <t>Лампа ЛОН д/холодильн. и шв. маш. 15 Вт Е14 /300/</t>
  </si>
  <si>
    <t>30408</t>
  </si>
  <si>
    <t>Лампа ЛОН д/холодильн. и шв. маш. Camelion 25Вт E14 /10/</t>
  </si>
  <si>
    <t>30436</t>
  </si>
  <si>
    <t>Лампа ЛОН ДС 230-2-40 Е14 40 Вт свеча /100/</t>
  </si>
  <si>
    <t>30471</t>
  </si>
  <si>
    <t>Лампа ЛОН ДС 230-2-40 Е27 40 Вт свеча /100/</t>
  </si>
  <si>
    <t>30439</t>
  </si>
  <si>
    <t>Лампа ЛОН ДС 230-2-60 Е14 60 Вт свеча /100/</t>
  </si>
  <si>
    <t>30415</t>
  </si>
  <si>
    <t>Лампа ЛОН ДС 230-2-60 Е27 60 Вт свеча /200/</t>
  </si>
  <si>
    <t>30404</t>
  </si>
  <si>
    <t>Лампа ЛОН ДШ 230-40 Е14 40Вт /100/</t>
  </si>
  <si>
    <t>30423</t>
  </si>
  <si>
    <t>Лампа ЛОН ДШ 230-40 Е27 40Вт шар /100/</t>
  </si>
  <si>
    <t>30402</t>
  </si>
  <si>
    <t>Лампа ЛОН ДШ 230-60 Е14 60Вт /100/</t>
  </si>
  <si>
    <t>30469</t>
  </si>
  <si>
    <t>Лампа ЛОН ДШ 230-60 Е27 60Вт шар /100/</t>
  </si>
  <si>
    <t>30458</t>
  </si>
  <si>
    <t>Лампа ЛОН МО 12В-40-2 Е27 /100/</t>
  </si>
  <si>
    <t>30442</t>
  </si>
  <si>
    <t>Лампа ЛОН МО 12В-60-2 Е27 /100/</t>
  </si>
  <si>
    <t>30444</t>
  </si>
  <si>
    <t>Лампа ЛОН МО 24В-40Вт Е27 /144/</t>
  </si>
  <si>
    <t>30445</t>
  </si>
  <si>
    <t>Лампа ЛОН МО 24В-60-3 Е27 /100/</t>
  </si>
  <si>
    <t>30401</t>
  </si>
  <si>
    <t>Лампа ЛОН МО 36В-25Вт Е27 /100/</t>
  </si>
  <si>
    <t>30446</t>
  </si>
  <si>
    <t>Лампа ЛОН МО 36В-40Вт Е27 /100/</t>
  </si>
  <si>
    <t>30447</t>
  </si>
  <si>
    <t>Лампа ЛОН МО 36В-60Вт Е27 /100/</t>
  </si>
  <si>
    <t>30457</t>
  </si>
  <si>
    <t>Лампа ЛОН МО 36В-95Вт Е27 /100/</t>
  </si>
  <si>
    <t>30424</t>
  </si>
  <si>
    <t>Лампа накал. GE Е27 40Вт матов. 65845</t>
  </si>
  <si>
    <t>30426</t>
  </si>
  <si>
    <t>Лампа накал. GE Е27 40Вт проз. 97211</t>
  </si>
  <si>
    <t>30433</t>
  </si>
  <si>
    <t>Лампа накал. JazzWay B35 Е27 40Вт 350Lm свеча матов</t>
  </si>
  <si>
    <t>30452</t>
  </si>
  <si>
    <t>Лампа накал. Uniel прозрачная 40 Вт Е27 /10/</t>
  </si>
  <si>
    <t>30406</t>
  </si>
  <si>
    <t>Лампа накал. Uniel шар прозрачный 40 Вт Е27 /10/</t>
  </si>
  <si>
    <t>30480</t>
  </si>
  <si>
    <t>Лампа накал. Прогресс свеча витая 40W Е27 72306-40 /100/</t>
  </si>
  <si>
    <t>305 Лампы энергосберегающие/люминисцентные</t>
  </si>
  <si>
    <t>30326</t>
  </si>
  <si>
    <t>Лампа люминесц. OSRAM L18W унив. бел свет 640 /25/</t>
  </si>
  <si>
    <t>30318</t>
  </si>
  <si>
    <t>Лампа люминесц. ЛБ 40 Вт FL40W-32/635 /30/</t>
  </si>
  <si>
    <t>30347</t>
  </si>
  <si>
    <t>Лампа люминесц. Т4 6W белая</t>
  </si>
  <si>
    <t>30310</t>
  </si>
  <si>
    <t>Лампа люминесц. Т5 21W белая</t>
  </si>
  <si>
    <t>30325</t>
  </si>
  <si>
    <t>Лампа люминесц. Т5 6W белая</t>
  </si>
  <si>
    <t>30502</t>
  </si>
  <si>
    <t>Лампа люминесц. Т8 36W белая G13 765 /25/</t>
  </si>
  <si>
    <t>30503</t>
  </si>
  <si>
    <t>Лампа энергосбер. GAUSS Spiral-Т2 11Вт Е14 2700К</t>
  </si>
  <si>
    <t>30501</t>
  </si>
  <si>
    <t>Лампа энергосбер. GAUSS Spiral-Т3-диммер 11Вт Е14 4200К</t>
  </si>
  <si>
    <t>30572</t>
  </si>
  <si>
    <t>Лампа энергосбер. SuperMax E1442 СМ SPC 09W</t>
  </si>
  <si>
    <t>30543</t>
  </si>
  <si>
    <t>Лампа энергосбер. ZEON 4U 15w E1442 /25/</t>
  </si>
  <si>
    <t>30627</t>
  </si>
  <si>
    <t>Лампа энергосбер. ZEON 4U 85w E4064 /25/</t>
  </si>
  <si>
    <t>30562</t>
  </si>
  <si>
    <t>Лампа энергосбер. ZEON FSP 13w E1427 /50/</t>
  </si>
  <si>
    <t>30563</t>
  </si>
  <si>
    <t>Лампа энергосбер. ZEON GU10 9w</t>
  </si>
  <si>
    <t>30547</t>
  </si>
  <si>
    <t>Лампа энергосбер. ZEON SPC 11w E1427 /25/</t>
  </si>
  <si>
    <t>30540</t>
  </si>
  <si>
    <t>Лампа энергосбер. ZEON SPC 13w E1427 /50/</t>
  </si>
  <si>
    <t>30643</t>
  </si>
  <si>
    <t>Лампа энергосбер. ZEON SPC 15w E1427 /25/</t>
  </si>
  <si>
    <t>306 Лампы светодиодные GAUSS</t>
  </si>
  <si>
    <t>30644</t>
  </si>
  <si>
    <t>Лампа светодиодная GAUSS G9 4Вт теплый /10/</t>
  </si>
  <si>
    <t>30646</t>
  </si>
  <si>
    <t>Лампа светодиодная GAUSS G9 4Вт холодный /10/</t>
  </si>
  <si>
    <t>30370</t>
  </si>
  <si>
    <t>Лампа светодиодная GAUSS GU10 Elementary 9Вт теплый 3000К /10/</t>
  </si>
  <si>
    <t>30252</t>
  </si>
  <si>
    <t>Лампа светодиодная GAUSS А60 11Вт Е27 4100К 2шт</t>
  </si>
  <si>
    <t>30585</t>
  </si>
  <si>
    <t>Лампа светодиодная GAUSS свеча 9,5Вт Е27 3000К</t>
  </si>
  <si>
    <t>30137</t>
  </si>
  <si>
    <t>Лампа светодиодная GAUSS свеча Elementary 8Вт Е27 3000К /10/</t>
  </si>
  <si>
    <t>30141</t>
  </si>
  <si>
    <t>Лампа светодиодная GAUSS свеча Elementary 8Вт Е27 4100К /10/</t>
  </si>
  <si>
    <t>30192</t>
  </si>
  <si>
    <t>Лампа светодиодная GAUSS шарик 6,5Вт Е27 2700К</t>
  </si>
  <si>
    <t>30670</t>
  </si>
  <si>
    <t>Лампа светодиодная GAUSS шарик Elementary 10Вт Е27 3000К /10/</t>
  </si>
  <si>
    <t>30382</t>
  </si>
  <si>
    <t>Лампа светодиодная GAUSS шарик Elementary 6Вт Е27 3000К /10/</t>
  </si>
  <si>
    <t>30193</t>
  </si>
  <si>
    <t>Лампа светодиодная GAUSS шарик Elementary 8Вт Е14 3000К /10/</t>
  </si>
  <si>
    <t>30385</t>
  </si>
  <si>
    <t>Лампа светодиодная GAUSS шарик Elementary 8Вт Е14 4100К /10/</t>
  </si>
  <si>
    <t>307 Лампы светодиодные Прогресс</t>
  </si>
  <si>
    <t>30605</t>
  </si>
  <si>
    <t>Лампа светодиодная Прогресс LED GX53 10 Вт белый свет 4000 /10/100/</t>
  </si>
  <si>
    <t>30715</t>
  </si>
  <si>
    <t>Лампа светодиодная Прогресс LED GX53 12 Вт 4000К белый свет 4000 /10/100/</t>
  </si>
  <si>
    <t>30602</t>
  </si>
  <si>
    <t>Лампа светодиодная Прогресс LED GX53 8 Вт белый свет 4000 /10/100/</t>
  </si>
  <si>
    <t>30628</t>
  </si>
  <si>
    <t>Лампа светодиодная Прогресс LED R63 9 Вт Е27 белый свет /10/100/</t>
  </si>
  <si>
    <t>30744</t>
  </si>
  <si>
    <t>Лампа светодиодная Прогресс LED А60 11 Вт Е27 4000К белый свет /10/</t>
  </si>
  <si>
    <t>30675</t>
  </si>
  <si>
    <t>Лампа светодиодная Прогресс LED А60 11 Вт Е27 желтый свет 3000 /100/</t>
  </si>
  <si>
    <t>30738</t>
  </si>
  <si>
    <t>Лампа светодиодная Прогресс LED А60 11 Вт Е27 холодный свет 6500 /10/</t>
  </si>
  <si>
    <t>30733</t>
  </si>
  <si>
    <t>Лампа светодиодная Прогресс LED А60 15 Вт Е27 4000К белый свет /50/</t>
  </si>
  <si>
    <t>30634</t>
  </si>
  <si>
    <t>Лампа светодиодная Прогресс LED А60 15 Вт Е27 желтый свет /10/</t>
  </si>
  <si>
    <t>30702</t>
  </si>
  <si>
    <t>Лампа светодиодная Прогресс LED А60 20 Вт Е27 белый свет 4000К /10/100/</t>
  </si>
  <si>
    <t>30740</t>
  </si>
  <si>
    <t>Лампа светодиодная Прогресс LED А60 20 Вт Е27 желтый свет /100/</t>
  </si>
  <si>
    <t>30709</t>
  </si>
  <si>
    <t>Лампа светодиодная Прогресс LED А60 20 Вт Е27 холодный свет 6500 /10/100/</t>
  </si>
  <si>
    <t>30710</t>
  </si>
  <si>
    <t>Лампа светодиодная Прогресс LED А65 25 Вт Е27 белый свет 4000 /100/</t>
  </si>
  <si>
    <t>30725</t>
  </si>
  <si>
    <t>Лампа светодиодная Прогресс LED А65 25 Вт Е27 холодный свет 6500 /10/100/</t>
  </si>
  <si>
    <t>30712</t>
  </si>
  <si>
    <t>Лампа светодиодная Прогресс LED А70 30 Вт Е27 4000К белый свет /10/100/</t>
  </si>
  <si>
    <t>30624</t>
  </si>
  <si>
    <t>Лампа светодиодная Прогресс LED МR16 GU5.3 7 Вт 4000К белый свет /10/</t>
  </si>
  <si>
    <t>30751</t>
  </si>
  <si>
    <t>Лампа светодиодная Прогресс LED МR16 GU5.3 9 Вт 4000К белый свет /100/</t>
  </si>
  <si>
    <t>30632</t>
  </si>
  <si>
    <t>Лампа светодиодная Прогресс LED Свеча на ветру С37Т 5 Вт Е27 белый свет /100/</t>
  </si>
  <si>
    <t>30703</t>
  </si>
  <si>
    <t>Лампа светодиодная Прогресс LED Свеча на ветру С37Т 7 Вт Е14 белый свет /10/100/</t>
  </si>
  <si>
    <t>30704</t>
  </si>
  <si>
    <t>Лампа светодиодная Прогресс LED Свеча на ветру С37Т 7 Вт Е27 белый свет /10/100/</t>
  </si>
  <si>
    <t>30705</t>
  </si>
  <si>
    <t>Лампа светодиодная Прогресс LED Свеча на ветру С37Т 9 Вт Е14 белый свет /10/100/</t>
  </si>
  <si>
    <t>30706</t>
  </si>
  <si>
    <t>Лампа светодиодная Прогресс LED Свеча на ветру С37Т 9 Вт Е27 белый свет /10/100/</t>
  </si>
  <si>
    <t>30639</t>
  </si>
  <si>
    <t>Лампа светодиодная Прогресс LED Свеча С35F 5 Вт Е27 белый свет</t>
  </si>
  <si>
    <t>30707</t>
  </si>
  <si>
    <t>Лампа светодиодная Прогресс LED Свеча С37 11 Вт Е14 белый свет /10/100/</t>
  </si>
  <si>
    <t>30729</t>
  </si>
  <si>
    <t>Лампа светодиодная Прогресс LED Свеча С37 11 Вт Е14 холодный свет 6500 /10/100/</t>
  </si>
  <si>
    <t>30708</t>
  </si>
  <si>
    <t>Лампа светодиодная Прогресс LED Свеча С37 11 Вт Е27 белый свет /10/100/</t>
  </si>
  <si>
    <t>30730</t>
  </si>
  <si>
    <t>Лампа светодиодная Прогресс LED Свеча С37 11 Вт Е27 холодный свет 6500 /10/100/</t>
  </si>
  <si>
    <t>30668</t>
  </si>
  <si>
    <t>Лампа светодиодная Прогресс LED Свеча С37 7 Вт Е14 3000К желтый свет /10/100/</t>
  </si>
  <si>
    <t>30717</t>
  </si>
  <si>
    <t>Лампа светодиодная Прогресс LED Свеча С37 7 Вт Е14 белый свет 4000 /10/100/</t>
  </si>
  <si>
    <t>30647</t>
  </si>
  <si>
    <t>Лампа светодиодная Прогресс LED Свеча С37 7 Вт Е27 белый свет 4000 /10/100/</t>
  </si>
  <si>
    <t>30673</t>
  </si>
  <si>
    <t>Лампа светодиодная Прогресс LED Свеча С37 7 Вт Е27 желтый свет</t>
  </si>
  <si>
    <t>30654</t>
  </si>
  <si>
    <t>Лампа светодиодная Прогресс LED Свеча С37 9 Вт Е14 300К желтый свет /10/100/</t>
  </si>
  <si>
    <t>30663</t>
  </si>
  <si>
    <t>Лампа светодиодная Прогресс LED Свеча С37 9 Вт Е14 белый свет 4000К /10/100/</t>
  </si>
  <si>
    <t>30716</t>
  </si>
  <si>
    <t>Лампа светодиодная Прогресс LED Свеча С37 9 Вт Е14 холодный свет 6500К /10/100/</t>
  </si>
  <si>
    <t>30677</t>
  </si>
  <si>
    <t>Лампа светодиодная Прогресс LED Свеча С37 9 Вт Е27 белый свет 4000К /10/100/</t>
  </si>
  <si>
    <t>30622</t>
  </si>
  <si>
    <t>Лампа светодиодная Прогресс LED Свеча С37 9 Вт Е27 холодный свет К6500 /10/100/</t>
  </si>
  <si>
    <t>30701</t>
  </si>
  <si>
    <t>Лампа светодиодная Прогресс LED Шар Р45 11 Вт Е14 белый свет 4000 /10/100/</t>
  </si>
  <si>
    <t>30727</t>
  </si>
  <si>
    <t>Лампа светодиодная Прогресс LED Шар Р45 11 Вт Е14 холодный свет 6500 /10/100/</t>
  </si>
  <si>
    <t>30721</t>
  </si>
  <si>
    <t>Лампа светодиодная Прогресс LED Шар Р45 11 Вт Е27 белый свет 4000 /10/100</t>
  </si>
  <si>
    <t>30728</t>
  </si>
  <si>
    <t>Лампа светодиодная Прогресс LED Шар Р45 11 Вт Е27 холодный свет 6500 /10/100/</t>
  </si>
  <si>
    <t>30641</t>
  </si>
  <si>
    <t>Лампа светодиодная Прогресс LED Шар Р45 7 Вт Е14 белый свет 4000К /10/100/</t>
  </si>
  <si>
    <t>30621</t>
  </si>
  <si>
    <t>Лампа светодиодная Прогресс LED Шар Р45 7 Вт Е14 желтый свет /10/100/</t>
  </si>
  <si>
    <t>30642</t>
  </si>
  <si>
    <t>Лампа светодиодная Прогресс LED Шар Р45 7 Вт Е27 белый свет 4000К /10/100/</t>
  </si>
  <si>
    <t>30613</t>
  </si>
  <si>
    <t>Лампа светодиодная Прогресс LED Шар Р45 7 Вт Е27 желтый свет /10/100/</t>
  </si>
  <si>
    <t>30611</t>
  </si>
  <si>
    <t>Лампа светодиодная Прогресс LED Шар Р45 9 Вт Е14 белый свет /10/100/</t>
  </si>
  <si>
    <t>30606</t>
  </si>
  <si>
    <t>Лампа светодиодная Прогресс LED Шар Р45 9 Вт Е14 желтый свет /10/100/</t>
  </si>
  <si>
    <t>30696</t>
  </si>
  <si>
    <t>Лампа светодиодная Прогресс LED Шар Р45 9 Вт Е14 холодный свет 6500К /10/100/</t>
  </si>
  <si>
    <t>30601</t>
  </si>
  <si>
    <t>Лампа светодиодная Прогресс LED Шар Р45 9 Вт Е27 белый свет 4000К /10/100/</t>
  </si>
  <si>
    <t>30614</t>
  </si>
  <si>
    <t>Лампа светодиодная Прогресс LED Шар Р45 9 Вт Е27 желтый свет /10/100/</t>
  </si>
  <si>
    <t>30720</t>
  </si>
  <si>
    <t>Лампа светодиодная Прогресс LED Шар Р45 9 Вт Е27 холодный свет 6500К /10/100/</t>
  </si>
  <si>
    <t>308 Лампы светодиодные для офисных светильников</t>
  </si>
  <si>
    <t>30809</t>
  </si>
  <si>
    <t>Лампа светодиодная RSV G13 Т8 1200 мм 20 Вт 180-260 В матовая /30/</t>
  </si>
  <si>
    <t>30805</t>
  </si>
  <si>
    <t>Лампа светодиодная RSV G13 Т8 600 мм 10 Вт 180-260 В матовая /30/</t>
  </si>
  <si>
    <t>30812</t>
  </si>
  <si>
    <t>Лампа светодиодная ИЭК G13 Т8 600 мм 10 Вт 230 В ПРА eco /20/</t>
  </si>
  <si>
    <t>30804</t>
  </si>
  <si>
    <t>Лампа светодиодная Эра G13 Т8 1200 мм 20 Вт 865 холодный /25/</t>
  </si>
  <si>
    <t>32801</t>
  </si>
  <si>
    <t>Лампа светодиодная Эра G13 Т8 600 мм 10 Вт 840 R /25/</t>
  </si>
  <si>
    <t>30802</t>
  </si>
  <si>
    <t>Лампа светодиодная Эра G13 Т8 600 мм 10 Вт 865 eco /30/</t>
  </si>
  <si>
    <t>309-311 Элементы питания</t>
  </si>
  <si>
    <t>309 Элементы питания прочие</t>
  </si>
  <si>
    <t>31077</t>
  </si>
  <si>
    <t>Элемент Duracell 123А /10/</t>
  </si>
  <si>
    <t>31196</t>
  </si>
  <si>
    <t>Элемент Duracell 27A MN27 /10/</t>
  </si>
  <si>
    <t>31086</t>
  </si>
  <si>
    <t>Элемент Duracell CR2 /10/</t>
  </si>
  <si>
    <t>30917</t>
  </si>
  <si>
    <t>Элемент Energizer R14 2 шт /12/</t>
  </si>
  <si>
    <t>30916</t>
  </si>
  <si>
    <t>Элемент Energizer R20 2 шт /12/</t>
  </si>
  <si>
    <t>30741</t>
  </si>
  <si>
    <t>Элемент Forza LR06 4шт солевая 1,5В 917-010 /15/</t>
  </si>
  <si>
    <t>30992</t>
  </si>
  <si>
    <t>Элемент Forza R03 4шт солевая 1,5В 917-009 /15/</t>
  </si>
  <si>
    <t>30825</t>
  </si>
  <si>
    <t>Элемент GP 23A BL5шт /20/</t>
  </si>
  <si>
    <t>30989</t>
  </si>
  <si>
    <t>Элемент Kodak Extra Heavy Duty 6F22 Крона BL1 /10/</t>
  </si>
  <si>
    <t>30923</t>
  </si>
  <si>
    <t>Элемент Kodak Extra Heavy Duty R03 4шт /10/50/</t>
  </si>
  <si>
    <t>30954</t>
  </si>
  <si>
    <t>Элемент Kodak Extra Heavy Duty R06 4шт /6/</t>
  </si>
  <si>
    <t>30972</t>
  </si>
  <si>
    <t>Элемент Kodak Extra Heavy Duty R14 2шт /24/</t>
  </si>
  <si>
    <t>30993</t>
  </si>
  <si>
    <t>Элемент Kodak Extra Heavy Duty R20 BL2шт /12/</t>
  </si>
  <si>
    <t>30925</t>
  </si>
  <si>
    <t>Элемент Kodak XTRALIFE LR03 4шт /15/</t>
  </si>
  <si>
    <t>30928</t>
  </si>
  <si>
    <t>Элемент Kodak XTRALIFE LR06 4шт /15/</t>
  </si>
  <si>
    <t>30828</t>
  </si>
  <si>
    <t>Элемент Panasonic 3R12 Zinc Carbon 1 штука /12/48/</t>
  </si>
  <si>
    <t>30920</t>
  </si>
  <si>
    <t>Элемент Panasonic LR03 Alkaline power 4шт /12/</t>
  </si>
  <si>
    <t>30921</t>
  </si>
  <si>
    <t>Элемент Panasonic LR03 EVOLTA BL8шт</t>
  </si>
  <si>
    <t>30977</t>
  </si>
  <si>
    <t>Элемент Panasonic LR06 EVOLTA BL8шт /48/</t>
  </si>
  <si>
    <t>30985</t>
  </si>
  <si>
    <t>Элемент Panasonic LR14 Alkaline power BL2шт /12/</t>
  </si>
  <si>
    <t>30967</t>
  </si>
  <si>
    <t>Элемент Panasonic R20 Gen. Purpose BL2шт /12/</t>
  </si>
  <si>
    <t>30902</t>
  </si>
  <si>
    <t>Элемент Ермак ААА LR06 Alkaline щелочная 1 штука /10/</t>
  </si>
  <si>
    <t>30958</t>
  </si>
  <si>
    <t>Элемент Спутник LongLife 6F22/1S крона 1 штука /10/</t>
  </si>
  <si>
    <t>30924</t>
  </si>
  <si>
    <t>Элемент Спутник Premium Alkaline LR14/2B BL2шт /10/240/</t>
  </si>
  <si>
    <t>30950</t>
  </si>
  <si>
    <t>Элемент Спутник Premium Alkaline LR20/2B BL2шт /12/240/</t>
  </si>
  <si>
    <t>31095</t>
  </si>
  <si>
    <t>Элемент Спутник Premium Alkaline LR6/2B BL2шт /24/480/</t>
  </si>
  <si>
    <t>30933</t>
  </si>
  <si>
    <t>Элемент Спутник Premium Alkaline LR6/4B BL4шт /20/160/</t>
  </si>
  <si>
    <t>30938</t>
  </si>
  <si>
    <t>Элемент Спутник Premium Alkaline LR6/5B BL5шт /10/100/</t>
  </si>
  <si>
    <t>30956</t>
  </si>
  <si>
    <t>Элемент Убойная цена LR03 солевые 4шт пленка 925-051 /15/</t>
  </si>
  <si>
    <t>30966</t>
  </si>
  <si>
    <t>Элемент Убойная цена LR06 солевые 4шт пленка 925-050 /15/</t>
  </si>
  <si>
    <t>310 Аккумуляторы/элементы-таблетки</t>
  </si>
  <si>
    <t>31066</t>
  </si>
  <si>
    <t>Аккумулятор GP R06 130 AAHC BL2шт /10/</t>
  </si>
  <si>
    <t>31015</t>
  </si>
  <si>
    <t>Аккумулятор Космос R03 Ni-MN 1000 Mah BL2шт /12/</t>
  </si>
  <si>
    <t>31022</t>
  </si>
  <si>
    <t>Аккумулятор Космос R03 Ni-MN 900 Mah BL2шт /12/</t>
  </si>
  <si>
    <t>31024</t>
  </si>
  <si>
    <t>Аккумулятор Космос R06 Ni-MN 1900 Mah BL2шт /12/</t>
  </si>
  <si>
    <t>31087</t>
  </si>
  <si>
    <t>Аккумулятор Облик HR03 Ni-MN 1000mAh BL2 /12/</t>
  </si>
  <si>
    <t>31005</t>
  </si>
  <si>
    <t>Аккумулятор Облик HR03 Ni-MN 600mAh BL2 /12/</t>
  </si>
  <si>
    <t>31027</t>
  </si>
  <si>
    <t>Аккумулятор Облик HR06 Ni-MN 2000mAh BL2 /12/</t>
  </si>
  <si>
    <t>31034</t>
  </si>
  <si>
    <t>Аккумулятор Облик HR06 Ni-MN 600mAh BL2 /12/</t>
  </si>
  <si>
    <t>31016</t>
  </si>
  <si>
    <t>Аккумулятор Спутник R03 Ni-MN 1100 Mah 2шт /10/</t>
  </si>
  <si>
    <t>31017</t>
  </si>
  <si>
    <t>Аккумулятор Спутник R03 Ni-MN 800 Mah 2шт /10/</t>
  </si>
  <si>
    <t>31026</t>
  </si>
  <si>
    <t>Аккумулятор Спутник R06 Ni-MN 2500 Mah 2шт /10/</t>
  </si>
  <si>
    <t>31025</t>
  </si>
  <si>
    <t>Аккумулятор Спутник R06 Ni-MN 2900 Mah 2шт /10/</t>
  </si>
  <si>
    <t>31093</t>
  </si>
  <si>
    <t>Элемент Спутник Lithium Battery CR2016 5 шт /20/400/</t>
  </si>
  <si>
    <t>30937</t>
  </si>
  <si>
    <t>Элемент Спутник Lithium Battery CR2025 5 шт /20/400/</t>
  </si>
  <si>
    <t>31096</t>
  </si>
  <si>
    <t>Элемент Спутник Lithium Battery CR2032 5 шт /20/400/</t>
  </si>
  <si>
    <t>31002</t>
  </si>
  <si>
    <t>Элемент таблетка Energizer СR2025/20/</t>
  </si>
  <si>
    <t>31065</t>
  </si>
  <si>
    <t>Элемент таблетка Kodak CR2025 BL5шт /12/</t>
  </si>
  <si>
    <t>31053</t>
  </si>
  <si>
    <t>Элемент таблетка Kodak CR2032 BL5шт /12/</t>
  </si>
  <si>
    <t>31080</t>
  </si>
  <si>
    <t>Элемент таблетка Varta G04, SR626, 377A, SR626 /10/</t>
  </si>
  <si>
    <t>31043</t>
  </si>
  <si>
    <t>Элемент таблетка Облик 2025 литиевая Д20мм,h2,5мм,блистер 1 штука</t>
  </si>
  <si>
    <t>31071</t>
  </si>
  <si>
    <t>Элемент таблетка Облик CR2016 BL1шт /12/</t>
  </si>
  <si>
    <t>31072</t>
  </si>
  <si>
    <t>Элемент таблетка Облик CR2016 BL5шт</t>
  </si>
  <si>
    <t>31062</t>
  </si>
  <si>
    <t>Элемент таблетка Облик CR2025 BL5шт /20/</t>
  </si>
  <si>
    <t>30770</t>
  </si>
  <si>
    <t>Элемент таблетка Облик CR2032 BL1шт /12/</t>
  </si>
  <si>
    <t>31018</t>
  </si>
  <si>
    <t>Элемент таблетка Облик CR2032 BL5шт /20/</t>
  </si>
  <si>
    <t>31037</t>
  </si>
  <si>
    <t>Элемент таблетка Облик G04 LR66 377A BL10шт</t>
  </si>
  <si>
    <t>31030</t>
  </si>
  <si>
    <t>Элемент таблетка Облик G10 LR54 389A BL10шт</t>
  </si>
  <si>
    <t>311 Элементы питаня Космос/Облик/Varta</t>
  </si>
  <si>
    <t>31112</t>
  </si>
  <si>
    <t>Элемент Varta LONGLIFE Max Power LR03 BL4 /40/200/</t>
  </si>
  <si>
    <t>30845</t>
  </si>
  <si>
    <t>Элемент Космос 27A 5*BL /5/</t>
  </si>
  <si>
    <t>31100</t>
  </si>
  <si>
    <t>Элемент Космос CR 1620 1*BL</t>
  </si>
  <si>
    <t>31081</t>
  </si>
  <si>
    <t>Элемент Космос LR03 20шт в коробке</t>
  </si>
  <si>
    <t>31076</t>
  </si>
  <si>
    <t>Элемент Космос LR06 20шт в коробке</t>
  </si>
  <si>
    <t>31137</t>
  </si>
  <si>
    <t>Элемент Космос R20 2шт большая солевая в пленке /12/</t>
  </si>
  <si>
    <t>31141</t>
  </si>
  <si>
    <t>Элемент Облик 23A BL5шт блистер /10/</t>
  </si>
  <si>
    <t>30807</t>
  </si>
  <si>
    <t>Элемент Облик 27A BL5шт блистер /6/</t>
  </si>
  <si>
    <t>31154</t>
  </si>
  <si>
    <t>Элемент Облик 6F22 (Крона) 1 штука /12/</t>
  </si>
  <si>
    <t>31177</t>
  </si>
  <si>
    <t>Элемент Облик 6LR61 BL1шт (Крона) /12/</t>
  </si>
  <si>
    <t>31045</t>
  </si>
  <si>
    <t>Элемент Облик LR03 4шт</t>
  </si>
  <si>
    <t>31046</t>
  </si>
  <si>
    <t>Элемент Облик LR06 4шт</t>
  </si>
  <si>
    <t>30810</t>
  </si>
  <si>
    <t>Элемент Облик LR14 BL2шт</t>
  </si>
  <si>
    <t>31102</t>
  </si>
  <si>
    <t>Элемент Облик LR20 BL2шт /12/</t>
  </si>
  <si>
    <t>30815</t>
  </si>
  <si>
    <t>Элемент Облик R03 4шт /15/</t>
  </si>
  <si>
    <t>30847</t>
  </si>
  <si>
    <t>Элемент Облик R06 4шт /15/</t>
  </si>
  <si>
    <t>31142</t>
  </si>
  <si>
    <t>Элемент Облик R20 2шт /6/</t>
  </si>
  <si>
    <t>312-326 Светильники и комплектующие</t>
  </si>
  <si>
    <t>312 Светильники точечные</t>
  </si>
  <si>
    <t>31362</t>
  </si>
  <si>
    <t>Светильник точечн.Vito -634 .R80 Е27 синий</t>
  </si>
  <si>
    <t>31363</t>
  </si>
  <si>
    <t>Светильник точечн.Vito -635 .R80 Е27 розовый</t>
  </si>
  <si>
    <t>31364</t>
  </si>
  <si>
    <t>Светильник точечн.Vito -636 .R80 Е27 зеленый</t>
  </si>
  <si>
    <t>31232</t>
  </si>
  <si>
    <t>Светильник точечн.Vito-175 G4 голубой</t>
  </si>
  <si>
    <t>31234</t>
  </si>
  <si>
    <t>Светильник точечн.Vito-175 G4 зеленый</t>
  </si>
  <si>
    <t>31238</t>
  </si>
  <si>
    <t>Светильник точечн.Vito-175 G4 розовый</t>
  </si>
  <si>
    <t>31252</t>
  </si>
  <si>
    <t>Светильник точечн.Vito-190 G4 серый</t>
  </si>
  <si>
    <t>31293</t>
  </si>
  <si>
    <t>Светильник точечн.Vito-425 MR16 серебро</t>
  </si>
  <si>
    <t>31294</t>
  </si>
  <si>
    <t>Светильник точечн.Vito-432 MR16 золото</t>
  </si>
  <si>
    <t>31295</t>
  </si>
  <si>
    <t>Светильник точечн.Vito-432 MR16 серебро</t>
  </si>
  <si>
    <t>31371</t>
  </si>
  <si>
    <t>Светильник точечн.Vito-9221 G4 золото</t>
  </si>
  <si>
    <t>31372</t>
  </si>
  <si>
    <t>Светильник точечн.Vito-9221 G4 серебро</t>
  </si>
  <si>
    <t>31212</t>
  </si>
  <si>
    <t>Светильник точечн.голубой (со стеклянным кольцом)  1784 MR16 гол</t>
  </si>
  <si>
    <t>13888</t>
  </si>
  <si>
    <t>Светильник точечн.звездн/небо FT9242 бел G4</t>
  </si>
  <si>
    <t>31221</t>
  </si>
  <si>
    <t>Светильник точечн.кв.пов.МR16 2770  зол.поворт</t>
  </si>
  <si>
    <t>31281</t>
  </si>
  <si>
    <t>Светильник точечн.непов.штамп. R39/Е14 белый</t>
  </si>
  <si>
    <t>31208</t>
  </si>
  <si>
    <t>Светильник точечн.непов.штамп. R39/Е14 золото</t>
  </si>
  <si>
    <t>31220</t>
  </si>
  <si>
    <t>Светильник точечн.непов.штамп. R39/Е14 хром</t>
  </si>
  <si>
    <t>31801</t>
  </si>
  <si>
    <t>Светильник точечн.непов.штамп. НВБ 01-40-005 R39 бел</t>
  </si>
  <si>
    <t>31275</t>
  </si>
  <si>
    <t>Светильник точечн.непов.штамп.FT 9238 (1713) R50/E14 белый</t>
  </si>
  <si>
    <t>31265</t>
  </si>
  <si>
    <t>Светильник точечн.непов.штамп.FT 9238 (1713) R50/E14 золот</t>
  </si>
  <si>
    <t>31201</t>
  </si>
  <si>
    <t>Светильник точечн.непов.штамп.FT 9238 (1714) R63/E27 хром</t>
  </si>
  <si>
    <t>31253</t>
  </si>
  <si>
    <t>Светильник точечн.непов.штамп.FT 9238 (1715) R80/E27 бел</t>
  </si>
  <si>
    <t>31255</t>
  </si>
  <si>
    <t>Светильник точечн.непов.штамп.FT 9238 (1715) R80/E27 зол.</t>
  </si>
  <si>
    <t>31207</t>
  </si>
  <si>
    <t>Светильник точечн.непов.штамп.FT 9238 (1715) R80/E27 титан</t>
  </si>
  <si>
    <t>31268</t>
  </si>
  <si>
    <t>Светильник точечн.непов.штамп.FT 9238 (1715) R80/E27 хром</t>
  </si>
  <si>
    <t>14331</t>
  </si>
  <si>
    <t>Светильник точечн.пов.R50 бел</t>
  </si>
  <si>
    <t>31089</t>
  </si>
  <si>
    <t>Светильник точечн.подсв.вит.стел.МR16 1436 зол.</t>
  </si>
  <si>
    <t>31274</t>
  </si>
  <si>
    <t>Светильник точечн.с вкрап.хрус.повR39 AL1014хр/тит</t>
  </si>
  <si>
    <t>31280</t>
  </si>
  <si>
    <t>Светильник точечн.с вкрап.хрус.повR50 AL2014м.з/з</t>
  </si>
  <si>
    <t>31227</t>
  </si>
  <si>
    <t>Светильник точечн.С.Н.16172 DQ R50 E14 сатин.золото+хром</t>
  </si>
  <si>
    <t>31216</t>
  </si>
  <si>
    <t>Светильник точечн.стекл.1788 R63 Е27 бел. /10/</t>
  </si>
  <si>
    <t>31834</t>
  </si>
  <si>
    <t>Светильник точечн.стекл.1788 R63 Е27 зол. /10/</t>
  </si>
  <si>
    <t>313 Светильники на прищепке</t>
  </si>
  <si>
    <t>31315</t>
  </si>
  <si>
    <t>Светильник на прищепке Forza 14 LED пит. USB белый 476-359 /4/</t>
  </si>
  <si>
    <t>31302</t>
  </si>
  <si>
    <t>Светильник на прищепке Ultraflash UF-320Р белый /40/</t>
  </si>
  <si>
    <t>31303</t>
  </si>
  <si>
    <t>Светильник на прищепке Ultraflash UF-320Р синий /40/</t>
  </si>
  <si>
    <t>31310</t>
  </si>
  <si>
    <t>Светильник на прищепке Ultraflash UF-320Р черный /40/</t>
  </si>
  <si>
    <t>31317</t>
  </si>
  <si>
    <t>Светильник на прищепке Vito VT-106 Е27 красный /30/</t>
  </si>
  <si>
    <t>31846</t>
  </si>
  <si>
    <t>Светильник на прищепке пластик,металл Е27 220V гнущаяся ножка 10см 417-031 /2/30/</t>
  </si>
  <si>
    <t>31318</t>
  </si>
  <si>
    <t>Светильник на прищепке Эра N-212-E27 40W BK черный /50/</t>
  </si>
  <si>
    <t>31324</t>
  </si>
  <si>
    <t>Светильник на прищепке Эра N-212-E27 40W BU синий</t>
  </si>
  <si>
    <t>31329</t>
  </si>
  <si>
    <t>Светильник на прищепке Эра N-212-E27 40W R красный /20/</t>
  </si>
  <si>
    <t>31330</t>
  </si>
  <si>
    <t>Светильник на прищепке Эра N-212-E27 40W W белый</t>
  </si>
  <si>
    <t>31316</t>
  </si>
  <si>
    <t>Светильник настольн. на прищепке LED 6531 4Вт /80/</t>
  </si>
  <si>
    <t>31338</t>
  </si>
  <si>
    <t>Фонарь на прищепке 1Wt 3*1,5 V ААА8525 оранж./серый</t>
  </si>
  <si>
    <t>314 Светильники настольные</t>
  </si>
  <si>
    <t>31413</t>
  </si>
  <si>
    <t>Светильник настольн. 40W, 220V, E14, 27 см керамика текстиль 2 цв. 476-355 /18/</t>
  </si>
  <si>
    <t>31470</t>
  </si>
  <si>
    <t>Светильник настольн. 40W,220V,E14, 27,5 см керамика текстиль. 3 цв. 417-104 /20/</t>
  </si>
  <si>
    <t>31469</t>
  </si>
  <si>
    <t>Светильник настольн. 40W,220V,E27, 28 см с выключ. 5 цв. 417-032 /2/20/</t>
  </si>
  <si>
    <t>31450</t>
  </si>
  <si>
    <t>Светильник настольн. LED 5700 2Вт 12 ламп с подставкой /120/</t>
  </si>
  <si>
    <t>31451</t>
  </si>
  <si>
    <t>Светильник настольн. LED 6503 5Вт 16 ламп /144/</t>
  </si>
  <si>
    <t>31452</t>
  </si>
  <si>
    <t>Светильник настольн. LED 802 3Вт /120/</t>
  </si>
  <si>
    <t>31440</t>
  </si>
  <si>
    <t>Светильник настольн. зарядка от USB с аккумулятором и проводом 7032 /80/</t>
  </si>
  <si>
    <t>31441</t>
  </si>
  <si>
    <t>Светильник настольн. зарядка от USB с аккумулятором и проводом голубой VVL /120/</t>
  </si>
  <si>
    <t>31408</t>
  </si>
  <si>
    <t>Светильник настольн.Спутник DL 309 красный /20/</t>
  </si>
  <si>
    <t>31437</t>
  </si>
  <si>
    <t>Светильник настольн.Эра N-211-E27 40W BK черный</t>
  </si>
  <si>
    <t>31464</t>
  </si>
  <si>
    <t>Светильник настольн.Эра N-211-E27 40W BU синий /20/</t>
  </si>
  <si>
    <t>31438</t>
  </si>
  <si>
    <t>Светильник настольн.Эра N-211-E27 40W R красный /30/</t>
  </si>
  <si>
    <t>31439</t>
  </si>
  <si>
    <t>Светильник настольн.Эра N-211-E27 40W W белый</t>
  </si>
  <si>
    <t>31004</t>
  </si>
  <si>
    <t>Светильник настольн.Эра NE-303-E14-1 5QW GY на подставке серый</t>
  </si>
  <si>
    <t>316 Светильники прочие</t>
  </si>
  <si>
    <t>31533</t>
  </si>
  <si>
    <t>Светильник люмин.2004A 12W с переходником с лампой T4/G5  TL</t>
  </si>
  <si>
    <t>31608</t>
  </si>
  <si>
    <t>Светильник пересной 12В 30LED с крюком и магнитным держателем 591-30А 771-006 /20/</t>
  </si>
  <si>
    <t>31600</t>
  </si>
  <si>
    <t>Светильник пересной 12В 60LED с крюком и магнитным держателем 591-60А 771-004 /20/</t>
  </si>
  <si>
    <t>31622</t>
  </si>
  <si>
    <t>Светильник пересной 60Вт 10м 669-212</t>
  </si>
  <si>
    <t>31640</t>
  </si>
  <si>
    <t>Светильник пересной 60Вт 12м РВО-42 с решеткой</t>
  </si>
  <si>
    <t>31623</t>
  </si>
  <si>
    <t>Светильник пересной 60Вт 15м 669-213 /30/</t>
  </si>
  <si>
    <t>31612</t>
  </si>
  <si>
    <t>Светильник пересной 60Вт 20м 669-214</t>
  </si>
  <si>
    <t>31639</t>
  </si>
  <si>
    <t>Светильник пересной 60Вт 20м РВО-42 с решеткой</t>
  </si>
  <si>
    <t>31627</t>
  </si>
  <si>
    <t>Светильник пересной 60Вт 5м 624-035</t>
  </si>
  <si>
    <t>31621</t>
  </si>
  <si>
    <t>Светильник пересной 60Вт 8м 669-215</t>
  </si>
  <si>
    <t>31617</t>
  </si>
  <si>
    <t>Светильник пересной галоген. квадратный 02.39.406 771-035 /32/</t>
  </si>
  <si>
    <t>31624</t>
  </si>
  <si>
    <t>Светильник подвесной сад-парк. Е27 Ардатов (колокол)</t>
  </si>
  <si>
    <t>31607</t>
  </si>
  <si>
    <t>Светильник потолочный встраиваемый Спутник GX53 H2 хром /10/</t>
  </si>
  <si>
    <t>31620</t>
  </si>
  <si>
    <t>Светильник светодиодный в шкаф 0,2 Вт магнитный 417-071</t>
  </si>
  <si>
    <t>31629</t>
  </si>
  <si>
    <t>Светильник светодиодный в шкаф 3 *ААА 10*8 см пластик 417-074 /6/240/</t>
  </si>
  <si>
    <t>317 Светильники садово-парковые</t>
  </si>
  <si>
    <t>31817</t>
  </si>
  <si>
    <t>Основание к рассеивателю D200-250</t>
  </si>
  <si>
    <t>31752</t>
  </si>
  <si>
    <t>Светильник настенный сад-парк. Астер Е27 IP43 Д200 янтарный</t>
  </si>
  <si>
    <t>31775</t>
  </si>
  <si>
    <t>Светильник сад.-парк.на столб ВББ 4603W 60W бел.</t>
  </si>
  <si>
    <t>31734</t>
  </si>
  <si>
    <t>Светильник сад.-парк.на столб КвБЧ 4403В 100W чер.</t>
  </si>
  <si>
    <t>31739</t>
  </si>
  <si>
    <t>Светильник сад.-парк.на столб ШББ 4303W 100W белый</t>
  </si>
  <si>
    <t>31737</t>
  </si>
  <si>
    <t>Светильник сад.-парк.на столб ШМБ 4103W 60W белый</t>
  </si>
  <si>
    <t>31806</t>
  </si>
  <si>
    <t>Светильник сад.-парк.на столб ШМЧЗ 4103 BG 60W</t>
  </si>
  <si>
    <t>31709</t>
  </si>
  <si>
    <t>Светильник сад.-парк.наст.вверх ВБЧ 4601В 60W чер.</t>
  </si>
  <si>
    <t>31726</t>
  </si>
  <si>
    <t>Светильник сад.-парк.наст.вниз ШББ 4302W 100W белый</t>
  </si>
  <si>
    <t>31779</t>
  </si>
  <si>
    <t>Светильник сад.-парк.установочный ВББ 4604W 60W бел.</t>
  </si>
  <si>
    <t>31771</t>
  </si>
  <si>
    <t>Светильник сад.-парк.установочный ВБЧ 4604В 60W чер.</t>
  </si>
  <si>
    <t>31750</t>
  </si>
  <si>
    <t>Светильник сад.-парк.установочный ВБЧЗ 4604ВG  60W черно-золот.</t>
  </si>
  <si>
    <t>31818</t>
  </si>
  <si>
    <t>Светильник сад.-парк.установочный КвББ 4404W 100W бел.</t>
  </si>
  <si>
    <t>31794</t>
  </si>
  <si>
    <t>Светильник сад.-парк.установочный КвБЧ 4404B 100W черный</t>
  </si>
  <si>
    <t>31711</t>
  </si>
  <si>
    <t>Светильник сад.-парк.установочный КвМБ 4204W 60W бел.</t>
  </si>
  <si>
    <t>31732</t>
  </si>
  <si>
    <t>Светильник сад.-парк.установочный ШББ 4304W 100W белый</t>
  </si>
  <si>
    <t>31733</t>
  </si>
  <si>
    <t>Светильник сад.-парк.установочный ШБЧ 4304В 100W черный</t>
  </si>
  <si>
    <t>31780</t>
  </si>
  <si>
    <t>Светильник сад.-парк.установочный ШБЧЗ 4304BG 100W черно-золотой</t>
  </si>
  <si>
    <t>31730</t>
  </si>
  <si>
    <t>Светильник сад.-парк.установочный ШМБ 4104W 60W белый</t>
  </si>
  <si>
    <t>31745</t>
  </si>
  <si>
    <t>Светильник сад.-парк.установочный ШМЧЗ 4104 BG 60W</t>
  </si>
  <si>
    <t>31763</t>
  </si>
  <si>
    <t>Стойка металлическая к светильнику (труба  h60 d60 2мм толщиной ) под сад.парк. светильники</t>
  </si>
  <si>
    <t>31756</t>
  </si>
  <si>
    <t>Стойка металлическая к светильнику (труба h120 d60 2мм толщиной ) под сад.парк. светильники</t>
  </si>
  <si>
    <t>31767</t>
  </si>
  <si>
    <t>Стойка металлическая к светильнику (труба h180 d60 2мм толщиной ) под сад.парк. светильники</t>
  </si>
  <si>
    <t>31757</t>
  </si>
  <si>
    <t>Стойка металлическая к светильнику (труба h90 d60 2мм толщиной ) под сад.парк. светильники</t>
  </si>
  <si>
    <t>318 Светильники ночники</t>
  </si>
  <si>
    <t>31856</t>
  </si>
  <si>
    <t>Светильник светод.Свеча Космос пл.в пл.стак/.раб.от CR2032 2шт LT-19</t>
  </si>
  <si>
    <t>31850</t>
  </si>
  <si>
    <t>Светильник светод.Свеча Космос пласт.,белая.на батарейкеR2032  бл.2шт.</t>
  </si>
  <si>
    <t>31855</t>
  </si>
  <si>
    <t>Светильник светод.Свеча Космос пласт.в стекл.стакане.раб.от CR203 LN-0</t>
  </si>
  <si>
    <t>31853</t>
  </si>
  <si>
    <t>Светильник Свеча Космос электр.воск от 3*AAA батар, задувается WC-026</t>
  </si>
  <si>
    <t>31871</t>
  </si>
  <si>
    <t>Светильник-ночник LED3 Капля в розетку с выкл.многоцв.пластик 5*9*6,5 см 0,5 Вт 417-019 /10/</t>
  </si>
  <si>
    <t>31866</t>
  </si>
  <si>
    <t>Светильник-ночник LED4 Месяц со звездой в розетку с выкл.многоцв.плас 5,5*8,5*6 см 0,5 Вт /10/240/</t>
  </si>
  <si>
    <t>31878</t>
  </si>
  <si>
    <t>Светильник-ночник LED4 с выкл. пластик 920-014 /5/</t>
  </si>
  <si>
    <t>31812</t>
  </si>
  <si>
    <t>Светильник-ночник в розетку с датчиком света подсветка стены пластик металл 417-129 /5/120/</t>
  </si>
  <si>
    <t>31898</t>
  </si>
  <si>
    <t>Светильник-ночник светод.в розетку с датчиком осв. 4 цв 417-044 /10/240/</t>
  </si>
  <si>
    <t>31837</t>
  </si>
  <si>
    <t>Светильник-ночник фарфоров. Сердечко 220Вт50Гц7Вт WN-002-01</t>
  </si>
  <si>
    <t>31843</t>
  </si>
  <si>
    <t>Светильник-ночник фарфоров. Фразенда 220Вт7ВтЕ14 DK-004-01</t>
  </si>
  <si>
    <t>319 Светильники вспышка</t>
  </si>
  <si>
    <t>31901</t>
  </si>
  <si>
    <t>Светильник -вспышка (стробы) белая 220V</t>
  </si>
  <si>
    <t>31902</t>
  </si>
  <si>
    <t>Светильник -вспышка (стробы) зеленый 220V</t>
  </si>
  <si>
    <t>31903</t>
  </si>
  <si>
    <t>Светильник -вспышка (стробы) красная 220V</t>
  </si>
  <si>
    <t>320 Светильники светодиодные/панели</t>
  </si>
  <si>
    <t>32026</t>
  </si>
  <si>
    <t>Светильник светод. Прогресс 600*75*25 18 Вт белый свет 4000 /30/</t>
  </si>
  <si>
    <t>32003</t>
  </si>
  <si>
    <t>Светильник светод. Прогресс FIX 12 Вт 6500К круглый /50/</t>
  </si>
  <si>
    <t>32004</t>
  </si>
  <si>
    <t>Светильник светод. Прогресс FIX 15 Вт 6500К круглый /50/</t>
  </si>
  <si>
    <t>32000</t>
  </si>
  <si>
    <t>Светильник светод. Прогресс FIX 8 Вт 6500К круглый /50/</t>
  </si>
  <si>
    <t>32002</t>
  </si>
  <si>
    <t>Светильник светод. Прогресс FIX 8 Вт 6500К овальный /100/</t>
  </si>
  <si>
    <t>32001</t>
  </si>
  <si>
    <t>Светильник светод. Спутник SP-532-0-65К-0018 IP20 600 18Вт 6500К призма</t>
  </si>
  <si>
    <t>32005</t>
  </si>
  <si>
    <t>Светильник светод. Спутник пылевлагозащ. SP-GK IP65 12Вт 6500К круг</t>
  </si>
  <si>
    <t>32006</t>
  </si>
  <si>
    <t>Светильник светод. Спутник пылевлагозащ. SP-GK IP65 8Вт 6500К круг</t>
  </si>
  <si>
    <t>32009</t>
  </si>
  <si>
    <t>Светильник светод. Спутник пылевлагозащ. SP-GKS IP65 12Вт 6500К круг сенсор</t>
  </si>
  <si>
    <t>32012</t>
  </si>
  <si>
    <t>Светильник светод. Спутник пылевлагозащ. SP-GKS IP65 18Вт 6500К круг сенсор</t>
  </si>
  <si>
    <t>32044</t>
  </si>
  <si>
    <t>Светильник светод. ЭРА SPO-532-0-40К-036 IP20 1200 36Вт 4000К призма</t>
  </si>
  <si>
    <t>321 Основания для светильников</t>
  </si>
  <si>
    <t>32102</t>
  </si>
  <si>
    <t>Основание пластм. Москва НББ 64-60-110 прямое</t>
  </si>
  <si>
    <t>322 Рассеиватели к светильникам</t>
  </si>
  <si>
    <t>32206</t>
  </si>
  <si>
    <t>Рассеиватель-стекло D170 "Белый грибок"</t>
  </si>
  <si>
    <t>31116</t>
  </si>
  <si>
    <t>Рассеиватель-стекло D6"Белый шар"/12/</t>
  </si>
  <si>
    <t>32215</t>
  </si>
  <si>
    <t>Рассеиватель-стекло к НСП "Шар--Зигзаг"/12/</t>
  </si>
  <si>
    <t>32222</t>
  </si>
  <si>
    <t>Рассеиватель-стекло рифленая таб.М3458 д180</t>
  </si>
  <si>
    <t>31242</t>
  </si>
  <si>
    <t>Рассеиватель-стекло рифленая таб.М3753 д180</t>
  </si>
  <si>
    <t>32213</t>
  </si>
  <si>
    <t>Рассеиватель-стекло рифленая таб.М3789 д180</t>
  </si>
  <si>
    <t>31130</t>
  </si>
  <si>
    <t>Светильник риф. квадрат 202х202  д180 М3459</t>
  </si>
  <si>
    <t>31237</t>
  </si>
  <si>
    <t>Светильник рифленая сфера.Б3862 д180</t>
  </si>
  <si>
    <t>323 Прожекторы</t>
  </si>
  <si>
    <t>32370</t>
  </si>
  <si>
    <t>Датчик движения в патрон Е27 инфракрасный 60 ВТ до 6 м</t>
  </si>
  <si>
    <t>32356</t>
  </si>
  <si>
    <t>Датчик движения черный Vito VT-275 6110010</t>
  </si>
  <si>
    <t>32315</t>
  </si>
  <si>
    <t>Прожектор галоген. белый с датчиком движения 150W</t>
  </si>
  <si>
    <t>32316</t>
  </si>
  <si>
    <t>Прожектор светодиод. Прогресс  LED 100W ЭКО 6500К /30/</t>
  </si>
  <si>
    <t>32310</t>
  </si>
  <si>
    <t>Прожектор светодиод. Прогресс  LED 10W ЭКО 6500К /50/</t>
  </si>
  <si>
    <t>32385</t>
  </si>
  <si>
    <t>Прожектор светодиод. Прогресс  LED 20W 6500К /50/</t>
  </si>
  <si>
    <t>32311</t>
  </si>
  <si>
    <t>Прожектор светодиод. Прогресс  LED 20W ЭКО 6500К /50/</t>
  </si>
  <si>
    <t>32313</t>
  </si>
  <si>
    <t>Прожектор светодиод. Прогресс  LED 50W ЭКО 6500К /50/</t>
  </si>
  <si>
    <t>32314</t>
  </si>
  <si>
    <t>Прожектор светодиод. Прогресс  LED 70W ЭКО 6500К /50/</t>
  </si>
  <si>
    <t>32300</t>
  </si>
  <si>
    <t>Прожектор светодиод. Спутник SP-PR IP65 10W 6500К</t>
  </si>
  <si>
    <t>32306</t>
  </si>
  <si>
    <t>Прожектор светодиод. Эра LED 50W 360 I на солн бат</t>
  </si>
  <si>
    <t>32318</t>
  </si>
  <si>
    <t>Фотореле 8А 220В IP44 белый Люкс-2Б</t>
  </si>
  <si>
    <t>32317</t>
  </si>
  <si>
    <t>Фотореле 8А 220В IP44 серый Люкс-2</t>
  </si>
  <si>
    <t>324 Фонари садово-парковые на солнечных батареях</t>
  </si>
  <si>
    <t>32413</t>
  </si>
  <si>
    <t>Фонарь садовый на солнечных батареях Космос SOL202 винтаж пласт</t>
  </si>
  <si>
    <t>31729</t>
  </si>
  <si>
    <t>Фонарь садовый на солнечных батареях Космос SOL305 птичка</t>
  </si>
  <si>
    <t>31786</t>
  </si>
  <si>
    <t>Фонарь садовый на солнечных батареях Космос SOL353 узор хол свет</t>
  </si>
  <si>
    <t>325 Светильники настольные светодтодные</t>
  </si>
  <si>
    <t>32500</t>
  </si>
  <si>
    <t>Светильник настольн. Forza 14 LED пит. USB белый 476-358 /4/</t>
  </si>
  <si>
    <t>31008</t>
  </si>
  <si>
    <t>Светильник настольн. светодиодный Спутник DL 327 желтый</t>
  </si>
  <si>
    <t>330-349 Электроприборы</t>
  </si>
  <si>
    <t>333 Зажигалки для газовых плит</t>
  </si>
  <si>
    <t>33347</t>
  </si>
  <si>
    <t>Зажигалка для газовых плит 149*30*15 см 442-036 /300/</t>
  </si>
  <si>
    <t>33321</t>
  </si>
  <si>
    <t>Зажигалка кремниевая бл. 442-005 /6/</t>
  </si>
  <si>
    <t>33322</t>
  </si>
  <si>
    <t>Зажигалка кремниевая эргоном. ручка 23 см бл. 442-006 /6/</t>
  </si>
  <si>
    <t>33301</t>
  </si>
  <si>
    <t>Зажигалка пьезо для газ.плит Wisen + газ HANDY GAS 34512 442-039 /3/</t>
  </si>
  <si>
    <t>33300</t>
  </si>
  <si>
    <t>Зажигалка пьезо для газ.плит Wisen TURBO HC3, 34500 442-038 /3/</t>
  </si>
  <si>
    <t>33317</t>
  </si>
  <si>
    <t>Зажигалка пьезо для газ.плит бл. 442-004 /6/</t>
  </si>
  <si>
    <t>33307</t>
  </si>
  <si>
    <t>Зажигалка пьезо для газ.плит бл. 442-012 /6/</t>
  </si>
  <si>
    <t>33336</t>
  </si>
  <si>
    <t>Зажигалка пьезо для газ.плит бл.26 см 3 цв.442-028 /6/</t>
  </si>
  <si>
    <t>33304</t>
  </si>
  <si>
    <t>Зажигалка пьезо для газ.плит бл.АА 442-003 /6/</t>
  </si>
  <si>
    <t>33312</t>
  </si>
  <si>
    <t>Зажигалка пьезо для газ.плит бл.АА 442-009 /6/</t>
  </si>
  <si>
    <t>33314</t>
  </si>
  <si>
    <t>Зажигалка пьезо для газ.плит бл.АА 442-011 /4/</t>
  </si>
  <si>
    <t>33339</t>
  </si>
  <si>
    <t>Зажигалка пьезо для газ.плит бл.АА 442-031 /2/</t>
  </si>
  <si>
    <t>33345</t>
  </si>
  <si>
    <t>Зажигалка пьезо для газ.плит бл.АА 442-033 /2/</t>
  </si>
  <si>
    <t>33318</t>
  </si>
  <si>
    <t>Зажигалка пьезо для газ.плит бл.АА с индик 3 цв 442-024 /5/</t>
  </si>
  <si>
    <t>33338</t>
  </si>
  <si>
    <t>Зажигалка эл. для газ.плит ЭЗ-02 ШВВП2*1,5 1,2м</t>
  </si>
  <si>
    <t>33324</t>
  </si>
  <si>
    <t>Зажигалка эл. для газ.плит ЭЗБ-1 Чистиполь</t>
  </si>
  <si>
    <t>334 Звонки</t>
  </si>
  <si>
    <t>33431</t>
  </si>
  <si>
    <t>Выключатель звонка 0,4А 250В бел</t>
  </si>
  <si>
    <t>33412</t>
  </si>
  <si>
    <t>Выключатель звонка Витебск пластик 1A-04-001 220 В /10/300/</t>
  </si>
  <si>
    <t>33453</t>
  </si>
  <si>
    <t>Звонок Blanca проводной бел.ОП 8мА 250В</t>
  </si>
  <si>
    <t>33490</t>
  </si>
  <si>
    <t>Звонок Forza беспроводной 32 мелодии 924-062 /5/60/</t>
  </si>
  <si>
    <t>33414</t>
  </si>
  <si>
    <t>Звонок Homestar электронный 32 мелодии беспроводной радиус действия 100 м HS-0107WP /60/</t>
  </si>
  <si>
    <t>33439</t>
  </si>
  <si>
    <t>Звонок Zamel электронный 16 мелод. белый DNS-912</t>
  </si>
  <si>
    <t>33436</t>
  </si>
  <si>
    <t>Звонок Zamel электронный гонг 8 тон. белый DNS-209</t>
  </si>
  <si>
    <t>33401</t>
  </si>
  <si>
    <t>Звонок Zamel электронный двухтон. бежевый DNS-911</t>
  </si>
  <si>
    <t>33402</t>
  </si>
  <si>
    <t>Звонок Zamel электронный двухтон. серый DNS-911</t>
  </si>
  <si>
    <t>33440</t>
  </si>
  <si>
    <t>Звонок Zamel электронный трель белый DNS-972</t>
  </si>
  <si>
    <t>33481</t>
  </si>
  <si>
    <t>Звонок беспроводной 32 мелодии с водонепроницаемой кнопкой 924-054 /5/60/</t>
  </si>
  <si>
    <t>33497</t>
  </si>
  <si>
    <t>Звонок ЗББ-Н-11/5-32М народный беспр. бат. 32 мелодий TDM SQ1901-0110</t>
  </si>
  <si>
    <t>33496</t>
  </si>
  <si>
    <t>Звонок ЗББ-Н-11/6-32М народный беспр. бат. 32 мелодий TDM SQ1901-0111</t>
  </si>
  <si>
    <t>33493</t>
  </si>
  <si>
    <t>Звонок ЗББ-Н-12/1-32М беспр. бат. блистер. 32 мелодий TDM SQ1901-0103</t>
  </si>
  <si>
    <t>33483</t>
  </si>
  <si>
    <t>Звонок ЗПБ-11/1-25М пров. бат. 25 мелодий TDM SQ1901-0014</t>
  </si>
  <si>
    <t>33430</t>
  </si>
  <si>
    <t>Звонок Колибри беспроводной 32 мелодии 150 м2ААА* 1,5В 2 кнопки</t>
  </si>
  <si>
    <t>33454</t>
  </si>
  <si>
    <t>Звонок Комфорт беспроводной 32 мелодии 100 м 2ААА* 1,5В</t>
  </si>
  <si>
    <t>33423</t>
  </si>
  <si>
    <t>Звонок Космос беспроводной AG306A</t>
  </si>
  <si>
    <t>33424</t>
  </si>
  <si>
    <t>Звонок Космос беспроводной AG510B</t>
  </si>
  <si>
    <t>33413</t>
  </si>
  <si>
    <t>Звонок Полонез беспроводной 32 мелодии 150 м 2АА* 1,5В</t>
  </si>
  <si>
    <t>33498</t>
  </si>
  <si>
    <t>Звонок электронный 2-х тон. МВ 220В</t>
  </si>
  <si>
    <t>33438</t>
  </si>
  <si>
    <t>Звонок электронный 8 мелодий ЭВ 220В</t>
  </si>
  <si>
    <t>33406</t>
  </si>
  <si>
    <t>Звонок электронный Гонг ЭВ 220В</t>
  </si>
  <si>
    <t>33499</t>
  </si>
  <si>
    <t>Звонок электронный Чистон-М1 ЭВ 220В</t>
  </si>
  <si>
    <t>33489</t>
  </si>
  <si>
    <t>Звонок Эра беспроводной С140 2кн.</t>
  </si>
  <si>
    <t>335 Кипятильники</t>
  </si>
  <si>
    <t>33500</t>
  </si>
  <si>
    <t>Кипятильник 0,5 кВт 909-006 /10/</t>
  </si>
  <si>
    <t>33518</t>
  </si>
  <si>
    <t>Кипятильник 1,0 кВт 909-007 /5/100/</t>
  </si>
  <si>
    <t>33510</t>
  </si>
  <si>
    <t>Кипятильник 1,0 кВт мет+пласт 056572 /160/</t>
  </si>
  <si>
    <t>33529</t>
  </si>
  <si>
    <t>Кипятильник 1,0 кВт ЭК-1 230В TDM</t>
  </si>
  <si>
    <t>33519</t>
  </si>
  <si>
    <t>Кипятильник 1,2 кВт 909-008 /5/100/</t>
  </si>
  <si>
    <t>33517</t>
  </si>
  <si>
    <t>Кипятильник 1,5 кВт 909-009 /10/</t>
  </si>
  <si>
    <t>33514</t>
  </si>
  <si>
    <t>Кипятильник 1,5 кВт электр. нерж.сталь /120/</t>
  </si>
  <si>
    <t>33515</t>
  </si>
  <si>
    <t>Кипятильник 2,5 кВт 909-004 /10/</t>
  </si>
  <si>
    <t>33506</t>
  </si>
  <si>
    <t>Кипятильник Homestar 2 кВт НВ-020 /20/</t>
  </si>
  <si>
    <t>33505</t>
  </si>
  <si>
    <t>Кипятильник Матрена 2 кВт МА-252 /50/</t>
  </si>
  <si>
    <t>33531</t>
  </si>
  <si>
    <t>Кипятильник ЭПТ-0,32 кВт 150627</t>
  </si>
  <si>
    <t>33530</t>
  </si>
  <si>
    <t>Кипятильник ЭПТ-0,63 кВт 150609</t>
  </si>
  <si>
    <t>33502</t>
  </si>
  <si>
    <t>Кипятильник ЭПТ-0,63/220 Великие Луки /50/</t>
  </si>
  <si>
    <t>33504</t>
  </si>
  <si>
    <t>Кипятильник ЭПТ-0,7кВт/220 Курск /48/</t>
  </si>
  <si>
    <t>336 Паяльники</t>
  </si>
  <si>
    <t>33604</t>
  </si>
  <si>
    <t>Паяльник 100 Вт/220В деревянная ручка /913155</t>
  </si>
  <si>
    <t>33649</t>
  </si>
  <si>
    <t>Паяльник 40 Вт/220В Falco 600-В 40 929-004 /2/60/</t>
  </si>
  <si>
    <t>33611</t>
  </si>
  <si>
    <t>Паяльник 40 Вт/220В деревянная ручка /913135</t>
  </si>
  <si>
    <t>33646</t>
  </si>
  <si>
    <t>Паяльник 60 Вт/220В Рокот 600-В 60 929-005 /10/</t>
  </si>
  <si>
    <t>33645</t>
  </si>
  <si>
    <t>Паяльник 80 Вт/220В Рокот 600-В 80 929-006 /2/48/</t>
  </si>
  <si>
    <t>33642</t>
  </si>
  <si>
    <t>Паяльник USB 8Вт 5В 2А нагрев до 480гр. 242-002</t>
  </si>
  <si>
    <t>33600</t>
  </si>
  <si>
    <t>Паяльник электрический ЭПСН-03-100/220, деревянная ручка, ТермоЛюкс /10/</t>
  </si>
  <si>
    <t>33601</t>
  </si>
  <si>
    <t>Паяльник электрический ЭПСН-03-40/220, деревянная ручка, ТермоЛюкс /10/</t>
  </si>
  <si>
    <t>33653</t>
  </si>
  <si>
    <t>Паяльник электрический ЭПСН-03-65/220, деревянная ручка, Россия // Сибртех/91308</t>
  </si>
  <si>
    <t>33602</t>
  </si>
  <si>
    <t>Паяльник электрический ЭПСН-03-65/220, деревянная ручка, ТермоЛюкс /10/</t>
  </si>
  <si>
    <t>33652</t>
  </si>
  <si>
    <t>Паяльник электрический ЭПСН-03-80/220, деревянная ручка, Россия // Сибртех/91310</t>
  </si>
  <si>
    <t>33659</t>
  </si>
  <si>
    <t>Паяльник электрический ЭПСН-25/220, деревянная ручка, ТермоЛюкс /10/</t>
  </si>
  <si>
    <t>33660</t>
  </si>
  <si>
    <t>Паяльнный набор 100 Вт 5 предметов ТермоЛюкс /24/</t>
  </si>
  <si>
    <t>33624</t>
  </si>
  <si>
    <t>Паяльнный набор 40 Вт 5 предметов ТермоЛюкс /24/</t>
  </si>
  <si>
    <t>33622</t>
  </si>
  <si>
    <t>Паяльнный набор 60 Вт 8 предметов 1013 929-002 /30/</t>
  </si>
  <si>
    <t>33662</t>
  </si>
  <si>
    <t>Паяльнный набор 65 Вт 5 предметов ТермоЛюкс /24/</t>
  </si>
  <si>
    <t>33663</t>
  </si>
  <si>
    <t>Паяльнный набор 80 Вт 5 предметов ТермоЛюкс /24/</t>
  </si>
  <si>
    <t>337 Сетевые фильтры</t>
  </si>
  <si>
    <t>33769</t>
  </si>
  <si>
    <t>Сетевой фильтр Радист PBC16-005 10А 5*10,0 м ПВС 3*0,75 с кнопкой</t>
  </si>
  <si>
    <t>33718</t>
  </si>
  <si>
    <t>Сетевой фильтр Радист PBC16-005 10А 5*2,0 м ПВС 3*1,0 с кнопкой</t>
  </si>
  <si>
    <t>33763</t>
  </si>
  <si>
    <t>Сетевой фильтр Радист PBC16-005 10А 5*7,0 м ПВС 3*1,0 с кнопкой</t>
  </si>
  <si>
    <t>33767</t>
  </si>
  <si>
    <t>Сетевой фильтр Радист PBC16-005 черный 10А 5*7,0 м ПВС 3*1,5 с кнопкой</t>
  </si>
  <si>
    <t>33757</t>
  </si>
  <si>
    <t>Сетевой фильтр Радист эксперт PBC16-004 10А 4*10 м ПВС 3*1,0</t>
  </si>
  <si>
    <t>33744</t>
  </si>
  <si>
    <t>Сетевой фильтр Радист эксперт PBC16-004 10А 4*3,0 м ПВС 3*1,0</t>
  </si>
  <si>
    <t>33739</t>
  </si>
  <si>
    <t>Сетевой фильтр Радист эксперт PBC16-006 6А 6*1,5 м ПВС 3*0,75 с кнопкой и подсв.</t>
  </si>
  <si>
    <t>33717</t>
  </si>
  <si>
    <t>Сетевой фильтр Спутник 5*1,8м ПВС*1,5 белый SP-518</t>
  </si>
  <si>
    <t>33705</t>
  </si>
  <si>
    <t>Сетевой фильтр Спутник 5*4,5м ПВС*1,5 серый SP-545</t>
  </si>
  <si>
    <t>33716</t>
  </si>
  <si>
    <t>Сетевой фильтр Спутник 6*4,5м ПВС*1,5 черный SP-645</t>
  </si>
  <si>
    <t>339 Телефонные комплекты</t>
  </si>
  <si>
    <t>33915</t>
  </si>
  <si>
    <t>Радио розетка АРО-001</t>
  </si>
  <si>
    <t>33914</t>
  </si>
  <si>
    <t>Телефон.разветвител  2 гнезда джек</t>
  </si>
  <si>
    <t>33328</t>
  </si>
  <si>
    <t>Телефонная разветвитель гнездо-2гнезда Пересвет</t>
  </si>
  <si>
    <t>12275</t>
  </si>
  <si>
    <t>Телефонный удлинитель 5м</t>
  </si>
  <si>
    <t>33912</t>
  </si>
  <si>
    <t>Телефонный удлинитель евро 2м</t>
  </si>
  <si>
    <t>33905</t>
  </si>
  <si>
    <t>Телефонный удлинитель евро20м</t>
  </si>
  <si>
    <t>340 Конфорки/Комплектующие</t>
  </si>
  <si>
    <t>34013</t>
  </si>
  <si>
    <t>Конфорка для эл.плит Екатеринб. ЭКЧ-145 1,0Кв 220Вт Евроколодка с ободк. /8/</t>
  </si>
  <si>
    <t>34017</t>
  </si>
  <si>
    <t>Конфорка для эл.плит Екатеринб. ЭКЧ-145 1,5Кв 220Вт Евроколодка с ободк. /8/</t>
  </si>
  <si>
    <t>34023</t>
  </si>
  <si>
    <t>Конфорка для эл.плит Екатеринб. ЭКЧ-180 1,5Кв 220Вт Евроколодка с ободк. /4/</t>
  </si>
  <si>
    <t>34024</t>
  </si>
  <si>
    <t>Конфорка для эл.плит Екатеринб. ЭКЧ-180 2,0Кв 220Вт Евроколодка с ободк. /4/</t>
  </si>
  <si>
    <t>34032</t>
  </si>
  <si>
    <t>Конфорка для эл.плит Екатеринб. ЭКЧ-220 2,0Кв 220Вт Евроколодка /8/</t>
  </si>
  <si>
    <t>34025</t>
  </si>
  <si>
    <t>Конфорка для эл.плит Екатеринб. ЭКЧ-220 2,0Кв 220Вт Евроколодка с ободк.</t>
  </si>
  <si>
    <t>34623</t>
  </si>
  <si>
    <t>Конфорка для эл.плит Киров ЭКЧ-145 1,0Кв 220Вт /8/</t>
  </si>
  <si>
    <t>34004</t>
  </si>
  <si>
    <t>Конфорка для эл.плит Киров ЭКЧ-145 1,0Кв 220Вт с кольцом /8/</t>
  </si>
  <si>
    <t>34008</t>
  </si>
  <si>
    <t>Конфорка для эл.плит Киров ЭКЧ-145 1,5Кв 220Вт /8/</t>
  </si>
  <si>
    <t>34005</t>
  </si>
  <si>
    <t>Конфорка для эл.плит Киров ЭКЧ-145 1,5Кв 220Вт с кольцом /8/</t>
  </si>
  <si>
    <t>34601</t>
  </si>
  <si>
    <t>Конфорка для эл.плит Киров ЭКЧ-180 1,2Кв 220Вт /8/</t>
  </si>
  <si>
    <t>34661</t>
  </si>
  <si>
    <t>Конфорка для эл.плит Киров ЭКЧ-180 1,2Кв 220Вт с кольцом /8/</t>
  </si>
  <si>
    <t>34626</t>
  </si>
  <si>
    <t>Конфорка для эл.плит Киров ЭКЧ-180 1,5Кв 220Вт /8/</t>
  </si>
  <si>
    <t>34002</t>
  </si>
  <si>
    <t>Конфорка для эл.плит Киров ЭКЧ-180 1,5Кв 220Вт с кольцом /8/</t>
  </si>
  <si>
    <t>34033</t>
  </si>
  <si>
    <t>Конфорка для эл.плит Киров ЭКЧ-180 2,0Кв 220Вт /8/</t>
  </si>
  <si>
    <t>34691</t>
  </si>
  <si>
    <t>Конфорка для эл.плит Киров ЭКЧ-180 2,0Кв 220Вт с кольцом /8/</t>
  </si>
  <si>
    <t>34066</t>
  </si>
  <si>
    <t>Конфорка для эл.плит Киров ЭКЧ-220 2,0Кв 220Вт /8/</t>
  </si>
  <si>
    <t>34692</t>
  </si>
  <si>
    <t>Конфорка для эл.плит Киров ЭКЧ-220 2,0Кв 220Вт с кольцом /8/</t>
  </si>
  <si>
    <t>34000</t>
  </si>
  <si>
    <t>Конфорка для эл.плит Китай ЭКЧ-145 1,0Кв 220Вт с ободком /8/</t>
  </si>
  <si>
    <t>34001</t>
  </si>
  <si>
    <t>Конфорка для эл.плит Китай ЭКЧ-180 1,5Кв 220Вт с ободком /8/</t>
  </si>
  <si>
    <t>34011</t>
  </si>
  <si>
    <t>Конфорка для эл.плит Китай ЭКЧ-220 2,0Кв 220Вт с ободком /8/</t>
  </si>
  <si>
    <t>34007</t>
  </si>
  <si>
    <t>Конфорка для эл.плит Китай ЭКЧЭ-145 1,5Кв 220Вт с ободком /8/</t>
  </si>
  <si>
    <t>34003</t>
  </si>
  <si>
    <t>Конфорка для эл.плит Китай ЭКЧЭ-180 2,0Кв 220Вт с ободком /8/</t>
  </si>
  <si>
    <t>34009</t>
  </si>
  <si>
    <t>Конфорка для эл.плит на китайскую электроплиту Д155мм с кольцом</t>
  </si>
  <si>
    <t>34051</t>
  </si>
  <si>
    <t>Конфорка для эл.плит Россиянка спираль</t>
  </si>
  <si>
    <t>34674</t>
  </si>
  <si>
    <t>Конфорка для эл.плит СЗТМ ЭКЧ-220-2,0/220</t>
  </si>
  <si>
    <t>34662</t>
  </si>
  <si>
    <t>Конфорка для эл.плит спираль 1800 Вт МВ-121 (042507)</t>
  </si>
  <si>
    <t>34682</t>
  </si>
  <si>
    <t>Переключатель конфорки 46.27266.500 Нина Галя Слобода Горение Веко Ханса</t>
  </si>
  <si>
    <t>34612</t>
  </si>
  <si>
    <t>Переключатель конфорки для эл.плит Лысьва Электра (длинный)</t>
  </si>
  <si>
    <t>34642</t>
  </si>
  <si>
    <t>Переключатель конфорки для эл.плит Мечта ПМ-5 старого образца</t>
  </si>
  <si>
    <t>34658</t>
  </si>
  <si>
    <t>Переключатель конфорки для эл.плит Электра</t>
  </si>
  <si>
    <t>341 Теплоприборы</t>
  </si>
  <si>
    <t>34127</t>
  </si>
  <si>
    <t>Инфракрасный обогреватель MTX IQH-800, 800В, 230B /96448</t>
  </si>
  <si>
    <t>34178</t>
  </si>
  <si>
    <t>Конвектор эл. LUXELL HC-2947 2.5кВт  /6/</t>
  </si>
  <si>
    <t>34171</t>
  </si>
  <si>
    <t>Тепловая пушка ENGY HI-5000R х/в 25/2,5/5 кВт 388 м3/час, 380В</t>
  </si>
  <si>
    <t>34101</t>
  </si>
  <si>
    <t>Тепловая пушка Ермак 0,03/1,5/3 кВт кер.нагр. 3 реж.698-009</t>
  </si>
  <si>
    <t>34190</t>
  </si>
  <si>
    <t>Тепловая пушка РЕСАНТА ТЭП-5000К</t>
  </si>
  <si>
    <t>34156</t>
  </si>
  <si>
    <t>Тепловентилятор DENZEL FHD-5000, 5кВт, 2 режима, 380В/50Гц /96409</t>
  </si>
  <si>
    <t>34110</t>
  </si>
  <si>
    <t>Тепловентилятор ENGY EN-508 спираль 2,0 кВт бело-серый /8/</t>
  </si>
  <si>
    <t>34111</t>
  </si>
  <si>
    <t>Тепловентилятор ENGY EN-510 спираль 2,0 кВт белый</t>
  </si>
  <si>
    <t>34107</t>
  </si>
  <si>
    <t>Тепловентилятор ENGY EN-532 спираль 2,0 кВт белый /12/</t>
  </si>
  <si>
    <t>34108</t>
  </si>
  <si>
    <t>Тепловентилятор ENGY EN-533 спираль 2,0 кВт белый /6/</t>
  </si>
  <si>
    <t>34159</t>
  </si>
  <si>
    <t>Тепловентилятор ENGY РТС-311Т (керамич.)</t>
  </si>
  <si>
    <t>34105</t>
  </si>
  <si>
    <t>Тепловентилятор ENGY РТС-321 керамич. 1,5 кВт белый /6/</t>
  </si>
  <si>
    <t>34106</t>
  </si>
  <si>
    <t>Тепловентилятор ENGY РТС-321 керамич. 1,5 кВт красный /6/</t>
  </si>
  <si>
    <t>34104</t>
  </si>
  <si>
    <t>Тепловентилятор IRIT IR-6007 2кВт 2 режима мощности</t>
  </si>
  <si>
    <t>34100</t>
  </si>
  <si>
    <t>Тепловентилятор IRIT IR-6008 2кВт 2 режима мощности</t>
  </si>
  <si>
    <t>34160</t>
  </si>
  <si>
    <t>Тепловентилятор MTX спиральный FHS-2000, 3реж, нагрев 1000/2000Вт /96413</t>
  </si>
  <si>
    <t>34166</t>
  </si>
  <si>
    <t>Тепловентилятор Ермак ТВ-2000 2кВт, 2 режима, 220В/50Гц термост. защита от перегр. инд. 698-002 /8/</t>
  </si>
  <si>
    <t>34140</t>
  </si>
  <si>
    <t>Электрогрелка Инкор 40 Вт 30*40 см 2 режима темп. хлопок 78013</t>
  </si>
  <si>
    <t>342 ТЭНы</t>
  </si>
  <si>
    <t>34287</t>
  </si>
  <si>
    <t>ТЭН водонагревателя  4,0кВт</t>
  </si>
  <si>
    <t>34208</t>
  </si>
  <si>
    <t>ТЭН для плиты Мечта 145-1,0кВт /6/</t>
  </si>
  <si>
    <t>34220</t>
  </si>
  <si>
    <t>ТЭН для плиты Россиянка 1,0кВт 220В трубчатый /5/</t>
  </si>
  <si>
    <t>34265</t>
  </si>
  <si>
    <t>ТЭН с терморегулятором 1,2кВт Аристон /50/</t>
  </si>
  <si>
    <t>34266</t>
  </si>
  <si>
    <t>ТЭН с терморегулятором 1,5кВт Аристон /50/</t>
  </si>
  <si>
    <t>34210</t>
  </si>
  <si>
    <t>ТЭН с терморегулятором 2,0кВт Аристон /50/</t>
  </si>
  <si>
    <t>34211</t>
  </si>
  <si>
    <t>ТЭН с терморегулятором 2,5кВт Аристон /50/</t>
  </si>
  <si>
    <t>34212</t>
  </si>
  <si>
    <t>ТЭН с терморегулятором 3,0кВт Аристон /50/</t>
  </si>
  <si>
    <t>34213</t>
  </si>
  <si>
    <t>ТЭН с терморегулятором 3,5кВт Аристон /50/</t>
  </si>
  <si>
    <t>34214</t>
  </si>
  <si>
    <t>ТЭН с терморегулятором 4,0кВт Аристон /50/</t>
  </si>
  <si>
    <t>343 Удлинители Радист препиум /силовые</t>
  </si>
  <si>
    <t>34374</t>
  </si>
  <si>
    <t>Удлинитель Радист премиум з/к Р16-002 10А 2*3 м ПВС 3*0,75</t>
  </si>
  <si>
    <t>34378</t>
  </si>
  <si>
    <t>Удлинитель Радист премиум з/к Р16-002 10А 2*7 м ПВС 3*0,75</t>
  </si>
  <si>
    <t>34369</t>
  </si>
  <si>
    <t>Удлинитель Радист премиум з/к Р16-011 10А 2*1,5 м ПВС 3*1</t>
  </si>
  <si>
    <t>34371</t>
  </si>
  <si>
    <t>Удлинитель Радист премиум з/к Р16-011 10А 2*10,0 м ПВС 3*1</t>
  </si>
  <si>
    <t>34370</t>
  </si>
  <si>
    <t>Удлинитель Радист премиум з/к Р16-011 10А 2*2 м ПВС 3*1</t>
  </si>
  <si>
    <t>34362</t>
  </si>
  <si>
    <t>Удлинитель Радист премиум з/к Р16-011 10А 2*3 м ПВС 3*1</t>
  </si>
  <si>
    <t>34472</t>
  </si>
  <si>
    <t>Удлинитель Радист премиум з/к Р16-011 10А 2*7 м ПВС 3*1</t>
  </si>
  <si>
    <t>34300</t>
  </si>
  <si>
    <t>Удлинитель Радист премиум з/к Р16-011 6А 2*1,5 м ПВС 3*0,75</t>
  </si>
  <si>
    <t>34355</t>
  </si>
  <si>
    <t>Удлинитель Радист премиум з/к Р16-011 6А 2*2 м ПВС 3*0,75</t>
  </si>
  <si>
    <t>34337</t>
  </si>
  <si>
    <t>Удлинитель Радист премиум з/к Р16-011 6А 2*3 м ПВС 3*0,75</t>
  </si>
  <si>
    <t>34366</t>
  </si>
  <si>
    <t>Удлинитель Радист премиум з/к Р16-011 6А 2*5 м ПВС 3*0,75</t>
  </si>
  <si>
    <t>34356</t>
  </si>
  <si>
    <t>Удлинитель Радист премиум з/к Р16-011 6А 2*7 м ПВС 3*0,75</t>
  </si>
  <si>
    <t>34372</t>
  </si>
  <si>
    <t>Удлинитель Радист премиум з/к Р16-012 10А 3*2 м ПВС 3*1</t>
  </si>
  <si>
    <t>34360</t>
  </si>
  <si>
    <t>Удлинитель Радист премиум з/к Р16-012 10А 3*5 м ПВС 3*1</t>
  </si>
  <si>
    <t>34491</t>
  </si>
  <si>
    <t>Удлинитель Радист премиум з/к Р16-012 10А 3*7 м ПВС 3*1</t>
  </si>
  <si>
    <t>34344</t>
  </si>
  <si>
    <t>Удлинитель Радист премиум з/к Р16-012 16А 3*2 м ПВС 3*1,5</t>
  </si>
  <si>
    <t>34361</t>
  </si>
  <si>
    <t>Удлинитель Радист премиум з/к Р16-012 16А 3*4 м ПВС 3*1,5</t>
  </si>
  <si>
    <t>34393</t>
  </si>
  <si>
    <t>Удлинитель Радист премиум з/к Р16-027 10А 4*3,0 м ПВС 3*1</t>
  </si>
  <si>
    <t>34394</t>
  </si>
  <si>
    <t>Удлинитель Радист премиум з/к Р16-027 10А 4*5,0 м ПВС 3*1</t>
  </si>
  <si>
    <t>34301</t>
  </si>
  <si>
    <t>Удлинитель Радист премиум з/к Р16-027 черный 10А 4*1,5 м ПВС 3*1</t>
  </si>
  <si>
    <t>34310</t>
  </si>
  <si>
    <t>Удлинитель Радист премиум з/к Р16-027 черный 10А 4*2,0 м ПВС 3*1</t>
  </si>
  <si>
    <t>34316</t>
  </si>
  <si>
    <t>Удлинитель Радист премиум з/к Р16-027 черный 10А 4*3,0 м ПВС 3*1</t>
  </si>
  <si>
    <t>34302</t>
  </si>
  <si>
    <t>Удлинитель Радист премиум с кнопкой з/к Р16-012 10А 3*1,5 м ПВС 3*1</t>
  </si>
  <si>
    <t>34351</t>
  </si>
  <si>
    <t>Удлинитель Радист премиум с кнопкой з/к Р16-012 10А 3*2 м ПВС 3*1</t>
  </si>
  <si>
    <t>34305</t>
  </si>
  <si>
    <t>Удлинитель Радист премиум с кнопкой з/к Р16-012 10А 3*3 м ПВС 3*1</t>
  </si>
  <si>
    <t>34334</t>
  </si>
  <si>
    <t>Удлинитель Радист премиум с кнопкой з/к Р16-012 10А 3*4 м ПВС 3*1</t>
  </si>
  <si>
    <t>34359</t>
  </si>
  <si>
    <t>Удлинитель Радист премиум с кнопкой з/к Р16-012 10А 3*5 м ПВС 3*1</t>
  </si>
  <si>
    <t>34419</t>
  </si>
  <si>
    <t>Удлинитель Радист премиум с кнопкой з/к Р16-012 10А 3*7 м ПВС 3*1</t>
  </si>
  <si>
    <t>34339</t>
  </si>
  <si>
    <t>Удлинитель Радист премиум с кнопкой з/к Р16-012 16А 3*3 м ПВС 3*1,5</t>
  </si>
  <si>
    <t>34340</t>
  </si>
  <si>
    <t>Удлинитель Радист премиум с кнопкой з/к Р16-012 16А 3*5 м ПВС 3*1,5</t>
  </si>
  <si>
    <t>34342</t>
  </si>
  <si>
    <t>Удлинитель Радист премиум с кнопкой з/к Р16-012 16А 3*7 м ПВС 3*1,5</t>
  </si>
  <si>
    <t>34424</t>
  </si>
  <si>
    <t>Удлинитель Радист РБК16 катушка 10А КГ 2*1 4*20 м</t>
  </si>
  <si>
    <t>34324</t>
  </si>
  <si>
    <t>Удлинитель Радист РБК16-250-006 катушка 16А 4*30 м ПВС 2*1,5</t>
  </si>
  <si>
    <t>34398</t>
  </si>
  <si>
    <t>Удлинитель Радист РБК16-270-002 катушка 10А 1*20 м ПВС 3*0,75</t>
  </si>
  <si>
    <t>34341</t>
  </si>
  <si>
    <t>Удлинитель Радист РБК16-270-002 катушка 10А 1*30 м ПВС 3*1</t>
  </si>
  <si>
    <t>344 Удлинители Радист,стандарт/эконом</t>
  </si>
  <si>
    <t>34403</t>
  </si>
  <si>
    <t>Удлинитель Радист стандарт Р16-009 10А 4*1,5 м ПВС 2*1,00</t>
  </si>
  <si>
    <t>34486</t>
  </si>
  <si>
    <t>Удлинитель Радист стандарт Р16-009 10А 4*3 м ПВС 2*1,00</t>
  </si>
  <si>
    <t>34430</t>
  </si>
  <si>
    <t>Удлинитель Радист стандарт Р16-009 10А 4*5 м ПВС 2*1,00</t>
  </si>
  <si>
    <t>34459</t>
  </si>
  <si>
    <t>Удлинитель Радист стандарт Р16-009 10А 4*7 м ПВС 2*1,00</t>
  </si>
  <si>
    <t>34435</t>
  </si>
  <si>
    <t>Удлинитель Радист стандарт Р16-009 6А 4*1,5 м ПВС 2*0,75</t>
  </si>
  <si>
    <t>34468</t>
  </si>
  <si>
    <t>Удлинитель Радист стандарт Р16-009 6А 4*5 м ПВС 2*0,75</t>
  </si>
  <si>
    <t>34466</t>
  </si>
  <si>
    <t>Удлинитель Радист стандарт Р16-010 10А 3*10 м ПВС 2*1</t>
  </si>
  <si>
    <t>34413</t>
  </si>
  <si>
    <t>Удлинитель Радист стандарт Р16-010 10А 3*2,2 м ПВС 2*1</t>
  </si>
  <si>
    <t>34406</t>
  </si>
  <si>
    <t>Удлинитель Радист стандарт Р16-010 10А 3*3 м ПВС 2*1</t>
  </si>
  <si>
    <t>34460</t>
  </si>
  <si>
    <t>Удлинитель Радист стандарт Р16-010 6А 3*1,5 м ПВС 2*0,75</t>
  </si>
  <si>
    <t>34480</t>
  </si>
  <si>
    <t>Удлинитель Радист стандарт Р16-010 6А 3*1,8 м ПВС 2*0,75</t>
  </si>
  <si>
    <t>34446</t>
  </si>
  <si>
    <t>Удлинитель Радист стандарт Р16-010 6А 3*2 м ПВС 2*0,75</t>
  </si>
  <si>
    <t>34417</t>
  </si>
  <si>
    <t>Удлинитель Радист стандарт Р16-010 6А 3*3 м ПВС 2*0,75</t>
  </si>
  <si>
    <t>34409</t>
  </si>
  <si>
    <t>Удлинитель Радист стандарт Р16-010 6А 3*5 м ПВС 2*0,75</t>
  </si>
  <si>
    <t>34532</t>
  </si>
  <si>
    <t>Удлинитель Радист стандарт Р16-010 6А 3*5 м ПВС 2*0,75 черн</t>
  </si>
  <si>
    <t>34433</t>
  </si>
  <si>
    <t>Удлинитель Радист стандарт Р16-010 6А 3*7 м ПВС 2*0,75</t>
  </si>
  <si>
    <t>34405</t>
  </si>
  <si>
    <t>Удлинитель Радист стандарт с кнопкой Р16-012 6А 3*1,5 м б/з ПВС 2*0,75</t>
  </si>
  <si>
    <t>34496</t>
  </si>
  <si>
    <t>Удлинитель Радист стандарт с кнопкой Р16-012 6А 3*2,2 м б/з ПВС 2*0,75</t>
  </si>
  <si>
    <t>34492</t>
  </si>
  <si>
    <t>Удлинитель Радист стандарт с кнопкой Р16-012 6А 3*3 м б/з ПВС 2*0,75</t>
  </si>
  <si>
    <t>34404</t>
  </si>
  <si>
    <t>Удлинитель Радист стандарт с кнопкой Р16-012 6А 3*5 м б/з ПВС 2*0,75</t>
  </si>
  <si>
    <t>34444</t>
  </si>
  <si>
    <t>Удлинитель Радист эконом Р16-008 (рулетка) 6А 3* 3 м ШВВП 2*0,75</t>
  </si>
  <si>
    <t>34582</t>
  </si>
  <si>
    <t>Удлинитель Радист эконом Р16-009 6А 4*1,5 м ШВВП 2*0,75</t>
  </si>
  <si>
    <t>34464</t>
  </si>
  <si>
    <t>Удлинитель Радист эконом Р16-009 6А 4*2,0 м ШВВП 2*0,75</t>
  </si>
  <si>
    <t>34426</t>
  </si>
  <si>
    <t>Удлинитель Радист эконом Р16-009 6А 4*3 м ШВВП 2*0,75</t>
  </si>
  <si>
    <t>34418</t>
  </si>
  <si>
    <t>Удлинитель Радист эконом Р16-009 6А 4*5 м ШВВП 2*0,75</t>
  </si>
  <si>
    <t>34422</t>
  </si>
  <si>
    <t>Удлинитель Радист эконом Р16-009 6А 4*7 м ШВВП 2*0,75</t>
  </si>
  <si>
    <t>34428</t>
  </si>
  <si>
    <t>Удлинитель Радист эконом Р16-010 6А 3*1,5 м ШВВП 2*0,75</t>
  </si>
  <si>
    <t>34427</t>
  </si>
  <si>
    <t>Удлинитель Радист эконом Р16-010 6А 3*2 м ШВВП 2*0,75</t>
  </si>
  <si>
    <t>34410</t>
  </si>
  <si>
    <t>Удлинитель Радист эконом Р16-010 6А 3*5м ШВВП 2*0,75</t>
  </si>
  <si>
    <t>34528</t>
  </si>
  <si>
    <t>Удлинитель Радист эконом Р16-010 6А 3*7 м ШВВП 2*0,75</t>
  </si>
  <si>
    <t>345 Электроплиты</t>
  </si>
  <si>
    <t>34507</t>
  </si>
  <si>
    <t>Плита эл. Atlanta ATH-1737 2000Вт 2 конф спираль белая /4/</t>
  </si>
  <si>
    <t>34503</t>
  </si>
  <si>
    <t>Плита эл. Atlanta ATH-1739 2000Вт 2 конф диск белая /4/</t>
  </si>
  <si>
    <t>34579</t>
  </si>
  <si>
    <t>Плита эл. Atlanta ATH-1740 2500Вт 2 конф диск белая /6/</t>
  </si>
  <si>
    <t>34527</t>
  </si>
  <si>
    <t>Плита эл. Atlanta ATH-1757 2000Вт индукция /6/</t>
  </si>
  <si>
    <t>34523</t>
  </si>
  <si>
    <t>Плита эл. Atlanta ATH-1758 2000Вт индукция /6/</t>
  </si>
  <si>
    <t>34526</t>
  </si>
  <si>
    <t>Плита эл. Atlanta ATH-1759 2000Вт индукция /6/</t>
  </si>
  <si>
    <t>34529</t>
  </si>
  <si>
    <t>Плита эл. Atlanta ATH-1760 2000Вт индукция /6/</t>
  </si>
  <si>
    <t>34597</t>
  </si>
  <si>
    <t>Плита эл. Galaxy GL-3004 2000Вт 2 конф спираль белая /6/</t>
  </si>
  <si>
    <t>34598</t>
  </si>
  <si>
    <t>Плита эл. Galaxy GL-3053 индукция 2000Вт /8/</t>
  </si>
  <si>
    <t>34599</t>
  </si>
  <si>
    <t>Плита эл. Galaxy GL-3054 индукция 2000Вт /8/</t>
  </si>
  <si>
    <t>34583</t>
  </si>
  <si>
    <t>Плита эл. GL-110 1000Вт 1 конф спираль /12/</t>
  </si>
  <si>
    <t>34577</t>
  </si>
  <si>
    <t>Плита эл. Homestar HS-1102 1000Вт 1 конф диск чугун серая /10/</t>
  </si>
  <si>
    <t>34540</t>
  </si>
  <si>
    <t>Плита эл. Homestar HS-1103 1000Вт 1 конф спираль сапфир 008750 /10/</t>
  </si>
  <si>
    <t>34578</t>
  </si>
  <si>
    <t>Плита эл. Homestar HS-1103 1000Вт 1 конф спираль серая /10/</t>
  </si>
  <si>
    <t>34551</t>
  </si>
  <si>
    <t>Плита эл. Homestar HS-1104 2000Вт 2 конф диск чугун сапфир /5/</t>
  </si>
  <si>
    <t>34564</t>
  </si>
  <si>
    <t>Плита эл. Homestar HS-1104 2000Вт 2 конф диск чугун серая /5/</t>
  </si>
  <si>
    <t>34566</t>
  </si>
  <si>
    <t>Плита эл. Homestar HS-1105 2000Вт 2 конф спираль чугун сапфир /5/</t>
  </si>
  <si>
    <t>34568</t>
  </si>
  <si>
    <t>Плита эл. Homestar HS-1105 2000Вт 2 конф спираль чугун серая /5/</t>
  </si>
  <si>
    <t>34533</t>
  </si>
  <si>
    <t>Плита эл. Homestar HS-1107 1000Вт 1 конф спираль белая /12/</t>
  </si>
  <si>
    <t>34511</t>
  </si>
  <si>
    <t>Плита эл. Homestar HS-1110 2000Вт 2 конф диск чугун белый /6/</t>
  </si>
  <si>
    <t>34673</t>
  </si>
  <si>
    <t>Плита эл. LEBEN 1 конф диск 155 мм 475-038 /10/</t>
  </si>
  <si>
    <t>34647</t>
  </si>
  <si>
    <t>Плита эл. LEBEN 1 конф спираль 140 мм 475-039 /2/12/</t>
  </si>
  <si>
    <t>34641</t>
  </si>
  <si>
    <t>Плита эл. LEBEN 2 конф диск 155 мм 475-036 /5/</t>
  </si>
  <si>
    <t>34684</t>
  </si>
  <si>
    <t>Плита эл. LEBEN 2 конф спираль 140 мм 475-037 /6/</t>
  </si>
  <si>
    <t>34509</t>
  </si>
  <si>
    <t>Плита эл. LEBEN индукционная 2000Вт 288-024 /6/</t>
  </si>
  <si>
    <t>34560</t>
  </si>
  <si>
    <t>Плита эл. TDM ЭПД1 1000Вт 1 конф диск /12/</t>
  </si>
  <si>
    <t>34517</t>
  </si>
  <si>
    <t>Плита эл. TDM ЭПД2 2000Вт 2 конф диск /6/</t>
  </si>
  <si>
    <t>34559</t>
  </si>
  <si>
    <t>Плита эл. TDM ЭПД2 2000Вт 2 конф керамика</t>
  </si>
  <si>
    <t>34570</t>
  </si>
  <si>
    <t>Плита эл. TDM ЭПИ1 идукционная 2000Вт 1 конф 230В /6/</t>
  </si>
  <si>
    <t>34542</t>
  </si>
  <si>
    <t>Плита эл. TDM ЭПС1 1000Вт 1 конф спираль белая /12/</t>
  </si>
  <si>
    <t>34541</t>
  </si>
  <si>
    <t>Плита эл. TDM ЭПС1 1000Вт 1 конф спираль черная /12/</t>
  </si>
  <si>
    <t>34539</t>
  </si>
  <si>
    <t>Плита эл. TDM ЭПС2 2000Вт 2 конф спираль 6/</t>
  </si>
  <si>
    <t>34590</t>
  </si>
  <si>
    <t>Плита эл. Волжанка ЭПС-100 500Вт 1 конф спираль /12/</t>
  </si>
  <si>
    <t>34576</t>
  </si>
  <si>
    <t>Плита эл. Волжанка ЭПС-105 1000Вт 1 конф спираль /12/</t>
  </si>
  <si>
    <t>34510</t>
  </si>
  <si>
    <t>Плита эл. Матрёна МА-044 2000Вт 1 конф инфракрасная 006295 /6/</t>
  </si>
  <si>
    <t>34572</t>
  </si>
  <si>
    <t>Плита эл. Матрёна МА-061 1000Вт 1 конф диск коричневая /10/</t>
  </si>
  <si>
    <t>34563</t>
  </si>
  <si>
    <t>Плита эл. Матрёна МА-061 1000Вт 1 конф диск сталь /10/</t>
  </si>
  <si>
    <t>34543</t>
  </si>
  <si>
    <t>Плита эл. Матрёна МА-062 2000Вт 2 конф спираль коричневая 006058 /5/</t>
  </si>
  <si>
    <t>34562</t>
  </si>
  <si>
    <t>Плита эл. Матрёна МА-063 2000Вт 2 конф диск 101248 /5/</t>
  </si>
  <si>
    <t>34513</t>
  </si>
  <si>
    <t>Плита эл. Матрёна МА-063 2000Вт 2 конф диск коричневая 006059 /5/</t>
  </si>
  <si>
    <t>34537</t>
  </si>
  <si>
    <t>Плита эл. Промо 1 конф 288-004 /2/12/</t>
  </si>
  <si>
    <t>34553</t>
  </si>
  <si>
    <t>Плита эл. Росинка Рос-502 2000Вт 2 конф спираль белая /6/</t>
  </si>
  <si>
    <t>346 Духовки/Приспособления</t>
  </si>
  <si>
    <t>34624</t>
  </si>
  <si>
    <t>Духовка эл. GL-10В 900Вт/230В 10л таймер /4/</t>
  </si>
  <si>
    <t>34625</t>
  </si>
  <si>
    <t>Кронштейн для микроволновки телескопический 2 шт</t>
  </si>
  <si>
    <t>34627</t>
  </si>
  <si>
    <t>Кронштейн для микроволновки усиленный 15*5 см 2 шт</t>
  </si>
  <si>
    <t>34635</t>
  </si>
  <si>
    <t>Кронштейн для микроволновки усиленный 25*10 см металл 2 шт</t>
  </si>
  <si>
    <t>34643</t>
  </si>
  <si>
    <t>Кронштейн для микроволновки усиленный 35*15 см серый 2 шт</t>
  </si>
  <si>
    <t>13536</t>
  </si>
  <si>
    <t>Разъем д/эл.плит 25А/440В 4-х шт Жит. /72/</t>
  </si>
  <si>
    <t>34607</t>
  </si>
  <si>
    <t>Разъем д/эл.плит 32А/440В 4-х шт Жит. /72/</t>
  </si>
  <si>
    <t>34613</t>
  </si>
  <si>
    <t>Разъем д/эл.плит Витебск з/к РШ-ВШ 32А 250B (РВШ 32-001 3штыр) /60/</t>
  </si>
  <si>
    <t>34608</t>
  </si>
  <si>
    <t>Разъем д/эл.плит Витебск з/к РШ-ВШ 32А 250B бел (РВШ 32-002) /80/</t>
  </si>
  <si>
    <t>34609</t>
  </si>
  <si>
    <t>Разъем д/эл.плит Витебск РШ-ВШ 25А 380В (4штыр.) /100/</t>
  </si>
  <si>
    <t>34615</t>
  </si>
  <si>
    <t>Разъем д/эл.плит Витебск СУ РШ-ВШ 32А 250B (РВШ 32-003 3штыр) /60/</t>
  </si>
  <si>
    <t>34631</t>
  </si>
  <si>
    <t>Разъем д/эл.плит Прогресс о/у з/к /6/</t>
  </si>
  <si>
    <t>34603</t>
  </si>
  <si>
    <t>Разъем д/эл.плит Прогресс о/у з/к 380В карболитовый черный /6/</t>
  </si>
  <si>
    <t>34638</t>
  </si>
  <si>
    <t>Разъем д/эл.плит Прогресс о/у з/к карболитовый черный /6/</t>
  </si>
  <si>
    <t>34629</t>
  </si>
  <si>
    <t>Разъем д/эл.плит Прогресс с/у з/к /6/</t>
  </si>
  <si>
    <t>34687</t>
  </si>
  <si>
    <t>Разъем штепс. РА32-005 / В32-003 БТ Минск РШ/ВШ 32А 440В</t>
  </si>
  <si>
    <t>34666</t>
  </si>
  <si>
    <t>Разъем штепс. РС32-004 / В32-003 БТ Минск РШ/ВШ 32А 440В /100/</t>
  </si>
  <si>
    <t>34648</t>
  </si>
  <si>
    <t>Штекер фастон</t>
  </si>
  <si>
    <t>34602</t>
  </si>
  <si>
    <t>Штеп.вилка д/эл.плиты Минск 3х-ф с з/к 32А/250В В32-001 /28/</t>
  </si>
  <si>
    <t>34619</t>
  </si>
  <si>
    <t>Штеп.вилка д/эл.плиты Минск 3х-ф с з/к 32А/440В В32-003 /28/</t>
  </si>
  <si>
    <t>34632</t>
  </si>
  <si>
    <t>Штеп.розетка д/эл.плиты Минск 32А/250В РА32-002 /28/</t>
  </si>
  <si>
    <t>34600</t>
  </si>
  <si>
    <t>Штеп.розетка д/эл.плиты Минск 32А/440В РА32-005 /28/</t>
  </si>
  <si>
    <t>34656</t>
  </si>
  <si>
    <t>Штеп.розетка д/эл.плиты Минск 32А/440В РС32-004 /28/</t>
  </si>
  <si>
    <t>34645</t>
  </si>
  <si>
    <t>Штеп.розетка д/эл.плиты Минск с з/к 32А/250В В32-006 /28/</t>
  </si>
  <si>
    <t>34851</t>
  </si>
  <si>
    <t>Штеп.розетка д/эл.плиты Москва АВС РА32-255/253 з/к</t>
  </si>
  <si>
    <t>34617</t>
  </si>
  <si>
    <t>Штеп.розетка д/эл.плиты РС32-126 /100/</t>
  </si>
  <si>
    <t>347 Прочие приборы и комплектующие</t>
  </si>
  <si>
    <t>34748</t>
  </si>
  <si>
    <t>Мультиметр цифровой Ермак DT-182 660-001 /100/</t>
  </si>
  <si>
    <t>34747</t>
  </si>
  <si>
    <t>Мультиметр цифровой Ермак DT-830В 660-003 /2/</t>
  </si>
  <si>
    <t>34713</t>
  </si>
  <si>
    <t>Мультиметр цифровой Ермак DT-832 660-004 /2/</t>
  </si>
  <si>
    <t>34727</t>
  </si>
  <si>
    <t>Мультиметр цифровой Ермак DT-838 660-005 /100/</t>
  </si>
  <si>
    <t>34717</t>
  </si>
  <si>
    <t>Прибор Ермак для проверки наличия напряжения в проводах 624-060 /8/</t>
  </si>
  <si>
    <t>34639</t>
  </si>
  <si>
    <t>Шестер д/эл мясорубки средний ВВ</t>
  </si>
  <si>
    <t>34766</t>
  </si>
  <si>
    <t>Электросушитель обуви 220-240 В 50 Гц 10 Вт 65-80 град малая 459-142 /100/</t>
  </si>
  <si>
    <t>34706</t>
  </si>
  <si>
    <t>Электросушитель обуви Leben 12Вт 220В метал 410-005 /2/</t>
  </si>
  <si>
    <t>34763</t>
  </si>
  <si>
    <t>Электросушитель обуви Leben 20Вт 248-004 /2/60/</t>
  </si>
  <si>
    <t>34764</t>
  </si>
  <si>
    <t>Электросушитель обуви Leben раздвижн. 18*6*4,5 см пластик 20 В 248-005 /2/60/</t>
  </si>
  <si>
    <t>34700</t>
  </si>
  <si>
    <t>Электросушитель обуви Ботиночки 490-007 /2/60/</t>
  </si>
  <si>
    <t>34765</t>
  </si>
  <si>
    <t>Электросушитель обуви в виде кролика 12 Вт 248-008 /2/60/</t>
  </si>
  <si>
    <t>34762</t>
  </si>
  <si>
    <t>Электросушитель обуви детской Leben 11,5*5,2*2,5см 12Вт 248-003 /2/60/</t>
  </si>
  <si>
    <t>349 Удлинители STERN/ прочие/шнуры для бра</t>
  </si>
  <si>
    <t>34972</t>
  </si>
  <si>
    <t>Корпус удлинителя TDM Ретро 2 гн 16А/250В /10/</t>
  </si>
  <si>
    <t>34949</t>
  </si>
  <si>
    <t>Удлинитель сетевой Спутник 3* 1,8 м с з/к 10А ПВС 0,75 S-303 /20/</t>
  </si>
  <si>
    <t>34900</t>
  </si>
  <si>
    <t>Удлинитель сетевой Спутник 3* 3,0 м  с з/к 16А ПВС 0,75 S-303 /20/</t>
  </si>
  <si>
    <t>34912</t>
  </si>
  <si>
    <t>Удлинитель сетевой Спутник 3* 5,0 м  с з/к 16А ПВС 0,75 S-303 /20/</t>
  </si>
  <si>
    <t>34913</t>
  </si>
  <si>
    <t>Удлинитель Спутник УСК катушка 3*20 м с з/к 1,5мм</t>
  </si>
  <si>
    <t>34914</t>
  </si>
  <si>
    <t>Удлинитель Спутник УСК катушка 3*30 м с з/к 1,5мм</t>
  </si>
  <si>
    <t>34915</t>
  </si>
  <si>
    <t>Удлинитель Спутник УСШ без каркаса 3*20 м с з/к 1,5мм</t>
  </si>
  <si>
    <t>34916</t>
  </si>
  <si>
    <t>Удлинитель Спутник УСШ без каркаса 3*30 м с з/к 1,5мм</t>
  </si>
  <si>
    <t>34901</t>
  </si>
  <si>
    <t>Шнур эл. д/бра Прогресс с переключателем 2*0,5 1,7м белый /200/</t>
  </si>
  <si>
    <t>34903</t>
  </si>
  <si>
    <t>Шнур эл. д/бра Прогресс с переключателем 2*0,5 1,7м коричневый /200/</t>
  </si>
  <si>
    <t>34908</t>
  </si>
  <si>
    <t>Шнур эл. д/бра Прогресс с переключателем 2*0,5 1,7м прозрачный /200/</t>
  </si>
  <si>
    <t>34902</t>
  </si>
  <si>
    <t>Шнур эл. д/бра Прогресс с переключателем 2*0,5 1,7м черный /200/</t>
  </si>
  <si>
    <t>34954</t>
  </si>
  <si>
    <t>Шнур эл. д/бра Радист Р6-002 6А ШВВП 2*0,75*1,2м без упак</t>
  </si>
  <si>
    <t>35056</t>
  </si>
  <si>
    <t>Шнур эл. д/бра Радист Р6-002 6А ШВВП 2*0,75*1,7м</t>
  </si>
  <si>
    <t>34953</t>
  </si>
  <si>
    <t>Шнур эл. д/бра Радист Р6-002 6А ШВВП 2*0,75*1,8м</t>
  </si>
  <si>
    <t>35100</t>
  </si>
  <si>
    <t>Шнур эл. Радист Р16-001 ПВС 3*0,75 6А 10м</t>
  </si>
  <si>
    <t>34956</t>
  </si>
  <si>
    <t>Шнур эл. Радист Р16-001 ПВС 3*0,75 6А 3м</t>
  </si>
  <si>
    <t>34955</t>
  </si>
  <si>
    <t>Шнур эл. Радист Р16-001 ПВС 3*0,75 6А 5м</t>
  </si>
  <si>
    <t>34947</t>
  </si>
  <si>
    <t>Шнур эл. Радист Р16-001 ПВС 3*1,5 16А 3м черный</t>
  </si>
  <si>
    <t>34950</t>
  </si>
  <si>
    <t>Шнур эл. Радист Р16-001 ПВС 3*1,5 16А 5м черный</t>
  </si>
  <si>
    <t>34959</t>
  </si>
  <si>
    <t>Шнур эл. Радист Р6-001 6А ШВВП 2*0,75*1,5м</t>
  </si>
  <si>
    <t>34904</t>
  </si>
  <si>
    <t>Шнур эл. Радист Р6-001 6А ШВВП 2*0,75*1,8м</t>
  </si>
  <si>
    <t>34907</t>
  </si>
  <si>
    <t>Шнур эл. Радист Р6-001 6А ШВВП 2*0,75*1м</t>
  </si>
  <si>
    <t>34905</t>
  </si>
  <si>
    <t>Шнур эл. Радист Р6-001 6А ШВВП 2*0,75*2м</t>
  </si>
  <si>
    <t>34906</t>
  </si>
  <si>
    <t>Шнур эл. Радист Р6-001 6А ШВВП 2*0,75*3м</t>
  </si>
  <si>
    <t>350-352 Кабельная продукция</t>
  </si>
  <si>
    <t>350 Кабельная продукция</t>
  </si>
  <si>
    <t>35018</t>
  </si>
  <si>
    <t>Кабель TV RG-6U/32 CCS03-0101 100м</t>
  </si>
  <si>
    <t>35019</t>
  </si>
  <si>
    <t>Кабель TV RG-6U/48 CCS03-0103 100м</t>
  </si>
  <si>
    <t>35027</t>
  </si>
  <si>
    <t>Кабель TV SAT 703В 50 м бел.</t>
  </si>
  <si>
    <t>35007</t>
  </si>
  <si>
    <t>Кабель АВВГ 3*2,5 черн 200м</t>
  </si>
  <si>
    <t>35000</t>
  </si>
  <si>
    <t>Кабель АВВГп 2*2,5 черн 100 м</t>
  </si>
  <si>
    <t>35028</t>
  </si>
  <si>
    <t>Кабель АВВГп 2*2,5 черн 200 м</t>
  </si>
  <si>
    <t>35013</t>
  </si>
  <si>
    <t>Кабель АВВГп 2*6,0 черн 150м</t>
  </si>
  <si>
    <t>35014</t>
  </si>
  <si>
    <t>Кабель АВВГп 3*2,5 черн 100м</t>
  </si>
  <si>
    <t>35102</t>
  </si>
  <si>
    <t>Кабель ВВГ 2*2,5 черн 100 м</t>
  </si>
  <si>
    <t>35106</t>
  </si>
  <si>
    <t>Кабель ВВГ 3*1,5 черн 100 м</t>
  </si>
  <si>
    <t>35092</t>
  </si>
  <si>
    <t>Кабель ВВГ 3*1,5 черн 100м</t>
  </si>
  <si>
    <t>35011</t>
  </si>
  <si>
    <t>Кабель ВВГ 3*2,5 черн 100 м</t>
  </si>
  <si>
    <t>35107</t>
  </si>
  <si>
    <t>Кабель ВВГ 3*6,0 черн. 200м</t>
  </si>
  <si>
    <t>35074</t>
  </si>
  <si>
    <t>Кабель ВВГ 4*1,5 черн 200м</t>
  </si>
  <si>
    <t>35038</t>
  </si>
  <si>
    <t>Кабель ПУНП 2*1,5 бел. 100м (ПВВП;ПВВГ пз;ПУВВ)(цена за 1м-14,53р)</t>
  </si>
  <si>
    <t>35083</t>
  </si>
  <si>
    <t>Кабель ПУНП 2*2,5 бел 100м (ПВВП ПВВГпз ПБПП ПУВВ)</t>
  </si>
  <si>
    <t>35041</t>
  </si>
  <si>
    <t>Кабель ПУНП 3*1,5 бел 100м (П/ПП,ВВГ-Пз,ВВГ-Т ПУВВ) (цена за 1м-37,68р)</t>
  </si>
  <si>
    <t>35084</t>
  </si>
  <si>
    <t>Кабель ПУНП 3*2,5 бел 100м (ПВВП ПУВВ)</t>
  </si>
  <si>
    <t>35020</t>
  </si>
  <si>
    <t>Кабель связи КСПВ 2*0,4 500м</t>
  </si>
  <si>
    <t>35029</t>
  </si>
  <si>
    <t>Провод установочный АПВ 6,0мм бел./200/</t>
  </si>
  <si>
    <t>35025</t>
  </si>
  <si>
    <t>Шнур ПУГНП 2*1,5 бел. 100 м (ПУГВВ ШВВП-т ВВГпг ПВВГпг)</t>
  </si>
  <si>
    <t>35078</t>
  </si>
  <si>
    <t>Шнур ПУГНП 2*2,5 бел.100 м (ШВВП ВВГпг ПУГВВ)</t>
  </si>
  <si>
    <t>35017</t>
  </si>
  <si>
    <t>Шнур ПУГНП 2*2,5 бел.230 м (ШВВП ВВГпг)</t>
  </si>
  <si>
    <t>35001</t>
  </si>
  <si>
    <t>Шнур ПУГНП 2*4,0 бел.100 м ((ШВВП ВВГпг)</t>
  </si>
  <si>
    <t>35065</t>
  </si>
  <si>
    <t>Шнур ПУГНП 3*1,5 бел. 100 м (ШВВП ВВГпг)</t>
  </si>
  <si>
    <t>35021</t>
  </si>
  <si>
    <t>Шнур ПУГНП 3*1,5 бел. 220 м (ШВВП ВВГпг)</t>
  </si>
  <si>
    <t>35067</t>
  </si>
  <si>
    <t>Шнур ПУГНП 3*1,5 бел. 86 м (ШВВП ВВГпг)</t>
  </si>
  <si>
    <t>35076</t>
  </si>
  <si>
    <t>Шнур ПУГНП 3*2,5 бел.100 м (ШВВП ВВГпг ПУГВВ)</t>
  </si>
  <si>
    <t>35030</t>
  </si>
  <si>
    <t>Шнур ПУГНП 3*4,0 бел. 100 м (ШВВП ВВГпг)</t>
  </si>
  <si>
    <t>35073</t>
  </si>
  <si>
    <t>Шнур эл. ПВС 2*0,75 белый 100м</t>
  </si>
  <si>
    <t>35006</t>
  </si>
  <si>
    <t>Шнур эл. ПВС 2*1,0 белый 100м</t>
  </si>
  <si>
    <t>35015</t>
  </si>
  <si>
    <t>Шнур эл. ПВС 2*1,5 белый 100м</t>
  </si>
  <si>
    <t>35024</t>
  </si>
  <si>
    <t>Шнур эл. ПВС 2*4,0 белый 100м</t>
  </si>
  <si>
    <t>35060</t>
  </si>
  <si>
    <t>Шнур эл. ПВС 3*0,75 белый 100м</t>
  </si>
  <si>
    <t>35066</t>
  </si>
  <si>
    <t>Шнур эл. ПВС 3*1,5 белый 100м</t>
  </si>
  <si>
    <t>352 Крепления для кабеля</t>
  </si>
  <si>
    <t>47535</t>
  </si>
  <si>
    <t>Клипсы для проводов SR самоклеящиеся, прозрачные, 18шт ПВХ 440-297 /6/120/</t>
  </si>
  <si>
    <t>93548</t>
  </si>
  <si>
    <t>Площадка самокл. под хомуты бесцветн. 20*20 100 шт</t>
  </si>
  <si>
    <t>93635</t>
  </si>
  <si>
    <t>Площадка самокл. под хомуты бесцветн. 25*25 /100/</t>
  </si>
  <si>
    <t>11621</t>
  </si>
  <si>
    <t>Скоба крепления пров. д 3 1*50 кр.</t>
  </si>
  <si>
    <t>11449</t>
  </si>
  <si>
    <t>Скоба крепления пров. д 4 1*50 кр.</t>
  </si>
  <si>
    <t>24726</t>
  </si>
  <si>
    <t>Скоба крепления пров. д 5 1*50 кр. /47514</t>
  </si>
  <si>
    <t>93594</t>
  </si>
  <si>
    <t>Хомут нейлоновый TITAN белый 400*8мм 100шт</t>
  </si>
  <si>
    <t>93595</t>
  </si>
  <si>
    <t>Хомут нейлоновый TITAN белый 450*8мм 100шт</t>
  </si>
  <si>
    <t>93546</t>
  </si>
  <si>
    <t>Хомут пластм. СИБРТЕХ белый 100*2,5мм 100шт /45515</t>
  </si>
  <si>
    <t>93560</t>
  </si>
  <si>
    <t>Хомут пластм. СИБРТЕХ белый 150*2,5мм 100шт /45519</t>
  </si>
  <si>
    <t>93542</t>
  </si>
  <si>
    <t>Хомут пластм. СИБРТЕХ белый 160*2,5мм 100шт /45523</t>
  </si>
  <si>
    <t>93533</t>
  </si>
  <si>
    <t>Хомут пластм. СИБРТЕХ белый 180*3,6мм 100шт /45525</t>
  </si>
  <si>
    <t>35203</t>
  </si>
  <si>
    <t>Хомут пластм. СИБРТЕХ белый 200*3,6мм 100шт /45527</t>
  </si>
  <si>
    <t>93562</t>
  </si>
  <si>
    <t>Хомут пластм. СИБРТЕХ белый 300*3,6мм 100шт /45531</t>
  </si>
  <si>
    <t>35215</t>
  </si>
  <si>
    <t>Хомут пластм. СИБРТЕХ синий 150*2,5мм 100шт /45520</t>
  </si>
  <si>
    <t>35240</t>
  </si>
  <si>
    <t>Хомут пластм. СИБРТЕХ черный 100*2,5мм 100шт /45540</t>
  </si>
  <si>
    <t>93527</t>
  </si>
  <si>
    <t>Хомут пластм. СИБРТЕХ черный 150*2,5мм 100шт /45545</t>
  </si>
  <si>
    <t>93668</t>
  </si>
  <si>
    <t>Хомут пластм. СИБРТЕХ черный 180*3,6мм 100шт /45550</t>
  </si>
  <si>
    <t>93516</t>
  </si>
  <si>
    <t>Хомут пластм. СИБРТЕХ черный 200*3,6мм 100шт /45555</t>
  </si>
  <si>
    <t>93585</t>
  </si>
  <si>
    <t>Хомут пластм. СИБРТЕХ черный 300*3,6мм 100шт /45560</t>
  </si>
  <si>
    <t>360-364 Фонари</t>
  </si>
  <si>
    <t>360 Фонари Спутник</t>
  </si>
  <si>
    <t>36002</t>
  </si>
  <si>
    <t>Фонарь Спутник AF201-4LED светодиодный аккумуляторный</t>
  </si>
  <si>
    <t>36003</t>
  </si>
  <si>
    <t>Фонарь Спутник AF206 светодиодный аккумуляторный</t>
  </si>
  <si>
    <t>36004</t>
  </si>
  <si>
    <t>Фонарь Спутник AF207 светодиодный аккумуляторный</t>
  </si>
  <si>
    <t>36005</t>
  </si>
  <si>
    <t>Фонарь Спутник AF208 светодиодный аккумуляторный</t>
  </si>
  <si>
    <t>36014</t>
  </si>
  <si>
    <t>Фонарь Спутник AF600 светодиодный аккумуляторный</t>
  </si>
  <si>
    <t>36012</t>
  </si>
  <si>
    <t>Фонарь Спутник AF630 светодиодный аккумуляторный</t>
  </si>
  <si>
    <t>36007</t>
  </si>
  <si>
    <t>Фонарь Спутник AFC872 светодиодный аккумуляторный</t>
  </si>
  <si>
    <t>36015</t>
  </si>
  <si>
    <t>Фонарь Спутник AFH708 светодиодный аккумуляторный</t>
  </si>
  <si>
    <t>36017</t>
  </si>
  <si>
    <t>Фонарь Спутник AFH723 светодиодный аккумуляторный</t>
  </si>
  <si>
    <t>36006</t>
  </si>
  <si>
    <t>Фонарь Спутник AFH729 светодиодный аккумуляторный</t>
  </si>
  <si>
    <t>36008</t>
  </si>
  <si>
    <t>Фонарь Спутник AFH730 светодиодный аккумуляторный</t>
  </si>
  <si>
    <t>36016</t>
  </si>
  <si>
    <t>Фонарь Спутник AFH738-5W светодиодный аккумуляторный</t>
  </si>
  <si>
    <t>36018</t>
  </si>
  <si>
    <t>Фонарь Спутник AFH761 светодиодный аккумуляторный</t>
  </si>
  <si>
    <t>36009</t>
  </si>
  <si>
    <t>Фонарь Спутник AFP807-5W светодиодный аккумуляторный</t>
  </si>
  <si>
    <t>36010</t>
  </si>
  <si>
    <t>Фонарь Спутник AFP823-3W светодиодный аккумуляторный</t>
  </si>
  <si>
    <t>36019</t>
  </si>
  <si>
    <t>Фонарь Спутник FH101 светодиодный</t>
  </si>
  <si>
    <t>36020</t>
  </si>
  <si>
    <t>Фонарь Спутник FH126 светодиодный</t>
  </si>
  <si>
    <t>361 Фонари Облик/Чингизхан/Ермак</t>
  </si>
  <si>
    <t>36126</t>
  </si>
  <si>
    <t>Фонарь Ермак аккумуляторный 4LED ярких 13*5,3 см пласт. 220 В 198-074 /6/48/</t>
  </si>
  <si>
    <t>36149</t>
  </si>
  <si>
    <t>Фонарь Ермак аккумуляторный LED 12,3*4,3 см пласт. 220 В 198-075 /5/160/</t>
  </si>
  <si>
    <t>36151</t>
  </si>
  <si>
    <t>Фонарь Ермак мини 1LED 1АА 10,6*4 см 198-087 /24/</t>
  </si>
  <si>
    <t>36133</t>
  </si>
  <si>
    <t>Фонарь Ермак мини 1LED 9,9*3,2 см пласт. 4 цв.198-044 /24/</t>
  </si>
  <si>
    <t>36161</t>
  </si>
  <si>
    <t>Фонарь Ермак прожектор 18ярк. LED 3хАА вилка 220В 198-012 /2/40/</t>
  </si>
  <si>
    <t>36188</t>
  </si>
  <si>
    <t>Фонарь Ермак прожектор 1LED+12LED 1 Вт+3 Вт 14*10 см аккумулятор 3 реж.пласт.223-004 /2/90/</t>
  </si>
  <si>
    <t>36196</t>
  </si>
  <si>
    <t>Фонарь Ермак рабочий 1LED 2 реж СОВ 5 Вт 3*АА 223-006 /200/</t>
  </si>
  <si>
    <t>36175</t>
  </si>
  <si>
    <t>Фонарь на кепку Чингизхан 3LED 2*RC2032 пластик 221-011 /60/</t>
  </si>
  <si>
    <t>36192</t>
  </si>
  <si>
    <t>Фонарь налобный Ермак 1 COB 3xAAA 3 реж пластик 221-012 /4/240/</t>
  </si>
  <si>
    <t>36131</t>
  </si>
  <si>
    <t>Фонарь налобный Ермак 14ярк LED 3*ААА 6x4,2 см 328-072 /2/100/</t>
  </si>
  <si>
    <t>36177</t>
  </si>
  <si>
    <t>Фонарь налобный Ермак 1LED 3Вт 7*8см 2 реж. USB кабель пластик 221-018 /120/</t>
  </si>
  <si>
    <t>36139</t>
  </si>
  <si>
    <t>Фонарь налобный Ермак 2 LED+COB 6*4,6*3,5см 3 реж. 3*ААА 221-029 /2/</t>
  </si>
  <si>
    <t>36143</t>
  </si>
  <si>
    <t>Фонарь налобный Ермак 2 LED+красный свет 6 реж. 3*ААА 221-035 /2/</t>
  </si>
  <si>
    <t>36157</t>
  </si>
  <si>
    <t>Фонарь налобный Ермак 5 Вт COB LED, 3xAAA, 6,5х4см 3реж. 221-003 /2/240/</t>
  </si>
  <si>
    <t>36118</t>
  </si>
  <si>
    <t>Фонарь налобный Ермак 5 Вт COB LED, 3xAAA, 6,8х4см 198-056 /2/120/</t>
  </si>
  <si>
    <t>36141</t>
  </si>
  <si>
    <t>Фонарь налобный Ермак 5ярк LED 3*ААА 7,3*6,3 см 328-068 /5/100/</t>
  </si>
  <si>
    <t>36441</t>
  </si>
  <si>
    <t>Фонарь налобный Ермак LED, аккум. вилка, 8*6*7,5см 5реж. 328-046 /2/120/</t>
  </si>
  <si>
    <t>36112</t>
  </si>
  <si>
    <t>Фонарь налобный Ермак LED, аккум. шнур, 8,8*7,0*7,6см 7реж. 328-048 /12/</t>
  </si>
  <si>
    <t>36129</t>
  </si>
  <si>
    <t>Фонарь налобный Ермак аккумулят. 8ярк+0,5Вт LED 220В 328-047 /2/120/</t>
  </si>
  <si>
    <t>36125</t>
  </si>
  <si>
    <t>Фонарь налобный Ермак с фокусировкой 3 Вт 1LED, 3xАAA, 6х5см 198-021 /5/</t>
  </si>
  <si>
    <t>36176</t>
  </si>
  <si>
    <t>Фонарь налобный Ермак ХРЕ 5 Вт 6х7см 3 реж. 221-017 /120/</t>
  </si>
  <si>
    <t>36189</t>
  </si>
  <si>
    <t>Фонарь налобный Облик 2009 3Вт 3AAA рег. фокус /12/</t>
  </si>
  <si>
    <t>36102</t>
  </si>
  <si>
    <t>Фонарь налобный Облик 2051 1Вт СОВ 3AAA</t>
  </si>
  <si>
    <t>36104</t>
  </si>
  <si>
    <t>Фонарь налобный Облик 2077 1W аккум.</t>
  </si>
  <si>
    <t>36194</t>
  </si>
  <si>
    <t>Фонарь налобный Чингизхан 1 COB 3xAAA 3 реж пластик 221-016 /2/120/</t>
  </si>
  <si>
    <t>36179</t>
  </si>
  <si>
    <t>Фонарь налобный Чингизхан 1 СОВ-12 SMD 2 Вт 3*ААА 6*6,5*4 см пластик 221-019 /240/</t>
  </si>
  <si>
    <t>36146</t>
  </si>
  <si>
    <t>Фонарь налобный Чингизхан 1ХРЕ LED с фокусир. 3*ААА2 реж. пластик 221-025 /50/</t>
  </si>
  <si>
    <t>36156</t>
  </si>
  <si>
    <t>Фонарь Облик 1003 3Вт Граната</t>
  </si>
  <si>
    <t>36107</t>
  </si>
  <si>
    <t>Фонарь Облик 1019 3Вт COB 3AAA подвесной 3 режима</t>
  </si>
  <si>
    <t>36116</t>
  </si>
  <si>
    <t>Фонарь Облик 1020 3Вт COB 3AAA</t>
  </si>
  <si>
    <t>36113</t>
  </si>
  <si>
    <t>Фонарь Облик 1021 3Вт COB 3AAA подвесной</t>
  </si>
  <si>
    <t>36068</t>
  </si>
  <si>
    <t>Фонарь Облик 1062 1Вт 1AA /12/</t>
  </si>
  <si>
    <t>36069</t>
  </si>
  <si>
    <t>Фонарь Облик 1065 9LED 3AAA /12/</t>
  </si>
  <si>
    <t>36108</t>
  </si>
  <si>
    <t>Фонарь Облик 1066 1Вт COB</t>
  </si>
  <si>
    <t>36074</t>
  </si>
  <si>
    <t>Фонарь Облик 1187 10LED 3AAA/12/</t>
  </si>
  <si>
    <t>36127</t>
  </si>
  <si>
    <t>Фонарь Облик 201 0.5Вт аккум.</t>
  </si>
  <si>
    <t>36140</t>
  </si>
  <si>
    <t>Фонарь Облик 204 4LED аккум. оранжевый</t>
  </si>
  <si>
    <t>36130</t>
  </si>
  <si>
    <t>Фонарь Облик 207 7LED вилка аккум. оранжевый</t>
  </si>
  <si>
    <t>36117</t>
  </si>
  <si>
    <t>Фонарь Облик 5031 4LED 3AAA липучка</t>
  </si>
  <si>
    <t>36199</t>
  </si>
  <si>
    <t>Фонарь Облик 5035- 5 LED датчик движения</t>
  </si>
  <si>
    <t>36115</t>
  </si>
  <si>
    <t>Фонарь Облик 5061 3Вт СOB 3AAA липучка</t>
  </si>
  <si>
    <t>36122</t>
  </si>
  <si>
    <t>Фонарь Облик 8221 10Вт аккум., авто адаптер</t>
  </si>
  <si>
    <t>36111</t>
  </si>
  <si>
    <t>Фонарь Чингизхан 1 COB 1 Вт 3xAAA 17*3*2 см 3 реж магнит пластик 3 цв. 224-016 /240/</t>
  </si>
  <si>
    <t>36120</t>
  </si>
  <si>
    <t>Фонарь Чингизхан 1LED 3 Вт 5 см 3*ААА 3 реж. алюм. сплав 224-017 /100/</t>
  </si>
  <si>
    <t>36163</t>
  </si>
  <si>
    <t>Фонарь Чингизхан 3 Вт+1 Вт 1 COB 1LED 16 см 3 реж. 3*ААА 224-002 /6/120/</t>
  </si>
  <si>
    <t>36173</t>
  </si>
  <si>
    <t>Фонарь Чингизхан аккумуляторный 17LED+0,5Вт 14,5*5,5 см пласт. 220 В солн. бат. 198-094 /120/</t>
  </si>
  <si>
    <t>36166</t>
  </si>
  <si>
    <t>Фонарь Чингизхан гибкий 15 SMD LED, 3xAAA, алюминий, 30х4 см 198-036 /4/120/</t>
  </si>
  <si>
    <t>36412</t>
  </si>
  <si>
    <t>Фонарь Чингизхан динамический 3LED 9,5*5,0 см пласт. 198-013 /10/200/</t>
  </si>
  <si>
    <t>36154</t>
  </si>
  <si>
    <t>Фонарь Чингизхан кемпинговый 30LED 3Д 2 реж. пласт. 225-004 /36/</t>
  </si>
  <si>
    <t>36178</t>
  </si>
  <si>
    <t>Фонарь Чингизхан с инструментами 6-в-1 4LED, 2xАAA, 9,5х3,5см 198-088 /4/100/</t>
  </si>
  <si>
    <t>36136</t>
  </si>
  <si>
    <t>Фонарь Чингизхан с фокусировкой LED 0,75 Вт 11,5*3 см резпласт. 3*ААА 198-022 /6/</t>
  </si>
  <si>
    <t>36138</t>
  </si>
  <si>
    <t>Фонарь Чингизхан ХРЕ 1200 мАч 3 Вт 2,5*2,5*9,5 см 3 реж. алюминевый сплав 2 цв 224-019 /240/</t>
  </si>
  <si>
    <t>36132</t>
  </si>
  <si>
    <t>Фонарь Чингизхан ХРЕ 1200 мАч 3 Вт 3,5*3,5*15,5 см 3 реж. алюминевый сплав 2 цв 224-018 /100/</t>
  </si>
  <si>
    <t>36142</t>
  </si>
  <si>
    <t>Фонарь Чингизхан ХРЕ 3*ААА LED 15,5*3 см 3*ААА алюм. 328-125 /4/120/</t>
  </si>
  <si>
    <t>36100</t>
  </si>
  <si>
    <t>Фонарь Чингизхан ХРЕ 3*ААА пластик мет. 224-014 /240/</t>
  </si>
  <si>
    <t>36123</t>
  </si>
  <si>
    <t>Фонарь Чингисхан прожектор 18 SMD+1 Вт LED шнур 220В 198-041 /2/36/</t>
  </si>
  <si>
    <t>36180</t>
  </si>
  <si>
    <t>Фонарь-брелок Ермак + лазер алюминий 3*ALR41 6см 227-002 /5/</t>
  </si>
  <si>
    <t>36419</t>
  </si>
  <si>
    <t>Фонарь-брелок Ермак 5 LED, 3xAG13, алюминий, 6,7х1,2 см 198-070 /24/</t>
  </si>
  <si>
    <t>36134</t>
  </si>
  <si>
    <t>Фонарь-брелок Ермак алюминий на карабине 1LED+УФ+лазер 6,6*1,2 см 3*А G13 198-072 /24/</t>
  </si>
  <si>
    <t>36438</t>
  </si>
  <si>
    <t>Фонарь-брелок Чингизхан 1Вт COB 2*2032х 6*3*1см 2реж. 226-001 /6/</t>
  </si>
  <si>
    <t>36158</t>
  </si>
  <si>
    <t>Фонарь-брелок Чингизхан пластик 1LED 6*2 см 198-069 /48/</t>
  </si>
  <si>
    <t>36053</t>
  </si>
  <si>
    <t>Фонарь-светильник Облик 5055- 4LED 3AAA датчик св. и движ.</t>
  </si>
  <si>
    <t>36193</t>
  </si>
  <si>
    <t>Фонарь-светильник Чингисхан 3 LED 1Вт 3*АА 1 реж пластик 225-002 /72/</t>
  </si>
  <si>
    <t>36109</t>
  </si>
  <si>
    <t>Фонарь-светильник Чингисхан подвесной LED3 2Вт 3*ААА 11,5*5*5см 222-002 /5/120/</t>
  </si>
  <si>
    <t>36150</t>
  </si>
  <si>
    <t>Фонарь-светильник Чингисхан складной 1LED 1Вт 8,5*4,8 см 3*АА 3 реж пластик 225-003 /72/</t>
  </si>
  <si>
    <t>362 Фонари Эра, Camelion</t>
  </si>
  <si>
    <t>36255</t>
  </si>
  <si>
    <t>Фонарь налобный ЭРА детский "Лев", 2*LED, 3*ААА /10/</t>
  </si>
  <si>
    <t>36062</t>
  </si>
  <si>
    <t>Фонарь налобный ЭРА детский "Маска", 2*LED, 3*ААА /10/</t>
  </si>
  <si>
    <t>36245</t>
  </si>
  <si>
    <t>Фонарь налобный ЭРА детский "Панда", 2*LED, 3*ААА /10/</t>
  </si>
  <si>
    <t>36246</t>
  </si>
  <si>
    <t>Фонарь налобный ЭРА детский "Утенок", 2*LED, 3*ААА /10/</t>
  </si>
  <si>
    <t>36249</t>
  </si>
  <si>
    <t>Фонарь Эра Армия России ВВ-601 брелок Привал 0,5 Вт +рефл.алюм</t>
  </si>
  <si>
    <t>36164</t>
  </si>
  <si>
    <t>Фонарь Эра кемпинг К30 30LED 3*D, 2 режима</t>
  </si>
  <si>
    <t>36200</t>
  </si>
  <si>
    <t>Фонарь-брелок Эра В24 LED BL (бат в компл-те) /24/</t>
  </si>
  <si>
    <t>363 Фонари Космос</t>
  </si>
  <si>
    <t>36312</t>
  </si>
  <si>
    <t>Фонарь Космос 860 19LED 4*D на батарейках</t>
  </si>
  <si>
    <t>36307</t>
  </si>
  <si>
    <t>Фонарь Космос M3721-Е 21 LED 3xAAА батарейки в комплекте /24/</t>
  </si>
  <si>
    <t>36314</t>
  </si>
  <si>
    <t>Фонарь Космос Аccu 9191 LED 3W аккум 240 Лм</t>
  </si>
  <si>
    <t>36311</t>
  </si>
  <si>
    <t>Фонарь Космос кемп. 2028LED 16LED 3*АА рег. яркости /12/</t>
  </si>
  <si>
    <t>36319</t>
  </si>
  <si>
    <t>Фонарь Космос кемп. 3031LED 24LED 3*AA /12/</t>
  </si>
  <si>
    <t>36339</t>
  </si>
  <si>
    <t>Фонарь налобный Космос H10LED аккум 600 Маh Ni-МН встроен. зарядное /12/</t>
  </si>
  <si>
    <t>364 Фонари прочие</t>
  </si>
  <si>
    <t>36011</t>
  </si>
  <si>
    <t>Фонарик Stern светодиодный, алюмин. корпус, влагозащ., 18+1Led, 3хААА</t>
  </si>
  <si>
    <t>36430</t>
  </si>
  <si>
    <t>Фонарь Ultraflash 3102-ТН (красный 1 LED 1 реж 3*R06 пласт. бл. пак)</t>
  </si>
  <si>
    <t>36433</t>
  </si>
  <si>
    <t>Фонарь Ultraflash 5002-ТН (черный 4 LED 1 реж 3*R03 пласт.бл.пак) /25/</t>
  </si>
  <si>
    <t>36439</t>
  </si>
  <si>
    <t>Фонарь Ultraflash 652 фонарь велос. пластик, желтый 9 LED 3*R03</t>
  </si>
  <si>
    <t>36485</t>
  </si>
  <si>
    <t>Фонарь Ultraflash 7102-ТН (черный 1 LED 1 реж 2*R03 пласт.бл.пак)</t>
  </si>
  <si>
    <t>36401</t>
  </si>
  <si>
    <t>Фонарь Ultraflash аккум. 3827 (черный/желтый 5 LED 220В пластик. коробка)</t>
  </si>
  <si>
    <t>36410</t>
  </si>
  <si>
    <t>Фонарь Ultraflash налобн. 5353 (3 ААА*R03 метал 19 LED 4 реж)</t>
  </si>
  <si>
    <t>36466</t>
  </si>
  <si>
    <t>Фонарь Ultraflash налобн. 5362 (черный 7 LED 2 реж акк 220В пласт. бокс) /5/</t>
  </si>
  <si>
    <t>36417</t>
  </si>
  <si>
    <t>Фонарь Ultraflash налобн. 5374 (аккум. 220В голубой 0,4 Вт LED 1реж пласт. бокс) /10/</t>
  </si>
  <si>
    <t>36453</t>
  </si>
  <si>
    <t>Фонарь Дружба подвесной 24 диод ДЛ-710</t>
  </si>
  <si>
    <t>36454</t>
  </si>
  <si>
    <t>Фонарь Дружба подвесной 41 диод ДЛ-720</t>
  </si>
  <si>
    <t>36406</t>
  </si>
  <si>
    <t>Фонарь Руссо Туристо светод. Police пов. мощ. 5 Вт 9,5*2,7 см 328-103 /4/176/</t>
  </si>
  <si>
    <t>36462</t>
  </si>
  <si>
    <t>Фонарь с радиоприемником Vikend Hunter 220 V 1000mA/ч</t>
  </si>
  <si>
    <t>36041</t>
  </si>
  <si>
    <t>Фонарь Фотон МS-1700S (3*R03) 1 светидиод /12/</t>
  </si>
  <si>
    <t>36408</t>
  </si>
  <si>
    <t>Фонарь-лампа складной 20LED 220-240 В 9,5*26*14 см пластик 3*АА 198-105 /2/120/</t>
  </si>
  <si>
    <t>365 Изоляционные материалы</t>
  </si>
  <si>
    <t>36524</t>
  </si>
  <si>
    <t>Изолента 15мм х 10м ПВХ Klebebander белая /8/</t>
  </si>
  <si>
    <t>36525</t>
  </si>
  <si>
    <t>Изолента 15мм х 10м ПВХ Klebebander желтая /8/</t>
  </si>
  <si>
    <t>36526</t>
  </si>
  <si>
    <t>Изолента 15мм х 10м ПВХ Klebebander зеленая /8/</t>
  </si>
  <si>
    <t>36527</t>
  </si>
  <si>
    <t>Изолента 15мм х 10м ПВХ Klebebander красная /8/</t>
  </si>
  <si>
    <t>36528</t>
  </si>
  <si>
    <t>Изолента 15мм х 10м ПВХ Klebebander синяя /8/</t>
  </si>
  <si>
    <t>36529</t>
  </si>
  <si>
    <t>Изолента 15мм х 10м ПВХ Klebebander черная /8/</t>
  </si>
  <si>
    <t>36519</t>
  </si>
  <si>
    <t>Изолента 15мм х 20м ПВХ Klebebander белая /8/</t>
  </si>
  <si>
    <t>36565</t>
  </si>
  <si>
    <t>Изолента 15мм х 20м ПВХ Klebebander желтая /8/</t>
  </si>
  <si>
    <t>36520</t>
  </si>
  <si>
    <t>Изолента 15мм х 20м ПВХ Klebebander зеленая /8/</t>
  </si>
  <si>
    <t>36521</t>
  </si>
  <si>
    <t>Изолента 15мм х 20м ПВХ Klebebander красная /8/</t>
  </si>
  <si>
    <t>36522</t>
  </si>
  <si>
    <t>Изолента 15мм х 20м ПВХ Klebebander синяя /8/</t>
  </si>
  <si>
    <t>36523</t>
  </si>
  <si>
    <t>Изолента 15мм х 20м ПВХ Klebebander черная /8/</t>
  </si>
  <si>
    <t>36530</t>
  </si>
  <si>
    <t>Изолента 19мм х 20м ПВХ Klebebander белая /8/</t>
  </si>
  <si>
    <t>36531</t>
  </si>
  <si>
    <t>Изолента 19мм х 20м ПВХ Klebebander желтая /8/</t>
  </si>
  <si>
    <t>36532</t>
  </si>
  <si>
    <t>Изолента 19мм х 20м ПВХ Klebebander зеленая /8/</t>
  </si>
  <si>
    <t>36533</t>
  </si>
  <si>
    <t>Изолента 19мм х 20м ПВХ Klebebander красная /8/</t>
  </si>
  <si>
    <t>36534</t>
  </si>
  <si>
    <t>Изолента 19мм х 20м ПВХ Klebebander синяя /8/</t>
  </si>
  <si>
    <t>36535</t>
  </si>
  <si>
    <t>Изолента 19мм х 20м ПВХ Klebebander черная /8/</t>
  </si>
  <si>
    <t>60821</t>
  </si>
  <si>
    <t>Изолента 19мм*10м MATRIX белая 3шт /88856</t>
  </si>
  <si>
    <t>68043</t>
  </si>
  <si>
    <t>Изолента 19мм*10м MATRIX черная 3шт /88857</t>
  </si>
  <si>
    <t>68066</t>
  </si>
  <si>
    <t>Изолента Safeline 15/10 красный /10/</t>
  </si>
  <si>
    <t>36555</t>
  </si>
  <si>
    <t>Изолента Safeline 19/20 белый /10/</t>
  </si>
  <si>
    <t>36571</t>
  </si>
  <si>
    <t>Изолента Ермак 15 мм-7,5 м красная 672-005 /16/192/</t>
  </si>
  <si>
    <t>36539</t>
  </si>
  <si>
    <t>Изолента Ермак 15 мм-7,5 м синяя 672-007 /10/</t>
  </si>
  <si>
    <t>36509</t>
  </si>
  <si>
    <t>Изолента Ермак 15 мм-7,5 м черная 672-011 /10/</t>
  </si>
  <si>
    <t>36511</t>
  </si>
  <si>
    <t>Изолента ХБ Aviora 180гр одностор 15мм х 20м 305-045</t>
  </si>
  <si>
    <t>36587</t>
  </si>
  <si>
    <t>Изолента ХБ PROxima 100г 1-пол односторн 15мм*10м /180/</t>
  </si>
  <si>
    <t>36588</t>
  </si>
  <si>
    <t>Изолента ХБ PROxima 200г 1-пол односторн 15мм*20м /90/</t>
  </si>
  <si>
    <t>36543</t>
  </si>
  <si>
    <t>Изолента ХБ Барнаул 100г двухсторонняя /450/</t>
  </si>
  <si>
    <t>68023</t>
  </si>
  <si>
    <t>Изолента ХБ Барнаул 300г двухсторонняя /60/</t>
  </si>
  <si>
    <t>36594</t>
  </si>
  <si>
    <t>Изолента ХБ Ермак в/c 100гр 672-012 /10/150/</t>
  </si>
  <si>
    <t>36510</t>
  </si>
  <si>
    <t>Изолента ХБ Ермак в/c 300гр 672-013 /10/60/</t>
  </si>
  <si>
    <t>36546</t>
  </si>
  <si>
    <t>Изолента ХБ Китай 70г двухсторонняя /100/</t>
  </si>
  <si>
    <t>68038</t>
  </si>
  <si>
    <t>Изолента ХБ Ростов 110г двухсторонняя /100/</t>
  </si>
  <si>
    <t>68019</t>
  </si>
  <si>
    <t>Изолента ХБ Ростов 110г односторнняя /100/</t>
  </si>
  <si>
    <t>68042</t>
  </si>
  <si>
    <t>Изолента ХБ Ростов 250г односторнняя /54/</t>
  </si>
  <si>
    <t>68046</t>
  </si>
  <si>
    <t>Изолента ХБ Ростов 300г двухстороняя /36/</t>
  </si>
  <si>
    <t>36584</t>
  </si>
  <si>
    <t>Термоусадочная трубка 1,5/0,75 100 м 901-063 /2/</t>
  </si>
  <si>
    <t>27493</t>
  </si>
  <si>
    <t>Термоусадочная трубка 2,5/1,25 100 м 901-064 /17/</t>
  </si>
  <si>
    <t>36517</t>
  </si>
  <si>
    <t>Термоусадочная трубка Rexant 8,0/4,0 2,44м 29-0044</t>
  </si>
  <si>
    <t>36562</t>
  </si>
  <si>
    <t>Термоусадочная трубка ТУТнг 20/10 7 по 3 шт 100 мм</t>
  </si>
  <si>
    <t>370-392 Электроустановочные</t>
  </si>
  <si>
    <t>370 Автоматы</t>
  </si>
  <si>
    <t>37021</t>
  </si>
  <si>
    <t>Автомат эл. TDM 1п 10А С BA-47-63 4,5 кл SQ0218-0002 /12/</t>
  </si>
  <si>
    <t>37042</t>
  </si>
  <si>
    <t>Автомат эл. TDM 1п 16А С BA-47-63 4,5 кл SQ0218-0003 /12/</t>
  </si>
  <si>
    <t>37048</t>
  </si>
  <si>
    <t>Автомат эл. TDM 1п 20А С BA-47-63 4,5 кл SQ0218-0004 /12/</t>
  </si>
  <si>
    <t>37022</t>
  </si>
  <si>
    <t>Автомат эл. TDM 1п 25А С BA-47-63 4,5 кл SQ0218-0005 /12/</t>
  </si>
  <si>
    <t>37041</t>
  </si>
  <si>
    <t>Автомат эл. TDM 1п 32А С BA-47-63 4,5 кл SQ0218-0006 /12/</t>
  </si>
  <si>
    <t>37035</t>
  </si>
  <si>
    <t>Автомат эл. TDM 1п 40А С BA-47-29 4,5 кл SQ0206-0078 /12/</t>
  </si>
  <si>
    <t>37049</t>
  </si>
  <si>
    <t>Автомат эл. TDM 1п 40А С BA-47-63 4,5 кл SQ0218-0007 /12/</t>
  </si>
  <si>
    <t>37055</t>
  </si>
  <si>
    <t>Автомат эл. TDM 1п 50А С BA-47-63 4,5 кл SQ0218-0008 /12/</t>
  </si>
  <si>
    <t>37056</t>
  </si>
  <si>
    <t>Автомат эл. TDM 1п 63А С BA-47-63 4,5 кл SQ0218-0009 /12/</t>
  </si>
  <si>
    <t>37051</t>
  </si>
  <si>
    <t>Автомат эл. TDM 2п 50А С BA-47-63 4,5 кл SQ0218-0015 /6/</t>
  </si>
  <si>
    <t>37004</t>
  </si>
  <si>
    <t>Автомат эл. TDM 3п 20А С BA-47-63 4,5 кл SQ0218-0020 /12/</t>
  </si>
  <si>
    <t>37020</t>
  </si>
  <si>
    <t>Автомат эл. TDM 3п 25А С BA-47-29 4,5 кл SQ0206-0111 /4/</t>
  </si>
  <si>
    <t>37000</t>
  </si>
  <si>
    <t>Автомат эл. TDM 3п 25А С BA-47-63 4,5 кл SQ0218-0021 /4/</t>
  </si>
  <si>
    <t>37060</t>
  </si>
  <si>
    <t>Автомат эл. TDM 3п 32А С BA-47-29 4,5 кл SQ0206-0112 /12/</t>
  </si>
  <si>
    <t>37061</t>
  </si>
  <si>
    <t>Автомат эл. TDM 3п 40А С BA-47-29 4,5 кл SQ0206-0113 /4/</t>
  </si>
  <si>
    <t>37065</t>
  </si>
  <si>
    <t>Автомат эл. TDM 3п 50А С BA-47-63 4,5 кл SQ0218-0024 /12/</t>
  </si>
  <si>
    <t>37066</t>
  </si>
  <si>
    <t>Автомат эл. TDM 3п 63А С BA-47-63 4,5 кл SQ0218-0025 /12/</t>
  </si>
  <si>
    <t>37002</t>
  </si>
  <si>
    <t>Автомат эл. АЕ 1031/16А Тирасполь /52/</t>
  </si>
  <si>
    <t>37006</t>
  </si>
  <si>
    <t>Автомат эл. АЕ 1031/25А Тирасполь /52/</t>
  </si>
  <si>
    <t>13360</t>
  </si>
  <si>
    <t>Автомат эл. ВА-6129 16-63А Дивногорск</t>
  </si>
  <si>
    <t>34058</t>
  </si>
  <si>
    <t>Автомат эл. ИЭК 1п ВА-47-29-10А Москва /12/</t>
  </si>
  <si>
    <t>37007</t>
  </si>
  <si>
    <t>Автомат эл. ИЭК 1п ВА-47-29-16А Москва /12/</t>
  </si>
  <si>
    <t>37008</t>
  </si>
  <si>
    <t>Автомат эл. ИЭК 1п ВА-47-29-20А Москва /12/</t>
  </si>
  <si>
    <t>37013</t>
  </si>
  <si>
    <t>Автомат эл. ИЭК 1п ВА-47-29-25А Москва /12/</t>
  </si>
  <si>
    <t>37005</t>
  </si>
  <si>
    <t>Автомат эл. ИЭК 1п ВА-47-29-32А Москва /12/</t>
  </si>
  <si>
    <t>34161</t>
  </si>
  <si>
    <t>Автомат эл. ИЭК 1п ВА-47-29-50А Москва /12/</t>
  </si>
  <si>
    <t>34162</t>
  </si>
  <si>
    <t>Автомат эл. ИЭК 1п ВА-47-29-63А Москва /12/</t>
  </si>
  <si>
    <t>37010</t>
  </si>
  <si>
    <t>Автомат эл. ИЭК 2п ВА-47-29-16А Москва /6/</t>
  </si>
  <si>
    <t>37014</t>
  </si>
  <si>
    <t>Автомат эл. ИЭК 2п ВА-47-29-20А Москва /6/</t>
  </si>
  <si>
    <t>37032</t>
  </si>
  <si>
    <t>Автомат эл. ИЭК 2п ВА-47-29-25А Москва /6/</t>
  </si>
  <si>
    <t>37018</t>
  </si>
  <si>
    <t>Автомат эл. ИЭК 2п ВА-47-29-32А Москва /6/</t>
  </si>
  <si>
    <t>37019</t>
  </si>
  <si>
    <t>Автомат эл. ИЭК 2п ВА-47-29-40А Москва /6/</t>
  </si>
  <si>
    <t>37012</t>
  </si>
  <si>
    <t>Автомат эл. ИЭК 2п ВА-47-29-50А Москва /6/</t>
  </si>
  <si>
    <t>37025</t>
  </si>
  <si>
    <t>Автомат эл. ИЭК 2п ВА-47-29-63А Москва /6/</t>
  </si>
  <si>
    <t>34006</t>
  </si>
  <si>
    <t>Автомат эл. ИЭК 3п ВА-47-29-10А Москва /4/</t>
  </si>
  <si>
    <t>37023</t>
  </si>
  <si>
    <t>Автомат эл. ИЭК 3п ВА-47-29-25А Москва /4/</t>
  </si>
  <si>
    <t>37026</t>
  </si>
  <si>
    <t>Автомат эл. ИЭК 3п ВА-47-29-40А Москва /4/</t>
  </si>
  <si>
    <t>37027</t>
  </si>
  <si>
    <t>Автомат эл. ИЭК 3п ВА-47-29-50А Москва /4/</t>
  </si>
  <si>
    <t>37001</t>
  </si>
  <si>
    <t>Автомат эл. ИЭК 4п ВА-47-29-10А Москва /4/</t>
  </si>
  <si>
    <t>37011</t>
  </si>
  <si>
    <t>Автомат эл. ЩИТ  3п ВА-77-29-3 16А Москва /4/</t>
  </si>
  <si>
    <t>37024</t>
  </si>
  <si>
    <t>Автомат эл. ЭКФ 3п ВА-47-63 32А Москва/4/</t>
  </si>
  <si>
    <t>37003</t>
  </si>
  <si>
    <t>Выключатель пакетный 16А-220В,10А-380В ПВ2*16</t>
  </si>
  <si>
    <t>37016</t>
  </si>
  <si>
    <t>Выключатель пакетный 16А-220В,10А-380В ПВ3*16</t>
  </si>
  <si>
    <t>371 Адаптеры электрические</t>
  </si>
  <si>
    <t>37101</t>
  </si>
  <si>
    <t>Переходник эл.адаптер Makel 10009</t>
  </si>
  <si>
    <t>37131</t>
  </si>
  <si>
    <t>Переходник эл.адаптер евро 1500 Вт 10А 250В 907-052 /5/400/</t>
  </si>
  <si>
    <t>37120</t>
  </si>
  <si>
    <t>Переходник эл.адаптер плоский белый 10А</t>
  </si>
  <si>
    <t>37100</t>
  </si>
  <si>
    <t>Переходник эл.адаптер Прогресс 10А б/з черный /50/</t>
  </si>
  <si>
    <t>37102</t>
  </si>
  <si>
    <t>Переходник эл.адаптер Прогресс 16А б/з черный /50/</t>
  </si>
  <si>
    <t>37110</t>
  </si>
  <si>
    <t>Переходник эл.евро ITEK 16А 220В /50/</t>
  </si>
  <si>
    <t>37128</t>
  </si>
  <si>
    <t>Переходник эл.патрон Е14-патрон Е27 белый</t>
  </si>
  <si>
    <t>37143</t>
  </si>
  <si>
    <t>Переходник эл.патрон Е14-патрон Е27 белый Прогресс /50/</t>
  </si>
  <si>
    <t>37141</t>
  </si>
  <si>
    <t>Переходник эл.патрон Е27-GU10 пластик бел AD-E27-GU10-w</t>
  </si>
  <si>
    <t>37129</t>
  </si>
  <si>
    <t>Переходник эл.патрон Е27-патрон Е14 белый</t>
  </si>
  <si>
    <t>37113</t>
  </si>
  <si>
    <t>Переходник эл.патрон Е27-патрон Е40 белый</t>
  </si>
  <si>
    <t>37104</t>
  </si>
  <si>
    <t>Переходник эл.патрон Е27-розетка черный</t>
  </si>
  <si>
    <t>37130</t>
  </si>
  <si>
    <t>Переходник эл.патрон Е40-патрон Е27 белый</t>
  </si>
  <si>
    <t>372 Блоки комбинированые эл.</t>
  </si>
  <si>
    <t>37219</t>
  </si>
  <si>
    <t>Блок "Прима" СП с/з бел  В1+В1+Р /ВК2VR-006V-В /27/</t>
  </si>
  <si>
    <t>37237</t>
  </si>
  <si>
    <t>Блок ВОС БКВР-031 1В+Р с з. /18/</t>
  </si>
  <si>
    <t>37213</t>
  </si>
  <si>
    <t>Блок комб. Гармония СП (1кл. вык.с индик.+роз.) В-РЦ-669 /30/</t>
  </si>
  <si>
    <t>37215</t>
  </si>
  <si>
    <t>Блок комб. Гармония СП (1кл. вык.с индик.+роз.с з/к) В-РЦ-673</t>
  </si>
  <si>
    <t>37214</t>
  </si>
  <si>
    <t>Блок комб. Гармония СП (2кл. вык.с индик.+роз.) 2В-РЦ-671 /25/</t>
  </si>
  <si>
    <t>37212</t>
  </si>
  <si>
    <t>Блок комб. Гармония СП (3кл. вык.+роз. с з/кс з/ш) 3В-РЦ-667 /25/</t>
  </si>
  <si>
    <t>37206</t>
  </si>
  <si>
    <t>Блок комб. Гармония СП (3кл. вык.+роз.) 3В-РЦ-661 /20/</t>
  </si>
  <si>
    <t>34207</t>
  </si>
  <si>
    <t>Блок комб. Стиль СП (1кл. вык.+роз. с з/к)  В-РЦ-691</t>
  </si>
  <si>
    <t>37209</t>
  </si>
  <si>
    <t>Блок комб.Пралеска (1кл.выкл.+роз.) В-РЦ-521 /54/</t>
  </si>
  <si>
    <t>37205</t>
  </si>
  <si>
    <t>Блок комб.Пралеска (1кл.выкл.+роз.с з/к) В-РЦ-527 /40/</t>
  </si>
  <si>
    <t>37222</t>
  </si>
  <si>
    <t>Блок комб.Пралеска (2кл.выкл.+роз.) 2В-РЦ-523 /54/</t>
  </si>
  <si>
    <t>37242</t>
  </si>
  <si>
    <t>Блок комб.Пралеска (2кл.выкл.+роз.с з/к) 2В-РЦ-529 /40/</t>
  </si>
  <si>
    <t>37203</t>
  </si>
  <si>
    <t>Блок комб.Пралеска (3кл.выкл.+роз.) 3В-РЦ-525 /54/</t>
  </si>
  <si>
    <t>37244</t>
  </si>
  <si>
    <t>Блок комб.Пралеска (3кл.выкл.+роз.с з/к) 3В-РЦ-531 /40/</t>
  </si>
  <si>
    <t>373 Вилки эл./Кабель питания с вилкой</t>
  </si>
  <si>
    <t>37382</t>
  </si>
  <si>
    <t>Вилка б/з 10А 250В прямой вывод проводн. TDM SQ1806-0089</t>
  </si>
  <si>
    <t>37384</t>
  </si>
  <si>
    <t>Вилка б/з 6A 250В черная TDM SQ1806-0002</t>
  </si>
  <si>
    <t>37383</t>
  </si>
  <si>
    <t>Вилка прямая б/з 6A 250В белая TDM SQ1806-0001 /50/</t>
  </si>
  <si>
    <t>37389</t>
  </si>
  <si>
    <t>Вилка угловая с ушком с/з 16A 250В белая TDM SQ1806-0005 /35/</t>
  </si>
  <si>
    <t>37390</t>
  </si>
  <si>
    <t>Вилка угловая с ушком с/з 16A 250В черная TDM SQ1806-0006 /35/</t>
  </si>
  <si>
    <t>37391</t>
  </si>
  <si>
    <t>Вилка угловая с/з 16A 250В белая TDM SQ1806-0007 /30/</t>
  </si>
  <si>
    <t>37354</t>
  </si>
  <si>
    <t>Вилка штепс.Far трехфазная F41</t>
  </si>
  <si>
    <t>37303</t>
  </si>
  <si>
    <t>Вилка штепс.Ливны В6-001 бел.л/ш разборная плоская /600/</t>
  </si>
  <si>
    <t>37347</t>
  </si>
  <si>
    <t>Вилка штепс.Ливны В6-001 слон. кость,с/ш разборная плоская В6141с/600/</t>
  </si>
  <si>
    <t>37308</t>
  </si>
  <si>
    <t>Вилка штепс.Ливны В6-002 слон.кость л/ш разборная круглая/600/</t>
  </si>
  <si>
    <t>37326</t>
  </si>
  <si>
    <t>Вилка штепс.Минск Бт В16-242 угловая АБС с з/к белая /30/</t>
  </si>
  <si>
    <t>37310</t>
  </si>
  <si>
    <t>Вилка штепс.Минск Бт В6-241 угловая АБС белая /30/</t>
  </si>
  <si>
    <t>37398</t>
  </si>
  <si>
    <t>Вилка штепс.Прогресс косая с кольцом универс. белая /35/</t>
  </si>
  <si>
    <t>37321</t>
  </si>
  <si>
    <t>Вилка штепс.Прогресс косая с кольцом универс. черно-белая /35/350/</t>
  </si>
  <si>
    <t>37352</t>
  </si>
  <si>
    <t>Вилка штепс.Прогресс косая универс. белая /30/300/</t>
  </si>
  <si>
    <t>37399</t>
  </si>
  <si>
    <t>Вилка штепс.Прогресс косая универс. черная /30/300/</t>
  </si>
  <si>
    <t>37300</t>
  </si>
  <si>
    <t>Вилка штепс.Прогресс прямая б/з Mini черная /50/</t>
  </si>
  <si>
    <t>37368</t>
  </si>
  <si>
    <t>Вилка штепс.Прогресс прямая б/з белая /500/</t>
  </si>
  <si>
    <t>37330</t>
  </si>
  <si>
    <t>Вилка штепс.Прогресс прямая б/з черная /500/</t>
  </si>
  <si>
    <t>37322</t>
  </si>
  <si>
    <t>Вилка штепс.Прогресс прямая с/з белая /30/</t>
  </si>
  <si>
    <t>37353</t>
  </si>
  <si>
    <t>Вилка штепс.Прогресс прямая с/з черная /30/</t>
  </si>
  <si>
    <t>37301</t>
  </si>
  <si>
    <t>Штепсель Прогресс б/з 1 гнездо черный /20/</t>
  </si>
  <si>
    <t>374 Выключатели эл.</t>
  </si>
  <si>
    <t>34046</t>
  </si>
  <si>
    <t>Выключатель звонка Севиль С0026 бел/10/</t>
  </si>
  <si>
    <t>37434</t>
  </si>
  <si>
    <t>Выключатель Ливны 1 СП бел.С1-002 ЭППК115 /120/</t>
  </si>
  <si>
    <t>37407</t>
  </si>
  <si>
    <t>Выключатель проходной (бра) Бт Минск ВШ21 2,5-001 /72/</t>
  </si>
  <si>
    <t>37416</t>
  </si>
  <si>
    <t>Выключатель проходной (бра) Прогресс черный /10/100/</t>
  </si>
  <si>
    <t>37421</t>
  </si>
  <si>
    <t>Защита стены под выключатель 1-я бежевая Zamel</t>
  </si>
  <si>
    <t>37412</t>
  </si>
  <si>
    <t>Защита стены под выключатель 1-я белая Zamel</t>
  </si>
  <si>
    <t>37415</t>
  </si>
  <si>
    <t>Защита стены под выключатель 1-я прозрачная Zamel</t>
  </si>
  <si>
    <t>37426</t>
  </si>
  <si>
    <t>Защита стены под выключатель 2-я бежевая Zamel</t>
  </si>
  <si>
    <t>37423</t>
  </si>
  <si>
    <t>Защита стены под выключатель 2-я белая Zamel</t>
  </si>
  <si>
    <t>37414</t>
  </si>
  <si>
    <t>Защита стены под выключатель 2-я прозрачная Zamel</t>
  </si>
  <si>
    <t>37450</t>
  </si>
  <si>
    <t>Рамка Гуси б.С110-001</t>
  </si>
  <si>
    <t>375 Знаки электробезопасности</t>
  </si>
  <si>
    <t>34174</t>
  </si>
  <si>
    <t>Наклейка "Выход" 10х30 под аккумулят. свет.</t>
  </si>
  <si>
    <t>14045</t>
  </si>
  <si>
    <t>Наклейка "Стрелка" 10х30 под аккумулят. свет. Sung</t>
  </si>
  <si>
    <t>34176</t>
  </si>
  <si>
    <t>Наклейка "Человек влево" 10х30 под аккумулят. свет.</t>
  </si>
  <si>
    <t>34175</t>
  </si>
  <si>
    <t>Наклейка "Человек вправо" 10х30 под аккумулят. свет.</t>
  </si>
  <si>
    <t>376 Кабель-канал/плинтуса</t>
  </si>
  <si>
    <t>37641</t>
  </si>
  <si>
    <t>Кабель-канал 100*40 РФ 2м ПВХ /12/</t>
  </si>
  <si>
    <t>37643</t>
  </si>
  <si>
    <t>Кабель-канал 100*60 РФ 2м ПВХ /18/</t>
  </si>
  <si>
    <t>37603</t>
  </si>
  <si>
    <t>Кабель-канал 12*12 РФ 2м ПВХ /100/</t>
  </si>
  <si>
    <t>37604</t>
  </si>
  <si>
    <t>Кабель-канал 15*10 РФ 2м ПВХ /100/</t>
  </si>
  <si>
    <t>37605</t>
  </si>
  <si>
    <t>Кабель-канал 16*16 РФ 2м ПВХ /70/</t>
  </si>
  <si>
    <t>37606</t>
  </si>
  <si>
    <t>Кабель-канал 20*10 РФ 2м ПВХ /80/</t>
  </si>
  <si>
    <t>37607</t>
  </si>
  <si>
    <t>Кабель-канал 25*16 РФ 2м ПВХ /42/</t>
  </si>
  <si>
    <t>34605</t>
  </si>
  <si>
    <t>Кабель-канал 25*25 РФ 2м ПВХ /30/</t>
  </si>
  <si>
    <t>37666</t>
  </si>
  <si>
    <t>Кабель-канал 40*25 РФ 2м ПВХ /16/</t>
  </si>
  <si>
    <t>37619</t>
  </si>
  <si>
    <t>Кабель-канал 60*40 РФ 2м ПВХ /40/</t>
  </si>
  <si>
    <t>37609</t>
  </si>
  <si>
    <t>Кабель-канал 60*60 РФ 2м ПВХ /12/</t>
  </si>
  <si>
    <t>37638</t>
  </si>
  <si>
    <t>Кабель-канал 80*40 РФ 2м ПВХ /15/</t>
  </si>
  <si>
    <t>37640</t>
  </si>
  <si>
    <t>Кабель-канал 80*60 РФ 2м ПВХ /12/</t>
  </si>
  <si>
    <t>37664</t>
  </si>
  <si>
    <t>Кабель-канал Rexant 12*12 РФ 2м ПВХ /70/</t>
  </si>
  <si>
    <t>37661</t>
  </si>
  <si>
    <t>Кабель-канал Rexant 16*16 РФ 2м ПВХ /42/</t>
  </si>
  <si>
    <t>377 Колодки клеммные/зажимы</t>
  </si>
  <si>
    <t>37730</t>
  </si>
  <si>
    <t>Зажим Wago безвинтов.221-415 5*(0,14-4,0) /25/</t>
  </si>
  <si>
    <t>37700</t>
  </si>
  <si>
    <t>Зажим Wago безвинтов.222-412 2*(0,08-4/2,5) /50/</t>
  </si>
  <si>
    <t>37728</t>
  </si>
  <si>
    <t>Зажим Wago безвинтов.222-413 3*(0,08-2,5) /50/</t>
  </si>
  <si>
    <t>37708</t>
  </si>
  <si>
    <t>Зажим Wago безвинтов.222-415 5*(0,08-2,5) /40/</t>
  </si>
  <si>
    <t>37737</t>
  </si>
  <si>
    <t>Зажим Wago безвинтов.2273-205 5*(0,5-2,5) б/пасты /100/</t>
  </si>
  <si>
    <t>37748</t>
  </si>
  <si>
    <t>Зажим Wago безвинтов.2273-244 2*(0,5-2,5) с пастой /50/</t>
  </si>
  <si>
    <t>37746</t>
  </si>
  <si>
    <t>Зажим Wago безвинтов.2273-248 8*(0,75-2,5) с пастой /50/</t>
  </si>
  <si>
    <t>37706</t>
  </si>
  <si>
    <t>Зажим Wago безвинтов.273-503 3*(1,5-4,0) /50/</t>
  </si>
  <si>
    <t>37729</t>
  </si>
  <si>
    <t>Зажим Wago безвинтов.773-173 3*(2,5-6,0) /50/</t>
  </si>
  <si>
    <t>37738</t>
  </si>
  <si>
    <t>Зажим соед.из.СИЗ-1 сер.4-0,75/3*1,0/2*1,5(мм.кв)(3,00мм.кв.) 5 штук</t>
  </si>
  <si>
    <t>34720</t>
  </si>
  <si>
    <t>Зажим соед.из.СИЗ-1 сер.4-0,75/3*1,0/2*1,5(мм.кв)(3,00мм.кв.) CH /50/</t>
  </si>
  <si>
    <t>37714</t>
  </si>
  <si>
    <t>Зажим соед.из.СИЗ-2 синий 3мм 07-5217 /100/</t>
  </si>
  <si>
    <t>37739</t>
  </si>
  <si>
    <t>Зажим соед.из.СИЗ-2 синий 4-1,0/3*1,5/2*2,5(мм.кв)(4,50мм.кв.) CHS-P72 5 штук</t>
  </si>
  <si>
    <t>37740</t>
  </si>
  <si>
    <t>Зажим соед.из.СИЗ-3 оранжевый 3,3мм 07-5218 /100/</t>
  </si>
  <si>
    <t>37715</t>
  </si>
  <si>
    <t>Зажим соед.из.СИЗ-4 желтый 4,8мм 07-5219 /100/</t>
  </si>
  <si>
    <t>37707</t>
  </si>
  <si>
    <t>Зажим соед.из.СИЗ-5 красный 5,4мм 07-5220 /100/</t>
  </si>
  <si>
    <t>37736</t>
  </si>
  <si>
    <t>Клемма соединительнаяч многоразовая 3-х проводная 32 А 4 шт 901-029 /20/700/</t>
  </si>
  <si>
    <t>37721</t>
  </si>
  <si>
    <t>Клеммная колодка  JXB 16/35</t>
  </si>
  <si>
    <t>37722</t>
  </si>
  <si>
    <t>Клеммная колодка  JXB 35/35</t>
  </si>
  <si>
    <t>37723</t>
  </si>
  <si>
    <t>Клеммная колодка JXB 10/35 желтая</t>
  </si>
  <si>
    <t>37755</t>
  </si>
  <si>
    <t>Клеммная колодка JXB 10/35 серая</t>
  </si>
  <si>
    <t>37756</t>
  </si>
  <si>
    <t>Клеммная колодка JXB 2,5/35 серая</t>
  </si>
  <si>
    <t>37752</t>
  </si>
  <si>
    <t>Клемная колодка Прогресс 12клемм 10А 2,5-6 мм /10/</t>
  </si>
  <si>
    <t>37751</t>
  </si>
  <si>
    <t>Клемная колодка Прогресс 12клемм 15А 4-10 мм /10/</t>
  </si>
  <si>
    <t>37750</t>
  </si>
  <si>
    <t>Клемная колодка Прогресс 12клемм 20А 6-12 мм /10/</t>
  </si>
  <si>
    <t>37754</t>
  </si>
  <si>
    <t>Клемная колодка Прогресс 12клемм 3А 0,75-2,5 мм /10/1200/</t>
  </si>
  <si>
    <t>37753</t>
  </si>
  <si>
    <t>Клемная колодка Прогресс 12клемм 6А 1,5-4 мм /10/1000/</t>
  </si>
  <si>
    <t>37745</t>
  </si>
  <si>
    <t>Клемная колодка ЭВИ-20 1,5-6мм SQ0510-0005</t>
  </si>
  <si>
    <t>34073</t>
  </si>
  <si>
    <t>Сжим Прима У731М ответвительн.4-10/1,5-10мм2</t>
  </si>
  <si>
    <t>37733</t>
  </si>
  <si>
    <t>Сжим Прима У733М ответвительн.16-35/1,5-10мм2</t>
  </si>
  <si>
    <t>34075</t>
  </si>
  <si>
    <t>Сжим Прима У734М ответвительн.16-35/16-25мм2</t>
  </si>
  <si>
    <t>34076</t>
  </si>
  <si>
    <t>Сжим Прима У739М ответвительн.4-10/15-2,5мм2</t>
  </si>
  <si>
    <t>37726</t>
  </si>
  <si>
    <t>Сжим Прима У870 ответвительн.95-150/16-35мм2</t>
  </si>
  <si>
    <t>37719</t>
  </si>
  <si>
    <t>Сжим Прима У871 ответвительн.95-150/50-95мм2</t>
  </si>
  <si>
    <t>37720</t>
  </si>
  <si>
    <t>Сжим Прима У872 ответвительн.95-150/95-120мм2</t>
  </si>
  <si>
    <t>378 Коробки электроустановочные</t>
  </si>
  <si>
    <t>37866</t>
  </si>
  <si>
    <t>Аксессуар соединительный для коробок серии КУ12 HEGEL  ПК 5201</t>
  </si>
  <si>
    <t>34614</t>
  </si>
  <si>
    <t>Коробка Минск потолочн.КП-204 99*61мм /135/</t>
  </si>
  <si>
    <t>34710</t>
  </si>
  <si>
    <t>Коробка монтажн. Wessen II-U-1 пластмассовая</t>
  </si>
  <si>
    <t>37860</t>
  </si>
  <si>
    <t>Коробка монтажн. Wessen L90 пластмассовая</t>
  </si>
  <si>
    <t>37879</t>
  </si>
  <si>
    <t>Коробка монтажн. Ливны (карболит) КМ02 УХЛ2 КМ02 /160/</t>
  </si>
  <si>
    <t>37845</t>
  </si>
  <si>
    <t>Коробка монтажн. Минск К-207 D75 /210/</t>
  </si>
  <si>
    <t>37836</t>
  </si>
  <si>
    <t>Коробка монтажн. Минск КМ-206 г/к 94*46 /125/</t>
  </si>
  <si>
    <t>13263</t>
  </si>
  <si>
    <t>Коробка монтажн. Минск СП К-201</t>
  </si>
  <si>
    <t>34718</t>
  </si>
  <si>
    <t>Коробка ОП 3-х рожк. белая б/ф КРК 70х30</t>
  </si>
  <si>
    <t>37851</t>
  </si>
  <si>
    <t>Коробка ОП 3-х рожк. карболитов.с/ф герметич. У-409</t>
  </si>
  <si>
    <t>37877</t>
  </si>
  <si>
    <t>Коробка ОП герметич.белая КЭМ5-10-7</t>
  </si>
  <si>
    <t>37807</t>
  </si>
  <si>
    <t>Коробка ответвительная Wessen У-191 /100/</t>
  </si>
  <si>
    <t>37873</t>
  </si>
  <si>
    <t>Коробка ответвительная СП КРК  д70*30</t>
  </si>
  <si>
    <t>37834</t>
  </si>
  <si>
    <t>Коробка разветв ОП (74,6*44) 4 вывод с крышк.КР2601</t>
  </si>
  <si>
    <t>37848</t>
  </si>
  <si>
    <t>Коробка разветв СП круглая КР1202 Д80 Н45</t>
  </si>
  <si>
    <t>13936</t>
  </si>
  <si>
    <t>Коробка разветвит. ТУСО 10143 ГСК СП 140*65*45 овал.с кр</t>
  </si>
  <si>
    <t>37888</t>
  </si>
  <si>
    <t>Коробка распаячн. TDM SQ1401-0203 ОП с крыш 75*75*20мм /10/</t>
  </si>
  <si>
    <t>37889</t>
  </si>
  <si>
    <t>Коробка распаячн. TDM SQ1401-0205 ОП с крыш 75*75*28мм /10/</t>
  </si>
  <si>
    <t>37890</t>
  </si>
  <si>
    <t>Коробка распаячн. TDM SQ1401-0207 ОП с крыш 100*100*29мм /6/</t>
  </si>
  <si>
    <t>37891</t>
  </si>
  <si>
    <t>Коробка распаячн. TDM SQ1401-0209 ОП с крыш 100*100*44мм /2/24/</t>
  </si>
  <si>
    <t>37885</t>
  </si>
  <si>
    <t>Коробка распаячн. TDM SQ1403-1022 СП с крыш 92x92x45мм</t>
  </si>
  <si>
    <t>37892</t>
  </si>
  <si>
    <t>Коробка распаячн. TDM SQ1403-1026 СП с крыш 172*96*45мм</t>
  </si>
  <si>
    <t>37884</t>
  </si>
  <si>
    <t>Коробка распаячн. TDM SQ1403-1028 СП с крыш 120x92x45мм</t>
  </si>
  <si>
    <t>37846</t>
  </si>
  <si>
    <t>Коробка распаячн. ТУСО 10141 СП с крыш. овал 140*65*45 /80/</t>
  </si>
  <si>
    <t>37813</t>
  </si>
  <si>
    <t>Коробка распаячн. ТУСО 10143 ОП ГСКовал 140*65*45</t>
  </si>
  <si>
    <t>37816</t>
  </si>
  <si>
    <t>Коробка распаячн. ТУСО 10174 (80*45) ГСК с крышкой без винтов /90/</t>
  </si>
  <si>
    <t>37837</t>
  </si>
  <si>
    <t>Коробка распаячн. ТУСО 65005 д/кабель-канал. 85*85*25мм белый /70/</t>
  </si>
  <si>
    <t>37842</t>
  </si>
  <si>
    <t>Коробка распределит. 80*80*55 3муфт. без отв. С3В80-002</t>
  </si>
  <si>
    <t>13278</t>
  </si>
  <si>
    <t>Коробка У-197 д/скр. мет.</t>
  </si>
  <si>
    <t>37831</t>
  </si>
  <si>
    <t>Коробка установ. карб. КЭМ 1-10-3 ОП 3-х рож герм (72мм)</t>
  </si>
  <si>
    <t>37854</t>
  </si>
  <si>
    <t>Коробка установ. карб. КЭМ 1-10-3 ОП 3-х рож герм (78мм)</t>
  </si>
  <si>
    <t>37833</t>
  </si>
  <si>
    <t>Коробка установ. карб. КЭМ 1-10-4 ОП 4-х рож герм (72мм)</t>
  </si>
  <si>
    <t>37855</t>
  </si>
  <si>
    <t>Коробка установ. карб. КЭМ 1-10-4 ОП 4-х рож герм (78мм)</t>
  </si>
  <si>
    <t>37852</t>
  </si>
  <si>
    <t>Коробка установ. С/У 80*36мм II-L90-1</t>
  </si>
  <si>
    <t>37841</t>
  </si>
  <si>
    <t>Коробка установ. ТУСО 10131 в бетон 70*60</t>
  </si>
  <si>
    <t>37847</t>
  </si>
  <si>
    <t>Крышка универ. D80мм КМ 206 для распред. коробок</t>
  </si>
  <si>
    <t>37882</t>
  </si>
  <si>
    <t>Крюк потолочный с изолятором нагрузка до 15кг 5301</t>
  </si>
  <si>
    <t>379 Металлорукава</t>
  </si>
  <si>
    <t>34078</t>
  </si>
  <si>
    <t>Металлорукав Д10 Р3-ЦХ-10 100м</t>
  </si>
  <si>
    <t>381 Патроны</t>
  </si>
  <si>
    <t>38150</t>
  </si>
  <si>
    <t>Патрон эл. карболитовый настенный Е27 Прогресс /50/</t>
  </si>
  <si>
    <t>38120</t>
  </si>
  <si>
    <t>Патрон эл. карболитовый подвес Е14 миньон К-001</t>
  </si>
  <si>
    <t>38103</t>
  </si>
  <si>
    <t>Патрон эл. карболитовый подвес Е14 миньон с 2-мя прижим. кольцоми</t>
  </si>
  <si>
    <t>38129</t>
  </si>
  <si>
    <t>Патрон эл. карболитовый подвес Е14 Н10 с прижимным кольцом /70/</t>
  </si>
  <si>
    <t>38102</t>
  </si>
  <si>
    <t>Патрон эл. карболитовый подвес Е14 Прогресс /50/</t>
  </si>
  <si>
    <t>38108</t>
  </si>
  <si>
    <t>Патрон эл. карболитовый подвес Е14 Прогресс с прижимным кольцом /50/</t>
  </si>
  <si>
    <t>38138</t>
  </si>
  <si>
    <t>Патрон эл. карболитовый подвес Е27 /320/</t>
  </si>
  <si>
    <t>38109</t>
  </si>
  <si>
    <t>Патрон эл. карболитовый подвес Е27 Н12 с прижимным кольцом /200/</t>
  </si>
  <si>
    <t>38136</t>
  </si>
  <si>
    <t>Патрон эл. карболитовый подвес Е27 Прогресс /50/</t>
  </si>
  <si>
    <t>38113</t>
  </si>
  <si>
    <t>Патрон эл. карболитовый подвес Е27 Прогресс с прижимным кольцом /50/</t>
  </si>
  <si>
    <t>38139</t>
  </si>
  <si>
    <t>Патрон эл. карболитовый подвес Е27 с 2-мя прижим. кольцоми рерьб. E27ТРК-003</t>
  </si>
  <si>
    <t>38106</t>
  </si>
  <si>
    <t>Патрон эл. карболитовый потолоч. Е27 Прогресс /50/</t>
  </si>
  <si>
    <t>38110</t>
  </si>
  <si>
    <t>Патрон эл. карболитовый потолоч. Е27 Ф-034 НПО "Волга" ВОС /150/</t>
  </si>
  <si>
    <t>38117</t>
  </si>
  <si>
    <t>Патрон эл. карболитовый потолоч. Е27 ФпП-01 прямой /110/</t>
  </si>
  <si>
    <t>38104</t>
  </si>
  <si>
    <t>Патрон эл. керам. для галог. ламп G4 TDM</t>
  </si>
  <si>
    <t>38111</t>
  </si>
  <si>
    <t>Патрон эл. керам. для галог. ламп GU10</t>
  </si>
  <si>
    <t>38107</t>
  </si>
  <si>
    <t>Патрон эл. керам. для галог. ламп MR-11/MR-16 G4/5.3</t>
  </si>
  <si>
    <t>38114</t>
  </si>
  <si>
    <t>Патрон эл. керам. Е14 крепление за ниппель. шейку без резьбы Д10,5 ДК-06</t>
  </si>
  <si>
    <t>38116</t>
  </si>
  <si>
    <t>Патрон эл. керам. Е27 с планкой F519A /400/</t>
  </si>
  <si>
    <t>38131</t>
  </si>
  <si>
    <t>Патрон эл. керам. настенный Е27 крепление за фланец ФнК-05</t>
  </si>
  <si>
    <t>38151</t>
  </si>
  <si>
    <t>Патрон эл. керам. подвесной Е14 Прогресс /400/</t>
  </si>
  <si>
    <t>38156</t>
  </si>
  <si>
    <t>Патрон эл. пластмасс. наст. бел. Е27 Прогресс /20/200/</t>
  </si>
  <si>
    <t>38128</t>
  </si>
  <si>
    <t>Патрон эл. пластмасс. подв. бел. Е14 LHP-E14-s</t>
  </si>
  <si>
    <t>38152</t>
  </si>
  <si>
    <t>Патрон эл. пластмасс. подв. бел. Е14 с прижимным кольцом Прогресс /50/200/</t>
  </si>
  <si>
    <t>38153</t>
  </si>
  <si>
    <t>Патрон эл. пластмасс. подв. бел. Е27 Прогресс /50/200/</t>
  </si>
  <si>
    <t>38118</t>
  </si>
  <si>
    <t>Патрон эл. пластмасс. подв. бел. Е27 с клеммной колодкой TDM /50/</t>
  </si>
  <si>
    <t>38154</t>
  </si>
  <si>
    <t>Патрон эл. пластмасс. подв. бел. Е27 с прижимным кольцом Прогресс /50/</t>
  </si>
  <si>
    <t>38160</t>
  </si>
  <si>
    <t>Патрон эл. пластмасс. подв. бел. Е27 с проводом Прогресс /50/200/</t>
  </si>
  <si>
    <t>38157</t>
  </si>
  <si>
    <t>Патрон эл. пластмасс. подв. черн. Е27 с проводом Прогресс /50/200/</t>
  </si>
  <si>
    <t>38155</t>
  </si>
  <si>
    <t>Патрон эл. пластмасс. потол. бел. Е27 Прогресс /20/200/</t>
  </si>
  <si>
    <t>38141</t>
  </si>
  <si>
    <t>Подвес с патроном Е27 1м бирюза /50/</t>
  </si>
  <si>
    <t>38142</t>
  </si>
  <si>
    <t>Подвес с патроном Е27 1м голубой /50/</t>
  </si>
  <si>
    <t>38143</t>
  </si>
  <si>
    <t>Подвес с патроном Е27 1м желтый /50/</t>
  </si>
  <si>
    <t>38145</t>
  </si>
  <si>
    <t>Подвес с патроном Е27 1м красный /50/</t>
  </si>
  <si>
    <t>38146</t>
  </si>
  <si>
    <t>Подвес с патроном Е27 1м оранж /50/</t>
  </si>
  <si>
    <t>382 Подрозетники и прочее для розеток</t>
  </si>
  <si>
    <t>38218</t>
  </si>
  <si>
    <t>Заглушка для розетки Светоприбор Минск ЮЛИГ</t>
  </si>
  <si>
    <t>38222</t>
  </si>
  <si>
    <t>Заглушки для розетки 6шт сключом VL90-159 /30/129/</t>
  </si>
  <si>
    <t>38215</t>
  </si>
  <si>
    <t>Заглушки для розетки с держ. 4 шт пластик д3,2*2,2 см 416-078 /12/</t>
  </si>
  <si>
    <t>38203</t>
  </si>
  <si>
    <t>Кабель-канал для соед. подроз. СЗМ2 и СЗЕ2, СЗА3 /30/</t>
  </si>
  <si>
    <t>38221</t>
  </si>
  <si>
    <t>Крышка для розетки Ливны 1 РА слон.кость кругл с/к/ЭППК149/</t>
  </si>
  <si>
    <t>38211</t>
  </si>
  <si>
    <t>Подрозетник устан. Hegel КУ1201 СП г/к д68*45 6 выв.с винтами пл.лапки /288/</t>
  </si>
  <si>
    <t>38227</t>
  </si>
  <si>
    <t>Подрозетник устан. Hegel КУ1202 СП г/к д68*45 6 выв.с винтами мет.лапки /288/</t>
  </si>
  <si>
    <t>38200</t>
  </si>
  <si>
    <t>Подрозетник устан. Hegel КУ1203 СП г/к д68*40 6 выв.с винтами пл.лапки /336/</t>
  </si>
  <si>
    <t>13766</t>
  </si>
  <si>
    <t>Подрозетник устан.СП г/к 100*60*45 Анам</t>
  </si>
  <si>
    <t>37849</t>
  </si>
  <si>
    <t>Подрозетник установ. ТУСО 10142 СП  ГСК  с мет лап 140*65*45</t>
  </si>
  <si>
    <t>12173</t>
  </si>
  <si>
    <t>Подрозетник установ. ТУСО 10156 СП в бетон с плоск. крыш. 60*40</t>
  </si>
  <si>
    <t>14182</t>
  </si>
  <si>
    <t>Подрозетник установ. ТУСО 10190 бетон 60*62 для блоков</t>
  </si>
  <si>
    <t>38209</t>
  </si>
  <si>
    <t>Подрозетник установ.Gusi Electric С3Е3 г/к Д68 Н45 с винтами пласт. лапки /220/</t>
  </si>
  <si>
    <t>38206</t>
  </si>
  <si>
    <t>Подрозетник установ.Gusi Electric С3Е3КК г/к Д68 Н45 с винтами пласт. лапки с кабель кан. /200/</t>
  </si>
  <si>
    <t>383 Предохранители и изоляторы</t>
  </si>
  <si>
    <t>ИЗМ67460</t>
  </si>
  <si>
    <t>Вставка плавкая ПН2-80 А</t>
  </si>
  <si>
    <t>38300</t>
  </si>
  <si>
    <t>Основание предохранителя Е27П-25/380 /100/</t>
  </si>
  <si>
    <t>34819</t>
  </si>
  <si>
    <t>Предохранитель авт. ПАР10 /16/</t>
  </si>
  <si>
    <t>38302</t>
  </si>
  <si>
    <t>Предохранитель авт. ПАР16 /16/</t>
  </si>
  <si>
    <t>384 Приборы преобразования элект.тока</t>
  </si>
  <si>
    <t>38406</t>
  </si>
  <si>
    <t>Стартер 127 В OSRAM ST 151</t>
  </si>
  <si>
    <t>38400</t>
  </si>
  <si>
    <t>Стартер 127 В Россия 4-22-127 (S 2)</t>
  </si>
  <si>
    <t>38407</t>
  </si>
  <si>
    <t>Стартер 220 В OSRAM ST 111 (S10  4-65) /25/</t>
  </si>
  <si>
    <t>38414</t>
  </si>
  <si>
    <t>Трансформатор тока TOSHIBRA 220/12V 200W</t>
  </si>
  <si>
    <t>385 Разветвители</t>
  </si>
  <si>
    <t>38560</t>
  </si>
  <si>
    <t>Разветвитель эл. 3 гнезда бел, черн 907-120 /10/50/</t>
  </si>
  <si>
    <t>38504</t>
  </si>
  <si>
    <t>Разветвитель эл.Минск РВ16-258 плоский /8/</t>
  </si>
  <si>
    <t>38503</t>
  </si>
  <si>
    <t>Разветвитель эл.Минск РВ16-259 плоский с з/к /6/</t>
  </si>
  <si>
    <t>38563</t>
  </si>
  <si>
    <t>Разветвитель эл.Минск РВ16-373 2 гн с з/к /40/</t>
  </si>
  <si>
    <t>38565</t>
  </si>
  <si>
    <t>Разветвитель эл.Минск РВ16-375 3 гн с з/к /9/</t>
  </si>
  <si>
    <t>38564</t>
  </si>
  <si>
    <t>Разветвитель эл.Минск РВ16-376 3 гн /36/</t>
  </si>
  <si>
    <t>38572</t>
  </si>
  <si>
    <t>Разветвитель эл.Минск РВ16-377 3 гн</t>
  </si>
  <si>
    <t>38561</t>
  </si>
  <si>
    <t>Разветвитель эл.Прогресс б /з белый /20/</t>
  </si>
  <si>
    <t>38562</t>
  </si>
  <si>
    <t>Разветвитель эл.Прогресс б /з карболитовый черный /20/</t>
  </si>
  <si>
    <t>38500</t>
  </si>
  <si>
    <t>Разветвитель эл.Прогресс б /з черный /20/</t>
  </si>
  <si>
    <t>38545</t>
  </si>
  <si>
    <t>Разветвитель эл.Радист РВ-043 круглый черный в упак</t>
  </si>
  <si>
    <t>386 DIN-рейки</t>
  </si>
  <si>
    <t>38616</t>
  </si>
  <si>
    <t>DIN-рейка 1000мм /10/</t>
  </si>
  <si>
    <t>38608</t>
  </si>
  <si>
    <t>DIN-рейка 100мм /10/</t>
  </si>
  <si>
    <t>38617</t>
  </si>
  <si>
    <t>DIN-рейка 110мм /100/</t>
  </si>
  <si>
    <t>38605</t>
  </si>
  <si>
    <t>DIN-рейка 110мм 6 модулей /10/</t>
  </si>
  <si>
    <t>38615</t>
  </si>
  <si>
    <t>DIN-рейка 115мм /100/</t>
  </si>
  <si>
    <t>38618</t>
  </si>
  <si>
    <t>DIN-рейка 1200мм /10/</t>
  </si>
  <si>
    <t>38619</t>
  </si>
  <si>
    <t>DIN-рейка 125мм /10/</t>
  </si>
  <si>
    <t>38620</t>
  </si>
  <si>
    <t>DIN-рейка 130мм /10/</t>
  </si>
  <si>
    <t>38622</t>
  </si>
  <si>
    <t>DIN-рейка 150мм /10/</t>
  </si>
  <si>
    <t>38609</t>
  </si>
  <si>
    <t>DIN-рейка 200мм /10/</t>
  </si>
  <si>
    <t>38606</t>
  </si>
  <si>
    <t>DIN-рейка 225мм /10/</t>
  </si>
  <si>
    <t>38624</t>
  </si>
  <si>
    <t>DIN-рейка 300мм /10/</t>
  </si>
  <si>
    <t>38611</t>
  </si>
  <si>
    <t>DIN-рейка 300мм 16 модулей /50/</t>
  </si>
  <si>
    <t>38625</t>
  </si>
  <si>
    <t>DIN-рейка 500мм /10/</t>
  </si>
  <si>
    <t>38602</t>
  </si>
  <si>
    <t>DIN-рейка 75мм 4 модуля /10/</t>
  </si>
  <si>
    <t>38626</t>
  </si>
  <si>
    <t>DIN-рейка 800мм /10/</t>
  </si>
  <si>
    <t>38614</t>
  </si>
  <si>
    <t>DIN-рейка 95мм /100/</t>
  </si>
  <si>
    <t>38632</t>
  </si>
  <si>
    <t>DIN-рейка L-100мм перфорированная ЭКФ adr-10</t>
  </si>
  <si>
    <t>38633</t>
  </si>
  <si>
    <t>DIN-рейка L-110мм перфорированная ЭКФ adr-11</t>
  </si>
  <si>
    <t>38634</t>
  </si>
  <si>
    <t>DIN-рейка L-300мм перфорированная ЭКФ adr-30</t>
  </si>
  <si>
    <t>38635</t>
  </si>
  <si>
    <t>Шина нулевая 10гр. 6*9 мм в изоляторе</t>
  </si>
  <si>
    <t>38628</t>
  </si>
  <si>
    <t>Шина нулевая 12гр. 6*9 мм в изоляторе</t>
  </si>
  <si>
    <t>38639</t>
  </si>
  <si>
    <t>Шина нулевая 6гр. 6*9 мм в изоляторе</t>
  </si>
  <si>
    <t>38636</t>
  </si>
  <si>
    <t>Шина нулевая 8гр. 6*9 мм в изоляторе</t>
  </si>
  <si>
    <t>38627</t>
  </si>
  <si>
    <t>Шина нулевая 8гр. 6*9 мм крепеж поцентру SQ0801-0002 /10/</t>
  </si>
  <si>
    <t>38638</t>
  </si>
  <si>
    <t>Шина нулевая 8гр. 8*12 мм крепеж по центру</t>
  </si>
  <si>
    <t>387 Боксы/щиты/щитки</t>
  </si>
  <si>
    <t>38748</t>
  </si>
  <si>
    <t>Бокс настенного монтажа /912002/ Vi-ko СП 2 авт. /45/</t>
  </si>
  <si>
    <t>38707</t>
  </si>
  <si>
    <t>Бокс настенного монтажа /912004/ Vi-ko СП 4 авт. /30/</t>
  </si>
  <si>
    <t>38705</t>
  </si>
  <si>
    <t>Бокс настенного монтажа /912006/ Vi-ko СП 6 авт. /30/</t>
  </si>
  <si>
    <t>38749</t>
  </si>
  <si>
    <t>Бокс настенного монтажа /912008/ Vi-ko СП 8 авт. /20/</t>
  </si>
  <si>
    <t>38708</t>
  </si>
  <si>
    <t>Бокс настенного монтажа /9120128/ Vi-ko СП 12  авт.</t>
  </si>
  <si>
    <t>38727</t>
  </si>
  <si>
    <t>Бокс настенного монтажа /912102/ Vi-ko ОП 2 авт. /45/</t>
  </si>
  <si>
    <t>38701</t>
  </si>
  <si>
    <t>Бокс настенного монтажа /912104/ Vi-ko ОП 4 авт. /30/</t>
  </si>
  <si>
    <t>38702</t>
  </si>
  <si>
    <t>Бокс настенного монтажа /912106/ Vi-ko ОП 6 авт. /30/</t>
  </si>
  <si>
    <t>38703</t>
  </si>
  <si>
    <t>Бокс настенного монтажа /912108/ Vi-ko ОП 8 авт. /20/</t>
  </si>
  <si>
    <t>38714</t>
  </si>
  <si>
    <t>Бокс настенного монтажа /912112/ Vi-ko ОП 12  авт.</t>
  </si>
  <si>
    <t>38718</t>
  </si>
  <si>
    <t>Бокс настенного монтажа /912116/ Vi-ko ОП 16 авт.</t>
  </si>
  <si>
    <t>38742</t>
  </si>
  <si>
    <t>Бокс настенного монтажа Минск ОП 2-4 авт КНО-4Д /24/</t>
  </si>
  <si>
    <t>38743</t>
  </si>
  <si>
    <t>Бокс настенного монтажа Минск ОП 3-6 авт КНО-6Д /6/</t>
  </si>
  <si>
    <t>38744</t>
  </si>
  <si>
    <t>Бокс настенного монтажа Минск ОП 4-8 авт КНО-8Д /15/</t>
  </si>
  <si>
    <t>38745</t>
  </si>
  <si>
    <t>Бокс настенного монтажа Минск СП 2-4 авт КНС-4Д /24/</t>
  </si>
  <si>
    <t>38747</t>
  </si>
  <si>
    <t>Бокс настенного монтажа Минск СП 2-8 авт КНС-8Д /15/</t>
  </si>
  <si>
    <t>388 Электроустановочные Volsten</t>
  </si>
  <si>
    <t>38817</t>
  </si>
  <si>
    <t>Выключатель Volsten Magenta 1 СП V01-11-V12-S бел. с инд. /10/</t>
  </si>
  <si>
    <t>38826</t>
  </si>
  <si>
    <t>Выключатель Volsten Solar 1 ОП V01-31-V12-S бел. с инд. /10/</t>
  </si>
  <si>
    <t>38827</t>
  </si>
  <si>
    <t>Выключатель Volsten Solar 2 ОП V01-31-V21-S бел. /10/</t>
  </si>
  <si>
    <t>38828</t>
  </si>
  <si>
    <t>Выключатель Volsten Solar 2 ОП V01-31-V22-S бел. с инд. /10/</t>
  </si>
  <si>
    <t>ИЗМ36684</t>
  </si>
  <si>
    <t>Рамка Lezard Mira 3-ая горизонтальная белый 701-0202-148 (36684)</t>
  </si>
  <si>
    <t>0060128</t>
  </si>
  <si>
    <t>Розетка 1 мест комп в сборе Volsten V01-11-с11-S</t>
  </si>
  <si>
    <t>0069009</t>
  </si>
  <si>
    <t>Розетка 2 мест комп/телеф (Nero) м-зм Volsten V01-14-М10-М</t>
  </si>
  <si>
    <t>38812</t>
  </si>
  <si>
    <t>Розетка Volsten Magenta 1 СП V01-11-R14-S бел. c з/к /10/</t>
  </si>
  <si>
    <t>38813</t>
  </si>
  <si>
    <t>Розетка Volsten Magenta 1 СП V01-11-R18-S бел. c з/к с крышк. /10/</t>
  </si>
  <si>
    <t>38820</t>
  </si>
  <si>
    <t>Розетка Volsten Solar 1 ОП V01-31-R12-S бел. /10/</t>
  </si>
  <si>
    <t>38824</t>
  </si>
  <si>
    <t>Розетка Volsten Solar 2 ОП V01-31-R24-S бел. с з/к /10/</t>
  </si>
  <si>
    <t>389 ТВ</t>
  </si>
  <si>
    <t>658070</t>
  </si>
  <si>
    <t>Видео кабель S Video - S Video 1,2 м</t>
  </si>
  <si>
    <t>658080</t>
  </si>
  <si>
    <t>Видео кабель S Video - S Video 1,5 м</t>
  </si>
  <si>
    <t>38903</t>
  </si>
  <si>
    <t>ТВ F разъем (накручивающийся) RG-6 05-4003-6 /100/</t>
  </si>
  <si>
    <t>38920</t>
  </si>
  <si>
    <t>ТВ F разъем (накручивающийся) RG-6 253-050 /100/</t>
  </si>
  <si>
    <t>38933</t>
  </si>
  <si>
    <t>ТВ Гнездо антенное, пласт, без пайки, белое TDM SQ1809-0011</t>
  </si>
  <si>
    <t>38934</t>
  </si>
  <si>
    <t>ТВ Гнездо антенное, пласт, угловое, без пайки, белое TDM SQ1809-0016</t>
  </si>
  <si>
    <t>38932</t>
  </si>
  <si>
    <t>ТВ Гнездо угловое 05-2062 (255-231) /100/</t>
  </si>
  <si>
    <t>38917</t>
  </si>
  <si>
    <t>ТВ Переход гнездо F-гнездо F-бочка 05-4201-4 с кольцом /100/</t>
  </si>
  <si>
    <t>38906</t>
  </si>
  <si>
    <t>ТВ Переход гнездо F-гнездо F-бочка 05-4201-6 /100/</t>
  </si>
  <si>
    <t>38928</t>
  </si>
  <si>
    <t>ТВ Переход гнездо F-гнездо F-бочка 05-4301 /100/</t>
  </si>
  <si>
    <t>38930</t>
  </si>
  <si>
    <t>ТВ Переход гнездо F-гнездо угловое 05-4311-4</t>
  </si>
  <si>
    <t>38929</t>
  </si>
  <si>
    <t>ТВ Переход гнездо F-гнездо угловое 05-4312-4 /10/</t>
  </si>
  <si>
    <t>38938</t>
  </si>
  <si>
    <t>ТВ Переход гнездо TV гнездо прямой TDM SQ1809-0012 /100/</t>
  </si>
  <si>
    <t>38939</t>
  </si>
  <si>
    <t>ТВ Переход гнездо TV штекер прямой TDM SQ1809-0014 /100/</t>
  </si>
  <si>
    <t>38911</t>
  </si>
  <si>
    <t>ТВ Штекер (без пайки) 05-2041 /100/</t>
  </si>
  <si>
    <t>38931</t>
  </si>
  <si>
    <t>ТВ Штекер (без пайки) 05-2043-2 /100/</t>
  </si>
  <si>
    <t>38949</t>
  </si>
  <si>
    <t>ТВ Штекер (без пайки) 255-105 /100/</t>
  </si>
  <si>
    <t>38913</t>
  </si>
  <si>
    <t>ТВ Штекер (без пайки) FD-2419 05-2031 /10/</t>
  </si>
  <si>
    <t>38912</t>
  </si>
  <si>
    <t>ТВ Штекер F-разъем металич 253-105 /100/</t>
  </si>
  <si>
    <t>38945</t>
  </si>
  <si>
    <t>ТВ Штекер RG-6 TDM /100/</t>
  </si>
  <si>
    <t>38941</t>
  </si>
  <si>
    <t>ТВ Штекер антенный, металл, без пайки, орех, инд.упак. TDM SQ1009-0027</t>
  </si>
  <si>
    <t>38942</t>
  </si>
  <si>
    <t>ТВ Штекер антенный, пласт, без пайки, белый TDM SQ1809-0008</t>
  </si>
  <si>
    <t>38905</t>
  </si>
  <si>
    <t>ТВ Штекер угловой Rexant (без пайки) 05-2061 /100/</t>
  </si>
  <si>
    <t>390 Розетки</t>
  </si>
  <si>
    <t>39048</t>
  </si>
  <si>
    <t>Розетка 1 ОП Far с з/к F70</t>
  </si>
  <si>
    <t>39046</t>
  </si>
  <si>
    <t>Розетка 1 ОП Far трехфазная F42</t>
  </si>
  <si>
    <t>34518</t>
  </si>
  <si>
    <t>Розетка 1 СП Маргарита компьтерн.М0035 бел./10/</t>
  </si>
  <si>
    <t>39002</t>
  </si>
  <si>
    <t>Розетка SE Blanca 3 ОП 16А изол. пласт. белый /6/</t>
  </si>
  <si>
    <t>39005</t>
  </si>
  <si>
    <t>Розетка SE Blanca 3 ОП 16А изол. пласт. защ. шторки белый /6/</t>
  </si>
  <si>
    <t>39007</t>
  </si>
  <si>
    <t>Розетка SE Blanca 4 ОП 16А изол. пласт. белый /5/</t>
  </si>
  <si>
    <t>39000</t>
  </si>
  <si>
    <t>Розетка SE Blanca евро. 3 ОП 16А изол. пласт. белый /5/</t>
  </si>
  <si>
    <t>39001</t>
  </si>
  <si>
    <t>Розетка SE Blanca евро. 3 ОП 16А изол. пласт. защ. шторки белый /5/</t>
  </si>
  <si>
    <t>39023</t>
  </si>
  <si>
    <t>Розетка Vi-ko Yonca евро 3 СП  белая 90030</t>
  </si>
  <si>
    <t>39095</t>
  </si>
  <si>
    <t>Розетка Валентина евро 1 ОП РА16-638 /45/</t>
  </si>
  <si>
    <t>39009</t>
  </si>
  <si>
    <t>Розетка Валентина евро 2 ОП РА16-826 /36/</t>
  </si>
  <si>
    <t>39049</t>
  </si>
  <si>
    <t>Розетка евро 1 СП Прима шт РН16-113 для установ.в кабель -канал</t>
  </si>
  <si>
    <t>39026</t>
  </si>
  <si>
    <t>Розетка Ливны 1 ОП РА-10-007 с фарф. осн. кр. АБС РА ф115</t>
  </si>
  <si>
    <t>39036</t>
  </si>
  <si>
    <t>Розетка Ливны 1 СП РС10-002 кв. слон. кость з/к РС18127 /150/</t>
  </si>
  <si>
    <t>39011</t>
  </si>
  <si>
    <t>Розетка Ливны 1 СП РС10-002 кр. бел. з/к РС18116 /150/</t>
  </si>
  <si>
    <t>39050</t>
  </si>
  <si>
    <t>Розетка Ливны 1 СП РС10-008 АБС кв. белая керам. осн. РС ф25 /180/</t>
  </si>
  <si>
    <t>39045</t>
  </si>
  <si>
    <t>Розетка Ливны 1 СП РС10-008 кв. АВС РС1825-1 /200/</t>
  </si>
  <si>
    <t>39034</t>
  </si>
  <si>
    <t>Розетка Ливны 1 СП РС10-008 кв. слон. кость керам. осн. РС ф821 /180/</t>
  </si>
  <si>
    <t>39033</t>
  </si>
  <si>
    <t>Розетка Ливны 1 СП РС10-008 кв. черная керам. осн. РС ф822 /180/</t>
  </si>
  <si>
    <t>39021</t>
  </si>
  <si>
    <t>Розетка Ливны 1 СП РС10-008 кр. слон. кость керам. осн. пруж. конт.РС ф811 /120/</t>
  </si>
  <si>
    <t>39031</t>
  </si>
  <si>
    <t>Розетка Ливны 1 СП РС10-008 кр. черная керам. осн. РС ф812 /180/</t>
  </si>
  <si>
    <t>39066</t>
  </si>
  <si>
    <t>Розетка Ливны 2 СП РА-10-010 слон кость.РС 1031 /180/</t>
  </si>
  <si>
    <t>39008</t>
  </si>
  <si>
    <t>Розетка Минск 1 телевизионная скр. провод. ТР-011</t>
  </si>
  <si>
    <t>39077</t>
  </si>
  <si>
    <t>Розетка Чебоксары 1 ОП РА16-002 герметичная</t>
  </si>
  <si>
    <t>391 Электроустановочные Прогресс/Альфа/TDM</t>
  </si>
  <si>
    <t>39114</t>
  </si>
  <si>
    <t>Выключатель TDM Валдай 1 СП 10А 220В белый перекл. на 2 направ. SQ1804-0003 /10/</t>
  </si>
  <si>
    <t>39136</t>
  </si>
  <si>
    <t>Выключатель TDM Валдай 1 СП 10А 220В белый с подсв.перекл. на 2 направ. SQ1804-0005 /10/</t>
  </si>
  <si>
    <t>39137</t>
  </si>
  <si>
    <t>Выключатель Альфа 1ОП ВА10-113 бел. /25/</t>
  </si>
  <si>
    <t>39135</t>
  </si>
  <si>
    <t>Выключатель Альфа 1ОП ВА10-114 с инд.бел /25/</t>
  </si>
  <si>
    <t>39142</t>
  </si>
  <si>
    <t>Выключатель Альфа 1ОП ВА10-163 бел. /25/</t>
  </si>
  <si>
    <t>39127</t>
  </si>
  <si>
    <t>Выключатель Альфа 2ОП ВА10-153 бел /25/</t>
  </si>
  <si>
    <t>39128</t>
  </si>
  <si>
    <t>Выключатель Альфа 2ОП ВА10-154 с инд.бел /25/</t>
  </si>
  <si>
    <t>39176</t>
  </si>
  <si>
    <t>Выключатель Прогресс Fit 1ОП c/п белый /10/</t>
  </si>
  <si>
    <t>39177</t>
  </si>
  <si>
    <t>Выключатель Прогресс Fit 1ОП б/п белый /10/</t>
  </si>
  <si>
    <t>39175</t>
  </si>
  <si>
    <t>Выключатель Прогресс Fit 2ОП б/п белый /10/</t>
  </si>
  <si>
    <t>39174</t>
  </si>
  <si>
    <t>Выключатель Прогресс Fit 2ОП с/п белый /10/</t>
  </si>
  <si>
    <t>39145</t>
  </si>
  <si>
    <t>Выключатель Прогресс Slim 1СП б/п белый /10/</t>
  </si>
  <si>
    <t>39178</t>
  </si>
  <si>
    <t>Выключатель Прогресс Slim 1СП с/п белый /10/</t>
  </si>
  <si>
    <t>39100</t>
  </si>
  <si>
    <t>Выключатель Прогресс Slim 2СП б/п белый /10/</t>
  </si>
  <si>
    <t>39102</t>
  </si>
  <si>
    <t>Выключатель Прогресс Slim 2СП с/п белый /10/</t>
  </si>
  <si>
    <t>39161</t>
  </si>
  <si>
    <t>Рамка Альфа Орион 2СП 521801201</t>
  </si>
  <si>
    <t>39162</t>
  </si>
  <si>
    <t>Рамка Альфа Орион 2СП 521801202 крем.</t>
  </si>
  <si>
    <t>39163</t>
  </si>
  <si>
    <t>Рамка Альфа Орион 3СП 5218011301</t>
  </si>
  <si>
    <t>39164</t>
  </si>
  <si>
    <t>Рамка Альфа Орион 3СП 5218011302 крем.</t>
  </si>
  <si>
    <t>39165</t>
  </si>
  <si>
    <t>Рамка Альфа Орион 4СП 5218011401</t>
  </si>
  <si>
    <t>39166</t>
  </si>
  <si>
    <t>Рамка Альфа Орион 4СП 5218011402 крем.</t>
  </si>
  <si>
    <t>39146</t>
  </si>
  <si>
    <t>Рамка Прогресс 3СП горизонтальная, белая 31303 /20/200/</t>
  </si>
  <si>
    <t>39088</t>
  </si>
  <si>
    <t>Розетка 1 CП Спутник №6027 бел.д/телевизора /10/</t>
  </si>
  <si>
    <t>39099</t>
  </si>
  <si>
    <t>Розетка 1 CП Спутник №6034 бел.телеф. /10/</t>
  </si>
  <si>
    <t>39113</t>
  </si>
  <si>
    <t>Розетка TDM Валдай 1 СП 10А 220В белая SQ1804-0007 /10/</t>
  </si>
  <si>
    <t>39116</t>
  </si>
  <si>
    <t>Розетка TDM Валдай 1 СП 16А 220В белая с з. SQ1804-0008 /10/</t>
  </si>
  <si>
    <t>39183</t>
  </si>
  <si>
    <t>Розетка TDM Ладога 4 ОП 10А 250В с з/ш белая SQ1801-0129</t>
  </si>
  <si>
    <t>39121</t>
  </si>
  <si>
    <t>Розетка TDM Ладога 4 ОП 16А 250В белая керамика SQ1801-0123 /6/</t>
  </si>
  <si>
    <t>39129</t>
  </si>
  <si>
    <t>Розетка Альфа 1ОП РА16-173 бел /27/</t>
  </si>
  <si>
    <t>39131</t>
  </si>
  <si>
    <t>Розетка Альфа 2ОП РА16-143 бел /16/</t>
  </si>
  <si>
    <t>39132</t>
  </si>
  <si>
    <t>Розетка Альфа 2ОП РА16-153 з/к бел /10/</t>
  </si>
  <si>
    <t>39155</t>
  </si>
  <si>
    <t>Розетка Альфа Орион 1СП 52180202 крем.</t>
  </si>
  <si>
    <t>39156</t>
  </si>
  <si>
    <t>Розетка Альфа Орион 1СП с з/к 52181001 с крышк.</t>
  </si>
  <si>
    <t>39173</t>
  </si>
  <si>
    <t>Розетка Прогресс Fit 1ОП б/з белая /10/</t>
  </si>
  <si>
    <t>39172</t>
  </si>
  <si>
    <t>Розетка Прогресс Fit 1ОП с/з белая /10/</t>
  </si>
  <si>
    <t>39171</t>
  </si>
  <si>
    <t>Розетка Прогресс Fit 1ОП с/з з/ш белая /10/</t>
  </si>
  <si>
    <t>39103</t>
  </si>
  <si>
    <t>Розетка Прогресс Fit 2ОП б/з белая /10/</t>
  </si>
  <si>
    <t>39170</t>
  </si>
  <si>
    <t>Розетка Прогресс Fit 2ОП с/з белая /10/</t>
  </si>
  <si>
    <t>39179</t>
  </si>
  <si>
    <t>Розетка Прогресс Slim 1СП б/з белая /10/</t>
  </si>
  <si>
    <t>39180</t>
  </si>
  <si>
    <t>Розетка Прогресс Slim 1СП с/з белая /10/</t>
  </si>
  <si>
    <t>392 Трубы ПВХ и аксессуары</t>
  </si>
  <si>
    <t>39214</t>
  </si>
  <si>
    <t>Муфта соединит.для труб ПВХ д16 1шт ТУСО</t>
  </si>
  <si>
    <t>39215</t>
  </si>
  <si>
    <t>Муфта соединит.для труб ПВХ д20 1шт ТУСО</t>
  </si>
  <si>
    <t>39216</t>
  </si>
  <si>
    <t>Муфта соединит.для труб ПВХ д25 1шт ТУСО</t>
  </si>
  <si>
    <t>39228</t>
  </si>
  <si>
    <t>Муфта соединит.для труб ПВХ д25 30шт ТУСО</t>
  </si>
  <si>
    <t>39217</t>
  </si>
  <si>
    <t>Муфта соединит.для труб ПВХ д32 1шт ТУСО</t>
  </si>
  <si>
    <t>39209</t>
  </si>
  <si>
    <t>Муфта соединит.для труб ПВХ д32 20шт ТУСО</t>
  </si>
  <si>
    <t>39218</t>
  </si>
  <si>
    <t>Муфта соединит.для труб ПВХ д40 1шт ТУСО</t>
  </si>
  <si>
    <t>39202</t>
  </si>
  <si>
    <t>Муфта соединит.для труб ПВХ д40 25шт ТУСО</t>
  </si>
  <si>
    <t>39206</t>
  </si>
  <si>
    <t>Труба гофрированная ПВХ д-25 бухта 50м гибк.обл.протяж.</t>
  </si>
  <si>
    <t>39211</t>
  </si>
  <si>
    <t>Труба гофрированная ПВХ д-32 бухта 50м гибк.обл.протяж.</t>
  </si>
  <si>
    <t>39201</t>
  </si>
  <si>
    <t>Труба гофрированная ПВХ д-40 бухта 25м гибк.обл.протяж.</t>
  </si>
  <si>
    <t>39221</t>
  </si>
  <si>
    <t>Труба гофрированная ПВХ д-50 бухта 15м гибк.обл.протяж.</t>
  </si>
  <si>
    <t>39205</t>
  </si>
  <si>
    <t>Труба ПВХ д-16 жесткая 3м</t>
  </si>
  <si>
    <t>39203</t>
  </si>
  <si>
    <t>Труба ПВХ д-20 жесткая 3м</t>
  </si>
  <si>
    <t>39219</t>
  </si>
  <si>
    <t>Угол соедин. для труб ПВХ Д20 ТУО 1шт</t>
  </si>
  <si>
    <t>393 Электроустановочные Светоприбор/Forza</t>
  </si>
  <si>
    <t>39379</t>
  </si>
  <si>
    <t>Выключатель Минск Гармония 1 СП С16-122 АБС /60/</t>
  </si>
  <si>
    <t>39364</t>
  </si>
  <si>
    <t>Выключатель Минск Гармония 2 СП С56-124 АБС /60/</t>
  </si>
  <si>
    <t>37432</t>
  </si>
  <si>
    <t>Выключатель Минск Пралеска 1 ОП А110-214 с индикат. 6А /90/</t>
  </si>
  <si>
    <t>39381</t>
  </si>
  <si>
    <t>Выключатель Минск Пралеска 1 ОП А16-131 6 А /72/</t>
  </si>
  <si>
    <t>13345</t>
  </si>
  <si>
    <t>Выключатель Минск Пралеска 2 ОП А56-134 /90/</t>
  </si>
  <si>
    <t>39339</t>
  </si>
  <si>
    <t>Выключатель Минск Пралеска 2 ОП А56-224 брызгозащитный /60/</t>
  </si>
  <si>
    <t>39335</t>
  </si>
  <si>
    <t>Выключатель Минск Пралеска 3 ОП А56-137 /90/</t>
  </si>
  <si>
    <t>39378</t>
  </si>
  <si>
    <t>Выключатель Минск Стиль 1 СП С110-813 со свет. индикацией /60/</t>
  </si>
  <si>
    <t>39343</t>
  </si>
  <si>
    <t>Выключатель Минск Стиль 1 СП С110-827 брызгозащищ. IP44 /60/</t>
  </si>
  <si>
    <t>39362</t>
  </si>
  <si>
    <t>Выключатель Минск Стиль 2 СП С510-803 /60/</t>
  </si>
  <si>
    <t>39375</t>
  </si>
  <si>
    <t>Выключатель Минск Стиль 2 СП С510-815 со свет. индикацией /60/</t>
  </si>
  <si>
    <t>39340</t>
  </si>
  <si>
    <t>Выключатель Минск Стиль 2 СП С510-829 брызгозащищ. IP44 /60/</t>
  </si>
  <si>
    <t>39374</t>
  </si>
  <si>
    <t>Розетка Минск Гармония 1 СП РС16-227 АВС з/к /50/</t>
  </si>
  <si>
    <t>34922</t>
  </si>
  <si>
    <t>Розетка Минск Гармония 1 СП РС16-228 АВС /15/</t>
  </si>
  <si>
    <t>39322</t>
  </si>
  <si>
    <t>Розетка Минск Гармония 1 СП РС16-252 АВС з/ш з/к /60/</t>
  </si>
  <si>
    <t>39304</t>
  </si>
  <si>
    <t>Розетка Минск Гармония 1 СП РС16-256з АБС з/к с зол.рамк. /60/</t>
  </si>
  <si>
    <t>39323</t>
  </si>
  <si>
    <t>Розетка Минск Гармония 1 СП РС16-289 АВС з/к брызгозащ. /50/</t>
  </si>
  <si>
    <t>39306</t>
  </si>
  <si>
    <t>Розетка Минск Гармония 2 СП РС16-237 АВС /48/</t>
  </si>
  <si>
    <t>39348</t>
  </si>
  <si>
    <t>Розетка Минск Гармония 2 СП РС16-239 АВС з/к /35/</t>
  </si>
  <si>
    <t>39336</t>
  </si>
  <si>
    <t>Розетка Минск Пралеска 1 ОП РА16-254 з/к /72/</t>
  </si>
  <si>
    <t>39341</t>
  </si>
  <si>
    <t>Розетка Минск Пралеска 1 ОП РА16-255 /108/</t>
  </si>
  <si>
    <t>39377</t>
  </si>
  <si>
    <t>Розетка Минск Пралеска 1 ОП РА16-279 з/ш /95/</t>
  </si>
  <si>
    <t>34196</t>
  </si>
  <si>
    <t>Розетка Минск Пралеска 1 ОП РА16-280 з/ш /60/</t>
  </si>
  <si>
    <t>39313</t>
  </si>
  <si>
    <t>Розетка Минск Пралеска 1 ОП РА16-296 брызгозащитная /60/</t>
  </si>
  <si>
    <t>39317</t>
  </si>
  <si>
    <t>Розетка Минск Пралеска 1 ОП РА16-297 з/к брызгозащ. /50/</t>
  </si>
  <si>
    <t>39346</t>
  </si>
  <si>
    <t>Розетка Минск Пралеска 2 ОП РА16-260 /60/</t>
  </si>
  <si>
    <t>39326</t>
  </si>
  <si>
    <t>Розетка Минск Пралеска 2 ОП РА16-261 /50/</t>
  </si>
  <si>
    <t>39085</t>
  </si>
  <si>
    <t>Розетка Минск Пралеска 2 ОП РА16-273 з/ш /60/</t>
  </si>
  <si>
    <t>39318</t>
  </si>
  <si>
    <t>Розетка Минск Пралеска 2 ОП РА16-274 с з/ш /50/</t>
  </si>
  <si>
    <t>39314</t>
  </si>
  <si>
    <t>Розетка Минск Пралеска 2 ОП РА16-302 брызгозащ.IP54 /35/</t>
  </si>
  <si>
    <t>39363</t>
  </si>
  <si>
    <t>Розетка Минск Пралеска 3 ОП РА16-263 бел /55/</t>
  </si>
  <si>
    <t>39315</t>
  </si>
  <si>
    <t>Розетка Минск Пралеска 3 ОП РА16-263 слон.кость /55/</t>
  </si>
  <si>
    <t>39320</t>
  </si>
  <si>
    <t>Розетка Минск Пралеска 3 ОП РА16-265 з/к /40/</t>
  </si>
  <si>
    <t>39345</t>
  </si>
  <si>
    <t>Розетка Минск Пралеска 3 ОП РА16-275 з/ш /56/</t>
  </si>
  <si>
    <t>39052</t>
  </si>
  <si>
    <t>Розетка Минск Пралеска 3 ОП РА16-276 з/к з/ш /40/</t>
  </si>
  <si>
    <t>39316</t>
  </si>
  <si>
    <t>Розетка Минск Пралеска 4 ОП РА16-264 /35/</t>
  </si>
  <si>
    <t>39321</t>
  </si>
  <si>
    <t>Розетка Минск Пралеска 4 ОП РА16-266 з/к /24/</t>
  </si>
  <si>
    <t>39062</t>
  </si>
  <si>
    <t>Розетка Минск Пралеска 4 ОП РА16-277 з/ш /35/</t>
  </si>
  <si>
    <t>39347</t>
  </si>
  <si>
    <t>Розетка Минск Пралеска 4 ОП РА16-278 з/к з/ш /28/</t>
  </si>
  <si>
    <t>39308</t>
  </si>
  <si>
    <t>Розетка Минск Стиль 1 СП РС16-306 /50/</t>
  </si>
  <si>
    <t>39015</t>
  </si>
  <si>
    <t>Розетка Минск Стиль 1 СП РС16-312 брызгозащ. с крыш. IP44 /50/</t>
  </si>
  <si>
    <t>39376</t>
  </si>
  <si>
    <t>Розетка Минск Стиль 1 СП РС16-316 с з/шт. /60/</t>
  </si>
  <si>
    <t>39372</t>
  </si>
  <si>
    <t>Розетка Минск Стиль 1 СП СР16-305 /60/</t>
  </si>
  <si>
    <t>39380</t>
  </si>
  <si>
    <t>Розетка Минск Стиль 2 СП РС16-313 /35/</t>
  </si>
  <si>
    <t>395 Аксессуары для компьютера/телефона</t>
  </si>
  <si>
    <t>39541</t>
  </si>
  <si>
    <t>Аккумулятор мобильный FORZA 3000 мАч с LED фонарем белый 916-159</t>
  </si>
  <si>
    <t>39504</t>
  </si>
  <si>
    <t>Кабель Forza HDMI-HDMI 1.4.10.2 Гбит/с 3 м медь 901-012 /80/</t>
  </si>
  <si>
    <t>39533</t>
  </si>
  <si>
    <t>Кабель для зарядки светящийся 2,4 А пластик 931-003 /10/200/</t>
  </si>
  <si>
    <t>39548</t>
  </si>
  <si>
    <t>Кабель для зарядки телефона 1,0 м 1,5 А  TYPE-C Конфетти цветная подсветка 3 цв 931-067 /10/</t>
  </si>
  <si>
    <t>39547</t>
  </si>
  <si>
    <t>Кабель для зарядки телефона 1,0 м 1,5 А FORZA PLUS IP Конфетти 3 цв 443-037 /12/</t>
  </si>
  <si>
    <t>39546</t>
  </si>
  <si>
    <t>Кабель для зарядки телефона 1,0 м 1,5 А MICRO-USB цветная подсветка 3 цв 443-036 /10/</t>
  </si>
  <si>
    <t>39545</t>
  </si>
  <si>
    <t>Кабель для зарядки телефона 1,2 м 2,4 А пластик 3 цв TYPE C 788-034 /20/</t>
  </si>
  <si>
    <t>39544</t>
  </si>
  <si>
    <t>Кабель для зарядки телефона 1,5 м iP/TYPE-C/Micro 788-033 /12/</t>
  </si>
  <si>
    <t>39543</t>
  </si>
  <si>
    <t>Кабель для зарядки телефона 3в1 2 м 1,5 А пластик 788-032 /200/</t>
  </si>
  <si>
    <t>39550</t>
  </si>
  <si>
    <t>Палка для селфи BY 18-73 см прорез.пластик 470-058</t>
  </si>
  <si>
    <t>39514</t>
  </si>
  <si>
    <t>Палка для селфи FORZA 18-74 см прорез.метал пластик черн. 470-002</t>
  </si>
  <si>
    <t>39549</t>
  </si>
  <si>
    <t>Палка для селфи FORZA 18-75 см метал пластик 470-059 /5/120/</t>
  </si>
  <si>
    <t>39506</t>
  </si>
  <si>
    <t>Палка для селфи14-60 см метал пластик 4 цв 916-014</t>
  </si>
  <si>
    <t>39537</t>
  </si>
  <si>
    <t>Чехол для телефона FORZA Honor 7A / 7S 470-067</t>
  </si>
  <si>
    <t>39534</t>
  </si>
  <si>
    <t>Чехол для телефона FORZA Honor 7A PRO/7C/Y6 70-067</t>
  </si>
  <si>
    <t>39539</t>
  </si>
  <si>
    <t>Чехол для телефона FORZA Honor 9. 470-067</t>
  </si>
  <si>
    <t>39538</t>
  </si>
  <si>
    <t>Чехол для телефона FORZA Iphone 5/5S/ SE 470-067</t>
  </si>
  <si>
    <t>39535</t>
  </si>
  <si>
    <t>Чехол для телефона FORZA Iphone 6/6S/7/8 470-067</t>
  </si>
  <si>
    <t>39540</t>
  </si>
  <si>
    <t>Чехол для телефона FORZA Samsung Galaxy A5 470-067</t>
  </si>
  <si>
    <t>39536</t>
  </si>
  <si>
    <t>Чехол для телефона FORZA Samsung Galaxy J1 470-067</t>
  </si>
  <si>
    <t>39532</t>
  </si>
  <si>
    <t>Чехол для телефона FORZA Samsung Galaxy J3 470-067 /25/</t>
  </si>
  <si>
    <t>400-415 Мелкая бытовая техника</t>
  </si>
  <si>
    <t>400 Чайники электрические</t>
  </si>
  <si>
    <t>42525</t>
  </si>
  <si>
    <t>Чайник эл. Atlanta ATH-2420 1,2л 1800Вт красный /8/</t>
  </si>
  <si>
    <t>42527</t>
  </si>
  <si>
    <t>Чайник эл. Atlanta ATH-2420 1,2л 1800Вт черный /8/</t>
  </si>
  <si>
    <t>40022</t>
  </si>
  <si>
    <t>Чайник эл. Atlanta ATH-2438 1,7л 1850Вт диск металлич. бордовый /12/</t>
  </si>
  <si>
    <t>40016</t>
  </si>
  <si>
    <t>Чайник эл. Atlanta ATH-2438 1,7л 1850Вт диск металлич. черный /12/</t>
  </si>
  <si>
    <t>42400</t>
  </si>
  <si>
    <t>Чайник эл. Atlanta ATH-612 1,7л 2000Вт диск бело-красный /8/</t>
  </si>
  <si>
    <t>42520</t>
  </si>
  <si>
    <t>Чайник эл. Atlanta ATH-617 1,7л 2000Вт диск бело-зеленый /8/</t>
  </si>
  <si>
    <t>40019</t>
  </si>
  <si>
    <t>Чайник эл. Atlanta ATH-643 1,7л 2000Вт диск белый /8/</t>
  </si>
  <si>
    <t>42405</t>
  </si>
  <si>
    <t>Чайник эл. Atlanta ATH-723 1,7л 2000Вт спираль голубой /10/</t>
  </si>
  <si>
    <t>40085</t>
  </si>
  <si>
    <t>Чайник эл. Atlanta ATH-727 1,0л 850Вт белый /10/</t>
  </si>
  <si>
    <t>40821</t>
  </si>
  <si>
    <t>Чайник эл. Atlanta ATH-735 1,7л 2000Вт спираль белый /10/</t>
  </si>
  <si>
    <t>40013</t>
  </si>
  <si>
    <t>Чайник эл. Baizheng BZ-8807 2,0л 1800Вт металлик /12/</t>
  </si>
  <si>
    <t>40061</t>
  </si>
  <si>
    <t>Чайник эл. Baizheng BZ-907 2,0л 1800Вт черный /12/</t>
  </si>
  <si>
    <t>40079</t>
  </si>
  <si>
    <t>Чайник эл. Baizheng ST-5291 0,8л 600Вт силиконовый, складной белый</t>
  </si>
  <si>
    <t>40083</t>
  </si>
  <si>
    <t>Чайник эл. Baizheng ST-5291 0,8л 600Вт силиконовый, складной голубой</t>
  </si>
  <si>
    <t>40095</t>
  </si>
  <si>
    <t>Чайник эл. Baizheng ST-5291 0,8л 600Вт силиконовый, складной розовый</t>
  </si>
  <si>
    <t>40056</t>
  </si>
  <si>
    <t>Чайник эл. Energy 1,2л 950Вт красный 164131 /12/</t>
  </si>
  <si>
    <t>24551</t>
  </si>
  <si>
    <t>Чайник эл. ENERGY E-232 1,5л, диск, красный пластик</t>
  </si>
  <si>
    <t>40197</t>
  </si>
  <si>
    <t>Чайник эл. Galaxy GL-0216 1,7 л 2200 Вт диск /8/</t>
  </si>
  <si>
    <t>40182</t>
  </si>
  <si>
    <t>Чайник эл. Galaxy GL-0217 1,7 л 2200 Вт диск /8/</t>
  </si>
  <si>
    <t>40001</t>
  </si>
  <si>
    <t>Чайник эл. Galaxy GL-0301 1,5 л 2000 Вт метал.диск белый /6/</t>
  </si>
  <si>
    <t>40123</t>
  </si>
  <si>
    <t>Чайник эл. Galaxy GL-0301 1,5 л 2000 Вт метал.диск красный /6/</t>
  </si>
  <si>
    <t>42419</t>
  </si>
  <si>
    <t>Чайник эл. Galaxy GL-0307 1,7 л 2000 Вт метал.диск белый /6/</t>
  </si>
  <si>
    <t>40111</t>
  </si>
  <si>
    <t>Чайник эл. Galaxy GL-0318 1,7 л 2000 Вт метал.диск белый /6/</t>
  </si>
  <si>
    <t>40080</t>
  </si>
  <si>
    <t>Чайник эл. Galaxy GL-0320 1,7 л 2000 Вт метал.диск трехстеночный розовое золото /8/</t>
  </si>
  <si>
    <t>40148</t>
  </si>
  <si>
    <t>Чайник эл. Galaxy GL-0591 1,5 л 1200 Вт диск стеклянный голубой /6/</t>
  </si>
  <si>
    <t>40040</t>
  </si>
  <si>
    <t>Чайник эл. GL-302 нерж.диск 1,8 л /12/</t>
  </si>
  <si>
    <t>40257</t>
  </si>
  <si>
    <t>Чайник эл. GL-323 зеленый</t>
  </si>
  <si>
    <t>40018</t>
  </si>
  <si>
    <t>Чайник эл. GL-464 0,5 л белый /12/</t>
  </si>
  <si>
    <t>40073</t>
  </si>
  <si>
    <t>Чайник эл. HomeStar 1,8л 1500 Вт синий 002996 /12/</t>
  </si>
  <si>
    <t>40310</t>
  </si>
  <si>
    <t>Чайник эл. HomeStar 1.7л 1500 Вт голубой 102761 /12/</t>
  </si>
  <si>
    <t>40312</t>
  </si>
  <si>
    <t>Чайник эл. HomeStar 1.7л 1500 Вт черный 102759 /12/</t>
  </si>
  <si>
    <t>40313</t>
  </si>
  <si>
    <t>Чайник эл. HomeStar 1.8л 1500 Вт фиолетовый 102758 /12/</t>
  </si>
  <si>
    <t>40029</t>
  </si>
  <si>
    <t>Чайник эл. HomeStar HS-1010 1.8л 1500 Вт синий 3631 /12/</t>
  </si>
  <si>
    <t>40044</t>
  </si>
  <si>
    <t>Чайник эл. HomeStar HS-1010 1.8л 1500 Вт черный 006753 /12/</t>
  </si>
  <si>
    <t>40034</t>
  </si>
  <si>
    <t>Чайник эл. HomeStar HS-1019 1,8л 1500 Вт розовый 007368 /12/</t>
  </si>
  <si>
    <t>40037</t>
  </si>
  <si>
    <t>Чайник эл. HomeStar HS-1019 1.8л 1500 Вт голубой 005967 /12/</t>
  </si>
  <si>
    <t>40309</t>
  </si>
  <si>
    <t>Чайник эл. HomeStar HS-1021 1.7л 1500 Вт белый 102760 /12/</t>
  </si>
  <si>
    <t>40074</t>
  </si>
  <si>
    <t>Чайник эл. HomeStar HS-1034 1.8л 1500 Вт черный 102668 /12/</t>
  </si>
  <si>
    <t>40092</t>
  </si>
  <si>
    <t>Чайник эл. HomeStar HS-1039 1.8л 1500 Вт черный 105218 /12/</t>
  </si>
  <si>
    <t>40301</t>
  </si>
  <si>
    <t>Чайник эл. HomeStar HS-1041 1.8л 1500 Вт черный 105220 /12/</t>
  </si>
  <si>
    <t>42580</t>
  </si>
  <si>
    <t>Чайник эл. LEBEN 1,0л 1000Вт спираль 291-868</t>
  </si>
  <si>
    <t>40380</t>
  </si>
  <si>
    <t>Чайник эл. LEBEN 1,0л 1350Вт скрыт. нагрев. элем. автооткл. пластик 291-044</t>
  </si>
  <si>
    <t>40089</t>
  </si>
  <si>
    <t>Чайник эл. LEBEN 1,0л 900Вт скрыт. нагрев. элем. пластик подсветка 291-012 /12/</t>
  </si>
  <si>
    <t>40337</t>
  </si>
  <si>
    <t>Чайник эл. LEBEN 1,0л/1,8 1850Вт скрыт. нагрев. элем. автооткл. нерж. белый/черный 291-026 /12/</t>
  </si>
  <si>
    <t>40369</t>
  </si>
  <si>
    <t>Чайник эл. LEBEN 1,2л 1200Вт скрыт. нагрев. элем. желтый 291-031 /6/</t>
  </si>
  <si>
    <t>40370</t>
  </si>
  <si>
    <t>Чайник эл. LEBEN 1,2л 1200Вт скрыт. нагрев. элем. красный 291-032 /6/</t>
  </si>
  <si>
    <t>40334</t>
  </si>
  <si>
    <t>Чайник эл. LEBEN 1,2л 1800Вт скрыт. нагрев. элем. автооткл. нерж. ст.+пластик 291-021 /12/</t>
  </si>
  <si>
    <t>40305</t>
  </si>
  <si>
    <t>Чайник эл. LEBEN 1,7л 1200Вт керамический скрыт. нагрев. элем. черный 291-033 /6/</t>
  </si>
  <si>
    <t>40320</t>
  </si>
  <si>
    <t>Чайник эл. LEBEN 1,7л 1500Вт скрыт. нагрев. элем. автооткл. стекло 3 цв 291-038 /12/</t>
  </si>
  <si>
    <t>40379</t>
  </si>
  <si>
    <t>Чайник эл. LEBEN 1,7л 1500Вт скрыт. нагрев. элем. автооткл. стекло подсветка 3цв 291-059</t>
  </si>
  <si>
    <t>40081</t>
  </si>
  <si>
    <t>Чайник эл. LEBEN 1,7л 1850Вт металл 2 цв 291-085 /8/</t>
  </si>
  <si>
    <t>40376</t>
  </si>
  <si>
    <t>Чайник эл. LEBEN 1,7л 1850Вт пластик 291-070</t>
  </si>
  <si>
    <t>40009</t>
  </si>
  <si>
    <t>Чайник эл. LEBEN 1,7л 1850Вт пластик автоотключение шкала воды в виде цветка 291-077</t>
  </si>
  <si>
    <t>40363</t>
  </si>
  <si>
    <t>Чайник эл. LEBEN 1,7л 1850Вт скрыт. нагрев. элем. автооткл. нерж. ст. 291-022 /6/</t>
  </si>
  <si>
    <t>40340</t>
  </si>
  <si>
    <t>Чайник эл. LEBEN 1,7л 1850Вт скрыт. нагрев. элем. автооткл. пластик белый 291-029 /12/</t>
  </si>
  <si>
    <t>40048</t>
  </si>
  <si>
    <t>Чайник эл. LEBEN 1,7л 1850Вт скрыт. нагрев. элем. автооткл. сталь 291-063 /8/</t>
  </si>
  <si>
    <t>40382</t>
  </si>
  <si>
    <t>Чайник эл. LEBEN 1,7л 1850Вт скрыт. нагрев. элем. автооткл. стекло 291-064 /6/</t>
  </si>
  <si>
    <t>40343</t>
  </si>
  <si>
    <t>Чайник эл. LEBEN 1,7л 1850Вт скрыт. нагрев. элем. нерж. ст. терморис 291-040</t>
  </si>
  <si>
    <t>42599</t>
  </si>
  <si>
    <t>Чайник эл. LEBEN 1,7л 1850Вт скрыт. нагрев. элем. нерж. сталь 291-014 /8/</t>
  </si>
  <si>
    <t>42545</t>
  </si>
  <si>
    <t>Чайник эл. LEBEN 1,7л 1850Вт скрыт. нагрев. элем. нерж. сталь 475-158</t>
  </si>
  <si>
    <t>40364</t>
  </si>
  <si>
    <t>Чайник эл. LEBEN 1,7л 1850Вт скрыт. нагрев. элем. пластик 291-010 /12/</t>
  </si>
  <si>
    <t>42547</t>
  </si>
  <si>
    <t>Чайник эл. LEBEN 1,7л 1850Вт скрыт. нагрев. элем. пластик 475-094</t>
  </si>
  <si>
    <t>40366</t>
  </si>
  <si>
    <t>Чайник эл. LEBEN 1,7л 1850Вт скрыт. нагрев. элем. пластик LED 291-011</t>
  </si>
  <si>
    <t>40350</t>
  </si>
  <si>
    <t>Чайник эл. LEBEN 1,7л 1850Вт скрыт. нагрев. элем. пластик белый серый 291-034 /2/12/</t>
  </si>
  <si>
    <t>42532</t>
  </si>
  <si>
    <t>Чайник эл. LEBEN 1,7л 1850Вт скрыт. нагрев. элем. пластик подсветка белый 475-156</t>
  </si>
  <si>
    <t>40362</t>
  </si>
  <si>
    <t>Чайник эл. LEBEN 1,7л 1850Вт скрыт. нагрев. элем. рифл. стекло 475-133 /6/</t>
  </si>
  <si>
    <t>40064</t>
  </si>
  <si>
    <t>Чайник эл. LEBEN 1,7л 1850Вт скрыт. нагрев. элем. стекло+сталь 291-013 /6/</t>
  </si>
  <si>
    <t>40341</t>
  </si>
  <si>
    <t>Чайник эл. LEBEN 1,7л 1850Вт спираль пластик 291-869 /2/12/</t>
  </si>
  <si>
    <t>40076</t>
  </si>
  <si>
    <t>Чайник эл. LEBEN 1,7л 1850Вт стекло 291-086 /12/</t>
  </si>
  <si>
    <t>40394</t>
  </si>
  <si>
    <t>Чайник эл. LEBEN 1,7л пластик с рисунком 291-067 /6/</t>
  </si>
  <si>
    <t>40032</t>
  </si>
  <si>
    <t>Чайник эл. LEBEN 1,8л 1500Вт 220-240В пластик 291-083 /12/</t>
  </si>
  <si>
    <t>40397</t>
  </si>
  <si>
    <t>Чайник эл. LEBEN 1,8л 1500Вт нерж. сталь 4 цв 291-071 /12/</t>
  </si>
  <si>
    <t>40395</t>
  </si>
  <si>
    <t>Чайник эл. LEBEN 1,8л 1500Вт нерж. сталь, рисунок цветы 291-057 /12/</t>
  </si>
  <si>
    <t>42528</t>
  </si>
  <si>
    <t>Чайник эл. LEBEN 1,8л 1500Вт скрыт. нагрев. элем. нерж. ст. 475-154 /18/</t>
  </si>
  <si>
    <t>40358</t>
  </si>
  <si>
    <t>Чайник эл. LEBEN 1,8л 1800Вт скрыт. нагрев. элем. авторткл. пластик 291-002</t>
  </si>
  <si>
    <t>40342</t>
  </si>
  <si>
    <t>Чайник эл. LEBEN 1,8л 1800Вт скрыт. нагрев. элем. пластик подсветка 475-124 /8/</t>
  </si>
  <si>
    <t>40386</t>
  </si>
  <si>
    <t>Чайник эл. LEBEN 1,8л 1800Вт стекл 291-069 /6/</t>
  </si>
  <si>
    <t>42521</t>
  </si>
  <si>
    <t>Чайник эл. LEBEN 1,8л 1850Вт скрыт. нагрев. элем. пластик бело-черный 475-123 /8/</t>
  </si>
  <si>
    <t>40377</t>
  </si>
  <si>
    <t>Чайник эл. LEBEN 2,0л 1500Вт скрыт. нагрев. элем. автооткл. нерж+пластик 291-036</t>
  </si>
  <si>
    <t>42569</t>
  </si>
  <si>
    <t>Чайник эл. LEBEN 2,0л 1600Вт скрат. нагрев. элем. автооткл. пластик 291-003</t>
  </si>
  <si>
    <t>40050</t>
  </si>
  <si>
    <t>Чайник эл. LEBEN 2,2л 1800Вт скрыт. нагрев. элем. стекло пластик 291-102</t>
  </si>
  <si>
    <t>40062</t>
  </si>
  <si>
    <t>Чайник эл. LEBEN 2,5л 1500Вт скрыт. нагрев. элем. нерж. ст.+пластик 291-037</t>
  </si>
  <si>
    <t>40021</t>
  </si>
  <si>
    <t>Чайник эл. LEBEN 2,5л скрытый нагревательный элем пластик 291-006</t>
  </si>
  <si>
    <t>42553</t>
  </si>
  <si>
    <t>Чайник эл. LEONORD LE-1012, 1,5л, оранжевый</t>
  </si>
  <si>
    <t>40014</t>
  </si>
  <si>
    <t>Чайник эл. Lira LR0101 1,7л 2200Вт диск бело-фиолетовый/8</t>
  </si>
  <si>
    <t>40088</t>
  </si>
  <si>
    <t>Чайник эл. Lira LR0103 1,7л 2200Вт диск бело-фиолет/12</t>
  </si>
  <si>
    <t>40059</t>
  </si>
  <si>
    <t>Чайник эл. Maxtronic MAX-404 1,8л 1800Вт скрыт. нагрев. элем. нерж. ст. защ. черный /12/</t>
  </si>
  <si>
    <t>40072</t>
  </si>
  <si>
    <t>Чайник эл. Maxtronic MAX-YD-121 1,5л 1800Вт керамический Семейный очаг /4/</t>
  </si>
  <si>
    <t>40036</t>
  </si>
  <si>
    <t>Чайник эл. Maxtronic MAX-YD-2014 1,7л 1800Вт керамический Юность /4/</t>
  </si>
  <si>
    <t>40054</t>
  </si>
  <si>
    <t>Чайник эл. RAF R.7816 2,0л 1500Вт черно-стальной /16/</t>
  </si>
  <si>
    <t>40304</t>
  </si>
  <si>
    <t>Чайник эл. RAF R.7829 2,0л 2000Вт красный /16/</t>
  </si>
  <si>
    <t>40314</t>
  </si>
  <si>
    <t>Чайник эл. RAF R.7835 2,5л 2000Вт Цветок белый на розовом /16/</t>
  </si>
  <si>
    <t>40321</t>
  </si>
  <si>
    <t>Чайник эл. RAF R.7840 2,0л 2200Вт стекл. /16/</t>
  </si>
  <si>
    <t>40058</t>
  </si>
  <si>
    <t>Чайник эл. RAF R.7841 2,0л 1500Вт черный /12/</t>
  </si>
  <si>
    <t>40316</t>
  </si>
  <si>
    <t>Чайник эл. RAF R.7852 2,5л 2000Вт красный с серебристым цветком /16/</t>
  </si>
  <si>
    <t>40307</t>
  </si>
  <si>
    <t>Чайник эл. RAF R.7866 2,3л 1850Вт /16/</t>
  </si>
  <si>
    <t>40306</t>
  </si>
  <si>
    <t>Чайник эл. RAF R.7871 2,0л 2200Вт /16/</t>
  </si>
  <si>
    <t>40049</t>
  </si>
  <si>
    <t>Чайник эл. RAF R.7883 2,3л 2000Вт красный /16/</t>
  </si>
  <si>
    <t>40028</t>
  </si>
  <si>
    <t>Чайник эл. RAF R.7883 2,3л 2000Вт феолетовый /16/</t>
  </si>
  <si>
    <t>40367</t>
  </si>
  <si>
    <t>Чайник эл. Viconte VC-3282 1,8 л диск 2000 Вт метал.,розовый  /6/</t>
  </si>
  <si>
    <t>40038</t>
  </si>
  <si>
    <t>Чайник эл. Волжанка ЭЧ-001 1,8л 1500 Вт нерж.диск автоотключение /12/</t>
  </si>
  <si>
    <t>40051</t>
  </si>
  <si>
    <t>Чайник эл. Волжанка ЭЧ-002 1,8л 1500 Вт метал автооткл. /12/</t>
  </si>
  <si>
    <t>40063</t>
  </si>
  <si>
    <t>Чайник эл. Волжанка ЭЧ-005 1,8л 1850 Вт метал автооткл. /12/</t>
  </si>
  <si>
    <t>40065</t>
  </si>
  <si>
    <t>Чайник эл. Волжанка ЭЧ-012 1,2л 1500 Вт метал автооткл. /12/</t>
  </si>
  <si>
    <t>40039</t>
  </si>
  <si>
    <t>Чайник эл. Волжанка ЭЧ-100 1,8л 1500 Вт черный стекл. корп.подсчетка автоотключение /12/</t>
  </si>
  <si>
    <t>40052</t>
  </si>
  <si>
    <t>Чайник эл. Капелька 0,5 л 600Вт пластиковый красный 003909</t>
  </si>
  <si>
    <t>40024</t>
  </si>
  <si>
    <t>Чайник эл. Матрена 1,8л 1500 Вт стекл. подсветка черный 005420 /12/</t>
  </si>
  <si>
    <t>40010</t>
  </si>
  <si>
    <t>Чайник эл. Матрена МА-001 1,8л 1500 Вт метал голубой 005456 /12/</t>
  </si>
  <si>
    <t>40066</t>
  </si>
  <si>
    <t>Чайник эл. Матрена МА-001 1,8л 1500 Вт метал пол.красн 5457 /12/</t>
  </si>
  <si>
    <t>40002</t>
  </si>
  <si>
    <t>Чайник эл. Матрена МА-002 1,8л 1500 Вт метал бежевый 006746 /12/</t>
  </si>
  <si>
    <t>40104</t>
  </si>
  <si>
    <t>Чайник эл. Матрена МА-002 1,8л 1500 Вт метал бордовый 006748 /12/</t>
  </si>
  <si>
    <t>40130</t>
  </si>
  <si>
    <t>Чайник эл. Матрена МА-002 1,8л 1500 Вт метал голубой 6745 /12/</t>
  </si>
  <si>
    <t>40127</t>
  </si>
  <si>
    <t>Чайник эл. Матрена МА-002 1,8л 1500 Вт метал желтый 5407 /12/</t>
  </si>
  <si>
    <t>40042</t>
  </si>
  <si>
    <t>Чайник эл. Матрена МА-002 1,8л 1500 Вт метал зеленый 5408 /12/</t>
  </si>
  <si>
    <t>40041</t>
  </si>
  <si>
    <t>Чайник эл. Матрена МА-002 1,8л 1500 Вт метал красный 5409 /12/</t>
  </si>
  <si>
    <t>40006</t>
  </si>
  <si>
    <t>Чайник эл. Матрена МА-002 1,8л 1500 Вт метал медный 6747 /12/</t>
  </si>
  <si>
    <t>40098</t>
  </si>
  <si>
    <t>Чайник эл. Матрена МА-002 1,8л 1500 Вт метал синий 005406 /12/</t>
  </si>
  <si>
    <t>40090</t>
  </si>
  <si>
    <t>Чайник эл. Матрена МА-003 1,7л 1500 Вт метал 005410 /12/</t>
  </si>
  <si>
    <t>40031</t>
  </si>
  <si>
    <t>Чайник эл. Матрена МА-003 1,7л 1500 Вт метал гжель 006749 /12/</t>
  </si>
  <si>
    <t>40000</t>
  </si>
  <si>
    <t>Чайник эл. Матрена МА-003 1,7л 1500 Вт серый хохлома 006941 /12/</t>
  </si>
  <si>
    <t>40110</t>
  </si>
  <si>
    <t>Чайник эл. Матрена МА-003 1,8л 1500 Вт метал красный 007357 /12/</t>
  </si>
  <si>
    <t>40017</t>
  </si>
  <si>
    <t>Чайник эл. Матрена МА-003 1,8л 1500 Вт черный 007356 /12/</t>
  </si>
  <si>
    <t>40005</t>
  </si>
  <si>
    <t>Чайник эл. Матрена МА-004 1,8л 1500 Вт бело-голубой 005412 /12/</t>
  </si>
  <si>
    <t>40007</t>
  </si>
  <si>
    <t>Чайник эл. Матрена МА-005 2,0л 1500 Вт метал крас хохлома 005413 /12/</t>
  </si>
  <si>
    <t>40023</t>
  </si>
  <si>
    <t>Чайник эл. Матрена МА-006 1,8л 1500 Вт стекл. подсветка бежевый 005414 /12/</t>
  </si>
  <si>
    <t>40069</t>
  </si>
  <si>
    <t>Чайник эл. Матрена МА-006 1,8л 1500 Вт стекл. подсветка черный 005416 /12/</t>
  </si>
  <si>
    <t>40015</t>
  </si>
  <si>
    <t>Чайник эл. Матрена МА-008 1,8л 1500 Вт стекл. подсветка черный гжель 008339 /12/</t>
  </si>
  <si>
    <t>40078</t>
  </si>
  <si>
    <t>Чайник эл. Матрена МА-029 1,8л 1500 Вт метал стальной 005964 /12/</t>
  </si>
  <si>
    <t>40020</t>
  </si>
  <si>
    <t>Чайник эл. Матрена МА-120 1,8л 1500 Вт метал Еловая веточка бело-зеленый 007362 /12/</t>
  </si>
  <si>
    <t>40082</t>
  </si>
  <si>
    <t>Чайник эл. Матрена МА-120 1,8л 1500 Вт метал красный цветы 007387 /2/12/</t>
  </si>
  <si>
    <t>40011</t>
  </si>
  <si>
    <t>Чайник эл. Матрена МА-121 1,8л 1500 Вт метал голубой 007364 /12/</t>
  </si>
  <si>
    <t>40094</t>
  </si>
  <si>
    <t>Чайник эл. Матрена МА-152 1,8л 1500 Вт метал стальной 105223 /12/</t>
  </si>
  <si>
    <t>40035</t>
  </si>
  <si>
    <t>Чайник эл. Матрена МА-154 1,8л 1500 Вт стекл. подсветка синий 105229 /12/</t>
  </si>
  <si>
    <t>40057</t>
  </si>
  <si>
    <t>Чайник эл. Матрена МА-154 1,8л 1500 Вт стекл. подсветка черный 105227 /12/</t>
  </si>
  <si>
    <t>40097</t>
  </si>
  <si>
    <t>Чайник эл. Матрена МА-198 1,8л 1500 Вт метал серебристый 008199 /12/</t>
  </si>
  <si>
    <t>401 Машинки для стрижки волос</t>
  </si>
  <si>
    <t>40179</t>
  </si>
  <si>
    <t>Машинка для стрижки волос ENERGY EN-737 3 Вт /24/</t>
  </si>
  <si>
    <t>40190</t>
  </si>
  <si>
    <t>Машинка для стрижки волос Galaxy GL-4155 9 Вт 80561 /24/</t>
  </si>
  <si>
    <t>40548</t>
  </si>
  <si>
    <t>Машинка для стрижки волос Galaxy GL-4157 9 Вт /24/</t>
  </si>
  <si>
    <t>40122</t>
  </si>
  <si>
    <t>Машинка для стрижки волос Galaxy GL-4158 9 Вт бежевый /20/</t>
  </si>
  <si>
    <t>40119</t>
  </si>
  <si>
    <t>Машинка для стрижки волос Galaxy GL-4165 3 Вт черно-бежевый /24/</t>
  </si>
  <si>
    <t>40116</t>
  </si>
  <si>
    <t>Машинка для стрижки волос HomeStar HS-9005 12 Вт черно-зеленый /24/</t>
  </si>
  <si>
    <t>40115</t>
  </si>
  <si>
    <t>Машинка для стрижки волос HomeStar HS-9006 12 Вт черно-желтый /24/</t>
  </si>
  <si>
    <t>40113</t>
  </si>
  <si>
    <t>Машинка для стрижки волос HomeStar HS-9007 12 Вт красный /24/</t>
  </si>
  <si>
    <t>40121</t>
  </si>
  <si>
    <t>Машинка для стрижки волос HomeStar HS-9008 3 Вт черно-красный /60/</t>
  </si>
  <si>
    <t>40162</t>
  </si>
  <si>
    <t>Машинка для стрижки волос HomeStar HS-9011 3 Вт /12/</t>
  </si>
  <si>
    <t>40120</t>
  </si>
  <si>
    <t>Машинка для стрижки волос LEBEN 10 Вт 251-061</t>
  </si>
  <si>
    <t>40156</t>
  </si>
  <si>
    <t>Машинка для стрижки волос LEBEN 10 Вт 251-067</t>
  </si>
  <si>
    <t>40125</t>
  </si>
  <si>
    <t>Машинка для стрижки волос LEBEN 3 Вт рег. насад. 8 уровн. 489-042 /2/40/</t>
  </si>
  <si>
    <t>40132</t>
  </si>
  <si>
    <t>Машинка для стрижки волос LEBEN аккум. 3,7 В 4 Вт 251-068 /24/</t>
  </si>
  <si>
    <t>40106</t>
  </si>
  <si>
    <t>Машинка для стрижки волос LEBEN водонепроницаемая, аккумулятор 1200 мАч 251-098</t>
  </si>
  <si>
    <t>402 Фены для волос</t>
  </si>
  <si>
    <t>40282</t>
  </si>
  <si>
    <t>Фен Atlanta ATH-6787 2000 Вт /12/</t>
  </si>
  <si>
    <t>40577</t>
  </si>
  <si>
    <t>Фен Atlanta ATH-6823 1800 Вт /24/</t>
  </si>
  <si>
    <t>40557</t>
  </si>
  <si>
    <t>Фен Atlanta ATH-887 650 Вт 7 насадок голубой /12/</t>
  </si>
  <si>
    <t>40585</t>
  </si>
  <si>
    <t>Фен Galaxy GL-4300 2200Вт /12/</t>
  </si>
  <si>
    <t>40246</t>
  </si>
  <si>
    <t>Фен Galaxy GL-4301 1000Вт /20/</t>
  </si>
  <si>
    <t>40242</t>
  </si>
  <si>
    <t>Фен Galaxy GL-4303 1200Вт /20/</t>
  </si>
  <si>
    <t>40243</t>
  </si>
  <si>
    <t>Фен Galaxy GL-4305 1400Вт /10/</t>
  </si>
  <si>
    <t>40274</t>
  </si>
  <si>
    <t>Фен Galaxy GL-4324 2200Вт /12/</t>
  </si>
  <si>
    <t>40273</t>
  </si>
  <si>
    <t>Фен Galaxy GL-4326 2200Вт /12/</t>
  </si>
  <si>
    <t>40564</t>
  </si>
  <si>
    <t>Фен Galaxy GL-4331 2000Вт /10/</t>
  </si>
  <si>
    <t>40245</t>
  </si>
  <si>
    <t>Фен Galaxy GL-4332 2000Вт /12/</t>
  </si>
  <si>
    <t>40235</t>
  </si>
  <si>
    <t>Фен LEBEN + стайсер зеленое золото 259-205 /6/</t>
  </si>
  <si>
    <t>40241</t>
  </si>
  <si>
    <t>Фен LEBEN 1000W 2 скор. обдува дорожный со складной ручкой 2 цв 259-168 /24/</t>
  </si>
  <si>
    <t>40003</t>
  </si>
  <si>
    <t>Фен LEBEN 1200W 2 скор. обдува дорожный 489-034 /2/</t>
  </si>
  <si>
    <t>40475</t>
  </si>
  <si>
    <t>Фен LEBEN 1200W 2 скор. обдува дорожный со складной ручкой розовый 259-170 /24/</t>
  </si>
  <si>
    <t>40534</t>
  </si>
  <si>
    <t>Фен LEBEN 1500W 2 скор. обдува холодный 259-147</t>
  </si>
  <si>
    <t>40506</t>
  </si>
  <si>
    <t>Фен LEBEN 1500W 2 скор. складной 259-128</t>
  </si>
  <si>
    <t>40222</t>
  </si>
  <si>
    <t>Фен LEBEN 1600W 2 скор. обдува 2 темп. реж. профессиональный 259-150 /24/</t>
  </si>
  <si>
    <t>41992</t>
  </si>
  <si>
    <t>Фен LEBEN 1600W 2 скор. обдува складной 489-035 /20/</t>
  </si>
  <si>
    <t>40574</t>
  </si>
  <si>
    <t>Фен LEBEN 1600W с DC мотором пластик 259-158</t>
  </si>
  <si>
    <t>40596</t>
  </si>
  <si>
    <t>Фен LEBEN 2 скор. дорожный складная ручка +2-е расчески 259-139 /24/</t>
  </si>
  <si>
    <t>40236</t>
  </si>
  <si>
    <t>Фен LEBEN 2000W премиум с плавной регулир. белый 259-204 /12/</t>
  </si>
  <si>
    <t>40216</t>
  </si>
  <si>
    <t>Фен LEBEN 2200W 2 скор. 4 темп. реж. с диффузором и ионизацией 259-134 /12/</t>
  </si>
  <si>
    <t>41989</t>
  </si>
  <si>
    <t>Фен LEBEN 500W 2 скор. обдува дорожный 489-049</t>
  </si>
  <si>
    <t>40220</t>
  </si>
  <si>
    <t>Фен LEBEN 500W 2 скор. обдува дорожный пластик 2 цв 259-202 /80/</t>
  </si>
  <si>
    <t>40215</t>
  </si>
  <si>
    <t>Фен LEBEN 850W 2 скор. обдува черный 259-200 /24/</t>
  </si>
  <si>
    <t>40218</t>
  </si>
  <si>
    <t>Фен LEBEN 900W 2 скор. обдува дорожный пластик 2 цв 259-203 /24/</t>
  </si>
  <si>
    <t>40554</t>
  </si>
  <si>
    <t>Фен Maxtronic MAX-D1104 550 Вт дорожный 2 скор. складная ручка /24/</t>
  </si>
  <si>
    <t>41973</t>
  </si>
  <si>
    <t>Фен-расческа ENERGY Elegance EN-832 4 насадки</t>
  </si>
  <si>
    <t>40091</t>
  </si>
  <si>
    <t>Фен-щетка Atlanta ATH-6862 500Вт /12/</t>
  </si>
  <si>
    <t>404 Утюги эл.</t>
  </si>
  <si>
    <t>40409</t>
  </si>
  <si>
    <t>Отпариватель LEBEN 1300W 15 гр/мин 60мл 249-030 /10/</t>
  </si>
  <si>
    <t>40456</t>
  </si>
  <si>
    <t>Утюг Atlanta ATH-401 1200Вт /10/</t>
  </si>
  <si>
    <t>40419</t>
  </si>
  <si>
    <t>Утюг Atlanta ATH-5535 2000Вт розовый /10/</t>
  </si>
  <si>
    <t>41965</t>
  </si>
  <si>
    <t>Утюг ENERGY EN-317 2200Вт сталь. подошва (увлаж,пар,самоочист) розовый</t>
  </si>
  <si>
    <t>40466</t>
  </si>
  <si>
    <t>Утюг Galaxy GL-6108 2400Вт /6/</t>
  </si>
  <si>
    <t>40443</t>
  </si>
  <si>
    <t>Утюг Galaxy GL-6110 2200Вт керамич. покр. /6/</t>
  </si>
  <si>
    <t>40444</t>
  </si>
  <si>
    <t>Утюг Galaxy GL-6111 2200Вт /6/</t>
  </si>
  <si>
    <t>40486</t>
  </si>
  <si>
    <t>Утюг Galaxy GL-6118 2200Вт керамич. покр. /6/</t>
  </si>
  <si>
    <t>40465</t>
  </si>
  <si>
    <t>Утюг Galaxy GL-6120 2400Вт /6/</t>
  </si>
  <si>
    <t>40485</t>
  </si>
  <si>
    <t>Утюг Galaxy GL-6121 1600Вт керамич. покр. синий /6/</t>
  </si>
  <si>
    <t>40437</t>
  </si>
  <si>
    <t>Утюг HomeStar HS-4002A 2200Вт тефлон. покр. синий /12/</t>
  </si>
  <si>
    <t>40483</t>
  </si>
  <si>
    <t>Утюг HomeStar HS-4005 1800Вт керамич. покр. желто-серый /12/</t>
  </si>
  <si>
    <t>40429</t>
  </si>
  <si>
    <t>Утюг HomeStar HS-4007 1800Вт тефлон. покр. бело-розовый /10/</t>
  </si>
  <si>
    <t>40410</t>
  </si>
  <si>
    <t>Утюг HomeStar HS-4012 1800Вт керамич. покр. бело-серый /10/</t>
  </si>
  <si>
    <t>40412</t>
  </si>
  <si>
    <t>Утюг HomeStar HS-4012 1800Вт керамич. покр. бело-синий /10/</t>
  </si>
  <si>
    <t>40482</t>
  </si>
  <si>
    <t>Утюг LEBEN 1000W дорожный складнойс керамич. покр. 249-033 /12/</t>
  </si>
  <si>
    <t>40411</t>
  </si>
  <si>
    <t>Утюг LEBEN 1000W щетка отп.тефлон.терморег.резерв.100 мл пар 15 гр/мин 249-004 /10/</t>
  </si>
  <si>
    <t>40446</t>
  </si>
  <si>
    <t>Утюг LEBEN 1200W с отпарив. 249-005 /2/20/</t>
  </si>
  <si>
    <t>40480</t>
  </si>
  <si>
    <t>Утюг LEBEN 1600W с отпарив. подошва тефлон. бежевый 249-025 /10/</t>
  </si>
  <si>
    <t>40458</t>
  </si>
  <si>
    <t>Утюг LEBEN 2000W с отпарив. 249-006 /2/20/</t>
  </si>
  <si>
    <t>40461</t>
  </si>
  <si>
    <t>Утюг LEBEN 2000W с отпарив. нерж 249-015 /12/</t>
  </si>
  <si>
    <t>40436</t>
  </si>
  <si>
    <t>Утюг LEBEN 2000W с отпарив. нерж пар. 15 г в мин. 249-003 /10/</t>
  </si>
  <si>
    <t>40447</t>
  </si>
  <si>
    <t>Утюг LEBEN 2200W с отпарив. и разбрызг. прозр. корп. 249-007 /10/</t>
  </si>
  <si>
    <t>40479</t>
  </si>
  <si>
    <t>Утюг LEBEN 2200W с отпарив. керамич. покр. 249-016 /10/</t>
  </si>
  <si>
    <t>40403</t>
  </si>
  <si>
    <t>Утюг LEBEN 2200W с отпарив. керамич. покр. 249-017</t>
  </si>
  <si>
    <t>40407</t>
  </si>
  <si>
    <t>Утюг LEBEN 2200W с отпарив. керамич. покр. 249-018 /10/</t>
  </si>
  <si>
    <t>40405</t>
  </si>
  <si>
    <t>Утюг LEBEN 2400W с отпарив. керамич. покр. бордо 249-021 /10/</t>
  </si>
  <si>
    <t>40402</t>
  </si>
  <si>
    <t>Утюг LEBEN 2600W с отпарив. керам. покр. 249-014 /10/</t>
  </si>
  <si>
    <t>40484</t>
  </si>
  <si>
    <t>Утюг LEBEN 3000W с отпарив. керамич. покр. 249-012 /10/</t>
  </si>
  <si>
    <t>41972</t>
  </si>
  <si>
    <t>Утюг LEONORD LE-3004 1000Вт (стальн.под.,пар,спрей,самооч.) дорожный/381304</t>
  </si>
  <si>
    <t>40433</t>
  </si>
  <si>
    <t>Утюг Курск УТ-1,2 1600Вт /10/</t>
  </si>
  <si>
    <t>40432</t>
  </si>
  <si>
    <t>Утюг Матрена МА-045 2200Вт фиолетовый 006386 /10/</t>
  </si>
  <si>
    <t>40431</t>
  </si>
  <si>
    <t>Утюг Матрена МА-046 2200Вт голубой 006388 /10/</t>
  </si>
  <si>
    <t>40430</t>
  </si>
  <si>
    <t>Утюг Матрена МА-047 2000Вт вишневый 006389 /10/</t>
  </si>
  <si>
    <t>40406</t>
  </si>
  <si>
    <t>Утюг Матрена МА-047 2200Вт синий 006390 /10/</t>
  </si>
  <si>
    <t>40408</t>
  </si>
  <si>
    <t>Утюг Матрена МА-049 2300Вт бирюзовый 007196 /10/</t>
  </si>
  <si>
    <t>405 Бытовая техника для волос</t>
  </si>
  <si>
    <t>40546</t>
  </si>
  <si>
    <t>Бритва Atlanta ATH-6600 /24/</t>
  </si>
  <si>
    <t>40519</t>
  </si>
  <si>
    <t>Бритва Atlanta ATH-6603 /24/</t>
  </si>
  <si>
    <t>40547</t>
  </si>
  <si>
    <t>Бритва Atlanta ATH-6623 /24/</t>
  </si>
  <si>
    <t>40533</t>
  </si>
  <si>
    <t>Бритва LEBEN 3W аккумуляторная с двойным плавающ.лезвием  251-062</t>
  </si>
  <si>
    <t>40558</t>
  </si>
  <si>
    <t>Мультистайлер для волос Leben с 3-мя сменными насадками 259-138 /12/</t>
  </si>
  <si>
    <t>40520</t>
  </si>
  <si>
    <t>Плойка для волос Galaxy GL-4614 45 Вт бело-черный /4/</t>
  </si>
  <si>
    <t>40593</t>
  </si>
  <si>
    <t>Плойка для волос Leben 12Вт белая, мет., пласт. 259-124 /2/</t>
  </si>
  <si>
    <t>40531</t>
  </si>
  <si>
    <t>Плойка для волос Leben 256 мм 3 реж. пластик алюминий 259-163</t>
  </si>
  <si>
    <t>40525</t>
  </si>
  <si>
    <t>Плойка для волос Leben коническая с керамич. покр. 259-162</t>
  </si>
  <si>
    <t>40514</t>
  </si>
  <si>
    <t>Плойка для волос Волжанка ПЛК-005</t>
  </si>
  <si>
    <t>40515</t>
  </si>
  <si>
    <t>Плойка для волос Волжанка ПЛК-006</t>
  </si>
  <si>
    <t>40524</t>
  </si>
  <si>
    <t>Плойка-гофре для волос Leben 35 Вт 259-157 /20/</t>
  </si>
  <si>
    <t>40583</t>
  </si>
  <si>
    <t>Прибор для укладки волос Atlanta ATH-6657 спираль 35 Вт</t>
  </si>
  <si>
    <t>40584</t>
  </si>
  <si>
    <t>Прибор для укладки волос Atlanta ATH-6658 спираль 25 Вт</t>
  </si>
  <si>
    <t>40570</t>
  </si>
  <si>
    <t>Прибор для укладки волос Atlanta ATH-6670 конусная плойка 25 Вт /24/</t>
  </si>
  <si>
    <t>40528</t>
  </si>
  <si>
    <t>Прибор для укладки волос Atlanta ATH-6726 расческа 27 Вт white /24/</t>
  </si>
  <si>
    <t>40502</t>
  </si>
  <si>
    <t>Прибор для укладки волос Atlanta ATH-6727 расческа 27 Вт /24/</t>
  </si>
  <si>
    <t>40505</t>
  </si>
  <si>
    <t>Прибор для укладки волос Atlanta ATH-6729 расческа 40 Вт /24/</t>
  </si>
  <si>
    <t>40507</t>
  </si>
  <si>
    <t>Прибор для укладки волос Atlanta ATH-6735 гофре 35 Вт /30/</t>
  </si>
  <si>
    <t>41950</t>
  </si>
  <si>
    <t>Прибор для укладки волос Galaxy GL-4511 50 Вт /12/</t>
  </si>
  <si>
    <t>40581</t>
  </si>
  <si>
    <t>Прибор для укладки волос Galaxy GL-4515 гофре, выпрям, завив /24/</t>
  </si>
  <si>
    <t>40508</t>
  </si>
  <si>
    <t>Прибор для укладки волос Galaxy GL-4610 выпрям, завив 50 Вт /40/</t>
  </si>
  <si>
    <t>40582</t>
  </si>
  <si>
    <t>Прибор для укладки волос Galaxy GL-4621 30 Вт /24/</t>
  </si>
  <si>
    <t>40532</t>
  </si>
  <si>
    <t>Прибор для укладки волос Galaxy GL-4622 спираль 40 Вт /40/</t>
  </si>
  <si>
    <t>40580</t>
  </si>
  <si>
    <t>Прибор для укладки волос Viconte VC-6731 гофре 20Вт</t>
  </si>
  <si>
    <t>40513</t>
  </si>
  <si>
    <t>Расчетка-выпрямитель Leben для волос 2в1 6 реж пласт. 259-174 /24/</t>
  </si>
  <si>
    <t>40539</t>
  </si>
  <si>
    <t>Расчетка-выпрямитель Leben для волос с функцией увлажнения электрон управление 80 Вт 259-172 /30/</t>
  </si>
  <si>
    <t>40516</t>
  </si>
  <si>
    <t>Стайлер для волос Leben 2в1, широкое гофре, широкий утюжок 259-152 /24/</t>
  </si>
  <si>
    <t>40535</t>
  </si>
  <si>
    <t>Стайлер для волос Leben дорожный 22мм 200 град. сумка перчатки 259-161 /24/</t>
  </si>
  <si>
    <t>40579</t>
  </si>
  <si>
    <t>Стайлер для волос Leben керамическое покрытие 259-137 /24/</t>
  </si>
  <si>
    <t>40517</t>
  </si>
  <si>
    <t>Утюжок-выпрямитель Homestar 35 Вт HS-8006 /12/</t>
  </si>
  <si>
    <t>40556</t>
  </si>
  <si>
    <t>Утюжок-выпрямитель LEBEN 19 Вт дорожный керамическое покрытие 489-047 /2/</t>
  </si>
  <si>
    <t>40599</t>
  </si>
  <si>
    <t>Утюжок-выпрямитель LEBEN 30 Вт 259-121 /2/</t>
  </si>
  <si>
    <t>40586</t>
  </si>
  <si>
    <t>Утюжок-выпрямитель LEBEN 50 Вт 3 цвета 259-122 /2/</t>
  </si>
  <si>
    <t>40597</t>
  </si>
  <si>
    <t>Утюжок-плойка LEBEN гофре керамическое покрытие 259-144 /20/</t>
  </si>
  <si>
    <t>40509</t>
  </si>
  <si>
    <t>Щипцы для выпрямления волос Atlanta ATH-6722 35W /24/</t>
  </si>
  <si>
    <t>40576</t>
  </si>
  <si>
    <t>Щипцы для выпрямления волос Galaxy GL-4504 65W /24/</t>
  </si>
  <si>
    <t>40555</t>
  </si>
  <si>
    <t>Щипцы для укладки волос волна Maxtronic MAX- MGC-20 15 Вт /24</t>
  </si>
  <si>
    <t>40518</t>
  </si>
  <si>
    <t>Щипцы для укладки волос гофре Homestar HS-8005 30W черный /12/</t>
  </si>
  <si>
    <t>40068</t>
  </si>
  <si>
    <t>Щипцы для укладки волос мини Zauber ECO-110 100W /18/</t>
  </si>
  <si>
    <t>40084</t>
  </si>
  <si>
    <t>Щипцы для укладки волос спираль Atlanta ATH-6656 30W /24/</t>
  </si>
  <si>
    <t>40075</t>
  </si>
  <si>
    <t>Эпилятор Atlanta ATH-6641 /12/</t>
  </si>
  <si>
    <t>406 Плиты газовые</t>
  </si>
  <si>
    <t>34019</t>
  </si>
  <si>
    <t>Счетчик газа роторный РЛ-2,5 Новатор ДУ-20под резьбу Укр 1кварт.2011год</t>
  </si>
  <si>
    <t>407 Бытовая техника для кухни</t>
  </si>
  <si>
    <t>40739</t>
  </si>
  <si>
    <t>Аппарат для попкорма RAF Baizheng R.9014 2,0л 1200Вт красный /20/</t>
  </si>
  <si>
    <t>40785</t>
  </si>
  <si>
    <t>Блинница эл. RAF R.5208 650Вт с тарелкой белый /16/</t>
  </si>
  <si>
    <t>40717</t>
  </si>
  <si>
    <t>Вафельница эл. Galaxy GL-2963 800 Вт /6/</t>
  </si>
  <si>
    <t>40709</t>
  </si>
  <si>
    <t>Вафельница эл. HomeStar HS-2029 1200 Вт 5 венских вафель сердцем антиприг. белый /6/</t>
  </si>
  <si>
    <t>42003</t>
  </si>
  <si>
    <t>Вафельница эл. Leben 750 Вт на 2-е вафли анипригарн. покр. 861-002</t>
  </si>
  <si>
    <t>40704</t>
  </si>
  <si>
    <t>Вафельница эл. Lira LR1303W /6/</t>
  </si>
  <si>
    <t>40706</t>
  </si>
  <si>
    <t>Вафельница эл. RAF R.233 1000 Вт 5 венских вафель сердцем антиприг. /8/</t>
  </si>
  <si>
    <t>40790</t>
  </si>
  <si>
    <t>Вафельница эл. Матрена 800 Вт черная 008154 /6/</t>
  </si>
  <si>
    <t>42058</t>
  </si>
  <si>
    <t>Вафельница эл. Сластена-орешек дробеструйная ЭВ-1</t>
  </si>
  <si>
    <t>40724</t>
  </si>
  <si>
    <t>Вспениватель молока эл. Матрена МА-151 102764</t>
  </si>
  <si>
    <t>40703</t>
  </si>
  <si>
    <t>Контейнер для еды с подогревом эл. Homestar 220 Вт 1,5л бело-оранжевый /20/</t>
  </si>
  <si>
    <t>40720</t>
  </si>
  <si>
    <t>Контейнер для еды с подогревом эл. Leben 220 Вт 288-023 /24/</t>
  </si>
  <si>
    <t>40794</t>
  </si>
  <si>
    <t>Кофеварка Atlanta ATH-2202 1,2л 800Вт /6/</t>
  </si>
  <si>
    <t>40700</t>
  </si>
  <si>
    <t>Кофеварка Atlanta ATH-2204 1,2л 800Вт /6/</t>
  </si>
  <si>
    <t>40771</t>
  </si>
  <si>
    <t>Кофеварка Atlanta ATH-2206 0,6л 550Вт /6/</t>
  </si>
  <si>
    <t>40719</t>
  </si>
  <si>
    <t>Кофеварка Galaxy GL-0701 0,75л 700Вт /6/</t>
  </si>
  <si>
    <t>40797</t>
  </si>
  <si>
    <t>Кофеварка Galaxy GL-0708 0,3л 750Вт 2 чашки /6/</t>
  </si>
  <si>
    <t>40721</t>
  </si>
  <si>
    <t>Кофеварка Galaxy GL-0710 0,3л 1100Вт 1,8 л черная /6/</t>
  </si>
  <si>
    <t>40716</t>
  </si>
  <si>
    <t>Кофеварка HomeStar 0,6л 550 Вт 5119 /8/</t>
  </si>
  <si>
    <t>40781</t>
  </si>
  <si>
    <t>Кофеварка капельная LEBEN 400W 150 мл 286-033 /12/</t>
  </si>
  <si>
    <t>40707</t>
  </si>
  <si>
    <t>Кофеварка капельная LEBEN 500W 0,3 л 2 мет чашки 286-025 /10/</t>
  </si>
  <si>
    <t>40702</t>
  </si>
  <si>
    <t>Кофеварка капельная LEBEN 650W 600 мл 286-024 /8/</t>
  </si>
  <si>
    <t>40731</t>
  </si>
  <si>
    <t>Кофеварка капельная LEBEN 680W 0,8 л со стекл. колбой с функцией откл. 286-027 /6/</t>
  </si>
  <si>
    <t>40738</t>
  </si>
  <si>
    <t>Кофемолка Galaxy GL-0902 250Вт</t>
  </si>
  <si>
    <t>40788</t>
  </si>
  <si>
    <t>Кофемолка Galaxy GL-0905 250Вт /24/</t>
  </si>
  <si>
    <t>40786</t>
  </si>
  <si>
    <t>Кофемолка HomeStar HS-2035 200 Вт бежевый /12/</t>
  </si>
  <si>
    <t>40789</t>
  </si>
  <si>
    <t>Кофемолка HomeStar HS-2035 200 Вт красный /12/</t>
  </si>
  <si>
    <t>40715</t>
  </si>
  <si>
    <t>Кофемолка LEBEN 1500Вт загрузка 50 гр 286-036 /30/</t>
  </si>
  <si>
    <t>40714</t>
  </si>
  <si>
    <t>Кофемолка LEBEN 200Вт 286-031 /12/</t>
  </si>
  <si>
    <t>40712</t>
  </si>
  <si>
    <t>Кухонный комбайн Galaxy GL-2304 700 Вт /12/</t>
  </si>
  <si>
    <t>40701</t>
  </si>
  <si>
    <t>Мини-гриль Lira LR 1302 white 3в1 /6/</t>
  </si>
  <si>
    <t>40768</t>
  </si>
  <si>
    <t>Мини-печь Energy GT-09A-B 9л 650Вт черный</t>
  </si>
  <si>
    <t>40729</t>
  </si>
  <si>
    <t>Овощерезка ENERGY EN-146 250 Вт 5 насадок /3/</t>
  </si>
  <si>
    <t>40763</t>
  </si>
  <si>
    <t>Орешница эл. Leben 1400 Вт пластик нерж. ст. 271-022 /6/</t>
  </si>
  <si>
    <t>42045</t>
  </si>
  <si>
    <t>Печка для кексов Vitesse VS-311</t>
  </si>
  <si>
    <t>41821</t>
  </si>
  <si>
    <t>Соковыжималка Galaxy GL-0801 700 Вт 0,5л /4/</t>
  </si>
  <si>
    <t>40775</t>
  </si>
  <si>
    <t>Соковыжималка для цитрусовых Leben 25 Вт встроеная емкость для сока 0,5 л пластик 273-019 /18/</t>
  </si>
  <si>
    <t>41968</t>
  </si>
  <si>
    <t>Сосисочница Курск  Мечта ЭС-08/220</t>
  </si>
  <si>
    <t>42103</t>
  </si>
  <si>
    <t>Сэндвич-тостер Atlanta ATH-1031 600Вт /6/</t>
  </si>
  <si>
    <t>40799</t>
  </si>
  <si>
    <t>Сэндвичница Leben 3в1 850Вт 271-023 /6/</t>
  </si>
  <si>
    <t>40750</t>
  </si>
  <si>
    <t>Сэндвичница Leben 650Вт антипригарное покр.271-016</t>
  </si>
  <si>
    <t>40762</t>
  </si>
  <si>
    <t>Сэндвичница Leben 750Вт антипригарное покр.функц.выжигания фигурки на хлебе 271-020 /6/</t>
  </si>
  <si>
    <t>40713</t>
  </si>
  <si>
    <t>Термопот Atlanta ATH-2650 3л 800вт /6/</t>
  </si>
  <si>
    <t>42017</t>
  </si>
  <si>
    <t>Термопот Galaxy GL-0605 5,0 л 900 вт /6/</t>
  </si>
  <si>
    <t>40732</t>
  </si>
  <si>
    <t>Термопот HomeStar HS-5001 2,5л 750 Вт /6/</t>
  </si>
  <si>
    <t>40733</t>
  </si>
  <si>
    <t>Термопот HomeStar HS-5001 2,5л 750 Вт Сакура на белом /6/</t>
  </si>
  <si>
    <t>40742</t>
  </si>
  <si>
    <t>Термопот LEBEN 2,8 л 750Вт автомат подд.темпер., мех. помпа 291-008 /6/</t>
  </si>
  <si>
    <t>40747</t>
  </si>
  <si>
    <t>Термопот Maxtronic MAX-CR-10 2,8 л 750 вт Город /6/</t>
  </si>
  <si>
    <t>40755</t>
  </si>
  <si>
    <t>Термопот Maxtronic MAX-R40S10 2,8 л 750 вт Цветы серые /6/</t>
  </si>
  <si>
    <t>40769</t>
  </si>
  <si>
    <t>Термопот Maxtronic MAX-R40W9 2,8 л 750 вт Цветы черно-белые /6/</t>
  </si>
  <si>
    <t>40735</t>
  </si>
  <si>
    <t>Тостер Galaxy GL-2902 800 Вт /6/</t>
  </si>
  <si>
    <t>40718</t>
  </si>
  <si>
    <t>Тостер Galaxy GL-2906 850 Вт 2</t>
  </si>
  <si>
    <t>40726</t>
  </si>
  <si>
    <t>Тостер Galaxy GL-2959 800 Вт со сменными формами /6/</t>
  </si>
  <si>
    <t>40737</t>
  </si>
  <si>
    <t>Тостер LEBEN 650 Вт 2 отдел. 6 ст. поджарки 271-017 /12/</t>
  </si>
  <si>
    <t>42068</t>
  </si>
  <si>
    <t>Тостер LEBEN 700 Вт 2 отдел. 6ст. поджарки, функц. выжигания фигур на хлебе 475-151 /12/</t>
  </si>
  <si>
    <t>42084</t>
  </si>
  <si>
    <t>Тостер LEBEN 750 Вт 2 отдел. механ. упр. автом. выкл. доп. реш. для разогр. 475-046</t>
  </si>
  <si>
    <t>40725</t>
  </si>
  <si>
    <t>Тостер-сендвич Galaxy GL-2954 800 Вт белый /6/</t>
  </si>
  <si>
    <t>40779</t>
  </si>
  <si>
    <t>Турка эл. LEBEN 500W 0,4 л 1000 Вт нерж. 286-032</t>
  </si>
  <si>
    <t>42075</t>
  </si>
  <si>
    <t>Турка эл. LEBEN 500W 0,4 л с выкл. пластик 2 цв 286-020 /24/</t>
  </si>
  <si>
    <t>40741</t>
  </si>
  <si>
    <t>Хлебопечка LEBEN 19 программ, 500Вт, съем. чаша с антиприг. покр 271-018</t>
  </si>
  <si>
    <t>40752</t>
  </si>
  <si>
    <t>Электробарбекю LEBEN 1250 Вт 288-006</t>
  </si>
  <si>
    <t>40753</t>
  </si>
  <si>
    <t>Электробарбекю LEBEN 1400 Вт 288-007</t>
  </si>
  <si>
    <t>40754</t>
  </si>
  <si>
    <t>Электрогриль-барбекю LEBEN на ножках 2000 Вт 288-008</t>
  </si>
  <si>
    <t>40736</t>
  </si>
  <si>
    <t>Электрогриль-пресс First 700 Вт 2-е приты с антипригарным покрытием черный /8/</t>
  </si>
  <si>
    <t>40748</t>
  </si>
  <si>
    <t>Электросушилка Galaxy 300Вт GL-2634</t>
  </si>
  <si>
    <t>40722</t>
  </si>
  <si>
    <t>Электросушилка Galaxy 350 Вт GL-2636</t>
  </si>
  <si>
    <t>40723</t>
  </si>
  <si>
    <t>Электросушилка Galaxy 350 Вт GL-2637</t>
  </si>
  <si>
    <t>40761</t>
  </si>
  <si>
    <t>Электросушилка для фруктов и овощей EFD-320-05</t>
  </si>
  <si>
    <t>40774</t>
  </si>
  <si>
    <t>Электросушилка для фруктов и овощей EFD-320F-09</t>
  </si>
  <si>
    <t>40772</t>
  </si>
  <si>
    <t>Электросушилка Матрена VA-018 245 Вт 5 секций /4/</t>
  </si>
  <si>
    <t>40756</t>
  </si>
  <si>
    <t>Электрошашлычница Leben 1000 Вт с дрерцами 5 шампуров 288-010</t>
  </si>
  <si>
    <t>408 Блендеры/мясорубки/измельчители электрические</t>
  </si>
  <si>
    <t>42023</t>
  </si>
  <si>
    <t>Блендер Atlanta ATH-3195 250Вт спорт /6/</t>
  </si>
  <si>
    <t>40820</t>
  </si>
  <si>
    <t>Блендер Atlanta ATH-333 400Вт белый /12/</t>
  </si>
  <si>
    <t>40860</t>
  </si>
  <si>
    <t>Блендер Galaxy GL-2110 800Вт /12/</t>
  </si>
  <si>
    <t>40859</t>
  </si>
  <si>
    <t>Блендер Galaxy GL-2122 300Вт /12/</t>
  </si>
  <si>
    <t>40813</t>
  </si>
  <si>
    <t>Блендер Galaxy GL-2123 300Вт /12/</t>
  </si>
  <si>
    <t>40861</t>
  </si>
  <si>
    <t>Блендер Galaxy GL-2154 450Вт /6/</t>
  </si>
  <si>
    <t>40809</t>
  </si>
  <si>
    <t>Блендер HomeStar 300 Вт погружной бело-фиолетовый /18/</t>
  </si>
  <si>
    <t>40844</t>
  </si>
  <si>
    <t>Блендер LEBEN 200W погруж. 1ск., лезв. нерж. 269-002 /24/</t>
  </si>
  <si>
    <t>40827</t>
  </si>
  <si>
    <t>Блендер LEBEN 200W погруж. 2ск., лезв. нерж. 269-007 /24/</t>
  </si>
  <si>
    <t>40878</t>
  </si>
  <si>
    <t>Блендер LEBEN 200W погруж. пластик чаша 0,5л с чопером 2 скор. лезв. нерж. ст. 269-003 /12/</t>
  </si>
  <si>
    <t>40838</t>
  </si>
  <si>
    <t>Блендер LEBEN 350W стац. 1,5 л колба стекл. 2 скор. 269-036 /6/</t>
  </si>
  <si>
    <t>40831</t>
  </si>
  <si>
    <t>Блендер LEBEN 400W мерн. ст. чоппер венчик регулировыка скорости 269-016 /12/</t>
  </si>
  <si>
    <t>40870</t>
  </si>
  <si>
    <t>Блендер LEBEN 400В, софт тач, стакан, чопер, венчик, регул. скор., подсветка 269-017 /12/</t>
  </si>
  <si>
    <t>40823</t>
  </si>
  <si>
    <t>Блендер LEBEN 500W мерн. ст. чоппер венчик белый 269-032 /12/</t>
  </si>
  <si>
    <t>40800</t>
  </si>
  <si>
    <t>Блендер Матрена МА-051 300Вт 1 скорость черный /12/</t>
  </si>
  <si>
    <t>40804</t>
  </si>
  <si>
    <t>Блендер Матрена МА-053 300Вт 2 скорости бело-голубой /12/</t>
  </si>
  <si>
    <t>40816</t>
  </si>
  <si>
    <t>Блендер-измельчитель HomeStar 300W 2689 /12/</t>
  </si>
  <si>
    <t>40818</t>
  </si>
  <si>
    <t>Блендер-измельчитель LEBEN 200W 500Вт, лезв. нерж. 269-015 /6/</t>
  </si>
  <si>
    <t>40833</t>
  </si>
  <si>
    <t>Блендер-измельчитель LEBEN 300W 269-004 /6/</t>
  </si>
  <si>
    <t>40852</t>
  </si>
  <si>
    <t>Блендер-измельчитель Матрена МА-194 300 Вт 0,6 л бело-зеленый 008032 /6/</t>
  </si>
  <si>
    <t>40867</t>
  </si>
  <si>
    <t>Блендер-кувшин LEBEN 300 Вт 1,5 л 2 скор. 269-005 /6/</t>
  </si>
  <si>
    <t>40812</t>
  </si>
  <si>
    <t>Блендер-кувшин Матрена МА-042 300 Вт 1,5 л 2 скор. бело-голубой /6/</t>
  </si>
  <si>
    <t>40839</t>
  </si>
  <si>
    <t>Блендер-кувшин Матрена МА-217 300 Вт 1,8 л 2 скор. бело-розовый /6/</t>
  </si>
  <si>
    <t>40849</t>
  </si>
  <si>
    <t>Блендерный набор Матрена МА-052 350Вт 0,5 л 2 скор бело-розовый /8/</t>
  </si>
  <si>
    <t>40840</t>
  </si>
  <si>
    <t>Блендерный набор Матрена МА-053N 350Вт 0,5 л 2 скор бело-розовый /8/</t>
  </si>
  <si>
    <t>40842</t>
  </si>
  <si>
    <t>Блендерный набор Матрена МА-174 350Вт 0,8 л 2 скор бело-красный /8/</t>
  </si>
  <si>
    <t>42041</t>
  </si>
  <si>
    <t>Миксер Atlanta ATH-290 150Вт /4/</t>
  </si>
  <si>
    <t>40829</t>
  </si>
  <si>
    <t>Миксер Atlanta ATH-3122 150Вт с чашей /6/</t>
  </si>
  <si>
    <t>40825</t>
  </si>
  <si>
    <t>Миксер Galaxy GL-2207 200 Вт /8/</t>
  </si>
  <si>
    <t>40835</t>
  </si>
  <si>
    <t>Миксер LEBEN кухонный 100 Вт 7 скоростей 4 насадк. 269-011 /2/24/</t>
  </si>
  <si>
    <t>40965</t>
  </si>
  <si>
    <t>Миксер LEBEN кухонный 100 Вт 7 скоростей 4 насадк. в короб. 269-012 /2/12/</t>
  </si>
  <si>
    <t>40834</t>
  </si>
  <si>
    <t>Миксер LEBEN кухонный 100 Вт 7 скоростей 4 насадк. мет чаша 2 л 269-008 /12/</t>
  </si>
  <si>
    <t>40843</t>
  </si>
  <si>
    <t>Миксер LEBEN кухонный 100 Вт 7 скоростей 4 насадк. пласт. чаша 2 л 269-013 /12/</t>
  </si>
  <si>
    <t>40864</t>
  </si>
  <si>
    <t>Миксер LEBEN кухонный 150 Вт 5 скоростей 4 насадк. на подставке 269-014 /12/</t>
  </si>
  <si>
    <t>40836</t>
  </si>
  <si>
    <t>Миксер LEBEN кухонный 200 Вт 5 скоростей режим Турбо 269-030 /12/</t>
  </si>
  <si>
    <t>40881</t>
  </si>
  <si>
    <t>Миксер Lira LR-0301 200Вт /12/</t>
  </si>
  <si>
    <t>40882</t>
  </si>
  <si>
    <t>Миксер Lira LR-0302 250Вт /12/</t>
  </si>
  <si>
    <t>40883</t>
  </si>
  <si>
    <t>Миксер Lira LR-0304 200Вт /24/</t>
  </si>
  <si>
    <t>40826</t>
  </si>
  <si>
    <t>Миксер Lira LR-0306 250Вт /24/</t>
  </si>
  <si>
    <t>40805</t>
  </si>
  <si>
    <t>Мясорубка эл. Brayer BR1600 1300Вт черно-белый /2/</t>
  </si>
  <si>
    <t>79905</t>
  </si>
  <si>
    <t>Мясорубка эл. Energy EN-141 2000Вт красный 102765 /2/4/</t>
  </si>
  <si>
    <t>40824</t>
  </si>
  <si>
    <t>Мясорубка эл. Galaxy 1200Вт GL-2410 /4/</t>
  </si>
  <si>
    <t>40837</t>
  </si>
  <si>
    <t>Мясорубка эл. Galaxy 1800Вт GL-2416 /4/</t>
  </si>
  <si>
    <t>40847</t>
  </si>
  <si>
    <t>Мясорубка эл. Leben 1200Вт 3 реж.диска.реверс пластик черная с ручкой 269-037 /4/</t>
  </si>
  <si>
    <t>79911</t>
  </si>
  <si>
    <t>Мясорубка эл. Maxtronic 1500Вт MAX-G18 белый /4/</t>
  </si>
  <si>
    <t>40868</t>
  </si>
  <si>
    <t>Мясорубка эл. Матрена 1500Вт МА-192 /4/</t>
  </si>
  <si>
    <t>409 Весы</t>
  </si>
  <si>
    <t>40990</t>
  </si>
  <si>
    <t>Весы безмен Domina 10кг DY-042 /300/</t>
  </si>
  <si>
    <t>40991</t>
  </si>
  <si>
    <t>Весы безмен Domina 22кг DY-041 /100/</t>
  </si>
  <si>
    <t>40926</t>
  </si>
  <si>
    <t>Весы безмен Vetta 10 кг круглый пласт. 3 цв 487-006</t>
  </si>
  <si>
    <t>48133</t>
  </si>
  <si>
    <t>Весы безмен бытовой усиленный 20кг 487-001 /5/100/</t>
  </si>
  <si>
    <t>48134</t>
  </si>
  <si>
    <t>Весы безмен вертикальный 10кг пластм. СХ-155 487-004 /20/</t>
  </si>
  <si>
    <t>48135</t>
  </si>
  <si>
    <t>Весы безмен вертикальный 12кг металл. 487-007 /12/</t>
  </si>
  <si>
    <t>48136</t>
  </si>
  <si>
    <t>Весы безмен вертикальный 25кг металл. 487-008 /6/</t>
  </si>
  <si>
    <t>40941</t>
  </si>
  <si>
    <t>Весы безмен вертикальный 50кг металл. 487-022 /6/</t>
  </si>
  <si>
    <t>40969</t>
  </si>
  <si>
    <t>Весы безмен метал. 100кг /6/36/</t>
  </si>
  <si>
    <t>40901</t>
  </si>
  <si>
    <t>Весы безмен метал. 25кг /6/72/</t>
  </si>
  <si>
    <t>40904</t>
  </si>
  <si>
    <t>Весы безмен метал. 50кг /6/48/</t>
  </si>
  <si>
    <t>48131</t>
  </si>
  <si>
    <t>Весы безмен механический Homestar 10 кг пластм Рыбка желтый HS-3009M /96/</t>
  </si>
  <si>
    <t>40976</t>
  </si>
  <si>
    <t>Весы безмен пластм. 10 кг</t>
  </si>
  <si>
    <t>48155</t>
  </si>
  <si>
    <t>Весы безмен электронный 25кг 4цв. 487-025 /5/</t>
  </si>
  <si>
    <t>40935</t>
  </si>
  <si>
    <t>Весы безмен электронный ENERGY 25 кг</t>
  </si>
  <si>
    <t>40937</t>
  </si>
  <si>
    <t>Весы безмен электронный ENERGY BEZ-150 011635</t>
  </si>
  <si>
    <t>40957</t>
  </si>
  <si>
    <t>Весы безмен электронный ENERGY BEZ-152А /12/</t>
  </si>
  <si>
    <t>40944</t>
  </si>
  <si>
    <t>Весы безмен электронный Galaxy Line 50 кг GL 2833</t>
  </si>
  <si>
    <t>40952</t>
  </si>
  <si>
    <t>Весы безмен электронный Homestar 50кг пластм зеленый HS-3003 002692 /10/</t>
  </si>
  <si>
    <t>40950</t>
  </si>
  <si>
    <t>Весы безмен электронный Vetta 50 кг 3 цв. 487-012 /10/</t>
  </si>
  <si>
    <t>40902</t>
  </si>
  <si>
    <t>Весы безмен электронный вертикальный 40кг 487-026 /5/</t>
  </si>
  <si>
    <t>40953</t>
  </si>
  <si>
    <t>Весы для багажа пластик электронные макс. нагр. 40кг (точн. измер. 100гр) 487-052 /2/24/</t>
  </si>
  <si>
    <t>40971</t>
  </si>
  <si>
    <t>Весы кухонные мех. 1 кг 4 цв 487-053 /2/</t>
  </si>
  <si>
    <t>48183</t>
  </si>
  <si>
    <t>Весы кухонные мех. 2 кг в пластм. корпусе /24/</t>
  </si>
  <si>
    <t>40951</t>
  </si>
  <si>
    <t>Весы кухонные мех. 5 кг в пластм. корпусе</t>
  </si>
  <si>
    <t>48152</t>
  </si>
  <si>
    <t>Весы кухонные мех. 5 кг с пластик. чашей 800 мл 4 цв 487-003 /2/24/</t>
  </si>
  <si>
    <t>40968</t>
  </si>
  <si>
    <t>Весы кухонные мех. Homestar HS-3004M 1 кг красный /10/</t>
  </si>
  <si>
    <t>40986</t>
  </si>
  <si>
    <t>Весы кухонные мех. Homestar HS-3005M 5 кг белый /24/</t>
  </si>
  <si>
    <t>48188</t>
  </si>
  <si>
    <t>Весы кухонные электрон. 1 л Кружка /12/</t>
  </si>
  <si>
    <t>48157</t>
  </si>
  <si>
    <t>Весы кухонные электрон. 5кг с пластик. чашей 4 цв 487-002 /20/</t>
  </si>
  <si>
    <t>40912</t>
  </si>
  <si>
    <t>Весы кухонные электрон. Atlanta ATH-6194 до 5 кг silver /12/</t>
  </si>
  <si>
    <t>40961</t>
  </si>
  <si>
    <t>Весы кухонные электрон. Atlanta ATH-6203 /12/</t>
  </si>
  <si>
    <t>40963</t>
  </si>
  <si>
    <t>Весы кухонные электрон. Atlanta ATH-6209 /12/</t>
  </si>
  <si>
    <t>40970</t>
  </si>
  <si>
    <t>Весы кухонные электрон. ECO 5кг (точн.исмер.1гр) пластик 268-048 /24/</t>
  </si>
  <si>
    <t>40909</t>
  </si>
  <si>
    <t>Весы кухонные электрон. GL-2801</t>
  </si>
  <si>
    <t>40910</t>
  </si>
  <si>
    <t>Весы кухонные электрон. GL-2803</t>
  </si>
  <si>
    <t>40933</t>
  </si>
  <si>
    <t>Весы кухонные электрон. GL-2803 2 кг</t>
  </si>
  <si>
    <t>40938</t>
  </si>
  <si>
    <t>Весы кухонные электрон. Homestar HS-3002 5 кг стекло коричневый /24/</t>
  </si>
  <si>
    <t>40943</t>
  </si>
  <si>
    <t>Весы кухонные электрон. Homestar HS-3006 5 кг стекло Мороженое</t>
  </si>
  <si>
    <t>40964</t>
  </si>
  <si>
    <t>Весы кухонные электрон. Homestar HS-3006 5 кг стекло Специи /12/</t>
  </si>
  <si>
    <t>40907</t>
  </si>
  <si>
    <t>Весы кухонные электрон. Homestar HS-3007S 7 кг стекло Конфетти /20/</t>
  </si>
  <si>
    <t>40913</t>
  </si>
  <si>
    <t>Весы кухонные электрон. Homestar HS-3008 7 кг стекло Специи /20/</t>
  </si>
  <si>
    <t>40942</t>
  </si>
  <si>
    <t>Весы кухонные электрон. Homestar HS-3012 10 кг белый /40/</t>
  </si>
  <si>
    <t>40947</t>
  </si>
  <si>
    <t>Весы кухонные электрон. Leben 5кг 268-046 /2/24/</t>
  </si>
  <si>
    <t>40916</t>
  </si>
  <si>
    <t>Весы кухонные электрон. Leben 5кг 268-056 /24/</t>
  </si>
  <si>
    <t>40972</t>
  </si>
  <si>
    <t>Весы кухонные электрон. Leben 5кг мет. на рейлинге 268-054 /24/</t>
  </si>
  <si>
    <t>40929</t>
  </si>
  <si>
    <t>Весы кухонные электрон. Leben 5кг с часами пластик 268-053 /24/</t>
  </si>
  <si>
    <t>40956</t>
  </si>
  <si>
    <t>Весы кухонные электрон. Leben 5кг с чашей 268-049 /24/</t>
  </si>
  <si>
    <t>40948</t>
  </si>
  <si>
    <t>Весы кухонные электрон. Leben 5кг стекл. платф. 268-045 /2/24/</t>
  </si>
  <si>
    <t>40989</t>
  </si>
  <si>
    <t>Весы кухонные электрон. Leben 5кг стекло максим. нагр. 268-050</t>
  </si>
  <si>
    <t>40903</t>
  </si>
  <si>
    <t>Весы кухонные электрон. Leben 5кг стекло с диз.прямоуг. 268-047 /2/24/</t>
  </si>
  <si>
    <t>48189</t>
  </si>
  <si>
    <t>Весы кухонные электрон. Leben RF5 5кг (питание CR2032) 475-148 /2/24/</t>
  </si>
  <si>
    <t>40960</t>
  </si>
  <si>
    <t>Весы кухонные электрон. Leonord LE-1705 5кг дисплей /12/</t>
  </si>
  <si>
    <t>40949</t>
  </si>
  <si>
    <t>Весы кухонные электрон. Матрена МА-037 7 кг стекло Букет тюльпанов 007833</t>
  </si>
  <si>
    <t>40939</t>
  </si>
  <si>
    <t>Весы кухонные электрон. Матрена МА-037 7 кг стекло Пионы 007158 /12/</t>
  </si>
  <si>
    <t>40988</t>
  </si>
  <si>
    <t>Весы кухонные электрон. Матрена МА-039 5 кг бамбук 007160 /12/</t>
  </si>
  <si>
    <t>40906</t>
  </si>
  <si>
    <t>Весы кухонные электрон. Матрена МА-186 5 кг с чашей 0,6 л бело-голубой 007934 /40/</t>
  </si>
  <si>
    <t>40973</t>
  </si>
  <si>
    <t>Весы кухонные электрон. Матрена МА-188 5 кг с чашей 0,8 л белый 007936 /40/</t>
  </si>
  <si>
    <t>48158</t>
  </si>
  <si>
    <t>Весы напольные мех. 130кг 3 диз. 487-009 /2/20/</t>
  </si>
  <si>
    <t>48164</t>
  </si>
  <si>
    <t>Весы напольные мех. Atlanta ATH-6102/10 голуб.</t>
  </si>
  <si>
    <t>40977</t>
  </si>
  <si>
    <t>Весы напольные мех. Maxtronic MAX-1631 130 кг Ракушки и песок /10/</t>
  </si>
  <si>
    <t>40967</t>
  </si>
  <si>
    <t>Весы напольные мех. Maxtronic MAX-1633 130 кг Сакура /20/</t>
  </si>
  <si>
    <t>40993</t>
  </si>
  <si>
    <t>Весы напольные мех. Maxtronic MAX-1640 130 кг Цветы на белых камнях /20/</t>
  </si>
  <si>
    <t>40994</t>
  </si>
  <si>
    <t>Весы напольные мех. Maxtronic MAX-1641 130 кг Камни на воде /20/</t>
  </si>
  <si>
    <t>40995</t>
  </si>
  <si>
    <t>Весы напольные мех. Maxtronic MAX-1644 130 кг Объемные цветы на белых кирпичах /20/</t>
  </si>
  <si>
    <t>40996</t>
  </si>
  <si>
    <t>Весы напольные мех. Maxtronic MAX-1645 130 кг Сакура и горы /10/</t>
  </si>
  <si>
    <t>40997</t>
  </si>
  <si>
    <t>Весы напольные мех. Maxtronic MAX-1646 130 кг Какаду /10/</t>
  </si>
  <si>
    <t>40987</t>
  </si>
  <si>
    <t>Весы напольные электрон. Atlanta ATH-6131 wite /4/</t>
  </si>
  <si>
    <t>40975</t>
  </si>
  <si>
    <t>Весы напольные электрон. Atlanta ATH-6141 мини /12/</t>
  </si>
  <si>
    <t>48166</t>
  </si>
  <si>
    <t>Весы напольные электрон. Atlanta ATH-818 /6/</t>
  </si>
  <si>
    <t>40954</t>
  </si>
  <si>
    <t>Весы напольные электрон. First FA-8013-3-WI 150 кг стекло прозрачно-белый /5/</t>
  </si>
  <si>
    <t>40958</t>
  </si>
  <si>
    <t>Весы напольные электрон. GL-200 прозр. стекло /10/</t>
  </si>
  <si>
    <t>40924</t>
  </si>
  <si>
    <t>Весы напольные электрон. GL-4801 /10/</t>
  </si>
  <si>
    <t>40980</t>
  </si>
  <si>
    <t>Весы напольные электрон. GL-4802 /6/</t>
  </si>
  <si>
    <t>40981</t>
  </si>
  <si>
    <t>Весы напольные электрон. GL-4803</t>
  </si>
  <si>
    <t>40982</t>
  </si>
  <si>
    <t>Весы напольные электрон. GL-4805</t>
  </si>
  <si>
    <t>40983</t>
  </si>
  <si>
    <t>Весы напольные электрон. GL-4806 /6/</t>
  </si>
  <si>
    <t>40932</t>
  </si>
  <si>
    <t>Весы напольные электрон. GL-4821 /10/</t>
  </si>
  <si>
    <t>40927</t>
  </si>
  <si>
    <t>Весы напольные электрон. GL-4824 /10/</t>
  </si>
  <si>
    <t>40984</t>
  </si>
  <si>
    <t>Весы напольные электрон. GL-4831</t>
  </si>
  <si>
    <t>40962</t>
  </si>
  <si>
    <t>Весы напольные электрон. Homestar HS-6001H 180 кг стекло Гаваи /8/</t>
  </si>
  <si>
    <t>40945</t>
  </si>
  <si>
    <t>Весы напольные электрон. Maxtronic MAX-312 180 кг Фламинго /10/</t>
  </si>
  <si>
    <t>40918</t>
  </si>
  <si>
    <t>Весы напольные электрон. Maxtronic MAX-315 180 кг /10/</t>
  </si>
  <si>
    <t>40992</t>
  </si>
  <si>
    <t>Весы напольные электрон. ЖК-дисплей 180 кг Flower Collection 252-056 /10/</t>
  </si>
  <si>
    <t>48198</t>
  </si>
  <si>
    <t>Весы напольные электрон. ЖК-дисплей 180 кг GC Design 487-019</t>
  </si>
  <si>
    <t>48199</t>
  </si>
  <si>
    <t>Весы напольные электрон. ЖК-дисплей 180 кг GC Design 487-041 /10/</t>
  </si>
  <si>
    <t>48173</t>
  </si>
  <si>
    <t>Весы напольные электрон. ЖК-дисплей 180 кг GC Design 487-045</t>
  </si>
  <si>
    <t>48177</t>
  </si>
  <si>
    <t>Весы напольные электрон. ЖК-дисплей 180 кг GC Design Гороскоп 4 цв 487-042</t>
  </si>
  <si>
    <t>40974</t>
  </si>
  <si>
    <t>Весы напольные электрон. ЖК-дисплей 180 кг Nature Style 252-053 /10/</t>
  </si>
  <si>
    <t>48160</t>
  </si>
  <si>
    <t>Весы напольные электрон. ЖК-дисплей 180 кг Вечный мотиватор 4 цв 487-050 /2/10/</t>
  </si>
  <si>
    <t>48179</t>
  </si>
  <si>
    <t>Весы напольные электрон. ЖК-дисплей 180 кг Еще немного 4 цв 487-044 /10/</t>
  </si>
  <si>
    <t>40928</t>
  </si>
  <si>
    <t>Весы напольные электрон. ЖК-дисплей 180 кг Летняя фантазия 252-657 /2/10/</t>
  </si>
  <si>
    <t>40966</t>
  </si>
  <si>
    <t>Весы напольные электрон. ЖК-дисплей 180 кг Паркет 487-056 /10/</t>
  </si>
  <si>
    <t>48159</t>
  </si>
  <si>
    <t>Весы напольные электрон. ЖК-дисплей 180 кг Романтика 4 цв 487-033</t>
  </si>
  <si>
    <t>48175</t>
  </si>
  <si>
    <t>Весы напольные электрон. ЖК-дисплей 180 кг стекло 487-020 /2/10/</t>
  </si>
  <si>
    <t>48194</t>
  </si>
  <si>
    <t>Весы напольные электрон. ЖК-дисплей 180 кг Ягуар 487-049 /2/10/</t>
  </si>
  <si>
    <t>40900</t>
  </si>
  <si>
    <t>Весы портативные электрон. ЖК-дисплей 500 г 3*ААА 487-016</t>
  </si>
  <si>
    <t>40936</t>
  </si>
  <si>
    <t>Весы-ложка кухонные электрон. FE520 /100/</t>
  </si>
  <si>
    <t>410 Бытовая техника для дома</t>
  </si>
  <si>
    <t>41005</t>
  </si>
  <si>
    <t>Машинка для удаления катышков ENERGY EN-826 бело-желтый /96/</t>
  </si>
  <si>
    <t>41007</t>
  </si>
  <si>
    <t>Машинка для удаления катышков ENERGY GE-706 бело-розовый /96/</t>
  </si>
  <si>
    <t>41000</t>
  </si>
  <si>
    <t>Машинка для удаления катышков HomeStar HS-9001V 2 Вт зеленый /24/</t>
  </si>
  <si>
    <t>41012</t>
  </si>
  <si>
    <t>Машинка для удаления катышков HomeStar HS-9032</t>
  </si>
  <si>
    <t>41017</t>
  </si>
  <si>
    <t>Машинка для удаления катышков Европа 490-011 /10/200/</t>
  </si>
  <si>
    <t>41920</t>
  </si>
  <si>
    <t>Машинка для удаления катышков Кроха 490-010 /20/200/</t>
  </si>
  <si>
    <t>41004</t>
  </si>
  <si>
    <t>Машинка для удаления катышков, бат. АА, со щеткой 490-030 /4/200/</t>
  </si>
  <si>
    <t>41026</t>
  </si>
  <si>
    <t>Набор для маникюра Atlanta ATH-6272 3 насадки /40/</t>
  </si>
  <si>
    <t>41029</t>
  </si>
  <si>
    <t>Набор для маникюра Atlanta ATH-6274 3 насадки /60/</t>
  </si>
  <si>
    <t>41031</t>
  </si>
  <si>
    <t>Набор для маникюра Galaxy GL-4912 5 насадок /40/</t>
  </si>
  <si>
    <t>41038</t>
  </si>
  <si>
    <t>Набор для маникюра LEBEN 6 насадок 2 скор. питание 2*АА 263-010 /24/</t>
  </si>
  <si>
    <t>40077</t>
  </si>
  <si>
    <t>Паровая гладильная установка Leben 2300 Вт бойлер 850 мл 3,5 Бар 490-054</t>
  </si>
  <si>
    <t>41961</t>
  </si>
  <si>
    <t>Пилка для ногтей эл. LEBEN 3 насадки питание 1АА 489-051</t>
  </si>
  <si>
    <t>41009</t>
  </si>
  <si>
    <t>Пилка для пяток эл. LEBEN с доп. насадкой 2*АА 263-001 /2/</t>
  </si>
  <si>
    <t>41001</t>
  </si>
  <si>
    <t>Электроодеяло First FA-8120 150*80 см 60 Вт 3 реж темп. 100% полиэстер моющийся</t>
  </si>
  <si>
    <t>411 Вентиляторы</t>
  </si>
  <si>
    <t>41109</t>
  </si>
  <si>
    <t>Вентилятор напольный 16 дюймов 35 Вт 3 скор. 243-005 /2/</t>
  </si>
  <si>
    <t>41100</t>
  </si>
  <si>
    <t>Вентилятор напольный Delta DL-020N 45Вт бело-зеленый /4/</t>
  </si>
  <si>
    <t>41102</t>
  </si>
  <si>
    <t>Вентилятор напольный Delta DL-020N 45Вт бело-красный /4/</t>
  </si>
  <si>
    <t>41103</t>
  </si>
  <si>
    <t>Вентилятор напольный Delta DL-020N 45Вт бело-синий /4/</t>
  </si>
  <si>
    <t>41032</t>
  </si>
  <si>
    <t>Вентилятор напольный TDM ВП-02 35Вт Тайфун /2/</t>
  </si>
  <si>
    <t>41033</t>
  </si>
  <si>
    <t>Вентилятор настольный TDM 15Вт Тайфун белый/черный</t>
  </si>
  <si>
    <t>415-425 Туризм</t>
  </si>
  <si>
    <t>416 Туристические наборы, ножи, посуда</t>
  </si>
  <si>
    <t>41666</t>
  </si>
  <si>
    <t>Ложка туристическая складная Дружба с зубчиками нерж. сталь ДК-590</t>
  </si>
  <si>
    <t>41608</t>
  </si>
  <si>
    <t>Миска туристическая Руссо Туристо 160мм алюминивая 123-053 /5/50/</t>
  </si>
  <si>
    <t>42434</t>
  </si>
  <si>
    <t>Набор для пикника 4в1 AN84-75 /24/</t>
  </si>
  <si>
    <t>41609</t>
  </si>
  <si>
    <t>Набор столвых приборов 4 функц нерж. сталь 118-135 /6/</t>
  </si>
  <si>
    <t>41614</t>
  </si>
  <si>
    <t>Набор столовых приборов Ecos 6в1 в чехле TS-06 /48/</t>
  </si>
  <si>
    <t>41664</t>
  </si>
  <si>
    <t>Набор столовых приборов Дружба 6в1 ДМ-360</t>
  </si>
  <si>
    <t>41665</t>
  </si>
  <si>
    <t>Набор столовых приборов Дружба 7в1 в чехле ДМ-370</t>
  </si>
  <si>
    <t>41667</t>
  </si>
  <si>
    <t>Набор столовых приборов Дружба универсальный ДК-505</t>
  </si>
  <si>
    <t>41602</t>
  </si>
  <si>
    <t>Набор столовых приборов складной 6 функц AN84-71 /12/</t>
  </si>
  <si>
    <t>41673</t>
  </si>
  <si>
    <t>Нож грибника Inbloom 17 см пл. мкт. 2 цв 181-027 /12/</t>
  </si>
  <si>
    <t>41672</t>
  </si>
  <si>
    <t>Нож грибника со щеточкой AN84-128 /12/</t>
  </si>
  <si>
    <t>78002</t>
  </si>
  <si>
    <t>Нож д/пикника MATRIX "Рыбка" в чехле /79109</t>
  </si>
  <si>
    <t>41606</t>
  </si>
  <si>
    <t>Нож для рыбалки и туризма с ножнами нерж. ст. 118-148 /2/</t>
  </si>
  <si>
    <t>41605</t>
  </si>
  <si>
    <t>Нож для рыбалки и туризма с ножнами нерж. ст. нетонущий 118-147 /2/48/</t>
  </si>
  <si>
    <t>41674</t>
  </si>
  <si>
    <t>Нож многофункциональный SR082 /48/</t>
  </si>
  <si>
    <t>41622</t>
  </si>
  <si>
    <t>Нож перочинный Чингизхан многофункциональный 10,5 см нерж. сталь 118-152 /2/</t>
  </si>
  <si>
    <t>41619</t>
  </si>
  <si>
    <t>Нож перочинный Чингизхан многофункциональный 15 см нерж. сталь 118-151 /2/</t>
  </si>
  <si>
    <t>41610</t>
  </si>
  <si>
    <t>Нож перочинный Чингизхан многофункциональный 18,5 см нерж. сталь 118-150 /72/</t>
  </si>
  <si>
    <t>41632</t>
  </si>
  <si>
    <t>Нож перочинный Чингисхан многофункциональный 12 см нерж. сталь 118-136 /2/</t>
  </si>
  <si>
    <t>42427</t>
  </si>
  <si>
    <t>Нож перочинный Чингисхан многофункциональный 12 см нерж. сталь 15 функц 118-143 /2/</t>
  </si>
  <si>
    <t>41633</t>
  </si>
  <si>
    <t>Нож перочинный Чингисхан многофункциональный 16 см нерж. сталь 118-142 /5/</t>
  </si>
  <si>
    <t>42025</t>
  </si>
  <si>
    <t>Нож складной SPARTA, 200 мм, загнутое лезвие, деревянная ручка /78999</t>
  </si>
  <si>
    <t>78044</t>
  </si>
  <si>
    <t>Нож складной SPARTA, 200 мм, прямое лезвие, деревянная ручка /78998</t>
  </si>
  <si>
    <t>78027</t>
  </si>
  <si>
    <t>Нож туристический Ермак складной 15,5(6,2*0,2) см ручка двухкомпонентная 633-002 /2/</t>
  </si>
  <si>
    <t>78025</t>
  </si>
  <si>
    <t>Нож туристический Ермак складной 19(8,5*0,25) см ручка двухкомпонентная 633-003 /2/</t>
  </si>
  <si>
    <t>78419</t>
  </si>
  <si>
    <t>Нож туристический Ермак складной 22,5(9,5*0,35) см ручка двухкомпонентная 633-006 /2/</t>
  </si>
  <si>
    <t>41655</t>
  </si>
  <si>
    <t>Нож туристический Ермак складной с зажимом 17 см 118-157 /2/120/</t>
  </si>
  <si>
    <t>41618</t>
  </si>
  <si>
    <t>Нож туристический складной 13833-13 /12/</t>
  </si>
  <si>
    <t>41617</t>
  </si>
  <si>
    <t>Нож туристический складной зеленый 13833-12 /12/</t>
  </si>
  <si>
    <t>41615</t>
  </si>
  <si>
    <t>Нож туристический складной красный 13833-10 /12/</t>
  </si>
  <si>
    <t>41616</t>
  </si>
  <si>
    <t>Нож туристический складной красный 13833-11 /12/</t>
  </si>
  <si>
    <t>41657</t>
  </si>
  <si>
    <t>Нож туристический Чингизхан складной с зажимом 13,5 см 118-159 /2/120/</t>
  </si>
  <si>
    <t>41659</t>
  </si>
  <si>
    <t>Нож туристический Чингизхан складной с зажимом 13,5 см 118-161 /2/120/</t>
  </si>
  <si>
    <t>41660</t>
  </si>
  <si>
    <t>Нож туристический Чингизхан складной с зажимом 13,5 см 118-162</t>
  </si>
  <si>
    <t>41646</t>
  </si>
  <si>
    <t>Туристический набор складной 2 открывашки + штопор нерж. сталь 118-141</t>
  </si>
  <si>
    <t>78078</t>
  </si>
  <si>
    <t>Туристический набор складной SPARTA 113мм, 13 предметов /17612</t>
  </si>
  <si>
    <t>78200</t>
  </si>
  <si>
    <t>Туристический набор складной SPARTA 12 предметов /176075</t>
  </si>
  <si>
    <t>78116</t>
  </si>
  <si>
    <t>Туристический набор складной SPARTA 156мм, 15 предметов /17610</t>
  </si>
  <si>
    <t>41604</t>
  </si>
  <si>
    <t>Туристический набор складной Ермак 15 функц. 15 см нерж. сталь 118-146 /2/</t>
  </si>
  <si>
    <t>41603</t>
  </si>
  <si>
    <t>Туристический набор складной Чингисхан 7 функц. + фонарик нерж. сталь 118-140 /2/</t>
  </si>
  <si>
    <t>41607</t>
  </si>
  <si>
    <t>Туристический набор складной Чингисхан 9 функц. 12,5 см нерж. сталь 118-149 /72/</t>
  </si>
  <si>
    <t>418 Газовые плиты портативные</t>
  </si>
  <si>
    <t>78092</t>
  </si>
  <si>
    <t>Плита газовая портативная CAMPING GURU (TS-250) /6/</t>
  </si>
  <si>
    <t>78093</t>
  </si>
  <si>
    <t>Плита газовая портативная CAMPING GURU PLUS (TS-233) с переходником /6/</t>
  </si>
  <si>
    <t>78096</t>
  </si>
  <si>
    <t>Плита газовая портативная CYCLONE (TS-500) /6/</t>
  </si>
  <si>
    <t>42238</t>
  </si>
  <si>
    <t>Плита газовая портативная DUET (TW-030)  /5/</t>
  </si>
  <si>
    <t>42234</t>
  </si>
  <si>
    <t>Плита газовая портативная FENIX (TS-370)</t>
  </si>
  <si>
    <t>78221</t>
  </si>
  <si>
    <t>Плита газовая портативная FUGA (TPB-102) /6/</t>
  </si>
  <si>
    <t>42225</t>
  </si>
  <si>
    <t>Плита газовая портативная KERAMIK GURU (TS-200) /6/</t>
  </si>
  <si>
    <t>78248</t>
  </si>
  <si>
    <t>Плита газовая портативная KERAMIK GURU PLUS (TS-201) /6/</t>
  </si>
  <si>
    <t>78227</t>
  </si>
  <si>
    <t>Плита газовая портативная KRAB (TM-300) /30/</t>
  </si>
  <si>
    <t>78012</t>
  </si>
  <si>
    <t>Плита газовая портативная LOTOS CERAMIC (TR-350) /8/</t>
  </si>
  <si>
    <t>78097</t>
  </si>
  <si>
    <t>Плита газовая портативная LOTOS PREMIUM (TR-300) /8/</t>
  </si>
  <si>
    <t>78225</t>
  </si>
  <si>
    <t>Плита газовая портативная MINI-1000 (TM-100) /30/</t>
  </si>
  <si>
    <t>78224</t>
  </si>
  <si>
    <t>Плита газовая портативная MINI-2000 (TM-200) /32/</t>
  </si>
  <si>
    <t>78226</t>
  </si>
  <si>
    <t>Плита газовая портативная SCOUT (TM-150) /12/</t>
  </si>
  <si>
    <t>78223</t>
  </si>
  <si>
    <t>Плита газовая портативная SOLARIS (TS-700) /6/</t>
  </si>
  <si>
    <t>41804</t>
  </si>
  <si>
    <t>Плита газовая портативная SOLARIS PLUS (TS-701) /6/</t>
  </si>
  <si>
    <t>78229</t>
  </si>
  <si>
    <t>Плита газовая портативная TULPAN-L (TM-450) /24/</t>
  </si>
  <si>
    <t>78228</t>
  </si>
  <si>
    <t>Плита газовая портативная TULPAN-S (TM-400) /24/</t>
  </si>
  <si>
    <t>42242</t>
  </si>
  <si>
    <t>Плита газовая портативная ДРУЖБА (ДП-01) /6/</t>
  </si>
  <si>
    <t>41801</t>
  </si>
  <si>
    <t>Плита газовая портативная ДРУЖБА (ДП-02) с переходником /6/</t>
  </si>
  <si>
    <t>42232</t>
  </si>
  <si>
    <t>Плита газовая портативная мини MEGA Tourist (ТМ-020)</t>
  </si>
  <si>
    <t>42233</t>
  </si>
  <si>
    <t>Плита газовая портативная мини PEGAS Tourist (ТМ-070)</t>
  </si>
  <si>
    <t>78094</t>
  </si>
  <si>
    <t>Плита газовая портативная ТУРИСТ (TS-138) кейс /6/</t>
  </si>
  <si>
    <t>419 Тенты</t>
  </si>
  <si>
    <t>41914</t>
  </si>
  <si>
    <t>Тент 3*3м 60 гр*м2 /30/</t>
  </si>
  <si>
    <t>41918</t>
  </si>
  <si>
    <t>Тент 3*4м 60 гр*м2 /24/</t>
  </si>
  <si>
    <t>41916</t>
  </si>
  <si>
    <t>Тент 4*5м 60 гр*м2 /12/</t>
  </si>
  <si>
    <t>41900</t>
  </si>
  <si>
    <t>Тент 4*8м 60 гр*м2 /8/</t>
  </si>
  <si>
    <t>420 Пикник</t>
  </si>
  <si>
    <t>78042</t>
  </si>
  <si>
    <t>Карты игральные 36 листов Покер Дама /10/</t>
  </si>
  <si>
    <t>78061</t>
  </si>
  <si>
    <t>Карты игральные 54 листов Покер Король</t>
  </si>
  <si>
    <t>42054</t>
  </si>
  <si>
    <t>Щепа для копчения ольховая BBQ time 0,5л /50/</t>
  </si>
  <si>
    <t>421 Туристическая мебель</t>
  </si>
  <si>
    <t>42116</t>
  </si>
  <si>
    <t>Кресло складное CLASSIC (TF-330)</t>
  </si>
  <si>
    <t>42121</t>
  </si>
  <si>
    <t>Стол складной Руссо Туристо 120*60*70см 121-081 /2/</t>
  </si>
  <si>
    <t>42122</t>
  </si>
  <si>
    <t>Стол складной Руссо Туристо 60*40*26см 121-082 /10/</t>
  </si>
  <si>
    <t>42109</t>
  </si>
  <si>
    <t>Стул складной JUNIOR (TF-110) алюминиевый</t>
  </si>
  <si>
    <t>42111</t>
  </si>
  <si>
    <t>Стул складной JUNIOR PLUS (TF-120) алюминиевый</t>
  </si>
  <si>
    <t>42104</t>
  </si>
  <si>
    <t>Стул складной Руссо Туристо 32*31*34см сталь 121-066 /5/</t>
  </si>
  <si>
    <t>42115</t>
  </si>
  <si>
    <t>Стул складной Руссо Туристо со спинкой 32*34*58см сталь 121-067 /5/</t>
  </si>
  <si>
    <t>422 Туристический инвентарь</t>
  </si>
  <si>
    <t>78010</t>
  </si>
  <si>
    <t>Газовый баллон 220гр. /4/28/</t>
  </si>
  <si>
    <t>42205</t>
  </si>
  <si>
    <t>Газовый баллон REALIST 220гр. /12/</t>
  </si>
  <si>
    <t>42264</t>
  </si>
  <si>
    <t>Газовый баллон резьбовой Стандарт 100гр. /24/</t>
  </si>
  <si>
    <t>78131</t>
  </si>
  <si>
    <t>Газовый баллон резьбовой Стандарт 230гр. /24/</t>
  </si>
  <si>
    <t>42224</t>
  </si>
  <si>
    <t>Газовый баллон резьбовой Стандарт 300гр. /12/</t>
  </si>
  <si>
    <t>78132</t>
  </si>
  <si>
    <t>Газовый баллон резьбовой Стандарт 450гр. /12/</t>
  </si>
  <si>
    <t>78057</t>
  </si>
  <si>
    <t>Газовый баллон Турист 220гр. /4/28/</t>
  </si>
  <si>
    <t>61649</t>
  </si>
  <si>
    <t>Горелка проф.на бутановый балон, пьезоподжи, с расш.сопло 8758 /91427</t>
  </si>
  <si>
    <t>78208</t>
  </si>
  <si>
    <t>Горелка-насадка газовая BABA (TT-100) /50/</t>
  </si>
  <si>
    <t>78211</t>
  </si>
  <si>
    <t>Горелка-насадка газовая KOVICA пьезо поджиг (KS-1005) /60/СК</t>
  </si>
  <si>
    <t>78230</t>
  </si>
  <si>
    <t>Горелка-насадка газовая NANO SPICHKA пьезо поджиг (TW-707) /100/</t>
  </si>
  <si>
    <t>78207</t>
  </si>
  <si>
    <t>Горелка-насадка газовая PRO-L (TT-701) большая /20/</t>
  </si>
  <si>
    <t>78202</t>
  </si>
  <si>
    <t>Горелка-насадка газовая PRO-S (TT-700) малая /20/</t>
  </si>
  <si>
    <t>78254</t>
  </si>
  <si>
    <t>Горелка-насадка газовая SUPER JET пьезо поджиг и система подогрева газа (TT-600) /10/100/</t>
  </si>
  <si>
    <t>78238</t>
  </si>
  <si>
    <t>Горелка-насадка газовая TURBO LONG (ТТ-909) /28/</t>
  </si>
  <si>
    <t>42259</t>
  </si>
  <si>
    <t>Горелка-насадка газовая TURBO система подогрева газа (TT-900) /100/</t>
  </si>
  <si>
    <t>78253</t>
  </si>
  <si>
    <t>Горелка-насадка газовая X- TPRCH пьезо поджиг и система подогрева газа (TT-500) /10/100/</t>
  </si>
  <si>
    <t>42231</t>
  </si>
  <si>
    <t>Горелка-насадка газовая Дружба большая</t>
  </si>
  <si>
    <t>42230</t>
  </si>
  <si>
    <t>Горелка-насадка газовая Дружба малая</t>
  </si>
  <si>
    <t>42266</t>
  </si>
  <si>
    <t>Душ походный ROSA  20л (TO-162)</t>
  </si>
  <si>
    <t>42270</t>
  </si>
  <si>
    <t>Канистра Дружба складная 10л ДВ-611</t>
  </si>
  <si>
    <t>42271</t>
  </si>
  <si>
    <t>Канистра Дружба складная 20л ДВ-620</t>
  </si>
  <si>
    <t>42267</t>
  </si>
  <si>
    <t>Канистра Дружба складная 5л ДВ-605</t>
  </si>
  <si>
    <t>42268</t>
  </si>
  <si>
    <t>Канистра Дружба складная гармошка 10л ДВ-610</t>
  </si>
  <si>
    <t>42269</t>
  </si>
  <si>
    <t>Канистра Дружба складная гармошка 15л ДВ-615</t>
  </si>
  <si>
    <t>42223</t>
  </si>
  <si>
    <t>Канистра Чингисхан складная пластик полиэтилен 15 л 123-026</t>
  </si>
  <si>
    <t>42274</t>
  </si>
  <si>
    <t>Карабин Дружба D-обр пластик 83мм ДА-920</t>
  </si>
  <si>
    <t>42277</t>
  </si>
  <si>
    <t>Лопата с/ч автомобильная 345*260*65 мм, поликарб. декор с чер. М3496 /6/</t>
  </si>
  <si>
    <t>18238</t>
  </si>
  <si>
    <t>Лопатка многофункциональная Inbloom 26,5 см нерж. сталь 181-044</t>
  </si>
  <si>
    <t>18218</t>
  </si>
  <si>
    <t>Лопатка туристическая Чингизхан 40 см 118-119 /30/</t>
  </si>
  <si>
    <t>42200</t>
  </si>
  <si>
    <t>Лопатка универсальная (туризм,авто,сад) 503599</t>
  </si>
  <si>
    <t>42202</t>
  </si>
  <si>
    <t>Набор велосипедный Stern: передний 1 Вт Led, 160Lm, задний 5 red Led/90558</t>
  </si>
  <si>
    <t>42235</t>
  </si>
  <si>
    <t>Насадка-обогреватель (дожигатель) KVANT (TH-202) Tourist</t>
  </si>
  <si>
    <t>42240</t>
  </si>
  <si>
    <t>Переходник- адаптер ADAPTER PLUS (TA-017) c "ножками"</t>
  </si>
  <si>
    <t>42241</t>
  </si>
  <si>
    <t>Переходник- тренога TRIPOD (TA-003)</t>
  </si>
  <si>
    <t>42245</t>
  </si>
  <si>
    <t>Пила туристическая Чингисхан складная металл/пластик 18,5х5х3см 118-087</t>
  </si>
  <si>
    <t>42251</t>
  </si>
  <si>
    <t>Пила-струна проволочная метал. 60см 333-207 /5/</t>
  </si>
  <si>
    <t>42249</t>
  </si>
  <si>
    <t>Утяжки из эластичной ленты для коврика</t>
  </si>
  <si>
    <t>42013</t>
  </si>
  <si>
    <t>Хоккейная шайба /С</t>
  </si>
  <si>
    <t>423 Мангалы/Барбекю/Шампуры</t>
  </si>
  <si>
    <t>42384</t>
  </si>
  <si>
    <t>Веер для мангала (разделочная доска) МГ76-29 /60/</t>
  </si>
  <si>
    <t>42386</t>
  </si>
  <si>
    <t>Веер для мангала Runis /70/</t>
  </si>
  <si>
    <t>42368</t>
  </si>
  <si>
    <t>Веер для мангала Smile Royalgrill</t>
  </si>
  <si>
    <t>42354</t>
  </si>
  <si>
    <t>Веер для мангала Альтернатива микс М8112 /30/</t>
  </si>
  <si>
    <t>42387</t>
  </si>
  <si>
    <t>Веер для мангала Мастер  20*31 см /24/</t>
  </si>
  <si>
    <t>72300</t>
  </si>
  <si>
    <t>Веер для мангала Полимербыт С93996 /26/</t>
  </si>
  <si>
    <t>42362</t>
  </si>
  <si>
    <t>Коврик для гриля Royalgrili</t>
  </si>
  <si>
    <t>42056</t>
  </si>
  <si>
    <t>Контейнер для щепы Royalgrill 24*10*4,5см</t>
  </si>
  <si>
    <t>78313</t>
  </si>
  <si>
    <t>Лопатка для барбекю Grilboom 38*7,5 см 101-002</t>
  </si>
  <si>
    <t>78812</t>
  </si>
  <si>
    <t>Лопатка для гриля Royalgrill</t>
  </si>
  <si>
    <t>42393</t>
  </si>
  <si>
    <t>Мангал сборный (большой) 50*30*14 без шампур 0,5мм в коробке</t>
  </si>
  <si>
    <t>42399</t>
  </si>
  <si>
    <t>Мангал сборный (средний) 40*25*14 без шампур 0,5мм в коробке</t>
  </si>
  <si>
    <t>42379</t>
  </si>
  <si>
    <t>Мангал сборный Royal Grill 30*24 см 0,4мм в полиэтил /10/</t>
  </si>
  <si>
    <t>42381</t>
  </si>
  <si>
    <t>Мангал сборный Royal Grill 35*25 см в полиэтил /10/</t>
  </si>
  <si>
    <t>42336</t>
  </si>
  <si>
    <t>Шампур дер. 15см*3 мм по 100шт /20/</t>
  </si>
  <si>
    <t>78328</t>
  </si>
  <si>
    <t>Шампур дер. 20см*3 мм по 100шт /20/</t>
  </si>
  <si>
    <t>42348</t>
  </si>
  <si>
    <t>Шампур дер. 25см*3 мм по 100шт /10/</t>
  </si>
  <si>
    <t>42373</t>
  </si>
  <si>
    <t>Шампур дер. 30см*4 мм по 50шт /100/</t>
  </si>
  <si>
    <t>42326</t>
  </si>
  <si>
    <t>Шампур дер. 35см*5 мм по 50шт /100/</t>
  </si>
  <si>
    <t>42327</t>
  </si>
  <si>
    <t>Шампур дер. 40см*5 мм по 50шт /100/</t>
  </si>
  <si>
    <t>42341</t>
  </si>
  <si>
    <t>Шампур дер. EH 20см 50шт /150/13027</t>
  </si>
  <si>
    <t>42302</t>
  </si>
  <si>
    <t>Шампур плоский BBQ time 450*10*1 мм нерж.ст 4 шт. /12/</t>
  </si>
  <si>
    <t>42345</t>
  </si>
  <si>
    <t>Шампур плоский Royalgrill 380*8*1 мм нерж.ст /50/</t>
  </si>
  <si>
    <t>42339</t>
  </si>
  <si>
    <t>Шампур плоский Royalgrill 550*10*1.5 мм нерж.ст /50/</t>
  </si>
  <si>
    <t>42338</t>
  </si>
  <si>
    <t>Шампур плоский Royalgrill 620*10*1.5 мм нерж.ст</t>
  </si>
  <si>
    <t>42396</t>
  </si>
  <si>
    <t>Шампур плоский нерж. 410 мм*10*1,5 мм зерк.ст.Ш4 103-008</t>
  </si>
  <si>
    <t>42323</t>
  </si>
  <si>
    <t>Шампур угловой Royalgrill 350*10*0.8 мм нерж.ст</t>
  </si>
  <si>
    <t>42313</t>
  </si>
  <si>
    <t>Шампур угловой Royalgrill 550*10*1 мм нерж.ст /50/</t>
  </si>
  <si>
    <t>42300</t>
  </si>
  <si>
    <t>Шампур угловой Royalgrill 620*10*1,5 мм нерж.ст</t>
  </si>
  <si>
    <t>42312</t>
  </si>
  <si>
    <t>Шампур угловой Кукмор 450*10*1 мм М-45 нерж.ст шм45</t>
  </si>
  <si>
    <t>42307</t>
  </si>
  <si>
    <t>Шампур угловой Кукмор 600*10*1 мм М-60 нерж.ст шм60</t>
  </si>
  <si>
    <t>42301</t>
  </si>
  <si>
    <t>Щетка для чистка гриля Royalgrill со скребком /12/</t>
  </si>
  <si>
    <t>42395</t>
  </si>
  <si>
    <t>Щипцы для барбекю Grilboom 38*7,5 см 101-001</t>
  </si>
  <si>
    <t>424 Одноразовая посуда</t>
  </si>
  <si>
    <t>42415</t>
  </si>
  <si>
    <t>Вилка одноразовая PS 160мм /100/</t>
  </si>
  <si>
    <t>42402</t>
  </si>
  <si>
    <t>Вилка одноразовая в индивид. упаковке /200/</t>
  </si>
  <si>
    <t>42421</t>
  </si>
  <si>
    <t>Вилка одноразовая Соц Евро зеленая /100/</t>
  </si>
  <si>
    <t>42422</t>
  </si>
  <si>
    <t>Вилка одноразовая Соц Евро красная /100/</t>
  </si>
  <si>
    <t>42465</t>
  </si>
  <si>
    <t>Вилка одноразовая Соц Евро синяя /100/</t>
  </si>
  <si>
    <t>42468</t>
  </si>
  <si>
    <t>Вилка одноразовая стандарт белая /100/</t>
  </si>
  <si>
    <t>42420</t>
  </si>
  <si>
    <t>Вилки одноразовые Соц Евро зеленая 10 шт /200/</t>
  </si>
  <si>
    <t>42429</t>
  </si>
  <si>
    <t>Контейнер одноразовый PK-3T 400 мл 124*97*48 мм с кр. /765/</t>
  </si>
  <si>
    <t>42441</t>
  </si>
  <si>
    <t>Контейнер одноразовый PKСП-250 ОП 250 мл 137*132*35 мм с кр. /520/</t>
  </si>
  <si>
    <t>42442</t>
  </si>
  <si>
    <t>Контейнер одноразовый PKСП-750ОПТ 500 мл 170*165*55 мм с откидной кр. /375/</t>
  </si>
  <si>
    <t>42428</t>
  </si>
  <si>
    <t>Контейнер одноразовый UP 1000мл прямоуг. 138*102*121 мм с кр. /100/1000/</t>
  </si>
  <si>
    <t>42404</t>
  </si>
  <si>
    <t>Контейнер одноразовый UP 125мл прямоуг. 108*82*25 мм с кр. /100/1000/</t>
  </si>
  <si>
    <t>42455</t>
  </si>
  <si>
    <t>Контейнер одноразовый UP 2000мл прямоуг. 186*132*123 мм с кр. /100/500/</t>
  </si>
  <si>
    <t>42436</t>
  </si>
  <si>
    <t>Контейнер одноразовый UP 200мл прямоуг. 108*82*39 мм с кр. /100/1000/</t>
  </si>
  <si>
    <t>42418</t>
  </si>
  <si>
    <t>Контейнер одноразовый UP 350мл прямоуг. 108*82*69 мм с кр. /100/1000/</t>
  </si>
  <si>
    <t>42416</t>
  </si>
  <si>
    <t>Контейнер одноразовый UP 500мл 186*132*52 мм с кр. /100/500/</t>
  </si>
  <si>
    <t>42438</t>
  </si>
  <si>
    <t>Контейнер одноразовый UP 500мл прямоуг. 108*82*106 мм с кр. /100/1000/</t>
  </si>
  <si>
    <t>42463</t>
  </si>
  <si>
    <t>Контейнер одноразовый UP 500мл прямоуг. 138*102*56 мм БЕЗ крышки /100/1000/</t>
  </si>
  <si>
    <t>42437</t>
  </si>
  <si>
    <t>Контейнер одноразовый UP 500мл прямоуг. 138*102*56 мм с кр. /100/1000/</t>
  </si>
  <si>
    <t>42439</t>
  </si>
  <si>
    <t>Контейнер одноразовый UP 750мл прямоуг. 138*102*86 мм с кр. /100/1000/</t>
  </si>
  <si>
    <t>42464</t>
  </si>
  <si>
    <t>Контейнер одноразовый ПП 1500мл прямоуг. 186*132*89 мм с кр. /100/500/</t>
  </si>
  <si>
    <t>42448</t>
  </si>
  <si>
    <t>Контейнер одноразовый ПП 2000мл прямоуг. 186*132*120 мм с кр. /100/500/</t>
  </si>
  <si>
    <t>42423</t>
  </si>
  <si>
    <t>Контейнер одноразовый ПП 500мл прямоуг. 108*82*103 мм с кр. /100/1000/</t>
  </si>
  <si>
    <t>42449</t>
  </si>
  <si>
    <t>Контейнер одноразовый ПП 500мл прямоуг. 186*132*37 мм с кр. /100/500/</t>
  </si>
  <si>
    <t>42454</t>
  </si>
  <si>
    <t>Контейнер одноразовый ПП 750мл прямоуг. 186*132*46 мм с кр. /100/500/</t>
  </si>
  <si>
    <t>42451</t>
  </si>
  <si>
    <t>Контейнеры одноразовые UP 250мл прямоуг. 108*82*48 мм с кр. 10 шт /75/</t>
  </si>
  <si>
    <t>42452</t>
  </si>
  <si>
    <t>Контейнеры одноразовые UP 500мл прямоуг. 138*102*56 мм с кр. 10 шт /40/</t>
  </si>
  <si>
    <t>42403</t>
  </si>
  <si>
    <t>Ложка одноразовая стол. Соц (в индивид. упаковке) /200/</t>
  </si>
  <si>
    <t>42471</t>
  </si>
  <si>
    <t>Ложка одноразовая стол. Соц РР /100/</t>
  </si>
  <si>
    <t>42469</t>
  </si>
  <si>
    <t>Ложка одноразовая стол. стандарт белая /100/</t>
  </si>
  <si>
    <t>42470</t>
  </si>
  <si>
    <t>Ложка одноразовая чайная СОЦ РР /200/</t>
  </si>
  <si>
    <t>42443</t>
  </si>
  <si>
    <t>Ложки одноразовые стол. Соц 10 шт /40/</t>
  </si>
  <si>
    <t>42424</t>
  </si>
  <si>
    <t>Посуда одноразовая СОЦ на 6 персон /40/</t>
  </si>
  <si>
    <t>42466</t>
  </si>
  <si>
    <t>Соусник одноразовый 30 мл с крышкой НЗИВ /60/1200/</t>
  </si>
  <si>
    <t>42467</t>
  </si>
  <si>
    <t>Соусник одноразовый 50 мл с крышкой НЗИВ /60/1200/</t>
  </si>
  <si>
    <t>42406</t>
  </si>
  <si>
    <t>Стакан одноразовый 100 мл 1шт белый /200/</t>
  </si>
  <si>
    <t>42408</t>
  </si>
  <si>
    <t>Стакан одноразовый 100 мл 1шт прозр /100/4000/</t>
  </si>
  <si>
    <t>42409</t>
  </si>
  <si>
    <t>Стакан одноразовый СОЦ 200мл белый 1шт /100/3000/</t>
  </si>
  <si>
    <t>42410</t>
  </si>
  <si>
    <t>Стакан одноразовый СОЦ 50 мл 1шт белый /200/</t>
  </si>
  <si>
    <t>42411</t>
  </si>
  <si>
    <t>Стакан одноразовый СОЦ 50 мл 1шт прозр /200/</t>
  </si>
  <si>
    <t>42462</t>
  </si>
  <si>
    <t>Стакан одноразовый СОЦ 500мл Стандарт /46/920/</t>
  </si>
  <si>
    <t>42472</t>
  </si>
  <si>
    <t>Стаканы одноразовые ЕН 200мл Кристалл 6 шт 15481 /45/</t>
  </si>
  <si>
    <t>42425</t>
  </si>
  <si>
    <t>Стаканы одноразовые СОЦ 100мл 10 шт /250/</t>
  </si>
  <si>
    <t>42458</t>
  </si>
  <si>
    <t>Тарелка одноразовая десертная 205 мм бесцветная /50/</t>
  </si>
  <si>
    <t>42459</t>
  </si>
  <si>
    <t>Тарелка одноразовая десертная 205 мм бесцветная 1шт. РР СОЦ /50/</t>
  </si>
  <si>
    <t>42461</t>
  </si>
  <si>
    <t>Тарелка одноразовая суповая 500 мм прозр. Чебурашка /100/2000/</t>
  </si>
  <si>
    <t>42412</t>
  </si>
  <si>
    <t>Тарелка одноразовая суповая СОЦ РР 400 мм прозр. ушастая /50/</t>
  </si>
  <si>
    <t>42460</t>
  </si>
  <si>
    <t>Тарелка одноразовая суповая СОЦ РР 500 мм белая Евро /50/1500/</t>
  </si>
  <si>
    <t>42414</t>
  </si>
  <si>
    <t>Тарелка одноразовая суповая СОЦ РР 500 мм прозр. /50/600/</t>
  </si>
  <si>
    <t>42417</t>
  </si>
  <si>
    <t>Тарелка одноразовая суповая СОЦ РР 500 мм прозр. Евро /50/1500/</t>
  </si>
  <si>
    <t>42435</t>
  </si>
  <si>
    <t>Тарелки одноразовые СОЦ РР 165 мм 10шт. /200/</t>
  </si>
  <si>
    <t>21002</t>
  </si>
  <si>
    <t>Тарелки одноразовые СОЦ РР 170 мм 10шт. /80/</t>
  </si>
  <si>
    <t>42450</t>
  </si>
  <si>
    <t>Тарелки одноразовые СОЦ РР 205 мм 10шт. /60/</t>
  </si>
  <si>
    <t>42447</t>
  </si>
  <si>
    <t>Тарелки одноразовые суповые СОЦ РР 500 мл прозр. 10шт /120/</t>
  </si>
  <si>
    <t>425 Гриль решетки</t>
  </si>
  <si>
    <t>78347</t>
  </si>
  <si>
    <t>Решетка гриль 240*310*55 мм, объемная хромирован./SPARTA/69553</t>
  </si>
  <si>
    <t>78311</t>
  </si>
  <si>
    <t>Решетка гриль 260х320*65мм бъемная хромир.//PALISAD/69554</t>
  </si>
  <si>
    <t>42503</t>
  </si>
  <si>
    <t>Решетка гриль 260х320х65мм объемная антиприг.//PALISAD/69552</t>
  </si>
  <si>
    <t>78364</t>
  </si>
  <si>
    <t>Решетка гриль 300*400*65 мм объемная хромир./PALISAD/69561</t>
  </si>
  <si>
    <t>78309</t>
  </si>
  <si>
    <t>Решетка гриль 300х400мм хромир.//PALISAD/69558</t>
  </si>
  <si>
    <t>42501</t>
  </si>
  <si>
    <t>Решетка гриль 315х410*70мм бъемная хромир.//PALISAD/69562</t>
  </si>
  <si>
    <t>42063</t>
  </si>
  <si>
    <t>Решетка гриль Grillboom 35*43*7 см хром 104-025 /2/20/</t>
  </si>
  <si>
    <t>42060</t>
  </si>
  <si>
    <t>Решетка гриль Grillboom 41*24 см с двумя ручками 104-021 /4/24/</t>
  </si>
  <si>
    <t>42318</t>
  </si>
  <si>
    <t>Решетка гриль Grillboom 47х(34*20) см хром 104-029 /2/60/</t>
  </si>
  <si>
    <t>42026</t>
  </si>
  <si>
    <t>Решетка гриль Grillboom 58х(23*38) см хром 333-091 /2/36/</t>
  </si>
  <si>
    <t>426 Наборы пл.посуды для пикника/корзины</t>
  </si>
  <si>
    <t>78032</t>
  </si>
  <si>
    <t>Корзина д/пикника Альтернатива 390*290*230 голуб. М1350/7/</t>
  </si>
  <si>
    <t>78036</t>
  </si>
  <si>
    <t>Корзина д/пикника Альтернатива 460*390*263 М1132 /5/</t>
  </si>
  <si>
    <t>41509</t>
  </si>
  <si>
    <t>Корзина д/пикника Альтернатива Барбекю М6730 /6/8/</t>
  </si>
  <si>
    <t>41510</t>
  </si>
  <si>
    <t>Корзина д/пикника Альтернатива Ротанг св.серый М7052 /6/</t>
  </si>
  <si>
    <t>78000</t>
  </si>
  <si>
    <t>Корзина д/пикника Маини св.корич М6244 /18/</t>
  </si>
  <si>
    <t>41500</t>
  </si>
  <si>
    <t>Крышка для защиты от насекомых 26 см /21/</t>
  </si>
  <si>
    <t>42601</t>
  </si>
  <si>
    <t>Набор для пикника Альтернатива на 4 персоны М7529 /13/</t>
  </si>
  <si>
    <t>459-484 Товары для быта</t>
  </si>
  <si>
    <t>459 Умывальники дачные</t>
  </si>
  <si>
    <t>48817</t>
  </si>
  <si>
    <t>Умывальник Мойдодыр дачный водонагрев. пл. мойка 17л бел</t>
  </si>
  <si>
    <t>48828</t>
  </si>
  <si>
    <t>Умывальник Мойдодыр дачный водонагрев. пл. мойка 17л синий</t>
  </si>
  <si>
    <t>48811</t>
  </si>
  <si>
    <t>Умывальник Мойдодыр дачный водонагрев. пл. мойка 22л беж</t>
  </si>
  <si>
    <t>48809</t>
  </si>
  <si>
    <t>Умывальник Мойдодыр дачный водонагрев. пл. мойка 22л бел</t>
  </si>
  <si>
    <t>46809</t>
  </si>
  <si>
    <t>Умывальник Мойдодыр дачный каркасный водонагрев. пл. мойка 17л бел</t>
  </si>
  <si>
    <t>45920</t>
  </si>
  <si>
    <t>Умывальник Мойдодыр дачный каркасный водонагрев. пл. мойка 22л бел</t>
  </si>
  <si>
    <t>46813</t>
  </si>
  <si>
    <t>Умывальник Чистюля пл. дачный водонагрев. пл. мойка 17л бел</t>
  </si>
  <si>
    <t>460 Карнизы д/штор и комплектующие</t>
  </si>
  <si>
    <t>43052</t>
  </si>
  <si>
    <t>Заглушки 2-х рядные</t>
  </si>
  <si>
    <t>46052</t>
  </si>
  <si>
    <t>Заглушки 3-х рядные в сборе Т /86/</t>
  </si>
  <si>
    <t>46013</t>
  </si>
  <si>
    <t>Зажим для штор магнитный Provance Квадрат 3,5*3,5 см коричневый 491-429 /12/</t>
  </si>
  <si>
    <t>46010</t>
  </si>
  <si>
    <t>Зажим для штор магнитный Provance Листок серый 491-440 /12/</t>
  </si>
  <si>
    <t>46014</t>
  </si>
  <si>
    <t>Зажим для штор магнитный Provance Овал 6*3,5 см бронзовый 491-431 /12/</t>
  </si>
  <si>
    <t>46015</t>
  </si>
  <si>
    <t>Зажим для штор магнитный Provance Овал 6*3,5 см серебряный 491-431 /12/</t>
  </si>
  <si>
    <t>46020</t>
  </si>
  <si>
    <t>Зажим для штор магнитный Provance Плетение 32 см молочный 491-441 /12/</t>
  </si>
  <si>
    <t>46046</t>
  </si>
  <si>
    <t>Зажим для штор магнитный Provance Сердце 5 диз. 491-371</t>
  </si>
  <si>
    <t>46049</t>
  </si>
  <si>
    <t>Зажим для штор магнитный Provance Цветок 3 диз. 491-432 /12/</t>
  </si>
  <si>
    <t>46009</t>
  </si>
  <si>
    <t>Зажим для штор магнитный Provance Цветок бежевый 491-443 /12/</t>
  </si>
  <si>
    <t>46056</t>
  </si>
  <si>
    <t>Зажим для штор магнитный Круг Д 4 см 4 цв. 491-430</t>
  </si>
  <si>
    <t>46041</t>
  </si>
  <si>
    <t>Зажим для штор магнитный Цветок 491-344 /12/</t>
  </si>
  <si>
    <t>46054</t>
  </si>
  <si>
    <t>Зажимы для штор магнитный Тренд 2 шт 5 цв. 491-428</t>
  </si>
  <si>
    <t>43046</t>
  </si>
  <si>
    <t>Карниз потолочный А-3 2,0м в сборе (Т) /6/</t>
  </si>
  <si>
    <t>46002</t>
  </si>
  <si>
    <t>Карниз-струна 7м /75/</t>
  </si>
  <si>
    <t>46059</t>
  </si>
  <si>
    <t>Карниз-струна 7м /86/</t>
  </si>
  <si>
    <t>46018</t>
  </si>
  <si>
    <t>Карниз-струна 9м /75/</t>
  </si>
  <si>
    <t>46058</t>
  </si>
  <si>
    <t>Карниз-струна 9м /86/</t>
  </si>
  <si>
    <t>46060</t>
  </si>
  <si>
    <t>Крючки для потолочного профиля 100шт 3,5 см</t>
  </si>
  <si>
    <t>46000</t>
  </si>
  <si>
    <t>Крючки для потолочного профиля с роликом 30 шт /108/</t>
  </si>
  <si>
    <t>43025</t>
  </si>
  <si>
    <t>Повороты 2-х рядные /28/</t>
  </si>
  <si>
    <t>43029</t>
  </si>
  <si>
    <t>Повороты 3-х рядные</t>
  </si>
  <si>
    <t>43054</t>
  </si>
  <si>
    <t>Соединение 2-х рядное /124/</t>
  </si>
  <si>
    <t>43028</t>
  </si>
  <si>
    <t>Соединение 3-х рядное /60/</t>
  </si>
  <si>
    <t>43018</t>
  </si>
  <si>
    <t>Старт-усик для поворота/заглушки /1000/</t>
  </si>
  <si>
    <t>46001</t>
  </si>
  <si>
    <t>Стопор (Т) 1 шт</t>
  </si>
  <si>
    <t>463 Контейнеры бытовые</t>
  </si>
  <si>
    <t>46326</t>
  </si>
  <si>
    <t>Контейнер Альтернатива 15л Динозаврики прямоуг. с/к М8274 /8/</t>
  </si>
  <si>
    <t>46351</t>
  </si>
  <si>
    <t>Контейнер Альтернатива 4,0л Доктор+ квадратн. М3217 /14/</t>
  </si>
  <si>
    <t>46301</t>
  </si>
  <si>
    <t>Контейнер Альтернатива 4,0л Чудо-остров М3664 /14/</t>
  </si>
  <si>
    <t>46323</t>
  </si>
  <si>
    <t>Контейнер Альтернатива 4л LOL Surprise прямоуг. М7634 /15/</t>
  </si>
  <si>
    <t>46331</t>
  </si>
  <si>
    <t>Контейнер Альтернатива 4л Зверюшки прямоуг. с/к М8218 /15/</t>
  </si>
  <si>
    <t>40168</t>
  </si>
  <si>
    <t>Контейнер Альтернатива 6л квадратный М5239 /10/</t>
  </si>
  <si>
    <t>46325</t>
  </si>
  <si>
    <t>Контейнер Альтернатива 7л LOL Surprise прямоуг. М7635 /12/</t>
  </si>
  <si>
    <t>46315</t>
  </si>
  <si>
    <t>Контейнер Альтернатива 8,5л "Доктор+"  квадр. М2049 /12/</t>
  </si>
  <si>
    <t>46350</t>
  </si>
  <si>
    <t>Контейнер Альтернатива 8,5л Мишки М1642 /12/</t>
  </si>
  <si>
    <t>46310</t>
  </si>
  <si>
    <t>Контейнер Альтернатива Аптечка 2,5 л прямоуг. М7370 /12/</t>
  </si>
  <si>
    <t>46317</t>
  </si>
  <si>
    <t>Контейнер Альтернатива Аптечка 7,5 л прямоуг.М7372 /15/</t>
  </si>
  <si>
    <t>46333</t>
  </si>
  <si>
    <t>Контейнер Альтернатива навесной бежевый М8432 /12/</t>
  </si>
  <si>
    <t>46338</t>
  </si>
  <si>
    <t>Контейнер Альтернатива навесной белый М8431 /12/</t>
  </si>
  <si>
    <t>46339</t>
  </si>
  <si>
    <t>Контейнер Альтернатива навесной серый М8433 /12/</t>
  </si>
  <si>
    <t>46332</t>
  </si>
  <si>
    <t>Контейнер Альтернатива универсальный 5л с/кр М8310 /10/</t>
  </si>
  <si>
    <t>40183</t>
  </si>
  <si>
    <t>Контейнер для мелочей Альтернатива 290*180 мм желтый М5796 /22/</t>
  </si>
  <si>
    <t>40185</t>
  </si>
  <si>
    <t>Контейнер для мелочей Альтернатива 290*180 мм розовый М5512 /22/</t>
  </si>
  <si>
    <t>40271</t>
  </si>
  <si>
    <t>Контейнер для стирального порошка 10л Ронтаг белый /20/</t>
  </si>
  <si>
    <t>40269</t>
  </si>
  <si>
    <t>Контейнер для стирального порошка 10л Ронтаг коричневый /20/</t>
  </si>
  <si>
    <t>46330</t>
  </si>
  <si>
    <t>Контейнер для стирального порошка 10л Ронтаг латте /20/</t>
  </si>
  <si>
    <t>46306</t>
  </si>
  <si>
    <t>Контейнер для стирального порошка Step 4,5л бежевый /14/</t>
  </si>
  <si>
    <t>46303</t>
  </si>
  <si>
    <t>Контейнер для стирального порошка Step 4,5л серый /14/</t>
  </si>
  <si>
    <t>46305</t>
  </si>
  <si>
    <t>Контейнер для стирального порошка Полимербыт 5,0л С493 463-197 /18/</t>
  </si>
  <si>
    <t>46340</t>
  </si>
  <si>
    <t>Контейнер для стирального порошка Полимербыт Giraffix 5 л детский С49337 /18/</t>
  </si>
  <si>
    <t>46304</t>
  </si>
  <si>
    <t>Контейнер для стирального порошка Полимербыт Polly 5 л детский С49320 /18/</t>
  </si>
  <si>
    <t>46341</t>
  </si>
  <si>
    <t>Контейнер для хранения Полимербыт 5,0 л Toile lt Jouy С49397 /18/</t>
  </si>
  <si>
    <t>46342</t>
  </si>
  <si>
    <t>Контейнер для хранения Полимербыт 6,0 л Smartbox M 300*193*170 см с вкладышем С48200 /6/</t>
  </si>
  <si>
    <t>46344</t>
  </si>
  <si>
    <t>Контейнер для хранения Полимербыт 6,0 л на колесах С623 /9/</t>
  </si>
  <si>
    <t>40166</t>
  </si>
  <si>
    <t>Контейнер универсальный 2-х ярусный М6366 /18/</t>
  </si>
  <si>
    <t>46345</t>
  </si>
  <si>
    <t>Коробка Полимербыт  для мелочей 1,9 л С510 /20/</t>
  </si>
  <si>
    <t>464 Стремянки</t>
  </si>
  <si>
    <t>46411</t>
  </si>
  <si>
    <t>Лестница Ufuk PRO 1х12 ступеней, алюминивая однасекционная</t>
  </si>
  <si>
    <t>46423</t>
  </si>
  <si>
    <t>Лестница Ufuk PRO 1х13 ступеней, алюминивая однасекционная</t>
  </si>
  <si>
    <t>46434</t>
  </si>
  <si>
    <t>Лестница Ufuk PRO 1х6 ступеней, алюминивая односекционная</t>
  </si>
  <si>
    <t>46417</t>
  </si>
  <si>
    <t>Лестница Ufuk PRO 2х11 ступеней, алюминивая двухсекционная</t>
  </si>
  <si>
    <t>46418</t>
  </si>
  <si>
    <t>Лестница Ufuk PRO 2х12 ступеней, алюминивая двухсекционная</t>
  </si>
  <si>
    <t>46484</t>
  </si>
  <si>
    <t>Лестница Ufuk PRO 2х13 ступеней, алюминивая двухсекционная</t>
  </si>
  <si>
    <t>46464</t>
  </si>
  <si>
    <t>Лестница Ufuk PRO 3х12 ступеней, алюминивая трехсекционная</t>
  </si>
  <si>
    <t>46402</t>
  </si>
  <si>
    <t>Лестница Ufuk PRO 3х13 ступеней, алюминивая трехсекционная</t>
  </si>
  <si>
    <t>46403</t>
  </si>
  <si>
    <t>Лестница Ufuk PRO 3х14 ступеней, алюминивая трехсекционная</t>
  </si>
  <si>
    <t>46404</t>
  </si>
  <si>
    <t>Лестница Ufuk PRO 3х15 ступеней, алюминивая трехсекционная</t>
  </si>
  <si>
    <t>46432</t>
  </si>
  <si>
    <t>Лестница Ufuk PRO 3х16 ступеней, алюминивая трехсекционная</t>
  </si>
  <si>
    <t>46419</t>
  </si>
  <si>
    <t>Лестница Ufuk PRO 3х6 ступеней, алюминивая трехсекционная</t>
  </si>
  <si>
    <t>47682</t>
  </si>
  <si>
    <t>Лестница Ufuk PRO 3х8 ступеней, алюминивая трехсекционная</t>
  </si>
  <si>
    <t>46463</t>
  </si>
  <si>
    <t>Лестница алюм. трансформер Ufuk PRO 4х3 (0,97/1,70/3,60м. вес 11,18кг; нагрузка до 150кг.)</t>
  </si>
  <si>
    <t>46490</t>
  </si>
  <si>
    <t>Лестница алюм. трансформер Ufuk PRO 4х4 (1,25/2,10/4,60м. вес 12.78кг; нагрузка до 150кг.)</t>
  </si>
  <si>
    <t>46401</t>
  </si>
  <si>
    <t>Лестница-стремянка 10 ступ. ЯРУС сталь</t>
  </si>
  <si>
    <t>47679</t>
  </si>
  <si>
    <t>Лестница-стремянка 2 ступ. CLASS PLUS 2 сталь</t>
  </si>
  <si>
    <t>47694</t>
  </si>
  <si>
    <t>Лестница-стремянка 3 ступ. CLASS PLUS 3 сталь /4/</t>
  </si>
  <si>
    <t>46488</t>
  </si>
  <si>
    <t>Лестница-стремянка 3 ступ. ЯРУС сталь</t>
  </si>
  <si>
    <t>47680</t>
  </si>
  <si>
    <t>Лестница-стремянка 4 ступ. CLASS PLUS 4 сталь /4/</t>
  </si>
  <si>
    <t>46450</t>
  </si>
  <si>
    <t>Лестница-стремянка 4 ступ. Ярус perilla 2х сторон алюмин</t>
  </si>
  <si>
    <t>47621</t>
  </si>
  <si>
    <t>Лестница-стремянка 4 ступ. ЯРУС сталь</t>
  </si>
  <si>
    <t>46435</t>
  </si>
  <si>
    <t>Лестница-стремянка 5 ступ. CLASS PLUS 5 сталь /2/</t>
  </si>
  <si>
    <t>47659</t>
  </si>
  <si>
    <t>Лестница-стремянка 5 ступ. ЯРУС сталь</t>
  </si>
  <si>
    <t>47604</t>
  </si>
  <si>
    <t>Лестница-стремянка 6 ступ. Ufuk 125*305; 9,1кг алюмин.</t>
  </si>
  <si>
    <t>47623</t>
  </si>
  <si>
    <t>Лестница-стремянка 6 ступ. ЯРУС сталь</t>
  </si>
  <si>
    <t>47677</t>
  </si>
  <si>
    <t>Лестница-стремянка 7 ступ. Ufuk 151*331;10,4кг алюмин.</t>
  </si>
  <si>
    <t>46493</t>
  </si>
  <si>
    <t>Лестница-стремянка 7 ступ. ЯРУС сталь</t>
  </si>
  <si>
    <t>47678</t>
  </si>
  <si>
    <t>Лестница-стремянка 8 ступ. Ufuk 172*352;11,8кг алюмин.</t>
  </si>
  <si>
    <t>46400</t>
  </si>
  <si>
    <t>Лестница-стремянка 8 ступ. ЯРУС сталь</t>
  </si>
  <si>
    <t>46426</t>
  </si>
  <si>
    <t>Лестница-трансформер Ufuk 2х3 ступеней, алюминивая двухсекционная</t>
  </si>
  <si>
    <t>46427</t>
  </si>
  <si>
    <t>Лестница-трансформер Ufuk 2х4 ступеней, алюминивая двухсекционная</t>
  </si>
  <si>
    <t>46429</t>
  </si>
  <si>
    <t>Лестница-трансформер Ufuk 2х6 ступеней, алюминивая двухсекционная</t>
  </si>
  <si>
    <t>465 Сушилки для белья</t>
  </si>
  <si>
    <t>46512</t>
  </si>
  <si>
    <t>Сушилка для белья на батарею 2,5 м 452-079 /36/</t>
  </si>
  <si>
    <t>46544</t>
  </si>
  <si>
    <t>Сушилка для белья на батарею 3,5 м 65*24 см /20/</t>
  </si>
  <si>
    <t>46596</t>
  </si>
  <si>
    <t>Сушилка для белья на батарею 45 см длина /20/</t>
  </si>
  <si>
    <t>46504</t>
  </si>
  <si>
    <t>Сушилка для белья на батарею и балкон Dogrular Балкон</t>
  </si>
  <si>
    <t>47852</t>
  </si>
  <si>
    <t>Сушилка для белья на ванну ALABLOCK GIMI</t>
  </si>
  <si>
    <t>46565</t>
  </si>
  <si>
    <t>Сушилка для белья напольная 10м окраш. сталь 452-101 /40/</t>
  </si>
  <si>
    <t>46517</t>
  </si>
  <si>
    <t>Сушилка для белья напольная 18м окраш. сталь 452-002 /6/</t>
  </si>
  <si>
    <t>46516</t>
  </si>
  <si>
    <t>Сушилка для белья напольная Comfort 18м металлик /7/</t>
  </si>
  <si>
    <t>46556</t>
  </si>
  <si>
    <t>Сушилка для белья напольная Domina 18м белая /6/</t>
  </si>
  <si>
    <t>47876</t>
  </si>
  <si>
    <t>Сушилка для белья напольная Domina 18м серебро /6/</t>
  </si>
  <si>
    <t>46534</t>
  </si>
  <si>
    <t>Сушилка для белья напольная Domina 20м белая /5/</t>
  </si>
  <si>
    <t>46561</t>
  </si>
  <si>
    <t>Сушилка для белья напольная Domina 20м серебро /5/</t>
  </si>
  <si>
    <t>46533</t>
  </si>
  <si>
    <t>Сушилка для белья напольная Domina 25м белая /6/</t>
  </si>
  <si>
    <t>46597</t>
  </si>
  <si>
    <t>Сушилка для белья напольная Homepact 100*53*83 см 452-075</t>
  </si>
  <si>
    <t>47880</t>
  </si>
  <si>
    <t>Сушилка для белья напольная HOUSE PLUS 3005 18м /6/</t>
  </si>
  <si>
    <t>46529</t>
  </si>
  <si>
    <t>Сушилка для белья напольная Vetta 10м черная СБ3-ГЛ/Ч 452-003</t>
  </si>
  <si>
    <t>46599</t>
  </si>
  <si>
    <t>Сушилка для белья напольная Vetta 18м сталь 452-096 /7/</t>
  </si>
  <si>
    <t>46511</t>
  </si>
  <si>
    <t>Сушилка для белья напольная Vetta 20м белая СБП2-ГЛ/Б 452-112 /5/</t>
  </si>
  <si>
    <t>46543</t>
  </si>
  <si>
    <t>Сушилка для белья напольная Vetta вертикальная окраш. сталь 44*47*129 см 452-077 /4/</t>
  </si>
  <si>
    <t>46545</t>
  </si>
  <si>
    <t>Сушилка для белья напольная АМ 23 10 м</t>
  </si>
  <si>
    <t>46500</t>
  </si>
  <si>
    <t>Сушилка для белья настенная Vetta 100 см раздвижная окраш. сталь 452-049 /2/10/</t>
  </si>
  <si>
    <t>46571</t>
  </si>
  <si>
    <t>Сушилка для белья настенная Vetta 60 см раздвижная окраш. сталь 452-047 /2/10/</t>
  </si>
  <si>
    <t>47860</t>
  </si>
  <si>
    <t>Сушилка для белья настенная Бриз-120 см СН 228 С /5/</t>
  </si>
  <si>
    <t>47879</t>
  </si>
  <si>
    <t>Сушилка для белья настенная Дуэт серая СН 262 С</t>
  </si>
  <si>
    <t>46505</t>
  </si>
  <si>
    <t>Сушилка для белья потолочная "Лиана" 5 линий 1,3м белая</t>
  </si>
  <si>
    <t>46513</t>
  </si>
  <si>
    <t>Сушилка для белья потолочная "Лиана" 5 линий 1,4м белая 452-029 /5/</t>
  </si>
  <si>
    <t>46519</t>
  </si>
  <si>
    <t>Сушилка для белья потолочная "Лиана" 5 линий 1,5м белая 452-031 /5/</t>
  </si>
  <si>
    <t>46515</t>
  </si>
  <si>
    <t>Сушилка для белья потолочная "Лиана" 5 линий 1,5м хром</t>
  </si>
  <si>
    <t>44051</t>
  </si>
  <si>
    <t>Сушилка для белья потолочная "Лиана" 5 линий 1,6м белая 452-033 /5/</t>
  </si>
  <si>
    <t>46555</t>
  </si>
  <si>
    <t>Сушилка для белья потолочная "Лиана" 5 линий 1,7м белая 452-035 /5/</t>
  </si>
  <si>
    <t>46518</t>
  </si>
  <si>
    <t>Сушилка для белья потолочная "Лиана" 5 линий 1,8м белая</t>
  </si>
  <si>
    <t>46523</t>
  </si>
  <si>
    <t>Сушилка для белья потолочная "Лиана" 5 линий 1,9м белая 452-039 /5/</t>
  </si>
  <si>
    <t>46557</t>
  </si>
  <si>
    <t>Сушилка для белья потолочная "Лиана" 5 линий 2,0м белая 452-041 /5/</t>
  </si>
  <si>
    <t>46524</t>
  </si>
  <si>
    <t>Сушилка для белья потолочная "Лиана" 5 линий 2,0м хром</t>
  </si>
  <si>
    <t>46525</t>
  </si>
  <si>
    <t>Сушилка для белья потолочная "Лиана" 5 линий 2,1м белая</t>
  </si>
  <si>
    <t>466 Сумки-Тележки</t>
  </si>
  <si>
    <t>46655</t>
  </si>
  <si>
    <t>Колесо для тележки с сумкой 15 см 196-2 467-022 /4/</t>
  </si>
  <si>
    <t>46610</t>
  </si>
  <si>
    <t>Корзина-сумка Альтернатива сл. кость М6678 /14/</t>
  </si>
  <si>
    <t>46614</t>
  </si>
  <si>
    <t>Тележка для сумок D 38.5*96 см</t>
  </si>
  <si>
    <t>46615</t>
  </si>
  <si>
    <t>Тележка для сумок F 40*107 см</t>
  </si>
  <si>
    <t>46616</t>
  </si>
  <si>
    <t>Тележка для сумок Z 39*100 см /6/</t>
  </si>
  <si>
    <t>46645</t>
  </si>
  <si>
    <t>Тележка для сумок до 40 кг 50*30*9 см большие колеса черная 467-152 /10/</t>
  </si>
  <si>
    <t>46642</t>
  </si>
  <si>
    <t>Тележка для сумок до 40 кг 56*34*13,5 см большие колеса хром 467-002 /10/</t>
  </si>
  <si>
    <t>46613</t>
  </si>
  <si>
    <t>Тележка для сумок С 45*100 см</t>
  </si>
  <si>
    <t>46611</t>
  </si>
  <si>
    <t>Тележка с сумкой ROYAL 401B (perilla) 36л, пластик. колеса</t>
  </si>
  <si>
    <t>46617</t>
  </si>
  <si>
    <t>Тележка с сумкой ROYAL 401D (perilla) 36л, пластик. колеса</t>
  </si>
  <si>
    <t>46618</t>
  </si>
  <si>
    <t>Тележка с сумкой ROYAL 402A (perilla) 36л, пластик. колеса</t>
  </si>
  <si>
    <t>46621</t>
  </si>
  <si>
    <t>Тележка с сумкой ROYAL 403B (perilla) 36л, пластик. колеса</t>
  </si>
  <si>
    <t>48036</t>
  </si>
  <si>
    <t>Тележка с сумкой брезент до 15 кг 467-021 /10/</t>
  </si>
  <si>
    <t>48033</t>
  </si>
  <si>
    <t>Тележка с сумкой брезент до 30 кг 467-003 /10/</t>
  </si>
  <si>
    <t>46600</t>
  </si>
  <si>
    <t>Тележка с сумкой брезент до 30 кг 467-005 /10/</t>
  </si>
  <si>
    <t>48057</t>
  </si>
  <si>
    <t>Тележка с сумкой брезент до 30 кг 467-012 /10/</t>
  </si>
  <si>
    <t>48034</t>
  </si>
  <si>
    <t>Тележка с сумкой брезент до 30 кг 467-018 /10/</t>
  </si>
  <si>
    <t>48035</t>
  </si>
  <si>
    <t>Тележка с сумкой брезент до 30 кг 467-019 /12/</t>
  </si>
  <si>
    <t>46601</t>
  </si>
  <si>
    <t>Тележка с сумкой брезент до 30 кг 467-170 /10/</t>
  </si>
  <si>
    <t>46603</t>
  </si>
  <si>
    <t>Тележка с сумкой брезент до 30 кг 467-238 /6/</t>
  </si>
  <si>
    <t>46609</t>
  </si>
  <si>
    <t>Тележка с сумкой брезент до 30 кг со стулом 3 диз. 467-220 /5/</t>
  </si>
  <si>
    <t>46602</t>
  </si>
  <si>
    <t>Тележка с сумкой оксфорд до 30 кг 2 цв 467-236 /8/</t>
  </si>
  <si>
    <t>46612</t>
  </si>
  <si>
    <t>Тележка с сумкой оксфорд ЭВА до 10 кг 2 цв 467-188 /10/</t>
  </si>
  <si>
    <t>48061</t>
  </si>
  <si>
    <t>Тележка с сумкой полиэстер до 20 кг 20*23,5*81 см колесо д13,5 см мет. 3 диз 467-164 /10/</t>
  </si>
  <si>
    <t>46624</t>
  </si>
  <si>
    <t>Тележка с сумкой полиэстер Рыжий кот до 30 кг 30*20*47 см колесо д13,5 /10/</t>
  </si>
  <si>
    <t>46623</t>
  </si>
  <si>
    <t>Тележка с сумкой полиэстер Рыжий кот до 30 кг 37*28*96 см колесо д8,8 Бабочки /8/</t>
  </si>
  <si>
    <t>467 Гладильные доски/чехлы для них</t>
  </si>
  <si>
    <t>46768</t>
  </si>
  <si>
    <t>Доска гладильная Волжаночка 30*110 М см</t>
  </si>
  <si>
    <t>48211</t>
  </si>
  <si>
    <t>Доска гладильная Доглулар-РФ Capitol GRI моноблок тефлон 38*120 см /2/</t>
  </si>
  <si>
    <t>48236</t>
  </si>
  <si>
    <t>Доска гладильная Доглулар-РФ Capitol моноблок 38*120 см /2/</t>
  </si>
  <si>
    <t>48270</t>
  </si>
  <si>
    <t>Доска гладильная Доглулар-РФ City серая 33*110 см /4/</t>
  </si>
  <si>
    <t>48280</t>
  </si>
  <si>
    <t>Доска гладильная Доглулар-РФ Domina серая 42*125 см /2/</t>
  </si>
  <si>
    <t>46757</t>
  </si>
  <si>
    <t>Доска гладильная Доглулар-РФ Eco Inci 33*110 см /4/</t>
  </si>
  <si>
    <t>46700</t>
  </si>
  <si>
    <t>Доска гладильная Доглулар-РФ Elona моноблок серая 38*120 см</t>
  </si>
  <si>
    <t>46720</t>
  </si>
  <si>
    <t>Доска гладильная Доглулар-РФ Gloria GRI серая 38*120 см</t>
  </si>
  <si>
    <t>46729</t>
  </si>
  <si>
    <t>Доска гладильная Доглулар-РФ Inci серая 33*110 см /4/</t>
  </si>
  <si>
    <t>48227</t>
  </si>
  <si>
    <t>Доска гладильная Доглулар-РФ Liana серая 44*120 см /2/</t>
  </si>
  <si>
    <t>46705</t>
  </si>
  <si>
    <t>Доска гладильная Доглулар-РФ Nano 33*110 см /4/</t>
  </si>
  <si>
    <t>46761</t>
  </si>
  <si>
    <t>Доска гладильная Доглулар-РФ Silvia 44*120 см /2/</t>
  </si>
  <si>
    <t>46730</t>
  </si>
  <si>
    <t>Доска гладильная Доглулар-РФ Алиса 33*110 см /4/</t>
  </si>
  <si>
    <t>46739</t>
  </si>
  <si>
    <t>Доска гладильная Доглулар-РФ Березка 35*115 см</t>
  </si>
  <si>
    <t>46725</t>
  </si>
  <si>
    <t>Доска гладильная Доглулар-РФ Березка мини 30*110 см</t>
  </si>
  <si>
    <t>46770</t>
  </si>
  <si>
    <t>Доска гладильная Доглулар-РФ Диана 33*110 см /4/</t>
  </si>
  <si>
    <t>46771</t>
  </si>
  <si>
    <t>Доска гладильная Доглулар-РФ Лима 33*110 см /4/</t>
  </si>
  <si>
    <t>46769</t>
  </si>
  <si>
    <t>Доска гладильная Доглулар-РФ Милано 33*110 см /4/</t>
  </si>
  <si>
    <t>46713</t>
  </si>
  <si>
    <t>Чехол на гладильную доску 48*130 см 451-069 /2/20/</t>
  </si>
  <si>
    <t>46712</t>
  </si>
  <si>
    <t>Чехол на гладильную доску 52*130 см 451-068 /2/20/</t>
  </si>
  <si>
    <t>48269</t>
  </si>
  <si>
    <t>Чехол на гладильную доску Vetta хлопок 130*48 см Подводный мир 451-051</t>
  </si>
  <si>
    <t>48282</t>
  </si>
  <si>
    <t>Чехол на гладильную доску антипригарный Dogrular 130*46см</t>
  </si>
  <si>
    <t>48286</t>
  </si>
  <si>
    <t>Чехол на гладильную доску антипригарный Dogrular 140*50см</t>
  </si>
  <si>
    <t>46716</t>
  </si>
  <si>
    <t>Чехол на гладильную доску на резинке Vetta полиэстер 130*50 см Рио 3 диз 451-093 /6/</t>
  </si>
  <si>
    <t>46717</t>
  </si>
  <si>
    <t>Чехол на гладильную доску на резинке Vetta полиэстер 140*50 см Рио 3 диз 451-094 /6/</t>
  </si>
  <si>
    <t>46714</t>
  </si>
  <si>
    <t>Чехол на гладильную доску на резинке Vetta хлопок 130*50 см 3 диз 451-082 /6/</t>
  </si>
  <si>
    <t>46774</t>
  </si>
  <si>
    <t>Чехол на гладильную доску на резинке Vetta хлопок 140*50 см 3 диз 451-083 /6/</t>
  </si>
  <si>
    <t>48218</t>
  </si>
  <si>
    <t>Чехол на гладильную доску на резинке антипригарный 140*50см 451-004 /5/</t>
  </si>
  <si>
    <t>46718</t>
  </si>
  <si>
    <t>Чехол на гладильную доску на шнурке Vetta полиэстер 130*50 см 2 диз. 451-091 /12/</t>
  </si>
  <si>
    <t>48248</t>
  </si>
  <si>
    <t>Чехол на гладильную доску на шнурке Vetta полиэстер 140*50 см Цветы 2 диз 439-859</t>
  </si>
  <si>
    <t>46715</t>
  </si>
  <si>
    <t>Чехол на гладильную доску на шнурке Vetta хлопок 130*47 см 3 диз. 451-086 /15/</t>
  </si>
  <si>
    <t>46719</t>
  </si>
  <si>
    <t>Чехол на гладильную доску на шнурке антипригарный 130*50см 451-002 /5/</t>
  </si>
  <si>
    <t>46704</t>
  </si>
  <si>
    <t>Чехол на гладильную доску на шнурке Город хлопок 130*50 см 451-072 /6/</t>
  </si>
  <si>
    <t>46703</t>
  </si>
  <si>
    <t>Чехол на гладильную доску на шнурке Город хлопок 140*50 см 451-073 /6/</t>
  </si>
  <si>
    <t>468 Умывальники-рукомойники</t>
  </si>
  <si>
    <t>46807</t>
  </si>
  <si>
    <t>Умывальник Альтернатива 9л универсальный М331 /6/</t>
  </si>
  <si>
    <t>48805</t>
  </si>
  <si>
    <t>Умывальник-рукомойник 5л Платар /10/</t>
  </si>
  <si>
    <t>48801</t>
  </si>
  <si>
    <t>Умывальник-рукомойник Альтернатива 3л Дачник М1157 /10/</t>
  </si>
  <si>
    <t>48838</t>
  </si>
  <si>
    <t>Умывальник-рукомойник Альтернатива 3л М080 /15/</t>
  </si>
  <si>
    <t>48866</t>
  </si>
  <si>
    <t>Умывальник-рукомойник Альтернатива 3л Прелесть М3030 /10/</t>
  </si>
  <si>
    <t>48850</t>
  </si>
  <si>
    <t>Умывальник-рукомойник Альтернатива 5л Гармония М3035 /10/</t>
  </si>
  <si>
    <t>48865</t>
  </si>
  <si>
    <t>Умывальник-рукомойник Альтернатива 5л Летний день М3034 /10/</t>
  </si>
  <si>
    <t>48823</t>
  </si>
  <si>
    <t>Умывальник-рукомойник Альтернатива 5л М367 /10/</t>
  </si>
  <si>
    <t>469 Системы очистки воды</t>
  </si>
  <si>
    <t>46915</t>
  </si>
  <si>
    <t>Картридж фильртующий сменный Оптимум AV1000-20PS /20/</t>
  </si>
  <si>
    <t>46914</t>
  </si>
  <si>
    <t>Картридж фильртующий сменный Оптимум AV1001-12 /12/</t>
  </si>
  <si>
    <t>46923</t>
  </si>
  <si>
    <t>Сменная кассета Барьер Лайт на стрип-ленте 413-011 /12/</t>
  </si>
  <si>
    <t>46921</t>
  </si>
  <si>
    <t>Фильтр-кувшин Барьер 2,5 л Гала оранж пластик 413-012 /4/</t>
  </si>
  <si>
    <t>470 Термометры Часы песочные</t>
  </si>
  <si>
    <t>47014</t>
  </si>
  <si>
    <t>Виномер бытовой стеклянный 0-12" /50/</t>
  </si>
  <si>
    <t>47039</t>
  </si>
  <si>
    <t>Спиртомер бытовой Rexant 70-0610</t>
  </si>
  <si>
    <t>47063</t>
  </si>
  <si>
    <t>Спиртомер бытовой стеклянный 0-96" 105мм /50/</t>
  </si>
  <si>
    <t>48642</t>
  </si>
  <si>
    <t>Спиртомер бытовой стеклянный 0-96" 150мм /50/</t>
  </si>
  <si>
    <t>47006</t>
  </si>
  <si>
    <t>Термометр Inbloom Классик малый блистер 473-029 /12/288/</t>
  </si>
  <si>
    <t>48054</t>
  </si>
  <si>
    <t>Термометр д/бани и сауны ТСС-4 сувен. кор.</t>
  </si>
  <si>
    <t>48332</t>
  </si>
  <si>
    <t>Термометр д/ванны ТБВ-1 Лодочка п/п 473-064 /100/</t>
  </si>
  <si>
    <t>48632</t>
  </si>
  <si>
    <t>Термометр д/ванны ТБВ-1 Рыбка п/п /10/100/</t>
  </si>
  <si>
    <t>47017</t>
  </si>
  <si>
    <t>Термометр д/сауны ТБС-41 473-058 /10/50/</t>
  </si>
  <si>
    <t>48638</t>
  </si>
  <si>
    <t>Термометр д/холодильника Айсберг п/п 473-070 /100/</t>
  </si>
  <si>
    <t>47072</t>
  </si>
  <si>
    <t>Термометр комнатный Insalat Цветы на бл. 19*4 см 473-030 /6/</t>
  </si>
  <si>
    <t>47082</t>
  </si>
  <si>
    <t>Термометр комнатный Комфорт блист. /40/</t>
  </si>
  <si>
    <t>47020</t>
  </si>
  <si>
    <t>Термометр комнатный Модерн ТБ-189 блистер 473-004 /10/100/</t>
  </si>
  <si>
    <t>47089</t>
  </si>
  <si>
    <t>Термометр комнатный ТБ-206 деревянный -10 +50 473-069 /100/</t>
  </si>
  <si>
    <t>47019</t>
  </si>
  <si>
    <t>Термометр комнатный ТС-41 на пласт. основе п/п /100/</t>
  </si>
  <si>
    <t>47044</t>
  </si>
  <si>
    <t>Термометр комнатный ТСК-6 на пласт. основе п/п /100/</t>
  </si>
  <si>
    <t>47065</t>
  </si>
  <si>
    <t>Термометр комнатный ТСК-7 на пласт. основе карт. /150/</t>
  </si>
  <si>
    <t>48646</t>
  </si>
  <si>
    <t>Термометр наружный Vetta с магнитом 5,7*5,7см 3 цв. 473-039 /6/</t>
  </si>
  <si>
    <t>47018</t>
  </si>
  <si>
    <t>Термометр наружный Престиж на липучке блист. /15/</t>
  </si>
  <si>
    <t>48609</t>
  </si>
  <si>
    <t>Термометр наружный Престиж на липучке ТБ-216 п/п /30/</t>
  </si>
  <si>
    <t>47024</t>
  </si>
  <si>
    <t>Термометр наружный ТСН-13 Классический карт. уп. /50/</t>
  </si>
  <si>
    <t>47077</t>
  </si>
  <si>
    <t>Термометр наружный ТСН-13/1 карт.уп /50/</t>
  </si>
  <si>
    <t>47054</t>
  </si>
  <si>
    <t>Термометр наружный ТСН-14 универсальный на липучке п/п /70/</t>
  </si>
  <si>
    <t>47022</t>
  </si>
  <si>
    <t>Термометр наружный ТСН-14/1 на липучке карт. уп. /40/</t>
  </si>
  <si>
    <t>47041</t>
  </si>
  <si>
    <t>Термометр наружный ТСН-17 на липучке п/п /70/</t>
  </si>
  <si>
    <t>47000</t>
  </si>
  <si>
    <t>Термометр наружный ТСН-4 п/п /100/</t>
  </si>
  <si>
    <t>48613</t>
  </si>
  <si>
    <t>Термометр наружный ТСН-42 сувен. п/п /100/</t>
  </si>
  <si>
    <t>47047</t>
  </si>
  <si>
    <t>Термометр наружный ТСН-5 на липучке карт. уп. /40/</t>
  </si>
  <si>
    <t>47086</t>
  </si>
  <si>
    <t>Термометр наружный ТСН-5 на липучке п/п /70/</t>
  </si>
  <si>
    <t>47007</t>
  </si>
  <si>
    <t>Термометр оконный INSALAT биметаллич.бл (-50,+50) 473-036 регулируемый /6/</t>
  </si>
  <si>
    <t>48675</t>
  </si>
  <si>
    <t>Термометр оконный INSALAT Божья коровка для крепления на стекло 473-005 /6/72/</t>
  </si>
  <si>
    <t>48673</t>
  </si>
  <si>
    <t>Термометр оконный INSALAT в форме Бабочки для крепления на стекло 473-048 /2/72/</t>
  </si>
  <si>
    <t>48655</t>
  </si>
  <si>
    <t>Термометр оконный INSALAT Котик/ящерица/черепашка 15*10 см 473-020 /3/96/</t>
  </si>
  <si>
    <t>48677</t>
  </si>
  <si>
    <t>Термометр оконный INSALAT пакете пластик Тигренок 16 см 473-045 /6/96/</t>
  </si>
  <si>
    <t>47075</t>
  </si>
  <si>
    <t>Термометр оконный Липучка Т5 картон коробка 473-021 /10/100/</t>
  </si>
  <si>
    <t>47079</t>
  </si>
  <si>
    <t>Термометр оконный ТБ-202 Стандарт п/п 473-002 /10/100/</t>
  </si>
  <si>
    <t>47061</t>
  </si>
  <si>
    <t>Термометр оконный ТБ-303 Пчелка п/п 473-060 /2/72/</t>
  </si>
  <si>
    <t>47071</t>
  </si>
  <si>
    <t>Термометр оконный ТБ-304 Лягушонок п/п 473-061 /2/72/</t>
  </si>
  <si>
    <t>47026</t>
  </si>
  <si>
    <t>Термометр оконный ТББ биметаллич. квадр. п/п /180/</t>
  </si>
  <si>
    <t>48607</t>
  </si>
  <si>
    <t>Термометр оконный ТББ биметаллич. кругл. бл. 473-016 /2/100/</t>
  </si>
  <si>
    <t>48668</t>
  </si>
  <si>
    <t>Термометр электронный 2 реж. с уличным датчиком пласт. 10,8*10 см 473-014 /2/100/</t>
  </si>
  <si>
    <t>48663</t>
  </si>
  <si>
    <t>Термометр электронный 2-реж. с уличным датчиком пласт. 473-041 /2/200/</t>
  </si>
  <si>
    <t>47015</t>
  </si>
  <si>
    <t>Термометр электронный Vetta выносной влажность 12.5x7см 473-049 /2/120/</t>
  </si>
  <si>
    <t>47011</t>
  </si>
  <si>
    <t>Термометр+влагометр Inbloom вертикальный 473-053 /5/</t>
  </si>
  <si>
    <t>47005</t>
  </si>
  <si>
    <t>Термометр+влагометр Inbloom мини квадрат. 473-052 /5/</t>
  </si>
  <si>
    <t>47002</t>
  </si>
  <si>
    <t>Термометр+влагометр Vetta круг. блист. 12,5см 473-054 /5/</t>
  </si>
  <si>
    <t>47003</t>
  </si>
  <si>
    <t>Термометр+гидрометр комнатный Baizheng CH008-1 /100/</t>
  </si>
  <si>
    <t>47031</t>
  </si>
  <si>
    <t>Часы песочные ЧПН-1 1 минута п/п 473-066 /10/50/</t>
  </si>
  <si>
    <t>471 Часы</t>
  </si>
  <si>
    <t>42156</t>
  </si>
  <si>
    <t>Механизм для часов с плавным ходом 10-12 см пластик мет. 3 вида 581-804 /12/</t>
  </si>
  <si>
    <t>47106</t>
  </si>
  <si>
    <t>Механизм для часов с плавным ходом 13,1-14,3 см пластик мет. 3 вида 581-805 /12/</t>
  </si>
  <si>
    <t>47165</t>
  </si>
  <si>
    <t>Часы настенные Ladecor Hrono пластик 30*30см3 диз 581-810 /3/9/</t>
  </si>
  <si>
    <t>47290</t>
  </si>
  <si>
    <t>Часы настенные Ladecor Hrono стекло d25см со светящ цифрам и кругом 581-832</t>
  </si>
  <si>
    <t>47198</t>
  </si>
  <si>
    <t>Часы настенные Ladecor Сhrono пластик 25*25*4 см 1-АА белый 581-262 /40/</t>
  </si>
  <si>
    <t>47167</t>
  </si>
  <si>
    <t>Часы настенные Ladecor Сhrono пластик d20 см 1-АА серый 581-261 /60/</t>
  </si>
  <si>
    <t>47117</t>
  </si>
  <si>
    <t>Часы настенные Ladecor Сhrono пластик d30 см арт.06-43 581-331 /12/</t>
  </si>
  <si>
    <t>47123</t>
  </si>
  <si>
    <t>Часы настенные Ladecor Сhrono пластик d30 см белый арт.06-15 581-272 /12/</t>
  </si>
  <si>
    <t>47172</t>
  </si>
  <si>
    <t>Часы настенные Ladecor Сhrono пластик d30 см золотой арт.06-48 581-336 /12/</t>
  </si>
  <si>
    <t>47144</t>
  </si>
  <si>
    <t>Часы настенные Ladecor Сhrono пластик d30 см серебряный арт.06-47 581-335 /12/</t>
  </si>
  <si>
    <t>47110</t>
  </si>
  <si>
    <t>Часы настенные Ladecor Сhrono пластик d30 см черный арт.06-14 581-271 /12/</t>
  </si>
  <si>
    <t>47120</t>
  </si>
  <si>
    <t>Часы настенные Ladecor Сhrono стекло 50,6*50,6*5 см 1-АА арт.1 серый  581-962 /4/</t>
  </si>
  <si>
    <t>47171</t>
  </si>
  <si>
    <t>Часы настенные Ladecor Сhrono стекло d19,5 см 1*АА Кухня 581-944</t>
  </si>
  <si>
    <t>47193</t>
  </si>
  <si>
    <t>Часы настенные Ladecor Сhrono стекло d30 см арт.22-1 581-012 /10/</t>
  </si>
  <si>
    <t>47170</t>
  </si>
  <si>
    <t>Часы настенные в форме столовых приборов 1*АА 32*31,5 см 2 диз 581-785</t>
  </si>
  <si>
    <t>42107</t>
  </si>
  <si>
    <t>Часы настенные кварцевые ENERGY EC-29 детские, белые</t>
  </si>
  <si>
    <t>42184</t>
  </si>
  <si>
    <t>Часы настенные кварцевые ENERGY EC-29 детские, оранжевые</t>
  </si>
  <si>
    <t>42142</t>
  </si>
  <si>
    <t>Часы настенные кварцевые ENGY EC-22 квадратные</t>
  </si>
  <si>
    <t>42108</t>
  </si>
  <si>
    <t>Часы настенные кварцевые ENGY EC-28 детские, зеленые</t>
  </si>
  <si>
    <t>42194</t>
  </si>
  <si>
    <t>Часы настенные кварцевые ENGY EC-38 круглые</t>
  </si>
  <si>
    <t>42198</t>
  </si>
  <si>
    <t>Часы настенные кварцевые ENGY EC-53 круглые</t>
  </si>
  <si>
    <t>47103</t>
  </si>
  <si>
    <t>Часы настенные кварцевые GL-924 255 мм /20/</t>
  </si>
  <si>
    <t>42199</t>
  </si>
  <si>
    <t>Часы настенные кварцевые LEONORD LC-10</t>
  </si>
  <si>
    <t>42101</t>
  </si>
  <si>
    <t>Часы настенные кварцевые LEONORD LC-11</t>
  </si>
  <si>
    <t>42166</t>
  </si>
  <si>
    <t>Часы настенные кварцевые LEONORD LC-28</t>
  </si>
  <si>
    <t>47294</t>
  </si>
  <si>
    <t>Часы настенные кварцевые Металлик пластик серебро Д25 см 581-460 /20/</t>
  </si>
  <si>
    <t>47286</t>
  </si>
  <si>
    <t>Часы настенные круглые темная бронза 1хАА 30см 581-787</t>
  </si>
  <si>
    <t>47166</t>
  </si>
  <si>
    <t>Часы настенные пластик 20,6*18*,6 см арт.21 581-886 /2/10/</t>
  </si>
  <si>
    <t>47175</t>
  </si>
  <si>
    <t>Часы настенные пластик 22,5*29 см овал Классика коричневый арт.2720-109 581-175 /10/</t>
  </si>
  <si>
    <t>47137</t>
  </si>
  <si>
    <t>Часы настенные пластик 22см круг 581-317</t>
  </si>
  <si>
    <t>47139</t>
  </si>
  <si>
    <t>Часы настенные пластик 23 см ЧН-22 2 диз. 581-131 /2/</t>
  </si>
  <si>
    <t>47182</t>
  </si>
  <si>
    <t>Часы настенные пластик 24,6 см зеленые 581-252 /12/</t>
  </si>
  <si>
    <t>47181</t>
  </si>
  <si>
    <t>Часы настенные пластик 24,6 см серые 581-251 /12/</t>
  </si>
  <si>
    <t>47180</t>
  </si>
  <si>
    <t>Часы настенные пластик 24,6 см черные 581-250 /12/</t>
  </si>
  <si>
    <t>47154</t>
  </si>
  <si>
    <t>Часы настенные пластик 25 см ЧН-23 2 диз. 581-132 /2/</t>
  </si>
  <si>
    <t>47115</t>
  </si>
  <si>
    <t>Часы настенные пластик 25 см ЧН-3 581-117 /40/</t>
  </si>
  <si>
    <t>47183</t>
  </si>
  <si>
    <t>Часы настенные пластик 25,4 см арт.2-22 581-253 /12/</t>
  </si>
  <si>
    <t>47185</t>
  </si>
  <si>
    <t>Часы настенные пластик 25,4 см арт.2-23 581-254 /12/</t>
  </si>
  <si>
    <t>47179</t>
  </si>
  <si>
    <t>Часы настенные пластик 25,4 см красные арт.2-18 581-249 /12/</t>
  </si>
  <si>
    <t>47178</t>
  </si>
  <si>
    <t>Часы настенные пластик 25,4 см синие арт.2-17 581-248 /12/</t>
  </si>
  <si>
    <t>47176</t>
  </si>
  <si>
    <t>Часы настенные пластик 25,4 см черные арт.2-16 581-247 /12/</t>
  </si>
  <si>
    <t>47245</t>
  </si>
  <si>
    <t>Часы настенные пластик 25*25 см Штурвал 581-111 /40/</t>
  </si>
  <si>
    <t>42110</t>
  </si>
  <si>
    <t>Часы настенные пластик 25*25см арт.02-25 581-563</t>
  </si>
  <si>
    <t>47114</t>
  </si>
  <si>
    <t>Часы настенные пластик 26 см плавный ход 1*АА 2 цв хром/зол 581-506 /2/40/</t>
  </si>
  <si>
    <t>47157</t>
  </si>
  <si>
    <t>Часы настенные пластик 28 см квадратные деревянная отделка 2 диз. 581-133 /6/</t>
  </si>
  <si>
    <t>47159</t>
  </si>
  <si>
    <t>Часы настенные пластик 28 см ЧН-25 581-134 /12/</t>
  </si>
  <si>
    <t>47190</t>
  </si>
  <si>
    <t>Часы настенные пластик 28,5*22*4,5 см 1АА 581-710</t>
  </si>
  <si>
    <t>47138</t>
  </si>
  <si>
    <t>Часы настенные пластик 30 см белый арт.08-53 581-170 /10/</t>
  </si>
  <si>
    <t>47169</t>
  </si>
  <si>
    <t>Часы настенные пластик 30 см с веревочной вешалкой ЧН-31 581-140 /6/</t>
  </si>
  <si>
    <t>47162</t>
  </si>
  <si>
    <t>Часы настенные пластик 30 см с мраморным циферблатом ЧН-30 581-139 /6/</t>
  </si>
  <si>
    <t>47122</t>
  </si>
  <si>
    <t>Часы настенные пластик 30 см стекл. линза 581-169 /10/</t>
  </si>
  <si>
    <t>47125</t>
  </si>
  <si>
    <t>Часы настенные пластик 30 см черный арт.08-54 581-171 /10/</t>
  </si>
  <si>
    <t>47161</t>
  </si>
  <si>
    <t>Часы настенные пластик 30 см ЧН-27 581-136 /6/</t>
  </si>
  <si>
    <t>47173</t>
  </si>
  <si>
    <t>Часы настенные пластик 30 см ЧН-34 581-143 /6/</t>
  </si>
  <si>
    <t>47189</t>
  </si>
  <si>
    <t>Часы настенные пластик 30,5 см арт.2-24 581-255 /6/</t>
  </si>
  <si>
    <t>47192</t>
  </si>
  <si>
    <t>Часы настенные пластик 30,5 см арт.2-25 581-256 /6/</t>
  </si>
  <si>
    <t>47266</t>
  </si>
  <si>
    <t>Часы настенные пластик 30*30 см квадрат 3 диз 581-852</t>
  </si>
  <si>
    <t>47184</t>
  </si>
  <si>
    <t>Часы настенные пластик 30*30см De cafe корп. корич. арт.3028-128 581-665</t>
  </si>
  <si>
    <t>47226</t>
  </si>
  <si>
    <t>Часы настенные пластик 30*48 см ромб 581-845</t>
  </si>
  <si>
    <t>47291</t>
  </si>
  <si>
    <t>Часы настенные пластик 31*26 см овал в декорат рамке 2 диз 581-829</t>
  </si>
  <si>
    <t>47196</t>
  </si>
  <si>
    <t>Часы настенные пластик 39 см открытая стрелка Стиль черный 581-102 /5/</t>
  </si>
  <si>
    <t>47231</t>
  </si>
  <si>
    <t>Часы настенные пластик д15 см Штурвал 581-844</t>
  </si>
  <si>
    <t>47281</t>
  </si>
  <si>
    <t>Часы настенные пластик д30 см круглые 3 диз 581-842</t>
  </si>
  <si>
    <t>47191</t>
  </si>
  <si>
    <t>Часы настенные пластик д30 см Розы корп. слон. кость арт.3024-141 581-672</t>
  </si>
  <si>
    <t>47164</t>
  </si>
  <si>
    <t>Часы настенные пластик д30 см с рисунком 1*АА 2 вида 581-733</t>
  </si>
  <si>
    <t>47112</t>
  </si>
  <si>
    <t>Часы настенные пластик д31 см в декорат. раме 3 диз. 581-830</t>
  </si>
  <si>
    <t>47109</t>
  </si>
  <si>
    <t>Часы настенные пластик д35,5 см в декорат. раме 581-827</t>
  </si>
  <si>
    <t>47299</t>
  </si>
  <si>
    <t>Часы настенные пластик Ретро стиль 35*35 см круг МДФ 1*АА 581-546</t>
  </si>
  <si>
    <t>47188</t>
  </si>
  <si>
    <t>Часы настенные Салют Десерт 2 ПЕ-А2,1-203</t>
  </si>
  <si>
    <t>47118</t>
  </si>
  <si>
    <t>Часы настенные Салют Клубника ПЕ-А1-222</t>
  </si>
  <si>
    <t>47142</t>
  </si>
  <si>
    <t>Часы настенные Салют Корзина фрктов П-2Б2-382</t>
  </si>
  <si>
    <t>47149</t>
  </si>
  <si>
    <t>Часы настенные Салют П-А1-166</t>
  </si>
  <si>
    <t>47156</t>
  </si>
  <si>
    <t>Часы настенные Салют П-А6-017</t>
  </si>
  <si>
    <t>47197</t>
  </si>
  <si>
    <t>Часы настенные Салют П-А8-258</t>
  </si>
  <si>
    <t>47143</t>
  </si>
  <si>
    <t>Часы настенные Салют ПЕ-Б7-363</t>
  </si>
  <si>
    <t>47155</t>
  </si>
  <si>
    <t>Часы настенные Салют Путин 3 П-А5-439</t>
  </si>
  <si>
    <t>47108</t>
  </si>
  <si>
    <t>Часы настенные Салют Розочка ПЕ-Б3-239</t>
  </si>
  <si>
    <t>47174</t>
  </si>
  <si>
    <t>Часы настенные Салют Хохлома 2 П-Б1-372</t>
  </si>
  <si>
    <t>47133</t>
  </si>
  <si>
    <t>Часы настенные стекло 30 см Сердце из цветков 581-173 /10/</t>
  </si>
  <si>
    <t>47187</t>
  </si>
  <si>
    <t>Часы настенные стекло д25 см золото 1-АА 581-717</t>
  </si>
  <si>
    <t>472 Часы-будильник</t>
  </si>
  <si>
    <t>47209</t>
  </si>
  <si>
    <t>Часы-будильник La Decor 10*5 см пластик 4 цв. 529-307 /4/</t>
  </si>
  <si>
    <t>47227</t>
  </si>
  <si>
    <t>Часы-будильник La Decor 12*10,5*4,5 см пластик 4 цв. 529-311</t>
  </si>
  <si>
    <t>47223</t>
  </si>
  <si>
    <t>Часы-будильник La Decor 15*17*4 см пластик 4 цв. 529-294 /4/</t>
  </si>
  <si>
    <t>47220</t>
  </si>
  <si>
    <t>Часы-будильник La Decor 15*4 см бело-голубые 529-290 /72/</t>
  </si>
  <si>
    <t>47205</t>
  </si>
  <si>
    <t>Часы-будильник La Decor 16,5*11,5*11 см на колесах 2 режима 2 цв. 529-200 /2/</t>
  </si>
  <si>
    <t>47219</t>
  </si>
  <si>
    <t>Часы-будильник La Decor 18*6*10 см в виде машины 3 цв. 529-207 /3/</t>
  </si>
  <si>
    <t>47200</t>
  </si>
  <si>
    <t>Часы-будильник La Decor 5*10*10 см ЖК-цифров. дисплей с проекцией 529-183 /5/</t>
  </si>
  <si>
    <t>47236</t>
  </si>
  <si>
    <t>Часы-будильник La Decor 8,3*4*8,3см пластик белый 529-021 /48/</t>
  </si>
  <si>
    <t>47234</t>
  </si>
  <si>
    <t>Часы-будильник La Decor 8,3*4*8,3см пластик красный 529-019 /48/</t>
  </si>
  <si>
    <t>47233</t>
  </si>
  <si>
    <t>Часы-будильник La Decor 8,3*4*8,3см пластик синий 529-018 /48/</t>
  </si>
  <si>
    <t>47235</t>
  </si>
  <si>
    <t>Часы-будильник La Decor 8,3*4*8,3см пластик тиффани 529-020 /48/</t>
  </si>
  <si>
    <t>47229</t>
  </si>
  <si>
    <t>Часы-будильник La Decor 9,4*9,8*4 см пластик белый 529-015 /32/</t>
  </si>
  <si>
    <t>47230</t>
  </si>
  <si>
    <t>Часы-будильник La Decor 9,4*9,8*4 см пластик серый 529-016 /32/</t>
  </si>
  <si>
    <t>47232</t>
  </si>
  <si>
    <t>Часы-будильник La Decor 9,4*9,8*4 см пластик синий 529-017 /32/</t>
  </si>
  <si>
    <t>47228</t>
  </si>
  <si>
    <t>Часы-будильник La Decor 9,4*9,8*4 см пластик черный 529-013 /32/</t>
  </si>
  <si>
    <t>47203</t>
  </si>
  <si>
    <t>Часы-будильник зеркальные термометр радио блютус спикер USB пластик 13,5*4,5*5 см 529-190 /2/60/</t>
  </si>
  <si>
    <t>47210</t>
  </si>
  <si>
    <t>Часы-будильник электронный La Decor 10*5,5*6 см 5 цв. 529-247 /5/</t>
  </si>
  <si>
    <t>47270</t>
  </si>
  <si>
    <t>Часы-будильник электронный La Decor 5,7*2,5*2,7 см, 1*АА 529-141 /8/</t>
  </si>
  <si>
    <t>47251</t>
  </si>
  <si>
    <t>Часы-будильник электронный La Decor 6,2*7,2 см 1CR2025 с термометром и календарём 529-126 /200/</t>
  </si>
  <si>
    <t>47202</t>
  </si>
  <si>
    <t>Часы-будильник электронный La Decor Д11*4 см, 1хАА 4 цвета 529-059 /4/</t>
  </si>
  <si>
    <t>47206</t>
  </si>
  <si>
    <t>Часы-будильник электронный La Decor Пятерочка многорежимный 581-150</t>
  </si>
  <si>
    <t>47293</t>
  </si>
  <si>
    <t>Часы-будильник электронный La Decor с календар термометр 15,5х7х4,5см, 3хАА 2 цвета 529-180 /2/</t>
  </si>
  <si>
    <t>47255</t>
  </si>
  <si>
    <t>Часы-будильник электронный La Decor с подсв датой и темпер 12,6х5,8х5,5 см 529-188 /120/</t>
  </si>
  <si>
    <t>47225</t>
  </si>
  <si>
    <t>Часы-будильник электронный метал с сердцем 12*8,2*5,5 см 1*АА 529-153</t>
  </si>
  <si>
    <t>47217</t>
  </si>
  <si>
    <t>Часы-будильник электронный Рыжий 14*7*4,8 см оранжевый 512-058 /60/</t>
  </si>
  <si>
    <t>473 Обивка/сетка/занавески для дверей</t>
  </si>
  <si>
    <t>47302</t>
  </si>
  <si>
    <t>Лента крепежная для москитной сетки 6 мм*4,5 м нейлон в пакете 159-101 /10/</t>
  </si>
  <si>
    <t>47343</t>
  </si>
  <si>
    <t>Москитная сетка для дверей 0,9 х 2,1м на магнитах 37х17х2 165-001 /10/</t>
  </si>
  <si>
    <t>47339</t>
  </si>
  <si>
    <t>Москитная сетка для дверей на магнитах 1*2,1м 165-002 /10/</t>
  </si>
  <si>
    <t>47318</t>
  </si>
  <si>
    <t>Москитная сетка для дверей на магнитах 90*210 см АМ-1258 /60/</t>
  </si>
  <si>
    <t>47344</t>
  </si>
  <si>
    <t>Москитная сетка для окон с крепежной лентой 1,3х1,5м в пакете 31х17х2 165-005 /8/</t>
  </si>
  <si>
    <t>47345</t>
  </si>
  <si>
    <t>Москитная сетка для окон с крепежной лентой 1,5х2м,в пакете 37х17х2 165-004 /8/</t>
  </si>
  <si>
    <t>47335</t>
  </si>
  <si>
    <t>Штора рулонная полиэст. 120*160 см 4цв. 491-326 /2/12/</t>
  </si>
  <si>
    <t>47333</t>
  </si>
  <si>
    <t>Штора рулонная полиэст. 60*160 см 4цв. 491-324 /2/12/</t>
  </si>
  <si>
    <t>474 Вешалки-плечики</t>
  </si>
  <si>
    <t>47404</t>
  </si>
  <si>
    <t>Вешалка-плечики NataM 23,5*44,5*1,2 см дерево черный /100/</t>
  </si>
  <si>
    <t>47405</t>
  </si>
  <si>
    <t>Вешалка-плечики NataM 23*44,5*1,2 см дерево /100/</t>
  </si>
  <si>
    <t>47400</t>
  </si>
  <si>
    <t>Вешалка-плечики VETTA 44,5 см без пер.дерево 455-006</t>
  </si>
  <si>
    <t>41228</t>
  </si>
  <si>
    <t>Вешалка-плечики Альтернатива Комфорт р40-42 М1814 /25/</t>
  </si>
  <si>
    <t>41229</t>
  </si>
  <si>
    <t>Вешалка-плечики Альтернатива Комфорт р44-46 М1437 /25/</t>
  </si>
  <si>
    <t>41232</t>
  </si>
  <si>
    <t>Вешалка-плечики Альтернатива Комфорт р48-50 М1310 /25/</t>
  </si>
  <si>
    <t>47403</t>
  </si>
  <si>
    <t>Вешалка-плечики Альтернатива Комфорт р52-54 М1290 /25/</t>
  </si>
  <si>
    <t>86101</t>
  </si>
  <si>
    <t>Вешалка-плечики Альтернатива Лайт 48-50р М6861 /25/</t>
  </si>
  <si>
    <t>41220</t>
  </si>
  <si>
    <t>Вешалка-плечики Альтернатива Лайт 50-52р М444 /50/</t>
  </si>
  <si>
    <t>47422</t>
  </si>
  <si>
    <t>Вешалка-плечики Альтернатива Лайт 52-54р М6870 /25/</t>
  </si>
  <si>
    <t>41230</t>
  </si>
  <si>
    <t>Вешалка-плечики Альтернатива с прищепкой р52-54 М589 /25/</t>
  </si>
  <si>
    <t>47499</t>
  </si>
  <si>
    <t>Вешалка-плечики д/верхней одежды мет. с ПВХ цвет мих 456-033</t>
  </si>
  <si>
    <t>47425</t>
  </si>
  <si>
    <t>Вешалка-плечики ДМ блузочные 50-52 цвет в ассорт. /150/</t>
  </si>
  <si>
    <t>47440</t>
  </si>
  <si>
    <t>Вешалка-плечики ДМ блузочные 50-52 черные /150/</t>
  </si>
  <si>
    <t>47446</t>
  </si>
  <si>
    <t>Вешалка-плечики ДМ149 блузочные 50-52 черные /150/</t>
  </si>
  <si>
    <t>47411</t>
  </si>
  <si>
    <t>Вешалка-плечики ДМ151 блузочные 46-48 цвет в ассорт. /150/</t>
  </si>
  <si>
    <t>47443</t>
  </si>
  <si>
    <t>Вешалка-плечики ДМ152 блузочные 50-52 цвет в ассорт. /150/</t>
  </si>
  <si>
    <t>47455</t>
  </si>
  <si>
    <t>Вешалка-плечики ДМ156 д/верх.одежды 40-42 /100/</t>
  </si>
  <si>
    <t>75335</t>
  </si>
  <si>
    <t>Вешалка-плечики пластиковая, 48-50, черная 456-081 /25/100/</t>
  </si>
  <si>
    <t>41226</t>
  </si>
  <si>
    <t>Вешалка-плечики Платар 44-46 /20/</t>
  </si>
  <si>
    <t>41227</t>
  </si>
  <si>
    <t>Вешалка-плечики Платар 48-50 /20/</t>
  </si>
  <si>
    <t>475 Крючки хозяйственные</t>
  </si>
  <si>
    <t>47566</t>
  </si>
  <si>
    <t>Вешалка крючок надверный Vetta 32*3,5*10 см пластик 6 крючков 440-363 /12/</t>
  </si>
  <si>
    <t>47517</t>
  </si>
  <si>
    <t>Вешалка крючок надверный Vetta 7,5*2,5*4,5 см пластик 2 шт 440-361 /10/</t>
  </si>
  <si>
    <t>47541</t>
  </si>
  <si>
    <t>Крючки на присоске 2 шт Море 6 диз. 463-113 /6/</t>
  </si>
  <si>
    <t>47560</t>
  </si>
  <si>
    <t>Крючки на присоске 2 шт со стразой 2 цв. 463-182 /132/</t>
  </si>
  <si>
    <t>47592</t>
  </si>
  <si>
    <t>Крючки на присоске 3 шт прозрачные WF-058 440-031 /10/</t>
  </si>
  <si>
    <t>47514</t>
  </si>
  <si>
    <t>Крючки набор 3 шт Цветочки PY27-148 /12/</t>
  </si>
  <si>
    <t>47561</t>
  </si>
  <si>
    <t>Крючки навесные на дверь 2шт 7*2,5*3 белый 8051 /24/</t>
  </si>
  <si>
    <t>49295</t>
  </si>
  <si>
    <t>Крючки самоклеющиеся 2 шт 3*8 см 440-173 /10/</t>
  </si>
  <si>
    <t>47519</t>
  </si>
  <si>
    <t>Крючки самоклеющиеся 2 шт VL27-222 /12/</t>
  </si>
  <si>
    <t>47532</t>
  </si>
  <si>
    <t>Крючки самоклеющиеся 2 шт WF-312 440-120 /10/</t>
  </si>
  <si>
    <t>47502</t>
  </si>
  <si>
    <t>Крючки самоклеющиеся 2 шт акрил пластик мет 4 диз 440-348 /10/</t>
  </si>
  <si>
    <t>49298</t>
  </si>
  <si>
    <t>Крючки самоклеющиеся 2 шт Белые овальные 440-296 /12/</t>
  </si>
  <si>
    <t>47552</t>
  </si>
  <si>
    <t>Крючки самоклеющиеся 2 шт в пакете WF-038 440-079 /25/</t>
  </si>
  <si>
    <t>47513</t>
  </si>
  <si>
    <t>Крючки самоклеющиеся 2 шт Вуд MS27-162 /12/</t>
  </si>
  <si>
    <t>47510</t>
  </si>
  <si>
    <t>Крючки самоклеющиеся 2 шт Дельфины SM27-4 /16/</t>
  </si>
  <si>
    <t>47533</t>
  </si>
  <si>
    <t>Крючки самоклеющиеся 2 шт Дерево 2 цв. 440-390 /20/</t>
  </si>
  <si>
    <t>47596</t>
  </si>
  <si>
    <t>Крючки самоклеющиеся 2 шт длинный овал VL27-225 /12/</t>
  </si>
  <si>
    <t>47582</t>
  </si>
  <si>
    <t>Крючки самоклеющиеся 2 шт Круг 440-383 /10/</t>
  </si>
  <si>
    <t>47579</t>
  </si>
  <si>
    <t>Крючки самоклеющиеся 2 шт Морские обитатели SM27-125 /16/</t>
  </si>
  <si>
    <t>47599</t>
  </si>
  <si>
    <t>Крючки самоклеющиеся 2 шт на блистере WF-205 440-130 /10/</t>
  </si>
  <si>
    <t>47524</t>
  </si>
  <si>
    <t>Крючки самоклеющиеся 2 шт Настроение акрил мет. 2 диз. 3 цв. 440-191 /20/</t>
  </si>
  <si>
    <t>47581</t>
  </si>
  <si>
    <t>Крючки самоклеющиеся 2 шт Овал 440-382 /10/</t>
  </si>
  <si>
    <t>49231</t>
  </si>
  <si>
    <t>Крючки самоклеющиеся 2 шт овальные дерево 440-299 /12/</t>
  </si>
  <si>
    <t>49225</t>
  </si>
  <si>
    <t>Крючки самоклеющиеся 2 шт овальные прозрачные пластик 440-298 /12/</t>
  </si>
  <si>
    <t>47526</t>
  </si>
  <si>
    <t>Крючки самоклеющиеся 2 шт ПВХ 3D 4 диз. 440-343 /10/</t>
  </si>
  <si>
    <t>47562</t>
  </si>
  <si>
    <t>Крючки самоклеющиеся 2 шт пластик 2 цв. 478-131 /6/</t>
  </si>
  <si>
    <t>47534</t>
  </si>
  <si>
    <t>Крючки самоклеющиеся 2 шт пластик 2 цв. 478-151 /60/</t>
  </si>
  <si>
    <t>47598</t>
  </si>
  <si>
    <t>Крючки самоклеющиеся 2 шт пластик белые 478-146 /48/</t>
  </si>
  <si>
    <t>47556</t>
  </si>
  <si>
    <t>Крючки самоклеющиеся 2 шт пластик мет 4 диз 440-341 /25/</t>
  </si>
  <si>
    <t>47503</t>
  </si>
  <si>
    <t>Крючки самоклеющиеся 2 шт резина мет 3 диз 440-344 /12/</t>
  </si>
  <si>
    <t>47570</t>
  </si>
  <si>
    <t>Крючки самоклеющиеся 2 шт Рыбки SM27-5 /16/</t>
  </si>
  <si>
    <t>47574</t>
  </si>
  <si>
    <t>Крючки самоклеющиеся 2 шт Улыбка-сердце SM27-42 /12/</t>
  </si>
  <si>
    <t>47537</t>
  </si>
  <si>
    <t>Крючки самоклеющиеся 2 шт Фрукты SM27-27 /16/</t>
  </si>
  <si>
    <t>47572</t>
  </si>
  <si>
    <t>Крючки самоклеющиеся 2 шт Фрукты-фото SM27-25 /12/</t>
  </si>
  <si>
    <t>47590</t>
  </si>
  <si>
    <t>Крючки самоклеющиеся 2 шт Хром 440-384 /10/</t>
  </si>
  <si>
    <t>47597</t>
  </si>
  <si>
    <t>Крючки самоклеющиеся 2 шт Хром малый 440-385 /10/</t>
  </si>
  <si>
    <t>49279</t>
  </si>
  <si>
    <t>Крючки самоклеющиеся 2 шт Цветные 440-302</t>
  </si>
  <si>
    <t>47512</t>
  </si>
  <si>
    <t>Крючки самоклеющиеся 2 шт эконом круг. SM27-202 /12/</t>
  </si>
  <si>
    <t>47539</t>
  </si>
  <si>
    <t>Крючки самоклеющиеся 2 шт эконом овал. SM27-204 /12/</t>
  </si>
  <si>
    <t>47551</t>
  </si>
  <si>
    <t>Крючки самоклеющиеся 2 шт эконом овал. SM27-205 /12/</t>
  </si>
  <si>
    <t>47594</t>
  </si>
  <si>
    <t>Крючки самоклеющиеся 2 шт эконом прям. SM27-203 /12/</t>
  </si>
  <si>
    <t>47564</t>
  </si>
  <si>
    <t>Крючки самоклеющиеся 3 шт 6*6 см пластик 440-350 /12/</t>
  </si>
  <si>
    <t>47525</t>
  </si>
  <si>
    <t>Крючки самоклеющиеся 3 шт для полотен. №35 /12/</t>
  </si>
  <si>
    <t>47507</t>
  </si>
  <si>
    <t>Крючки самоклеющиеся 3 шт Идиллия 2 диз 440-345 /10/</t>
  </si>
  <si>
    <t>47527</t>
  </si>
  <si>
    <t>Крючки самоклеющиеся 3 шт мет.пластик 2 диз 440-346 /10/</t>
  </si>
  <si>
    <t>47565</t>
  </si>
  <si>
    <t>Крючки самоклеющиеся 3 шт на блистере 440-133 /10/</t>
  </si>
  <si>
    <t>47587</t>
  </si>
  <si>
    <t>Крючки самоклеющиеся 3 шт на блистере WF-201-1 440-022 /10/</t>
  </si>
  <si>
    <t>47584</t>
  </si>
  <si>
    <t>Крючки самоклеющиеся 3 шт на блистере WF-250 440-131 /10/</t>
  </si>
  <si>
    <t>47518</t>
  </si>
  <si>
    <t>Крючки самоклеющиеся 3 шт эконом MS27-214 /12/</t>
  </si>
  <si>
    <t>47588</t>
  </si>
  <si>
    <t>Крючки самоклеющиеся 4 шт на блистере WF-005 440-037 /10/</t>
  </si>
  <si>
    <t>49267</t>
  </si>
  <si>
    <t>Крючки самоклеющиеся 4 шт на блистере Светофор 440-032 /10/</t>
  </si>
  <si>
    <t>47506</t>
  </si>
  <si>
    <t>Крючки самоклеющиеся 4 шт пластик Style Collection 478-152 /80/</t>
  </si>
  <si>
    <t>47547</t>
  </si>
  <si>
    <t>Крючки самоклеющиеся 6 шт металл 440-137 /15/</t>
  </si>
  <si>
    <t>47504</t>
  </si>
  <si>
    <t>Крючки самоклеющиеся 6 шт металл прозрачные 440-388 /20/</t>
  </si>
  <si>
    <t>47583</t>
  </si>
  <si>
    <t>Крючки самоклеющиеся 6 шт на блистере WF-104 440-108 /10/</t>
  </si>
  <si>
    <t>49218</t>
  </si>
  <si>
    <t>Крючки самоклеющиеся 8 шт пластик 2 цв. 440-303 /12/</t>
  </si>
  <si>
    <t>47531</t>
  </si>
  <si>
    <t>Крючки самоклеющиеся для картин 440-295 /12/</t>
  </si>
  <si>
    <t>47459</t>
  </si>
  <si>
    <t>Крючки самоклеющиеся для картин 70*32мм 4 шт 440-293 /12/</t>
  </si>
  <si>
    <t>47516</t>
  </si>
  <si>
    <t>Крючки самоклеющиеся ЕН 2шт 14122 /160/</t>
  </si>
  <si>
    <t>47589</t>
  </si>
  <si>
    <t>Крючки самоклеющиеся ЕН 4шт цветные 14124 /160/</t>
  </si>
  <si>
    <t>47544</t>
  </si>
  <si>
    <t>Крючки самоклеющиеся ЕН 6шт 5,5*3см 8048 /24/48/</t>
  </si>
  <si>
    <t>47545</t>
  </si>
  <si>
    <t>Крючки самоклеющиеся комплект 7,5*8 см-1 шт 5*4 см-4 шт ПВХ 2 диз. 440-355</t>
  </si>
  <si>
    <t>47540</t>
  </si>
  <si>
    <t>Крючки самоклеющиеся металл 3 диз. 440-356 /12/</t>
  </si>
  <si>
    <t>49202</t>
  </si>
  <si>
    <t>Крючки самоклеющиеся на 2 планке по 3шт 440-123</t>
  </si>
  <si>
    <t>49203</t>
  </si>
  <si>
    <t>Крючки самоклеющиеся на 2 планке по 3шт 440-304</t>
  </si>
  <si>
    <t>47578</t>
  </si>
  <si>
    <t>Крючки самоклеющиеся на 2 планке по 3шт 440-340 /10/</t>
  </si>
  <si>
    <t>47529</t>
  </si>
  <si>
    <t>Крючки самоклеющиеся на планке 4 шт WF-892 440-035 /10/</t>
  </si>
  <si>
    <t>47573</t>
  </si>
  <si>
    <t>Крючки самоклеющиеся на планке 6 шт 34 см SM27-37 /12/</t>
  </si>
  <si>
    <t>47509</t>
  </si>
  <si>
    <t>Крючки самоклеящиеся на планке Веселый Роджер 20*70 см 3 шт 21 диз 440-351 /12/</t>
  </si>
  <si>
    <t>47576</t>
  </si>
  <si>
    <t>Крючки-держатели для проводов 2 шт 440-380 /20/</t>
  </si>
  <si>
    <t>47522</t>
  </si>
  <si>
    <t>Крючки-держатели для проводов 9 шт VL27-247 /12/</t>
  </si>
  <si>
    <t>47558</t>
  </si>
  <si>
    <t>Крючки-саморезы 6 шт 5,5см 440-397 /10/</t>
  </si>
  <si>
    <t>49269</t>
  </si>
  <si>
    <t>Крючок S-образный металл 440-017 /100/</t>
  </si>
  <si>
    <t>47538</t>
  </si>
  <si>
    <t>Крючок на присоске Бабочка TL27-65 /12/</t>
  </si>
  <si>
    <t>47543</t>
  </si>
  <si>
    <t>Крючок на присоске Бабочка TL27-71 /12/</t>
  </si>
  <si>
    <t>47528</t>
  </si>
  <si>
    <t>Крючок на присоске Веселый Роджер мет. пласт. 2 диз 440-347</t>
  </si>
  <si>
    <t>47521</t>
  </si>
  <si>
    <t>Крючок на присоске Веселый Роджер Прозрачный цвет 440-015 /24/</t>
  </si>
  <si>
    <t>47569</t>
  </si>
  <si>
    <t>Крючок на присоске для полотенец ПВХ 8*10,5 см 463-354 /5/</t>
  </si>
  <si>
    <t>47593</t>
  </si>
  <si>
    <t>Крючок на присоске Ромашка TL27-70 /12/</t>
  </si>
  <si>
    <t>47586</t>
  </si>
  <si>
    <t>Крючок на присоске Цветок TL27-63 /12/</t>
  </si>
  <si>
    <t>47520</t>
  </si>
  <si>
    <t>Крючок на присоске Цветок TL27-64 /12/</t>
  </si>
  <si>
    <t>47568</t>
  </si>
  <si>
    <t>Крючок навесной DA27-60 /12/</t>
  </si>
  <si>
    <t>47501</t>
  </si>
  <si>
    <t>Крючок самокл. 6,5 см 440-352 /20/</t>
  </si>
  <si>
    <t>47555</t>
  </si>
  <si>
    <t>Крючок самокл. 7*7 см КП-1</t>
  </si>
  <si>
    <t>47559</t>
  </si>
  <si>
    <t>Крючок самокл. 7*7 см одинарн. КК-1</t>
  </si>
  <si>
    <t>47571</t>
  </si>
  <si>
    <t>Крючок самокл. 8,5 см ПВХ 3 диз. 440-353 /10/</t>
  </si>
  <si>
    <t>47580</t>
  </si>
  <si>
    <t>Крючок самокл. пластик, Макси 440-381 /10/</t>
  </si>
  <si>
    <t>47553</t>
  </si>
  <si>
    <t>Крючок самокл. пластм. Domina 777 /50/</t>
  </si>
  <si>
    <t>47557</t>
  </si>
  <si>
    <t>Крючок самокл. пластм. Domina L /50/</t>
  </si>
  <si>
    <t>47554</t>
  </si>
  <si>
    <t>Крючок самокл. пластм. Domina А213 /50/</t>
  </si>
  <si>
    <t>47550</t>
  </si>
  <si>
    <t>Крючок самокл. полимер, прорезиненное покрытие 3 цв. 440-364 /10/</t>
  </si>
  <si>
    <t>47591</t>
  </si>
  <si>
    <t>Прищепки для полотенец мет. 5 шт 444-147 /12/</t>
  </si>
  <si>
    <t>47575</t>
  </si>
  <si>
    <t>Фиксаторы Vetta самоклеющиеся многофункцион. 4 шт 639-028 /12/</t>
  </si>
  <si>
    <t>477 Термосы</t>
  </si>
  <si>
    <t>47764</t>
  </si>
  <si>
    <t>Бутылочка Зайчата с кружкой 650 мл полипропилен 829-148 /2/</t>
  </si>
  <si>
    <t>47727</t>
  </si>
  <si>
    <t>Ланч-бокс Vetta 1,4 л 2 отд. 14 см 841-711 /2/48/</t>
  </si>
  <si>
    <t>82432</t>
  </si>
  <si>
    <t>Ланч-Бокс метал. SATOSHI Торнадо 1,0л с широкой горловиной, нерж.сталь 841-794 /12/</t>
  </si>
  <si>
    <t>48791</t>
  </si>
  <si>
    <t>Термос -кружка 0,4л вакуумная из нержавеющей стали 3цв. 841-788 /2/48/</t>
  </si>
  <si>
    <t>47713</t>
  </si>
  <si>
    <t>Термос -кружка 0,4л Для мужчин 806-026 /48/</t>
  </si>
  <si>
    <t>47792</t>
  </si>
  <si>
    <t>Термос -кружка By Collektion 450 мл 3D принт нерж. сталь 841-820 /24/</t>
  </si>
  <si>
    <t>47794</t>
  </si>
  <si>
    <t>Термос -кружка SATOSHI 0,3 л Веселые зверята 841-808 /24/</t>
  </si>
  <si>
    <t>48704</t>
  </si>
  <si>
    <t>Термос -кружка SATOSHI 450 мл нерж. сталь 841-005 /24/</t>
  </si>
  <si>
    <t>47710</t>
  </si>
  <si>
    <t>Термос -кружка SATOSHI 450 мл нерж. сталь 841-805 /24/</t>
  </si>
  <si>
    <t>47707</t>
  </si>
  <si>
    <t>Термос -кружка SATOSHI 450 мл с датчиком температуры нерж. сталь 841-823 /24/</t>
  </si>
  <si>
    <t>47711</t>
  </si>
  <si>
    <t>Термос -кружка SATOSHI 450 мл с Коты с крышкой на защелке нерж. сталь 841-806 /24/</t>
  </si>
  <si>
    <t>48754</t>
  </si>
  <si>
    <t>Термос -кружка SATOSHI 450 мл с крыш. на защ. 841-783 /2/24/</t>
  </si>
  <si>
    <t>47716</t>
  </si>
  <si>
    <t>Термос -кружка SATOSHI Градиент 0,6 л нерж. сталь 3 цв. 841-814</t>
  </si>
  <si>
    <t>47717</t>
  </si>
  <si>
    <t>Термос -кружка SATOSHI Колор 350 мл нерж. сталь 4 цв 841-811</t>
  </si>
  <si>
    <t>47715</t>
  </si>
  <si>
    <t>Термос -кружка SATOSHI Экспрессо 500 мл нерж. сталь 841-822 /24/</t>
  </si>
  <si>
    <t>48739</t>
  </si>
  <si>
    <t>Термос -кружка VETTA 350мл детский 841-636 /2/24/</t>
  </si>
  <si>
    <t>48770</t>
  </si>
  <si>
    <t>Термос -кружка VETTA 400мл 841-055 /2/24/</t>
  </si>
  <si>
    <t>47784</t>
  </si>
  <si>
    <t>Термос -кружка VETTA 450мл Тропики нерж. сталь 4 диз. 841-804 /48/</t>
  </si>
  <si>
    <t>47787</t>
  </si>
  <si>
    <t>Термос 500 мл нерж.ст. полипропилен в чехле 3 диз. 829-184 /5/</t>
  </si>
  <si>
    <t>47786</t>
  </si>
  <si>
    <t>Термос By Collektion 500 мл 3D принт нерж. сталь 841-819 /24/</t>
  </si>
  <si>
    <t>47730</t>
  </si>
  <si>
    <t>Термос By Collektion 500 мл нерж. сталь 3 диз. 841-824 /24/</t>
  </si>
  <si>
    <t>48716</t>
  </si>
  <si>
    <t>Термос Satoshi Денали 0,6л для напитков нерж. сталь 874-791 /12/</t>
  </si>
  <si>
    <t>47701</t>
  </si>
  <si>
    <t>Термос Satoshi Денали 1,6л для напитков нерж. сталь 871-793 /12/</t>
  </si>
  <si>
    <t>48757</t>
  </si>
  <si>
    <t>Термос Satoshi детский 0,35л с труб. и гермет. кр. нерж. сталь 841-779</t>
  </si>
  <si>
    <t>48768</t>
  </si>
  <si>
    <t>Термос Satoshi детский 0,5л с труб. и гермет. кр. нерж. сталь 841-780 /2/24/</t>
  </si>
  <si>
    <t>47731</t>
  </si>
  <si>
    <t>Термос Satoshi К2 0,5 л высокая термост. нерж. сталь 841-815</t>
  </si>
  <si>
    <t>47771</t>
  </si>
  <si>
    <t>Термос Satoshi К2 1,0 л высокая термост. нерж. сталь  841-817 /12/</t>
  </si>
  <si>
    <t>47734</t>
  </si>
  <si>
    <t>Термос Satoshi Монте 0,5 л для напитков нерж. сталь 841-010 /12/</t>
  </si>
  <si>
    <t>47735</t>
  </si>
  <si>
    <t>Термос Satoshi Монте 0,85 л для напитков нерж. сталь 841-011 /12/</t>
  </si>
  <si>
    <t>47700</t>
  </si>
  <si>
    <t>Термос Satoshi Торнадо 0,6 л для напитков нерж. сталь 841-764 /24/</t>
  </si>
  <si>
    <t>48728</t>
  </si>
  <si>
    <t>Термос Satoshi Торнадо 0,7 л для напитков нерж. сталь 841-766 /24/</t>
  </si>
  <si>
    <t>47751</t>
  </si>
  <si>
    <t>Термос Satoshi Торнадо 1 л для напитков нерж. сталь 841-765 /24/</t>
  </si>
  <si>
    <t>48756</t>
  </si>
  <si>
    <t>Термос Satoshi Шторм 1 л 2 чашки стекл. колба 841-768 /2/24/</t>
  </si>
  <si>
    <t>48755</t>
  </si>
  <si>
    <t>Термос Satoshi Шторм 1,8 л 2 чашки стекл. колба 841-769 /2/12/</t>
  </si>
  <si>
    <t>48783</t>
  </si>
  <si>
    <t>Термос Satoshi Ямато Lunchbox 1000 мл 841-629 /2/12/</t>
  </si>
  <si>
    <t>47767</t>
  </si>
  <si>
    <t>Термос Satoshi Ямато мет.Буллет 1000 мл 841-635 /2/24/</t>
  </si>
  <si>
    <t>47712</t>
  </si>
  <si>
    <t>Термос Satoshi Ямато мет.Буллет 500 мл 841-633 /2/24/</t>
  </si>
  <si>
    <t>47732</t>
  </si>
  <si>
    <t>Термос Satoshi Ямато мет.Буллет 750 мл 841-634 /2/24/</t>
  </si>
  <si>
    <t>48742</t>
  </si>
  <si>
    <t>Термос VETTA 1,9л с пневмонасосом стекл. колба 841-727 /12/</t>
  </si>
  <si>
    <t>48744</t>
  </si>
  <si>
    <t>Термос VETTA 300 мл с крыш. на защелке нерж. сталь 841-733 /2/40/</t>
  </si>
  <si>
    <t>47706</t>
  </si>
  <si>
    <t>Термос VETTA 350 мл нерж. сталь 4 диз. 841-799 /40/</t>
  </si>
  <si>
    <t>47703</t>
  </si>
  <si>
    <t>Термос VETTA Буллет 1000 мл серебристый нерж. сталь 841-787 /2/24/</t>
  </si>
  <si>
    <t>47705</t>
  </si>
  <si>
    <t>Термос VETTA Буллет 350 мл серебристый нерж. сталь 841-784 /2/24/</t>
  </si>
  <si>
    <t>47757</t>
  </si>
  <si>
    <t>Термос VETTA Буллет 500 мл серебристый нерж. сталь 841-785 /2/24/</t>
  </si>
  <si>
    <t>47761</t>
  </si>
  <si>
    <t>Термос VETTA Буллет 750 мл серебристый нерж. сталь 841-786 /2/24/</t>
  </si>
  <si>
    <t>47702</t>
  </si>
  <si>
    <t>Термос VETTA Суповой 0,5 л мет. с широк. горлом серебрист. 841-071 /24/</t>
  </si>
  <si>
    <t>47770</t>
  </si>
  <si>
    <t>Термос VETTA Суповой 0,75 л мет. с широк. горлом серебрист. 841-072 /2/24/</t>
  </si>
  <si>
    <t>47704</t>
  </si>
  <si>
    <t>Термос VETTA Суповой 1 л мет. с широк. горлом серебрист. 841-073 /2/12/</t>
  </si>
  <si>
    <t>48796</t>
  </si>
  <si>
    <t>Термос VETTA Туристический 0,6л стеклянная колба 4 цв 841-647 /2/36/</t>
  </si>
  <si>
    <t>48712</t>
  </si>
  <si>
    <t>Термос VETTA Туристический 1,0л мет. с широк. горлом серебрист. 841-058 /2/12/</t>
  </si>
  <si>
    <t>47726</t>
  </si>
  <si>
    <t>Термос VETTA Туристический 1,0л стеклянная колба 2 чашки 4 цв 841-644 /2/24/</t>
  </si>
  <si>
    <t>48736</t>
  </si>
  <si>
    <t>Термос VETTA Туристический 1,2л мет. с широк.горлом серебрист. 841-059 /2/12/</t>
  </si>
  <si>
    <t>47742</t>
  </si>
  <si>
    <t>Термос VETTA Туристический 1,2л мет. серебрист. 841-049 /2/12/</t>
  </si>
  <si>
    <t>48737</t>
  </si>
  <si>
    <t>Термос VETTA Туристический 1,5л мет. с широк. горлом серебрист. 841-060 /2/12/</t>
  </si>
  <si>
    <t>47773</t>
  </si>
  <si>
    <t>Термос VETTA Туристический 1,5л мет. серебрист. 841-050 /2/12/</t>
  </si>
  <si>
    <t>48738</t>
  </si>
  <si>
    <t>Термос VETTA Туристический 1,8л мет. с широк. горлом серебрист. 841-061 /2/12/</t>
  </si>
  <si>
    <t>48799</t>
  </si>
  <si>
    <t>Термос VETTA Туристический 1,8л стеклянная колба 2 чашки 4 цв 841-645 /2/12/</t>
  </si>
  <si>
    <t>47725</t>
  </si>
  <si>
    <t>Термос для вторых блюд метал. 1,0л JCI26-1</t>
  </si>
  <si>
    <t>47729</t>
  </si>
  <si>
    <t>Термос для вторых блюд метал. 1,8л JCI26-3</t>
  </si>
  <si>
    <t>47721</t>
  </si>
  <si>
    <t>Термос для вторых блюд пластиковый корпус 0,5л JCI25-1</t>
  </si>
  <si>
    <t>47723</t>
  </si>
  <si>
    <t>Термос для вторых блюд пластиковый корпус 0,7л JCI25-2</t>
  </si>
  <si>
    <t>47724</t>
  </si>
  <si>
    <t>Термос для вторых блюд пластиковый корпус 1,0л JCI25-3</t>
  </si>
  <si>
    <t>48758</t>
  </si>
  <si>
    <t>Термос металл. 0,28л 16*5,5*6 см 3 диз. 841-669</t>
  </si>
  <si>
    <t>48769</t>
  </si>
  <si>
    <t>Термос с двухслойными стенками с кружкой пластик Зайчата 829-146 /2/84/</t>
  </si>
  <si>
    <t>47720</t>
  </si>
  <si>
    <t>Термос Хаки 500мл нерж. сталь 841-837 /40/</t>
  </si>
  <si>
    <t>48729</t>
  </si>
  <si>
    <t>Термос-бутылка Satoshi 450 мл с крышкой на защелке нерж. сталь 841-762 /2/24/</t>
  </si>
  <si>
    <t>478 Товары для животных</t>
  </si>
  <si>
    <t>47824</t>
  </si>
  <si>
    <t>Контейнер для корма Альтернатива 2,4 л Лекси М8585 /10/</t>
  </si>
  <si>
    <t>47820</t>
  </si>
  <si>
    <t>Контейнер для корма Полимербыт 8,5 л Кошки С59303 /12/</t>
  </si>
  <si>
    <t>47821</t>
  </si>
  <si>
    <t>Контейнер для корма Полимербыт 8,5 л Собаки С59304 /12/</t>
  </si>
  <si>
    <t>47819</t>
  </si>
  <si>
    <t>Корзина для переноски животных Барсик М6928 /5/</t>
  </si>
  <si>
    <t>47891</t>
  </si>
  <si>
    <t>Корзина для переноски животных декор М7369 /5/</t>
  </si>
  <si>
    <t>41600</t>
  </si>
  <si>
    <t>Корзина для переноски животных М5508 /5/</t>
  </si>
  <si>
    <t>47858</t>
  </si>
  <si>
    <t>Корзина для переноски животных Мур-мяу М7846 /5/</t>
  </si>
  <si>
    <t>47859</t>
  </si>
  <si>
    <t>Корзина для переноски животных Феликс М6963 /5/</t>
  </si>
  <si>
    <t>48046</t>
  </si>
  <si>
    <t>Корзина-переноска с/кр желтый прозрачный ПЦ3409ЖТПР /6/</t>
  </si>
  <si>
    <t>47808</t>
  </si>
  <si>
    <t>Лоток-туалет Альтернатива для животных беж М7678 /7/</t>
  </si>
  <si>
    <t>47827</t>
  </si>
  <si>
    <t>Лоток-туалет Альтернатива для животных Верный друг М3666 /17/</t>
  </si>
  <si>
    <t>47892</t>
  </si>
  <si>
    <t>Лоток-туалет Альтернатива для животных Верный друг с решеткой синий М6414 /14/</t>
  </si>
  <si>
    <t>47893</t>
  </si>
  <si>
    <t>Лоток-туалет Альтернатива для животных Верный друг с решеткой сл.кость М6415 /19/</t>
  </si>
  <si>
    <t>47830</t>
  </si>
  <si>
    <t>Лоток-туалет Альтернатива для животных Лекси закрытый розовый М8619</t>
  </si>
  <si>
    <t>47828</t>
  </si>
  <si>
    <t>Лоток-туалет Альтернатива для животных Лекси розовый М6965 /7/</t>
  </si>
  <si>
    <t>47829</t>
  </si>
  <si>
    <t>Лоток-туалет Альтернатива для животных Лекси с бортом розовый М6933 /14/</t>
  </si>
  <si>
    <t>47831</t>
  </si>
  <si>
    <t>Лоток-туалет Альтернатива для животных Лекси угловой розовый М6966 /12/</t>
  </si>
  <si>
    <t>47801</t>
  </si>
  <si>
    <t>Лоток-туалет Альтернатива для животных синий М7677 /7/</t>
  </si>
  <si>
    <t>47826</t>
  </si>
  <si>
    <t>Лоток-туалет Альтернатива для животных Эконом М8212 /20/</t>
  </si>
  <si>
    <t>47800</t>
  </si>
  <si>
    <t>Лоток-туалет Альтернатива для кошек Мурка М6045 /22/</t>
  </si>
  <si>
    <t>41611</t>
  </si>
  <si>
    <t>Лоток-туалет+совок Альтернатива для животных Верный друг М3943 /19/</t>
  </si>
  <si>
    <t>47841</t>
  </si>
  <si>
    <t>Лоток-туалет+совок Альтернатива для животных Лекси розовый М6975 /14/</t>
  </si>
  <si>
    <t>47835</t>
  </si>
  <si>
    <t>Миска для животных Ddstyle 0,35 л пепельно-розовый /60/</t>
  </si>
  <si>
    <t>47842</t>
  </si>
  <si>
    <t>Миска для животных Ddstyle 0,35 л светло-серый /60/</t>
  </si>
  <si>
    <t>47843</t>
  </si>
  <si>
    <t>Миска для животных Ddstyle 0,5 л ментол /30/</t>
  </si>
  <si>
    <t>47845</t>
  </si>
  <si>
    <t>Миска для животных Ddstyle 0,5 л пепельно-розовый /30/</t>
  </si>
  <si>
    <t>47846</t>
  </si>
  <si>
    <t>Миска для животных Ddstyle 0,5 л светло-серый /30/</t>
  </si>
  <si>
    <t>48000</t>
  </si>
  <si>
    <t>Миска для животных Альтернатива 0,2 л М6807 /38/</t>
  </si>
  <si>
    <t>47832</t>
  </si>
  <si>
    <t>Миска для животных Альтернатива 0,3 л М3120 /30/</t>
  </si>
  <si>
    <t>48998</t>
  </si>
  <si>
    <t>Миска для животных Альтернатива 0,7 л М3118 /20/</t>
  </si>
  <si>
    <t>48839</t>
  </si>
  <si>
    <t>Миска для животных Альтернатива 1,2 л М3117 /20/</t>
  </si>
  <si>
    <t>47847</t>
  </si>
  <si>
    <t>Миска для животных Альтернатива двойная 0,2 л бежевый М8272 /34/</t>
  </si>
  <si>
    <t>47848</t>
  </si>
  <si>
    <t>Миска для животных Альтернатива двойная 0,2 л серый М8271 /34/</t>
  </si>
  <si>
    <t>48843</t>
  </si>
  <si>
    <t>Миска для животных Альтернатива двойная М3941 /22/</t>
  </si>
  <si>
    <t>47833</t>
  </si>
  <si>
    <t>Миска для животных Альтернатива Дог 0,7 л М4721 /20/</t>
  </si>
  <si>
    <t>48999</t>
  </si>
  <si>
    <t>Миска для животных Альтернатива Дог 1,2 л М4722 /20/</t>
  </si>
  <si>
    <t>47809</t>
  </si>
  <si>
    <t>Миска для животных Альтернатива Кот 0,3 л бежевый М7767 /30/</t>
  </si>
  <si>
    <t>48942</t>
  </si>
  <si>
    <t>Миска для животных Альтернатива Кот 0,3 л серый М4369 /30/</t>
  </si>
  <si>
    <t>47839</t>
  </si>
  <si>
    <t>Миска для животных Альтернатива Кот 0,7 л М4368 /20/</t>
  </si>
  <si>
    <t>47836</t>
  </si>
  <si>
    <t>Миска для животных Альтернатива Лекси 0,2 л двойная М8620 /34/</t>
  </si>
  <si>
    <t>47837</t>
  </si>
  <si>
    <t>Миска для животных Альтернатива Лекси 0,3 л белая М8582 /30/</t>
  </si>
  <si>
    <t>47838</t>
  </si>
  <si>
    <t>Миска для животных Альтернатива Лекси 0,3 л двойная на подставке св.розовая М8610 /9/</t>
  </si>
  <si>
    <t>47840</t>
  </si>
  <si>
    <t>Миска для животных Альтернатива Лекси 0,3 л розовая М8584 /30/</t>
  </si>
  <si>
    <t>47807</t>
  </si>
  <si>
    <t>Миска для животных Альтернатива Мур-Мяу 0,2 л гол. М7850 /30/</t>
  </si>
  <si>
    <t>47851</t>
  </si>
  <si>
    <t>Миска для животных Альтернатива Мур-Мяу 0,2 л двойная голубая М8273 /34/</t>
  </si>
  <si>
    <t>47810</t>
  </si>
  <si>
    <t>Миска для животных Альтернатива Мур-Мяу 0,2 л св.серый/бежевый М7851 /30/38/</t>
  </si>
  <si>
    <t>47849</t>
  </si>
  <si>
    <t>Миска для животных Альтернатива Мур-Мяу 0,3 л голубая М7852 /30/</t>
  </si>
  <si>
    <t>47811</t>
  </si>
  <si>
    <t>Миска для животных Альтернатива Мур-Мяу 0,3 л двойная на подст. бежевый М8495 /9/</t>
  </si>
  <si>
    <t>47812</t>
  </si>
  <si>
    <t>Миска для животных Альтернатива Мур-Мяу 0,3 л двойная на подст. серый М8496 /9/</t>
  </si>
  <si>
    <t>47850</t>
  </si>
  <si>
    <t>Миска для животных Альтернатива Мур-Мяу 0,3 л светло-бежевая М7853 /30/</t>
  </si>
  <si>
    <t>47813</t>
  </si>
  <si>
    <t>Миска для животных Альтернатива Мур-Мяу 0,5 л гол. М7854 /25/</t>
  </si>
  <si>
    <t>47814</t>
  </si>
  <si>
    <t>Миска для животных Альтернатива Мур-Мяу 0,5 л св.серый/бежевый М7855 /30/38/</t>
  </si>
  <si>
    <t>47869</t>
  </si>
  <si>
    <t>Пакеты для кошачьих лотков 75*30см 15 мкм 10 шт 449-663 /20/40/</t>
  </si>
  <si>
    <t>47817</t>
  </si>
  <si>
    <t>Совок для кошачьего туалета бежевый М8195 /20/</t>
  </si>
  <si>
    <t>47816</t>
  </si>
  <si>
    <t>Совок для кошачьего туалета Лекси белый М8632 /20/</t>
  </si>
  <si>
    <t>47804</t>
  </si>
  <si>
    <t>Совок для кошачьего туалета Лекси фиолетовый/розовый М6976 /26/</t>
  </si>
  <si>
    <t>47803</t>
  </si>
  <si>
    <t>Совок для кошачьего туалета М3942 /26/</t>
  </si>
  <si>
    <t>47805</t>
  </si>
  <si>
    <t>Совок для кошачьего туалета Мур-мяу голубой М7856 /26/</t>
  </si>
  <si>
    <t>47818</t>
  </si>
  <si>
    <t>Совок для кошачьего туалета серый М8194 /20/</t>
  </si>
  <si>
    <t>47815</t>
  </si>
  <si>
    <t>Щетка для животных Альтернатива Мур-мяу св.серый/бежевый М8015 /30/</t>
  </si>
  <si>
    <t>479 Скатерти</t>
  </si>
  <si>
    <t>48595</t>
  </si>
  <si>
    <t>Салфетка с вышивкой 27*27 см полиэстер Нежность 418-002</t>
  </si>
  <si>
    <t>47981</t>
  </si>
  <si>
    <t>Скатерть EH виниловая с зол. тис. 107*152см Прима 8870 /6/36/</t>
  </si>
  <si>
    <t>47905</t>
  </si>
  <si>
    <t>Скатерть EH спанбонд 110*140 см белая 13065 /50/</t>
  </si>
  <si>
    <t>47913</t>
  </si>
  <si>
    <t>Скатерть EH спанбонд 110*140 см красная 13065 /50/</t>
  </si>
  <si>
    <t>47915</t>
  </si>
  <si>
    <t>Скатерть EH спанбонд 110*140 см оранжевая 13065 /50/</t>
  </si>
  <si>
    <t>47916</t>
  </si>
  <si>
    <t>Скатерть EH спанбонд 110*140 см салатовая 13065 /50/</t>
  </si>
  <si>
    <t>47917</t>
  </si>
  <si>
    <t>Скатерть EH спанбонд 110*140 см синяя 13065 /50/</t>
  </si>
  <si>
    <t>47973</t>
  </si>
  <si>
    <t>Скатерть Provanse ПВХ ажурная 152*228 см 479-276</t>
  </si>
  <si>
    <t>47909</t>
  </si>
  <si>
    <t>Скатерть Provanse ПВХ Микс 100*140 см 4 диз. 479-289 /12/48/</t>
  </si>
  <si>
    <t>47918</t>
  </si>
  <si>
    <t>Скатерть Provanse ПВХ Милк ажурная 110*137 см листья 479-300 /6/</t>
  </si>
  <si>
    <t>47920</t>
  </si>
  <si>
    <t>Скатерть Provanse ПВХ Милк ажурная 137*180 см листья 479-301 /6/</t>
  </si>
  <si>
    <t>71356</t>
  </si>
  <si>
    <t>Скатерть Provanse ПВХ Оттенки на текстильной основе 140*140 см 6 диз. 479-286 /6/24/</t>
  </si>
  <si>
    <t>47975</t>
  </si>
  <si>
    <t>Скатерть Provanse ПВХ Оттенки на текстильной основе 140*180 см 6 диз. 479-287 /6/24/</t>
  </si>
  <si>
    <t>47989</t>
  </si>
  <si>
    <t>Скатерть Provanse ПВХ Оттенки на текстильной основе 140*230 см 6 диз. 479-288 /6/24/</t>
  </si>
  <si>
    <t>47901</t>
  </si>
  <si>
    <t>Скатерть Provanse ПВХ Чаепитие с бейкой 110*140 см 6 диз. 479-281 /6/36/</t>
  </si>
  <si>
    <t>47907</t>
  </si>
  <si>
    <t>Скатерть Provanse ПВХ Чаепитие с бейкой 140*140 см 6 диз. 479-283</t>
  </si>
  <si>
    <t>47929</t>
  </si>
  <si>
    <t>Скатерть Zalel Golden/Silver MIX 100% ПВХ 140*180см /40/</t>
  </si>
  <si>
    <t>47932</t>
  </si>
  <si>
    <t>Скатерть Zalel Golden/Silver MIX 100% ПВХ 140*220см /30/</t>
  </si>
  <si>
    <t>47927</t>
  </si>
  <si>
    <t>Скатерть для пикника 1,1*1,8 м желтая/зеленая/белая /21/</t>
  </si>
  <si>
    <t>47990</t>
  </si>
  <si>
    <t>Скатерть Мультидом 137x182см SS65-52 /36/72/</t>
  </si>
  <si>
    <t>47922</t>
  </si>
  <si>
    <t>Скатерть ПВХ 137*183 см Волна /88/</t>
  </si>
  <si>
    <t>47923</t>
  </si>
  <si>
    <t>Скатерть ПВХ с кружевом 120*152 см /70/</t>
  </si>
  <si>
    <t>47924</t>
  </si>
  <si>
    <t>Скатерть ПВХ с кружевом 137*183 см /50/</t>
  </si>
  <si>
    <t>47925</t>
  </si>
  <si>
    <t>Скатерть ПВХ с кружевом 152*228 см /40/</t>
  </si>
  <si>
    <t>47942</t>
  </si>
  <si>
    <t>Скатерть ПВХ с кружевом ажурная 120*152 см /100/</t>
  </si>
  <si>
    <t>47939</t>
  </si>
  <si>
    <t>Скатерть ПВХ с кружевом ажурная 137*183 см /100/</t>
  </si>
  <si>
    <t>47935</t>
  </si>
  <si>
    <t>Скатерть ПВХ с кружевом рельефная 137*183 см /100/</t>
  </si>
  <si>
    <t>47937</t>
  </si>
  <si>
    <t>Скатерть ПВХ с кружевом рельефная 152*228 см /80/</t>
  </si>
  <si>
    <t>47933</t>
  </si>
  <si>
    <t>Скатерть ПВХ с кружевом рельефная Д152 см /100/</t>
  </si>
  <si>
    <t>47976</t>
  </si>
  <si>
    <t>Скатерть Пева 108*180 см 3 диз 437-236 /12/</t>
  </si>
  <si>
    <t>47928</t>
  </si>
  <si>
    <t>Скатерть Пева 137*274 см 6 цв 436-004 /12/</t>
  </si>
  <si>
    <t>48510</t>
  </si>
  <si>
    <t>Скатерть Пева 152*122 см 4 цв 436-836 /12/</t>
  </si>
  <si>
    <t>47967</t>
  </si>
  <si>
    <t>Скатерть полиэстер 140x180см, S16 /50/</t>
  </si>
  <si>
    <t>47970</t>
  </si>
  <si>
    <t>Скатерть полиэстер 140x180см, S17 /50/</t>
  </si>
  <si>
    <t>47983</t>
  </si>
  <si>
    <t>Скатерть полиэстер 150x180см, S20 /50/</t>
  </si>
  <si>
    <t>47999</t>
  </si>
  <si>
    <t>Скатерть полиэстер 150x180см, S22 /50/</t>
  </si>
  <si>
    <t>47966</t>
  </si>
  <si>
    <t>Скатерть Праздничная 108*108см с изображением единорога полиэт. 530-211 /12/</t>
  </si>
  <si>
    <t>47997</t>
  </si>
  <si>
    <t>Скатерть Праздничная 137*183см пластик 4 цв. 530-243 /8/</t>
  </si>
  <si>
    <t>47980</t>
  </si>
  <si>
    <t>Скатерть Праздничная 180*108 см полпропилен 530-311 /12/</t>
  </si>
  <si>
    <t>480 Аксессуары для кухни</t>
  </si>
  <si>
    <t>40308</t>
  </si>
  <si>
    <t>Вешалка ARTEX 6 крючков самоклеющ крепл. 481-007</t>
  </si>
  <si>
    <t>81779</t>
  </si>
  <si>
    <t>Держатель для бумажных полотенец Альтернатива голубой М1776 /18/</t>
  </si>
  <si>
    <t>48008</t>
  </si>
  <si>
    <t>Держатель для бумажных полотенец Альтернатива мрамор М7608 /18/</t>
  </si>
  <si>
    <t>48024</t>
  </si>
  <si>
    <t>Держатель для бумажных полотенец Альтернатива светло-бежевый М7607 /18/</t>
  </si>
  <si>
    <t>48013</t>
  </si>
  <si>
    <t>Держатель для бумажных полотенец Альтернатива Тифани бирюзовый М7898 /18/</t>
  </si>
  <si>
    <t>48014</t>
  </si>
  <si>
    <t>Держатель для бумажных полотенец Альтернатива Тифани серый М7899 /18/</t>
  </si>
  <si>
    <t>40329</t>
  </si>
  <si>
    <t>Держатель для бумажных полотенец метал 13,5*9,5*28 см 485-070 /5/</t>
  </si>
  <si>
    <t>40330</t>
  </si>
  <si>
    <t>Держатель для бумажных полотенец метал 13*29 см 485-071 /60/</t>
  </si>
  <si>
    <t>48003</t>
  </si>
  <si>
    <t>Держатель для бумажных полотенец метал HP60-026 /300/</t>
  </si>
  <si>
    <t>40322</t>
  </si>
  <si>
    <t>Держатель для бумажных полотенец настольный ARTEX 478-053 /5/10/</t>
  </si>
  <si>
    <t>48090</t>
  </si>
  <si>
    <t>Держатель для бумажных полотенец подвесной L23 см AN52-60 /6/</t>
  </si>
  <si>
    <t>40326</t>
  </si>
  <si>
    <t>Держатель для бумажных полотенец покр мет 15*29 см 485-067</t>
  </si>
  <si>
    <t>48089</t>
  </si>
  <si>
    <t>Держатель для бумажных полотенец хромир. ст.дерево 485-098 /18/</t>
  </si>
  <si>
    <t>97016</t>
  </si>
  <si>
    <t>Держатель для бумажных полотенец Цветок МГ76-61 /4/20/</t>
  </si>
  <si>
    <t>48087</t>
  </si>
  <si>
    <t>Держатель для моющих средств 11*6*16 см пластик 4 цв 411-023 /6/</t>
  </si>
  <si>
    <t>48064</t>
  </si>
  <si>
    <t>Крючок S-образный 3 шт /240/</t>
  </si>
  <si>
    <t>48001</t>
  </si>
  <si>
    <t>Подставка для крышек 16*18*34см хром 14315 /10/</t>
  </si>
  <si>
    <t>48007</t>
  </si>
  <si>
    <t>Подставка для крышек и досок 12*19*14см металл 2 цв. 485-120 /2/36/</t>
  </si>
  <si>
    <t>48015</t>
  </si>
  <si>
    <t>Подставка для крышек и досок AN52-105 /12/</t>
  </si>
  <si>
    <t>48004</t>
  </si>
  <si>
    <t>Подставка для крышек и ложек 12,5*7,5*6*5см пластик 3 цв. 485-093 /6/</t>
  </si>
  <si>
    <t>48010</t>
  </si>
  <si>
    <t>Подставка для крышек и сковородок 20*22*30см металл 2 цв. 485-123 /2/48/</t>
  </si>
  <si>
    <t>48009</t>
  </si>
  <si>
    <t>Подставка для крышек мет 16*34*12,8см 2 цв. 485-121 /2/24/</t>
  </si>
  <si>
    <t>48069</t>
  </si>
  <si>
    <t>Подставка для крышек мет 485-087</t>
  </si>
  <si>
    <t>48002</t>
  </si>
  <si>
    <t>Полка навесная для специй 35*7,5*12 см AN52-135 /4/</t>
  </si>
  <si>
    <t>40311</t>
  </si>
  <si>
    <t>Полка настенная ARTEX 1 ярусная овальная на самоклеющ. крепл. 481-011</t>
  </si>
  <si>
    <t>48070</t>
  </si>
  <si>
    <t>Полка настенная ARTEX 1 ярусная с пл. поддон. на самоклеющ. крепл. 478-112 /10/</t>
  </si>
  <si>
    <t>40318</t>
  </si>
  <si>
    <t>Полка настенная ARTEX 1 ярусная угловая на самоклеющ. крепл. 481-014</t>
  </si>
  <si>
    <t>48075</t>
  </si>
  <si>
    <t>Полка настенная ARTEX 1 ярусная угловая с пл. поддон. на самоклеющ. крепл. 478-115 /8/</t>
  </si>
  <si>
    <t>48071</t>
  </si>
  <si>
    <t>Полка настенная ARTEX 2-х ярусная с пл. поддон. на самоклеющ. крепл. 478-113 /10/</t>
  </si>
  <si>
    <t>48083</t>
  </si>
  <si>
    <t>Полка настенная ARTEX 2-х ярусная угловая с пл. поддон. на самоклеющ. крепл. 478-116 /8/</t>
  </si>
  <si>
    <t>48084</t>
  </si>
  <si>
    <t>Полка настенная ARTEX 3-х ярусная угловая с пл. поддон. на самоклеющ. крепл. 478-117 /8/</t>
  </si>
  <si>
    <t>40315</t>
  </si>
  <si>
    <t>Полка настенная ARTEX Flower 2-х ярусная угловая 478-033 /10/</t>
  </si>
  <si>
    <t>10300</t>
  </si>
  <si>
    <t>Полка настенная ARTEX Slim 2-х ярусная с крючком 478-011</t>
  </si>
  <si>
    <t>40300</t>
  </si>
  <si>
    <t>Полка настенная ARTEX Slim 478-010 /10/</t>
  </si>
  <si>
    <t>40302</t>
  </si>
  <si>
    <t>Полка настенная ARTEX Slim угловая одинарная 478-013</t>
  </si>
  <si>
    <t>40303</t>
  </si>
  <si>
    <t>Полка настенная ARTEX STAR 478-037 /2/8/</t>
  </si>
  <si>
    <t>48043</t>
  </si>
  <si>
    <t>Полка настенная ARTEX STAR угловая высокая 478-041 /8/</t>
  </si>
  <si>
    <t>481 Шкатулки/Банки пластм.</t>
  </si>
  <si>
    <t>41709</t>
  </si>
  <si>
    <t>Банка Альтернатива Дольче Вита 0,7 л с кр. зелено-белая М4706 /18/</t>
  </si>
  <si>
    <t>48293</t>
  </si>
  <si>
    <t>Банка Альтернатива Дольче Вита 1,0 л с кр. розово-белая М3654 /24/</t>
  </si>
  <si>
    <t>40192</t>
  </si>
  <si>
    <t>Банка Альтернатива Плетенка 1,0 л белая М2527 /20/</t>
  </si>
  <si>
    <t>41715</t>
  </si>
  <si>
    <t>Банка Альтернатива Плетенка 1,0 л зеленая М2528 /20/</t>
  </si>
  <si>
    <t>41717</t>
  </si>
  <si>
    <t>Банка Альтернатива Плетенка 1,5 л с кр. белая М2358 /22/</t>
  </si>
  <si>
    <t>41719</t>
  </si>
  <si>
    <t>Банка Альтернатива Плетенка 1,5 л с кр. желтая М2359 /22/</t>
  </si>
  <si>
    <t>41718</t>
  </si>
  <si>
    <t>Банка Альтернатива Плетенка 1,5 л с кр. зеленая М2360 /20/</t>
  </si>
  <si>
    <t>81892</t>
  </si>
  <si>
    <t>Емкость Альтернатива Плетенка 1,0 л белая М2539 /20/</t>
  </si>
  <si>
    <t>40129</t>
  </si>
  <si>
    <t>Контейнер Альтернатива Плетенка 3,0л св. бежевая М2366 /16/</t>
  </si>
  <si>
    <t>41425</t>
  </si>
  <si>
    <t>Подставка для карандашей Альтернатива Конфети 0,7 л М2282 /22/</t>
  </si>
  <si>
    <t>29745</t>
  </si>
  <si>
    <t>Подставка для карандашей малая ПЦ 22*14*5,2 см BQ2254КА /45/</t>
  </si>
  <si>
    <t>48110</t>
  </si>
  <si>
    <t>Шкатулка для украшений 13*18,3*15,2 см с зеркалом и отделениями полиэстер 504-633</t>
  </si>
  <si>
    <t>48119</t>
  </si>
  <si>
    <t>Шкатулка для украшений 25,5*20*8 см полиэстер 504-638</t>
  </si>
  <si>
    <t>48116</t>
  </si>
  <si>
    <t>Шкатулка для украшений 30,5*11*7,5 см с зеркалом и отделениями полиэстер 2 цв.504-637</t>
  </si>
  <si>
    <t>48113</t>
  </si>
  <si>
    <t>Шкатулка-ящик для мелочей, полиэстер, 18*14,5*11,5, 4 диз 504-543</t>
  </si>
  <si>
    <t>482 Мебель детская</t>
  </si>
  <si>
    <t>48209</t>
  </si>
  <si>
    <t>Кресло детское голубое М2525 /5/</t>
  </si>
  <si>
    <t>48214</t>
  </si>
  <si>
    <t>Кресло детское розовое М1226 /5/</t>
  </si>
  <si>
    <t>48208</t>
  </si>
  <si>
    <t>Стол детский 44 котенка М7656 /4/</t>
  </si>
  <si>
    <t>81224</t>
  </si>
  <si>
    <t>Стол детский голубой 510*510*470 мм М1228 /4/</t>
  </si>
  <si>
    <t>81264</t>
  </si>
  <si>
    <t>Стол детский розовый 510*510*470 мм М2466 /4/</t>
  </si>
  <si>
    <t>48212</t>
  </si>
  <si>
    <t>Стульчик детский Полимербыт Giraffix раскладной С61373</t>
  </si>
  <si>
    <t>48204</t>
  </si>
  <si>
    <t>Стульчик для кормления 44 котенка голубой М8325 /4/</t>
  </si>
  <si>
    <t>48203</t>
  </si>
  <si>
    <t>Стульчик для кормления белый М6247 /4/</t>
  </si>
  <si>
    <t>48216</t>
  </si>
  <si>
    <t>Табурет детсткий складной Алфавит салатовый/зеленый М4961 /10/</t>
  </si>
  <si>
    <t>48230</t>
  </si>
  <si>
    <t>Табурет детсткий складной Алфавит синий/голубой М4959 /10/</t>
  </si>
  <si>
    <t>483 Контейнеры бытовые больше 10 л</t>
  </si>
  <si>
    <t>48311</t>
  </si>
  <si>
    <t>Контейнер Альтернатива 12л квадратный М5240 /8/</t>
  </si>
  <si>
    <t>48301</t>
  </si>
  <si>
    <t>Контейнер Альтернатива 15л Доктор+ прямоуг. М3221 /8/</t>
  </si>
  <si>
    <t>40143</t>
  </si>
  <si>
    <t>Контейнер Альтернатива 15л Пикник прямоугольный М3220 /9/</t>
  </si>
  <si>
    <t>48315</t>
  </si>
  <si>
    <t>Контейнер Альтернатива 15л Плетенка люкс прямоуг с кр. бежевый М3478 /8/</t>
  </si>
  <si>
    <t>48302</t>
  </si>
  <si>
    <t>Контейнер Альтернатива 15л Царевны с/к М8558 /8/</t>
  </si>
  <si>
    <t>40208</t>
  </si>
  <si>
    <t>Контейнер Альтернатива 30л прямоугольный М3114 /5/</t>
  </si>
  <si>
    <t>40209</t>
  </si>
  <si>
    <t>Контейнер Альтернатива 40л прямоугольный М3115 /5/</t>
  </si>
  <si>
    <t>48303</t>
  </si>
  <si>
    <t>Контейнер Альтернатива 50л Царевны с/к М8589 /5/</t>
  </si>
  <si>
    <t>48300</t>
  </si>
  <si>
    <t>Контейнер Альтернатива 75л Эконом с кр. М7359 /3/</t>
  </si>
  <si>
    <t>484 Товары для быта прочее</t>
  </si>
  <si>
    <t>48196</t>
  </si>
  <si>
    <t>Ключница Pavo иск. кожа 9,5*6см 5цв. 333-002 /10/360/</t>
  </si>
  <si>
    <t>48440</t>
  </si>
  <si>
    <t>Ключница открытая МДФ 2 крючка 18,5*3,5*24 см Home белый 510-005 /72/</t>
  </si>
  <si>
    <t>48421</t>
  </si>
  <si>
    <t>Ключница открытая МДФ 2 крючка 20,2*14*0,6 см арт.1-16 510-217 /6/</t>
  </si>
  <si>
    <t>48441</t>
  </si>
  <si>
    <t>Ключница открытая МДФ 3 крючка 17*22*3 см Welcome 510-013 /4/</t>
  </si>
  <si>
    <t>48447</t>
  </si>
  <si>
    <t>Ключница открытая МДФ 3 крючка 23,5*10,3*3 см Welcome 510-031 /144/</t>
  </si>
  <si>
    <t>48417</t>
  </si>
  <si>
    <t>Ключница открытая МДФ 3 крючка 24*21,7*0,6 см арт.1-9 510-210 /4/</t>
  </si>
  <si>
    <t>48446</t>
  </si>
  <si>
    <t>Ключница открытая МДФ 3 крючка 29,5*12 см Home 510-027 /6/</t>
  </si>
  <si>
    <t>48423</t>
  </si>
  <si>
    <t>Ключница открытая МДФ 3 крючка 30*14,8*0,6 см арт.1-17 510-218 /4/</t>
  </si>
  <si>
    <t>48427</t>
  </si>
  <si>
    <t>Ключница открытая МДФ 3 крючка 30*3,5*13 см Home черный 510-003 /72/</t>
  </si>
  <si>
    <t>48444</t>
  </si>
  <si>
    <t>Ключница открытая МДФ 4 крючка 29,5*13,5 см Keys 510-020 /4/</t>
  </si>
  <si>
    <t>48426</t>
  </si>
  <si>
    <t>Ключница ЮL иск. кожа 6*112,5 см 339-087 /6/</t>
  </si>
  <si>
    <t>48442</t>
  </si>
  <si>
    <t>Коврик в мебельный ящик Vetta 30x100см 4 цвета 416-200 /12/</t>
  </si>
  <si>
    <t>48416</t>
  </si>
  <si>
    <t>Магнит декоративный Бабочка 3,2*2,5 см 416-221</t>
  </si>
  <si>
    <t>48909</t>
  </si>
  <si>
    <t>Магнит декоративный Бабочки и птицы 4*4*1,5 см 24 диз 512-326</t>
  </si>
  <si>
    <t>48970</t>
  </si>
  <si>
    <t>Магнит декоративный Цветной мотылек 10*7,5 см пластик 12 диз 512-067</t>
  </si>
  <si>
    <t>48985</t>
  </si>
  <si>
    <t>Магнит декоротивный Сердечко 4,2*3,9*1,5 см стекло 7 цв 512-313</t>
  </si>
  <si>
    <t>48400</t>
  </si>
  <si>
    <t>Сердечки декоративные полиэстер 25 шт 597-001</t>
  </si>
  <si>
    <t>48409</t>
  </si>
  <si>
    <t>Фиксатор-липучка для ковров 10*15 см 4 шт 639-014 /6/</t>
  </si>
  <si>
    <t>48464</t>
  </si>
  <si>
    <t>Фоторамка 10*15 см МДФ пластик 2 цвета арт 2903-41</t>
  </si>
  <si>
    <t>48461</t>
  </si>
  <si>
    <t>Фоторамка 10*15 см пластик 3 цвета арт 2903-35</t>
  </si>
  <si>
    <t>48425</t>
  </si>
  <si>
    <t>Фоторамка 10*15 см пластик арт.05-11 520-740 /12/</t>
  </si>
  <si>
    <t>48474</t>
  </si>
  <si>
    <t>Фоторамка 10*15 см стекло 4 диз арт 520-595</t>
  </si>
  <si>
    <t>48439</t>
  </si>
  <si>
    <t>Фоторамка 13*18 см пластик арт.09-11 520-744 /12/</t>
  </si>
  <si>
    <t>48482</t>
  </si>
  <si>
    <t>Фоторамка 15*20 (24*19,5см) пластик 4 цвета арт 25-3</t>
  </si>
  <si>
    <t>48413</t>
  </si>
  <si>
    <t>Фоторамка 16,5*16 см сердечко пластик 424-023</t>
  </si>
  <si>
    <t>48462</t>
  </si>
  <si>
    <t>Фоторамка 16,5*22 см стекло зеркальная 520-513</t>
  </si>
  <si>
    <t>48492</t>
  </si>
  <si>
    <t>Фоторамка 21*24 см с пайетками и прищепками МДФ пластик ПВХ 520-545</t>
  </si>
  <si>
    <t>48455</t>
  </si>
  <si>
    <t>Фоторамка 30*21,5см А-4 пластик стекло 4цв. 520-384</t>
  </si>
  <si>
    <t>48450</t>
  </si>
  <si>
    <t>Фоторамка 39*19*2 см пластик на 3 фотографии 520-223</t>
  </si>
  <si>
    <t>48971</t>
  </si>
  <si>
    <t>Чехол-зонтик для пищи 30*30 см полиэстер 4 цвета 159-001 /12/</t>
  </si>
  <si>
    <t>48917</t>
  </si>
  <si>
    <t>Чехол-зонтик для пищи 35*35 см полиэстер 4 цвета 159-003</t>
  </si>
  <si>
    <t>48902</t>
  </si>
  <si>
    <t>Чехол-зонтик для пищи 40*40 см полиэстер 4 цвета 159-002 /12/</t>
  </si>
  <si>
    <t>485-499 Товары для уборки</t>
  </si>
  <si>
    <t>485 Щетки-Россия/Щетки-сметки</t>
  </si>
  <si>
    <t>48505</t>
  </si>
  <si>
    <t>Щетка д/пола 265мм пластмассовая, без черенка Акор "Бергамо" /48/</t>
  </si>
  <si>
    <t>48506</t>
  </si>
  <si>
    <t>Щетка д/пола 265мм пластмассовая, без черенка Акор "Парма" /40/</t>
  </si>
  <si>
    <t>47049</t>
  </si>
  <si>
    <t>Щетка д/пола 280мм деревянная, б/втул, без черенка Россия /52/</t>
  </si>
  <si>
    <t>47004</t>
  </si>
  <si>
    <t>Щетка д/пола 280мм деревянная, без черенка Россия /50/ 84615</t>
  </si>
  <si>
    <t>47029</t>
  </si>
  <si>
    <t>Щетка д/пола 280мм пластмассовая, без черенка Россия /50/ 84616</t>
  </si>
  <si>
    <t>47098</t>
  </si>
  <si>
    <t>Щетка д/пола 280мм пластмассовая, с черенком Россия /50/</t>
  </si>
  <si>
    <t>47050</t>
  </si>
  <si>
    <t>Щетка д/пола 320мм деревянная, без черенка Россия /40/</t>
  </si>
  <si>
    <t>49592</t>
  </si>
  <si>
    <t>Щетка д/пола 320мм деревянная, с металл держателем, без черенка Россия /40/</t>
  </si>
  <si>
    <t>49595</t>
  </si>
  <si>
    <t>Щетка д/пола 400мм деревянная, с металл держателем, без черенка Россия /10/</t>
  </si>
  <si>
    <t>49521</t>
  </si>
  <si>
    <t>Щетка палубная-полотерная 200мм дерев., без черенка Россия /60/</t>
  </si>
  <si>
    <t>47056</t>
  </si>
  <si>
    <t>Щетка палубная-полотерная 350мм дерев., без черенка Россия /35/</t>
  </si>
  <si>
    <t>49573</t>
  </si>
  <si>
    <t>Щетка-сметка 3-х рядная 280мм деревянная ручка Россия /200/ 84628</t>
  </si>
  <si>
    <t>47062</t>
  </si>
  <si>
    <t>Щетка-сметка 3-х рядная 320мм деревянная ручка Россия /200/ 84632</t>
  </si>
  <si>
    <t>89501</t>
  </si>
  <si>
    <t>Щетка-сметка М892 /26/</t>
  </si>
  <si>
    <t>486 Щетки для пола с совком/черенком</t>
  </si>
  <si>
    <t>48600</t>
  </si>
  <si>
    <t>Щетка д/пола BY с черенком полипропилен 445-402 /24/</t>
  </si>
  <si>
    <t>49510</t>
  </si>
  <si>
    <t>Щетка д/пола Альтернатива Комфорт с черенком жесткая М1162 /11/</t>
  </si>
  <si>
    <t>49596</t>
  </si>
  <si>
    <t>Щетка д/пола Альтернатива Комфорт с черенком жесткая М6458 /11/</t>
  </si>
  <si>
    <t>48625</t>
  </si>
  <si>
    <t>Щетка д/пола Альтернатива с черенком с короткой щетиной М6450 /22/</t>
  </si>
  <si>
    <t>48610</t>
  </si>
  <si>
    <t>Щетка д/пола ЕН с черенком 120см дерево 13518 /20/</t>
  </si>
  <si>
    <t>48601</t>
  </si>
  <si>
    <t>Щетка д/пола с черенком 120 см термопластичная резина 445-032 /12/</t>
  </si>
  <si>
    <t>49518</t>
  </si>
  <si>
    <t>Щетка д/улицы Альтернатива с черенком М6461 /20/</t>
  </si>
  <si>
    <t>48605</t>
  </si>
  <si>
    <t>Щетка-сметка+совок Альтернатива М893 /26/</t>
  </si>
  <si>
    <t>48611</t>
  </si>
  <si>
    <t>Щетка+совок д/пола EH 80*28см/76,5*24см /14204</t>
  </si>
  <si>
    <t>48622</t>
  </si>
  <si>
    <t>Щетка+совок д/пола EH стандарт 34*21*4см /14138</t>
  </si>
  <si>
    <t>48602</t>
  </si>
  <si>
    <t>Щетка+совок д/пола VETTA молоченый бамбук 445-404 /24/</t>
  </si>
  <si>
    <t>48657</t>
  </si>
  <si>
    <t>Щетка+совок д/пола VETTA с 2-мя ручками 445-031 /6/</t>
  </si>
  <si>
    <t>48608</t>
  </si>
  <si>
    <t>Щетка+совок д/пола VETTA с 2-мя ручками колор Ленивка 445-289 /10/</t>
  </si>
  <si>
    <t>48603</t>
  </si>
  <si>
    <t>Щетка+совок д/пола VETTA с длин. ручкой молоченый бамбук 445-405 /12/</t>
  </si>
  <si>
    <t>48604</t>
  </si>
  <si>
    <t>Щетка+совок д/пола VETTA с ручкой колор полипр. 2 диз 445-347 /12/</t>
  </si>
  <si>
    <t>48629</t>
  </si>
  <si>
    <t>Щетка+совок д/пола VETTA с ручкой колор Практик 2 цв. 445-366 /12/</t>
  </si>
  <si>
    <t>487 Термосалфетки</t>
  </si>
  <si>
    <t>48701</t>
  </si>
  <si>
    <t>Термосалфетка ассорт.60*100 №1 S-77752 золото /100/</t>
  </si>
  <si>
    <t>48705</t>
  </si>
  <si>
    <t>Термосалфетка ассорт.60*100 №2 S-77753 серебро /100/</t>
  </si>
  <si>
    <t>49604</t>
  </si>
  <si>
    <t>Термосалфетка двухсторонняя 80*120 см /150/</t>
  </si>
  <si>
    <t>488 Рожки для обуви</t>
  </si>
  <si>
    <t>48822</t>
  </si>
  <si>
    <t>Рожок д/обуви 250мм алюм.антик (П)</t>
  </si>
  <si>
    <t>48802</t>
  </si>
  <si>
    <t>Рожок д/обуви металл. 16 см 458-040 /10/</t>
  </si>
  <si>
    <t>48807</t>
  </si>
  <si>
    <t>Рожок д/обуви пластик. длинная 44*3*0,8 см 458-022 /10/</t>
  </si>
  <si>
    <t>49936</t>
  </si>
  <si>
    <t>Рожок д/обуви Фукс цветн. металл. 20 см 458-585 /10/</t>
  </si>
  <si>
    <t>47949</t>
  </si>
  <si>
    <t>Рожок д/обуви Фукс цветн. металл. 30 см 458-001 /10/</t>
  </si>
  <si>
    <t>48800</t>
  </si>
  <si>
    <t>Рожок д/обуви Фукс цветн. металл. 50 см 458-017 /10/</t>
  </si>
  <si>
    <t>49935</t>
  </si>
  <si>
    <t>Рожок д/обуви Фукс цветн. металл. 55 см с крючком 458-027 /10/</t>
  </si>
  <si>
    <t>48816</t>
  </si>
  <si>
    <t>Рожок д/обуви Эффектон 225мм пластм. /24/</t>
  </si>
  <si>
    <t>489 Прищепки</t>
  </si>
  <si>
    <t>49461</t>
  </si>
  <si>
    <t>Прищепки бельев. 12шт+веревка В гостях у сказки пласт. 453-100 /60/</t>
  </si>
  <si>
    <t>48911</t>
  </si>
  <si>
    <t>Прищепки бельев. 20шт LF75-13 /6/</t>
  </si>
  <si>
    <t>48913</t>
  </si>
  <si>
    <t>Прищепки бельев. 20шт LF75-68 /6/</t>
  </si>
  <si>
    <t>48910</t>
  </si>
  <si>
    <t>Прищепки бельев. 20шт бамбук 7,5 см FK22 /150/</t>
  </si>
  <si>
    <t>49415</t>
  </si>
  <si>
    <t>Прищепки бельев. 20шт пластик 3 цв 453-019 /6/</t>
  </si>
  <si>
    <t>47765</t>
  </si>
  <si>
    <t>Прищепки бельев. 20шт пластиковые 453-001 /12/</t>
  </si>
  <si>
    <t>49427</t>
  </si>
  <si>
    <t>Прищепки бельев. 4шт Кошки пластик 2 цвета 453-082 /10/80/</t>
  </si>
  <si>
    <t>49471</t>
  </si>
  <si>
    <t>Прищепки бельев. EH 24шт деревянные /13338</t>
  </si>
  <si>
    <t>49401</t>
  </si>
  <si>
    <t>Прищепки бельев. Vetta 12 шт пластик 2 диз. 453-086 /12/</t>
  </si>
  <si>
    <t>48923</t>
  </si>
  <si>
    <t>Прищепки бельев. Vetta 3 шт с крючком 453-111 /12/</t>
  </si>
  <si>
    <t>48908</t>
  </si>
  <si>
    <t>Прищепки бельев. Vetta 40шт пластик ПБ-020 453-106 /100/</t>
  </si>
  <si>
    <t>47775</t>
  </si>
  <si>
    <t>Прищепки бельев. Веселый роджер 12шт овал 453-010 /12/</t>
  </si>
  <si>
    <t>47783</t>
  </si>
  <si>
    <t>Прищепки бельев. Веселый роджер 12шт с силик держ. пластик 453-038 /12/</t>
  </si>
  <si>
    <t>48924</t>
  </si>
  <si>
    <t>Прищепки для полотенец и шторки Vetta 10 шт с кольцом на карниз 453-112 /12/</t>
  </si>
  <si>
    <t>48901</t>
  </si>
  <si>
    <t>Прищепки с петлей 5 шт металл пластик 5*1,5см 8465 /20/</t>
  </si>
  <si>
    <t>48914</t>
  </si>
  <si>
    <t>Прищепки с петлей 8 шт ХМ75-85 /12/</t>
  </si>
  <si>
    <t>46563</t>
  </si>
  <si>
    <t>Сушилка для белья подвесная Vetta 61*77 см для трикотажа 4 диз. 452-082 /100/</t>
  </si>
  <si>
    <t>44014</t>
  </si>
  <si>
    <t>Сушилка для белья подвесная квадрат с 16 прищепками пласт. 043 453-128 /5/</t>
  </si>
  <si>
    <t>49416</t>
  </si>
  <si>
    <t>Сушилка для белья подвесная круг с 12 прищепками Д23 см FL75-34 /6/</t>
  </si>
  <si>
    <t>49449</t>
  </si>
  <si>
    <t>Сушилка для белья подвесная овал с 12 прищепками 17x25см FL75-36 /6/</t>
  </si>
  <si>
    <t>49448</t>
  </si>
  <si>
    <t>Сушилка для белья подвесная овал с 8 прищепками 13x19 см FL75-35 /12/</t>
  </si>
  <si>
    <t>46510</t>
  </si>
  <si>
    <t>Сушилка для белья подвесная с 8 прищепками Д17 см FL75-33 /12/</t>
  </si>
  <si>
    <t>47844</t>
  </si>
  <si>
    <t>Сушилка для белья подвесная с 8 прищепками пласт. 041 453-127 /6/</t>
  </si>
  <si>
    <t>46509</t>
  </si>
  <si>
    <t>Сушилка для белья подвесная с крючками VL27-234</t>
  </si>
  <si>
    <t>49450</t>
  </si>
  <si>
    <t>Сушилка для белья подвесная Цветок с 8 прищепками d 16 см FL75-37 /12/</t>
  </si>
  <si>
    <t>491 Салфетки для уборки</t>
  </si>
  <si>
    <t>49179</t>
  </si>
  <si>
    <t>Салфетка д/уборки EH вискозная Lux 16*15 cм /14594</t>
  </si>
  <si>
    <t>49224</t>
  </si>
  <si>
    <t>Салфетка д/уборки EH микрофибра (двусторонняя) 17*23 см 9371</t>
  </si>
  <si>
    <t>49178</t>
  </si>
  <si>
    <t>Салфетка д/уборки EH микрофибра 30*30 см 14275 /20/</t>
  </si>
  <si>
    <t>49133</t>
  </si>
  <si>
    <t>Салфетка д/уборки NataM микрофибра 30*30 см бежевая /48/</t>
  </si>
  <si>
    <t>49126</t>
  </si>
  <si>
    <t>Салфетка д/уборки NataM микрофибра 30*30 см мятная /48/</t>
  </si>
  <si>
    <t>49198</t>
  </si>
  <si>
    <t>Салфетка д/уборки NataM микрофибра 30*30 см серая /48/</t>
  </si>
  <si>
    <t>49149</t>
  </si>
  <si>
    <t>Салфетка д/уборки NEW GALAXY микрофибра 35*30 см Sine 715-011 /10/</t>
  </si>
  <si>
    <t>49140</t>
  </si>
  <si>
    <t>Салфетка д/уборки NEW GALAXY микрофибра 35*40 см Sine 715-007 /10/</t>
  </si>
  <si>
    <t>49137</t>
  </si>
  <si>
    <t>Салфетка д/уборки Provance вафельная 75% хлопок 25% полиэстер 30*30см клетка 434-030 /25/</t>
  </si>
  <si>
    <t>49108</t>
  </si>
  <si>
    <t>Салфетка д/уборки Vetta бамбуковая 18*23см 5 цв 448-172 /12/</t>
  </si>
  <si>
    <t>49121</t>
  </si>
  <si>
    <t>Салфетка д/уборки Vetta бамбуковая 20*30см 4 цв 448-309 /480/</t>
  </si>
  <si>
    <t>49196</t>
  </si>
  <si>
    <t>Салфетка д/уборки Vetta для ванной комн 30 x30 см 4 цв 448-235 /12/</t>
  </si>
  <si>
    <t>47218</t>
  </si>
  <si>
    <t>Салфетка д/уборки Vetta микрофибра 30*30 см в линейку 448-080 /12/</t>
  </si>
  <si>
    <t>49143</t>
  </si>
  <si>
    <t>Салфетка д/уборки Vetta микрофибра 30*30 см вафельная, махровая 448-078 /12/</t>
  </si>
  <si>
    <t>49135</t>
  </si>
  <si>
    <t>Салфетка д/уборки Vetta микрофибра 30*30 см для сильн. загрязнений двойная с мет.сеткой 3 цв 448-189</t>
  </si>
  <si>
    <t>49151</t>
  </si>
  <si>
    <t>Салфетка д/уборки Vetta микрофибра 30*30 см для стекол и зеркал 250г/кв.м 448-229 /12/</t>
  </si>
  <si>
    <t>49274</t>
  </si>
  <si>
    <t>Салфетка д/уборки Vetta микрофибра 30*30 см для стекол и зеркал 3 цв 448-077 /12/</t>
  </si>
  <si>
    <t>49147</t>
  </si>
  <si>
    <t>Салфетка д/уборки Vetta микрофибра 30*30 см с абразив. вставкой, вафельн. махров. 448-270 /480/</t>
  </si>
  <si>
    <t>47211</t>
  </si>
  <si>
    <t>Салфетка д/уборки Vetta микрофибра 30*30 см эконом 3 цв 448-186 /25/</t>
  </si>
  <si>
    <t>40071</t>
  </si>
  <si>
    <t>Салфетка д/уборки Vetta микрофибра 30*40 см 3830 J махровая 448-076 /12/</t>
  </si>
  <si>
    <t>49103</t>
  </si>
  <si>
    <t>Салфетка д/уборки Vetta микрофибра 30*40 см длинный ворс 4 цв 448-171 /12/</t>
  </si>
  <si>
    <t>49185</t>
  </si>
  <si>
    <t>Салфетка д/уборки Vetta микрофибра 30*40 см для стекол и зеркал с бамб. волок. 300г/кв.м 448-230/12/</t>
  </si>
  <si>
    <t>49146</t>
  </si>
  <si>
    <t>Салфетка д/уборки Vetta микрофибра 40*40 см для мебели ультравпит. 4 цв. 448-239 /12/</t>
  </si>
  <si>
    <t>49162</t>
  </si>
  <si>
    <t>Салфетка д/уборки Vetta микрофибра универс. 30*30 см с абразив. вставкой 2 цв 448-271 /12/</t>
  </si>
  <si>
    <t>49125</t>
  </si>
  <si>
    <t>Салфетка д/уборки Vetta микрофибра универс. 30*30 см с узором 2 цв 48-272 /600/</t>
  </si>
  <si>
    <t>49158</t>
  </si>
  <si>
    <t>Салфетка д/уборки Vetta микрофибра универс. 30*40 см 4 диз 448-241 /12/</t>
  </si>
  <si>
    <t>49129</t>
  </si>
  <si>
    <t>Салфетка д/уборки Vetta микрофибра универс. 30*40 см махровая 448-190 /12/</t>
  </si>
  <si>
    <t>48915</t>
  </si>
  <si>
    <t>Салфетка д/уборки Vetta ПВА универс 30*30 см 3 цв 448-107 /12/</t>
  </si>
  <si>
    <t>47248</t>
  </si>
  <si>
    <t>Салфетка д/уборки бамбуковая универс. 30*30 см жестк. 5 слоев 448-196 /50/</t>
  </si>
  <si>
    <t>49107</t>
  </si>
  <si>
    <t>Салфетка д/уборки ЕН для стекол и зеркал 5794 /50/</t>
  </si>
  <si>
    <t>40087</t>
  </si>
  <si>
    <t>Салфетка д/уборки ЕН микрофибра 30*30 см 3593 /100/</t>
  </si>
  <si>
    <t>47320</t>
  </si>
  <si>
    <t>Салфетка д/уборки ЕН микрофибра 30*30 см для стекол и оптики 3595 /100/</t>
  </si>
  <si>
    <t>40099</t>
  </si>
  <si>
    <t>Салфетка д/уборки ЕН микрофибра 30*30 см с рисунком 7988 /100/</t>
  </si>
  <si>
    <t>40096</t>
  </si>
  <si>
    <t>Салфетка д/уборки ЕН микрофибра 30*30 см супервпитывающая 3594 /100/</t>
  </si>
  <si>
    <t>49014</t>
  </si>
  <si>
    <t>Салфетка д/уборки микрофибра 30*30 см для мониторов и оптики 200013 /200/</t>
  </si>
  <si>
    <t>49134</t>
  </si>
  <si>
    <t>Салфетка д/уборки микрофибра 30*40 см для сантехники 3 цв 448-072 /12/</t>
  </si>
  <si>
    <t>49109</t>
  </si>
  <si>
    <t>Салфетка д/уборки микрофибра Блеск 30*30 см для стекол и зеркал НК58-213 /10/</t>
  </si>
  <si>
    <t>49105</t>
  </si>
  <si>
    <t>Салфетка д/уборки микрофибра Люкс 200 30*30 см для мониторов и телевизоров НК58-214 /10/</t>
  </si>
  <si>
    <t>49199</t>
  </si>
  <si>
    <t>Салфетка д/уборки микрофибра универс. 30*30 см 448-225 /12/</t>
  </si>
  <si>
    <t>49608</t>
  </si>
  <si>
    <t>Салфетка д/уборки хлопок 25*25 см махровая 5 цв 434-082 /20/</t>
  </si>
  <si>
    <t>49195</t>
  </si>
  <si>
    <t>Салфетки д/уборки EH Lux вискозные 30*38 см 3 шт 13333 /50/</t>
  </si>
  <si>
    <t>49166</t>
  </si>
  <si>
    <t>Салфетки д/уборки EH вискозные 25*25 см желтые 30шт рулон 13332 /12/</t>
  </si>
  <si>
    <t>49104</t>
  </si>
  <si>
    <t>Салфетки д/уборки EH спанлейс 30*38 см черные 3 шт /30/</t>
  </si>
  <si>
    <t>49003</t>
  </si>
  <si>
    <t>Салфетки д/уборки House Lux вискозные универс. 20*25 см 220 шт рулон 448-268 /4/8/</t>
  </si>
  <si>
    <t>49116</t>
  </si>
  <si>
    <t>Салфетки д/уборки MirPack вискозные 3 шт /50/</t>
  </si>
  <si>
    <t>49117</t>
  </si>
  <si>
    <t>Салфетки д/уборки NataM бамбуковая универс. 25*30 см 25 шт рулон /16/</t>
  </si>
  <si>
    <t>49190</t>
  </si>
  <si>
    <t>Салфетки д/уборки NataM вискозные 20*40 см 30 шт голубые рулон /24/</t>
  </si>
  <si>
    <t>49183</t>
  </si>
  <si>
    <t>Салфетки д/уборки NEW GALAXY микрофибра 25*30/30*30/30*35 см 3шт 715-009 /10/</t>
  </si>
  <si>
    <t>49139</t>
  </si>
  <si>
    <t>Салфетки д/уборки NEW GALAXY микрофибра универс. 30*30 см 3 шт 715-005 /10/</t>
  </si>
  <si>
    <t>49012</t>
  </si>
  <si>
    <t>Салфетки д/уборки Vetta бамбуковая 25*30 см 30 шт рулон 448-302</t>
  </si>
  <si>
    <t>49115</t>
  </si>
  <si>
    <t>Салфетки д/уборки Vetta бамбуковая универс. 30*30 см 2 шт 448-310 /12/</t>
  </si>
  <si>
    <t>49010</t>
  </si>
  <si>
    <t>Салфетки д/уборки Vetta бамбуковая универс. 30*34 см герои 3 шт 448-299 /40/</t>
  </si>
  <si>
    <t>49154</t>
  </si>
  <si>
    <t>Салфетки д/уборки Vetta вискозные 23*30 см 30 шт рулон 3 цв. 448-117 /6/</t>
  </si>
  <si>
    <t>49168</t>
  </si>
  <si>
    <t>Салфетки д/уборки Vetta вискозные 25*30 см 50 шт рулон 3 цв. 448-118 /6/</t>
  </si>
  <si>
    <t>49156</t>
  </si>
  <si>
    <t>Салфетки д/уборки Vetta вискозные 30*38 см 3 шт 448-181 /45/</t>
  </si>
  <si>
    <t>49002</t>
  </si>
  <si>
    <t>Салфетки д/уборки Vetta вискозные универс. герои 100 шт рулон 448-265 /16/</t>
  </si>
  <si>
    <t>49007</t>
  </si>
  <si>
    <t>Салфетки д/уборки Vetta микрофибра 25*30 см для удаления сильных загрязнений 2 шт 448-232 /6/</t>
  </si>
  <si>
    <t>49004</t>
  </si>
  <si>
    <t>Салфетки д/уборки Vetta микрофибра 25*35 см для стекол и зеркал 2 шт 3 цв 448-228 /6/</t>
  </si>
  <si>
    <t>49150</t>
  </si>
  <si>
    <t>Салфетки д/уборки Vetta микрофибра 30*30 см 4 шт 4 цв 448-102 /6/</t>
  </si>
  <si>
    <t>49118</t>
  </si>
  <si>
    <t>Салфетки д/уборки Vetta микрофибра 30*30 см в полоску 4 шт 448-069 /6/</t>
  </si>
  <si>
    <t>49110</t>
  </si>
  <si>
    <t>Салфетки д/уборки Vetta микрофибра 30*35 см 6 шт 3 цв 448-009 /6/</t>
  </si>
  <si>
    <t>49009</t>
  </si>
  <si>
    <t>Салфетки д/уборки Vetta микрофибра 50*70/30*30 см 2 шт 448-274 /144/</t>
  </si>
  <si>
    <t>49145</t>
  </si>
  <si>
    <t>Салфетки д/уборки Vetta микрофибра универс. 25*25см 5 шт 448-321 /5/</t>
  </si>
  <si>
    <t>49184</t>
  </si>
  <si>
    <t>Салфетки д/уборки Vetta микрофибра универс. 25*30 см полоски 4шт 4 цв 448-224 /6/</t>
  </si>
  <si>
    <t>49176</t>
  </si>
  <si>
    <t>Салфетки д/уборки Vetta микрофибра универс. 25*35 см 220г/кв.м 2 шт 3 цв 448-221 /6/</t>
  </si>
  <si>
    <t>49187</t>
  </si>
  <si>
    <t>Салфетки д/уборки Vetta нетканый материал 33*38 см многофункцион. 3 цв. 448-157 /12/</t>
  </si>
  <si>
    <t>49005</t>
  </si>
  <si>
    <t>Салфетки д/уборки Vetta спанлейс 20*25 см 50 штук в рулоне 448-269 /20/</t>
  </si>
  <si>
    <t>49165</t>
  </si>
  <si>
    <t>Салфетки д/уборки Vetta спанлейс 20*25 см Колор 50 штук в рулоне 448-279 /20/</t>
  </si>
  <si>
    <t>49273</t>
  </si>
  <si>
    <t>Салфетки д/уборки Vetta целлюлоза 15*15 см 3 шт 448-182 /18/</t>
  </si>
  <si>
    <t>49160</t>
  </si>
  <si>
    <t>Салфетки д/уборки вискозные 30*26 см 3 шт 3 цв.448-204 /40/</t>
  </si>
  <si>
    <t>49188</t>
  </si>
  <si>
    <t>Салфетки д/уборки вискозные 30*38 см 6 шт 448-249 /25/</t>
  </si>
  <si>
    <t>49153</t>
  </si>
  <si>
    <t>Салфетки д/уборки вискозные 30*38 см перфорированная 10 шт 448-177 /10/50/</t>
  </si>
  <si>
    <t>49119</t>
  </si>
  <si>
    <t>Салфетки д/уборки вискозные универс. 20*30 см 10шт TH808 448-323 /24/</t>
  </si>
  <si>
    <t>49155</t>
  </si>
  <si>
    <t>Салфетки д/уборки ЕН абразивная для кухни 3 шт 13957 /60/</t>
  </si>
  <si>
    <t>49186</t>
  </si>
  <si>
    <t>Салфетки д/уборки ЕН бамбуковая 30*34 см 3 шт 14017 /30/</t>
  </si>
  <si>
    <t>49113</t>
  </si>
  <si>
    <t>Салфетки д/уборки ЕН вискозные 30*30 см с перфорацией 5 шт 11057 /30/</t>
  </si>
  <si>
    <t>47279</t>
  </si>
  <si>
    <t>Салфетки д/уборки ЕН вискозные 30*38 см 5 шт 3730 /35/</t>
  </si>
  <si>
    <t>49100</t>
  </si>
  <si>
    <t>Салфетки д/уборки ЕН вискозные универс. 25*25 см Клетка 40 шт рулон /14/</t>
  </si>
  <si>
    <t>49130</t>
  </si>
  <si>
    <t>Салфетки д/уборки ЕН вискозные универс. 25*30 см Волна 30 шт рулон /16/</t>
  </si>
  <si>
    <t>49136</t>
  </si>
  <si>
    <t>Салфетки д/уборки ЕН вискозные эконом 3 шт 5792 /80/</t>
  </si>
  <si>
    <t>49182</t>
  </si>
  <si>
    <t>Салфетки д/уборки ЕН нетканые рулон 70 шт /20/4967</t>
  </si>
  <si>
    <t>47319</t>
  </si>
  <si>
    <t>Салфетки д/уборки ЕН универс. 30*38 см 3 шт 3729 /50/</t>
  </si>
  <si>
    <t>49128</t>
  </si>
  <si>
    <t>Салфетки д/уборки микрофибра универс. 25*25 см 10шт TH809 448-324 /60/</t>
  </si>
  <si>
    <t>49181</t>
  </si>
  <si>
    <t>Салфетки д/уборки Смарт Эконом универс. 20*23 см 150 шт рулон 448-200 /12/</t>
  </si>
  <si>
    <t>49159</t>
  </si>
  <si>
    <t>Салфетки д/уборки Смарт Эконом универс. 20*23 см 35 шт рулон 448-201 /6/30/</t>
  </si>
  <si>
    <t>49174</t>
  </si>
  <si>
    <t>Салфетки д/уборки спанлейс универс. 23*25 см с рисунком волны герои 70 шт рулон 448-304 /20/</t>
  </si>
  <si>
    <t>49138</t>
  </si>
  <si>
    <t>Салфетки д/уборки Чистюля вискозные 23*20 см эспресс 100 шт рулон /16/</t>
  </si>
  <si>
    <t>49141</t>
  </si>
  <si>
    <t>Салфетки д/уборки Экономушка спанлейс 12*33 см рулон 448-320 /24/</t>
  </si>
  <si>
    <t>492 Губки для посуды/уборки</t>
  </si>
  <si>
    <t>49254</t>
  </si>
  <si>
    <t>Губка бытовая Domina /36/108/</t>
  </si>
  <si>
    <t>47160</t>
  </si>
  <si>
    <t>Губка д/посуды EH Веселый зоопарк с абразивным слоем 9*7,8*3,1 см порол.делик.абр. 7559 /5/</t>
  </si>
  <si>
    <t>47163</t>
  </si>
  <si>
    <t>Губка д/посуды EH Листик с абразивным слоем 11*10*3,5 см порол.делик.абр. 8380 /5/</t>
  </si>
  <si>
    <t>47158</t>
  </si>
  <si>
    <t>Губка д/посуды EH Торт с абразивным слоем 11*8,5*3,5 см порол.делик.абр. 7557 /5/</t>
  </si>
  <si>
    <t>49285</t>
  </si>
  <si>
    <t>Губка д/посуды Vetta поролон Д12 см 2 цв 441-150 /12/</t>
  </si>
  <si>
    <t>49212</t>
  </si>
  <si>
    <t>Губка д/посуды металлическая 8 гр 441-244</t>
  </si>
  <si>
    <t>49280</t>
  </si>
  <si>
    <t>Губка д/посуды металлическая Domina 27 гр</t>
  </si>
  <si>
    <t>49220</t>
  </si>
  <si>
    <t>Губка д/посуды металлическая ЕН Спираль п/п 7181 /10/</t>
  </si>
  <si>
    <t>49251</t>
  </si>
  <si>
    <t>Губка д/посуды металлическая с ручкой пластик 27 см /480/</t>
  </si>
  <si>
    <t>49214</t>
  </si>
  <si>
    <t>Губка д/уборки меламин 10*6*2 см VL58-3 /12/</t>
  </si>
  <si>
    <t>49235</t>
  </si>
  <si>
    <t>Губка д/уборки меламин 10*7*3,5 см цветная /500/</t>
  </si>
  <si>
    <t>47151</t>
  </si>
  <si>
    <t>Губка д/уборки меламин 9*6,0*3,0 см 441-049 /40/</t>
  </si>
  <si>
    <t>47107</t>
  </si>
  <si>
    <t>Губка д/уборки меламин 9*6*3 см розовая 441-107 /10/</t>
  </si>
  <si>
    <t>49257</t>
  </si>
  <si>
    <t>Губка д/уборки меламин Domina 10*7*35 см /30/</t>
  </si>
  <si>
    <t>47153</t>
  </si>
  <si>
    <t>Губка-мыльница д/кухни ПВХ 14*10 см 441-015 /10/</t>
  </si>
  <si>
    <t>49200</t>
  </si>
  <si>
    <t>Губки д/посуды 3 шт SR58-1 /12/</t>
  </si>
  <si>
    <t>49245</t>
  </si>
  <si>
    <t>Губки д/посуды Antibac 4 шт 10*5,2*4,5 cм 441-154 /14/</t>
  </si>
  <si>
    <t>47148</t>
  </si>
  <si>
    <t>Губки д/посуды Domina 10 шт Миди /40/</t>
  </si>
  <si>
    <t>47102</t>
  </si>
  <si>
    <t>Губки д/посуды Domina 10шт Макси /26/</t>
  </si>
  <si>
    <t>49240</t>
  </si>
  <si>
    <t>Губки д/посуды Domina 3 шт Цветочек /27/</t>
  </si>
  <si>
    <t>47146</t>
  </si>
  <si>
    <t>Губки д/посуды Domina 5 шт Макси /40/</t>
  </si>
  <si>
    <t>47135</t>
  </si>
  <si>
    <t>Губки д/посуды Domina 5 шт Миди /60/</t>
  </si>
  <si>
    <t>49371</t>
  </si>
  <si>
    <t>Губки д/посуды Domina 5 шт Профиль /40/</t>
  </si>
  <si>
    <t>49219</t>
  </si>
  <si>
    <t>Губки д/посуды EH 10 шт Макси с абразивным слоем 9068 /24/</t>
  </si>
  <si>
    <t>49258</t>
  </si>
  <si>
    <t>Губки д/посуды EH 10 шт Стандарт с абразивным слоем 3675 /60/</t>
  </si>
  <si>
    <t>49239</t>
  </si>
  <si>
    <t>Губки д/посуды EH 2 шт Профиль с абразивным слоем 3677 /60/</t>
  </si>
  <si>
    <t>47147</t>
  </si>
  <si>
    <t>Губки д/посуды EH 5 шт большие 9070 /50/</t>
  </si>
  <si>
    <t>49210</t>
  </si>
  <si>
    <t>Губки д/посуды EH 5 шт большие с образивным слоем 3676 /72/</t>
  </si>
  <si>
    <t>49247</t>
  </si>
  <si>
    <t>Губки д/посуды EH 5 шт Волна 9329 /50/</t>
  </si>
  <si>
    <t>49222</t>
  </si>
  <si>
    <t>Губки д/посуды EH 5 шт Комфорт 9069 /48/</t>
  </si>
  <si>
    <t>49271</t>
  </si>
  <si>
    <t>Губки д/посуды Grill 3 шт 9,8*6,3*4,6 cм 441-155</t>
  </si>
  <si>
    <t>49244</t>
  </si>
  <si>
    <t>Губки д/посуды Vetta 10 шт Премиум 9,6*6,5*2,5 см 441-083 /24/</t>
  </si>
  <si>
    <t>49241</t>
  </si>
  <si>
    <t>Губки д/посуды Vetta 10 шт Прима 8*5*5,5 см 441-081 /20/40/</t>
  </si>
  <si>
    <t>49232</t>
  </si>
  <si>
    <t>Губки д/посуды Vetta 2 шт Профи 8,5*6,5*4,3 см 441-085 /10/</t>
  </si>
  <si>
    <t>49211</t>
  </si>
  <si>
    <t>Губки д/посуды Vetta 2 шт Супер 9,5*6,5*3 см черные 441-045 /48/</t>
  </si>
  <si>
    <t>49275</t>
  </si>
  <si>
    <t>Губки д/посуды Vetta 4 шт 8*12 см золото-серебро 441-200 /12/</t>
  </si>
  <si>
    <t>49237</t>
  </si>
  <si>
    <t>Губки д/посуды Vetta 4 шт 8*12 см махров. поролон 4 цв 441-199 /12/</t>
  </si>
  <si>
    <t>49234</t>
  </si>
  <si>
    <t>Губки д/посуды Vetta 4 шт поролон Д11 см 441-147 /220/</t>
  </si>
  <si>
    <t>49297</t>
  </si>
  <si>
    <t>Губки д/посуды Vetta 5 шт Премиум 9,6*6,5*3 см 441-084 /36/</t>
  </si>
  <si>
    <t>49292</t>
  </si>
  <si>
    <t>Губки д/посуды Vetta 5 шт Прима 8*5*5,5 см 441-082 /20/</t>
  </si>
  <si>
    <t>49287</t>
  </si>
  <si>
    <t>Губки д/посуды Vetta 7 шт антибактериальные 7,5*4,5*2,5см 448-277 /30/</t>
  </si>
  <si>
    <t>49286</t>
  </si>
  <si>
    <t>Губки д/посуды Vetta 7 шт Эконом 9*6*3,5см 441-086 /12/24/</t>
  </si>
  <si>
    <t>49263</t>
  </si>
  <si>
    <t>Губки д/посуды Кухоньчик 2 шт 441-007 /12/</t>
  </si>
  <si>
    <t>49230</t>
  </si>
  <si>
    <t>Губки д/посуды металлическая 3 шт 15гр 441-017 /12/</t>
  </si>
  <si>
    <t>49270</t>
  </si>
  <si>
    <t>Губки д/посуды металлическая 3 шт 20гр 441-018 /12/</t>
  </si>
  <si>
    <t>49233</t>
  </si>
  <si>
    <t>Губки д/посуды металлическая 5 шт плетенка 20 гр 441-112 /10/</t>
  </si>
  <si>
    <t>49262</t>
  </si>
  <si>
    <t>Губки д/посуды металлическая c мылом 6 шт 60 гр 6,5*4,5 см 441-051 /10/</t>
  </si>
  <si>
    <t>49213</t>
  </si>
  <si>
    <t>Губки д/посуды металлическая Domina 2 шт 27 гр</t>
  </si>
  <si>
    <t>49209</t>
  </si>
  <si>
    <t>Губки д/посуды металлическая EH в сетке 10 шт д10 см 15 гр 11994 /100/</t>
  </si>
  <si>
    <t>49264</t>
  </si>
  <si>
    <t>Губки д/посуды металлическая в сетке 3 шт 13 гр</t>
  </si>
  <si>
    <t>49281</t>
  </si>
  <si>
    <t>Губки д/посуды металлическая в сетке 5 шт 13 гр</t>
  </si>
  <si>
    <t>49205</t>
  </si>
  <si>
    <t>Губки д/посуды металлическая ЕН 3 шт 7182 /10/60/</t>
  </si>
  <si>
    <t>47113</t>
  </si>
  <si>
    <t>Губки д/посуды металлическая ЕН c мылом 5 шт Лимон 4964 /12/24/</t>
  </si>
  <si>
    <t>40118</t>
  </si>
  <si>
    <t>Губки д/посуды металлическая ЕН c мылом 5 шт Роза 5115</t>
  </si>
  <si>
    <t>47111</t>
  </si>
  <si>
    <t>Губки д/посуды металлическая ЕН c мылом 5 шт Яблоко 5770</t>
  </si>
  <si>
    <t>47101</t>
  </si>
  <si>
    <t>Губки д/посуды металлическая ЕН Спираль 2 шт п/п 3599 /50/</t>
  </si>
  <si>
    <t>49216</t>
  </si>
  <si>
    <t>Губки д/посуды металлическая Спираль 4 шт 15 гр 441-111 /12/</t>
  </si>
  <si>
    <t>49236</t>
  </si>
  <si>
    <t>Губки д/посуды металлическая Супер люкс 3 шт 06.01 /125/</t>
  </si>
  <si>
    <t>47140</t>
  </si>
  <si>
    <t>Губки д/уборки меламин 10*7*3 см 3 шт /200/</t>
  </si>
  <si>
    <t>49253</t>
  </si>
  <si>
    <t>Щетка д/посуды EH 20*4*6 см 13467 /10/</t>
  </si>
  <si>
    <t>49296</t>
  </si>
  <si>
    <t>Щетка д/посуды полипр. 2 диз 441-102 /100/</t>
  </si>
  <si>
    <t>49208</t>
  </si>
  <si>
    <t>Щетка пластмасовая для мытья посуды фруктов и овощей VL58-296 /12/</t>
  </si>
  <si>
    <t>49250</t>
  </si>
  <si>
    <t>Щетка силиконовая для мытья посуды s-0726 /12/</t>
  </si>
  <si>
    <t>49201</t>
  </si>
  <si>
    <t>Щетка силиконовая для мытья посуды фруктов и овощей Вкусное яблоко VL58-16 /6/</t>
  </si>
  <si>
    <t>49229</t>
  </si>
  <si>
    <t>Щетка силиконовая для мытья посуды фруктов и овощей Волна VL58-10 /6/</t>
  </si>
  <si>
    <t>49243</t>
  </si>
  <si>
    <t>Щетка силиконовая для мытья посуды фруктов и овощей Волшебный цветок VL58-15 /6/</t>
  </si>
  <si>
    <t>49268</t>
  </si>
  <si>
    <t>Щетка силиконовая для мытья посуды фруктов и овощей Квадрат 11,5*11,5 /30/</t>
  </si>
  <si>
    <t>49246</t>
  </si>
  <si>
    <t>Щетка силиконовая для мытья посуды фруктов и овощей Круг VL58-9 /6/</t>
  </si>
  <si>
    <t>49272</t>
  </si>
  <si>
    <t>Щетка силиконовая для мытья посуды фруктов и овощей Круг Д11,5 /30/</t>
  </si>
  <si>
    <t>49227</t>
  </si>
  <si>
    <t>Щетка силиконовая для мытья посуды фруктов и овощей Цветок VL58-7 /6/</t>
  </si>
  <si>
    <t>49283</t>
  </si>
  <si>
    <t>Щетка силиконовая для мытья посуды фруктов и овощей Цветок Д12,5 /30/</t>
  </si>
  <si>
    <t>493 Тряпки для пола</t>
  </si>
  <si>
    <t>49364</t>
  </si>
  <si>
    <t>Тряпка д/пола вискозная VETTA 50*60 см 448-183</t>
  </si>
  <si>
    <t>49346</t>
  </si>
  <si>
    <t>Тряпка д/пола вискозная ЕН 50*60см 1 шт без уп. 3731 /50/</t>
  </si>
  <si>
    <t>49378</t>
  </si>
  <si>
    <t>Тряпка д/пола вискозная ЕН 50*60см 1 шт инд.уп. 3727 /50/</t>
  </si>
  <si>
    <t>49332</t>
  </si>
  <si>
    <t>Тряпка д/пола микрофибра 50*60 см HС58-55 /8/</t>
  </si>
  <si>
    <t>49373</t>
  </si>
  <si>
    <t>Тряпка д/пола микрофибра 50*60 см НК58-215 /10/60/</t>
  </si>
  <si>
    <t>49345</t>
  </si>
  <si>
    <t>Тряпка д/пола микрофибра 50*60 см Эконом 3 цв РС58-73 /8/</t>
  </si>
  <si>
    <t>47329</t>
  </si>
  <si>
    <t>Тряпка д/пола микрофибра 50*70 см 3 цв 448-206 /10/</t>
  </si>
  <si>
    <t>47300</t>
  </si>
  <si>
    <t>Тряпка д/пола микрофибра 50*70 см Клетка 4 цв. 448-141 /6/</t>
  </si>
  <si>
    <t>47326</t>
  </si>
  <si>
    <t>Тряпка д/пола микрофибра 50*70 см махровая 2118 448-142 /6/</t>
  </si>
  <si>
    <t>49303</t>
  </si>
  <si>
    <t>Тряпка д/пола микрофибра NataM 50*60 см бежевая /48/</t>
  </si>
  <si>
    <t>49302</t>
  </si>
  <si>
    <t>Тряпка д/пола микрофибра NataM 50*60 см мятный /48/</t>
  </si>
  <si>
    <t>49304</t>
  </si>
  <si>
    <t>Тряпка д/пола микрофибра NataM 50*60 см серая /48/</t>
  </si>
  <si>
    <t>47310</t>
  </si>
  <si>
    <t>Тряпка д/пола микрофибра VETTA 50*70 см в клетку 4 цв. 448-021 /12/</t>
  </si>
  <si>
    <t>47301</t>
  </si>
  <si>
    <t>Тряпка д/пола микрофибра VETTA 50*70 см махровая 3830 448-020 /12/</t>
  </si>
  <si>
    <t>47315</t>
  </si>
  <si>
    <t>Тряпка д/пола микрофибра ЕН 40*50 см 3596 /100/</t>
  </si>
  <si>
    <t>49330</t>
  </si>
  <si>
    <t>Тряпка д/пола микрофибра ЕН 50*60 см XL 9368 /10/</t>
  </si>
  <si>
    <t>49347</t>
  </si>
  <si>
    <t>Тряпка д/пола микрофибра ЕН 60*70 см Extra 9369 /10/</t>
  </si>
  <si>
    <t>49368</t>
  </si>
  <si>
    <t>Тряпка д/пола микрофибра Комфорт фактор 50*60 см 250г/м /60/</t>
  </si>
  <si>
    <t>49366</t>
  </si>
  <si>
    <t>Тряпка д/пола Профи 53*65см КВ62-3 /6/</t>
  </si>
  <si>
    <t>49342</t>
  </si>
  <si>
    <t>Тряпка д/пола Смарт 60*60 см Комботекс 448-243 /10/</t>
  </si>
  <si>
    <t>49301</t>
  </si>
  <si>
    <t>Тряпка д/пола х/б 50*60 см 448-203 /5/25/</t>
  </si>
  <si>
    <t>49343</t>
  </si>
  <si>
    <t>Тряпка д/пола х/б 50*75 см 448-184 /10/</t>
  </si>
  <si>
    <t>49367</t>
  </si>
  <si>
    <t>Тряпка д/пола х/б Domina 50*70 см /150/</t>
  </si>
  <si>
    <t>49365</t>
  </si>
  <si>
    <t>Тряпка д/пола х/б Domina 70*90 см /80/</t>
  </si>
  <si>
    <t>47304</t>
  </si>
  <si>
    <t>Тряпка д/пола ХПП 70*140см белая</t>
  </si>
  <si>
    <t>494 Товары по уходу за одеждой</t>
  </si>
  <si>
    <t>49485</t>
  </si>
  <si>
    <t>Мешок д/стирки белья 20*25см мелкая сетка 452-091 /10/</t>
  </si>
  <si>
    <t>49409</t>
  </si>
  <si>
    <t>Мешок д/стирки белья 30*40см белый 5886 /10/</t>
  </si>
  <si>
    <t>47745</t>
  </si>
  <si>
    <t>Мешок д/стирки белья 30*40см крупная сетка 452-090 /10/</t>
  </si>
  <si>
    <t>49445</t>
  </si>
  <si>
    <t>Мешок д/стирки белья 40*50см полиэстер 452-055 /10/</t>
  </si>
  <si>
    <t>47744</t>
  </si>
  <si>
    <t>Мешок д/стирки белья 50*60см полиэстер 452-056 /10/</t>
  </si>
  <si>
    <t>47743</t>
  </si>
  <si>
    <t>Мешок д/стирки белья и носков на замке 50*60см полиэстер 4 диз 452-017 /10/</t>
  </si>
  <si>
    <t>27230</t>
  </si>
  <si>
    <t>Мешок д/стирки бюстгалтеров 15*15*16см пластик полиэстер 4 диз 452-013 /10/</t>
  </si>
  <si>
    <t>47790</t>
  </si>
  <si>
    <t>Мешок д/стирки нижнего белья пластик 452-004 /10/</t>
  </si>
  <si>
    <t>49470</t>
  </si>
  <si>
    <t>Мяч д/стирки белья Эффект 6,5 см J87-105 /10/</t>
  </si>
  <si>
    <t>49459</t>
  </si>
  <si>
    <t>Мячи д/стирки белья ПВХ 6,5 см 2 шт 452-083 /12/</t>
  </si>
  <si>
    <t>49477</t>
  </si>
  <si>
    <t>Органайзер VETTA спанборт 32*32*12 см 5 секц. 2 диз 457-516 /48/</t>
  </si>
  <si>
    <t>48453</t>
  </si>
  <si>
    <t>Пакет для вакуумной упак. Vetta 60*80см с ароматом лаванды 457-037 /20/</t>
  </si>
  <si>
    <t>49472</t>
  </si>
  <si>
    <t>Пакет для вакуумной упак. с клап. Vetta 90*40*100 см 457-098 /10/</t>
  </si>
  <si>
    <t>48958</t>
  </si>
  <si>
    <t>Ролик д/чистки одежды 45 листов Mini HBR005B /288/</t>
  </si>
  <si>
    <t>49413</t>
  </si>
  <si>
    <t>Ролик д/чистки одежды 8 листов Эконом 454-005 /16/</t>
  </si>
  <si>
    <t>49412</t>
  </si>
  <si>
    <t>Ролик д/чистки одежды Domina 20 листов /12/</t>
  </si>
  <si>
    <t>49431</t>
  </si>
  <si>
    <t>Ролик д/чистки одежды Master Fresh 50 листов /16/</t>
  </si>
  <si>
    <t>49428</t>
  </si>
  <si>
    <t>Ролик д/чистки одежды VETTA 20 листов Эконом 454-002 /16/</t>
  </si>
  <si>
    <t>46006</t>
  </si>
  <si>
    <t>Ролик д/чистки одежды VETTA 30 листов складной 454-029</t>
  </si>
  <si>
    <t>49453</t>
  </si>
  <si>
    <t>Ролик д/чистки одежды ЕН 20 листов 4850 /5/100/</t>
  </si>
  <si>
    <t>49429</t>
  </si>
  <si>
    <t>Ролик д/чистки одежды универсальный многоразовый 454-003 /10/</t>
  </si>
  <si>
    <t>49411</t>
  </si>
  <si>
    <t>Ролик д/чистки одежды+1 блок Domina 20 листов /120/</t>
  </si>
  <si>
    <t>47708</t>
  </si>
  <si>
    <t>Ролик д/чистки одежды+2 блока VETTA 10 листов 54-001 /12/48/</t>
  </si>
  <si>
    <t>47709</t>
  </si>
  <si>
    <t>Ролик д/чистки одежды+2 блока VETTA 20 листов 454-025 /12/48/</t>
  </si>
  <si>
    <t>47719</t>
  </si>
  <si>
    <t>Ролик д/чистки одежды+2 блока ЕН 20 листов 4849 /5/100/</t>
  </si>
  <si>
    <t>49486</t>
  </si>
  <si>
    <t>Сетка для глажения 40*60мм 451-028 /10/</t>
  </si>
  <si>
    <t>47722</t>
  </si>
  <si>
    <t>Сетка для глажения 40*90мм /8648 /10/</t>
  </si>
  <si>
    <t>49444</t>
  </si>
  <si>
    <t>Сменные блоки д/чистки одежды Master Fresh 2 шт /24/</t>
  </si>
  <si>
    <t>49405</t>
  </si>
  <si>
    <t>Сменные блоки д/чистки одежды VETTA 2шт 20 листов 454-028 /12/</t>
  </si>
  <si>
    <t>49496</t>
  </si>
  <si>
    <t>Сменные блоки д/чистки одежды ЕН 2шт 20 листов 4851 /100/</t>
  </si>
  <si>
    <t>49414</t>
  </si>
  <si>
    <t>Сменный блок д/чистки одежды 8 листов 454-006 /40/</t>
  </si>
  <si>
    <t>49424</t>
  </si>
  <si>
    <t>Чехол д/одежды VETTA Peva 60*90см 2 диз 457-504 /6/</t>
  </si>
  <si>
    <t>49487</t>
  </si>
  <si>
    <t>Чехол д/одежды VETTA ПВХ 60*100см 457-309 /6/</t>
  </si>
  <si>
    <t>49493</t>
  </si>
  <si>
    <t>Чехол д/одежды VETTA ПВХ 60*137см 457-313 /6/</t>
  </si>
  <si>
    <t>49404</t>
  </si>
  <si>
    <t>Чехол д/одежды VETTA ПВХ 60*160см 457-314 /6/</t>
  </si>
  <si>
    <t>47756</t>
  </si>
  <si>
    <t>Чехол д/одежды VETTA ПЭ 60*137см 457-316 /12/</t>
  </si>
  <si>
    <t>47760</t>
  </si>
  <si>
    <t>Чехол д/одежды VETTA ПЭ 61*90 см эконом 457-315 /12/</t>
  </si>
  <si>
    <t>47772</t>
  </si>
  <si>
    <t>Чехол д/одежды VETTA спанборт 60*100 см Марки 457-328 /2/</t>
  </si>
  <si>
    <t>49440</t>
  </si>
  <si>
    <t>Чехол д/одежды VETTA спанборт 60*130 см бежевый 457-508 /30/</t>
  </si>
  <si>
    <t>49489</t>
  </si>
  <si>
    <t>Чехол д/одежды VETTA спанборт 60*137 см 457-318 /6/</t>
  </si>
  <si>
    <t>49490</t>
  </si>
  <si>
    <t>Чехол д/одежды VETTA спанборт 60*150 см 457-319 /6/</t>
  </si>
  <si>
    <t>49443</t>
  </si>
  <si>
    <t>Чехол д/одежды VETTA спанборт 60*90 см Гранат 457-90 /50/</t>
  </si>
  <si>
    <t>49467</t>
  </si>
  <si>
    <t>Чехол д/одежды VETTA спандонд 60*130 см Верона Пева 457-526 /24/</t>
  </si>
  <si>
    <t>49433</t>
  </si>
  <si>
    <t>Чехол д/одежды VETTA спандонд 60*130 см Винсент Пева 457-529 /12/</t>
  </si>
  <si>
    <t>49469</t>
  </si>
  <si>
    <t>Чехол д/одежды VETTA спандонд 60*80 см Винсент Пева 457-528 /192/</t>
  </si>
  <si>
    <t>49455</t>
  </si>
  <si>
    <t>Чехол д/одежды VETTA спандонд 60*90 см Элеганте Пева 457-500 /50/</t>
  </si>
  <si>
    <t>49473</t>
  </si>
  <si>
    <t>Чехол д/одежды спанборт 60*100 см 2 диз 457-573 /40/</t>
  </si>
  <si>
    <t>49439</t>
  </si>
  <si>
    <t>Чехолы д/одежды полиэтилен 60*150 см 3 шт 457-398 /10/</t>
  </si>
  <si>
    <t>495 Щетки для пола</t>
  </si>
  <si>
    <t>49517</t>
  </si>
  <si>
    <t>Щетка д/пола Vetta 50см пластик, нерж. сталь 3 цв. 445-140 /12/</t>
  </si>
  <si>
    <t>49506</t>
  </si>
  <si>
    <t>Щетка д/пола Vetta 95см разборная, пластик, нерж. сталь 3 цв. 445-116 /56/</t>
  </si>
  <si>
    <t>49571</t>
  </si>
  <si>
    <t>Щетка д/пола Vetta Бриз пласт. 24*6,5*7 см кор. ворс 2 цв. 445-369 /6/24/</t>
  </si>
  <si>
    <t>49516</t>
  </si>
  <si>
    <t>Щетка д/пола Альтернатива без черенка жесткая М811 /22/</t>
  </si>
  <si>
    <t>49523</t>
  </si>
  <si>
    <t>Щетка д/пола Альтернатива Комфорт жесткая М1161 /28/</t>
  </si>
  <si>
    <t>49507</t>
  </si>
  <si>
    <t>Щетка д/пола Альтернатива с короткой щетиной М1159 /20/</t>
  </si>
  <si>
    <t>47085</t>
  </si>
  <si>
    <t>Щетка д/улицы Альтернатива без черенка жесткая М932 /20/</t>
  </si>
  <si>
    <t>49504</t>
  </si>
  <si>
    <t>Щетка д/чистки ковров 16x10,5 см пластм. VL58-220 /6/</t>
  </si>
  <si>
    <t>49822</t>
  </si>
  <si>
    <t>Щетка д/чистки ковров 16x10,5 см с ручкой пластм. VL58-221 /6/</t>
  </si>
  <si>
    <t>49819</t>
  </si>
  <si>
    <t>Щетка д/чистки ковров Vetta 7x12,5 см пластм. 445-329 /5/</t>
  </si>
  <si>
    <t>49505</t>
  </si>
  <si>
    <t>Щетка-трансформер хозяйственная пластик 15,5 см 445-286 /10/</t>
  </si>
  <si>
    <t>496 Сервировочные коврики/Коврики для сушки посуды</t>
  </si>
  <si>
    <t>49607</t>
  </si>
  <si>
    <t>Коврик антибактериальный в холодильник 50*33 см МГ76-58 /5/50/</t>
  </si>
  <si>
    <t>49650</t>
  </si>
  <si>
    <t>Коврик для сушки посуды 30*45 см Вафелька VL87-113 /6/</t>
  </si>
  <si>
    <t>49665</t>
  </si>
  <si>
    <t>Коврик для сушки посуды 31*40 см FJ87-89 /6/60/</t>
  </si>
  <si>
    <t>49616</t>
  </si>
  <si>
    <t>Коврик для сушки посуды 38*50 см + 2 тряпки 40*48 и 30*30 см 485-149 /6/</t>
  </si>
  <si>
    <t>49173</t>
  </si>
  <si>
    <t>Коврик для сушки посуды вискоза 25*38 см 2цв. 485-075 /10/</t>
  </si>
  <si>
    <t>49618</t>
  </si>
  <si>
    <t>Коврик для сушки посуды микрофибра 30*40 2 диз 485-148 /12/</t>
  </si>
  <si>
    <t>49617</t>
  </si>
  <si>
    <t>Коврик для сушки посуды микрофибра 38-50 см Узор 4цв 2 диз 448-242 /6/</t>
  </si>
  <si>
    <t>49609</t>
  </si>
  <si>
    <t>Коврик для сушки посуды микрофибра 50*40 см 2 цв 485-077 /4/</t>
  </si>
  <si>
    <t>47214</t>
  </si>
  <si>
    <t>Коврик для сушки посуды микрофибра VETTA 38*50 см Клетка 448-066 /6/</t>
  </si>
  <si>
    <t>47213</t>
  </si>
  <si>
    <t>Коврик для сушки посуды микрофибра VETTA 38*50 см Узоры 4 цв. 448-065 /8/</t>
  </si>
  <si>
    <t>49606</t>
  </si>
  <si>
    <t>Коврик для сушки посуды силикон 30*22,5 см 3 цв 485-099 /2/</t>
  </si>
  <si>
    <t>49615</t>
  </si>
  <si>
    <t>Коврик для сушки посуды силикон 39*25 см 3 цв 485-108 /60/</t>
  </si>
  <si>
    <t>49652</t>
  </si>
  <si>
    <t>Коврик для сушки посуды универсальный 30*120 см в рулоне FJ87-85 /12/48/</t>
  </si>
  <si>
    <t>49654</t>
  </si>
  <si>
    <t>Коврик для сушки посуды универсальный 31*26 см FJ87-45 /12/</t>
  </si>
  <si>
    <t>49653</t>
  </si>
  <si>
    <t>Коврик для сушки посуды универсальный 31*40 см FJ87-84 /12/</t>
  </si>
  <si>
    <t>49623</t>
  </si>
  <si>
    <t>Коврик для сушки посуды универсальный овал FJ87-87 /12/</t>
  </si>
  <si>
    <t>49629</t>
  </si>
  <si>
    <t>Коврик для сушки посуды ЭВА 27*34 см серый 485-025 /60/</t>
  </si>
  <si>
    <t>49663</t>
  </si>
  <si>
    <t>Коврик для сушки посуды Эконом 30*40 см FJ87-91 /12/</t>
  </si>
  <si>
    <t>49621</t>
  </si>
  <si>
    <t>Салфетка ажурная ПВХ 30*45 см FL-1601 /12/</t>
  </si>
  <si>
    <t>49628</t>
  </si>
  <si>
    <t>Салфетка ажурная ПВХ 30*46 см LX-7039B-1/A /40/</t>
  </si>
  <si>
    <t>49624</t>
  </si>
  <si>
    <t>Салфетка ажурная ПВХ 30*46 см LX-7039B-1/B /40/</t>
  </si>
  <si>
    <t>49689</t>
  </si>
  <si>
    <t>Салфетка сервировочная ПВХ 30*45 см Винтаж 4 цв 890-327 /12/</t>
  </si>
  <si>
    <t>49613</t>
  </si>
  <si>
    <t>Салфетка сервировочная ПВХ 30*45 см Графика 4 цв 890-303 /12/</t>
  </si>
  <si>
    <t>49656</t>
  </si>
  <si>
    <t>Салфетка сервировочная ПВХ 30*45 см крупноплетеная 3 цв 890-308 /12/</t>
  </si>
  <si>
    <t>49683</t>
  </si>
  <si>
    <t>Салфетка сервировочная ПВХ 30*45 см Листья 890-205 /12/</t>
  </si>
  <si>
    <t>40925</t>
  </si>
  <si>
    <t>Салфетка сервировочная ПВХ 30*45 см Лотосы 3 цв 890-202 /12/</t>
  </si>
  <si>
    <t>49686</t>
  </si>
  <si>
    <t>Салфетка сервировочная ПВХ 30*45 см Меню 2 цв 890-323</t>
  </si>
  <si>
    <t>49688</t>
  </si>
  <si>
    <t>Салфетка сервировочная ПВХ 30*45 см Мечта 4 цв 890-325 /12/</t>
  </si>
  <si>
    <t>49675</t>
  </si>
  <si>
    <t>Салфетка сервировочная ПВХ 30*45 см Полет бабочки 2 цв 890-203 /12/</t>
  </si>
  <si>
    <t>49625</t>
  </si>
  <si>
    <t>Салфетка сервировочная ПВХ 30*45 см Стиль 890-287</t>
  </si>
  <si>
    <t>40922</t>
  </si>
  <si>
    <t>Салфетка сервировочная ПВХ 30*45 см Узор красный 890-288 /12/</t>
  </si>
  <si>
    <t>49687</t>
  </si>
  <si>
    <t>Салфетка сервировочная ПВХ 30*45 см Узоры 4 цв 890-324 /12/</t>
  </si>
  <si>
    <t>49626</t>
  </si>
  <si>
    <t>Салфетка сервировочная ПВХ 30*45 см Уют 890-328</t>
  </si>
  <si>
    <t>49655</t>
  </si>
  <si>
    <t>Салфетка сервировочная ПВХ 38 см крупноплетеная 3 цв 890-024 /12/</t>
  </si>
  <si>
    <t>49611</t>
  </si>
  <si>
    <t>Салфетка сервировочная полипропилен 43*28 см 6 диз 890-012 /24/</t>
  </si>
  <si>
    <t>58529</t>
  </si>
  <si>
    <t>Салфетки сервировочные 6шт 43*28 см + подстки под чашки 6шт 9,5*9,5см ЕН Звезда 8449 /3/</t>
  </si>
  <si>
    <t>40931</t>
  </si>
  <si>
    <t>Термопленка пасхальная Ангелочки /100/</t>
  </si>
  <si>
    <t>497 Щетки для обуви/одежды/рук</t>
  </si>
  <si>
    <t>47043</t>
  </si>
  <si>
    <t>Щетка Альтернатива гибкая жесткая М1265 /32/</t>
  </si>
  <si>
    <t>80178</t>
  </si>
  <si>
    <t>Щетка бамбуковая</t>
  </si>
  <si>
    <t>47037</t>
  </si>
  <si>
    <t>Щетка гибкая Vetta 445-290 /12/</t>
  </si>
  <si>
    <t>47053</t>
  </si>
  <si>
    <t>Щетка д/мытья ванн Россия /50/</t>
  </si>
  <si>
    <t>47016</t>
  </si>
  <si>
    <t>Щетка д/обуви Galante иск. ворс 202 458-013 /12/</t>
  </si>
  <si>
    <t>47013</t>
  </si>
  <si>
    <t>Щетка д/обуви Galante иск. ворс 408 458-018 /10/</t>
  </si>
  <si>
    <t>49707</t>
  </si>
  <si>
    <t>Щетка д/обуви Galante светлый ворс 13*4*2 см 312 458-003 /12/</t>
  </si>
  <si>
    <t>47051</t>
  </si>
  <si>
    <t>Щетка д/обуви дерев. Россия /84/</t>
  </si>
  <si>
    <t>49702</t>
  </si>
  <si>
    <t>Щетка д/обуви иск. ворс 15*4,5*2 см 458-026 /12/</t>
  </si>
  <si>
    <t>49742</t>
  </si>
  <si>
    <t>Щетка д/обуви иск. ворс 16*4,5*1,5 см 458-010 /12/</t>
  </si>
  <si>
    <t>47069</t>
  </si>
  <si>
    <t>Щетка д/обуви с ручкой 18*3,5*1,5 см 803 458-008 /17/</t>
  </si>
  <si>
    <t>47097</t>
  </si>
  <si>
    <t>Щетка д/обуви тройная для замши и нубука осн.уход пластик ПВХ мет. 458-037 /6/</t>
  </si>
  <si>
    <t>47064</t>
  </si>
  <si>
    <t>Щетка д/одежды Альтернатива М801 /30/</t>
  </si>
  <si>
    <t>47030</t>
  </si>
  <si>
    <t>Щетка д/одежды Альтернатива овальная (мягкая) М2327 /28/</t>
  </si>
  <si>
    <t>49722</t>
  </si>
  <si>
    <t>Щетка д/одежды Альтернатива Утюжок М898 /36/</t>
  </si>
  <si>
    <t>49711</t>
  </si>
  <si>
    <t>Щетка д/одежды дерев. прямоуг. с мал ручкой 22,4*4,7*1,5 см 458-004</t>
  </si>
  <si>
    <t>47052</t>
  </si>
  <si>
    <t>Щетка д/одежды дерев. Россия /81/</t>
  </si>
  <si>
    <t>47093</t>
  </si>
  <si>
    <t>Щетка д/одежды и обуви с ручкой, белая щет. 17*2,5 см 458-029 /12/</t>
  </si>
  <si>
    <t>47060</t>
  </si>
  <si>
    <t>Щетка д/одежды черно-бел ворс ПВС 16*4,5*2 см 458-016 /10/</t>
  </si>
  <si>
    <t>80849</t>
  </si>
  <si>
    <t>Щетка д/посуды валик 013</t>
  </si>
  <si>
    <t>49720</t>
  </si>
  <si>
    <t>Щетка д/рук Альтернатива М1283 /50/</t>
  </si>
  <si>
    <t>49734</t>
  </si>
  <si>
    <t>Щетка д/рук Альтернатива Элит жесткая М4682 /40/</t>
  </si>
  <si>
    <t>49732</t>
  </si>
  <si>
    <t>Щетка д/рук и ногтей 6*1,3*3,7 см 2 шт 3 цв 305-249 /12/</t>
  </si>
  <si>
    <t>49713</t>
  </si>
  <si>
    <t>Щетка д/рук и ногтей ЕН 8,2*2,6*4см 14365 /100/</t>
  </si>
  <si>
    <t>49735</t>
  </si>
  <si>
    <t>Щетка д/чистки оконных проемов 445-381 /12/</t>
  </si>
  <si>
    <t>49726</t>
  </si>
  <si>
    <t>Щетка д/чистки оконных проемов Альтернатива М6340 /50/</t>
  </si>
  <si>
    <t>80850</t>
  </si>
  <si>
    <t>Щетка рожок 1138</t>
  </si>
  <si>
    <t>49705</t>
  </si>
  <si>
    <t>Щетка универсальная 15,5 см 445-080 /2/48/</t>
  </si>
  <si>
    <t>49706</t>
  </si>
  <si>
    <t>Щетка универсальная 9 см пластик 2 цв 445-134 /180/</t>
  </si>
  <si>
    <t>49736</t>
  </si>
  <si>
    <t>Щетка универсальная Vetta 20*3,8 см пластик 4 цв 445-373 /12/</t>
  </si>
  <si>
    <t>49737</t>
  </si>
  <si>
    <t>Щетка универсальная тонкая 17,5*4 см пластик 445-383 /6/</t>
  </si>
  <si>
    <t>49728</t>
  </si>
  <si>
    <t>Щетка универсальная тонкая 25*3,5 см пластик 445-382 /6/</t>
  </si>
  <si>
    <t>49710</t>
  </si>
  <si>
    <t>Щетка утюжок BY полипропилен 445-398 /48/</t>
  </si>
  <si>
    <t>49740</t>
  </si>
  <si>
    <t>Щетка утюжок EH 11*4см 14205</t>
  </si>
  <si>
    <t>49741</t>
  </si>
  <si>
    <t>Щетка утюжок EH 14*6,5*2,5см 14206</t>
  </si>
  <si>
    <t>49739</t>
  </si>
  <si>
    <t>Щетка утюжок EH 14*8*3,2см 13464</t>
  </si>
  <si>
    <t>49703</t>
  </si>
  <si>
    <t>Щетка утюжок Vetta 14см хозяйствен. пластик 3 цв 445-074 /10/</t>
  </si>
  <si>
    <t>49721</t>
  </si>
  <si>
    <t>Щетка утюжок Vetta полипропилен Весенние цветы 445-388</t>
  </si>
  <si>
    <t>47038</t>
  </si>
  <si>
    <t>Щетка утюжок Vetta полипропилен Синяя роза 445-361 /24/</t>
  </si>
  <si>
    <t>47046</t>
  </si>
  <si>
    <t>Щетка утюжок пластик 12 см 445-284 /12/</t>
  </si>
  <si>
    <t>47091</t>
  </si>
  <si>
    <t>Щетка утюжок пластик 12,5 см Эконом NP-2127 445-319 /12/</t>
  </si>
  <si>
    <t>47032</t>
  </si>
  <si>
    <t>Щетка утюжок пластик 13,5 см 445-283 /12/</t>
  </si>
  <si>
    <t>47067</t>
  </si>
  <si>
    <t>Щетка утюжок пластик 16 см 445-285 /12/</t>
  </si>
  <si>
    <t>49708</t>
  </si>
  <si>
    <t>Щетка утюжок пластик 20 см 445-375 /12/</t>
  </si>
  <si>
    <t>47080</t>
  </si>
  <si>
    <t>Щетка утюжок пластик 9 см Миди 445-292 /12/</t>
  </si>
  <si>
    <t>498 Ручки для щеток</t>
  </si>
  <si>
    <t>18814</t>
  </si>
  <si>
    <t>Ручка д/щетки 117см резьба усиленная 445-035 /10/100/</t>
  </si>
  <si>
    <t>49808</t>
  </si>
  <si>
    <t>Ручка д/щетки VETTA 120см Д2,1 см окрашенная сталь 4 цв 444-329 /10/</t>
  </si>
  <si>
    <t>49815</t>
  </si>
  <si>
    <t>Ручка д/щетки VETTA 120см Д2,2 см дер. в пленке разноцветный еврорезьба 4 цв 444-328 /10/50/</t>
  </si>
  <si>
    <t>18309</t>
  </si>
  <si>
    <t>Ручка д/щетки VETTA 120см Д2,2 см дер. в пленке с принтом еврорезьба 4 цв 444-327 /10/50/</t>
  </si>
  <si>
    <t>49530</t>
  </si>
  <si>
    <t>Ручка д/щетки Альтернатива М812 /22/</t>
  </si>
  <si>
    <t>49529</t>
  </si>
  <si>
    <t>Ручка д/щетки Альтернатива усиленный М1039 /22/</t>
  </si>
  <si>
    <t>499 Товары по уходу обувью</t>
  </si>
  <si>
    <t>49951</t>
  </si>
  <si>
    <t>Воск д/обуви Штрих 80 мл бесцветный /12/</t>
  </si>
  <si>
    <t>49971</t>
  </si>
  <si>
    <t>Воск д/обуви Эффектон 45 мл бесцветный 459-076 /12/48/</t>
  </si>
  <si>
    <t>49907</t>
  </si>
  <si>
    <t>Воск д/обуви Эффектон 45 мл черный 459-077 /24/48/</t>
  </si>
  <si>
    <t>49918</t>
  </si>
  <si>
    <t>Губка для обуви Silver узкая, бесцветная PS2001-03 459-107 /6/48/</t>
  </si>
  <si>
    <t>49916</t>
  </si>
  <si>
    <t>Губка для обуви Silver узкая, черная PS2001-01 459-106 /6/48/</t>
  </si>
  <si>
    <t>49944</t>
  </si>
  <si>
    <t>Губка для обуви АМФИ черная 728-007 /25/</t>
  </si>
  <si>
    <t>49986</t>
  </si>
  <si>
    <t>Губка для обуви Блеск с краской бесцветная /12/</t>
  </si>
  <si>
    <t>49945</t>
  </si>
  <si>
    <t>Губка для обуви Дивидик классик бесцветная /40/</t>
  </si>
  <si>
    <t>49917</t>
  </si>
  <si>
    <t>Губка для обуви Дивидик плюс черная 459-108 /10/40/</t>
  </si>
  <si>
    <t>47926</t>
  </si>
  <si>
    <t>Губка для обуви Фукс силиконовая для блеска 459-007 /30/</t>
  </si>
  <si>
    <t>46025</t>
  </si>
  <si>
    <t>Губка для обуви Фукс силиконовая для блеска мини черная 459-422 /7/</t>
  </si>
  <si>
    <t>47931</t>
  </si>
  <si>
    <t>Губка для обуви Фукс силиконовая для блеска черная 459-002 /30/</t>
  </si>
  <si>
    <t>47936</t>
  </si>
  <si>
    <t>Губка для обуви Эфектон компакт бесцветная /12/</t>
  </si>
  <si>
    <t>46022</t>
  </si>
  <si>
    <t>Губка для обуви Эфектон компакт черная /12/</t>
  </si>
  <si>
    <t>49991</t>
  </si>
  <si>
    <t>Губка для обуви Эффектон мгновен. блеск 45 г бесцветная /12/</t>
  </si>
  <si>
    <t>49990</t>
  </si>
  <si>
    <t>Губка для обуви Эффектон мгновен. блеск 45 г черная /12/</t>
  </si>
  <si>
    <t>49921</t>
  </si>
  <si>
    <t>Губка-блеск для обуви Silver с дозатором, силик/антистат, 6мл, бесцветная 459-111 /6/48/</t>
  </si>
  <si>
    <t>49920</t>
  </si>
  <si>
    <t>Губка-блеск для обуви Silver с дозатором, силик/антистат, 6мл, черная 459-110 /6/48/</t>
  </si>
  <si>
    <t>49994</t>
  </si>
  <si>
    <t>Губка-очиститель для обуви Silver 50 мл универс. 459-125 /6/48/</t>
  </si>
  <si>
    <t>49954</t>
  </si>
  <si>
    <t>Дезодорант для обуви антибактериальный 100мл Алоэ 459-093 /6/</t>
  </si>
  <si>
    <t>49926</t>
  </si>
  <si>
    <t>Дезодорант для обуви антибактериальный 153мл Футон /24/</t>
  </si>
  <si>
    <t>49941</t>
  </si>
  <si>
    <t>Краска д/обуви Штрих 75 мл для белой кожи и подошвы /12/</t>
  </si>
  <si>
    <t>49947</t>
  </si>
  <si>
    <t>Краска-аэрозоль д/замши, нубука, велюра Штрих 250 мл черная /6/12/</t>
  </si>
  <si>
    <t>49960</t>
  </si>
  <si>
    <t>Краска-аэрозоль д/кожи Штрих 250 мл черная /6/12/</t>
  </si>
  <si>
    <t>49932</t>
  </si>
  <si>
    <t>Краска-аэрозоль д/обуви Дивидик для гладкой кожи 250 мл черная 459-120 /6/</t>
  </si>
  <si>
    <t>49901</t>
  </si>
  <si>
    <t>Крем д/обуви Silver 50 мл черный железн. банка 459-139 /12/</t>
  </si>
  <si>
    <t>47952</t>
  </si>
  <si>
    <t>Крем д/обуви Штрих 50 мл Основной уход губка/банка бесцветный</t>
  </si>
  <si>
    <t>49942</t>
  </si>
  <si>
    <t>Крем д/обуви Штрих 60 мл губка/банка коричневый /12/</t>
  </si>
  <si>
    <t>49925</t>
  </si>
  <si>
    <t>Крем д/обуви Штрих 60 мл губка/банка черный /12/</t>
  </si>
  <si>
    <t>47940</t>
  </si>
  <si>
    <t>Крем д/обуви Эффектон 50мл губка/банка люкс коричневый /16/</t>
  </si>
  <si>
    <t>49964</t>
  </si>
  <si>
    <t>Крем д/обуви Эффектон 50мл губка/банка люкс черный /16/48/</t>
  </si>
  <si>
    <t>47946</t>
  </si>
  <si>
    <t>Крем д/обуви Эффектон Макси 100мл коричневый /12/</t>
  </si>
  <si>
    <t>49969</t>
  </si>
  <si>
    <t>Крем д/обуви Эффектон Макси 100мл черный /12/</t>
  </si>
  <si>
    <t>47962</t>
  </si>
  <si>
    <t>Крем д/обуви Эффектон Миди 45 г черный 459-097 /48/</t>
  </si>
  <si>
    <t>47919</t>
  </si>
  <si>
    <t>Крем-блеск д/обуви Salton 50 мл для гладкой кожи с апликатором /12/</t>
  </si>
  <si>
    <t>49993</t>
  </si>
  <si>
    <t>Крем-блеск д/обуви Silver 50 мл с винтовым механизмом черный 459-113 /6/48/</t>
  </si>
  <si>
    <t>49975</t>
  </si>
  <si>
    <t>Крем-блеск д/обуви Silver 50 мл черный пл.банка 459-112 /12/48/</t>
  </si>
  <si>
    <t>49929</t>
  </si>
  <si>
    <t>Крем-краска д/обуви замш, нубук, велюр 180мл бесцветный 459-092 /6/</t>
  </si>
  <si>
    <t>49928</t>
  </si>
  <si>
    <t>Крем-краска д/обуви замш, нубук, велюр 180мл коричневый 459-091 /6/</t>
  </si>
  <si>
    <t>49902</t>
  </si>
  <si>
    <t>Крем-краска д/обуви замш, нубук, велюр 180мл черный 459-090 /6/</t>
  </si>
  <si>
    <t>49922</t>
  </si>
  <si>
    <t>Крем-краска д/обуви кожа с губкой 75мл бесцветный 459-085 /6/</t>
  </si>
  <si>
    <t>49924</t>
  </si>
  <si>
    <t>Крем-краска д/обуви кожа с губкой 75мл черный 459-089 /6/</t>
  </si>
  <si>
    <t>49966</t>
  </si>
  <si>
    <t>Набор для ухода за обувью</t>
  </si>
  <si>
    <t>49997</t>
  </si>
  <si>
    <t>Пена-очиститель д/обуви Дивидик 125 мл /6/12/</t>
  </si>
  <si>
    <t>49961</t>
  </si>
  <si>
    <t>Пена-очиститель д/обуви Штрих 150 мл /6/12/</t>
  </si>
  <si>
    <t>49937</t>
  </si>
  <si>
    <t>Подушечки для обуви Egoist от излишней нагрузки и мозолей 2 шт W-712 459-097 /10/</t>
  </si>
  <si>
    <t>49995</t>
  </si>
  <si>
    <t>Пропитка д/обуви Футон 230мл водоотталкивающая 52-165</t>
  </si>
  <si>
    <t>49946</t>
  </si>
  <si>
    <t>Пропитка д/обуви Штрих 250мл водоотталкивающая Универсальная /12/</t>
  </si>
  <si>
    <t>49933</t>
  </si>
  <si>
    <t>Салфетки д/обуви House Lux влаж 15шт. 459-122 /18/36/</t>
  </si>
  <si>
    <t>47911</t>
  </si>
  <si>
    <t>Спрей д/обуви Silver 250 мл универсальный водоотталкивающий 459-115 /12/</t>
  </si>
  <si>
    <t>49952</t>
  </si>
  <si>
    <t>Стельки для обуви /10/</t>
  </si>
  <si>
    <t>49934</t>
  </si>
  <si>
    <t>Стельки для обуви Egoist гелевые женс смягчающие ТЭП 28*9см 459-096 /10/</t>
  </si>
  <si>
    <t>49915</t>
  </si>
  <si>
    <t>Стельки для обуви Egoist гелевые мужс смягчающие ТЭП 31,5*9,5см 459-095 /10/</t>
  </si>
  <si>
    <t>47938</t>
  </si>
  <si>
    <t>Стельки для обуви Egoist зимние влаговпитывающие р.36-46 459-035 /12/</t>
  </si>
  <si>
    <t>49958</t>
  </si>
  <si>
    <t>Стельки для обуви антибактериальные, универсальные, хлопок, латекс. р-р 35-46 459-130 /8/</t>
  </si>
  <si>
    <t>49983</t>
  </si>
  <si>
    <t>Стельки для обуви войлок иск. №1 /10/</t>
  </si>
  <si>
    <t>49949</t>
  </si>
  <si>
    <t>Стельки для обуви войлок иск. с фольгой №4 /10/</t>
  </si>
  <si>
    <t>47958</t>
  </si>
  <si>
    <t>Стельки для обуви войлок иск. с фольгой №5 тонкая /10/</t>
  </si>
  <si>
    <t>47758</t>
  </si>
  <si>
    <t>Стельки для обуви детские латекс с тканью р.26-33 459-040 /12/</t>
  </si>
  <si>
    <t>49940</t>
  </si>
  <si>
    <t>Стельки для обуви для профилактики плоскостоп. 2шт 459-101 /10/</t>
  </si>
  <si>
    <t>49900</t>
  </si>
  <si>
    <t>Стельки для обуви из натуральной пробки и махров. ткани 459-131 /8/</t>
  </si>
  <si>
    <t>49982</t>
  </si>
  <si>
    <t>Стельки для обуви из натуральной пробки и свеж. кожи 459-132 /8/</t>
  </si>
  <si>
    <t>49981</t>
  </si>
  <si>
    <t>Стельки для обуви из натуральной св. кожи латексная пена с активированным углем 459-133 /8/</t>
  </si>
  <si>
    <t>49950</t>
  </si>
  <si>
    <t>Стельки для обуви кожа №8 /10/</t>
  </si>
  <si>
    <t>47941</t>
  </si>
  <si>
    <t>Стельки для обуви комфорт р.36-46 459-031 /12/</t>
  </si>
  <si>
    <t>49984</t>
  </si>
  <si>
    <t>Стельки для обуви овчина иск. №2 /10/</t>
  </si>
  <si>
    <t>49985</t>
  </si>
  <si>
    <t>Стельки для обуви овчина иск. с фольгой №3 размер 36 /10/</t>
  </si>
  <si>
    <t>49914</t>
  </si>
  <si>
    <t>Стельки для обуви с антибактер. эффектом ss-ss141 459-033 /12/</t>
  </si>
  <si>
    <t>49943</t>
  </si>
  <si>
    <t>Стельки для обуви самонагревающиеся размер 23*7см соль 312-399 /10/</t>
  </si>
  <si>
    <t>49998</t>
  </si>
  <si>
    <t>Стельки для обуви термо с фольгой 459-037 /12/</t>
  </si>
  <si>
    <t>49927</t>
  </si>
  <si>
    <t>Стельки для обуви универсальные с антибактериальной пропиткой двухслойные 459-163 /12/</t>
  </si>
  <si>
    <t>49930</t>
  </si>
  <si>
    <t>Стельки для обуви универсальные с углем двухслойные 459-164 /12/</t>
  </si>
  <si>
    <t>49957</t>
  </si>
  <si>
    <t>Стельки для обуви универсальные, антибактериальные, хлопок, латекс р-р. 35-46 459-129 /8/</t>
  </si>
  <si>
    <t>49913</t>
  </si>
  <si>
    <t>Шнурки для кроссовок 4 пары черн/бел полиэстер 85 см 308-067</t>
  </si>
  <si>
    <t>49905</t>
  </si>
  <si>
    <t>Шнурки для обуви 2 пары бежевые кругл. 1 м Классические</t>
  </si>
  <si>
    <t>49903</t>
  </si>
  <si>
    <t>Шнурки для обуви 2 пары белые кругл. 1 м Классические</t>
  </si>
  <si>
    <t>49906</t>
  </si>
  <si>
    <t>Шнурки для обуви 2 пары белые плоск. 1,1 м Селфи</t>
  </si>
  <si>
    <t>49911</t>
  </si>
  <si>
    <t>Шнурки для обуви 6 пар разноцв. 1 м 459-074 /12/</t>
  </si>
  <si>
    <t>49908</t>
  </si>
  <si>
    <t>Шнурки для обуви 6 пар черные белые коричн. 1 м 459-073 /12/</t>
  </si>
  <si>
    <t>500-502 Товары для авто</t>
  </si>
  <si>
    <t>500 Канистры для ГСМ</t>
  </si>
  <si>
    <t>50006</t>
  </si>
  <si>
    <t>Канистра STELS для ГСМ вертикальная, 20 л., пластиковая, усиленная 53127</t>
  </si>
  <si>
    <t>50001</t>
  </si>
  <si>
    <t>Канистра STELS для ГСМ вертикальная, 5 л., пластиковая, усиленная 53124</t>
  </si>
  <si>
    <t>501 Товары для уборки авто</t>
  </si>
  <si>
    <t>50117</t>
  </si>
  <si>
    <t>Бумажные полотенца для авто ЕН 2 сл 100 л СИБ2.26А 16274 /15/</t>
  </si>
  <si>
    <t>50156</t>
  </si>
  <si>
    <t>Ведро складное силиконовое 10 л 3 цв 407-068 /24/</t>
  </si>
  <si>
    <t>50155</t>
  </si>
  <si>
    <t>Ведро складное силиконовое 5 л 3 цв 407-067 /24/</t>
  </si>
  <si>
    <t>50180</t>
  </si>
  <si>
    <t>Губка д/автомоб. /254/</t>
  </si>
  <si>
    <t>50109</t>
  </si>
  <si>
    <t>Губка д/автомоб. NEW GALAXY поролон 21*11,5 см 728-010 /30/</t>
  </si>
  <si>
    <t>50171</t>
  </si>
  <si>
    <t>Губка д/автомоб. NG 12*8*4см из искусствен. замши перфорированнная 728-026 /100/</t>
  </si>
  <si>
    <t>50122</t>
  </si>
  <si>
    <t>Губка д/автомоб. NG 20*12,5см микрофибра 728-022 /80/</t>
  </si>
  <si>
    <t>50169</t>
  </si>
  <si>
    <t>Губка д/автомоб. NG 20*14*5см микроворс 728-021 /80/</t>
  </si>
  <si>
    <t>50126</t>
  </si>
  <si>
    <t>Губка д/автомоб. Амфи полироль-авто д/пластика 728-006</t>
  </si>
  <si>
    <t>50163</t>
  </si>
  <si>
    <t>Губка д/автомоб. ГА001 /12/</t>
  </si>
  <si>
    <t>49746</t>
  </si>
  <si>
    <t>Губка д/автомоб. макси ГА002 /12/</t>
  </si>
  <si>
    <t>49730</t>
  </si>
  <si>
    <t>Губка д/автомоб. ФУКС силиконовая д/панели 771-036 /6/</t>
  </si>
  <si>
    <t>50105</t>
  </si>
  <si>
    <t>Замша протирочная 43*32*0,2см в трубке КХ-17 /100/</t>
  </si>
  <si>
    <t>50114</t>
  </si>
  <si>
    <t>Замша протирочная 66*43*0,2см в трубке КХ-18 /100/</t>
  </si>
  <si>
    <t>50103</t>
  </si>
  <si>
    <t>Замша протирочная NEW GALAXY PVA в тубе 43*32 см 771-167 /10/</t>
  </si>
  <si>
    <t>50183</t>
  </si>
  <si>
    <t>Замша протирочная NEW GALAXY PVA в тубе 43*32*0,22см розовая 728-009 /12/</t>
  </si>
  <si>
    <t>50104</t>
  </si>
  <si>
    <t>Замша протирочная NEW GALAXY PVA в тубе 66*43*0,2 см 728-008 /6/</t>
  </si>
  <si>
    <t>50138</t>
  </si>
  <si>
    <t>Замша протирочная NEW GALAXY PVA в тубе 66*43*0,2 см GL-С02 771-164 /5/</t>
  </si>
  <si>
    <t>50162</t>
  </si>
  <si>
    <t>Замша протирочная средняя в банке 43*32 см 3 цвета 448-155 /10/</t>
  </si>
  <si>
    <t>50030</t>
  </si>
  <si>
    <t>Защита спинки сиденья авто от детских ножек 46*41 см Алфавит 732-048 /5/</t>
  </si>
  <si>
    <t>50137</t>
  </si>
  <si>
    <t>Защита спинки сиденья авто от детских ножек 46*41 см Машинки 732-049 /5/</t>
  </si>
  <si>
    <t>50029</t>
  </si>
  <si>
    <t>Защита спинки сиденья авто от детских ножек 46*41 см Полянка 732-047 /4/</t>
  </si>
  <si>
    <t>49712</t>
  </si>
  <si>
    <t>Защита спинки сиденья авто от детских ножек 60*40 см 768-441 /5/</t>
  </si>
  <si>
    <t>50130</t>
  </si>
  <si>
    <t>Очиститель битумных пятен NEW GALAXY триггер 500мл 727-056 /6/</t>
  </si>
  <si>
    <t>50132</t>
  </si>
  <si>
    <t>Очиститель битумных пятен Автомастер 225 мл 52-165 /24/</t>
  </si>
  <si>
    <t>50131</t>
  </si>
  <si>
    <t>Полироль для пластика матовый сантистат. NEW GALAXY аэрозоль 520 мл 727-034 /12/</t>
  </si>
  <si>
    <t>50129</t>
  </si>
  <si>
    <t>Салфетки влажные NEW GALAXY для рук антибактер. 30 шт 728-004 /7/35/</t>
  </si>
  <si>
    <t>50124</t>
  </si>
  <si>
    <t>Салфетки влажные NEW GALAXY для ухода за салоном автомобиля 30 шт 728-003 /7/35/</t>
  </si>
  <si>
    <t>50100</t>
  </si>
  <si>
    <t>Скребок д/автомоб. Brumex Oktan 18см синий</t>
  </si>
  <si>
    <t>50106</t>
  </si>
  <si>
    <t>Скребок д/автомоб. ON 19см зеленый /100/</t>
  </si>
  <si>
    <t>50121</t>
  </si>
  <si>
    <t>Шампунь NEW GALAXY для бесконтактной мойки автомобиля концентрат 1000 мл 727-061 /8/</t>
  </si>
  <si>
    <t>50123</t>
  </si>
  <si>
    <t>Шампунь NEW GALAXY для контактной мойки автомобиля с воском Супер пена 500 мл 727-063</t>
  </si>
  <si>
    <t>17919</t>
  </si>
  <si>
    <t>Шампунь NEW GALAXY для мойки машин 250 мл Наношампунь 727-121 /15/</t>
  </si>
  <si>
    <t>50101</t>
  </si>
  <si>
    <t>Шампунь NEW GALAXY для мойки машин 500 мл Металлик 727-084 /12/</t>
  </si>
  <si>
    <t>50173</t>
  </si>
  <si>
    <t>Щетка автомобильная Альтернатива без черенка мягкая М816 /18/</t>
  </si>
  <si>
    <t>50136</t>
  </si>
  <si>
    <t>Щетка автомобильная Альтернатива Сибирь М7331 /15/</t>
  </si>
  <si>
    <t>47542</t>
  </si>
  <si>
    <t>Щетка автомобильная Альтернатива со скребком М970 /25/</t>
  </si>
  <si>
    <t>50102</t>
  </si>
  <si>
    <t>Щетка- сметка NEW GALAXY для снега 51,8см 775-048 /4/24/</t>
  </si>
  <si>
    <t>50168</t>
  </si>
  <si>
    <t>Щетка- сметка NEW GALAXY для снега 54см с расщ. щетин 775-124 /6/24/</t>
  </si>
  <si>
    <t>49752</t>
  </si>
  <si>
    <t>Щетка- сметка NEW GALAXY для снега IP121 черная 775-098</t>
  </si>
  <si>
    <t>50110</t>
  </si>
  <si>
    <t>Щетка- сметка NEW GALAXY для снега со скребком 61см поворт. механизм 775-059 /12/</t>
  </si>
  <si>
    <t>50172</t>
  </si>
  <si>
    <t>Щетка- сметка NEW GALAXY для снега со скребком телескоп. 80,5-115см 775-135 /2/</t>
  </si>
  <si>
    <t>50108</t>
  </si>
  <si>
    <t>Щетка- сметка Saturn для снега со скребком, автом., 530мм ярко-желтый /30/</t>
  </si>
  <si>
    <t>50153</t>
  </si>
  <si>
    <t>Щетка- сметка для снега Люкс 68 см Мультипл. /18/</t>
  </si>
  <si>
    <t>47407</t>
  </si>
  <si>
    <t>Щетка- сметка для снега со скребком Колибри /SV3184</t>
  </si>
  <si>
    <t>502 Приспособления для авто</t>
  </si>
  <si>
    <t>50270</t>
  </si>
  <si>
    <t>Ареометр д/измер. плот. электролита /549125</t>
  </si>
  <si>
    <t>39531</t>
  </si>
  <si>
    <t>Видеорегистратор 717-006 /40/</t>
  </si>
  <si>
    <t>39530</t>
  </si>
  <si>
    <t>Видеорегистратор на зеркало задн.вида 717-005</t>
  </si>
  <si>
    <t>50206</t>
  </si>
  <si>
    <t>Воронка SPARTA 120мм с гибкий наконечник для ГСМ /537205</t>
  </si>
  <si>
    <t>50264</t>
  </si>
  <si>
    <t>Воронка STELS пластиковая с сетчатым фильтром 160 мм/53723</t>
  </si>
  <si>
    <t>49817</t>
  </si>
  <si>
    <t>Воронка Альтернатива гибкий наконечник М207 /10/</t>
  </si>
  <si>
    <t>50256</t>
  </si>
  <si>
    <t>Воронка пластиковая 14/32 см 406-097 /10/</t>
  </si>
  <si>
    <t>39528</t>
  </si>
  <si>
    <t>Держатель телефона NEW GALAXY магнит. на дефлектор, Г-образ, пласт. черный 733-033 /200/</t>
  </si>
  <si>
    <t>39520</t>
  </si>
  <si>
    <t>Держатель телефона NEW GALAXY магнит. на дефлектор, пластик 733-024 /20/</t>
  </si>
  <si>
    <t>50228</t>
  </si>
  <si>
    <t>Держатель телефона NEW GALAXY магнит. на присоске регул. угол черный 733-034 /100/</t>
  </si>
  <si>
    <t>39526</t>
  </si>
  <si>
    <t>Держатель телефона NEW GALAXY на дефлектор, раздвиж. 50-100мм пласт. 733-031 /10/</t>
  </si>
  <si>
    <t>39527</t>
  </si>
  <si>
    <t>Держатель телефона NEW GALAXY на дефлектор, раздвиж. пласт. 733-032 /10/</t>
  </si>
  <si>
    <t>39525</t>
  </si>
  <si>
    <t>Держатель телефона NEW GALAXY на дефлектор, раздвиж. с кнопкой пластик 733-026 /5/</t>
  </si>
  <si>
    <t>39521</t>
  </si>
  <si>
    <t>Держатель телефона NEW GALAXY на присоске раздвижн. гибкая ножка 23 см 733-027 /10/</t>
  </si>
  <si>
    <t>39522</t>
  </si>
  <si>
    <t>Держатель телефона NEW GALAXY на присоске телескоп., раздвиж. 55-58мм 733-030 /10/</t>
  </si>
  <si>
    <t>50248</t>
  </si>
  <si>
    <t>Зажим Крокодил 250А 150 мм</t>
  </si>
  <si>
    <t>50200</t>
  </si>
  <si>
    <t>Зажим Крокодил 30А 75 мм Rexant 16-0016 /25/</t>
  </si>
  <si>
    <t>50223</t>
  </si>
  <si>
    <t>Зарядное устройство авто 2xUSB 2f 12/24В 738-016 /10/</t>
  </si>
  <si>
    <t>50246</t>
  </si>
  <si>
    <t>Манометр авто NEW GALAXY механический до 3,5 атм хром бл. 7791-002 /200/</t>
  </si>
  <si>
    <t>50207</t>
  </si>
  <si>
    <t>Манометр авто NEW GALAXY механический портативный бл. 713-033 /200/</t>
  </si>
  <si>
    <t>60750</t>
  </si>
  <si>
    <t>Масленка-нагнетат. 190мл пласт. Техмаш 12639 Ник</t>
  </si>
  <si>
    <t>50237</t>
  </si>
  <si>
    <t>Муфта Stels быстросъемная для колесного ниппеля со штуцером "елка" под шланг 8 мм, 2 шт. /57063</t>
  </si>
  <si>
    <t>50027</t>
  </si>
  <si>
    <t>Набор для ремонта бескамерных шин №2 клей 5 жг. Т инстр. 777-004 /6/</t>
  </si>
  <si>
    <t>50028</t>
  </si>
  <si>
    <t>Набор для ремонта бескамерных шин №3 клей 5 жг. Y инстр. 777-005 /6/</t>
  </si>
  <si>
    <t>50244</t>
  </si>
  <si>
    <t>Набор для ремонта бескамерных шин клей 5 жг. Т инстр. 777-011 /50/</t>
  </si>
  <si>
    <t>50023</t>
  </si>
  <si>
    <t>Набор жгутов 10 шт. для ремонта бескамерных шин 10 см 777-002 /5/</t>
  </si>
  <si>
    <t>60748</t>
  </si>
  <si>
    <t>Наконечник д/плунж.шприца Автодело угловой 42016 Ник</t>
  </si>
  <si>
    <t>50213</t>
  </si>
  <si>
    <t>Наконечник д/плунж.шприца Автодело шарнир. 42015 Ник</t>
  </si>
  <si>
    <t>50292</t>
  </si>
  <si>
    <t>Насос New Galaxy ножной с манометром 120*55мм стандарт 713-089 /20/</t>
  </si>
  <si>
    <t>50286</t>
  </si>
  <si>
    <t>Ниппель Stels универсальный быстросъемный ("папа") со штуцером "елка" под шланг 8мм, 2 шт /57061</t>
  </si>
  <si>
    <t>50289</t>
  </si>
  <si>
    <t>Ниппель Stels универсальный быстросъемный ("папа"), внешняя резьба 1/4", 2 шт /57053</t>
  </si>
  <si>
    <t>00442</t>
  </si>
  <si>
    <t>Ниппель Stels универсальный быстросъемный ("папа"), внутренняя резьба 1/4", 2 шт /57054</t>
  </si>
  <si>
    <t>50287</t>
  </si>
  <si>
    <t>Ниппель Stels универсальный быстросъемный ("папа"), со штуцером "ёлка" под шланг 10 мм, 2 шт /57069</t>
  </si>
  <si>
    <t>50203</t>
  </si>
  <si>
    <t>Пистолет моечный MATRIX /57340</t>
  </si>
  <si>
    <t>60677</t>
  </si>
  <si>
    <t>Пистолет пневмат. MATRIX д/подкачки шин /57322</t>
  </si>
  <si>
    <t>50272</t>
  </si>
  <si>
    <t>Пробник Спарта автомоб. 6-24ВБ 110мм, мет.корпус /555105</t>
  </si>
  <si>
    <t>50224</t>
  </si>
  <si>
    <t>Пробник Спарта автомоб. 6-24ВБ 120мм, пласт.корпус /555205</t>
  </si>
  <si>
    <t>60671</t>
  </si>
  <si>
    <t>Пылесос автомобильный ENERGY VC-12, 12В, 80Вт, циклон, сух.уборка</t>
  </si>
  <si>
    <t>50337</t>
  </si>
  <si>
    <t>Разветвитель прикуривателя 2 гн.+2 USB 3.1 A 768-274</t>
  </si>
  <si>
    <t>50338</t>
  </si>
  <si>
    <t>Разветвитель прикуривателя 2 гн.+2 USB 3.1 A с удлинителем 768-323</t>
  </si>
  <si>
    <t>50241</t>
  </si>
  <si>
    <t>Ремкомплект велосипедный клей терка 5 заплаток 195-045 /10/</t>
  </si>
  <si>
    <t>50254</t>
  </si>
  <si>
    <t>Ремкомплект велосипедный клей терка 5 заплаток жгутик 2 монтировки с крючками 195-032 /10/</t>
  </si>
  <si>
    <t>31614</t>
  </si>
  <si>
    <t>Светильник пересной от прикуривателя 12Вт 60LED 5м 8609 DC</t>
  </si>
  <si>
    <t>50279</t>
  </si>
  <si>
    <t>Термокружка автомобильная с подогревом 12 В 724-002 /2/50/</t>
  </si>
  <si>
    <t>50235</t>
  </si>
  <si>
    <t>Термос-кружка с подогревом от прикуривателя VETTA 450мл JL669 841-712 /24/</t>
  </si>
  <si>
    <t>050227</t>
  </si>
  <si>
    <t>Трос буксировочный STELS 12 тонн, 2 петли, сумка /54384</t>
  </si>
  <si>
    <t>50234</t>
  </si>
  <si>
    <t>Трос буксировочный STELS10 тонн, 2 крюка, сумка /54383</t>
  </si>
  <si>
    <t>50239</t>
  </si>
  <si>
    <t>Трос буксировочный автом. NEW GALAXY 5т (авиационный капрон) в пакете 733-023 /3/15/</t>
  </si>
  <si>
    <t>50240</t>
  </si>
  <si>
    <t>Трос буксировочный автом. NEW GALAXY 5т (авиационный капрон) в чехле 773-029</t>
  </si>
  <si>
    <t>47548</t>
  </si>
  <si>
    <t>Трос буксировочный автом. NEW GALAXY 5т в чехле, из лески 773-004</t>
  </si>
  <si>
    <t>50242</t>
  </si>
  <si>
    <t>Трос буксировочный автом. NEW GALAXY 5т с крюками 5м 773-007</t>
  </si>
  <si>
    <t>47549</t>
  </si>
  <si>
    <t>Трос буксировочный автом. ЕРМАК 3,5т длина 4,5м, 2 крюка в чехле 773-006</t>
  </si>
  <si>
    <t>50343</t>
  </si>
  <si>
    <t>Чайник эл. NEW GALAXY автомоб. 12В 0,5л прозр.пластик 724-008</t>
  </si>
  <si>
    <t>50345</t>
  </si>
  <si>
    <t>Чайник эл. NEW GALAXY автомоб. 12В 150Вт 1л 771-330</t>
  </si>
  <si>
    <t>50261</t>
  </si>
  <si>
    <t>Шприц плунжерный STELS, объем шприца - 445 мл, дозировка - 15 мл/53205</t>
  </si>
  <si>
    <t>503-519 Сад-огород</t>
  </si>
  <si>
    <t>503 Септики для дачных туалетов и выгребных ям</t>
  </si>
  <si>
    <t>14095</t>
  </si>
  <si>
    <t>Порошок д/уличных туалетов и выгребных ям Сан.Септико 400к.см /40/</t>
  </si>
  <si>
    <t>14096</t>
  </si>
  <si>
    <t>Порошок д/уличных туалетов и выгребных ям Удачный 30г  /40/</t>
  </si>
  <si>
    <t>50300</t>
  </si>
  <si>
    <t>Порошок д/уличных туалетов и выгребных ям Удачный 450г /24/</t>
  </si>
  <si>
    <t>85928</t>
  </si>
  <si>
    <t>Средство д/дачных туалетов и выгребных ям Чистый дом 75 гр /15/75/</t>
  </si>
  <si>
    <t>50302</t>
  </si>
  <si>
    <t>Средство д/уличного туалета 160 г Чистый дом Антизапах /24/</t>
  </si>
  <si>
    <t>50303</t>
  </si>
  <si>
    <t>Средство д/уличного туалета 500 г Фазенда Антизапах /10/</t>
  </si>
  <si>
    <t>504 Сетка садовая</t>
  </si>
  <si>
    <t>51573</t>
  </si>
  <si>
    <t>Сетка садовая 15*15 10м М2915</t>
  </si>
  <si>
    <t>51771</t>
  </si>
  <si>
    <t>Сетка садовая 20*20 10м М2830</t>
  </si>
  <si>
    <t>51578</t>
  </si>
  <si>
    <t>Сетка садовая 20*30 h1,5м*30м М2959</t>
  </si>
  <si>
    <t>51735</t>
  </si>
  <si>
    <t>Сетка садовая 40*40 10м М2971</t>
  </si>
  <si>
    <t>505 Лейка поливочные</t>
  </si>
  <si>
    <t>50521</t>
  </si>
  <si>
    <t>Лейка полив. пластм. 0,65л детская Источник М6023 /20/</t>
  </si>
  <si>
    <t>50520</t>
  </si>
  <si>
    <t>Лейка полив. пластм. 0,65л детская Слоник М6013 /20/</t>
  </si>
  <si>
    <t>53008</t>
  </si>
  <si>
    <t>Лейка полив. пластм. 1,4л М140 /20/</t>
  </si>
  <si>
    <t>50502</t>
  </si>
  <si>
    <t>Лейка полив. пластм. 10л Евро М279 /6/</t>
  </si>
  <si>
    <t>50526</t>
  </si>
  <si>
    <t>Лейка полив. пластм. 12л Премьера с рассеивател М6775 /6/</t>
  </si>
  <si>
    <t>53046</t>
  </si>
  <si>
    <t>Лейка полив. пластм. 2,5л М290 /15/</t>
  </si>
  <si>
    <t>50531</t>
  </si>
  <si>
    <t>Лейка полив. пластм. 3,5 л с рассеив. М7620 /10/</t>
  </si>
  <si>
    <t>51900</t>
  </si>
  <si>
    <t>Лейка полив. пластм. 3л Дельфин с рассеивателем М628 /15/</t>
  </si>
  <si>
    <t>51901</t>
  </si>
  <si>
    <t>Лейка полив. пластм. 4л с рассеиват. М219 /10/</t>
  </si>
  <si>
    <t>50510</t>
  </si>
  <si>
    <t>Лейка полив. пластм. 7л Классик М2582 /6/</t>
  </si>
  <si>
    <t>50523</t>
  </si>
  <si>
    <t>Лейка полив. пластм. 9л Листок М874 /6/</t>
  </si>
  <si>
    <t>50517</t>
  </si>
  <si>
    <t>Лейка полив. пластм. Альтернатива 7,0л садовая М222 /6/</t>
  </si>
  <si>
    <t>50516</t>
  </si>
  <si>
    <t>Лейка полив. пластм. комнатная Альтернатива 1,3 л М5266 /10/</t>
  </si>
  <si>
    <t>50527</t>
  </si>
  <si>
    <t>Лейка полив. пластм. комнатная Альтернатива 1,5 л Райский сад М1770 /10/</t>
  </si>
  <si>
    <t>50529</t>
  </si>
  <si>
    <t>Лейка полив. пластм. комнатная Альтернатива 1,5 л Тыква М5625 /10/</t>
  </si>
  <si>
    <t>50533</t>
  </si>
  <si>
    <t>Лейка полив. пластм. комнатная Журавлик Новосибирск 2,2 л /20/</t>
  </si>
  <si>
    <t>50541</t>
  </si>
  <si>
    <t>Лейка полив. пластм. Новосибирск 10л /8/</t>
  </si>
  <si>
    <t>50514</t>
  </si>
  <si>
    <t>Лейка полив. пластм. Новосибирск 5л /10/</t>
  </si>
  <si>
    <t>53013</t>
  </si>
  <si>
    <t>Лейка полив. пластм. Платар 10л /10/</t>
  </si>
  <si>
    <t>51817</t>
  </si>
  <si>
    <t>Лейка полив. пластм. Платар 12л /10/</t>
  </si>
  <si>
    <t>50539</t>
  </si>
  <si>
    <t>Лейка полив. пластм. Платар 2,5л</t>
  </si>
  <si>
    <t>50546</t>
  </si>
  <si>
    <t>Лейка полив. пластм. Платар 4л</t>
  </si>
  <si>
    <t>53015</t>
  </si>
  <si>
    <t>Лейка полив.-распылитель 1,5л М282 /20/</t>
  </si>
  <si>
    <t>50501</t>
  </si>
  <si>
    <t>Лейка полив.-распылитель 1л М099 /25/</t>
  </si>
  <si>
    <t>53067</t>
  </si>
  <si>
    <t>Лейка полив.-распылитель 2л М276 /20/</t>
  </si>
  <si>
    <t>506 Комплектующие латунные для поливочных шлангов PALISAD</t>
  </si>
  <si>
    <t>51590</t>
  </si>
  <si>
    <t>Адаптер латунный PALISAD 3/4" внутренняя резьба/65825</t>
  </si>
  <si>
    <t>51589</t>
  </si>
  <si>
    <t>Адаптер латунный PALISAD1/2"-3/4" внутренняя резьба, с переходником/65820</t>
  </si>
  <si>
    <t>507 Комплектующие для поливочных шлангов</t>
  </si>
  <si>
    <t>50723</t>
  </si>
  <si>
    <t>Муфта ремонтная пластм. для полив. шланга 3/4 обрезиненное покрытие 169-033</t>
  </si>
  <si>
    <t>51376</t>
  </si>
  <si>
    <t>Направляющая д/шланга Цветок/ПЦ60000</t>
  </si>
  <si>
    <t>51363</t>
  </si>
  <si>
    <t>Насадка д/полива НД-200 дождевальная с кронштейном</t>
  </si>
  <si>
    <t>50712</t>
  </si>
  <si>
    <t>Пистолет-распылитель INBLOOM 7 режимов пластиковый 160-124 /12/48/</t>
  </si>
  <si>
    <t>50714</t>
  </si>
  <si>
    <t>Пистолет-распылитель INBLOOM 8 режимов пластиковый 161-005 /10/40/</t>
  </si>
  <si>
    <t>51368</t>
  </si>
  <si>
    <t>Пистолет-распылитель INBLOOM с регулятором напора воды пластиковый 160-126 /6/48/</t>
  </si>
  <si>
    <t>50719</t>
  </si>
  <si>
    <t>Пистолет-распылитель INBLOOM с форсункой для регулирования напора 161-018</t>
  </si>
  <si>
    <t>50721</t>
  </si>
  <si>
    <t>Пистолет-распылитель INBLOOM с форсункой для регулирования напора 161-022</t>
  </si>
  <si>
    <t>50718</t>
  </si>
  <si>
    <t>Разбрызгиватель 3/8-1/2-3/4 113 /200/</t>
  </si>
  <si>
    <t>51496</t>
  </si>
  <si>
    <t>Разбрызгиватель HL027</t>
  </si>
  <si>
    <t>51307</t>
  </si>
  <si>
    <t>Разбрызгиватель INBLOOM 5-х лучевой на пике круговой пластик. 31 см 160-002</t>
  </si>
  <si>
    <t>50701</t>
  </si>
  <si>
    <t>Стартовый набор для подключения шланга d1/2", 4 предмета 21х14х4 160-128 /12/</t>
  </si>
  <si>
    <t>508 Садовый инвентарь</t>
  </si>
  <si>
    <t>50879</t>
  </si>
  <si>
    <t>Емкость для сбора ягод Альтернатива 3л Клубничка М4690 /25/</t>
  </si>
  <si>
    <t>81602</t>
  </si>
  <si>
    <t>Емкость для сбора ягод Альтернатива 3л М1110 /25/</t>
  </si>
  <si>
    <t>81612</t>
  </si>
  <si>
    <t>Емкость для сбора ягод Платар 6л</t>
  </si>
  <si>
    <t>50854</t>
  </si>
  <si>
    <t>Корнеудалитель Inbloom 37*3,5 см мет. пл. 181-031 /5/</t>
  </si>
  <si>
    <t>50801</t>
  </si>
  <si>
    <t>Мотыжка садовая Грин Бэлт 40см /25/</t>
  </si>
  <si>
    <t>62948</t>
  </si>
  <si>
    <t>Нож универсальный садовый 450мм FLO 99026</t>
  </si>
  <si>
    <t>55057</t>
  </si>
  <si>
    <t>Полольник прямой ПО Полол. (пр) (ЕР)</t>
  </si>
  <si>
    <t>51471</t>
  </si>
  <si>
    <t>Полольник радиусный порошковая окраска (ЕР)</t>
  </si>
  <si>
    <t>50809</t>
  </si>
  <si>
    <t>Совок Грин Бэлт с деревянной ручкой K411D /25/</t>
  </si>
  <si>
    <t>50833</t>
  </si>
  <si>
    <t>Совок посадочный Inbloom 22*7 см с пластиковой ручкой 167-075 /20/</t>
  </si>
  <si>
    <t>50853</t>
  </si>
  <si>
    <t>Совок посадочный Inbloom 34*8,5 см мет. 181-033 /5/</t>
  </si>
  <si>
    <t>051405</t>
  </si>
  <si>
    <t>Совок посадочный PALISAD узкий, пластиковый /62391</t>
  </si>
  <si>
    <t>05791</t>
  </si>
  <si>
    <t>Совок посадочный PALISAD широкий, 80х280 мм, пластиковый /62390</t>
  </si>
  <si>
    <t>50825</t>
  </si>
  <si>
    <t>Совок посадочный Грин Бэлт узкий с деревян. ручкой K411B /25/</t>
  </si>
  <si>
    <t>509 Поливочные шланги</t>
  </si>
  <si>
    <t>51372</t>
  </si>
  <si>
    <t>Шланг поливочный  POLISAD армир. ПВХ вн.19мм 25м (3/4") /67477</t>
  </si>
  <si>
    <t>50902</t>
  </si>
  <si>
    <t>Шланг поливочный  резин.."Волжский",премиум, 4,0мм, 18мм 25м (3/4") /66-3-016</t>
  </si>
  <si>
    <t>50914</t>
  </si>
  <si>
    <t>Шланг поливочный "Дачник Стандарт" армир. ПВХ вн.18мм (3/4") толщина 2,0-2,1мм 50м</t>
  </si>
  <si>
    <t>51399</t>
  </si>
  <si>
    <t>Шланг поливочный 3/4"15м, с набором 6-реж пист,соед.,адап/PALISAD/67422</t>
  </si>
  <si>
    <t>51301</t>
  </si>
  <si>
    <t>Шланг поливочный PALISAD 3/4"25м, с 6-реж пистолет,соед.,адап 67423</t>
  </si>
  <si>
    <t>50997</t>
  </si>
  <si>
    <t>Шланг поливочный PALISAD LUXE армиров, 4 слойный 3/4", 15м /67638</t>
  </si>
  <si>
    <t>50977</t>
  </si>
  <si>
    <t>Шланг поливочный Акварель армир. ПВХ вн.2,0мм 25м (3/4") желтый</t>
  </si>
  <si>
    <t>51538</t>
  </si>
  <si>
    <t>Шланг поливочный Альтернатива ПВХ армированый Эконом 3/4 30 м М834</t>
  </si>
  <si>
    <t>50952</t>
  </si>
  <si>
    <t>Шланг поливочный гофрир. вн. Д15мм нар. Д20мм 20м М285</t>
  </si>
  <si>
    <t>50913</t>
  </si>
  <si>
    <t>Шланг поливочный гофрир. вн. Д15мм нар. Д20мм 30м М286</t>
  </si>
  <si>
    <t>50988</t>
  </si>
  <si>
    <t>Шланг поливочный Питон армир мягкий ПВХ 3 сл вн.2,5мм 25м (3/4") оранж</t>
  </si>
  <si>
    <t>50923</t>
  </si>
  <si>
    <t>Шланг поливочный эластич POLISAD 3/4", 15м /67441</t>
  </si>
  <si>
    <t>50917</t>
  </si>
  <si>
    <t>Шланг поливочный эластич PОLISAD 3/4", 25 м /67443</t>
  </si>
  <si>
    <t>510 Грунты, удобрения</t>
  </si>
  <si>
    <t>51099</t>
  </si>
  <si>
    <t>Вар садовый 125гр /50/</t>
  </si>
  <si>
    <t>51023</t>
  </si>
  <si>
    <t>Вар садовый 150гр /100/</t>
  </si>
  <si>
    <t>51081</t>
  </si>
  <si>
    <t>Вар садовый 200гр /70/</t>
  </si>
  <si>
    <t>51030</t>
  </si>
  <si>
    <t>Дренаж керамзитовый 2л крупный Фарт</t>
  </si>
  <si>
    <t>51042</t>
  </si>
  <si>
    <t>Дренаж керамзитовый 2л мелкий Фарт /10/</t>
  </si>
  <si>
    <t>51026</t>
  </si>
  <si>
    <t>Зеленое мыло 0,25л от болезней и вредителей растений 189-048 /20/</t>
  </si>
  <si>
    <t>51089</t>
  </si>
  <si>
    <t>Зеленое мыло Prosto 0,90л  /12/</t>
  </si>
  <si>
    <t>51070</t>
  </si>
  <si>
    <t>Зеленое мыло Prosto 1л Фазенда /12/</t>
  </si>
  <si>
    <t>51079</t>
  </si>
  <si>
    <t>Краска для садовых деревьев 3 кг /6/</t>
  </si>
  <si>
    <t>51061</t>
  </si>
  <si>
    <t>Мыло дегтярное БиоМастер 350 мл защита сад.-огород. и комнат. растений 189-050 /25/</t>
  </si>
  <si>
    <t>51068</t>
  </si>
  <si>
    <t>Нашатырный спирт Грин Бэлт 500мл /25/</t>
  </si>
  <si>
    <t>51046</t>
  </si>
  <si>
    <t>Почвогрунт Живая земля д/рассады 25л Фарт</t>
  </si>
  <si>
    <t>51019</t>
  </si>
  <si>
    <t>Почвогрунт Живая земля д/рассады 50л Фарт</t>
  </si>
  <si>
    <t>51080</t>
  </si>
  <si>
    <t>Почвогрунт Живая земля д/рассады 5л /10/</t>
  </si>
  <si>
    <t>51020</t>
  </si>
  <si>
    <t>Почвогрунт Живая земля д/цветов 10л Фарт /5/</t>
  </si>
  <si>
    <t>51086</t>
  </si>
  <si>
    <t>Почвогрунт Живая земля д/цветов 2,5л Фарт /10/</t>
  </si>
  <si>
    <t>51000</t>
  </si>
  <si>
    <t>Почвогрунт Живая земля д/цветов 25л Фарт /10/</t>
  </si>
  <si>
    <t>51066</t>
  </si>
  <si>
    <t>Почвогрунт Живая земля д/цветов 50л Фарт /5/</t>
  </si>
  <si>
    <t>51015</t>
  </si>
  <si>
    <t>Почвогрунт Живая земля д/цветов 5л Фарт /10/</t>
  </si>
  <si>
    <t>51056</t>
  </si>
  <si>
    <t>Почвогрунт Живая земля спец.Георгин-Астра-Земляника 5 л /5/385/</t>
  </si>
  <si>
    <t>51038</t>
  </si>
  <si>
    <t>Почвогрунт Живая земля спец.Герань-Цикломен-Хлорофитум 2,5 л /10/</t>
  </si>
  <si>
    <t>51094</t>
  </si>
  <si>
    <t>Почвогрунт Живая земля спец.Герань-Цикломен-Хлорофитум 5 л /5/385/</t>
  </si>
  <si>
    <t>51054</t>
  </si>
  <si>
    <t>Почвогрунт Живая земля спец.Пальма-Фикус-Драцена 5 л /5/385/</t>
  </si>
  <si>
    <t>51095</t>
  </si>
  <si>
    <t>Почвогрунт Живая земля спец.Петуния-Виола-Настурция 5 л /5/385/</t>
  </si>
  <si>
    <t>51039</t>
  </si>
  <si>
    <t>Почвогрунт Живая земля спец.Роза-Пион-Гладиолус 5 л /5/385/</t>
  </si>
  <si>
    <t>51040</t>
  </si>
  <si>
    <t>Почвогрунт Живая земля спец.Фиалка-Кампанула-Папоротник 2,5 л /10/</t>
  </si>
  <si>
    <t>51096</t>
  </si>
  <si>
    <t>Почвогрунт Живая земля спец.Фиалка-Кампанула-Папоротник 5 л /5/385/</t>
  </si>
  <si>
    <t>51048</t>
  </si>
  <si>
    <t>Почвогрунт Живая земля спец.Цитрус-Кофе-Инжир 5 л /5/385/</t>
  </si>
  <si>
    <t>51016</t>
  </si>
  <si>
    <t>Почвогрунт Живая земля универ. 10л Фарт /5/</t>
  </si>
  <si>
    <t>51017</t>
  </si>
  <si>
    <t>Почвогрунт Живая земля универ. 25л Фарт</t>
  </si>
  <si>
    <t>51043</t>
  </si>
  <si>
    <t>Почвогрунт Живая земля универ. 5л Фарт /10/</t>
  </si>
  <si>
    <t>51074</t>
  </si>
  <si>
    <t>Почвогрунт Здоровая Земля универсал 10л Фарт /5/</t>
  </si>
  <si>
    <t>51084</t>
  </si>
  <si>
    <t>Почвогрунт Здоровая Земля универсал 25л Фарт /5/</t>
  </si>
  <si>
    <t>51083</t>
  </si>
  <si>
    <t>Почвогрунт Здоровая Земля универсал 50л Фарт /5/</t>
  </si>
  <si>
    <t>51085</t>
  </si>
  <si>
    <t>Почвогрунт Здоровая Земля универсал 5л Фарт /5/</t>
  </si>
  <si>
    <t>51037</t>
  </si>
  <si>
    <t>Почвогрунт Микропарник торфяной 10л Фарт /5/</t>
  </si>
  <si>
    <t>51076</t>
  </si>
  <si>
    <t>Почвогрунт Сад чудес Азалия 2,5л Фарт /10/</t>
  </si>
  <si>
    <t>51009</t>
  </si>
  <si>
    <t>Почвогрунт Сад чудес Бегония 2,5л Фарт /10/700/</t>
  </si>
  <si>
    <t>51014</t>
  </si>
  <si>
    <t>Почвогрунт Сад чудес Герань 2,5л Фарт /10/700/</t>
  </si>
  <si>
    <t>51032</t>
  </si>
  <si>
    <t>Почвогрунт Сад чудес для рассады 10 л /5/</t>
  </si>
  <si>
    <t>51033</t>
  </si>
  <si>
    <t>Почвогрунт Сад чудес для рассады 25 л</t>
  </si>
  <si>
    <t>51008</t>
  </si>
  <si>
    <t>Почвогрунт Сад чудес для рассады 5 л /10/</t>
  </si>
  <si>
    <t>51044</t>
  </si>
  <si>
    <t>Почвогрунт Сад чудес для рассады 50 л</t>
  </si>
  <si>
    <t>51050</t>
  </si>
  <si>
    <t>Почвогрунт Сад чудес Кактус 2,5л Фарт /10/700/</t>
  </si>
  <si>
    <t>51062</t>
  </si>
  <si>
    <t>Почвогрунт Сад чудес Кактус+ 2,5л Фарт /10/</t>
  </si>
  <si>
    <t>51010</t>
  </si>
  <si>
    <t>Почвогрунт Сад чудес Лимон 2,5л Фарт /10/</t>
  </si>
  <si>
    <t>51052</t>
  </si>
  <si>
    <t>Почвогрунт Сад чудес Лимон 5л Фарт /5/385/</t>
  </si>
  <si>
    <t>51055</t>
  </si>
  <si>
    <t>Почвогрунт Сад чудес Орхидея 2,5л Фарт /10/</t>
  </si>
  <si>
    <t>51013</t>
  </si>
  <si>
    <t>Почвогрунт Сад чудес Пальма 5л Фарт /5/385/</t>
  </si>
  <si>
    <t>51011</t>
  </si>
  <si>
    <t>Почвогрунт Сад чудес Роза 2,5л Фарт /10/</t>
  </si>
  <si>
    <t>51071</t>
  </si>
  <si>
    <t>Почвогрунт Сад чудес Роза 5,0л Фарт/5/</t>
  </si>
  <si>
    <t>51012</t>
  </si>
  <si>
    <t>Почвогрунт Сад чудес Сенполия 2,5л Фарт /10/</t>
  </si>
  <si>
    <t>51053</t>
  </si>
  <si>
    <t>Почвогрунт Сад чудес Сенполия 5л Фарт /5/385/</t>
  </si>
  <si>
    <t>51093</t>
  </si>
  <si>
    <t>Почвогрунт Сад чудес Универсальный (Садовая земля) 10 л /5/210/</t>
  </si>
  <si>
    <t>51001</t>
  </si>
  <si>
    <t>Почвогрунт Сад чудес Универсальный (Садовая земля) 25 л</t>
  </si>
  <si>
    <t>51027</t>
  </si>
  <si>
    <t>Почвогрунт Сад чудес Универсальный (Садовая земля) 5 л /10/</t>
  </si>
  <si>
    <t>51021</t>
  </si>
  <si>
    <t>Почвогрунт Сад чудес Универсальный (Садовая земля) 50 л</t>
  </si>
  <si>
    <t>51004</t>
  </si>
  <si>
    <t>Почвогрунт Сад чудес Фикус 2,5л Фарт /10/</t>
  </si>
  <si>
    <t>51034</t>
  </si>
  <si>
    <t>Почвогрунт Садовая земля торфяной 25л Фарт</t>
  </si>
  <si>
    <t>51031</t>
  </si>
  <si>
    <t>Почвогрунт Терра Нова Питательный субстат Новая земля универсал 10л Фарт /5/</t>
  </si>
  <si>
    <t>51060</t>
  </si>
  <si>
    <t>Почвогрунт Терра Нова Питательный субстат Новая земля универсал 2,5л Фарт /10/</t>
  </si>
  <si>
    <t>51022</t>
  </si>
  <si>
    <t>Почвогрунт Терра Нова Питательный субстат Новая земля универсал 25л Фарт</t>
  </si>
  <si>
    <t>51024</t>
  </si>
  <si>
    <t>Почвогрунт Терра Нова Питательный субстат Новая земля универсал 50л Фарт</t>
  </si>
  <si>
    <t>51029</t>
  </si>
  <si>
    <t>Почвогрунт Терра Нова Питательный субстат Новая земля универсал 5л Фарт /5/</t>
  </si>
  <si>
    <t>51047</t>
  </si>
  <si>
    <t>Почвогрунт Томат торфяной 5л Фарт /10/</t>
  </si>
  <si>
    <t>51082</t>
  </si>
  <si>
    <t>Садовая побелка Грин бэлт 500 гр /10/</t>
  </si>
  <si>
    <t>51041</t>
  </si>
  <si>
    <t>Средство для питания растений Борная кислота 50гр Фазенда /50/</t>
  </si>
  <si>
    <t>85500</t>
  </si>
  <si>
    <t>Средство защиты растений Бордоская смесь 100 гр Грин Бэлт /50/</t>
  </si>
  <si>
    <t>51072</t>
  </si>
  <si>
    <t>Средство защиты растений Бордоская смесь 200 гр Грин Бэлт /20/</t>
  </si>
  <si>
    <t>51049</t>
  </si>
  <si>
    <t>Средство защиты растений Бордоская смесь 300 гр Фазенда /25/</t>
  </si>
  <si>
    <t>51064</t>
  </si>
  <si>
    <t>Средство от сорняков Грин бэлт 50мл Грант Сплошное действие /10/</t>
  </si>
  <si>
    <t>51065</t>
  </si>
  <si>
    <t>Средство от сорняков Фазенда 100мл Грант Сплошное действие /40/</t>
  </si>
  <si>
    <t>51088</t>
  </si>
  <si>
    <t>Удобрение Грин Бэлт Азофоска 1 кг /20/</t>
  </si>
  <si>
    <t>51087</t>
  </si>
  <si>
    <t>Удобрение Грин Бэлт Аммофос 1 кг /20/</t>
  </si>
  <si>
    <t>51091</t>
  </si>
  <si>
    <t>Удобрение Грин Бэлт Карбамид 1кг /20/</t>
  </si>
  <si>
    <t>511 Косы/Серпы/Секаторы/Ножевки садовые/Сучкорезы</t>
  </si>
  <si>
    <t>51187</t>
  </si>
  <si>
    <t>Коса Соболь №7</t>
  </si>
  <si>
    <t>51128</t>
  </si>
  <si>
    <t>Косовище металлическое с барашком д/крепления 66-0-008 /25/</t>
  </si>
  <si>
    <t>00662</t>
  </si>
  <si>
    <t>Нож садовый, 173 мм, складной, копулировочный, деревянная рукоятка// PALISAD/79002</t>
  </si>
  <si>
    <t>50907</t>
  </si>
  <si>
    <t>Ножовка садовая 300мм, зуб, 2-х компонентная рукоятка PALISAD/236035</t>
  </si>
  <si>
    <t>51102</t>
  </si>
  <si>
    <t>Пила садовая 400мм Спарта /230335</t>
  </si>
  <si>
    <t>51157</t>
  </si>
  <si>
    <t>Пила садовая складная, 150мм,складная, пластикова рук. Palisad/604145</t>
  </si>
  <si>
    <t>52031</t>
  </si>
  <si>
    <t>Приспособление д/крепления косы ПК-1 /200/</t>
  </si>
  <si>
    <t>51105</t>
  </si>
  <si>
    <t>Приспособление д/крепления косы ПК-4</t>
  </si>
  <si>
    <t>52013</t>
  </si>
  <si>
    <t>Ручка к косовищу /150/</t>
  </si>
  <si>
    <t>51155</t>
  </si>
  <si>
    <t>Секатор Inbloom 17,5 см возвратная пружина мет. пласт. 186-019 /12/</t>
  </si>
  <si>
    <t>51101</t>
  </si>
  <si>
    <t>Секатор PALISAD прямого реза цельнометаллический /60492</t>
  </si>
  <si>
    <t>51158</t>
  </si>
  <si>
    <t>Секатор PALISAD прямого реза, алюм. обрез. рукоятки /60482</t>
  </si>
  <si>
    <t>02640</t>
  </si>
  <si>
    <t>Секатор PALISAD прямого реза, алюминиевые рукоятки /60489</t>
  </si>
  <si>
    <t>51617</t>
  </si>
  <si>
    <t>Секатор PALISAD, 180мм, пружина возв.лент.типа, мет обрез.ручки /60503</t>
  </si>
  <si>
    <t>51608</t>
  </si>
  <si>
    <t>Секатор PALISAD, 200 мм, пружина возвратная спирал. типа, легир /60561</t>
  </si>
  <si>
    <t>51110</t>
  </si>
  <si>
    <t>Секатор PALISAD, 200 мм, пружина возвратная спирал. типа, тефлон. покр., обрезиненные ручки/60557</t>
  </si>
  <si>
    <t>51111</t>
  </si>
  <si>
    <t>Секатор PALISAD, 200 мм, пружина возвратная, храп. мех., тефлон /60560</t>
  </si>
  <si>
    <t>51137</t>
  </si>
  <si>
    <t>Секатор PALISAD, 200мм, пружина возв.лент.типа, мет обрез.ручки /605495</t>
  </si>
  <si>
    <t>51109</t>
  </si>
  <si>
    <t>Секатор PALISAD, 210 мм, прям.рез.,с наковаленкой,  шестерен. привод, 2-комп.ручки /60532</t>
  </si>
  <si>
    <t>51108</t>
  </si>
  <si>
    <t>Секатор PALISAD, 210 мм, с наковаленкой,  шестерен. привод, 2-комп.ручки /60531</t>
  </si>
  <si>
    <t>51145</t>
  </si>
  <si>
    <t>Секатор PALISAD, 255 мм, прям.рез.,цельнокованый, металлические обрез. рукоятки /60467</t>
  </si>
  <si>
    <t>51120</t>
  </si>
  <si>
    <t>Секатор с упорной пружиной и фиксатор HC034R /50/</t>
  </si>
  <si>
    <t>51119</t>
  </si>
  <si>
    <t>Секатор с упорной пружиной малый HC057R /50/</t>
  </si>
  <si>
    <t>51141</t>
  </si>
  <si>
    <t>Секатор цветочный PALISAD, 180 мм, пружина спирал. типа, тефлон. покр., прямые режущие губки /60554</t>
  </si>
  <si>
    <t>51148</t>
  </si>
  <si>
    <t>Секатор цветочный PALISAD, 215 мм, регулировка захвата, алюм. рукоятки /60476</t>
  </si>
  <si>
    <t>51146</t>
  </si>
  <si>
    <t>Секатор цветочный СИБРТЕХ пластиковые ручки /60494</t>
  </si>
  <si>
    <t>51154</t>
  </si>
  <si>
    <t>Сучкорез PALISAD с наковаленкой, 710 мм, рычажный мех., двухкомпонентные рук. /60520</t>
  </si>
  <si>
    <t>51134</t>
  </si>
  <si>
    <t>Сучкорез PALISAD, 700 мм, резиновые амортизаторы /60521</t>
  </si>
  <si>
    <t>512 Рассадники/Парники</t>
  </si>
  <si>
    <t>51202</t>
  </si>
  <si>
    <t>Дуги парниковые в ПВХ 0,75*0,9м 6 шт. диаметр трубы 10мм /64407</t>
  </si>
  <si>
    <t>51236</t>
  </si>
  <si>
    <t>Дуги парниковые в ПВХ 0,85*0,9м 6 шт. диаметр провол. 5мм /64408</t>
  </si>
  <si>
    <t>51204</t>
  </si>
  <si>
    <t>Набор д/рассады Альтернатива 300мл (10 горшков) М8236 /10/</t>
  </si>
  <si>
    <t>51200</t>
  </si>
  <si>
    <t>Набор д/рассады Альтернатива 410*185*90 (10 горшков) М1010 /11/</t>
  </si>
  <si>
    <t>51239</t>
  </si>
  <si>
    <t>Набор д/рассады Альтернатива 410*235*90 (15 горшков) М1007 /10/</t>
  </si>
  <si>
    <t>51207</t>
  </si>
  <si>
    <t>Набор д/рассады Альтернатива 800мл (8 горшков) М8237 /10/</t>
  </si>
  <si>
    <t>51255</t>
  </si>
  <si>
    <t>Парник в сборе, 9 пластиковых дуг, 8м /66-3-008</t>
  </si>
  <si>
    <t>51274</t>
  </si>
  <si>
    <t>Ящик для рассады Альтернатива Эконом 285*155*85 М6658 /50/</t>
  </si>
  <si>
    <t>51275</t>
  </si>
  <si>
    <t>Ящик для рассады Альтернатива Эконом 360*150*125 М6657 /15/</t>
  </si>
  <si>
    <t>51276</t>
  </si>
  <si>
    <t>Ящик для рассады Альтернатива Эконом 410*185*90 М6659 /20/</t>
  </si>
  <si>
    <t>51277</t>
  </si>
  <si>
    <t>Ящик для рассады Альтернатива Эконом 530*185*90 М6660 /15/</t>
  </si>
  <si>
    <t>51203</t>
  </si>
  <si>
    <t>Ящик для рассады Платар 420*140*100 средний</t>
  </si>
  <si>
    <t>51205</t>
  </si>
  <si>
    <t>Ящик для рассады Платар 480*150*110 большой</t>
  </si>
  <si>
    <t>51206</t>
  </si>
  <si>
    <t>Ящик для рассады Платар 550*180*140 мега большой</t>
  </si>
  <si>
    <t>513 Комплектующие для поливочных шлангов PALISAD</t>
  </si>
  <si>
    <t>51594</t>
  </si>
  <si>
    <t>Адаптер для шланга PALISAD  пластмассовый 3/4 внешняя резьба 66180</t>
  </si>
  <si>
    <t>51347</t>
  </si>
  <si>
    <t>Адаптер для шланга PALISAD  пластмассовый, 1/2"-3/4", внутренняя резьба/65720</t>
  </si>
  <si>
    <t>51370</t>
  </si>
  <si>
    <t>Адаптер для шланга PALISAD пластмассовый, 1/2"-3/4"-1", внутренняя  резьба/65735</t>
  </si>
  <si>
    <t>51369</t>
  </si>
  <si>
    <t>Адаптер для шланга PALISAD пластмассовый, 3/4", внешняя резьба/65750</t>
  </si>
  <si>
    <t>51353</t>
  </si>
  <si>
    <t>Адаптер для шланга PALISAD пластмассовый, 3/4", внутренняя  резьба/65725</t>
  </si>
  <si>
    <t>51224</t>
  </si>
  <si>
    <t>Катушка для шланга 45м на колесах /PALISAD/67405</t>
  </si>
  <si>
    <t>51692</t>
  </si>
  <si>
    <t>Муфта ремонтная пластм. для полив.шланга штуцерная/ PALISAD/66465</t>
  </si>
  <si>
    <t>51563</t>
  </si>
  <si>
    <t>Муфта ремонтная пластм.для полив.шланга 3/4 PALISAD/66441</t>
  </si>
  <si>
    <t>39230</t>
  </si>
  <si>
    <t>Муфта соединительная для полив.шланга c переходом 3/4"-1", пластмассовая// PALISAD/66434</t>
  </si>
  <si>
    <t>51327</t>
  </si>
  <si>
    <t>Набор для подключения шланга PALISAD 3/4" пистолет 7-и режимн,/65178</t>
  </si>
  <si>
    <t>51326</t>
  </si>
  <si>
    <t>Набор для подключения шланга PALISAD 3/4", пистолет 6-и режим  /65177</t>
  </si>
  <si>
    <t>51367</t>
  </si>
  <si>
    <t>Переходник соединитель штуцерный, двухсторонний // PALISAD LUXE/65726</t>
  </si>
  <si>
    <t>51333</t>
  </si>
  <si>
    <t>Пистолет-распылитель PALISAD 6 режимов/65146</t>
  </si>
  <si>
    <t>51313</t>
  </si>
  <si>
    <t>Пистолет-распылитель PALISAD 7 режимов /65161</t>
  </si>
  <si>
    <t>51300</t>
  </si>
  <si>
    <t>Пистолет-распылитель PALISAD 7 режимов пластиковый/65163</t>
  </si>
  <si>
    <t>51302</t>
  </si>
  <si>
    <t>Пистолет-распылитель PALISAD 8 режимов /65150</t>
  </si>
  <si>
    <t>51310</t>
  </si>
  <si>
    <t>Пистолет-распылитель PALISAD LUXEрегулируемый, серия ERGO/65144</t>
  </si>
  <si>
    <t>51755</t>
  </si>
  <si>
    <t>Разбрызгиватель PALISAD 8-ми режимный, на подставке /65463</t>
  </si>
  <si>
    <t>51336</t>
  </si>
  <si>
    <t>Разбрызгиватель PALISAD пласт., вращ. с 3 лоп., штуц D 3/4", /65409</t>
  </si>
  <si>
    <t>51913</t>
  </si>
  <si>
    <t>Распылитель 8-ми режимный //PALISAD/6/65187</t>
  </si>
  <si>
    <t>51375</t>
  </si>
  <si>
    <t>Распылитель PALISAD регулируемый/65182</t>
  </si>
  <si>
    <t>51863</t>
  </si>
  <si>
    <t>Система автополива для цветов, пластик. 0,4л /Palisad/67522</t>
  </si>
  <si>
    <t>51319</t>
  </si>
  <si>
    <t>Соединитель PALISAD 2- х  канальный, регулируемый, со штуцерами/66426</t>
  </si>
  <si>
    <t>51547</t>
  </si>
  <si>
    <t>Соединитель PALISAD пластмассовый быстросъемный  3/4", аквастоп/66165</t>
  </si>
  <si>
    <t>51546</t>
  </si>
  <si>
    <t>Соединитель PALISAD пластмассовый быстросъемный внутренняя резьба 3/4", аквастоп/66155</t>
  </si>
  <si>
    <t>51351</t>
  </si>
  <si>
    <t>Соединитель PALISAD пластмассовый быстросъемный для шланга 1/2"/66135</t>
  </si>
  <si>
    <t>51308</t>
  </si>
  <si>
    <t>Соединитель PALISAD пластмассовый быстросъемный для шланга 3/4"/66160</t>
  </si>
  <si>
    <t>51312</t>
  </si>
  <si>
    <t>Соединитель PALISAD пластмассовый быстросъемный, внешняя резьба  3/4"/66175</t>
  </si>
  <si>
    <t>53600</t>
  </si>
  <si>
    <t>Тройник пластм. штуцерный/ PALISAD/66468</t>
  </si>
  <si>
    <t>514 Садовый инвентарь PALISAD</t>
  </si>
  <si>
    <t>51486</t>
  </si>
  <si>
    <t>Корнеудалитель PALISAD деревянная рукоятка, 400 мм /62323</t>
  </si>
  <si>
    <t>51404</t>
  </si>
  <si>
    <t>Корнеудалитель PALISAD защитное покрытие, обрезиненная рукоятка /62321</t>
  </si>
  <si>
    <t>51455</t>
  </si>
  <si>
    <t>Корнеудалитель PALISAD защитное покрытие, пластиковая рукоятка/62386</t>
  </si>
  <si>
    <t>18035</t>
  </si>
  <si>
    <t>Корнеудалитель PALISAD обрез. рукоятка /63009</t>
  </si>
  <si>
    <t>51448</t>
  </si>
  <si>
    <t>Мотыжка PALISAD комбинир. "лепесток" 2-зубая, обрез. рукоятка /63005</t>
  </si>
  <si>
    <t>51416</t>
  </si>
  <si>
    <t>Мотыжка PALISAD комбинир. "трапеция" 3-зубая, обрез. рукоятка /63008</t>
  </si>
  <si>
    <t>51418</t>
  </si>
  <si>
    <t>Мотыжка PALISAD комбинир. "трапеция" и "лепесток" 350 мм /62315</t>
  </si>
  <si>
    <t>51424</t>
  </si>
  <si>
    <t>Мотыжка PALISAD комбинир. 3-зубая, защитное покрытие, пластиковая рукоятка /62389</t>
  </si>
  <si>
    <t>51465</t>
  </si>
  <si>
    <t>Подушка под колени и для сидения, 410 х 160 х 20 мм// PALISAD/64443</t>
  </si>
  <si>
    <t>51403</t>
  </si>
  <si>
    <t>Рыхлитель 3-зубый, обрез. ручка, может использ. в сборе с удлинн. ручкой 63016, 63017/63006</t>
  </si>
  <si>
    <t>51420</t>
  </si>
  <si>
    <t>Рыхлитель PALISAD 3-зубый защитное покрытие, пластиковая рукоятка/62385</t>
  </si>
  <si>
    <t>51461</t>
  </si>
  <si>
    <t>Рыхлитель PALISAD 5-зубый металлический, деревянная рукоятка, 330 мм/62353</t>
  </si>
  <si>
    <t>02525</t>
  </si>
  <si>
    <t>Совок посадочный PALISAD LUXE широкий, двухкомпонентная рукоятка /62051</t>
  </si>
  <si>
    <t>51500</t>
  </si>
  <si>
    <t>Совок посадочный PALISAD узкий, обрез. ручка /63002</t>
  </si>
  <si>
    <t>51423</t>
  </si>
  <si>
    <t>Совок посадочный PALISAD широкий, деревянная рукоятка, 380 мм /62606</t>
  </si>
  <si>
    <t>51488</t>
  </si>
  <si>
    <t>Совок посадочный PALISAD широкий, обрез. рукоятка /63001</t>
  </si>
  <si>
    <t>051463</t>
  </si>
  <si>
    <t>Удлиняющая ручка PALISAD 500 мм, подходит для арт. 63001-63010/63016</t>
  </si>
  <si>
    <t>515 Укрывной материал/Пленка</t>
  </si>
  <si>
    <t>51558</t>
  </si>
  <si>
    <t>Зажим д/крепления пленки к каркасу парника d-12мм, 20шт /PALISAD/64427</t>
  </si>
  <si>
    <t>51548</t>
  </si>
  <si>
    <t>Зажим д/крепления пленки к каркасу парника d-20мм, 10шт /PALISAD/64426</t>
  </si>
  <si>
    <t>51528</t>
  </si>
  <si>
    <t>Пленка п/э 1500*100мкм 20м рукав /10/</t>
  </si>
  <si>
    <t>51502</t>
  </si>
  <si>
    <t>Пленка п/э 1500*100мкм 25м рукав /5/</t>
  </si>
  <si>
    <t>51536</t>
  </si>
  <si>
    <t>Пленка п/э 1500*125мкм 10м рукав /5/</t>
  </si>
  <si>
    <t>51551</t>
  </si>
  <si>
    <t>Пленка п/э 1500*125мкм 20м рукав /5/</t>
  </si>
  <si>
    <t>51507</t>
  </si>
  <si>
    <t>Пленка п/э 1500*150мкм 10м рукав /10/</t>
  </si>
  <si>
    <t>51509</t>
  </si>
  <si>
    <t>Пленка п/э 1500*150мкм 20м рукав /5/</t>
  </si>
  <si>
    <t>51541</t>
  </si>
  <si>
    <t>Пленка п/э 1500*150мкм 25м рукав /5/</t>
  </si>
  <si>
    <t>51592</t>
  </si>
  <si>
    <t>Пленка п/э 1500*200мкм 10м рукав</t>
  </si>
  <si>
    <t>51557</t>
  </si>
  <si>
    <t>Пленка п/э 1500*200мкм 20м рукав /5/</t>
  </si>
  <si>
    <t>51516</t>
  </si>
  <si>
    <t>Пленка п/э 1500*200мкм 50м рукав</t>
  </si>
  <si>
    <t>51554</t>
  </si>
  <si>
    <t>Пленка п/э 1500*250мкм 10м рукав /10/</t>
  </si>
  <si>
    <t>51555</t>
  </si>
  <si>
    <t>Пленка п/э 1500*250мкм 20м рукав</t>
  </si>
  <si>
    <t>51596</t>
  </si>
  <si>
    <t>Пленка п/э 1500*250мкм 25м рукав</t>
  </si>
  <si>
    <t>51549</t>
  </si>
  <si>
    <t>Пленка п/э 1500*60мкм 10 м рукав</t>
  </si>
  <si>
    <t>51586</t>
  </si>
  <si>
    <t>Укрывной материал Inbloom №30 2.1м*5м белый 178-011</t>
  </si>
  <si>
    <t>57036</t>
  </si>
  <si>
    <t>Укрывной материал Neospan пакет 1,6м*10м Спанбонд №20 /30/</t>
  </si>
  <si>
    <t>51566</t>
  </si>
  <si>
    <t>Укрывной материал Neospan пакет 3,2м*10м Спанбонд №20 /16/</t>
  </si>
  <si>
    <t>51520</t>
  </si>
  <si>
    <t>Укрывной материал Neospan пакет 3,2м*10м Спанбонд №42 /8/</t>
  </si>
  <si>
    <t>51564</t>
  </si>
  <si>
    <t>Укрывной материал Neospan черный пакет 3,2м*10м спанбонд №60 /6/</t>
  </si>
  <si>
    <t>51552</t>
  </si>
  <si>
    <t>Укрывной материал АгроСпанбонд №30 3,2м*10м спанбонд</t>
  </si>
  <si>
    <t>51532</t>
  </si>
  <si>
    <t>Укрывной материал СУФ 30г/м2,  3,2м*10м спанбонд (до -6град.)</t>
  </si>
  <si>
    <t>51572</t>
  </si>
  <si>
    <t>Укрывной материал СУФ 60г/м2,  3,2м*10м спанбонд (до -9град.)</t>
  </si>
  <si>
    <t>516 Садовое оборудование и комплектующие</t>
  </si>
  <si>
    <t>051680</t>
  </si>
  <si>
    <t>Бур садовый СИБРТЕХ шнековый D 350 мм Россия/64506</t>
  </si>
  <si>
    <t>51602</t>
  </si>
  <si>
    <t>Камера для пневматического колеса 3.25/8 D360мм PALISAD /68955</t>
  </si>
  <si>
    <t>51640</t>
  </si>
  <si>
    <t>Камера для пневматического колеса 4,8/4,00-8 D380мм PALISAD /68956</t>
  </si>
  <si>
    <t>51724</t>
  </si>
  <si>
    <t>Колесо пневмо 3,00-8, D360 мм, подш.внут.диам. 20мм, L оси 90мм Сибртех/68972</t>
  </si>
  <si>
    <t>51743</t>
  </si>
  <si>
    <t>Колесо пневмо 3,50-8 подшипник ф24 /66-8-003</t>
  </si>
  <si>
    <t>51634</t>
  </si>
  <si>
    <t>Колесо пневмо 4,00-6, D325 мм, подш.внут.диам. 16мм, L оси 100мм/68938</t>
  </si>
  <si>
    <t>51670</t>
  </si>
  <si>
    <t>Колесо полиуретановое Palisad 3.00-8, длина оси 90мм, подшипник 16мм /68975</t>
  </si>
  <si>
    <t>51606</t>
  </si>
  <si>
    <t>Колесо полиуретановое Palisad 3.00-8, длина оси 90мм, подшипник 20мм/68976</t>
  </si>
  <si>
    <t>51679</t>
  </si>
  <si>
    <t>Колесо полиуретановое Palisad 4.80/4-8, длина оси 90мм,подшипник 12мм/68978</t>
  </si>
  <si>
    <t>55059</t>
  </si>
  <si>
    <t>Мотыга №50 /50/(ЕР)</t>
  </si>
  <si>
    <t>51550</t>
  </si>
  <si>
    <t>Мотыга Евро №3 (ЕР)</t>
  </si>
  <si>
    <t>51445</t>
  </si>
  <si>
    <t>Мотыга Евро №4 (ЕР)</t>
  </si>
  <si>
    <t>51413</t>
  </si>
  <si>
    <t>Мотыга прямая большая М190пр. (ЕР)</t>
  </si>
  <si>
    <t>51414</t>
  </si>
  <si>
    <t>Мотыга прямая М150 пр. (ЕР)</t>
  </si>
  <si>
    <t>51415</t>
  </si>
  <si>
    <t>Мотыга радиусная большая М190рад. (ЕР)/35/</t>
  </si>
  <si>
    <t>51464</t>
  </si>
  <si>
    <t>Рыхлитель "Чудо-лопата" 490 Т мм ЯТК П./1/</t>
  </si>
  <si>
    <t>51687</t>
  </si>
  <si>
    <t>Тачка Yard строительная двухколесная 240кг 110л/66-9-200</t>
  </si>
  <si>
    <t>51686</t>
  </si>
  <si>
    <t>Тачка Yard строительная одноколесная 180кг 90л/66-9-180</t>
  </si>
  <si>
    <t>51794</t>
  </si>
  <si>
    <t>Тачка СИБРТЕХ садовая одноколесная облегченная 65л/689615</t>
  </si>
  <si>
    <t>517 Ограждения декоративные/присособления</t>
  </si>
  <si>
    <t>51732</t>
  </si>
  <si>
    <t>Изолента садовая для подвязки растений 12мм *45м /50/</t>
  </si>
  <si>
    <t>51701</t>
  </si>
  <si>
    <t>Ограждение Корсика  слоновая кость/ING60008СЛК-13Р</t>
  </si>
  <si>
    <t>00924</t>
  </si>
  <si>
    <t>Пирамида садовая декоративная для вьющихся растений, 198 х 33 см, пирамида/ PALISAD/69127</t>
  </si>
  <si>
    <t>51893</t>
  </si>
  <si>
    <t>Подвязка для растений INBLOOM 0,7*20см 10шт. 24*7*2 154-059</t>
  </si>
  <si>
    <t>51892</t>
  </si>
  <si>
    <t>Подвязка из мягкой проволоки INBLOOM Д1,5 20м 10 шт. 154-011 /6/</t>
  </si>
  <si>
    <t>51731</t>
  </si>
  <si>
    <t>Подвязки для растений 25 см 100 шт 5062 /120/</t>
  </si>
  <si>
    <t>51729</t>
  </si>
  <si>
    <t>Проволока для подвязки растений на катушке с ножом 25м 5030 /120/</t>
  </si>
  <si>
    <t>51894</t>
  </si>
  <si>
    <t>Сетка для защиты урожая от птиц Inbloom 5*5м 165-015</t>
  </si>
  <si>
    <t>518 Товары для консервирования</t>
  </si>
  <si>
    <t>51883</t>
  </si>
  <si>
    <t>Захват проволочный</t>
  </si>
  <si>
    <t>51862</t>
  </si>
  <si>
    <t>Крышка д/слива 28*10,5 см СК76-5 /12/96/</t>
  </si>
  <si>
    <t>51810</t>
  </si>
  <si>
    <t>Крышка д/слива D10,5 см МТ76-15 /20/</t>
  </si>
  <si>
    <t>49039</t>
  </si>
  <si>
    <t>Крышка д/слива компота М056 /100/</t>
  </si>
  <si>
    <t>51825</t>
  </si>
  <si>
    <t>Крышка д/слива с ручкой D12.5*8,5 см МТ76-19 /12/180/</t>
  </si>
  <si>
    <t>51877</t>
  </si>
  <si>
    <t>Крышка д/сливна банок МГ76-84 /20/</t>
  </si>
  <si>
    <t>51826</t>
  </si>
  <si>
    <t>Крышка мелалич. СКО 1-82 г. Магнитогорск Урожай 50 штук /12/ 843-004</t>
  </si>
  <si>
    <t>51895</t>
  </si>
  <si>
    <t>Крышка мелалич. СКО 1-82 г. Уральск 50 штук 843-004 /12/</t>
  </si>
  <si>
    <t>51871</t>
  </si>
  <si>
    <t>Крышка металич. Иркутск.Твист III-100 ЭЖК Ералаш 15 шт /12/</t>
  </si>
  <si>
    <t>51834</t>
  </si>
  <si>
    <t>Крышка металич. Иркутск.Твист III-82 Ералаш 20 шт /12/</t>
  </si>
  <si>
    <t>51870</t>
  </si>
  <si>
    <t>Крышка металич. Иркутск.Твист III-89 Ералаш 20 шт /12/</t>
  </si>
  <si>
    <t>51882</t>
  </si>
  <si>
    <t>Крышка п-эт. Альтернатива Хозяюшка 10шт М353 /20/</t>
  </si>
  <si>
    <t>51824</t>
  </si>
  <si>
    <t>Крышка п-эт. Альтернатива Хозяюшка М352 /200/</t>
  </si>
  <si>
    <t>51866</t>
  </si>
  <si>
    <t>Крышка силиконовая для хранения продуктов 10*10 см VL80-170 /12/144/</t>
  </si>
  <si>
    <t>51813</t>
  </si>
  <si>
    <t>Крышка силиконовая для хранения продуктов 14*14 см VL80-171 /12/144/</t>
  </si>
  <si>
    <t>51823</t>
  </si>
  <si>
    <t>Крышка силиконовая для хранения продуктов 19*19 см VL80-172 /12/144/</t>
  </si>
  <si>
    <t>51873</t>
  </si>
  <si>
    <t>Крышки д/банок Радуга 10 шт ЭМ76-96 /6/</t>
  </si>
  <si>
    <t>51819</t>
  </si>
  <si>
    <t>Крышки пластиковые Ангарск 10 шт Д82см /20/</t>
  </si>
  <si>
    <t>51820</t>
  </si>
  <si>
    <t>Крышки пластиковые Ангарск 10 шт Д82см прозрачные /20/</t>
  </si>
  <si>
    <t>51802</t>
  </si>
  <si>
    <t>Крышки полиэтилен для консерв. Горячая 10 шт 843-055 /30/</t>
  </si>
  <si>
    <t>51814</t>
  </si>
  <si>
    <t>Крышки полиэтилен для консерв. Холодная 10 шт 843-056 /30/</t>
  </si>
  <si>
    <t>51801</t>
  </si>
  <si>
    <t>Крышки силиконовые 4 шт эконом 437-285 /12/</t>
  </si>
  <si>
    <t>51809</t>
  </si>
  <si>
    <t>Крышки силиконовые 6 шт /150/</t>
  </si>
  <si>
    <t>51807</t>
  </si>
  <si>
    <t>Крышки силиконовые 6 шт 3 цв. 437-268 /12/192/</t>
  </si>
  <si>
    <t>51844</t>
  </si>
  <si>
    <t>Машинка Закаточная автомат ЗМ 2/8 843-024 Сказка /2/20/</t>
  </si>
  <si>
    <t>51808</t>
  </si>
  <si>
    <t>Машинка Закаточная винтовая с подшипником /50/</t>
  </si>
  <si>
    <t>51811</t>
  </si>
  <si>
    <t>Машинка Закаточная винтовая Улитка ЗМУП</t>
  </si>
  <si>
    <t>51899</t>
  </si>
  <si>
    <t>Машинка Закаточная винтовая Улитка Хозяюшка</t>
  </si>
  <si>
    <t>51839</t>
  </si>
  <si>
    <t>Машинка Закаточная полуавтомат Улитка Москвичка</t>
  </si>
  <si>
    <t>51830</t>
  </si>
  <si>
    <t>Ручка для банок d.82 /5/</t>
  </si>
  <si>
    <t>51886</t>
  </si>
  <si>
    <t>Стерилизатор 3- местный ФЭ9-3 /10/80/</t>
  </si>
  <si>
    <t>519 Опрыскиватели/Распылители</t>
  </si>
  <si>
    <t>51981</t>
  </si>
  <si>
    <t>Опрыскиватель помповый Альтернатива Дачник 3,0 л помповый М7479 /11/</t>
  </si>
  <si>
    <t>51904</t>
  </si>
  <si>
    <t>Опрыскиватель ручной PALISAD, 1,25 л, с пульверизатором /64735</t>
  </si>
  <si>
    <t>51911</t>
  </si>
  <si>
    <t>Опрыскиватель ручной PALISAD, 2 л, с насосом и клапаном сброса давления/64738</t>
  </si>
  <si>
    <t>51982</t>
  </si>
  <si>
    <t>Опрыскиватель ручной PALISAD, 3 л, с насосом, шлангом, разбрызгиватель /64743</t>
  </si>
  <si>
    <t>51946</t>
  </si>
  <si>
    <t>Опрыскиватель ручной PALISAD, 5 л, с насосом, шлангом, разбрызгиватель/64740</t>
  </si>
  <si>
    <t>51947</t>
  </si>
  <si>
    <t>Опрыскиватель ручной PALISAD, 7 л, с насосом, шлангом, разбрызгиватель/64750</t>
  </si>
  <si>
    <t>51350</t>
  </si>
  <si>
    <t>Опрыскиватель Туман ОГ-303М складной модифиц.</t>
  </si>
  <si>
    <t>51361</t>
  </si>
  <si>
    <t>Опрыскиватель Туман ОГ-307М модифиц.</t>
  </si>
  <si>
    <t>51948</t>
  </si>
  <si>
    <t>Опрыскиватель-насадка PALISAD на бутылку /64732</t>
  </si>
  <si>
    <t>51950</t>
  </si>
  <si>
    <t>Опрыскиватель-насадка на бутылку 15 см (триггер)</t>
  </si>
  <si>
    <t>51909</t>
  </si>
  <si>
    <t>Опрыскиватель-насадка на бутылку 20 см /500/</t>
  </si>
  <si>
    <t>51393</t>
  </si>
  <si>
    <t>Опрыскиватель-насадка на бутылку 24 см 471-206 /10/180/</t>
  </si>
  <si>
    <t>51988</t>
  </si>
  <si>
    <t>Опрыскиватель-насадка на бутылку 25 см (триггер) А 166-005 /24/</t>
  </si>
  <si>
    <t>51995</t>
  </si>
  <si>
    <t>Опрыскиватель-насадка на бутылку 30 см /500/</t>
  </si>
  <si>
    <t>51944</t>
  </si>
  <si>
    <t>Опрыскиватель-насадка на бутылку Грин Бэлт /500/</t>
  </si>
  <si>
    <t>51941</t>
  </si>
  <si>
    <t>Опрыскиватель-насадка на бутылку М2171 /50/</t>
  </si>
  <si>
    <t>51926</t>
  </si>
  <si>
    <t>Распылитель жидкости 0,33л Конус граненый красный /30/</t>
  </si>
  <si>
    <t>51998</t>
  </si>
  <si>
    <t>Распылитель жидкости 0,35л Пшик М8253 /50/</t>
  </si>
  <si>
    <t>51925</t>
  </si>
  <si>
    <t>Распылитель жидкости 0,3л Ракушка /30/</t>
  </si>
  <si>
    <t>51966</t>
  </si>
  <si>
    <t>Распылитель жидкости 0,4л Бочка /60/</t>
  </si>
  <si>
    <t>51983</t>
  </si>
  <si>
    <t>Распылитель жидкости 0,5л Гранада М488 /40/</t>
  </si>
  <si>
    <t>53044</t>
  </si>
  <si>
    <t>Распылитель жидкости 0,5л Грация М439 /40/</t>
  </si>
  <si>
    <t>51942</t>
  </si>
  <si>
    <t>Распылитель жидкости 0,5л Капелька М499 /30/</t>
  </si>
  <si>
    <t>51916</t>
  </si>
  <si>
    <t>Распылитель жидкости 0,5л Курок h18 /60/</t>
  </si>
  <si>
    <t>51937</t>
  </si>
  <si>
    <t>Распылитель жидкости 0,5л Курок h25 /50/</t>
  </si>
  <si>
    <t>51957</t>
  </si>
  <si>
    <t>Распылитель жидкости 0,5л Лотос М298 /50/</t>
  </si>
  <si>
    <t>51309</t>
  </si>
  <si>
    <t>Распылитель жидкости 0,7л Лотос М294 /25/</t>
  </si>
  <si>
    <t>51969</t>
  </si>
  <si>
    <t>Распылитель жидкости 1,0 л Грация М8257 /19/</t>
  </si>
  <si>
    <t>53051</t>
  </si>
  <si>
    <t>Распылитель жидкости 1,0л Лотос М291 /20/</t>
  </si>
  <si>
    <t>51938</t>
  </si>
  <si>
    <t>Рассеиватель для лейки 10л М181 /20/</t>
  </si>
  <si>
    <t>51943</t>
  </si>
  <si>
    <t>Рассеиватель для лейки Ромашка М1769 /20/</t>
  </si>
  <si>
    <t>520-524 Новогодние товары</t>
  </si>
  <si>
    <t>520 Мишура новогодняя</t>
  </si>
  <si>
    <t>52326</t>
  </si>
  <si>
    <t>Дождик Сноу Бум 100*9 см пвх, белеск 5цв 377-316</t>
  </si>
  <si>
    <t>52325</t>
  </si>
  <si>
    <t>Дождик Сноу Бум 100*9 см пвх, белый 377-309</t>
  </si>
  <si>
    <t>52070</t>
  </si>
  <si>
    <t>Дождь Блестящий (золото) 15 см *1,5 м MY-182X-150</t>
  </si>
  <si>
    <t>52072</t>
  </si>
  <si>
    <t>Дождь Волнистый (голубой) 15 см *1,5 м MY-185LXW-1</t>
  </si>
  <si>
    <t>52074</t>
  </si>
  <si>
    <t>Дождь Волнистый (зеленый) 15 см *1,5 м MY-185LXW-1</t>
  </si>
  <si>
    <t>52080</t>
  </si>
  <si>
    <t>Дождь Волнистый (розовый) 15 см *1,5 м MY-185LXW-1</t>
  </si>
  <si>
    <t>52086</t>
  </si>
  <si>
    <t>Дождь Голография (розовый) 15 см *1,5 м MY-182LX</t>
  </si>
  <si>
    <t>52087</t>
  </si>
  <si>
    <t>Дождь Гофрированный (зеленый) 15 см *1,5 м 182LXW-2</t>
  </si>
  <si>
    <t>52090</t>
  </si>
  <si>
    <t>Дождь Гофрированный (пудрово-розовый) 9 см *1,5 м 185LXW-2</t>
  </si>
  <si>
    <t>52053</t>
  </si>
  <si>
    <t>Мишура Новогодняя №14 одиночная 50 см 2 м</t>
  </si>
  <si>
    <t>52054</t>
  </si>
  <si>
    <t>Мишура Новогодняя №15 одиночная 50 см 2 м</t>
  </si>
  <si>
    <t>52095</t>
  </si>
  <si>
    <t>Мишура Новогодняя №6 одиночная 35 см 2 м</t>
  </si>
  <si>
    <t>52002</t>
  </si>
  <si>
    <t>Мишура Новогодняя №9 двойная 35+35 см 2 м</t>
  </si>
  <si>
    <t>52045</t>
  </si>
  <si>
    <t>Мишура Новогодняя Классика Д7 см 2 м золото MY-163-7</t>
  </si>
  <si>
    <t>52049</t>
  </si>
  <si>
    <t>Мишура Новогодняя Классика Д7 см 2 м пудрово-розовый MY-163-7</t>
  </si>
  <si>
    <t>52030</t>
  </si>
  <si>
    <t>Мишура Новогодняя с белыми снежинками 200*9 см 4 цв.377-451 /12/360/</t>
  </si>
  <si>
    <t>52003</t>
  </si>
  <si>
    <t>Мишура Новогодняя с декором 200*9 см 377-435 /12/240/</t>
  </si>
  <si>
    <t>52029</t>
  </si>
  <si>
    <t>Мишура Новогодняя с золотыми ворсинками 200*13 см 4 цв.377-450 /12/120/</t>
  </si>
  <si>
    <t>52004</t>
  </si>
  <si>
    <t>Мишура Новогодняя с резными снежинками 200*11 см 7 цв.377-436 /14/154/</t>
  </si>
  <si>
    <t>521 Пакеты подарочные новогодние</t>
  </si>
  <si>
    <t>52100</t>
  </si>
  <si>
    <t>Елка световолокно 45см с игрушками и свечами эл. подсветка</t>
  </si>
  <si>
    <t>52142</t>
  </si>
  <si>
    <t>Пакет подарочный НГ бумажный 18*23 см 12 диз 369-024 /12/</t>
  </si>
  <si>
    <t>52145</t>
  </si>
  <si>
    <t>Пакет подарочный НГ бумажный 21*25,5 см 6 диз 369-468 /12/</t>
  </si>
  <si>
    <t>52140</t>
  </si>
  <si>
    <t>Пакет подарочный НГ бумажный 26*32 см 2135 /12/</t>
  </si>
  <si>
    <t>52143</t>
  </si>
  <si>
    <t>Пакет подарочный НГ бумажный 30*41 см 2235 /12/</t>
  </si>
  <si>
    <t>52148</t>
  </si>
  <si>
    <t>Пакет подарочный НГ бумажный 30*41 см 2333 /12/</t>
  </si>
  <si>
    <t>52126</t>
  </si>
  <si>
    <t>Пакет подарочный НГ мягкий пластик 30*30 см 150 мкм Красный бант /10/</t>
  </si>
  <si>
    <t>52125</t>
  </si>
  <si>
    <t>Пакет подарочный НГ мягкий пластик 30*40 см 150 мкм Еловое царство /10/</t>
  </si>
  <si>
    <t>52129</t>
  </si>
  <si>
    <t>Пакет подарочный НГ ПВД с вырубной ручкой 20*30 см 30 мкм Серпанти /100/</t>
  </si>
  <si>
    <t>52130</t>
  </si>
  <si>
    <t>Пакет подарочный НГ ПВД с вырубной ручкой 38*47 см 60 мкм Вечеринка /50/</t>
  </si>
  <si>
    <t>52131</t>
  </si>
  <si>
    <t>Пакет подарочный НГ ПВД с вырубной ручкой 40*47 см 45 мкм Каламбур /50/</t>
  </si>
  <si>
    <t>52128</t>
  </si>
  <si>
    <t>Пакет подарочный НГ ПВД с петлевой ручкой 60*50 см 70 мкм Снежное варьете /25/</t>
  </si>
  <si>
    <t>52121</t>
  </si>
  <si>
    <t>Пакет подарочный НГ ПВД с пластиковой ручкой 40*44 см 100 мкм Вкусный праздник /10/</t>
  </si>
  <si>
    <t>522 Гирлянды новогодние эл.</t>
  </si>
  <si>
    <t>52200</t>
  </si>
  <si>
    <t>Гирлянда 12LED Фиксинг 1,2м мкульти 220V 1080340</t>
  </si>
  <si>
    <t>52295</t>
  </si>
  <si>
    <t>Гирлянда 180LED 7,0 м  220V 8 реж красный 670999</t>
  </si>
  <si>
    <t>52201</t>
  </si>
  <si>
    <t>Гирлянда 20LED Eco  2,5 м мульти 220V моргает 1080342</t>
  </si>
  <si>
    <t>52221</t>
  </si>
  <si>
    <t>Гирлянда 20LED Eco 2,0 м 3*АА 2 реж  фиолетовый 806820</t>
  </si>
  <si>
    <t>52299</t>
  </si>
  <si>
    <t>Гирлянда 20LED Звезда 5,0 м мульти 220V 703338</t>
  </si>
  <si>
    <t>52291</t>
  </si>
  <si>
    <t>Гирлянда 20LED Звезда средняя 5,0 м мульти 220V 541535</t>
  </si>
  <si>
    <t>52276</t>
  </si>
  <si>
    <t>Гирлянда 20LED Игла 5,0 м белая 220V 1080511</t>
  </si>
  <si>
    <t>52277</t>
  </si>
  <si>
    <t>Гирлянда 20LED Игла 5,0 м синий 220V 1080512</t>
  </si>
  <si>
    <t>52292</t>
  </si>
  <si>
    <t>Гирлянда 20LED Колокольчики 5,0 м мульти 220V 541537</t>
  </si>
  <si>
    <t>52275</t>
  </si>
  <si>
    <t>Гирлянда 20LED Комета 5,0 м мкульти 220V 1080402</t>
  </si>
  <si>
    <t>52278</t>
  </si>
  <si>
    <t>Гирлянда 20LED Кубики 5,0 м мульти 220V 185507</t>
  </si>
  <si>
    <t>52234</t>
  </si>
  <si>
    <t>Гирлянда 20LED Сердце малое 5,0 м мульти 220V 1080381</t>
  </si>
  <si>
    <t>52202</t>
  </si>
  <si>
    <t>Гирлянда 20LED Снежинки малые 3,0 м мульти 3,6V 1080365</t>
  </si>
  <si>
    <t>52289</t>
  </si>
  <si>
    <t>Гирлянда 20LED Снежинки малые 5,0 м мульти 220V 541525</t>
  </si>
  <si>
    <t>52233</t>
  </si>
  <si>
    <t>Гирлянда 20LED Сосульки 3,0 м мкульти 3,6V 1080368</t>
  </si>
  <si>
    <t>52297</t>
  </si>
  <si>
    <t>Гирлянда 20LED Фонарикие 5,0 м мульти 220V 671582</t>
  </si>
  <si>
    <t>52290</t>
  </si>
  <si>
    <t>Гирлянда 20LED Шарики белые 5,0 м мульти 220V 541526</t>
  </si>
  <si>
    <t>52279</t>
  </si>
  <si>
    <t>Гирлянда 20LED Шарики льда 5,0 м мульти 220V 185509</t>
  </si>
  <si>
    <t>52288</t>
  </si>
  <si>
    <t>Гирлянда 20LED Шарики цветны 5,0 м мульти 220V 3590698</t>
  </si>
  <si>
    <t>52281</t>
  </si>
  <si>
    <t>Гирлянда 20LED Шишки 5,0 м мульти 220V 185514</t>
  </si>
  <si>
    <t>52283</t>
  </si>
  <si>
    <t>Гирлянда 25LED Фиксинг 2,5 м мульти 220V 2361592</t>
  </si>
  <si>
    <t>52212</t>
  </si>
  <si>
    <t>Гирлянда 40LED Eco 4,0 м 3*АА 2 реж  фиолетовый 806821</t>
  </si>
  <si>
    <t>52286</t>
  </si>
  <si>
    <t>Гирлянда 48LED Бахрома ECO 1,8*0,5 м  220V 8 реж синий 3556839</t>
  </si>
  <si>
    <t>52285</t>
  </si>
  <si>
    <t>Гирлянда 48LED Бахрома ECO 1,8*0,5 м  220V 8 реж фиолет 3556832</t>
  </si>
  <si>
    <t>52296</t>
  </si>
  <si>
    <t>Гирлянда Мульти элек 180 ламп 220V 8 реж красный 7м 671007</t>
  </si>
  <si>
    <t>52230</t>
  </si>
  <si>
    <t>Гирлянда Сноу Бум электр. Вьюн 14м 180LED 8 реж.мультицв.ПВХ черный 220В 384-035 /60/</t>
  </si>
  <si>
    <t>52207</t>
  </si>
  <si>
    <t>Гирлянда Сноу Бум электр. Вьюн 14м 180LED пост.св. белый ПВХ прозр. 220В 384-039 /60/</t>
  </si>
  <si>
    <t>52232</t>
  </si>
  <si>
    <t>Гирлянда Сноу Бум электр. Вьюн 14м 180LED пост.св.шампань ПВХ прозр. 220В 384-065 /100/</t>
  </si>
  <si>
    <t>52240</t>
  </si>
  <si>
    <t>Гирлянда Сноу Бум электр. Вьюн 3м 30LED пост.св.Новогодние бусы шампань/медь ПВХ прозр. 220В /100/</t>
  </si>
  <si>
    <t>52258</t>
  </si>
  <si>
    <t>Гирлянда Сноу Бум электр. Вьюн 7м 100ламп. Цвет. 8Реж., темн. Провод 220В 384-023 /100/</t>
  </si>
  <si>
    <t>52245</t>
  </si>
  <si>
    <t>Гирлянда Сноу Бум электр. Вьюн 9м 100LED 8 реж.срк.мультицв.ПВХ черный 220В 384-060 /100/</t>
  </si>
  <si>
    <t>52235</t>
  </si>
  <si>
    <t>Гирлянда Сноу Бум электр. Вьюн 9м 100LED пост.св..пурпурн.шампань ПВХ прозр. 220В 384-101 /100/</t>
  </si>
  <si>
    <t>52238</t>
  </si>
  <si>
    <t>Гирлянда Сноу Бум электр. Вьюн 9м 100LED пост.св..розовое золото ПВХ прозр. 220В 384-103 /100/</t>
  </si>
  <si>
    <t>52239</t>
  </si>
  <si>
    <t>Гирлянда Сноу Бум электр. Вьюн 9м 100LED пост.св.аква/шампань ПВХ прозр. 220В 384-104 /100/</t>
  </si>
  <si>
    <t>52259</t>
  </si>
  <si>
    <t>Гирлянда Сноу Бум электр. Вьюн 9м 100LED пост.св.гол+шампань ПВХ прозр. 220В 384-102 /100/</t>
  </si>
  <si>
    <t>52243</t>
  </si>
  <si>
    <t>Гирлянда Сноу Бум электр. Вьюн 9м 100LED пост.св.шампань ПВХ прозр. 220В 384-051 /100/</t>
  </si>
  <si>
    <t>52268</t>
  </si>
  <si>
    <t>Гирлянда Сноу Бум электр. Вьюн 9м 100ламп. Алмаз изумруд. 8Реж., прозр. провод 220В 351-490</t>
  </si>
  <si>
    <t>52220</t>
  </si>
  <si>
    <t>Гирлянда Сноу Бум электр.10LED 2 м Хрустальные колокольчики шампань пост св. ПВХ прозр. 2*АА /100/</t>
  </si>
  <si>
    <t>52203</t>
  </si>
  <si>
    <t>Гирлянда Сноу Бум электр.14LED 3 м Шар Д15 мм мультицвет 8 реж. ПВХ прозр. 220В 381-145 /100/</t>
  </si>
  <si>
    <t>52248</t>
  </si>
  <si>
    <t>Гирлянда Сноу Бум электр.19LED Алмаз бел.-син.автореж. 220В 381-148</t>
  </si>
  <si>
    <t>52218</t>
  </si>
  <si>
    <t>Гирлянда Сноу Бум электр.19LED Шишка 3D цвет. хамел. 220В 381-146</t>
  </si>
  <si>
    <t>52219</t>
  </si>
  <si>
    <t>Гирлянда Сноу Бум электр.Мобилб/мишки/Елочки 17*17*62см 381-012</t>
  </si>
  <si>
    <t>52270</t>
  </si>
  <si>
    <t>Гирлянда Сноу Бум электр.Снежинки LED 19 бело-син.ламп. автореж. 381-144 /4/100/</t>
  </si>
  <si>
    <t>52204</t>
  </si>
  <si>
    <t>Диско шар МР3 светодиодный 220В флешка пульт</t>
  </si>
  <si>
    <t>523 Украшения новогодние</t>
  </si>
  <si>
    <t>52353</t>
  </si>
  <si>
    <t>Бант Сноу Бум 17*22 см ПВХ 5 цв. 379-146 /10/</t>
  </si>
  <si>
    <t>52363</t>
  </si>
  <si>
    <t>Банты Сноу Бум 10*10 см ПВХ 6 цв. 2 штуки 379-144 /12/</t>
  </si>
  <si>
    <t>52362</t>
  </si>
  <si>
    <t>Банты Сноу Бум 9*11 см ПВХ 3 цв. 3 штуки 379-143 /12/</t>
  </si>
  <si>
    <t>29832</t>
  </si>
  <si>
    <t>Брелок Сноу Бум новогодний поросенок 4см, полистоун, 4диз. 359-634</t>
  </si>
  <si>
    <t>52356</t>
  </si>
  <si>
    <t>Календарь-магнит на холодильник Символ года 15*10 см бумага винил 12 диз. 393-250</t>
  </si>
  <si>
    <t>52355</t>
  </si>
  <si>
    <t>Календарь-магнит на холодильник Символ года 8*8 см бумага винил 12 диз. 393-248</t>
  </si>
  <si>
    <t>52372</t>
  </si>
  <si>
    <t>Магнит на холодильник с термометром Сноу бум Символ года 2022 5,5*4 см 6 цв 359-804</t>
  </si>
  <si>
    <t>52330</t>
  </si>
  <si>
    <t>Магнит на холодильник с термометром Сноу бум Символ года 5*5,6см Мышка 4 диз 359-723</t>
  </si>
  <si>
    <t>52323</t>
  </si>
  <si>
    <t>Магнит на холодильник Сноу бум Мышка с деньгами 5*4см 4диз. 359-702</t>
  </si>
  <si>
    <t>52324</t>
  </si>
  <si>
    <t>Магнит на холодильник Сноу бум Символ года 4*4*1,5см стекло 12диз. 359-727</t>
  </si>
  <si>
    <t>52371</t>
  </si>
  <si>
    <t>Магнит Сноу бум Символ года 2022  5*4,5 см ПВХ 12 диз. 359-803</t>
  </si>
  <si>
    <t>52328</t>
  </si>
  <si>
    <t>Набор бумажных тарелок Сноу Бум 6шт 393-202 /12/</t>
  </si>
  <si>
    <t>52366</t>
  </si>
  <si>
    <t>Салфетки Сноу Бум бумажные праздничные 33*33 см 12 шт. 393-275</t>
  </si>
  <si>
    <t>31637</t>
  </si>
  <si>
    <t>Светильник акрил.Елочка и Дедушка Мороз CR2032 2 шт комплект.</t>
  </si>
  <si>
    <t>52370</t>
  </si>
  <si>
    <t>Скатерть Сноу Бум бумажная праздничная 180*108 см 30 мкм 393-281</t>
  </si>
  <si>
    <t>52333</t>
  </si>
  <si>
    <t>Сувенир светящийся на липучке Веселый Санта</t>
  </si>
  <si>
    <t>52334</t>
  </si>
  <si>
    <t>Сувенир светящийся на липучке два Снеговика</t>
  </si>
  <si>
    <t>52373</t>
  </si>
  <si>
    <t>Сувенир светящийся на липучке Дед Мороз в гирлянде</t>
  </si>
  <si>
    <t>52332</t>
  </si>
  <si>
    <t>Сувенир светящийся на липучке Удивленный Санта</t>
  </si>
  <si>
    <t>52357</t>
  </si>
  <si>
    <t>Хлопушка Сноу Бум пружинная 10 см наполнитель фольга 2022 399-122</t>
  </si>
  <si>
    <t>52359</t>
  </si>
  <si>
    <t>Хлопушка Сноу Бум пружинная 16 см наполнитель фольга 2022 399-113</t>
  </si>
  <si>
    <t>52329</t>
  </si>
  <si>
    <t>Хлопушка Сноу Бум пружинная 26 см наполнитель фольга 2022 399-114 /12/</t>
  </si>
  <si>
    <t>29757</t>
  </si>
  <si>
    <t>Шары Сноу Бум 12 шт в пакете, см, ассорт.цв пласт.372-319</t>
  </si>
  <si>
    <t>52301</t>
  </si>
  <si>
    <t>Шары Сноу Бум 6 шт 6 см пластик 5 диз. 373-283 /100/</t>
  </si>
  <si>
    <t>52361</t>
  </si>
  <si>
    <t>Шары Сноу Бум 6 шт 6 см пластик рельефные 5 диз. 373-282 /100/</t>
  </si>
  <si>
    <t>524 Стикеры Новогодние</t>
  </si>
  <si>
    <t>52322</t>
  </si>
  <si>
    <t>Наклейка BJ22-4 36 см</t>
  </si>
  <si>
    <t>55805</t>
  </si>
  <si>
    <t>Наклейка JR-SDJ1003 Новогодние шары</t>
  </si>
  <si>
    <t>52321</t>
  </si>
  <si>
    <t>Наклейка JR-SDJ1006 Дружба 30*40 см</t>
  </si>
  <si>
    <t>55772</t>
  </si>
  <si>
    <t>Наклейка PSX 2204 Снежинки 2</t>
  </si>
  <si>
    <t>55773</t>
  </si>
  <si>
    <t>Наклейка RСX 0006 Дед Мороз и Снегурочка</t>
  </si>
  <si>
    <t>55774</t>
  </si>
  <si>
    <t>Наклейка RСX 0007 Тройка</t>
  </si>
  <si>
    <t>55776</t>
  </si>
  <si>
    <t>Наклейка WDX 0012 Праздничные шары 2листа</t>
  </si>
  <si>
    <t>55784</t>
  </si>
  <si>
    <t>Наклейка WDX 0401АВ статич. Дружная компания</t>
  </si>
  <si>
    <t>52318</t>
  </si>
  <si>
    <t>Наклейка голография Чудес в новом году 21*33 см 2400469</t>
  </si>
  <si>
    <t>52311</t>
  </si>
  <si>
    <t>Наклейка на стекло Снежинка с золотинкой 10,5*12 см 1399664</t>
  </si>
  <si>
    <t>52300</t>
  </si>
  <si>
    <t>Наклейка НГ 30*42 см 120диз.336-368 /12/288/</t>
  </si>
  <si>
    <t>55781</t>
  </si>
  <si>
    <t>Наклейка Сноу бум пвх 30*38 см 336-353</t>
  </si>
  <si>
    <t>52401</t>
  </si>
  <si>
    <t>Наклейка Сноу бум ПВХ глиттер 15*42 см 8 диз.336-371 /16/576/</t>
  </si>
  <si>
    <t>55757</t>
  </si>
  <si>
    <t>Наклейка Сноу бум с глиттером 30*42 см 336-269</t>
  </si>
  <si>
    <t>55771</t>
  </si>
  <si>
    <t>Наклейка Сноу бум с глиттером, пвх 20*30 см 336-352</t>
  </si>
  <si>
    <t>52403</t>
  </si>
  <si>
    <t>Наклейка Сноу бум серебр. золото глиттер 6 диз. 30*42 см 336-422 /12/288/</t>
  </si>
  <si>
    <t>52402</t>
  </si>
  <si>
    <t>Наклейка Сноу бум серебряный глиттер Хамелеон 4 диз. 30*42 см 336-375 /12/288/</t>
  </si>
  <si>
    <t>52400</t>
  </si>
  <si>
    <t>Наклейка Сноу бум со снежинками Хвмелерн 30/42 см 40 диз. 336-367 /12/288/</t>
  </si>
  <si>
    <t>55780</t>
  </si>
  <si>
    <t>Наклейка Сноу бум фольга с галографией, пвх 30*38 см 336-347</t>
  </si>
  <si>
    <t>55770</t>
  </si>
  <si>
    <t>Панно бумажное Сноу бум, С Новым Годом, 50*27 см 2 дизайна 336-331</t>
  </si>
  <si>
    <t>55758</t>
  </si>
  <si>
    <t>Панно бумажное Сноу бум, Снегурочка и снегирь, 33*46 см 336-278</t>
  </si>
  <si>
    <t>55783</t>
  </si>
  <si>
    <t>Панно Сноу бум, подвесное, бумага, пенопалст 29 см., 4 диз. 336-362</t>
  </si>
  <si>
    <t>52404</t>
  </si>
  <si>
    <t>Растяжка С Новым Годом 230*18 см 336-409 /10/100/</t>
  </si>
  <si>
    <t>550-561 Строительные материалы</t>
  </si>
  <si>
    <t>550 Гипсокартон и комплектующие</t>
  </si>
  <si>
    <t>55011</t>
  </si>
  <si>
    <t>Крепление для для установки дверей (СМС)</t>
  </si>
  <si>
    <t>551 Сетки армирующие</t>
  </si>
  <si>
    <t>55106</t>
  </si>
  <si>
    <t>Серпянка TYTAN самокл. 0,045*20м /10672</t>
  </si>
  <si>
    <t>55126</t>
  </si>
  <si>
    <t>Серпянка TYTAN самокл. 0,045*45м /12848</t>
  </si>
  <si>
    <t>55110</t>
  </si>
  <si>
    <t>Серпянка TYTAN самокл. 0,045*90м /12862</t>
  </si>
  <si>
    <t>55123</t>
  </si>
  <si>
    <t>Серпянка TYTAN самокл. 0,1*45м/12909</t>
  </si>
  <si>
    <t>552 Сливы</t>
  </si>
  <si>
    <t>69204</t>
  </si>
  <si>
    <t>Слив оконный 200мм 2,5м /К/</t>
  </si>
  <si>
    <t>554 Прочие строительные материалы</t>
  </si>
  <si>
    <t>55404</t>
  </si>
  <si>
    <t>Крепежная пластина крашеная 180x70 мм /П</t>
  </si>
  <si>
    <t>03140</t>
  </si>
  <si>
    <t>Подложка Термодом НПЭ Ф+Скл  5мм*100см*25м фольга+клейк.слой</t>
  </si>
  <si>
    <t>00473</t>
  </si>
  <si>
    <t>Потолочный плинтус 2м  06004Е 1шт /100/</t>
  </si>
  <si>
    <t>55433</t>
  </si>
  <si>
    <t>Уголок крепежный усиленный 100*100*40*2 оцинк./50/</t>
  </si>
  <si>
    <t>55434</t>
  </si>
  <si>
    <t>Уголок крепежный усиленный 100*100*60*2 оцинк./50/</t>
  </si>
  <si>
    <t>55445</t>
  </si>
  <si>
    <t>Уголок крепежный усиленный 105*105*90*2 оцинк./25/</t>
  </si>
  <si>
    <t>55383</t>
  </si>
  <si>
    <t>Уголок крепежный усиленный 125*125*65*2 оцинк./25/</t>
  </si>
  <si>
    <t>55385</t>
  </si>
  <si>
    <t>Уголок крепежный усиленный 150*150*65*2 оцинк./25/</t>
  </si>
  <si>
    <t>55401</t>
  </si>
  <si>
    <t>Уголок крепежный усиленный 65*65*50 оцинк./50/500/</t>
  </si>
  <si>
    <t>55409</t>
  </si>
  <si>
    <t>Уголок крепежный усиленный 90*90*65 оцинк. /25/</t>
  </si>
  <si>
    <t>55451</t>
  </si>
  <si>
    <t>Уголок пл.10*10 белый 2,7 м /25/</t>
  </si>
  <si>
    <t>04417</t>
  </si>
  <si>
    <t>Уголок пл.20*20 белый 2,7 м /25/</t>
  </si>
  <si>
    <t>55416</t>
  </si>
  <si>
    <t>Уголок пл.25*25 белый 2,7 м /50/</t>
  </si>
  <si>
    <t>55406</t>
  </si>
  <si>
    <t>Уголок пл.30*20 белый 2,7 м /25/</t>
  </si>
  <si>
    <t>55446</t>
  </si>
  <si>
    <t>Уголок пл.30*20 белый 2,7 м /25/ 7265</t>
  </si>
  <si>
    <t>55417</t>
  </si>
  <si>
    <t>Уголок пл.30*30 белый 2,7 м /25/</t>
  </si>
  <si>
    <t>55429</t>
  </si>
  <si>
    <t>Уголок пл.40*20 белый 2,7 м /25/</t>
  </si>
  <si>
    <t>55455</t>
  </si>
  <si>
    <t>Уголок пл.40*40 белый 2,7 м /25/ 7262</t>
  </si>
  <si>
    <t>55419</t>
  </si>
  <si>
    <t>Уголок пл.50*50 белый 2,7 м /25/</t>
  </si>
  <si>
    <t>55431</t>
  </si>
  <si>
    <t>Уголок пл.60*60 белый 2,7 м /25/</t>
  </si>
  <si>
    <t>556 Уплотнители</t>
  </si>
  <si>
    <t>45022</t>
  </si>
  <si>
    <t>Уплотнитель KIM TEC Е-профиль 150м 9*4,0 белый Германия /6/93864</t>
  </si>
  <si>
    <t>45023</t>
  </si>
  <si>
    <t>Уплотнитель KIM TEC Е-профиль 150м 9*4,0 корич. Германия /6/94866</t>
  </si>
  <si>
    <t>55608</t>
  </si>
  <si>
    <t>Уплотнитель TYTAN  ПРОМЫШЛ. D-профиль белый 12*10мм, 50м /2/</t>
  </si>
  <si>
    <t>55637</t>
  </si>
  <si>
    <t>Уплотнитель TYTAN  ПРОМЫШЛ. D-профиль белый 14*12мм, 40м /2/</t>
  </si>
  <si>
    <t>55669</t>
  </si>
  <si>
    <t>Уплотнитель TYTAN  ПРОМЫШЛ. D-профиль черный 12*10мм, 50м /2/</t>
  </si>
  <si>
    <t>55668</t>
  </si>
  <si>
    <t>Уплотнитель TYTAN  ПРОМЫШЛ. D-профиль черный 14*12мм, 40м /2/</t>
  </si>
  <si>
    <t>55670</t>
  </si>
  <si>
    <t>Уплотнитель TYTAN  ПРОМЫШЛ. D-профиль черный 21*15мм, 50м /2/</t>
  </si>
  <si>
    <t>55665</t>
  </si>
  <si>
    <t>Уплотнитель TYTAN D-профиль 100м 9*7,5 белый Польша /8/</t>
  </si>
  <si>
    <t>55666</t>
  </si>
  <si>
    <t>Уплотнитель TYTAN D-профиль 100м 9*7,5 корич. Польша /8/</t>
  </si>
  <si>
    <t>55667</t>
  </si>
  <si>
    <t>Уплотнитель TYTAN D-профиль 100м 9*7,5 черный Польша /8/</t>
  </si>
  <si>
    <t>55671</t>
  </si>
  <si>
    <t>Уплотнитель TYTAN Е-профиль 150м 9*4,0 белый Польша /8/</t>
  </si>
  <si>
    <t>55672</t>
  </si>
  <si>
    <t>Уплотнитель TYTAN Е-профиль 150м 9*4,0 корич. Польша /2/</t>
  </si>
  <si>
    <t>55673</t>
  </si>
  <si>
    <t>Уплотнитель TYTAN Е-профиль 150м 9*4,0 черный Польша /8/</t>
  </si>
  <si>
    <t>55678</t>
  </si>
  <si>
    <t>Уплотнитель TYTAN Е-профиль 50м 15*8,0 черный Польша /8/</t>
  </si>
  <si>
    <t>55675</t>
  </si>
  <si>
    <t>Уплотнитель TYTAN Р-профиль 100м 9*5,5 белый Польша /8/</t>
  </si>
  <si>
    <t>55676</t>
  </si>
  <si>
    <t>Уплотнитель TYTAN Р-профиль 100м 9*5,5 корич. Польша /8/</t>
  </si>
  <si>
    <t>55677</t>
  </si>
  <si>
    <t>Уплотнитель TYTAN Р-профиль 100м 9*5,5 черный Польша /8/</t>
  </si>
  <si>
    <t>55630</t>
  </si>
  <si>
    <t>Уплотнитель Ермак 6 м изолоновый белый 446-052 /40/</t>
  </si>
  <si>
    <t>558 Стикеры</t>
  </si>
  <si>
    <t>55717</t>
  </si>
  <si>
    <t>Наклейка CO 008 фоторамка Розовая сакура</t>
  </si>
  <si>
    <t>55706</t>
  </si>
  <si>
    <t>Наклейка FD 006 Стрекозы разноцветные</t>
  </si>
  <si>
    <t>55814</t>
  </si>
  <si>
    <t>Наклейка H-001 настенная Розы 70*50</t>
  </si>
  <si>
    <t>55733</t>
  </si>
  <si>
    <t>Наклейка RBA 2001 Избушка и Баба-Яга</t>
  </si>
  <si>
    <t>55806</t>
  </si>
  <si>
    <t>Наклейка RDA 3802 Фея</t>
  </si>
  <si>
    <t>55820</t>
  </si>
  <si>
    <t>Наклейка Vetta Узоры 3 диз. 416-257 /12/96/</t>
  </si>
  <si>
    <t>55810</t>
  </si>
  <si>
    <t>Наклейка WX-008TA Красочная математика 29*39</t>
  </si>
  <si>
    <t>55812</t>
  </si>
  <si>
    <t>Наклейка WX-010TA Цветы 29*39</t>
  </si>
  <si>
    <t>55813</t>
  </si>
  <si>
    <t>Наклейка WX-011TA Собачки 29*39</t>
  </si>
  <si>
    <t>55853</t>
  </si>
  <si>
    <t>Наклейка декор. Ladecor с фольгинированным слоем д/текстиля бумаги тверд. поверхн. 11*16 5см 503-538</t>
  </si>
  <si>
    <t>55843</t>
  </si>
  <si>
    <t>Наклейка декор. с эффектом воздушного шара 24*415см ПВХ 429-004</t>
  </si>
  <si>
    <t>55838</t>
  </si>
  <si>
    <t>Наклейка декор. с эффектом воздушного шара 27,5*35см ПВХ 429-003</t>
  </si>
  <si>
    <t>55803</t>
  </si>
  <si>
    <t>Наклейка НН 004 Божьи коровки</t>
  </si>
  <si>
    <t>55804</t>
  </si>
  <si>
    <t>Наклейка НН 006 Бабочка</t>
  </si>
  <si>
    <t>55710</t>
  </si>
  <si>
    <t>Наклейка НН 012 Эльфы №2</t>
  </si>
  <si>
    <t>55797</t>
  </si>
  <si>
    <t>Наклейка ПВХ интерьерная 31*20 см пластик 12 диз. 503-375</t>
  </si>
  <si>
    <t>55829</t>
  </si>
  <si>
    <t>Наклейка-ростомер детская ПЭВА 53*35 см 2 диз. 503-420 /6/198/</t>
  </si>
  <si>
    <t>55821</t>
  </si>
  <si>
    <t>Наклейки на клавиатуру Forza руссские буквы, в пакете, 18*6 см 405-003</t>
  </si>
  <si>
    <t>55855</t>
  </si>
  <si>
    <t>Пленка-стикер защитная Пейзаж 5x45см JD67-13 /12/</t>
  </si>
  <si>
    <t>55856</t>
  </si>
  <si>
    <t>Пленка-стикер защитная Цветы 75x45см JD67-12 /12/</t>
  </si>
  <si>
    <t>55707</t>
  </si>
  <si>
    <t>Стикер CBA 1401 Мерцающие бабочки черные</t>
  </si>
  <si>
    <t>55819</t>
  </si>
  <si>
    <t>Стикер Vetta клейкий универс. 25*25*2 мм 4 шт. 639-020 /12/432/</t>
  </si>
  <si>
    <t>559-560 Самоклейка</t>
  </si>
  <si>
    <t>559 Обои самоклеющиеся</t>
  </si>
  <si>
    <t>55782</t>
  </si>
  <si>
    <t>Обои самоклеющиеся 2м*45см Витражн. 9261 /20/</t>
  </si>
  <si>
    <t>55732</t>
  </si>
  <si>
    <t>Обои самоклеющиеся 2м*45см Гологр 6010 красная /20/</t>
  </si>
  <si>
    <t>55541</t>
  </si>
  <si>
    <t>Обои самоклеющиеся 2м*45см Декор 3888-0 капли /20/</t>
  </si>
  <si>
    <t>55549</t>
  </si>
  <si>
    <t>Обои самоклеющиеся 2м*45см Декор 5435-1 плитка бежев. с корзиной</t>
  </si>
  <si>
    <t>55570</t>
  </si>
  <si>
    <t>Обои самоклеющиеся 2м*45см Мрамор 3807-2 голубой</t>
  </si>
  <si>
    <t>55516</t>
  </si>
  <si>
    <t>Обои самоклеющиеся 2м*45см Рекламн 008176 серый /20/</t>
  </si>
  <si>
    <t>55581</t>
  </si>
  <si>
    <t>Обои самоклеющиеся 2м*45см Рекламн 10038 синяя</t>
  </si>
  <si>
    <t>55721</t>
  </si>
  <si>
    <t>Обои самоклеющиеся Витражн. 0155Е 8м*45см /20/</t>
  </si>
  <si>
    <t>55722</t>
  </si>
  <si>
    <t>Обои самоклеющиеся Витражн. 0166Е 8м*45см /20/</t>
  </si>
  <si>
    <t>55503</t>
  </si>
  <si>
    <t>Обои самоклеющиеся Витражн. 5008 8м*45см /20/</t>
  </si>
  <si>
    <t>55730</t>
  </si>
  <si>
    <t>Обои самоклеющиеся Витражн. 5009 8м*45см /20/</t>
  </si>
  <si>
    <t>55731</t>
  </si>
  <si>
    <t>Обои самоклеющиеся Витражн. 5011C 8м*45см /20/</t>
  </si>
  <si>
    <t>55734</t>
  </si>
  <si>
    <t>Обои самоклеющиеся Витражн. 6001B 8м*45см /20/</t>
  </si>
  <si>
    <t>55712</t>
  </si>
  <si>
    <t>Обои самоклеющиеся Витражн. 6006 8м*45см /20/</t>
  </si>
  <si>
    <t>55735</t>
  </si>
  <si>
    <t>Обои самоклеющиеся Витражн. 9001 8м*45см  /20/</t>
  </si>
  <si>
    <t>55736</t>
  </si>
  <si>
    <t>Обои самоклеющиеся Витражн. 9018 8м*45см  /20/</t>
  </si>
  <si>
    <t>55574</t>
  </si>
  <si>
    <t>Обои самоклеющиеся Витражн. 9256 8м*45см /24/</t>
  </si>
  <si>
    <t>55723</t>
  </si>
  <si>
    <t>Обои самоклеющиеся Витражн. P 1 8м*45см/20/</t>
  </si>
  <si>
    <t>55588</t>
  </si>
  <si>
    <t>Обои самоклеющиеся Гологр 6007 8м*45см желтая</t>
  </si>
  <si>
    <t>55550</t>
  </si>
  <si>
    <t>Обои самоклеющиеся Гологр 6023 8м*45см зелен/24/</t>
  </si>
  <si>
    <t>55514</t>
  </si>
  <si>
    <t>Обои самоклеющиеся Гранит 120 8м*45см цветной /20/</t>
  </si>
  <si>
    <t>55593</t>
  </si>
  <si>
    <t>Обои самоклеющиеся Гранит 782 8м*45см /крошка /20/</t>
  </si>
  <si>
    <t>55586</t>
  </si>
  <si>
    <t>Обои самоклеющиеся Гранит крошка 2631 8м*45см /20/</t>
  </si>
  <si>
    <t>55573</t>
  </si>
  <si>
    <t>Обои самоклеющиеся Гранит крошка 2632 8м*45см /20/</t>
  </si>
  <si>
    <t>55548</t>
  </si>
  <si>
    <t>Обои самоклеющиеся Декор 09 1В 8м*45см бамбук беж /20/</t>
  </si>
  <si>
    <t>55545</t>
  </si>
  <si>
    <t>Обои самоклеющиеся Декор 09-1А 8м*45см бамбук зелен /20/</t>
  </si>
  <si>
    <t>55590</t>
  </si>
  <si>
    <t>Обои самоклеющиеся Декор 2647 8м*45см Кладка кирпич /20/</t>
  </si>
  <si>
    <t>55515</t>
  </si>
  <si>
    <t>Обои самоклеющиеся Декор 3848 8м*45см /20/</t>
  </si>
  <si>
    <t>55533</t>
  </si>
  <si>
    <t>Обои самоклеющиеся Декор 3851 8м*45см песок зеленый /20/</t>
  </si>
  <si>
    <t>55547</t>
  </si>
  <si>
    <t>Обои самоклеющиеся Декор 3884 8м*45см камни светло-коричневые /20/</t>
  </si>
  <si>
    <t>55554</t>
  </si>
  <si>
    <t>Обои самоклеющиеся Декор 3885 8м*45см камни зеленые /20/</t>
  </si>
  <si>
    <t>55564</t>
  </si>
  <si>
    <t>Обои самоклеющиеся Декор 5045 8м*45см рисовая соломка /24/</t>
  </si>
  <si>
    <t>55561</t>
  </si>
  <si>
    <t>Обои самоклеющиеся Декор 5459 8м*45см /24/</t>
  </si>
  <si>
    <t>55560</t>
  </si>
  <si>
    <t>Обои самоклеющиеся Декор 8010 8м*45см красные розы /20/</t>
  </si>
  <si>
    <t>69702</t>
  </si>
  <si>
    <t>Обои самоклеющиеся Декор 8139 8м*45см /20/</t>
  </si>
  <si>
    <t>55521</t>
  </si>
  <si>
    <t>Обои самоклеющиеся Дерево 102М 8м*45см желтое /20/</t>
  </si>
  <si>
    <t>55504</t>
  </si>
  <si>
    <t>Обои самоклеющиеся Дерево 2012 8м*45см /20/</t>
  </si>
  <si>
    <t>55563</t>
  </si>
  <si>
    <t>Обои самоклеющиеся Дерево 2082 8м*45см /20/</t>
  </si>
  <si>
    <t>55567</t>
  </si>
  <si>
    <t>Обои самоклеющиеся Дерево 2091 8м*45см /24/</t>
  </si>
  <si>
    <t>55568</t>
  </si>
  <si>
    <t>Обои самоклеющиеся Дерево 3008 8м*45см черное /20/</t>
  </si>
  <si>
    <t>55599</t>
  </si>
  <si>
    <t>Обои самоклеющиеся Дерево 3831 8м*45см /20/</t>
  </si>
  <si>
    <t>55565</t>
  </si>
  <si>
    <t>Обои самоклеющиеся Камни 2601 8м*45см /20/</t>
  </si>
  <si>
    <t>55571</t>
  </si>
  <si>
    <t>Обои самоклеющиеся Камни 2621 8м*45см /20/</t>
  </si>
  <si>
    <t>55584</t>
  </si>
  <si>
    <t>Обои самоклеющиеся Мрамор 2616 8м*45см розов</t>
  </si>
  <si>
    <t>55592</t>
  </si>
  <si>
    <t>Обои самоклеющиеся Мрамор 3197 8м*45см /20/</t>
  </si>
  <si>
    <t>55589</t>
  </si>
  <si>
    <t>Обои самоклеющиеся Мрамор 3807-0 8м*45см беж /24/</t>
  </si>
  <si>
    <t>55552</t>
  </si>
  <si>
    <t>Обои самоклеющиеся Мрамор 3808 8м*45см /20/</t>
  </si>
  <si>
    <t>55597</t>
  </si>
  <si>
    <t>Обои самоклеющиеся Мрамор 3812-2 8м*45см серо-розов /24/</t>
  </si>
  <si>
    <t>55595</t>
  </si>
  <si>
    <t>Обои самоклеющиеся Мрамор 3813 8м*45см /20/</t>
  </si>
  <si>
    <t>69749</t>
  </si>
  <si>
    <t>Обои самоклеющиеся Мрамор 3836B 8м*45см /20/</t>
  </si>
  <si>
    <t>55680</t>
  </si>
  <si>
    <t>Обои самоклеющиеся Рекламн 7001 8м*45см светло-голуб. /20/</t>
  </si>
  <si>
    <t>55559</t>
  </si>
  <si>
    <t>Обои самоклеющиеся Рекламн 7002В 8м*45см голуб /24/</t>
  </si>
  <si>
    <t>55681</t>
  </si>
  <si>
    <t>Обои самоклеющиеся Рекламн 7004 8м*45см темно желт /20/</t>
  </si>
  <si>
    <t>55544</t>
  </si>
  <si>
    <t>Обои самоклеющиеся Рекламн 7004В 2м*45см желт. /20/</t>
  </si>
  <si>
    <t>55682</t>
  </si>
  <si>
    <t>Обои самоклеющиеся Рекламн 7006 8м*45см ярко розов /20/</t>
  </si>
  <si>
    <t>55634</t>
  </si>
  <si>
    <t>Обои самоклеющиеся Рекламн 7011 8м*45см алая /24/</t>
  </si>
  <si>
    <t>55750</t>
  </si>
  <si>
    <t>Обои самоклеющиеся Рекламн 7012 8м*45см оранж /24/</t>
  </si>
  <si>
    <t>55683</t>
  </si>
  <si>
    <t>Обои самоклеющиеся Рекламн 7018 8м*45см зелен /20/</t>
  </si>
  <si>
    <t>55594</t>
  </si>
  <si>
    <t>Обои самоклеющиеся Рекламн 7022 8м*45см серые /20/</t>
  </si>
  <si>
    <t>55580</t>
  </si>
  <si>
    <t>Обои самоклеющиеся Рекламн 7026 8м*45см св.желт. /20/</t>
  </si>
  <si>
    <t>55738</t>
  </si>
  <si>
    <t>Обои самоклеющиеся Рекламн P0003 8м*45см текстур. белые /20/</t>
  </si>
  <si>
    <t>560 Пленка самоклеющиеся</t>
  </si>
  <si>
    <t>55779</t>
  </si>
  <si>
    <t>Пленка самоклеющаяся солнцезащитная д/окон 45см*150см зеленая 416-252 /3/60/</t>
  </si>
  <si>
    <t>56047</t>
  </si>
  <si>
    <t>Пленка самоклеющаяся солнцезащитная д/окон 45см*150см золотая 416-252 /3/</t>
  </si>
  <si>
    <t>56028</t>
  </si>
  <si>
    <t>Пленка самоклеющаяся солнцезащитная д/окон 45см*150см коричневая 416-252 /3/60/</t>
  </si>
  <si>
    <t>56046</t>
  </si>
  <si>
    <t>Пленка самоклеющаяся солнцезащитная д/окон 45см*150см серебр. 416-252 /3/</t>
  </si>
  <si>
    <t>56024</t>
  </si>
  <si>
    <t>Пленка самоклеющаяся солнцезащитная д/окон 45см*150см синяя 416-252 /3/60/</t>
  </si>
  <si>
    <t>56045</t>
  </si>
  <si>
    <t>Пленка самоклеющаяся солнцезащитная д/окон 45см*150см черная 416-252 /3/</t>
  </si>
  <si>
    <t>56011</t>
  </si>
  <si>
    <t>Пленка самоклеющаяся солнцезащитная д/окон 45см*300см зеленая 416-253 /60/</t>
  </si>
  <si>
    <t>55744</t>
  </si>
  <si>
    <t>Пленка самоклеющиеся Витражн. 45см*200см Классика 2 диз 416-249 /30/</t>
  </si>
  <si>
    <t>56041</t>
  </si>
  <si>
    <t>Пленка самоклеющиеся Витражн. ПВХ 45см*200см 2 диз. 416-226 /2/30/</t>
  </si>
  <si>
    <t>56040</t>
  </si>
  <si>
    <t>Пленка самоклеющиеся Витражн. ПВХ 45см*200см 2 диз. 416-227 /2/30/</t>
  </si>
  <si>
    <t>56065</t>
  </si>
  <si>
    <t>Пленка самоклеющиеся Витражн. ПВХ 45см*200см Декор круги цветные 416-250 /30/</t>
  </si>
  <si>
    <t>56067</t>
  </si>
  <si>
    <t>Пленка самоклеющиеся Витражн. ПВХ 45см*200см Декор листья 416-250 /30/</t>
  </si>
  <si>
    <t>56042</t>
  </si>
  <si>
    <t>Пленка самоклеющиеся Витражн. ПВХ 45см*200см Орнамент 2 диз. 416-248 /30/</t>
  </si>
  <si>
    <t>56066</t>
  </si>
  <si>
    <t>Пленка самоклеющиеся Витражн. ПВХ 45см*200см Сияние 2 диз. 416-251 /30/</t>
  </si>
  <si>
    <t>56009</t>
  </si>
  <si>
    <t>Пленка самоклеющиеся ПВХ 8 м*45 см "Цветы" бежевая с рис. 416-211 /20/</t>
  </si>
  <si>
    <t>56014</t>
  </si>
  <si>
    <t>Пленка самоклеющиеся ПВХ 8 м*45 см "Цветы" белая роз. цветы 416-211 /20/</t>
  </si>
  <si>
    <t>56003</t>
  </si>
  <si>
    <t>Пленка самоклеющиеся ПВХ 8 м*45 см "Цветы" белая с рис. 416-211 /20/</t>
  </si>
  <si>
    <t>56013</t>
  </si>
  <si>
    <t>Пленка самоклеющиеся ПВХ 8 м*45 см "Цветы" голубые 416-211 /20/</t>
  </si>
  <si>
    <t>56020</t>
  </si>
  <si>
    <t>Пленка самоклеющиеся ПВХ 8 м*45 см "Цветы" желтая с рис. 416-211 /20/</t>
  </si>
  <si>
    <t>56026</t>
  </si>
  <si>
    <t>Пленка самоклеющиеся ПВХ 8 м*45 см 416-229 дерево с рисунком /20/</t>
  </si>
  <si>
    <t>56015</t>
  </si>
  <si>
    <t>Пленка самоклеющиеся ПВХ 8 м*45 см 416-229 светлое дерево /20/</t>
  </si>
  <si>
    <t>56039</t>
  </si>
  <si>
    <t>Пленка самоклеющиеся ПВХ 8 м*45 см 416-229 сирень /20/</t>
  </si>
  <si>
    <t>56001</t>
  </si>
  <si>
    <t>Пленка самоклеющиеся ПВХ 8 м*45 см PF-054-1 416-183</t>
  </si>
  <si>
    <t>56073</t>
  </si>
  <si>
    <t>Пленка самоклеющиеся ПВХ 8 м*45 см Арт-стайл бежевый мрамор 416-265 /20/</t>
  </si>
  <si>
    <t>56071</t>
  </si>
  <si>
    <t>Пленка самоклеющиеся ПВХ 8 м*45 см Арт-стайл бел. с черным орнам. 416-265 /20/</t>
  </si>
  <si>
    <t>56032</t>
  </si>
  <si>
    <t>Пленка самоклеющиеся ПВХ 8 м*45 см блестящая Цветы белая 416-212 /24/</t>
  </si>
  <si>
    <t>56027</t>
  </si>
  <si>
    <t>Пленка самоклеющиеся ПВХ 8 м*45 см блестящая Цветы желтая 416-212 /24/</t>
  </si>
  <si>
    <t>56031</t>
  </si>
  <si>
    <t>Пленка самоклеющиеся ПВХ 8 м*45 см блестящая Цветы розовая 416-212 /24/</t>
  </si>
  <si>
    <t>56033</t>
  </si>
  <si>
    <t>Пленка самоклеющиеся ПВХ 8 м*45 см блестящая Цветы фиолетовая 416-212 /24/</t>
  </si>
  <si>
    <t>56012</t>
  </si>
  <si>
    <t>Пленка самоклеющиеся ПВХ 8 м*45 см Вензель белый /20/</t>
  </si>
  <si>
    <t>56029</t>
  </si>
  <si>
    <t>Пленка самоклеющиеся ПВХ 8 м*45 см Восточная плитка, белая 416-213 /20/</t>
  </si>
  <si>
    <t>56030</t>
  </si>
  <si>
    <t>Пленка самоклеющиеся ПВХ 8 м*45 см Восточная плитка, синяя 416-213 /20/</t>
  </si>
  <si>
    <t>56004</t>
  </si>
  <si>
    <t>Пленка самоклеющиеся ПВХ 8 м*45 см Домашний очаг Бежевая с рисунком 416-203 /20/</t>
  </si>
  <si>
    <t>56006</t>
  </si>
  <si>
    <t>Пленка самоклеющиеся ПВХ 8 м*45 см Домашний очаг Белая с рисунком 416-203 /20/</t>
  </si>
  <si>
    <t>56007</t>
  </si>
  <si>
    <t>Пленка самоклеющиеся ПВХ 8 м*45 см Домашний очаг Тропики 416-203 /20/</t>
  </si>
  <si>
    <t>56008</t>
  </si>
  <si>
    <t>Пленка самоклеющиеся ПВХ 8 м*45 см Домашний очаг Черная с рисунком 416-203 /20/</t>
  </si>
  <si>
    <t>56037</t>
  </si>
  <si>
    <t>Пленка самоклеющиеся ПВХ 8 м*45 см Кирпич/Камень коричневый 416-214 /20/</t>
  </si>
  <si>
    <t>56057</t>
  </si>
  <si>
    <t>Пленка самоклеющиеся ПВХ 8 м*45 см Моноцвет 1 голубая 416-235 /20/</t>
  </si>
  <si>
    <t>56058</t>
  </si>
  <si>
    <t>Пленка самоклеющиеся ПВХ 8 м*45 см Моноцвет 1 розовая 416-235 /20/</t>
  </si>
  <si>
    <t>56048</t>
  </si>
  <si>
    <t>Пленка самоклеющиеся ПВХ 8 м*45 см мрамор бежевый 416-168 /20/</t>
  </si>
  <si>
    <t>56044</t>
  </si>
  <si>
    <t>Пленка самоклеющиеся ПВХ 8 м*45 см мрамор белый 416-168 /20/</t>
  </si>
  <si>
    <t>56038</t>
  </si>
  <si>
    <t>Пленка самоклеющиеся ПВХ 8 м*45 см мрамор серый 416-168 /2/20/</t>
  </si>
  <si>
    <t>56043</t>
  </si>
  <si>
    <t>Пленка самоклеющиеся ПВХ 8 м*45 см мрамор черный 416-168 /20/</t>
  </si>
  <si>
    <t>56062</t>
  </si>
  <si>
    <t>Пленка самоклеющиеся ПВХ 8 м*45 см Плитка красная 416-242 /20/</t>
  </si>
  <si>
    <t>56025</t>
  </si>
  <si>
    <t>Пленка самоклеющиеся ПВХ 8 м*45 см серая 416-199</t>
  </si>
  <si>
    <t>56016</t>
  </si>
  <si>
    <t>Пленка самоклеющиеся ПВХ 8 м*45 см узор 416-167</t>
  </si>
  <si>
    <t>56017</t>
  </si>
  <si>
    <t>Пленка самоклеющиеся ПВХ 8 м*90 см 028-1 416-208</t>
  </si>
  <si>
    <t>56018</t>
  </si>
  <si>
    <t>Пленка самоклеющиеся ПВХ 8 м*90 см 3978 416-191</t>
  </si>
  <si>
    <t>56019</t>
  </si>
  <si>
    <t>Пленка самоклеющиеся ПВХ 8 м*90 см 416-188</t>
  </si>
  <si>
    <t>56021</t>
  </si>
  <si>
    <t>Пленка самоклеющиеся ПВХ 8 м*90 см 416-207</t>
  </si>
  <si>
    <t>56022</t>
  </si>
  <si>
    <t>Пленка самоклеющиеся ПВХ 8 м*90 см Вензель синий 416-209</t>
  </si>
  <si>
    <t>561 Емкости строительные</t>
  </si>
  <si>
    <t>56103</t>
  </si>
  <si>
    <t>Ведро строительное Альтернатива 15л М3022 /10/</t>
  </si>
  <si>
    <t>56106</t>
  </si>
  <si>
    <t>Ведро строительное Сибртех 12л /81434</t>
  </si>
  <si>
    <t>56107</t>
  </si>
  <si>
    <t>Ведро строительное Сибртех 16л /81436</t>
  </si>
  <si>
    <t>80091</t>
  </si>
  <si>
    <t>Таз строительный прямоугольный 40 л /62-2-140</t>
  </si>
  <si>
    <t>570 Декоративные украшения</t>
  </si>
  <si>
    <t>57000</t>
  </si>
  <si>
    <t>Декоративные цветы в кашпо Фиалки махровые в белом горшочке 5 диз 17 см 501-032 /12/</t>
  </si>
  <si>
    <t>57017</t>
  </si>
  <si>
    <t>Декоративный цветок В виде Орхидеи, керамика, пластик, 21х8, 5х5,5см, 4 цвета, арт.12-07 501-407</t>
  </si>
  <si>
    <t>57020</t>
  </si>
  <si>
    <t>Декоративный цветок в горшке в виде роз 23*8 см  пластик,кер 6 цв.501-463</t>
  </si>
  <si>
    <t>57015</t>
  </si>
  <si>
    <t>Декоративный цветок в горшке, 23,5х11х11 см, пластик, керамика, 3 цвета 501-459</t>
  </si>
  <si>
    <t>57019</t>
  </si>
  <si>
    <t>Декоративный цветок в горшке, в виде розы, пластик, керамика, 31х10 см, 4 цвета 501-466</t>
  </si>
  <si>
    <t>575 Декоративняя косметика</t>
  </si>
  <si>
    <t>57542</t>
  </si>
  <si>
    <t>Бальзам д/губ ЮниLook 3,5 г клубника 330-402 /48/</t>
  </si>
  <si>
    <t>57541</t>
  </si>
  <si>
    <t>Бальзам д/губ ЮниLook 3,5 г малина 330-402 /48/</t>
  </si>
  <si>
    <t>57540</t>
  </si>
  <si>
    <t>Бальзам д/губ ЮниLook 3,5 г персик 330-402 /48/</t>
  </si>
  <si>
    <t>57514</t>
  </si>
  <si>
    <t>Бальзам д/губ ЮниLook 3,5 г яблоко 330-402 /48/</t>
  </si>
  <si>
    <t>57518</t>
  </si>
  <si>
    <t>Бальзам д/губ ЮниLook 8 г вишня 330-422 /24/</t>
  </si>
  <si>
    <t>57558</t>
  </si>
  <si>
    <t>Бальзам д/губ ЮниLook 8 г кола 330-422 /24/</t>
  </si>
  <si>
    <t>57553</t>
  </si>
  <si>
    <t>Бальзам д/губ ЮниLook 8 г манго 330-422 /24/</t>
  </si>
  <si>
    <t>57554</t>
  </si>
  <si>
    <t>Бальзам д/губ ЮниLook 8 г шоколад 330-422 /24/</t>
  </si>
  <si>
    <t>57502</t>
  </si>
  <si>
    <t>Блеск д/губ детский ЮниLook 3 шт + кисточка 330-388 /12/</t>
  </si>
  <si>
    <t>57528</t>
  </si>
  <si>
    <t>Блеск д/губ ЮниLook БГ-21 4 мл сияющий бордовый 04 330-418 /12/</t>
  </si>
  <si>
    <t>57527</t>
  </si>
  <si>
    <t>Блеск д/губ ЮниLook БГ-21 4 мл сияющий коричневый 03 330-418 /12/</t>
  </si>
  <si>
    <t>57521</t>
  </si>
  <si>
    <t>Жидкость для снятия макияжа ЮниLook СМ-21 110 мл двухфазная 330-440 /8/</t>
  </si>
  <si>
    <t>57562</t>
  </si>
  <si>
    <t>Карандаш для бровей ЮниLook 0,1 гр автоматический с щеточкой светлый коричневый 330-451 /6/</t>
  </si>
  <si>
    <t>57523</t>
  </si>
  <si>
    <t>Карандаш для бровей ЮниLook 0,1 гр автоматический с щеточкой холодный коричневый 330-451 /6/</t>
  </si>
  <si>
    <t>57501</t>
  </si>
  <si>
    <t>Карандаш для губ ЮниLook КГ-19 1,7 г Яркий розовый 01 330-275 /12/</t>
  </si>
  <si>
    <t>57539</t>
  </si>
  <si>
    <t>Корректор для лица ЮниLook КК-21 3D кремовый 2,7 г бежевый 330-377 /12/</t>
  </si>
  <si>
    <t>57513</t>
  </si>
  <si>
    <t>Корректор для лица ЮниLook КК-21 3D кремовый 2,7 г светлый 330-377 /12/</t>
  </si>
  <si>
    <t>57570</t>
  </si>
  <si>
    <t>Косметичка ЮниLook 12*19*11,5 см 3 цв. 327-225 /6/</t>
  </si>
  <si>
    <t>57510</t>
  </si>
  <si>
    <t>Косметичка ЮниLook 17*9*5,5 см 4-6 цв. 327-227 /6/</t>
  </si>
  <si>
    <t>57508</t>
  </si>
  <si>
    <t>Набор детской косметики: тени, блеск для губ арт.2 330-435 /12/</t>
  </si>
  <si>
    <t>57543</t>
  </si>
  <si>
    <t>Набор для контуринга ЮниLook НК-21 11 гр 3в1 бежевый 330-411 /6/</t>
  </si>
  <si>
    <t>57515</t>
  </si>
  <si>
    <t>Набор для контуринга ЮниLook НК-21 11 гр 3в1 розовый 330-411 /6/</t>
  </si>
  <si>
    <t>57565</t>
  </si>
  <si>
    <t>Помада для губ жидкая ЮниLook 12 мл кораллово-розовый 330-454 /6/</t>
  </si>
  <si>
    <t>57566</t>
  </si>
  <si>
    <t>Помада для губ жидкая ЮниLook 12 мл ярко-розовый 330-454 /6/</t>
  </si>
  <si>
    <t>57552</t>
  </si>
  <si>
    <t>Помада для губ ЮниLook ПГ-21 3,5г с увлажняющим стиком коралловый 330-420 /8/</t>
  </si>
  <si>
    <t>57517</t>
  </si>
  <si>
    <t>Помада для губ ЮниLook ПГ-21 3,5г с увлажняющим стиком коричневый 330-420 /8/</t>
  </si>
  <si>
    <t>57550</t>
  </si>
  <si>
    <t>Помада для губ ЮниLook ПГ-21 3,5г с увлажняющим стиком натуральный нюд 330-420 /8/</t>
  </si>
  <si>
    <t>57516</t>
  </si>
  <si>
    <t>Помада-крем для губ ЮниLook ПГ-20 4 мл тон 01 330-412 /12/</t>
  </si>
  <si>
    <t>57544</t>
  </si>
  <si>
    <t>Помада-крем для губ ЮниLook ПГ-20 4 мл тон 02 330-412 /12/</t>
  </si>
  <si>
    <t>57545</t>
  </si>
  <si>
    <t>Помада-крем для губ ЮниLook ПГ-20 4 мл тон 03 330-412 /12/</t>
  </si>
  <si>
    <t>57529</t>
  </si>
  <si>
    <t>Румяна кремовые ЮниLook КР-20 6,5 гр бежевый 330-409 /12/</t>
  </si>
  <si>
    <t>57504</t>
  </si>
  <si>
    <t>Румяна кремовые ЮниLook КР-20 6,5 гр розовый 330-409 /12/</t>
  </si>
  <si>
    <t>57503</t>
  </si>
  <si>
    <t>Тени детские ЮниLook 4 шт + кисточка 330-389 /12/</t>
  </si>
  <si>
    <t>57549</t>
  </si>
  <si>
    <t>Тени ЮниLook мерцающие тени пудра +жидкие тени ТВ-2 6 цв. 3,2г 330-327 /12/360/</t>
  </si>
  <si>
    <t>57568</t>
  </si>
  <si>
    <t>Тональный крем ЮниLook 30 мл с легкой текстурой с дозатором бежевый 330-458 /6/</t>
  </si>
  <si>
    <t>57567</t>
  </si>
  <si>
    <t>Тональный крем ЮниLook 30 мл с легкой текстурой с дозатором натуральный 330-458 /6/</t>
  </si>
  <si>
    <t>57525</t>
  </si>
  <si>
    <t>Тональный крем ЮниLook 30 мл с легкой текстурой с дозатором светлый 330-458 /6/</t>
  </si>
  <si>
    <t>57505</t>
  </si>
  <si>
    <t>Хайлайтер ЮниLook КХ-20 6,5 гр светлое золото в стике 330-410 /12/</t>
  </si>
  <si>
    <t>57522</t>
  </si>
  <si>
    <t>Хайлайтер+контуринг ЮниLook ТС-21 8 гр кремовые 2в1 в стике тон 01 330-446 /6/</t>
  </si>
  <si>
    <t>57559</t>
  </si>
  <si>
    <t>Хайлайтер+контуринг ЮниLook ТС-21 8 гр кремовые 2в1 в стике тон 02 330-446 /6/</t>
  </si>
  <si>
    <t>57560</t>
  </si>
  <si>
    <t>Хайлайтер+контуринг ЮниLook ТС-21 8 гр кремовые 2в1 в стике тон 03 330-446 /6/</t>
  </si>
  <si>
    <t>580-589 Средства гигиены</t>
  </si>
  <si>
    <t>580 Мочалки /губки для тела</t>
  </si>
  <si>
    <t>58090</t>
  </si>
  <si>
    <t>Губка д/тела Massage Рыжий кот /45/</t>
  </si>
  <si>
    <t>58257</t>
  </si>
  <si>
    <t>Губка д/тела Антицеллюлитная жесткая /50/</t>
  </si>
  <si>
    <t>58085</t>
  </si>
  <si>
    <t>Губка д/тела Антицеллюлитная Секрет красоты жесткая /50/</t>
  </si>
  <si>
    <t>58064</t>
  </si>
  <si>
    <t>Губка д/тела Антицеллюлитная Секрет красоты цветн.жесткая /50/</t>
  </si>
  <si>
    <t>58002</t>
  </si>
  <si>
    <t>Губка д/тела Антицеллюлитная Секрет красоты черная /50/</t>
  </si>
  <si>
    <t>58037</t>
  </si>
  <si>
    <t>Губка д/тела Антицеллюлитная черная жесткая /50/</t>
  </si>
  <si>
    <t>58097</t>
  </si>
  <si>
    <t>Губка д/тела Афродита /20/</t>
  </si>
  <si>
    <t>58034</t>
  </si>
  <si>
    <t>Губка д/тела банная Арбуз 1 шт. /40/</t>
  </si>
  <si>
    <t>58190</t>
  </si>
  <si>
    <t>Губка д/тела Баннный скраб мини жесткая/60/</t>
  </si>
  <si>
    <t>58027</t>
  </si>
  <si>
    <t>Губка д/тела Бела ручка жесткая /25/</t>
  </si>
  <si>
    <t>58022</t>
  </si>
  <si>
    <t>Губка д/тела Вдохновение гб009 /20/</t>
  </si>
  <si>
    <t>58012</t>
  </si>
  <si>
    <t>Губка д/тела Веснушка /25/</t>
  </si>
  <si>
    <t>58030</t>
  </si>
  <si>
    <t>Губка д/тела Восьмерка поролон эласт. массажая 361-098 /36/</t>
  </si>
  <si>
    <t>58018</t>
  </si>
  <si>
    <t>Губка д/тела Гармония сердце /40/</t>
  </si>
  <si>
    <t>58020</t>
  </si>
  <si>
    <t>Губка д/тела Детская ориг. мягкий поролон /100/</t>
  </si>
  <si>
    <t>58089</t>
  </si>
  <si>
    <t>Губка д/тела ЕН Релакс 145*95*50мм 15288 32/</t>
  </si>
  <si>
    <t>58256</t>
  </si>
  <si>
    <t>Губка д/тела ЕН Рыбка 15*16*5см 13729 /20/</t>
  </si>
  <si>
    <t>58054</t>
  </si>
  <si>
    <t>Губка д/тела морская мягкая /50/</t>
  </si>
  <si>
    <t>58061</t>
  </si>
  <si>
    <t>Губка д/тела морская цветн. мягкая /50/</t>
  </si>
  <si>
    <t>58015</t>
  </si>
  <si>
    <t>Губка д/тела Пенный конструктор мягкая детская /50/</t>
  </si>
  <si>
    <t>58043</t>
  </si>
  <si>
    <t>Губка д/тела Радость гб003 /40/</t>
  </si>
  <si>
    <t>58026</t>
  </si>
  <si>
    <t>Губка д/тела Свежесть восьмерка малая 12,5*9,5*4 см пенополиуретан /40/</t>
  </si>
  <si>
    <t>58041</t>
  </si>
  <si>
    <t>Губка д/тела Скраб жесткая /50/</t>
  </si>
  <si>
    <t>58050</t>
  </si>
  <si>
    <t>Губка д/тела Скраб фигурный жесткая /50/</t>
  </si>
  <si>
    <t>58042</t>
  </si>
  <si>
    <t>Губка д/тела Совершенство с массажным слоем /40/</t>
  </si>
  <si>
    <t>58021</t>
  </si>
  <si>
    <t>Губка д/тела Тонус с массажным слоем ЕН 140*90*50мм 3680 /36/</t>
  </si>
  <si>
    <t>58065</t>
  </si>
  <si>
    <t>Губка д/тела Удовольствие с массажным слоем /40/</t>
  </si>
  <si>
    <t>58098</t>
  </si>
  <si>
    <t>Губка д/тела Шахтерская мини жесткая /60/</t>
  </si>
  <si>
    <t>58001</t>
  </si>
  <si>
    <t>Мочалка д/тела 23 февраля камуфляж жесткая /50/</t>
  </si>
  <si>
    <t>58013</t>
  </si>
  <si>
    <t>Мочалка д/тела 8 марта жестко-мягкая /25/</t>
  </si>
  <si>
    <t>58445</t>
  </si>
  <si>
    <t>Мочалка д/тела Акварель вязанная /25/</t>
  </si>
  <si>
    <t>58070</t>
  </si>
  <si>
    <t>Мочалка д/тела Антицелюлитный массаж жесткая /50/</t>
  </si>
  <si>
    <t>58045</t>
  </si>
  <si>
    <t>Мочалка д/тела Армейский стандарт жесткая /25/</t>
  </si>
  <si>
    <t>58014</t>
  </si>
  <si>
    <t>Мочалка д/тела банная с ручками Эконом ПП нить полосатая 36*10 см 361-096 /15/75/</t>
  </si>
  <si>
    <t>58332</t>
  </si>
  <si>
    <t>Мочалка д/тела Банный восторг вязанная /50/</t>
  </si>
  <si>
    <t>58008</t>
  </si>
  <si>
    <t>Мочалка д/тела Банный пояс вязаная /25/</t>
  </si>
  <si>
    <t>58187</t>
  </si>
  <si>
    <t>Мочалка д/тела Банный скраб жесткоая /25/</t>
  </si>
  <si>
    <t>58051</t>
  </si>
  <si>
    <t>Мочалка д/тела Банный скраб черный /25/</t>
  </si>
  <si>
    <t>58038</t>
  </si>
  <si>
    <t>Мочалка д/тела Богатырская жесткая камуфляж /50/</t>
  </si>
  <si>
    <t>58076</t>
  </si>
  <si>
    <t>Мочалка д/тела Бодрящая вязаная средне жесткая/25/</t>
  </si>
  <si>
    <t>58096</t>
  </si>
  <si>
    <t>Мочалка д/тела Боевая готовность /50/</t>
  </si>
  <si>
    <t>58461</t>
  </si>
  <si>
    <t>Мочалка д/тела Большая Медведица люкс вязаная /25/</t>
  </si>
  <si>
    <t>58069</t>
  </si>
  <si>
    <t>Мочалка д/тела В баньку жесткая  /50/</t>
  </si>
  <si>
    <t>58016</t>
  </si>
  <si>
    <t>Мочалка д/тела В баньку по-черному жесткая  /50/</t>
  </si>
  <si>
    <t>58063</t>
  </si>
  <si>
    <t>Мочалка д/тела Ворсинка вязаная длинный ворс /25/</t>
  </si>
  <si>
    <t>58073</t>
  </si>
  <si>
    <t>Мочалка д/тела Вязаная двойная /25/</t>
  </si>
  <si>
    <t>58457</t>
  </si>
  <si>
    <t>Мочалка д/тела Вязаная длинная /25/</t>
  </si>
  <si>
    <t>58058</t>
  </si>
  <si>
    <t>Мочалка д/тела Вязаная тройная /25/</t>
  </si>
  <si>
    <t>58006</t>
  </si>
  <si>
    <t>Мочалка д/тела Двойная жесткость /50/</t>
  </si>
  <si>
    <t>58080</t>
  </si>
  <si>
    <t>Мочалка д/тела Двойная мягкость /50/</t>
  </si>
  <si>
    <t>58052</t>
  </si>
  <si>
    <t>Мочалка д/тела Дело вкуса /25/</t>
  </si>
  <si>
    <t>58075</t>
  </si>
  <si>
    <t>Мочалка д/тела Душевная /50/</t>
  </si>
  <si>
    <t>58253</t>
  </si>
  <si>
    <t>Мочалка д/тела ЕН фигурная 200*110*50мм 15712 /40/</t>
  </si>
  <si>
    <t>58071</t>
  </si>
  <si>
    <t>Мочалка д/тела Зебра /25/</t>
  </si>
  <si>
    <t>58035</t>
  </si>
  <si>
    <t>Мочалка д/тела Золотая коллекция жесткая вязанная с порол вст. /25/</t>
  </si>
  <si>
    <t>58066</t>
  </si>
  <si>
    <t>Мочалка д/тела Источник силы комбинированная /25/</t>
  </si>
  <si>
    <t>58023</t>
  </si>
  <si>
    <t>Мочалка д/тела Каменный цветок /25/</t>
  </si>
  <si>
    <t>58040</t>
  </si>
  <si>
    <t>Мочалка д/тела Карамель жестко-мягкая /25/</t>
  </si>
  <si>
    <t>58177</t>
  </si>
  <si>
    <t>Мочалка д/тела Краски лета мягкая /25/</t>
  </si>
  <si>
    <t>58033</t>
  </si>
  <si>
    <t>Мочалка д/тела Люкс черная вязаная /25/</t>
  </si>
  <si>
    <t>58019</t>
  </si>
  <si>
    <t>Мочалка д/тела Массажная супер жесткая  /25/</t>
  </si>
  <si>
    <t>58460</t>
  </si>
  <si>
    <t>Мочалка д/тела Медведь полосатый вязанная среднежесткая  /25/</t>
  </si>
  <si>
    <t>58099</t>
  </si>
  <si>
    <t>Мочалка д/тела Мозаика жесткая двухсл. /25/</t>
  </si>
  <si>
    <t>58053</t>
  </si>
  <si>
    <t>Мочалка д/тела Морская пена мягкая /25/</t>
  </si>
  <si>
    <t>58095</t>
  </si>
  <si>
    <t>Мочалка д/тела Морские камушки средне мягкая /25/</t>
  </si>
  <si>
    <t>58454</t>
  </si>
  <si>
    <t>Мочалка д/тела Мохнатый шмель вязаная /25/</t>
  </si>
  <si>
    <t>58029</t>
  </si>
  <si>
    <t>Мочалка д/тела Неженка мягкий бел.порол. /25/</t>
  </si>
  <si>
    <t>58059</t>
  </si>
  <si>
    <t>Мочалка д/тела нейлон, банная, "Косичка" 50гр 5267 /96/</t>
  </si>
  <si>
    <t>58056</t>
  </si>
  <si>
    <t>Мочалка д/тела нейлон, банная, 40 гр. 5266 /50/</t>
  </si>
  <si>
    <t>58197</t>
  </si>
  <si>
    <t>Мочалка д/тела Пенная радость вязанная /25/</t>
  </si>
  <si>
    <t>58084</t>
  </si>
  <si>
    <t>Мочалка д/тела Полосатая /25/</t>
  </si>
  <si>
    <t>58086</t>
  </si>
  <si>
    <t>Мочалка д/тела Радуга /25/</t>
  </si>
  <si>
    <t>58258</t>
  </si>
  <si>
    <t>Мочалка д/тела Радуга Люкс /25/</t>
  </si>
  <si>
    <t>58009</t>
  </si>
  <si>
    <t>Мочалка д/тела Розовая пантера /50/</t>
  </si>
  <si>
    <t>58198</t>
  </si>
  <si>
    <t>Мочалка д/тела С легким паром вязанная /25/</t>
  </si>
  <si>
    <t>58462</t>
  </si>
  <si>
    <t>Мочалка д/тела Семейная вязаная /25/</t>
  </si>
  <si>
    <t>58459</t>
  </si>
  <si>
    <t>Мочалка д/тела Снежный барс вязаная среднежесткая /25/</t>
  </si>
  <si>
    <t>58087</t>
  </si>
  <si>
    <t>Мочалка д/тела супержесткая Массажная /50/</t>
  </si>
  <si>
    <t>58455</t>
  </si>
  <si>
    <t>Мочалка д/тела Триколор вязаная /25/</t>
  </si>
  <si>
    <t>58057</t>
  </si>
  <si>
    <t>Мочалка д/тела Ты и я жестко- мягкая /25/</t>
  </si>
  <si>
    <t>58049</t>
  </si>
  <si>
    <t>Мочалка д/тела Формулы любви жесткая /50/</t>
  </si>
  <si>
    <t>58083</t>
  </si>
  <si>
    <t>Мочалка д/тела Хит сезона /25/</t>
  </si>
  <si>
    <t>58163</t>
  </si>
  <si>
    <t>Мочалка д/тела Черный жемчуг жестко-мягкая /25/</t>
  </si>
  <si>
    <t>58046</t>
  </si>
  <si>
    <t>Мочалка д/тела Чистое вдохновение вязанная /25/</t>
  </si>
  <si>
    <t>58094</t>
  </si>
  <si>
    <t>Мочалка д/тела Шахтерская Ассорти жесткая /25/</t>
  </si>
  <si>
    <t>58005</t>
  </si>
  <si>
    <t>Мочалка д/тела Шахтерская День и ночь жесткая /25/</t>
  </si>
  <si>
    <t>58048</t>
  </si>
  <si>
    <t>Мочалка д/тела Шахтерская жесткая /25/</t>
  </si>
  <si>
    <t>58074</t>
  </si>
  <si>
    <t>Мочалка д/тела Шахтерская Олимпийская жесткая /25/</t>
  </si>
  <si>
    <t>58077</t>
  </si>
  <si>
    <t>Мочалка д/тела Шахтерская Оригинальная жесткая /25/</t>
  </si>
  <si>
    <t>58072</t>
  </si>
  <si>
    <t>Мочалка д/тела Шахтерская Премиум жесткая /25/</t>
  </si>
  <si>
    <t>58044</t>
  </si>
  <si>
    <t>Мочалка д/тела Шахтерская Радуга жесткая /25/</t>
  </si>
  <si>
    <t>58003</t>
  </si>
  <si>
    <t>Мочалка д/тела Шахтерская Спецназ жесткая /25/</t>
  </si>
  <si>
    <t>58032</t>
  </si>
  <si>
    <t>Мочалка д/тела Шахтерская Черное золото /25/</t>
  </si>
  <si>
    <t>58036</t>
  </si>
  <si>
    <t>Мочалка д/тела Шахтерская Черное золото Люкс /25/</t>
  </si>
  <si>
    <t>58092</t>
  </si>
  <si>
    <t>Мочалка д/тела Шахтерская Черный принц жесткая /25/</t>
  </si>
  <si>
    <t>58055</t>
  </si>
  <si>
    <t>Мочалка д/тела Шахтерская Эконом /25/</t>
  </si>
  <si>
    <t>58007</t>
  </si>
  <si>
    <t>Мочалка д/тела Шахтерская Экстра мини /60/</t>
  </si>
  <si>
    <t>58004</t>
  </si>
  <si>
    <t>Мочалка д/тела Шахтерская Экстра черная жесткая /25/</t>
  </si>
  <si>
    <t>58079</t>
  </si>
  <si>
    <t>Мочалка д/тела Шахтерская Экстра Эконом /25/</t>
  </si>
  <si>
    <t>58081</t>
  </si>
  <si>
    <t>Мочалка д/тела Энергия свежести /25/</t>
  </si>
  <si>
    <t>58028</t>
  </si>
  <si>
    <t>Щетка для тела двойная с натур. щетиной и массажер. на дер. ручке 42см 361-028 /12/</t>
  </si>
  <si>
    <t>58068</t>
  </si>
  <si>
    <t>Щетка для тела с натур. щетиной на дерев. ручке 41 см 361-027 /12/</t>
  </si>
  <si>
    <t>58078</t>
  </si>
  <si>
    <t>Щетка для тела с натур. щетиной на пластик. ручке 34 см 4 цв 361-029 /12/</t>
  </si>
  <si>
    <t>581 Ватные палочки/Ватные диски/Зубочистки</t>
  </si>
  <si>
    <t>58129</t>
  </si>
  <si>
    <t>Ватные диски Bella 100 шт мягк.упак. /35/</t>
  </si>
  <si>
    <t>58184</t>
  </si>
  <si>
    <t>Ватные диски Bella 120 шт /40/</t>
  </si>
  <si>
    <t>58108</t>
  </si>
  <si>
    <t>Ватные диски Bella 80 шт /35/</t>
  </si>
  <si>
    <t>58103</t>
  </si>
  <si>
    <t>Ватные диски Пумпоша 100 шт /35/</t>
  </si>
  <si>
    <t>58105</t>
  </si>
  <si>
    <t>Ватные диски Пумпоша 120 шт /35/</t>
  </si>
  <si>
    <t>58101</t>
  </si>
  <si>
    <t>Ватные диски Пумпоша 80 шт /35/</t>
  </si>
  <si>
    <t>58124</t>
  </si>
  <si>
    <t>Ватные диски Я самая 100 шт /35/</t>
  </si>
  <si>
    <t>58111</t>
  </si>
  <si>
    <t>Ватные диски Я самая 100+25 шт /35/</t>
  </si>
  <si>
    <t>58120</t>
  </si>
  <si>
    <t>Ватные диски Я самая 120 шт /35/</t>
  </si>
  <si>
    <t>58100</t>
  </si>
  <si>
    <t>Ватные диски Я самая 80 шт /35/</t>
  </si>
  <si>
    <t>58180</t>
  </si>
  <si>
    <t>Ватные палочки Bella 100 шт /70/</t>
  </si>
  <si>
    <t>58148</t>
  </si>
  <si>
    <t>Ватные палочки Bella 100 шт стакан /48/</t>
  </si>
  <si>
    <t>58149</t>
  </si>
  <si>
    <t>Ватные палочки Bella 200 шт контейнер /48/</t>
  </si>
  <si>
    <t>58112</t>
  </si>
  <si>
    <t>Ватные палочки Emily Style 100 шт /52/</t>
  </si>
  <si>
    <t>58106</t>
  </si>
  <si>
    <t>Ватные палочки Emily Style 200 шт банка /24/</t>
  </si>
  <si>
    <t>58116</t>
  </si>
  <si>
    <t>Ватные палочки Emily Style 400 шт с зиплоком /24/</t>
  </si>
  <si>
    <t>58107</t>
  </si>
  <si>
    <t>Ватные палочки NataM 100 шт /120/</t>
  </si>
  <si>
    <t>58118</t>
  </si>
  <si>
    <t>Ватные палочки NataM 100 шт стакан /48/</t>
  </si>
  <si>
    <t>58117</t>
  </si>
  <si>
    <t>Ватные палочки NataM 200 шт /48/</t>
  </si>
  <si>
    <t>58119</t>
  </si>
  <si>
    <t>Ватные палочки NataM 200 шт стакан /36/</t>
  </si>
  <si>
    <t>58172</t>
  </si>
  <si>
    <t>Ватные палочки Я самая 100 шт стакан /48/</t>
  </si>
  <si>
    <t>58104</t>
  </si>
  <si>
    <t>Ватные палочки Я самая 180+40 шт /36/</t>
  </si>
  <si>
    <t>11659</t>
  </si>
  <si>
    <t>Зубная нить 2*10 м 983-005 /12/</t>
  </si>
  <si>
    <t>58166</t>
  </si>
  <si>
    <t>Зубочистки Grifon 100 шт плас. баночка 400-002 437-009 /24/</t>
  </si>
  <si>
    <t>58156</t>
  </si>
  <si>
    <t>Зубочистки Grifon 200 шт плас. упаковке 400-003 437-010 /24/</t>
  </si>
  <si>
    <t>58181</t>
  </si>
  <si>
    <t>Зубочистки Grifon 500 шт картон. упаковке 400-512 437-166 /5/30/</t>
  </si>
  <si>
    <t>58109</t>
  </si>
  <si>
    <t>Зубочистки Vetta 100 шт бамбук плас. упаковка 437-241 /12/</t>
  </si>
  <si>
    <t>58168</t>
  </si>
  <si>
    <t>Зубочистки Vetta 150 шт бамбук плас. упаковка 437-240 /12/</t>
  </si>
  <si>
    <t>58170</t>
  </si>
  <si>
    <t>Зубочистки Vetta 180 шт бамбук акрил. упаковка 437-242 /10/</t>
  </si>
  <si>
    <t>58174</t>
  </si>
  <si>
    <t>Зубочистки Vetta 30 шт бамбук плас. упаковка+зеркало 437-259 /50/</t>
  </si>
  <si>
    <t>58179</t>
  </si>
  <si>
    <t>Зубочистки Vetta 300 шт бамбук пласт. упаковка 437-243 /10/</t>
  </si>
  <si>
    <t>58162</t>
  </si>
  <si>
    <t>Зубочистки Vetta 60 шт бамбук плас. упаковка 437-239 /48/</t>
  </si>
  <si>
    <t>58114</t>
  </si>
  <si>
    <t>Зубочистки ЕН 150 шт бамбуковые 13028 /12/</t>
  </si>
  <si>
    <t>58115</t>
  </si>
  <si>
    <t>Зубочистки ЕН 300 шт бамбуковые 13029 /10/</t>
  </si>
  <si>
    <t>58102</t>
  </si>
  <si>
    <t>Зубочистки с зубной нитью 7,4 см 50 шт 437-274 /12/</t>
  </si>
  <si>
    <t>582 Женские гигиенические прокладки</t>
  </si>
  <si>
    <t>58209</t>
  </si>
  <si>
    <t>Женские гигиен. прокладки Meed Maxi Soft 10 шт /24/</t>
  </si>
  <si>
    <t>58210</t>
  </si>
  <si>
    <t>Женские гигиен. прокладки Meed Maxi Top Dry 10 шт /24/</t>
  </si>
  <si>
    <t>58226</t>
  </si>
  <si>
    <t>Женские гигиен. прокладки Meed Ultra Plus Soft 10 шт /40/</t>
  </si>
  <si>
    <t>58227</t>
  </si>
  <si>
    <t>Женские гигиен. прокладки Meed Ultra Plus Top Dry 10 шт /40/</t>
  </si>
  <si>
    <t>58207</t>
  </si>
  <si>
    <t>Женские гигиен. прокладки Meed Ultra Soft ультра тонкие 10 шт /30/</t>
  </si>
  <si>
    <t>58208</t>
  </si>
  <si>
    <t>Женские гигиен. прокладки Meed Ultra Top Dry ультра тонкие 10 шт /30/</t>
  </si>
  <si>
    <t>58231</t>
  </si>
  <si>
    <t>Женские гигиен. прокладки Mis Классик софт 10 шт 941-057 /25/</t>
  </si>
  <si>
    <t>58224</t>
  </si>
  <si>
    <t>Женские гигиен. прокладки Mis Норимал софт 10шт 941-056 /25/</t>
  </si>
  <si>
    <t>58239</t>
  </si>
  <si>
    <t>Женские гигиен. прокладки NataM Classic Normal Dry 10 шт /18/</t>
  </si>
  <si>
    <t>58238</t>
  </si>
  <si>
    <t>Женские гигиен. прокладки NataM Classic Normal Soft 10 шт /18/</t>
  </si>
  <si>
    <t>58237</t>
  </si>
  <si>
    <t>Женские гигиен. прокладки NataM New Ultra Night Dry 6 шт /48/</t>
  </si>
  <si>
    <t>58236</t>
  </si>
  <si>
    <t>Женские гигиен. прокладки NataM New Ultra Night Soft 6 шт /48/</t>
  </si>
  <si>
    <t>58233</t>
  </si>
  <si>
    <t>Женские гигиен. прокладки NataM New Ultra Normal Dry дневные 10 шт /48/</t>
  </si>
  <si>
    <t>58232</t>
  </si>
  <si>
    <t>Женские гигиен. прокладки NataM New Ultra Normal Soft 10 шт /48/</t>
  </si>
  <si>
    <t>58235</t>
  </si>
  <si>
    <t>Женские гигиен. прокладки NataM New Ultra Super Dry 7 шт /48/</t>
  </si>
  <si>
    <t>58234</t>
  </si>
  <si>
    <t>Женские гигиен. прокладки NataM New Ultra Super Soft 7 шт /48/</t>
  </si>
  <si>
    <t>58240</t>
  </si>
  <si>
    <t>Женские гигиен. прокладки NataM Ultra Extra Dry дневные 8 шт /48/</t>
  </si>
  <si>
    <t>58246</t>
  </si>
  <si>
    <t>Женские гигиен. прокладки NataM Ultra Extra Dry ночные 8 шт /48/</t>
  </si>
  <si>
    <t>58242</t>
  </si>
  <si>
    <t>Женские гигиен. прокладки NataM Ultra Extra Soft дневные 8 шт /48/</t>
  </si>
  <si>
    <t>58247</t>
  </si>
  <si>
    <t>Женские гигиен. прокладки NataM Ultra Extra Soft ночные 8 шт /48/</t>
  </si>
  <si>
    <t>58228</t>
  </si>
  <si>
    <t>Женские гигиен. прокладки Sleepy Natural Slim ультра тонкие Длинные 7 шт /24/</t>
  </si>
  <si>
    <t>58281</t>
  </si>
  <si>
    <t>Женские гигиен. прокладки Sleepy Natural Slim ультра тонкие Ночные 6 шт /24/</t>
  </si>
  <si>
    <t>58229</t>
  </si>
  <si>
    <t>Женские гигиен. прокладки Sleepy Natural Soft классик Длинные 7 шт /24/</t>
  </si>
  <si>
    <t>58230</t>
  </si>
  <si>
    <t>Женские гигиен. прокладки Sleepy Natural Soft классик Ночные 6 шт /24/</t>
  </si>
  <si>
    <t>58211</t>
  </si>
  <si>
    <t>Женские гигиен. прокладки на каждый день Meed Normal Soft 20 шт /25/</t>
  </si>
  <si>
    <t>58214</t>
  </si>
  <si>
    <t>Женские гигиен. прокладки на каждый день Meed Normal Soft 60 шт /20/</t>
  </si>
  <si>
    <t>58213</t>
  </si>
  <si>
    <t>Женские гигиен. прокладки на каждый день Meed Normal Soft Deo 20 шт /25/</t>
  </si>
  <si>
    <t>58216</t>
  </si>
  <si>
    <t>Женские гигиен. прокладки на каждый день Meed Normal Soft Deo 60 шт /20/</t>
  </si>
  <si>
    <t>58203</t>
  </si>
  <si>
    <t>Женские гигиен. прокладки на каждый день Meed Ultra Soft усеченные 20 шт /35/</t>
  </si>
  <si>
    <t>58206</t>
  </si>
  <si>
    <t>Женские гигиен. прокладки на каждый день Meed Ultra Top Dry усеченные 20 шт /35/</t>
  </si>
  <si>
    <t>58201</t>
  </si>
  <si>
    <t>Женские гигиен. прокладки на каждый день Mis софт 40 шт 939-022 /24/</t>
  </si>
  <si>
    <t>58249</t>
  </si>
  <si>
    <t>Женские гигиен. прокладки на каждый день NataM Ultra Soft 20 шт /48/</t>
  </si>
  <si>
    <t>58248</t>
  </si>
  <si>
    <t>Женские гигиен. прокладки на каждый день NataM Ultra Soft 20 шт коробка /48/</t>
  </si>
  <si>
    <t>58217</t>
  </si>
  <si>
    <t>Женские урологич. прокладки Meed Normal Lady 10 шт /24/</t>
  </si>
  <si>
    <t>58219</t>
  </si>
  <si>
    <t>Женские урологич. прокладки Meed Normal Plus Lady 10 шт /20/</t>
  </si>
  <si>
    <t>583 Бумага туалетная/бумажные платочки/полотенца</t>
  </si>
  <si>
    <t>58369</t>
  </si>
  <si>
    <t>Бумага туалетная DUET Стандарт 2 сл 4 рул белая /12/</t>
  </si>
  <si>
    <t>58358</t>
  </si>
  <si>
    <t>Бумага туалетная Familia 2 сл 8 рулонов Радуга Белая /6/</t>
  </si>
  <si>
    <t>58352</t>
  </si>
  <si>
    <t>Бумага туалетная Melia soft 1 сл 100% целлюлоза белая /72/</t>
  </si>
  <si>
    <t>58351</t>
  </si>
  <si>
    <t>Бумага туалетная Melia soft 2 сл 4 рулона белая /12/</t>
  </si>
  <si>
    <t>58339</t>
  </si>
  <si>
    <t>Бумага туалетная Plushe Classic 2 сл 12 рул белая /12/</t>
  </si>
  <si>
    <t>58309</t>
  </si>
  <si>
    <t>Бумага туалетная Plushe Classic 2 сл 4 рул белая /12/</t>
  </si>
  <si>
    <t>58310</t>
  </si>
  <si>
    <t>Бумага туалетная Plushe Classic 2 сл 4 рул Зеленое яблоко /12/</t>
  </si>
  <si>
    <t>58364</t>
  </si>
  <si>
    <t>Бумага туалетная Plushe Classic 2 сл 4 рул Клубника /12/</t>
  </si>
  <si>
    <t>58365</t>
  </si>
  <si>
    <t>Бумага туалетная Plushe Classic 2 сл 4 рул Ромашка /12/</t>
  </si>
  <si>
    <t>58335</t>
  </si>
  <si>
    <t>Бумага туалетная Plushe Light 2 сл 8 рул белая /8/</t>
  </si>
  <si>
    <t>58300</t>
  </si>
  <si>
    <t>Бумага туалетная Soffione Pure White 2 сл 6 рулонов /7/</t>
  </si>
  <si>
    <t>58385</t>
  </si>
  <si>
    <t>Бумага туалетная SunDay 2 сл 4 рул белая 918-002 /24/30/</t>
  </si>
  <si>
    <t>58372</t>
  </si>
  <si>
    <t>Бумага туалетная Veles Эконом 2 сл 4 рул белая /12/</t>
  </si>
  <si>
    <t>58357</t>
  </si>
  <si>
    <t>Бумага туалетная влажная Comfort Aura Ultra без крышки 80 шт 914-039 /12/</t>
  </si>
  <si>
    <t>58306</t>
  </si>
  <si>
    <t>Бумага туалетная влажная Comfort smart ромашка/алоэ 42 шт 914-032 /45/</t>
  </si>
  <si>
    <t>58349</t>
  </si>
  <si>
    <t>Бумага туалетная влажная Mon Rulon детская 50 шт /28/</t>
  </si>
  <si>
    <t>58355</t>
  </si>
  <si>
    <t>Бумага туалетная Лилия 2 сл 4 рулона /10/</t>
  </si>
  <si>
    <t>58316</t>
  </si>
  <si>
    <t>Бумага туалетная МТБ Велис /48/</t>
  </si>
  <si>
    <t>58342</t>
  </si>
  <si>
    <t>Бумага туалетная Набережные челны плотн. 53м /48/</t>
  </si>
  <si>
    <t>58311</t>
  </si>
  <si>
    <t>Бумага туалетная Панорама / Оля-ля 918-009 /48/</t>
  </si>
  <si>
    <t>58334</t>
  </si>
  <si>
    <t>Бумага туалетная Семейная сотка без втулки Д: 11,5-12 см; В: 8,5см; 70 метров /36/</t>
  </si>
  <si>
    <t>58361</t>
  </si>
  <si>
    <t>Бумага туалетная Семейная сотка с втулкой Д: 12,5-13 см; В: 8,5см; 70 метров /36/</t>
  </si>
  <si>
    <t>58362</t>
  </si>
  <si>
    <t>Бумага туалетная Семейная стандарт 54 с втулкой Д: 10,0-10,5 см; В: 8,5см 50 метров /36/</t>
  </si>
  <si>
    <t>58363</t>
  </si>
  <si>
    <t>Бумага туалетная Семейная стандарт без втулки Д: 10,0-10,5 см; В 8,5см 50 метров /36/</t>
  </si>
  <si>
    <t>58343</t>
  </si>
  <si>
    <t>Бумага туалетная Семейная эконом без втулки Д: 8,5-9 см; В: 8,5см; 42 метра /48/</t>
  </si>
  <si>
    <t>58344</t>
  </si>
  <si>
    <t>Бумага туалетная Семейная эконом с втулкой Д: 8,5-9 см; В: 8,5см; 35 метров /48/</t>
  </si>
  <si>
    <t>58315</t>
  </si>
  <si>
    <t>Бумага туалетная Спасибо 2 сл 4 рулона белая /12/</t>
  </si>
  <si>
    <t>58345</t>
  </si>
  <si>
    <t>Бумага туалетная Эконом 150м для диспенсеров /60/</t>
  </si>
  <si>
    <t>58375</t>
  </si>
  <si>
    <t>Бумажные полотенца DUET Стандарт 2 сл 2 рулона /12/</t>
  </si>
  <si>
    <t>58341</t>
  </si>
  <si>
    <t>Бумажные полотенца DUET Эконом 2 сл 2 рулона /12/</t>
  </si>
  <si>
    <t>58353</t>
  </si>
  <si>
    <t>Бумажные полотенца Melia Soft 2 сл 2 рулона /12/</t>
  </si>
  <si>
    <t>58384</t>
  </si>
  <si>
    <t>Бумажные полотенца Sunday 2 сл 2 рулона 912-014 /30/</t>
  </si>
  <si>
    <t>58376</t>
  </si>
  <si>
    <t>Бумажные полотенца Veles Эконом 2 сл 2 рулона /12/</t>
  </si>
  <si>
    <t>58354</t>
  </si>
  <si>
    <t>Бумажные полотенца ЕН Просто протри 2 сл 150 л ZИБ2.1.5 16272 /20/</t>
  </si>
  <si>
    <t>58367</t>
  </si>
  <si>
    <t>Бумажные полотенца ЕН Просто протри 2 сл 200 л СИБ2.2Б 16273 /12/</t>
  </si>
  <si>
    <t>58368</t>
  </si>
  <si>
    <t>Бумажные полотенца ЕН Санпремо Фолди 2 сл 150 л с креплением SP-Z2-150L 16275 /20/</t>
  </si>
  <si>
    <t>58350</t>
  </si>
  <si>
    <t>Бумажные полотенца Спасибо 2 сл 2 рулона 10 м белые /12/</t>
  </si>
  <si>
    <t>58325</t>
  </si>
  <si>
    <t>Платочки бумажные носовые NataM 3 сл 10 лист Весенние цветы /10/</t>
  </si>
  <si>
    <t>58326</t>
  </si>
  <si>
    <t>Платочки бумажные носовые NataM 3 сл 10 лист Дыня /10/</t>
  </si>
  <si>
    <t>58324</t>
  </si>
  <si>
    <t>Платочки бумажные носовые NataM 3 сл 10 лист Клубника /10/</t>
  </si>
  <si>
    <t>58348</t>
  </si>
  <si>
    <t>Платочки бумажные носовые Only You 2сл 10лист 15205 /10/</t>
  </si>
  <si>
    <t>58366</t>
  </si>
  <si>
    <t>Полотенца влажные 60 шт XL 448-325 /18/</t>
  </si>
  <si>
    <t>584 Женские гигиенические прокладки Always/Bella</t>
  </si>
  <si>
    <t>58415</t>
  </si>
  <si>
    <t>Женские гигиен. прокладки  на кажд.день Bella Panty Mini 30 шт /44/</t>
  </si>
  <si>
    <t>58475</t>
  </si>
  <si>
    <t>Женские гигиен. прокладки  на кажд.день Bella Panty Sensitive 60 шт /8/</t>
  </si>
  <si>
    <t>58425</t>
  </si>
  <si>
    <t>Женские гигиен. прокладки  на кажд.день Bella Panty Sensitive Elegance 20 шт /24/</t>
  </si>
  <si>
    <t>58479</t>
  </si>
  <si>
    <t>Женские гигиен. прокладки  на кажд.день Bella Panty Sleem Blak-Wite 40 шт /12//</t>
  </si>
  <si>
    <t>58280</t>
  </si>
  <si>
    <t>Женские гигиен. прокладки  на кажд.день Bella Panty Soft 20 шт/30/</t>
  </si>
  <si>
    <t>58472</t>
  </si>
  <si>
    <t>Женские гигиен. прокладки  на кажд.день Bella Panty Soft Классик 20 шт /30/</t>
  </si>
  <si>
    <t>58471</t>
  </si>
  <si>
    <t>Женские гигиен. прокладки  на кажд.день Bella Panty Soft Классик 60 шт /12/</t>
  </si>
  <si>
    <t>58468</t>
  </si>
  <si>
    <t>Женские гигиен. прокладки Bella Nova Classic 10 шт /32/</t>
  </si>
  <si>
    <t>58473</t>
  </si>
  <si>
    <t>Женские гигиен. прокладки Bella Nova Classic Maxi 10 шт /12/</t>
  </si>
  <si>
    <t>58476</t>
  </si>
  <si>
    <t>Женские гигиен. прокладки Bella Nova Classic Дышащие 10 шт /36/</t>
  </si>
  <si>
    <t>58480</t>
  </si>
  <si>
    <t>Женские гигиен. прокладки Bella Nova Komfort 10 шт /36/</t>
  </si>
  <si>
    <t>58481</t>
  </si>
  <si>
    <t>Женские гигиен. прокладки Bella Nova Maxi 10 шт /24/</t>
  </si>
  <si>
    <t>585 Бумажные салфетки</t>
  </si>
  <si>
    <t>58502</t>
  </si>
  <si>
    <t>Салфетки бумажные 2-х сл. 20*20 бордовая 30 шт 57620 /26/</t>
  </si>
  <si>
    <t>58504</t>
  </si>
  <si>
    <t>Салфетки бумажные 2-х сл. 20*20 Голубая гортензия 30 шт 57614 /26/</t>
  </si>
  <si>
    <t>58500</t>
  </si>
  <si>
    <t>Салфетки бумажные 2-х сл. 20*20 Лаванда 30 шт 57610 /26/</t>
  </si>
  <si>
    <t>58521</t>
  </si>
  <si>
    <t>Салфетки бумажные 2-х сл. бел Фигурные Д30 см 3 диз 437-200 /12/</t>
  </si>
  <si>
    <t>58534</t>
  </si>
  <si>
    <t>Салфетки бумажные 3-х сл. 24*24 Веселый праздник 25 шт /15/</t>
  </si>
  <si>
    <t>58535</t>
  </si>
  <si>
    <t>Салфетки бумажные 3-х сл. 24*24 Застолье 25 шт /15/</t>
  </si>
  <si>
    <t>58537</t>
  </si>
  <si>
    <t>Салфетки бумажные 3-х сл. 24*24 Сладкие пирожные 25 шт /15/</t>
  </si>
  <si>
    <t>58540</t>
  </si>
  <si>
    <t>Салфетки бумажные 3-х сл. 33*33 Шоколадное сердце 20 шт /12/</t>
  </si>
  <si>
    <t>58374</t>
  </si>
  <si>
    <t>Салфетки бумажные 50 л 437-167 /136/</t>
  </si>
  <si>
    <t>58543</t>
  </si>
  <si>
    <t>Салфетки бумажные 50 л абрикосовые /80/</t>
  </si>
  <si>
    <t>58544</t>
  </si>
  <si>
    <t>Салфетки бумажные 50 л голубые /80/</t>
  </si>
  <si>
    <t>58545</t>
  </si>
  <si>
    <t>Салфетки бумажные 50 л лимонные /80/</t>
  </si>
  <si>
    <t>58506</t>
  </si>
  <si>
    <t>Салфетки бумажные 50 л розовый /80/</t>
  </si>
  <si>
    <t>58546</t>
  </si>
  <si>
    <t>Салфетки бумажные 50 л салатовые /80/</t>
  </si>
  <si>
    <t>58516</t>
  </si>
  <si>
    <t>Салфетки бумажные Gratias/Flora 100 шт 912-009 /25/</t>
  </si>
  <si>
    <t>58527</t>
  </si>
  <si>
    <t>Салфетки бумажные MeliaSoft 20л 33*33 см белые /10/</t>
  </si>
  <si>
    <t>58526</t>
  </si>
  <si>
    <t>Салфетки бумажные MeliaSoft 50л /48/</t>
  </si>
  <si>
    <t>58515</t>
  </si>
  <si>
    <t>Салфетки бумажные праздничные 33*33 см 12 шт. арт.23 530-295 /12/408/</t>
  </si>
  <si>
    <t>58517</t>
  </si>
  <si>
    <t>Салфетки бумажные праздничные 33*33 см 12 шт. арт.23/1 530-298 /12/408/</t>
  </si>
  <si>
    <t>58518</t>
  </si>
  <si>
    <t>Салфетки бумажные праздничные 33*33 см 12 шт. арт.Л 530-310 /12/408/</t>
  </si>
  <si>
    <t>58552</t>
  </si>
  <si>
    <t>Салфетки бумажные Эконом 100 л белые /50/</t>
  </si>
  <si>
    <t>586 Влажные салфетки</t>
  </si>
  <si>
    <t>58642</t>
  </si>
  <si>
    <t>Салфетки влаж. Smart medical 50 шт антисептические с пластиковым клапаном /20/</t>
  </si>
  <si>
    <t>58603</t>
  </si>
  <si>
    <t>Салфетки влаж. Smart эконом 120 шт Детские №120 /16/</t>
  </si>
  <si>
    <t>58667</t>
  </si>
  <si>
    <t>Салфетки влаж. Smart эконом 120 шт для всей семьи №120 /16/</t>
  </si>
  <si>
    <t>58632</t>
  </si>
  <si>
    <t>Салфетки влаж. Акватория 50 шт Океанический лёд /42/</t>
  </si>
  <si>
    <t>58601</t>
  </si>
  <si>
    <t>Салфетки влаж. ЕН 40 шт Антибактериальные 14436 /30/</t>
  </si>
  <si>
    <t>58602</t>
  </si>
  <si>
    <t>Салфетки влаж. ЕН 56 шт Детские 14437 /24/</t>
  </si>
  <si>
    <t>58600</t>
  </si>
  <si>
    <t>Салфетки влаж. ТАМ-ТАМ 80 шт Детские Алоэ-вера /12/</t>
  </si>
  <si>
    <t>587 Полотенца/постельное белье</t>
  </si>
  <si>
    <t>58779</t>
  </si>
  <si>
    <t>Наволочка декоративная Provanse 40*40 см полиэстер 4 цв. 497-041 /4/</t>
  </si>
  <si>
    <t>58769</t>
  </si>
  <si>
    <t>Наволочка декоративная Provanse 40*40 см полиэстер Велюр 4 цв. 497-040 /4/</t>
  </si>
  <si>
    <t>58728</t>
  </si>
  <si>
    <t>Наволочка декоративная Provanse 40*40 см полиэстер Скандинавские узоры 4 диз. 497-035 /4/</t>
  </si>
  <si>
    <t>58722</t>
  </si>
  <si>
    <t>Наволочка декоративная Provanse 40*40 см полиэстер Тропики 4 диз. 497-036 /4/</t>
  </si>
  <si>
    <t>58720</t>
  </si>
  <si>
    <t>Наволочка декоративная Provanse 40*40 см полиэстер Шиншила 4 цв. 497-034 /4/</t>
  </si>
  <si>
    <t>58702</t>
  </si>
  <si>
    <t>Одеяло Лебяжий пух стеганое утепленное 250 г/м полиэстер 172*205 см 427-023 /10/</t>
  </si>
  <si>
    <t>58771</t>
  </si>
  <si>
    <t>Подушка на стул 34*34 см рогожка 482-595 /4/</t>
  </si>
  <si>
    <t>58711</t>
  </si>
  <si>
    <t>Подушка на стул Ларго 40*40 см хлопок 4 цв. 482-227 /4/16/</t>
  </si>
  <si>
    <t>58797</t>
  </si>
  <si>
    <t>Подушка на стул Уют 40*40 см ПЭ 4 диз. 482-590 /4/</t>
  </si>
  <si>
    <t>58712</t>
  </si>
  <si>
    <t>Полотенце Provanse Праздник 100% хлопок 30*50см подароч 2 шт 420-013 /12/</t>
  </si>
  <si>
    <t>58755</t>
  </si>
  <si>
    <t>Полотенце махровое Provanse Адель 100% хлопок 50*90 см подароч 6 диз 420-009 /6/</t>
  </si>
  <si>
    <t>58732</t>
  </si>
  <si>
    <t>Полотенце махровое Provanse Мечта 100% хлопок 30*50 см подарочн 2 шт 488-021 /6/</t>
  </si>
  <si>
    <t>58718</t>
  </si>
  <si>
    <t>Полотенце махровое Provanse Мечта 100% хлопок 50*90 см подарочн 6 диз. 420-011 /6/</t>
  </si>
  <si>
    <t>58798</t>
  </si>
  <si>
    <t>Полотенце махровое Provanse Море 100% хлопок 50*90 см с кружевом 2 диз. 420-012 /6/</t>
  </si>
  <si>
    <t>588 Станки для бритья/касеты</t>
  </si>
  <si>
    <t>58824</t>
  </si>
  <si>
    <t>Кассеты для бритья Gillette Mach3 Turbo 2 шт /4/</t>
  </si>
  <si>
    <t>58813</t>
  </si>
  <si>
    <t>Кассеты для бритья женск. Gillette Venus 2 шт /4/</t>
  </si>
  <si>
    <t>58856</t>
  </si>
  <si>
    <t>Лезвия для бритвенного станка Bic Платина 5 шт /20/</t>
  </si>
  <si>
    <t>12436</t>
  </si>
  <si>
    <t>Станки для бритья одноразовые Bic Clas д/чув. кожи 5 шт</t>
  </si>
  <si>
    <t>58802</t>
  </si>
  <si>
    <t>Станки для бритья одноразовые Bic Metall 5 шт /30/</t>
  </si>
  <si>
    <t>58873</t>
  </si>
  <si>
    <t>Станки для бритья одноразовые Bic Twin Lady l 5 шт /20/</t>
  </si>
  <si>
    <t>58807</t>
  </si>
  <si>
    <t>Станки для бритья одноразовые Gillette 2 10 шт /24/</t>
  </si>
  <si>
    <t>12422</t>
  </si>
  <si>
    <t>Станки для бритья одноразовые Gillette 2 3 шт</t>
  </si>
  <si>
    <t>12430</t>
  </si>
  <si>
    <t>Станки для бритья одноразовые Gillette 2 4+1 шт /24/</t>
  </si>
  <si>
    <t>58855</t>
  </si>
  <si>
    <t>Станки для бритья одноразовые Gillette 2 5 шт /24/</t>
  </si>
  <si>
    <t>58861</t>
  </si>
  <si>
    <t>Станки для бритья одноразовые Gillette Blue ll женские 5 шт 946-017 /24/</t>
  </si>
  <si>
    <t>58805</t>
  </si>
  <si>
    <t>Станки для бритья одноразовые Gillette Blue ll плюс 5 шт</t>
  </si>
  <si>
    <t>58812</t>
  </si>
  <si>
    <t>Станки для бритья одноразовые Gillette Venus Simply женские 2 лезв. 2 шт /12/</t>
  </si>
  <si>
    <t>58828</t>
  </si>
  <si>
    <t>Станки для бритья одноразовые Gillette Venus Simply женские 2 лезв. 4 шт /12/</t>
  </si>
  <si>
    <t>58845</t>
  </si>
  <si>
    <t>Станки для бритья одноразовые Proway 2 лезв. 5 шт 305-066 /40/</t>
  </si>
  <si>
    <t>58851</t>
  </si>
  <si>
    <t>Станки для бритья одноразовые Proway 3 лезв. 4 шт 346-002 /16/</t>
  </si>
  <si>
    <t>58852</t>
  </si>
  <si>
    <t>Станки для бритья одноразовые Proway 3 лезв. 5 шт 346-001 /20/</t>
  </si>
  <si>
    <t>58846</t>
  </si>
  <si>
    <t>Станки для бритья одноразовые Proway женские 2 лезв. 5 шт 305-067 /40/</t>
  </si>
  <si>
    <t>58847</t>
  </si>
  <si>
    <t>Станки для бритья одноразовые Proway женские 3 лезв. 4 шт 346-003 /32/</t>
  </si>
  <si>
    <t>58850</t>
  </si>
  <si>
    <t>Станки для бритья одноразовые Proway женские 3 лезв. 5 шт 346-013 /20/</t>
  </si>
  <si>
    <t>58849</t>
  </si>
  <si>
    <t>Станки для бритья одноразовые Razo Ideal 2 лезв. 3 шт /50/</t>
  </si>
  <si>
    <t>58843</t>
  </si>
  <si>
    <t>Станки для бритья одноразовые МАХ 3 лезв. 3 шт /24/</t>
  </si>
  <si>
    <t>58844</t>
  </si>
  <si>
    <t>Станки для бритья одноразовые МАХ 3 лезв. 5 шт /24/</t>
  </si>
  <si>
    <t>58841</t>
  </si>
  <si>
    <t>Станки для бритья одноразовые МАХ Blue 3+ 3 лезв. 5 шт /24/</t>
  </si>
  <si>
    <t>58842</t>
  </si>
  <si>
    <t>Станки для бритья одноразовые МАХ Lady 3 лезв. 5 шт /24/</t>
  </si>
  <si>
    <t>58832</t>
  </si>
  <si>
    <t>Станок для бритья Gillette Mach3 + 1 кассета /2/20/</t>
  </si>
  <si>
    <t>58848</t>
  </si>
  <si>
    <t>Станок для бритья Gillette Slalom + 1 кассета зеленый /6/</t>
  </si>
  <si>
    <t>58835</t>
  </si>
  <si>
    <t>Станок для бритья Gillette Venus + 1 кассета /12/</t>
  </si>
  <si>
    <t>58853</t>
  </si>
  <si>
    <t>Станок для бритья Proway 3 лезв. + 3 кассеты 346-011 /12/</t>
  </si>
  <si>
    <t>58866</t>
  </si>
  <si>
    <t>Станок для бритья одноразовый Bic на карте черный 1 штука /36/</t>
  </si>
  <si>
    <t>58858</t>
  </si>
  <si>
    <t>Станок для бритья одноразовый Dorco на карте 1 штука /24/</t>
  </si>
  <si>
    <t>58872</t>
  </si>
  <si>
    <t>Станок для бритья одноразовый Gillette 2 1 штука /24/</t>
  </si>
  <si>
    <t>58839</t>
  </si>
  <si>
    <t>Станок для бритья одноразовый МАХ 2 2 лезв. 1 штука /24/</t>
  </si>
  <si>
    <t>58840</t>
  </si>
  <si>
    <t>Станок для бритья одноразовый МАХ 3 3 лезв. 1 штука /24/</t>
  </si>
  <si>
    <t>589 Банные принадлежности</t>
  </si>
  <si>
    <t>58909</t>
  </si>
  <si>
    <t>Пемза вулканическая, 3х6х9см 305-045 /10/</t>
  </si>
  <si>
    <t>58921</t>
  </si>
  <si>
    <t>Пемза для ног 032 /12/</t>
  </si>
  <si>
    <t>58906</t>
  </si>
  <si>
    <t>Пемза для ног 05 /12/</t>
  </si>
  <si>
    <t>58900</t>
  </si>
  <si>
    <t>Пемза для ног 09 /12/</t>
  </si>
  <si>
    <t>58903</t>
  </si>
  <si>
    <t>Пемза для ног JF-017 /12/</t>
  </si>
  <si>
    <t>58902</t>
  </si>
  <si>
    <t>Пемза для ног JF-020 /12/</t>
  </si>
  <si>
    <t>58060</t>
  </si>
  <si>
    <t>Пемза для ног JF-033 /12/</t>
  </si>
  <si>
    <t>58039</t>
  </si>
  <si>
    <t>Пемза для ног со щеткой MJ17-52 /12/</t>
  </si>
  <si>
    <t>58926</t>
  </si>
  <si>
    <t>Пемза для ног со щеткой MJ17-54 /12/</t>
  </si>
  <si>
    <t>58920</t>
  </si>
  <si>
    <t>Пемза на веревке 02 /12/</t>
  </si>
  <si>
    <t>58915</t>
  </si>
  <si>
    <t>Пемза на веревке 040 /12/</t>
  </si>
  <si>
    <t>58912</t>
  </si>
  <si>
    <t>Пемза на веревке 121 /12/</t>
  </si>
  <si>
    <t>58925</t>
  </si>
  <si>
    <t>Пемза натуральная круглая /12/</t>
  </si>
  <si>
    <t>58017</t>
  </si>
  <si>
    <t>Перегородки межпальцевые 2 шт 459-099 /10/</t>
  </si>
  <si>
    <t>58024</t>
  </si>
  <si>
    <t>Покрытие для унитаза одноразовое Paterra 10 шт 463-070 /60/</t>
  </si>
  <si>
    <t>58031</t>
  </si>
  <si>
    <t>Спонж конняку для лица 13786 /350/</t>
  </si>
  <si>
    <t>58091</t>
  </si>
  <si>
    <t>Спонж конняку для лица с розой 15526 /350/</t>
  </si>
  <si>
    <t>58088</t>
  </si>
  <si>
    <t>Чехлы на обувь силиконовые 26-14,5 см М 188-095 /6/</t>
  </si>
  <si>
    <t>58927</t>
  </si>
  <si>
    <t>Шапочка для душа нейлон MJ17-41 /15/</t>
  </si>
  <si>
    <t>58930</t>
  </si>
  <si>
    <t>Шапочка для душа п/э MJ17-42 /15/</t>
  </si>
  <si>
    <t>58011</t>
  </si>
  <si>
    <t>Шапочка для душа ПВХ 4 цв 463-048 /12/</t>
  </si>
  <si>
    <t>58010</t>
  </si>
  <si>
    <t>Шапочка для душа полиэстер 4 цв 463-243 /12/</t>
  </si>
  <si>
    <t>58000</t>
  </si>
  <si>
    <t>Шапочки для душа ПВХ цветные 8 шт 463-762 /24/</t>
  </si>
  <si>
    <t>590-595 Средства индивидуальной защиты</t>
  </si>
  <si>
    <t>590 Прочие СИЗ</t>
  </si>
  <si>
    <t>59004</t>
  </si>
  <si>
    <t>Дождевик-плащ EVA детский на кнопках 80 мкр Вселенная BY 188-086 /12/</t>
  </si>
  <si>
    <t>59059</t>
  </si>
  <si>
    <t>Дождевик-плащ EVA на кнопках с капюшоном синий</t>
  </si>
  <si>
    <t>59010</t>
  </si>
  <si>
    <t>Дождевик-плащ INBLOOM 95*60 см 80 мкр 188-001 /12/</t>
  </si>
  <si>
    <t>59073</t>
  </si>
  <si>
    <t>Дождевик-плащ INBLOOM детский 50*90 см 20 мкр 188-073 /10/</t>
  </si>
  <si>
    <t>59090</t>
  </si>
  <si>
    <t>Дождевик-плащ INBLOOM детский 83*54 см 100 мкр в горошек 188-058 /10/</t>
  </si>
  <si>
    <t>59006</t>
  </si>
  <si>
    <t>Дождевик-плащ детский L 90-115 см /100/ (А)</t>
  </si>
  <si>
    <t>59052</t>
  </si>
  <si>
    <t>Дождевик-плащ Домина на кнопках 1532 /300/</t>
  </si>
  <si>
    <t>59063</t>
  </si>
  <si>
    <t>Дождевик-плащ Домина на кнопках особопрочный 1109 /150/</t>
  </si>
  <si>
    <t>59040</t>
  </si>
  <si>
    <t>Дождевик-плащ ЕH Классик с капюшоном 8283 /20/</t>
  </si>
  <si>
    <t>59033</t>
  </si>
  <si>
    <t>Дождевик-плащ ЕН 120*70 см 4 кнопок 13212 /20/</t>
  </si>
  <si>
    <t>59129</t>
  </si>
  <si>
    <t>Дождевик-плащ нейлон XXL цвет. в ассортим.</t>
  </si>
  <si>
    <t>59111</t>
  </si>
  <si>
    <t>Дождевик-плащ нейлон XXXL цвет. в ассортим.</t>
  </si>
  <si>
    <t>59091</t>
  </si>
  <si>
    <t>Дождевик-плащ ПВД 118*70 голубой с застежками, капюшоном, рукавами DPL002E</t>
  </si>
  <si>
    <t>59036</t>
  </si>
  <si>
    <t>Дождевик-плащ ПВХ темно-синий размер ХXXL /100/</t>
  </si>
  <si>
    <t>59027</t>
  </si>
  <si>
    <t>Дождевик-пончо ЕН 100*125 см 13211 /200/</t>
  </si>
  <si>
    <t>59125</t>
  </si>
  <si>
    <t>Жилет сигнальный желтый NEW GALAXY XL усиленный 762-002</t>
  </si>
  <si>
    <t>59000</t>
  </si>
  <si>
    <t>Жилет сигнальный оранж. СОП 2-гориз.1вертик. (С1) р.60-62</t>
  </si>
  <si>
    <t>59083</t>
  </si>
  <si>
    <t>Жилет сигнальный оранж. СОП 2-горизонтальных (А1) р.56-58</t>
  </si>
  <si>
    <t>59014</t>
  </si>
  <si>
    <t>Каска защитная СИБРТЕХ из ударопрочной пластмассы, оранжевая /89113</t>
  </si>
  <si>
    <t>59038</t>
  </si>
  <si>
    <t>Коврик диэлектрический 500*500 мм</t>
  </si>
  <si>
    <t>59039</t>
  </si>
  <si>
    <t>Коврик диэлектрический 750*750 мм</t>
  </si>
  <si>
    <t>59045</t>
  </si>
  <si>
    <t>Костюм (куртка+брюки) нейлон  XХL</t>
  </si>
  <si>
    <t>59118</t>
  </si>
  <si>
    <t>Костюм (куртка+брюки) нейлон XL</t>
  </si>
  <si>
    <t>59016</t>
  </si>
  <si>
    <t>Маска медицинская одноразовая 50 шт /50/</t>
  </si>
  <si>
    <t>59017</t>
  </si>
  <si>
    <t>Наколенники защитные MATRIX /89410</t>
  </si>
  <si>
    <t>59008</t>
  </si>
  <si>
    <t>Наколенники защитные Сибртех пенополиэтиленовые /89411</t>
  </si>
  <si>
    <t>59002</t>
  </si>
  <si>
    <t>Наушники защитные Спарта плассмас. дужки /893605</t>
  </si>
  <si>
    <t>59041</t>
  </si>
  <si>
    <t>Очки защитные РОСОМЗ ЗНР3.1-Т закрытые с непрям.вент.стек.триплек /10/</t>
  </si>
  <si>
    <t>59074</t>
  </si>
  <si>
    <t>Очки защитные СИБРТЕХ закрытого типа с непрямой вентил. поликарбонат/89160</t>
  </si>
  <si>
    <t>59015</t>
  </si>
  <si>
    <t>Очки защитные СИБРТЕХ открытого типа, желтые удароп. поликарбонат/89157</t>
  </si>
  <si>
    <t>59055</t>
  </si>
  <si>
    <t>Очки защитные СИБРТЕХ открытого типа, затемненные удароп. поликарбонат/89156</t>
  </si>
  <si>
    <t>59053</t>
  </si>
  <si>
    <t>Очки защитные СИБРТЕХ открытого типа, прозрачные, удароп. поликарбонат/89155</t>
  </si>
  <si>
    <t>03053</t>
  </si>
  <si>
    <t>Очки защитные СИБРТЕХ открытые поликарбонат прозрачные/89171</t>
  </si>
  <si>
    <t>59072</t>
  </si>
  <si>
    <t>Перчатки диэлектрические бесшовные до 1000В №2</t>
  </si>
  <si>
    <t>59071</t>
  </si>
  <si>
    <t>Перчатки диэлектрические бесшовные до 1000В №3</t>
  </si>
  <si>
    <t>59065</t>
  </si>
  <si>
    <t>Перчатки диэлектрические бесшовные до 1000В №4</t>
  </si>
  <si>
    <t>59032</t>
  </si>
  <si>
    <t>Перчатки диэлектрические шовные до 1000Вт безразмер ПЕР002</t>
  </si>
  <si>
    <t>59012</t>
  </si>
  <si>
    <t>Респиратор противопылевой У-2К поролон/89213</t>
  </si>
  <si>
    <t>59011</t>
  </si>
  <si>
    <t>Респиратор фильтрующая формованная, модель "ИСТОК", с клапаном выдоха, FFP1 NR/892507</t>
  </si>
  <si>
    <t>05121</t>
  </si>
  <si>
    <t>Респиратор формован.,модель "ИСТОК",с угольным слоем,с клапаном выдоха FFP1 NR/Россия/892467</t>
  </si>
  <si>
    <t>59009</t>
  </si>
  <si>
    <t>Щиток защитный г.Иваново ГОСТ 12.4.023-84 (1наголовник + 2 защитных стекла)/40</t>
  </si>
  <si>
    <t>59031</t>
  </si>
  <si>
    <t>Щиток защитный г.Иваново ГОСТ 12.4.023-84/40/</t>
  </si>
  <si>
    <t>59105</t>
  </si>
  <si>
    <t>Щиток защитный СИБРТЕХ поликарбонат 300х200 /89123</t>
  </si>
  <si>
    <t>59037</t>
  </si>
  <si>
    <t>Щиток защитный СИБРТЕХ поликарбонат 400*220мм, /89124</t>
  </si>
  <si>
    <t>59021</t>
  </si>
  <si>
    <t>Щиток сварщика СИБРТЕХ с откидным стеклом 110х90 /89122</t>
  </si>
  <si>
    <t>591 Сиз сварщика</t>
  </si>
  <si>
    <t>59113</t>
  </si>
  <si>
    <t>Краги сварщика спилковая ULTIMA 355 с подкладкой кевларовая нить 10/XL /12/60/</t>
  </si>
  <si>
    <t>59114</t>
  </si>
  <si>
    <t>Краги сварщика спилковая ULTIMA 365 усил. с подкладкой кевларовая нить 10/XL /12/60/</t>
  </si>
  <si>
    <t>59174</t>
  </si>
  <si>
    <t>Краги сварщика спилковая пятипалая OPTIMA зеленые /12/60/</t>
  </si>
  <si>
    <t>59050</t>
  </si>
  <si>
    <t>Краги сварщика спилковая пятипалая красная Т12/60/6/ С</t>
  </si>
  <si>
    <t>59051</t>
  </si>
  <si>
    <t>Краги сварщика спилковая пятипалая серая Т10-ECO3 /120/12/ С</t>
  </si>
  <si>
    <t>59135</t>
  </si>
  <si>
    <t>Краги сварщика спилковая пятипалая серые GWARD /12/60/</t>
  </si>
  <si>
    <t>59179</t>
  </si>
  <si>
    <t>Краги сварщика спилковые пятипалые с подложкой Трек-люкс /6/60/</t>
  </si>
  <si>
    <t>56002</t>
  </si>
  <si>
    <t>Очки газосварщика РОСОМЗ ЗН5-72-Г с непрямой вентиляцией /10/</t>
  </si>
  <si>
    <t>59131</t>
  </si>
  <si>
    <t>Щиток защитный лицевой "СВОНА"230.1 1F НБТ-01 "Эконом"/89165</t>
  </si>
  <si>
    <t>59134</t>
  </si>
  <si>
    <t>Щиток защитный лицевой "СВОНА"230.1 1F НБТ-01 с сеткой  "Эконом"/89166</t>
  </si>
  <si>
    <t>59153</t>
  </si>
  <si>
    <t>Щиток защитный лицевой "СВОНА"230.1 1F НБТ-02 "ЩИТ"/89164</t>
  </si>
  <si>
    <t>59108</t>
  </si>
  <si>
    <t>Щиток сварщика СИБРТЕХ пластик, стекло 110х90 /89116</t>
  </si>
  <si>
    <t>59109</t>
  </si>
  <si>
    <t>Щиток сварщика СИБРТЕХ пластик, стекло 110х90 евро/89118</t>
  </si>
  <si>
    <t>59060</t>
  </si>
  <si>
    <t>Щиток сварщика СИБРТЕХ фиброкартон/89121</t>
  </si>
  <si>
    <t>592 Перчатки ХБ/синтетические трикотажные</t>
  </si>
  <si>
    <t>59234</t>
  </si>
  <si>
    <t>Перчатки |nbloom нейлон с латексным полуобливом 4-рамер зелен. 188-102 /240/</t>
  </si>
  <si>
    <t>59256</t>
  </si>
  <si>
    <t>Перчатки |nbloom садовые нейлоновые коготь с латекс. полуобл. 9-размер 188-067 /12/</t>
  </si>
  <si>
    <t>59228</t>
  </si>
  <si>
    <t>Перчатки |nbloom садовые с нитриловым полуобл.полиэстер 9-размер 23 см 31 г цветн.188-037 /10/</t>
  </si>
  <si>
    <t>59257</t>
  </si>
  <si>
    <t>Перчатки |nbloom садовые х/б с 9-размер 23 см 30 г цветн.188-036 /12/</t>
  </si>
  <si>
    <t>59210</t>
  </si>
  <si>
    <t>Перчатки ULTIMA 600 трикотаж х/б латекс покр желт 9/L /12/144/</t>
  </si>
  <si>
    <t>59290</t>
  </si>
  <si>
    <t>Перчатки ULTIMA 615 нейлон полиуретан покр черн 9/L /12/240/</t>
  </si>
  <si>
    <t>59236</t>
  </si>
  <si>
    <t>Перчатки ULTIMA 620 нейлон полиуретан покр белые 9/L /12/240/</t>
  </si>
  <si>
    <t>59202</t>
  </si>
  <si>
    <t>Перчатки ULTIMA 630 CARBON нейлон с карб нитью полиурет покр 9/L 1 пара /240/</t>
  </si>
  <si>
    <t>59248</t>
  </si>
  <si>
    <t>Перчатки ULTIMA 660 трикотаж х/б латекс покр зелен 9/L /12/120/</t>
  </si>
  <si>
    <t>59245</t>
  </si>
  <si>
    <t>Перчатки ULTIMA 820 из смесовой пряжи 9/L /12/144/</t>
  </si>
  <si>
    <t>59237</t>
  </si>
  <si>
    <t>Перчатки ULTIMA 825 ПВХ точка на ладони нитрил покр 9/L /12/144/</t>
  </si>
  <si>
    <t>59205</t>
  </si>
  <si>
    <t>Перчатки ULTIMA 880 нейлон нитрил покр 9/L /12/144/</t>
  </si>
  <si>
    <t>59211</t>
  </si>
  <si>
    <t>Перчатки нейлон PU серые №9 L /12/240/</t>
  </si>
  <si>
    <t>59295</t>
  </si>
  <si>
    <t>Перчатки нейлон Латекс Плюc NEXT с р.8L оранжев. 10 пар /10/</t>
  </si>
  <si>
    <t>59288</t>
  </si>
  <si>
    <t>Перчатки нейлон нитрил Цветочек PU505 /12/</t>
  </si>
  <si>
    <t>59221</t>
  </si>
  <si>
    <t>Перчатки нейлон нитрил. покрытием голубые р.9L 10 пар /10/</t>
  </si>
  <si>
    <t>59217</t>
  </si>
  <si>
    <t>Перчатки нейлон Цветы /12/</t>
  </si>
  <si>
    <t>59283</t>
  </si>
  <si>
    <t>Перчатки трикот. Strongshell с нефтемаслост. нитрил. покр. р.11, крага 1 пара /12/</t>
  </si>
  <si>
    <t>59276</t>
  </si>
  <si>
    <t>Перчатки трикот. Strongshell с нефтемаслост. нитрил. покр. р.11, резина 1 пара /12/</t>
  </si>
  <si>
    <t>59281</t>
  </si>
  <si>
    <t>Перчатки ХБ Nitrix I с нефтемаслост. покрт. из нитр. латекса р.8 10 пар /25/</t>
  </si>
  <si>
    <t>59289</t>
  </si>
  <si>
    <t>Перчатки ХБ Nitrix II с нефтемаслост. покрт. из нитр. латекса р.8 10 пар</t>
  </si>
  <si>
    <t>59268</t>
  </si>
  <si>
    <t>Перчатки ХБ без ПВХ 4 нит 10кл. Стандарт белые 10 пар</t>
  </si>
  <si>
    <t>59209</t>
  </si>
  <si>
    <t>Перчатки ХБ без ПВХ 4 нит 10кл. черные 10 пар /500/</t>
  </si>
  <si>
    <t>59200</t>
  </si>
  <si>
    <t>Перчатки ХБ с ПВХ 10кл. р.8 белые 10 пар /25/</t>
  </si>
  <si>
    <t>59279</t>
  </si>
  <si>
    <t>Перчатки ХБ с ПВХ 13кл. р.9 10 пар /25/</t>
  </si>
  <si>
    <t>59292</t>
  </si>
  <si>
    <t>Перчатки ХБ с ПВХ Волна 4 нит 10кл. 10 пар /40/</t>
  </si>
  <si>
    <t>59275</t>
  </si>
  <si>
    <t>Перчатки ХБ с ПВХ Волна 6 нит 10кл. черные 10 пар /40/</t>
  </si>
  <si>
    <t>59230</t>
  </si>
  <si>
    <t>Перчатки ХБ с ПВХ Крепыш р.8 10 пар /24/</t>
  </si>
  <si>
    <t>59299</t>
  </si>
  <si>
    <t>Перчатки ХБ с ПВХ Точка 4 нит 10кл. белые 10 пар /50/</t>
  </si>
  <si>
    <t>59180</t>
  </si>
  <si>
    <t>Перчатки ХБ с ПВХ Точка 5 нит 10кл. белые 10 пар /40/</t>
  </si>
  <si>
    <t>59214</t>
  </si>
  <si>
    <t>Перчатки ХБ с ПВХ Точка 5 нит 10кл. черные 10 пар /40/</t>
  </si>
  <si>
    <t>59204</t>
  </si>
  <si>
    <t>Перчатки ХБ с ПВХ Точка 7 нит 7,5кл. черные 10 пар /40/</t>
  </si>
  <si>
    <t>59231</t>
  </si>
  <si>
    <t>Перчатки ХБ с ПВХ Точка СПЕЦ-SB PRO р.10 черные 10 пар /30/</t>
  </si>
  <si>
    <t>59381</t>
  </si>
  <si>
    <t>Перчатки ХБ с ПВХ Точка СПЕЦ-SB р.10 10 пар /25/</t>
  </si>
  <si>
    <t>59238</t>
  </si>
  <si>
    <t>Перчатки ХБ с ПВХ Точка СПЕЦ-SB р.9 черные 10 пар /30/</t>
  </si>
  <si>
    <t>59201</t>
  </si>
  <si>
    <t>Перчатки ХБ, облитые резиной 13кл зеленые 10 пар /30/</t>
  </si>
  <si>
    <t>59298</t>
  </si>
  <si>
    <t>Перчатки ХБ, облитые резиной Лайт 13кл зеленые 10 пар /30/</t>
  </si>
  <si>
    <t>59224</t>
  </si>
  <si>
    <t>Перчатки ХБ, облитые резиной Лайт 2-й облив 13кл. в инд. уп. зеленые 10 пар /10/</t>
  </si>
  <si>
    <t>59274</t>
  </si>
  <si>
    <t>Перчатки ХБ, облитые резиной Люкс 2-й облив 13кл в инд. уп. 10пар /30/</t>
  </si>
  <si>
    <t>59267</t>
  </si>
  <si>
    <t>Перчатки ХБ, облитые резиной Стандарт 2-й облив 13кл. в инд. уп. зеленые 10 пар /10/</t>
  </si>
  <si>
    <t>59235</t>
  </si>
  <si>
    <t>Перчатки хлопкополиэфирные с ПВХ осень 7кл р.9 10 пар /20/</t>
  </si>
  <si>
    <t>59278</t>
  </si>
  <si>
    <t>Перчатки хлопкополиэфирные с рельефн. покрыт. из нат. латек. р.11 1 пара /5/</t>
  </si>
  <si>
    <t>593 Перчатки латексные/виниловые/нитриловые</t>
  </si>
  <si>
    <t>59379</t>
  </si>
  <si>
    <t>Перчатки виниловые L 50 пар /10/</t>
  </si>
  <si>
    <t>59380</t>
  </si>
  <si>
    <t>Перчатки виниловые XL 50 пар /10/</t>
  </si>
  <si>
    <t>59363</t>
  </si>
  <si>
    <t>Перчатки виниловые М 50 пар /10/</t>
  </si>
  <si>
    <t>59437</t>
  </si>
  <si>
    <t>Перчатки виниловые прозрачные DELTAGRIP ТРЕ р.8(М) 100 пар /10/</t>
  </si>
  <si>
    <t>59436</t>
  </si>
  <si>
    <t>Перчатки виниловые прозрачные DELTAGRIP ТРЕ р.9(L) 100 пар /10/</t>
  </si>
  <si>
    <t>59368</t>
  </si>
  <si>
    <t>Перчатки виниловые прозрачные ТРЕ L 100 пар /10/</t>
  </si>
  <si>
    <t>59378</t>
  </si>
  <si>
    <t>Перчатки виниловые прозрачные ТРЕ XL 100 пар /10/</t>
  </si>
  <si>
    <t>59349</t>
  </si>
  <si>
    <t>Перчатки из высокополимерного волокна Ultima 930 размер 9/L пара /12/144/</t>
  </si>
  <si>
    <t>59319</t>
  </si>
  <si>
    <t>Перчатки латекс/неопрен COLOR GUARD размер 9/L ULT170 /12/144/</t>
  </si>
  <si>
    <t>59392</t>
  </si>
  <si>
    <t>Перчатки латексные DELTAGRIP High Risk р.10(XL) уп. 25пар</t>
  </si>
  <si>
    <t>59391</t>
  </si>
  <si>
    <t>Перчатки латексные DELTAGRIP High Risk р.7(S) уп. 25пар</t>
  </si>
  <si>
    <t>59393</t>
  </si>
  <si>
    <t>Перчатки латексные DELTAGRIP High Risk р.8(M) уп. 25пар</t>
  </si>
  <si>
    <t>59390</t>
  </si>
  <si>
    <t>Перчатки латексные DELTAGRIP High Risk р.9(L) уп. 25пар</t>
  </si>
  <si>
    <t>59431</t>
  </si>
  <si>
    <t>Перчатки латексные GAVEA р.10 XL 50пар</t>
  </si>
  <si>
    <t>59344</t>
  </si>
  <si>
    <t>Перчатки латексные GAVEA р.7 S 50пар /10/</t>
  </si>
  <si>
    <t>59355</t>
  </si>
  <si>
    <t>Перчатки латексные GAVEA р.8 M 50пар</t>
  </si>
  <si>
    <t>59382</t>
  </si>
  <si>
    <t>Перчатки латексные GAVEA р.9 L 50пар</t>
  </si>
  <si>
    <t>59388</t>
  </si>
  <si>
    <t>Перчатки латексные L 50 пар</t>
  </si>
  <si>
    <t>53400</t>
  </si>
  <si>
    <t>Перчатки латексные LIBRY High Risk повыш. прочности р.10(XL) уп. 25пар</t>
  </si>
  <si>
    <t>59441</t>
  </si>
  <si>
    <t>Перчатки латексные LIBRY High Risk повыш. прочности р.7(S) уп. 25пар</t>
  </si>
  <si>
    <t>59421</t>
  </si>
  <si>
    <t>Перчатки латексные LIBRY High Risk повыш. прочности р.8(M) уп. 25пар</t>
  </si>
  <si>
    <t>59423</t>
  </si>
  <si>
    <t>Перчатки латексные LIBRY High Risk повыш. прочности р.9(L) уп. 25пар</t>
  </si>
  <si>
    <t>59394</t>
  </si>
  <si>
    <t>Перчатки латексные M белые 5 пар 447-029 /12/</t>
  </si>
  <si>
    <t>59366</t>
  </si>
  <si>
    <t>Перчатки латексные M прозрачные 10 пар 447-030 /12/</t>
  </si>
  <si>
    <t>59331</t>
  </si>
  <si>
    <t>Перчатки латексные Ultima PRO HELPER размер 9/L ULT130 черные /12/144/</t>
  </si>
  <si>
    <t>59320</t>
  </si>
  <si>
    <t>Перчатки латексные ULTRA GUARD размер 9/L ULT140 /12/144/</t>
  </si>
  <si>
    <t>59338</t>
  </si>
  <si>
    <t>Перчатки латексные YELLOW HELPER размер 9/L ULT120 /12/144/</t>
  </si>
  <si>
    <t>59313</t>
  </si>
  <si>
    <t>Перчатки латексные ЕН XINDA разм. S 13780 /12/</t>
  </si>
  <si>
    <t>59333</t>
  </si>
  <si>
    <t>Перчатки латексные ЕН с х/б напылением разм. L 3698 /12/</t>
  </si>
  <si>
    <t>59332</t>
  </si>
  <si>
    <t>Перчатки латексные ЕН с х/б напылением разм. S 3700 /12/</t>
  </si>
  <si>
    <t>59361</t>
  </si>
  <si>
    <t>Перчатки латексные ЕН с х/б напылением разм. XL 3699 /12/</t>
  </si>
  <si>
    <t>59356</t>
  </si>
  <si>
    <t>Перчатки латексные ЕН с х/б напылением разм. М 3701 /12/</t>
  </si>
  <si>
    <t>59307</t>
  </si>
  <si>
    <t>Перчатки латексные ЕН тонкие разм. L 3696 /12/240/</t>
  </si>
  <si>
    <t>59312</t>
  </si>
  <si>
    <t>Перчатки латексные ЕН тонкие разм. XL 3697 /12/240/</t>
  </si>
  <si>
    <t>59305</t>
  </si>
  <si>
    <t>Перчатки латексные ЕН тонкие разм. М 3694 /12/240/</t>
  </si>
  <si>
    <t>59374</t>
  </si>
  <si>
    <t>Перчатки латексные прочные Лаванда L 447-036 /12/</t>
  </si>
  <si>
    <t>59322</t>
  </si>
  <si>
    <t>Перчатки латексные прочные Лаванда M 447-037 /12/</t>
  </si>
  <si>
    <t>59321</t>
  </si>
  <si>
    <t>Перчатки латексные прочные Лаванда XL 447-038 /12/</t>
  </si>
  <si>
    <t>59395</t>
  </si>
  <si>
    <t>Перчатки латексные ЧИСТЫЕ РУКИ с внутр. напыл. р.L /12/120/</t>
  </si>
  <si>
    <t>59397</t>
  </si>
  <si>
    <t>Перчатки латексные ЧИСТЫЕ РУКИ с внутр. напыл. р.S /12/120/</t>
  </si>
  <si>
    <t>59398</t>
  </si>
  <si>
    <t>Перчатки латексные ЧИСТЫЕ РУКИ с внутр. напыл. р.XL /12/120/</t>
  </si>
  <si>
    <t>59343</t>
  </si>
  <si>
    <t>Перчатки нитрил винил 50 пар /1000/</t>
  </si>
  <si>
    <t>59362</t>
  </si>
  <si>
    <t>Перчатки нитрил винил Вали пластик черн XL 50 пар /10/</t>
  </si>
  <si>
    <t>59501</t>
  </si>
  <si>
    <t>Перчатки нитриловые DELTAGRIP High Power р.7(S) уп. 25пар</t>
  </si>
  <si>
    <t>59302</t>
  </si>
  <si>
    <t>Перчатки нитриловые ULTIMA 300 LICHLT BLUE р.10(XL) уп. 50 пар /10/</t>
  </si>
  <si>
    <t>59341</t>
  </si>
  <si>
    <t>Перчатки нитриловые Ultima 460PR Premium размер 9/L пара /12/144/</t>
  </si>
  <si>
    <t>59309</t>
  </si>
  <si>
    <t>Перчатки нитриловые Vetta L черные 50 пар 447-063 /20/</t>
  </si>
  <si>
    <t>59301</t>
  </si>
  <si>
    <t>Перчатки нитриловые Vetta S/M/L 5 пар 447-042 /12/</t>
  </si>
  <si>
    <t>59432</t>
  </si>
  <si>
    <t>Перчатки полиуретан белые р.9 (L) 10 пар /10/250/</t>
  </si>
  <si>
    <t>59389</t>
  </si>
  <si>
    <t>Перчатки полиуретан серые р.9 (L) 10 пар /10/250/</t>
  </si>
  <si>
    <t>59375</t>
  </si>
  <si>
    <t>Перчатки полиуретан черные р.9 (L) 10 пар /10/250/</t>
  </si>
  <si>
    <t>59357</t>
  </si>
  <si>
    <t>Перчатки полиуретановые Ultima 705 покр из порезостойк волокна размер 11/ХХL пара /12/144/</t>
  </si>
  <si>
    <t>59367</t>
  </si>
  <si>
    <t>Перчатки полиэтиленовые 100 шт р-р М 447-031 /12/</t>
  </si>
  <si>
    <t>59324</t>
  </si>
  <si>
    <t>Перчатки полиэфирные с черн. нитрил. покрыт. ладони 15кл. р.9 5 пар /5/</t>
  </si>
  <si>
    <t>59399</t>
  </si>
  <si>
    <t>Перчатки резин. LaDina L 30101 /12/240/</t>
  </si>
  <si>
    <t>59311</t>
  </si>
  <si>
    <t>Перчатки резин. LaDina M 30101 /12/240/</t>
  </si>
  <si>
    <t>59342</t>
  </si>
  <si>
    <t>Перчатки резин. LaDina S 30101 /12/240/</t>
  </si>
  <si>
    <t>59208</t>
  </si>
  <si>
    <t>Перчатки резин. VETTA PREMIUM  L 447-011 /12/240/</t>
  </si>
  <si>
    <t>59280</t>
  </si>
  <si>
    <t>Перчатки резин. VETTA PREMIUM  S 447-009 /12/240/</t>
  </si>
  <si>
    <t>59216</t>
  </si>
  <si>
    <t>Перчатки резин. VETTA PREMIUM  М 447-010 /12/240/</t>
  </si>
  <si>
    <t>59232</t>
  </si>
  <si>
    <t>Перчатки резин. VETTA желтые L 447-006 /12/240/</t>
  </si>
  <si>
    <t>59240</t>
  </si>
  <si>
    <t>Перчатки резин. VETTA желтые M 447-005 /12/240/</t>
  </si>
  <si>
    <t>59241</t>
  </si>
  <si>
    <t>Перчатки резин. VETTA желтые S 447-004 /12/240/</t>
  </si>
  <si>
    <t>59287</t>
  </si>
  <si>
    <t>Перчатки резин. VETTA желтые XL 447-008 /12/240/</t>
  </si>
  <si>
    <t>59369</t>
  </si>
  <si>
    <t>Перчатки резин. VETTA спец.для уборки оранжевые L 447-032 /12/240/</t>
  </si>
  <si>
    <t>59371</t>
  </si>
  <si>
    <t>Перчатки резин. VETTA спец.для уборки оранжевые S 447-034 /12/240/</t>
  </si>
  <si>
    <t>59300</t>
  </si>
  <si>
    <t>Перчатки резин. VETTA спец.для уборки оранжевые XL 447-035 /12/240/</t>
  </si>
  <si>
    <t>59370</t>
  </si>
  <si>
    <t>Перчатки резин. VETTA спец.для уборки оранжевые М 447-033 /12/240/</t>
  </si>
  <si>
    <t>59306</t>
  </si>
  <si>
    <t>Перчатки резин. Чистый дом L /12/240/</t>
  </si>
  <si>
    <t>59315</t>
  </si>
  <si>
    <t>Перчатки резин. Чистый дом M /12/240/</t>
  </si>
  <si>
    <t>59308</t>
  </si>
  <si>
    <t>Перчатки резин. Чистый дом S /12/240/</t>
  </si>
  <si>
    <t>59318</t>
  </si>
  <si>
    <t>Перчатки резин. Чистый дом XL /12/240/</t>
  </si>
  <si>
    <t>59348</t>
  </si>
  <si>
    <t>Перчатки синтетические Ultima 970D покрыт ПВХ Точка размер 9/L пара /12/144/</t>
  </si>
  <si>
    <t>59323</t>
  </si>
  <si>
    <t>Перчатки хоз. VETTA ПВХ 30 см L 447-058 /300/</t>
  </si>
  <si>
    <t>59330</t>
  </si>
  <si>
    <t>Перчатки хоз. VETTA ПВХ 30 см М 447-057 /300/</t>
  </si>
  <si>
    <t>59387</t>
  </si>
  <si>
    <t>Перчатки Эксперт Ультра DG-042 L 25пар</t>
  </si>
  <si>
    <t>59384</t>
  </si>
  <si>
    <t>Перчатки Эксперт Ультра DG-042 M 25пар</t>
  </si>
  <si>
    <t>59383</t>
  </si>
  <si>
    <t>Перчатки Эксперт Ультра DG-042 S 25пар</t>
  </si>
  <si>
    <t>59303</t>
  </si>
  <si>
    <t>Перчатки Эксперт Ультра DG-042 XL 25пар</t>
  </si>
  <si>
    <t>594 Перчатки спилковые/утепленные/Рукавицы</t>
  </si>
  <si>
    <t>594430</t>
  </si>
  <si>
    <t>Перчатки полушерстяные АКТАШ Двойные 1 пара</t>
  </si>
  <si>
    <t>59410</t>
  </si>
  <si>
    <t>Перчатки полушерстяные Зима 10 пар /15/</t>
  </si>
  <si>
    <t>59327</t>
  </si>
  <si>
    <t>Перчатки полушерстяные Зима с ПВХ 10 пар /15/</t>
  </si>
  <si>
    <t>59407</t>
  </si>
  <si>
    <t>Перчатки полушерстяные Полярный лед салатовые 1 пара /120/</t>
  </si>
  <si>
    <t>59413</t>
  </si>
  <si>
    <t>Перчатки спилковые ULTIMA 222 комбинированные усиленные  XXL /12/120</t>
  </si>
  <si>
    <t>59433</t>
  </si>
  <si>
    <t>Перчатки спилковые комбинированные 0115 /12/120/</t>
  </si>
  <si>
    <t>59408</t>
  </si>
  <si>
    <t>Перчатки утепленные акриловые Зима-Rubifrost</t>
  </si>
  <si>
    <t>59411</t>
  </si>
  <si>
    <t>Перчатки утепленные акриловые Зимние с ПВХ 10кл. р.9, цв. оранжевые 1 пара /100/</t>
  </si>
  <si>
    <t>59119</t>
  </si>
  <si>
    <t>Перчатки утепленные Зимние двойные с ПВХ 5 пар /30/</t>
  </si>
  <si>
    <t>59419</t>
  </si>
  <si>
    <t>Перчатки утепленные Зимние двойные черные 5 пар /30/</t>
  </si>
  <si>
    <t>59445</t>
  </si>
  <si>
    <t>Перчатки утепленные Зимние с рельеф. покрыт. 10кл. р.11 лимон 1 пара /10/</t>
  </si>
  <si>
    <t>59243</t>
  </si>
  <si>
    <t>Рукавицы брезентовые огнеупорные ОП1 Россия /200/68115</t>
  </si>
  <si>
    <t>59402</t>
  </si>
  <si>
    <t>Рукавицы брезентовые огнеупорные с брез. наладон. ОП2 Россия /240/</t>
  </si>
  <si>
    <t>59415</t>
  </si>
  <si>
    <t>Рукавицы брезентовые утепленные ватин /100/</t>
  </si>
  <si>
    <t>59444</t>
  </si>
  <si>
    <t>Рукавицы полушерстянные двойные САЯНЫ</t>
  </si>
  <si>
    <t>59019</t>
  </si>
  <si>
    <t>Рукавицы резиновые КЩС 3-х палые БЗ-1м</t>
  </si>
  <si>
    <t>59442</t>
  </si>
  <si>
    <t>Рукавицы суконные с брезентовым наладонником /5/100/</t>
  </si>
  <si>
    <t>59350</t>
  </si>
  <si>
    <t>Рукавицы суконные шинель /5/100/</t>
  </si>
  <si>
    <t>59316</t>
  </si>
  <si>
    <t>Рукавицы утепленные двойной ватин /100/</t>
  </si>
  <si>
    <t>59123</t>
  </si>
  <si>
    <t>Рукавицы утепленные двойной ватин с брезентовым наладонником /100/</t>
  </si>
  <si>
    <t>59417</t>
  </si>
  <si>
    <t>Рукавицы х/б с брезен. наладонник Россия /400/68130</t>
  </si>
  <si>
    <t>600-699 Инструмент</t>
  </si>
  <si>
    <t>600-601 Круги отрезные</t>
  </si>
  <si>
    <t>600 Круги отрезные Луга</t>
  </si>
  <si>
    <t>62143</t>
  </si>
  <si>
    <t>Круг отрезной Луга кам. 200*3,0*22 /50/</t>
  </si>
  <si>
    <t>60064</t>
  </si>
  <si>
    <t>Круг отрезной Луга кам. 230*3,0*22 /50/</t>
  </si>
  <si>
    <t>63220</t>
  </si>
  <si>
    <t>Круг отрезной Луга кам. 300*3,0*22 /15/</t>
  </si>
  <si>
    <t>60065</t>
  </si>
  <si>
    <t>Круг отрезной Луга кам. 300*3,0*32 /15/</t>
  </si>
  <si>
    <t>63556</t>
  </si>
  <si>
    <t>Круг отрезной Луга кам. 300*4,0*32 /15/</t>
  </si>
  <si>
    <t>63589</t>
  </si>
  <si>
    <t>Круг отрезной Луга мет. 115*2,5*22 /73651 /25/200/</t>
  </si>
  <si>
    <t>63437</t>
  </si>
  <si>
    <t>Круг отрезной Луга мет. 125*2,5*22 /73657 /25/200/</t>
  </si>
  <si>
    <t>63430</t>
  </si>
  <si>
    <t>Круг отрезной Луга мет. 125*3,0*22 /25/200/</t>
  </si>
  <si>
    <t>63414</t>
  </si>
  <si>
    <t>Круг отрезной Луга мет. 150*2,5*22 /73660 /25/100/</t>
  </si>
  <si>
    <t>60090</t>
  </si>
  <si>
    <t>Круг отрезной Луга мет. 150*3,0*22 /100/</t>
  </si>
  <si>
    <t>60015</t>
  </si>
  <si>
    <t>Круг отрезной Луга мет. 180*1,8*22 /25/150/</t>
  </si>
  <si>
    <t>60070</t>
  </si>
  <si>
    <t>Круг отрезной Луга мет. 180*2,0*22 /73662 /25/150/</t>
  </si>
  <si>
    <t>63457</t>
  </si>
  <si>
    <t>Круг отрезной Луга мет. 180*2,5*22 /73663 /25/100/</t>
  </si>
  <si>
    <t>60144</t>
  </si>
  <si>
    <t>Круг отрезной Луга мет. 180*2,5*32 /73669 /100/</t>
  </si>
  <si>
    <t>63459</t>
  </si>
  <si>
    <t>Круг отрезной Луга мет. 180*3,0*22 /50/</t>
  </si>
  <si>
    <t>60042</t>
  </si>
  <si>
    <t>Круг отрезной Луга мет. 200*2,0*22 /50/</t>
  </si>
  <si>
    <t>62089</t>
  </si>
  <si>
    <t>Круг отрезной Луга мет. 200*2,5*22 /73672 /25/50/</t>
  </si>
  <si>
    <t>60032</t>
  </si>
  <si>
    <t>Круг отрезной Луга мет. 200*3,0*22 /50/</t>
  </si>
  <si>
    <t>63429</t>
  </si>
  <si>
    <t>Круг отрезной Луга мет. 230*2,0*22 /73680 /25/</t>
  </si>
  <si>
    <t>60003</t>
  </si>
  <si>
    <t>Круг отрезной Луга мет. 230*2,5*22 /73681 /25/50/</t>
  </si>
  <si>
    <t>60091</t>
  </si>
  <si>
    <t>Круг отрезной Луга мет. 230*3,0*22 /73682 /25/50/</t>
  </si>
  <si>
    <t>63239</t>
  </si>
  <si>
    <t>Круг отрезной Луга мет. 230*3*32 /50/</t>
  </si>
  <si>
    <t>63486</t>
  </si>
  <si>
    <t>Круг отрезной Луга мет. 300*3,0*22 /25/</t>
  </si>
  <si>
    <t>63599</t>
  </si>
  <si>
    <t>Круг отрезной Луга мет. и нерж. 115*0,8*22 /25/400/</t>
  </si>
  <si>
    <t>63416</t>
  </si>
  <si>
    <t>Круг отрезной Луга мет. и нерж. 115*1,2*22 /73649 /25/400/</t>
  </si>
  <si>
    <t>63433</t>
  </si>
  <si>
    <t>Круг отрезной Луга мет. и нерж. 115*1,4*22 /25/400/</t>
  </si>
  <si>
    <t>63407</t>
  </si>
  <si>
    <t>Круг отрезной Луга мет. и нерж. 115*1,6*22 /73650 /25/400/</t>
  </si>
  <si>
    <t>63415</t>
  </si>
  <si>
    <t>Круг отрезной Луга мет. и нерж. 115*1*22 /73648 /25/400/</t>
  </si>
  <si>
    <t>60028</t>
  </si>
  <si>
    <t>Круг отрезной Луга мет. и нерж. 125*0,8*22 /73641 /25/400/</t>
  </si>
  <si>
    <t>60096</t>
  </si>
  <si>
    <t>Круг отрезной Луга мет. и нерж. 125*1,0*22 /73654 /25/400/</t>
  </si>
  <si>
    <t>63335</t>
  </si>
  <si>
    <t>Круг отрезной Луга мет. и нерж. 125*1,2*22 /73655 /25/400/</t>
  </si>
  <si>
    <t>63477</t>
  </si>
  <si>
    <t>Круг отрезной Луга мет. и нерж. 125*1,6*22 /73656 /25/400/</t>
  </si>
  <si>
    <t>60036</t>
  </si>
  <si>
    <t>Круг отрезной Луга мет. и нерж. 125*2,5*22 /25/200/</t>
  </si>
  <si>
    <t>60039</t>
  </si>
  <si>
    <t>Круг отрезной Луга мет. и нерж. 150*1,0*22 /73664 /25/200/</t>
  </si>
  <si>
    <t>60040</t>
  </si>
  <si>
    <t>Круг отрезной Луга мет. и нерж. 150*1,2*22 /73665 /25/200/</t>
  </si>
  <si>
    <t>60043</t>
  </si>
  <si>
    <t>Круг отрезной Луга мет. и нерж. 150*1,4*22 /25/200/</t>
  </si>
  <si>
    <t>60045</t>
  </si>
  <si>
    <t>Круг отрезной Луга мет. и нерж. 150*1,6*22 /73658 /25/200/</t>
  </si>
  <si>
    <t>60140</t>
  </si>
  <si>
    <t>Круг отрезной Луга мет. и нерж. 180*1,4*22 /25/200/</t>
  </si>
  <si>
    <t>60056</t>
  </si>
  <si>
    <t>Круг отрезной Луга мет. и нерж. 180*1,6*22 /73661 /25/150/</t>
  </si>
  <si>
    <t>60080</t>
  </si>
  <si>
    <t>Круг отрезной Луга мет. и нерж. 180*1,8*22 /25/150/</t>
  </si>
  <si>
    <t>601 Круги отрезные прочие</t>
  </si>
  <si>
    <t>63453</t>
  </si>
  <si>
    <t>Круг отрезной HITACHI мет. 115*2,5*22 /200/</t>
  </si>
  <si>
    <t>63454</t>
  </si>
  <si>
    <t>Круг отрезной HITACHI мет. 125*2,5*22 /200/</t>
  </si>
  <si>
    <t>63458</t>
  </si>
  <si>
    <t>Круг отрезной HITACHI мет. 180*2,5*22 /100/</t>
  </si>
  <si>
    <t>63586</t>
  </si>
  <si>
    <t>Круг отрезной ZIGGER PF мет. 125*3,0*22 /50/</t>
  </si>
  <si>
    <t>63574</t>
  </si>
  <si>
    <t>Круг отрезной ZIGGER PF мет. 230*3,0*22 /25/</t>
  </si>
  <si>
    <t>63753</t>
  </si>
  <si>
    <t>Круг отрезной Юрга мет. 180*3*32 /50/</t>
  </si>
  <si>
    <t>602 Ножницы по мет/Клещи</t>
  </si>
  <si>
    <t>60215</t>
  </si>
  <si>
    <t>Клещи MATRIX 165мм, переставные, двухкомп. рукоятки /15707</t>
  </si>
  <si>
    <t>60201</t>
  </si>
  <si>
    <t>Клещи MATRIX 250мм, переставные, двухкомп. рукоятки /15708</t>
  </si>
  <si>
    <t>65727</t>
  </si>
  <si>
    <t>Клещи MATRIX 300мм, переставные, двухкомп. рукоятки /15709</t>
  </si>
  <si>
    <t>60209</t>
  </si>
  <si>
    <t>Клещи SPARTA 250мм, переставные, ПВХ рукоятки /157185</t>
  </si>
  <si>
    <t>60200</t>
  </si>
  <si>
    <t>Клещи SPARTA 300мм, переставные, ПВХ рукоятки /157195</t>
  </si>
  <si>
    <t>60205</t>
  </si>
  <si>
    <t>Ножницы по металлу GROSS 250мм прямой рез, CrMo /78325</t>
  </si>
  <si>
    <t>60969</t>
  </si>
  <si>
    <t>Ножницы по металлу MATRIX 250мм левые, обрез. ручки /78334</t>
  </si>
  <si>
    <t>60968</t>
  </si>
  <si>
    <t>Ножницы по металлу MATRIX 250мм правые, обрез. ручки /78332</t>
  </si>
  <si>
    <t>60243</t>
  </si>
  <si>
    <t>Ножницы по металлу MATRIX 250мм пряморежущие, обрез. ручки /78330</t>
  </si>
  <si>
    <t>60817</t>
  </si>
  <si>
    <t>Ножницы по металлу MATRIX 275мм пряморежущие, обрез. ручки. /78302</t>
  </si>
  <si>
    <t>60860</t>
  </si>
  <si>
    <t>Ножницы по металлу MATRIX 300мм /78300</t>
  </si>
  <si>
    <t>60203</t>
  </si>
  <si>
    <t>Ножницы по металлу Спарта 200мм /783125</t>
  </si>
  <si>
    <t>60840</t>
  </si>
  <si>
    <t>Ножницы по металлу Спарта 250мм /783135</t>
  </si>
  <si>
    <t>60273</t>
  </si>
  <si>
    <t>Ножницы по металлу Спарта 250мм пряморежущие, облив ручки /783155</t>
  </si>
  <si>
    <t>60833</t>
  </si>
  <si>
    <t>Ножницы по металлу Спарта 300мм /783145</t>
  </si>
  <si>
    <t>60207</t>
  </si>
  <si>
    <t>Ножницы универсальные MATRIX 275мм левые /78304</t>
  </si>
  <si>
    <t>603 Болторезы</t>
  </si>
  <si>
    <t>60250</t>
  </si>
  <si>
    <t>Болторез MATRIX 1200мм (48") /78565</t>
  </si>
  <si>
    <t>60806</t>
  </si>
  <si>
    <t>Болторез MATRIX 300мм (12") /78525</t>
  </si>
  <si>
    <t>60301</t>
  </si>
  <si>
    <t>Болторез MATRIX 350мм (14") /78530</t>
  </si>
  <si>
    <t>60841</t>
  </si>
  <si>
    <t>Болторез MATRIX 450мм (18") /78535</t>
  </si>
  <si>
    <t>60812</t>
  </si>
  <si>
    <t>Болторез MATRIX 600мм (24") /78540</t>
  </si>
  <si>
    <t>60825</t>
  </si>
  <si>
    <t>Болторез MATRIX 750мм (30") /78545</t>
  </si>
  <si>
    <t>60811</t>
  </si>
  <si>
    <t>Болторез MATRIX 900мм (36") /78555</t>
  </si>
  <si>
    <t>60300</t>
  </si>
  <si>
    <t>Болторез БАРС 1050мм 42" /78583</t>
  </si>
  <si>
    <t>60261</t>
  </si>
  <si>
    <t>Болторез БАРС 450мм 18" /78575</t>
  </si>
  <si>
    <t>60835</t>
  </si>
  <si>
    <t>Болторез БАРС 750мм 30" /78578</t>
  </si>
  <si>
    <t>604-605 Биты</t>
  </si>
  <si>
    <t>604 Биты MATRIX, GROSS, Сибртех</t>
  </si>
  <si>
    <t>60401</t>
  </si>
  <si>
    <t>Адаптер MATRIX для бит магнитн. шестигранный, 1 шт /11792</t>
  </si>
  <si>
    <t>60405</t>
  </si>
  <si>
    <t>Бита GROSS PH 2*50мм с ограничителем и магнитом, для ГКЛ, S2 /11456</t>
  </si>
  <si>
    <t>60407</t>
  </si>
  <si>
    <t>Бита GROSS PH 2x25 мм с ограничителем и магнитом, для ГКЛ, S2/11455</t>
  </si>
  <si>
    <t>60438</t>
  </si>
  <si>
    <t>Биты GROSS HEX 4*50, сталь S2, 10 шт /11463</t>
  </si>
  <si>
    <t>60477</t>
  </si>
  <si>
    <t>Биты GROSS PH1*25мм, сталь S2, 2 шт /11349</t>
  </si>
  <si>
    <t>60470</t>
  </si>
  <si>
    <t>Биты GROSS PH1*50мм, сталь S2 10 шт /11334</t>
  </si>
  <si>
    <t>60487</t>
  </si>
  <si>
    <t>Биты GROSS PH1*50мм, сталь S2, 2 шт /11355</t>
  </si>
  <si>
    <t>60406</t>
  </si>
  <si>
    <t>Биты GROSS PH2-PH2*45мм, сталь S2, двухсторон. 10 шт /11209</t>
  </si>
  <si>
    <t>60453</t>
  </si>
  <si>
    <t>Биты GROSS PH2*150мм, сталь S2, 5 шт /11203</t>
  </si>
  <si>
    <t>60403</t>
  </si>
  <si>
    <t>Биты GROSS PH2*25мм, сталь S2, 10 шт /11330</t>
  </si>
  <si>
    <t>60440</t>
  </si>
  <si>
    <t>Биты GROSS PH2*25мм, сталь S2, 2 шт /11351</t>
  </si>
  <si>
    <t>60402</t>
  </si>
  <si>
    <t>Биты GROSS PH2*25мм, торсион. для ударных шуруповертов 10 шт /11482</t>
  </si>
  <si>
    <t>60424</t>
  </si>
  <si>
    <t>Биты GROSS PH2*25мм, торсион. для ударных шуруповертов 2 шт /11475</t>
  </si>
  <si>
    <t>60441</t>
  </si>
  <si>
    <t>Биты GROSS PH2*50 мм, сталь S2, 2 шт /11357</t>
  </si>
  <si>
    <t>60414</t>
  </si>
  <si>
    <t>Биты GROSS PH2*50мм, сталь S2, 10 шт /11335 /60/</t>
  </si>
  <si>
    <t>60446</t>
  </si>
  <si>
    <t>Биты GROSS PH2*70мм, сталь S2, 10 шт /11378</t>
  </si>
  <si>
    <t>60491</t>
  </si>
  <si>
    <t>Биты GROSS PH2*90мм, сталь S2, 10 шт /11263</t>
  </si>
  <si>
    <t>60447</t>
  </si>
  <si>
    <t>Биты GROSS PH2*90мм, сталь S2, 10 шт /11379</t>
  </si>
  <si>
    <t>60472</t>
  </si>
  <si>
    <t>Биты GROSS PZ1*25мм, сталь S2, 10 шт /11339</t>
  </si>
  <si>
    <t>60474</t>
  </si>
  <si>
    <t>Биты GROSS PZ1*50мм, сталь S2, 10 шт /11344</t>
  </si>
  <si>
    <t>60442</t>
  </si>
  <si>
    <t>Биты GROSS PZ2*25мм, сталь S2, 10 шт /11340</t>
  </si>
  <si>
    <t>60444</t>
  </si>
  <si>
    <t>Биты GROSS PZ2*50мм, сталь S2, 10 шт /11345</t>
  </si>
  <si>
    <t>60476</t>
  </si>
  <si>
    <t>Биты GROSS PZ3*50мм, сталь S2, 10 шт /11346</t>
  </si>
  <si>
    <t>60598</t>
  </si>
  <si>
    <t>Биты GROSS TORX 20*50, сталь S2, 10 шт /11470</t>
  </si>
  <si>
    <t>60400</t>
  </si>
  <si>
    <t>Биты MATRIX с торцевыми головками 10мм- 45мм, 2шт /11571</t>
  </si>
  <si>
    <t>60466</t>
  </si>
  <si>
    <t>Биты MATRIX с торцевыми головками 10мм-65мм, 2шт /11576</t>
  </si>
  <si>
    <t>60420</t>
  </si>
  <si>
    <t>Биты MATRIX с торцевыми головками 13мм-45мм, 2шт /11789</t>
  </si>
  <si>
    <t>60426</t>
  </si>
  <si>
    <t>Биты MATRIX с торцевыми головками 6мм-45мм, 2шт /11566</t>
  </si>
  <si>
    <t>60465</t>
  </si>
  <si>
    <t>Биты MATRIX с торцевыми головками 8мм-45мм, 2шт /11569</t>
  </si>
  <si>
    <t>60436</t>
  </si>
  <si>
    <t>Биты MATRIX с торцевыми головками 8мм-65мм, 2шт /11573</t>
  </si>
  <si>
    <t>60490</t>
  </si>
  <si>
    <t>Биты професс торсионные сталь S2 1|4 Е PH2*50 2шт 33-8-001</t>
  </si>
  <si>
    <t>60473</t>
  </si>
  <si>
    <t>Биты Сибртех PH2*50мм, сталь CrMo, 5 шт /11241</t>
  </si>
  <si>
    <t>60448</t>
  </si>
  <si>
    <t>Биты Сибртех PH2*70мм, сталь CrMo, 5 шт /11259</t>
  </si>
  <si>
    <t>60410</t>
  </si>
  <si>
    <t>Биты Сибртех PH2*90 мм, сталь CrMo, 5 шт /11260</t>
  </si>
  <si>
    <t>60435</t>
  </si>
  <si>
    <t>Насадка магнитная для кровельных саморезов Ермак на 08мм 653-166 /4/</t>
  </si>
  <si>
    <t>60498</t>
  </si>
  <si>
    <t>Переходник для бит GROSS гибкий 190мм, 1/4" /11369</t>
  </si>
  <si>
    <t>60495</t>
  </si>
  <si>
    <t>Удлинитель STELS гибкий, 150мм, под квадрат 1/4"/13909</t>
  </si>
  <si>
    <t>605 Биты WP/Наборы</t>
  </si>
  <si>
    <t>60528</t>
  </si>
  <si>
    <t>Бита-головка 11мм с магнитом Ник</t>
  </si>
  <si>
    <t>00753</t>
  </si>
  <si>
    <t>Биты GROSS PH2-Pz2*45мм, сталь S2, двухсторон. 10 шт /11217</t>
  </si>
  <si>
    <t>60445</t>
  </si>
  <si>
    <t>Биты GROSS магнит. адапт., сталь S2, пласт. кейс 32 шт /11363</t>
  </si>
  <si>
    <t>60530</t>
  </si>
  <si>
    <t>Биты GROSS с торцевой головкой, магнит. Nut-Driver, 10 мм, S2 /11619</t>
  </si>
  <si>
    <t>60532</t>
  </si>
  <si>
    <t>Биты GROSS с торцевой головкой, магнит. Nut-Driver, 12 мм, S2 /11621</t>
  </si>
  <si>
    <t>60529</t>
  </si>
  <si>
    <t>Биты GROSS с торцевой головкой, магнит. Nut-Driver, 8 мм, S2 /11617</t>
  </si>
  <si>
    <t>60412</t>
  </si>
  <si>
    <t>Биты MATRIX 12шт+магнитный держатель в пл. ручке /11314</t>
  </si>
  <si>
    <t>60423</t>
  </si>
  <si>
    <t>Биты MATRIX 64шт+магнитный адаптер, CrV, в пласт. боксе /11327</t>
  </si>
  <si>
    <t>60503</t>
  </si>
  <si>
    <t>Биты MATRIX SL5,0*25мм, сталь 45Х, в пласт. боксе 20 шт /11301</t>
  </si>
  <si>
    <t>60505</t>
  </si>
  <si>
    <t>Биты MATRIX магнитный адаптер, сталь 45Х, 7 шт., пласт. бокс /11392</t>
  </si>
  <si>
    <t>60562</t>
  </si>
  <si>
    <t>Биты MATRIX многофункц. набор бит, CrV, 18шт /11383</t>
  </si>
  <si>
    <t>60519</t>
  </si>
  <si>
    <t>Биты MATRIX набор с магн. держателем, Crv, 61шт /11387</t>
  </si>
  <si>
    <t>60552</t>
  </si>
  <si>
    <t>Биты SPARTA магнитный адаптер, сталь 45Х, пласт бокс 7 шт /113945</t>
  </si>
  <si>
    <t>60427</t>
  </si>
  <si>
    <t>Биты STELS HEX (шестигр.1/2") CrV, 10мм, 15шт пласт. кейс /11313</t>
  </si>
  <si>
    <t>60504</t>
  </si>
  <si>
    <t>Биты STELS SPLINE (шестигр.1/2") CrV, 10мм, 11шт пласт. кейс /11312</t>
  </si>
  <si>
    <t>60422</t>
  </si>
  <si>
    <t>Биты STELS TORX (шестигр.1/2") CrV, 10мм, 15шт пласт. кейс /11315</t>
  </si>
  <si>
    <t>60524</t>
  </si>
  <si>
    <t>Биты WP Профи PH 0*25мм сталь, с насечкой 1 штука</t>
  </si>
  <si>
    <t>60520</t>
  </si>
  <si>
    <t>Биты WP Профи PH 1*25мм сталь, TiN half с насечкой 20шт</t>
  </si>
  <si>
    <t>60551</t>
  </si>
  <si>
    <t>Биты WP Профи SL 10*25мм сталь, с насечкой 8шт</t>
  </si>
  <si>
    <t>60593</t>
  </si>
  <si>
    <t>Биты WP Профи SL 4,0*25мм сталь, с насечкой 10шт</t>
  </si>
  <si>
    <t>60537</t>
  </si>
  <si>
    <t>Биты WP Профи SL 5,5*25мм сталь, с насечкой 1 штука</t>
  </si>
  <si>
    <t>60583</t>
  </si>
  <si>
    <t>Биты WP Профи T 10*25мм сталь 20шт</t>
  </si>
  <si>
    <t>60596</t>
  </si>
  <si>
    <t>Биты WP Профи T 15*25мм сталь 20шт</t>
  </si>
  <si>
    <t>60888</t>
  </si>
  <si>
    <t>Биты WP Профи T 30*25мм сталь 20шт</t>
  </si>
  <si>
    <t>605860</t>
  </si>
  <si>
    <t>Биты WP Профи T 5*25мм сталь 1 штука</t>
  </si>
  <si>
    <t>60586</t>
  </si>
  <si>
    <t>Биты WP Профи T 5*25мм сталь 20шт</t>
  </si>
  <si>
    <t>60506</t>
  </si>
  <si>
    <t>Биты WP Профи T 6*25мм сталь 1шт</t>
  </si>
  <si>
    <t>60594</t>
  </si>
  <si>
    <t>Биты WP Профи T 6*25мм сталь 20шт</t>
  </si>
  <si>
    <t>60589</t>
  </si>
  <si>
    <t>Биты WP Профи T 9*25мм сталь 10шт</t>
  </si>
  <si>
    <t>60510</t>
  </si>
  <si>
    <t>Биты БАРС с магнитным держателем, 8 шт /13357</t>
  </si>
  <si>
    <t>60493</t>
  </si>
  <si>
    <t>Биты+адаптер Барс 30шт /13314</t>
  </si>
  <si>
    <t>60591</t>
  </si>
  <si>
    <t>Магнитный держатель MATRX 6-гранный для бит 10шт /11398</t>
  </si>
  <si>
    <t>60449</t>
  </si>
  <si>
    <t>Насадка д/шур. и болт. с 6-гр. гол, WP Профи Д6мм, CrV</t>
  </si>
  <si>
    <t>606-607 Авто инструменты</t>
  </si>
  <si>
    <t>606 Инструменты для авто</t>
  </si>
  <si>
    <t>60717</t>
  </si>
  <si>
    <t>Карданн. шарнир с квадр MATRIX PROFI 1/4" полиров хром /13993</t>
  </si>
  <si>
    <t>60659</t>
  </si>
  <si>
    <t>Карданн. шарнир с квадр MATRIX PROFI 3/8" полиров хром /13994</t>
  </si>
  <si>
    <t>60620</t>
  </si>
  <si>
    <t>Карданн. шарнир с квадр STELS 1/2" /13820</t>
  </si>
  <si>
    <t>60653</t>
  </si>
  <si>
    <t>Карданн. шарнир с квадр STELS 1/4" /13818</t>
  </si>
  <si>
    <t>60657</t>
  </si>
  <si>
    <t>Карданн. шарнир с квадр STELS 3/8" /13819</t>
  </si>
  <si>
    <t>60618</t>
  </si>
  <si>
    <t>Карданн. шарнир с квадр WP 1/2" Cr-V c ребристым кольцом</t>
  </si>
  <si>
    <t>60784</t>
  </si>
  <si>
    <t>Ключ SPARTA маслянного фильтра цепной /528205</t>
  </si>
  <si>
    <t>60614</t>
  </si>
  <si>
    <t>Ключ баллонный Г-образный, 22 мм, оцинкованный /142256</t>
  </si>
  <si>
    <t>60688</t>
  </si>
  <si>
    <t>Ключ баллонный-крест TOYA 14" (складной) /57030</t>
  </si>
  <si>
    <t>60886</t>
  </si>
  <si>
    <t>Ключ балонный STELS 17мм /14210</t>
  </si>
  <si>
    <t>60892</t>
  </si>
  <si>
    <t>Ключ балонный STELS 21мм /14225</t>
  </si>
  <si>
    <t>60893</t>
  </si>
  <si>
    <t>Ключ балонный STELS 22мм /14226</t>
  </si>
  <si>
    <t>60604</t>
  </si>
  <si>
    <t>Ключ балонный двухстроронний 24*27 для Газель Россия</t>
  </si>
  <si>
    <t>60608</t>
  </si>
  <si>
    <t>Ключ балонный двухстроронний STELS 22*38 /14298</t>
  </si>
  <si>
    <t>60953</t>
  </si>
  <si>
    <t>Ключ балонный двухстроронний STELS 32*33 /14297</t>
  </si>
  <si>
    <t>60957</t>
  </si>
  <si>
    <t>Ключ балонный двухстроронний STELS 32*38 длинна 500мм для КАМАЗ /14299</t>
  </si>
  <si>
    <t>60780</t>
  </si>
  <si>
    <t>Ключ балонный крестовой 17-19-21-1/2", толщина 14 мм /14258</t>
  </si>
  <si>
    <t>60609</t>
  </si>
  <si>
    <t>Ключ балонный крестовой MATRIX 17-19-21-1/2", толщина 16 мм /14247</t>
  </si>
  <si>
    <t>60794</t>
  </si>
  <si>
    <t>Ключ балонный крестовой MATRIX 17-19-21-22, толщина 16 мм /14244</t>
  </si>
  <si>
    <t>60792</t>
  </si>
  <si>
    <t>Ключ балонный крестовой MATRIX PROF 17-19-21-1/2", усиленный, толщина 16 мм /14245</t>
  </si>
  <si>
    <t>60615</t>
  </si>
  <si>
    <t>Ключ балонный крестовой STELS 17-19-21-22-1/2, усиленный, с перех. на 1/2 /14249</t>
  </si>
  <si>
    <t>67122</t>
  </si>
  <si>
    <t>Ключ прокачной СИБРТЕХ 10*13мм /14268</t>
  </si>
  <si>
    <t>60660</t>
  </si>
  <si>
    <t>Ключ свечной 16мм с шарниром /138305</t>
  </si>
  <si>
    <t>60856</t>
  </si>
  <si>
    <t>Ключ свечной 21мм с воротком /С/</t>
  </si>
  <si>
    <t>60647</t>
  </si>
  <si>
    <t>Ключ свечной 21мм с шарниром /138405</t>
  </si>
  <si>
    <t>60686</t>
  </si>
  <si>
    <t>Ключ свечной карданный STELS 16мм, 250мм /13841</t>
  </si>
  <si>
    <t>60689</t>
  </si>
  <si>
    <t>Ключ свечной карданный STELS 16мм, 500мм /13842</t>
  </si>
  <si>
    <t>60692</t>
  </si>
  <si>
    <t>Ключ свечной карданный STELS 21мм, 250мм /13843</t>
  </si>
  <si>
    <t>60690</t>
  </si>
  <si>
    <t>Ключ свечной карданный STELS 21мм, 500мм /13844</t>
  </si>
  <si>
    <t>63465</t>
  </si>
  <si>
    <t>Ключ свечной НИЗ 21мм 12-гр /5/</t>
  </si>
  <si>
    <t>60960</t>
  </si>
  <si>
    <t>Ключ свечной с шарниром, 21мм Техмаш /10185</t>
  </si>
  <si>
    <t>60700</t>
  </si>
  <si>
    <t>Ключ свечной-трубка STELS 16мм, 160мм /13721</t>
  </si>
  <si>
    <t>60673</t>
  </si>
  <si>
    <t>Ключ свечной-трубка STELS 16мм, 280мм /13722</t>
  </si>
  <si>
    <t>60607</t>
  </si>
  <si>
    <t>Ключ свечной-трубка STELS 21мм, 160мм /13723</t>
  </si>
  <si>
    <t>60678</t>
  </si>
  <si>
    <t>Ключ свечной-трубка STELS 21мм, 280мм /13724</t>
  </si>
  <si>
    <t>60600</t>
  </si>
  <si>
    <t>Съёмник подшипников 100мм двухлап /525105</t>
  </si>
  <si>
    <t>60637</t>
  </si>
  <si>
    <t>Съёмник подшипников 100мм трехлап /525305</t>
  </si>
  <si>
    <t>60648</t>
  </si>
  <si>
    <t>Съёмник подшипников 150мм двухлап /525055</t>
  </si>
  <si>
    <t>60683</t>
  </si>
  <si>
    <t>Съёмник подшипников 150мм трехлап /525355</t>
  </si>
  <si>
    <t>60617</t>
  </si>
  <si>
    <t>Съёмник подшипников 250мм двухлап /525165</t>
  </si>
  <si>
    <t>60634</t>
  </si>
  <si>
    <t>Съёмник подшипников 75мм двухлап /525005</t>
  </si>
  <si>
    <t>60640</t>
  </si>
  <si>
    <t>Съёмник подшипников 75мм трехлап /525205</t>
  </si>
  <si>
    <t>60661</t>
  </si>
  <si>
    <t>Съёмник стопорн. колец 150мм с 3 насадками /183505</t>
  </si>
  <si>
    <t>60633</t>
  </si>
  <si>
    <t>Съёмник стопорн. колец внешн. 150мм заг. разжим /183205</t>
  </si>
  <si>
    <t>60601</t>
  </si>
  <si>
    <t>Съёмник стопорн. колец внешн. 150мм прямой разжим /183305</t>
  </si>
  <si>
    <t>60629</t>
  </si>
  <si>
    <t>Съёмник стопорн. колец внутр. 150мм загн. сжим /183255</t>
  </si>
  <si>
    <t>60627</t>
  </si>
  <si>
    <t>Съёмник стопорн. колец внутр. 150мм прямой сжим /183355</t>
  </si>
  <si>
    <t>60623</t>
  </si>
  <si>
    <t>Съёмник стопорн. колец внутр. Gross 165мм, ц (19-60 мм), изогнутые губки (сжим) /18343</t>
  </si>
  <si>
    <t>607 Рихтовка/Покраска</t>
  </si>
  <si>
    <t>60757</t>
  </si>
  <si>
    <t>Влагоотделитель MATRIX 1/4" /57008</t>
  </si>
  <si>
    <t>64798</t>
  </si>
  <si>
    <t>Киянка MATRIX 225г, белая резина, фибергласовая ручка /11195</t>
  </si>
  <si>
    <t>60768</t>
  </si>
  <si>
    <t>Киянка MATRIX 225г, черная резина, фибергласовая ручка /11175</t>
  </si>
  <si>
    <t>60799</t>
  </si>
  <si>
    <t>Киянка MATRIX 225г, черно-белая резина, фибергласовая ручка /11170</t>
  </si>
  <si>
    <t>60769</t>
  </si>
  <si>
    <t>Киянка MATRIX 450г, белая резина, фибергласовая ручка /11196</t>
  </si>
  <si>
    <t>60774</t>
  </si>
  <si>
    <t>Киянка MATRIX 450г, черная резина, фиберглассовая ручка /11185</t>
  </si>
  <si>
    <t>60731</t>
  </si>
  <si>
    <t>Киянка MATRIX 450г, черно-белая резина, фибергласовая ручка /11171</t>
  </si>
  <si>
    <t>60782</t>
  </si>
  <si>
    <t>Киянка MATRIX 680г, белая резина, фибергласовая ручка /11197</t>
  </si>
  <si>
    <t>60786</t>
  </si>
  <si>
    <t>Киянка MATRIX 680г, черная резина, фибергласовая ручка /11193</t>
  </si>
  <si>
    <t>60710</t>
  </si>
  <si>
    <t>Киянка MATRIX 680г, черно-белая резина, фибергласовая ручка /11172</t>
  </si>
  <si>
    <t>60775</t>
  </si>
  <si>
    <t>Киянка SPARTA 225г, черная резина, фиберглассовая ручка /11125</t>
  </si>
  <si>
    <t>60743</t>
  </si>
  <si>
    <t>Киянка SPARTA 450г, черная резина, фиберглассовая ручка /11126</t>
  </si>
  <si>
    <t>60781</t>
  </si>
  <si>
    <t>Киянка резин. 1130г с дер. ручкой /11161</t>
  </si>
  <si>
    <t>60749</t>
  </si>
  <si>
    <t>Киянка резин. 225г с дер. ручкой /111305</t>
  </si>
  <si>
    <t>60701</t>
  </si>
  <si>
    <t>Киянка резин. 340г с дер. ручкой /111405</t>
  </si>
  <si>
    <t>60765</t>
  </si>
  <si>
    <t>Киянка резин. 450г с дер. ручкой /111505</t>
  </si>
  <si>
    <t>60758</t>
  </si>
  <si>
    <t>Киянка резин. 680г с дер. ручкой черная /111555</t>
  </si>
  <si>
    <t>60760</t>
  </si>
  <si>
    <t>Киянка резин. 910г с дер. ручкой /111605</t>
  </si>
  <si>
    <t>60727</t>
  </si>
  <si>
    <t>Киянка Сибтех 225г, черная резина, фибергласовая ручка /11163</t>
  </si>
  <si>
    <t>60745</t>
  </si>
  <si>
    <t>Киянка Сибтех 450г, черная резина, фибергласовая ручка /11164</t>
  </si>
  <si>
    <t>60722</t>
  </si>
  <si>
    <t>Краскораспылитель MATRIX верх. 0,2л ф 0,5мм /57318</t>
  </si>
  <si>
    <t>60790</t>
  </si>
  <si>
    <t>Краскораспылитель MATRIX верх. 0,6л ф 1,2, 1,5, 1,8мм /57314</t>
  </si>
  <si>
    <t>60712</t>
  </si>
  <si>
    <t>Краскораспылитель MATRIX верх. 1,0л ф 1,2, 1,5, 1,8 /57315</t>
  </si>
  <si>
    <t>60705</t>
  </si>
  <si>
    <t>Краскораспылитель MATRIX нижн. 0,75л ф 1,2, 1,5, 1,8 /57317</t>
  </si>
  <si>
    <t>60742</t>
  </si>
  <si>
    <t>Краскораспылитель MATRIX нижн. 1,0л ф 1,2, 1,5, 1,8 /57316</t>
  </si>
  <si>
    <t>17275</t>
  </si>
  <si>
    <t>Краскораспылитель Patriot LP130 нижний бачок давления 2,2бар</t>
  </si>
  <si>
    <t>60744</t>
  </si>
  <si>
    <t>Краскораспылитель Stels AG 801 HVLP гравитационный, сопло 1,5-1,8 мм /57360</t>
  </si>
  <si>
    <t>60766</t>
  </si>
  <si>
    <t>Молоток SPARTA рихтовочный, бойки 35мм, комбинир. головка, с дер. ручкой /108305</t>
  </si>
  <si>
    <t>60729</t>
  </si>
  <si>
    <t>Муфта Stels универсальная быстросъемная ("мама"), со штуцером "елка" под шланг 10 мм, 1 шт /57066</t>
  </si>
  <si>
    <t>60725</t>
  </si>
  <si>
    <t>Набор MATRIX сопло 1,2мм+игла+форсунка+заж соп. 4шт /57380</t>
  </si>
  <si>
    <t>60726</t>
  </si>
  <si>
    <t>Набор MATRIX сопло 1,5мм+игла+форсунка+заж соп. 4шт /57382</t>
  </si>
  <si>
    <t>60787</t>
  </si>
  <si>
    <t>Набор MATRIX сопло 1,8мм+игла+форсунка+заж соп. 4шт /57384</t>
  </si>
  <si>
    <t>60756</t>
  </si>
  <si>
    <t>Набор переходников MATRIX быстросъемное, резьбовое соед. 2шт /57016</t>
  </si>
  <si>
    <t>60747</t>
  </si>
  <si>
    <t>Набор рихтовочный MATRIX 3 молотка, 4 наковальн, фибергл. ручки /10845</t>
  </si>
  <si>
    <t>60702</t>
  </si>
  <si>
    <t>Набор рихтовочный, держатель, обрезин. ручка, смен. бойки, 10шт /13510</t>
  </si>
  <si>
    <t>60706</t>
  </si>
  <si>
    <t>Пистолет пневмат. MATRIX д/продувки /57330</t>
  </si>
  <si>
    <t>60773</t>
  </si>
  <si>
    <t>Пистолет пневмат. MATRIX д/продувки с насадками 4шт /57338</t>
  </si>
  <si>
    <t>60791</t>
  </si>
  <si>
    <t>Пистолет пневмат. MATRIX д/продувки с насадками 6шт /57336</t>
  </si>
  <si>
    <t>60733</t>
  </si>
  <si>
    <t>Пистолет пневмат. MATRIX д/продувки удлин. изог. сопло 270мм /57334</t>
  </si>
  <si>
    <t>60772</t>
  </si>
  <si>
    <t>Пистолет пневмат. MATRIX д/продувки удлин. сопло 135мм /57332</t>
  </si>
  <si>
    <t>60793</t>
  </si>
  <si>
    <t>Пистолет пневмат. MATRIX пескоструйный с нижним бачком /57326</t>
  </si>
  <si>
    <t>60728</t>
  </si>
  <si>
    <t>Пистолет пневмат. MATRIX пескоструйный со шлангом /57328</t>
  </si>
  <si>
    <t>60709</t>
  </si>
  <si>
    <t>Покрасочный набор к ком. MATRIX 5шт верх. бач. /57304</t>
  </si>
  <si>
    <t>60714</t>
  </si>
  <si>
    <t>Покрасочный набор к ком. MATRIX 5шт ниж. бач. /57302</t>
  </si>
  <si>
    <t>60785</t>
  </si>
  <si>
    <t>Сопло d-1,2 мм д/краскопульта Техмаш</t>
  </si>
  <si>
    <t>60711</t>
  </si>
  <si>
    <t>Сопло d-1,8 мм д/краскопульта Техмаш</t>
  </si>
  <si>
    <t>60718</t>
  </si>
  <si>
    <t>Шланг спирально-воздушный MATRIX 10м с быстросъем. /57004</t>
  </si>
  <si>
    <t>60719</t>
  </si>
  <si>
    <t>Шланг спирально-воздушный MATRIX 15м с быстросъем. /57006</t>
  </si>
  <si>
    <t>60720</t>
  </si>
  <si>
    <t>Шланг спирально-воздушный MATRIX 5м с быстросъем. /57002</t>
  </si>
  <si>
    <t>608-612 Буры/Насадки для перфораторов</t>
  </si>
  <si>
    <t>608 Буры  Matrix/Sparta/Gross/Барс</t>
  </si>
  <si>
    <t>60910</t>
  </si>
  <si>
    <t>Бур MATRIX SDS+ф 10*160 c крестовой пластиной /70640</t>
  </si>
  <si>
    <t>60901</t>
  </si>
  <si>
    <t>Бур MATRIX SDS+ф 12*210 c крестовой пластиной /70652</t>
  </si>
  <si>
    <t>60905</t>
  </si>
  <si>
    <t>Бур MATRIX SDS+ф 14*300 c крестовой пластиной /70677</t>
  </si>
  <si>
    <t>60909</t>
  </si>
  <si>
    <t>Бур MATRIX SDS+ф 6*300 c крестовой пластиной /70665</t>
  </si>
  <si>
    <t>60903</t>
  </si>
  <si>
    <t>Бур MATRIX SDS+ф 8*300 c крестовой пластиной /70667</t>
  </si>
  <si>
    <t>00206</t>
  </si>
  <si>
    <t>Бур по бетону MATRIX 32*400мм, SDS MAX c крестовой пластиной /71238</t>
  </si>
  <si>
    <t>00999</t>
  </si>
  <si>
    <t>Бур по бетону MATRIX SDS PLUS 12*800 /71083</t>
  </si>
  <si>
    <t>61376</t>
  </si>
  <si>
    <t>Бур по бетону MATRIX SDS PLUS 18*1000 /70981</t>
  </si>
  <si>
    <t>00335</t>
  </si>
  <si>
    <t>Бур по бетону MATRIX SDS PLUS 18*300 /70912</t>
  </si>
  <si>
    <t>60810</t>
  </si>
  <si>
    <t>Бур по бетону MATRIX SDS PLUS 18*600</t>
  </si>
  <si>
    <t>0243</t>
  </si>
  <si>
    <t>Бур по бетону MATRIX SDS PLUS 22*600 /71072</t>
  </si>
  <si>
    <t>00348</t>
  </si>
  <si>
    <t>Бур по бетону MATRIX SDS PLUS 32*600 /70970</t>
  </si>
  <si>
    <t>02004</t>
  </si>
  <si>
    <t>Бур по бетону MATRIX SDS PLUS 5,5*110 /71004</t>
  </si>
  <si>
    <t>02329</t>
  </si>
  <si>
    <t>Бур по бетону MATRIX SDS PLUS 5,5*160 /71006</t>
  </si>
  <si>
    <t>00382</t>
  </si>
  <si>
    <t>Бур по бетону MATRIX SDS PLUS 5*160 /71013</t>
  </si>
  <si>
    <t>02006</t>
  </si>
  <si>
    <t>Бур по бетону MATRIX SDS PLUS 6,5*160 /71010</t>
  </si>
  <si>
    <t>61186</t>
  </si>
  <si>
    <t>Бур по бетону БАРС 10*110мм SDS plus /70580</t>
  </si>
  <si>
    <t>61187</t>
  </si>
  <si>
    <t>Бур по бетону БАРС 10*160мм SDS plus /70581</t>
  </si>
  <si>
    <t>60849</t>
  </si>
  <si>
    <t>Бур по бетону БАРС 10*300мм SDS plus /70583</t>
  </si>
  <si>
    <t>60869</t>
  </si>
  <si>
    <t>Бур по бетону БАРС 12*210мм SDS plus /70585</t>
  </si>
  <si>
    <t>60822</t>
  </si>
  <si>
    <t>Бур по бетону БАРС 14*160мм SDS plus /70587</t>
  </si>
  <si>
    <t>60866</t>
  </si>
  <si>
    <t>Бур по бетону БАРС 14*210мм SDS plus /70588</t>
  </si>
  <si>
    <t>61116</t>
  </si>
  <si>
    <t>Бур по бетону БАРС 14*300мм SDS plus /70589</t>
  </si>
  <si>
    <t>61185</t>
  </si>
  <si>
    <t>Бур по бетону БАРС 8*210мм SDS plus /70578</t>
  </si>
  <si>
    <t>60877</t>
  </si>
  <si>
    <t>Буры MATRIX 5-6*110, 6-8-10*160, 5шт в пласт. кор. /71095</t>
  </si>
  <si>
    <t>609 Буры Гранит, Воронеж</t>
  </si>
  <si>
    <t>60955</t>
  </si>
  <si>
    <t>Бур Воронеж 2 SDS+ф 12*800</t>
  </si>
  <si>
    <t>61141</t>
  </si>
  <si>
    <t>Бур Воронеж SDS max ф 38*1000 /24095</t>
  </si>
  <si>
    <t>61143</t>
  </si>
  <si>
    <t>Бур Воронеж SDS max ф 38*670 /24072</t>
  </si>
  <si>
    <t>60952</t>
  </si>
  <si>
    <t>Бур Воронеж SDS+ф 18*1000</t>
  </si>
  <si>
    <t>60917</t>
  </si>
  <si>
    <t>Бур Воронеж SDS+ф 20*1000</t>
  </si>
  <si>
    <t>60934</t>
  </si>
  <si>
    <t>Бур Воронеж SDS+ф 22*1000</t>
  </si>
  <si>
    <t>60972</t>
  </si>
  <si>
    <t>Бур Воронеж SDS+ф 22*600</t>
  </si>
  <si>
    <t>60976</t>
  </si>
  <si>
    <t>Бур Воронеж SDS+ф 22*800</t>
  </si>
  <si>
    <t>60906</t>
  </si>
  <si>
    <t>Бур Воронеж SDS+ф 25*1000</t>
  </si>
  <si>
    <t>60900</t>
  </si>
  <si>
    <t>Бур Воронеж SDS+ф 6*160</t>
  </si>
  <si>
    <t>62962</t>
  </si>
  <si>
    <t>Бур Воронеж SDS+ф 7*210</t>
  </si>
  <si>
    <t>62099</t>
  </si>
  <si>
    <t>Бур Воронеж SDS+ф 8*110</t>
  </si>
  <si>
    <t>62095</t>
  </si>
  <si>
    <t>Бур Воронеж SDS+ф 8*160</t>
  </si>
  <si>
    <t>60935</t>
  </si>
  <si>
    <t>Бур Воронеж SDS+ф 8*410</t>
  </si>
  <si>
    <t>62723</t>
  </si>
  <si>
    <t>Бур Воронеж SDS+ф 8*600</t>
  </si>
  <si>
    <t>60927</t>
  </si>
  <si>
    <t>Бур по бетону ГРАНИТ Quadro-X 10,0*110мм SDS plus /410110 /25/</t>
  </si>
  <si>
    <t>60929</t>
  </si>
  <si>
    <t>Бур по бетону ГРАНИТ Quadro-X 10,0*210мм SDS plus /410210 /25/</t>
  </si>
  <si>
    <t>60930</t>
  </si>
  <si>
    <t>Бур по бетону ГРАНИТ Quadro-X 10,0*260мм SDS plus /410260 /25/</t>
  </si>
  <si>
    <t>60931</t>
  </si>
  <si>
    <t>Бур по бетону ГРАНИТ Quadro-X 10,0*310мм SDS plus /410310 /25/</t>
  </si>
  <si>
    <t>60937</t>
  </si>
  <si>
    <t>Бур по бетону ГРАНИТ Quadro-X 10,0*610мм SDS plus /410610 /25/</t>
  </si>
  <si>
    <t>60932</t>
  </si>
  <si>
    <t>Бур по бетону ГРАНИТ Quadro-X 12,0*160мм SDS plus /412160 /25/</t>
  </si>
  <si>
    <t>60933</t>
  </si>
  <si>
    <t>Бур по бетону ГРАНИТ Quadro-X 12,0*210мм SDS plus /412210 /25/</t>
  </si>
  <si>
    <t>60936</t>
  </si>
  <si>
    <t>Бур по бетону ГРАНИТ Quadro-X 12,0*260мм SDS plus /412260 /25/</t>
  </si>
  <si>
    <t>60938</t>
  </si>
  <si>
    <t>Бур по бетону ГРАНИТ Quadro-X 12,0*310мм SDS plus /412310 /25/</t>
  </si>
  <si>
    <t>60939</t>
  </si>
  <si>
    <t>Бур по бетону ГРАНИТ Quadro-X 12,0*460мм SDS plus /412460 /25/</t>
  </si>
  <si>
    <t>60946</t>
  </si>
  <si>
    <t>Бур по бетону ГРАНИТ Quadro-X 14,0*160мм SDS plus /414460 /25/</t>
  </si>
  <si>
    <t>60948</t>
  </si>
  <si>
    <t>Бур по бетону ГРАНИТ Quadro-X 14,0*210мм SDS plus /414210 /25/</t>
  </si>
  <si>
    <t>60940</t>
  </si>
  <si>
    <t>Бур по бетону ГРАНИТ Quadro-X 14,0*310мм SDS plus /414310 /25/</t>
  </si>
  <si>
    <t>60941</t>
  </si>
  <si>
    <t>Бур по бетону ГРАНИТ Quadro-X 14,0*460мм SDS plus /414460 /25/</t>
  </si>
  <si>
    <t>60949</t>
  </si>
  <si>
    <t>Бур по бетону ГРАНИТ Quadro-X 16,0*210мм SDS plus /416210 /25/</t>
  </si>
  <si>
    <t>60951</t>
  </si>
  <si>
    <t>Бур по бетону ГРАНИТ Quadro-X 4,0*110мм SDS plus /444110 /25/</t>
  </si>
  <si>
    <t>60954</t>
  </si>
  <si>
    <t>Бур по бетону ГРАНИТ Quadro-X 4,0*160мм SDS plus /444160 /25/</t>
  </si>
  <si>
    <t>60916</t>
  </si>
  <si>
    <t>Бур по бетону ГРАНИТ Quadro-X 5,0*160мм SDS plus /445160 /25/</t>
  </si>
  <si>
    <t>60902</t>
  </si>
  <si>
    <t>Бур по бетону ГРАНИТ Quadro-X 5,5*160мм SDS plus /455160 /25/</t>
  </si>
  <si>
    <t>60911</t>
  </si>
  <si>
    <t>Бур по бетону ГРАНИТ Quadro-X 6,0*110мм SDS plus /446110 /25/</t>
  </si>
  <si>
    <t>60912</t>
  </si>
  <si>
    <t>Бур по бетону ГРАНИТ Quadro-X 6,0*160мм SDS plus /446160 /25/</t>
  </si>
  <si>
    <t>60913</t>
  </si>
  <si>
    <t>Бур по бетону ГРАНИТ Quadro-X 6,0*210мм SDS plus /446210 /25/</t>
  </si>
  <si>
    <t>60914</t>
  </si>
  <si>
    <t>Бур по бетону ГРАНИТ Quadro-X 6,0*260мм SDS plus /446260 /25/</t>
  </si>
  <si>
    <t>60918</t>
  </si>
  <si>
    <t>Бур по бетону ГРАНИТ Quadro-X 6,5*210мм SDS plus /465210 /25/</t>
  </si>
  <si>
    <t>60919</t>
  </si>
  <si>
    <t>Бур по бетону ГРАНИТ Quadro-X 6,5*260мм SDS plus /465260 /25/</t>
  </si>
  <si>
    <t>60942</t>
  </si>
  <si>
    <t>Бур по бетону ГРАНИТ Quadro-X 6,5*310мм SDS plus /465310 /25/</t>
  </si>
  <si>
    <t>60921</t>
  </si>
  <si>
    <t>Бур по бетону ГРАНИТ Quadro-X 7,0*160мм SDS plus /447160 /25/</t>
  </si>
  <si>
    <t>60958</t>
  </si>
  <si>
    <t>Бур по бетону ГРАНИТ Quadro-X 7,0*210мм SDS plus /447210 /25/</t>
  </si>
  <si>
    <t>60923</t>
  </si>
  <si>
    <t>Бур по бетону ГРАНИТ Quadro-X 8,0*110мм SDS plus /408110 /25/</t>
  </si>
  <si>
    <t>60926</t>
  </si>
  <si>
    <t>Бур по бетону ГРАНИТ Quadro-X 8,0*210мм SDS plus /448210 /25/</t>
  </si>
  <si>
    <t>60943</t>
  </si>
  <si>
    <t>Бур по бетону ГРАНИТ Quadro-X 8,0*310мм SDS plus /448310 /25/</t>
  </si>
  <si>
    <t>61096</t>
  </si>
  <si>
    <t>Буры Воронеж 7шт в мет. фут.</t>
  </si>
  <si>
    <t>60945</t>
  </si>
  <si>
    <t>Буры ГРАНИТ набор 5шт Quadro-X 5*110, 6*110, 6*160, 8*160, 10*160мм SDS plus /568101</t>
  </si>
  <si>
    <t>610 Пики/хвостовики/Коронки</t>
  </si>
  <si>
    <t>61015</t>
  </si>
  <si>
    <t>Коронка MATRIX BIMETAL 14мм /72414</t>
  </si>
  <si>
    <t>60832</t>
  </si>
  <si>
    <t>Коронка MATRIX BIMETAL 20мм /72420</t>
  </si>
  <si>
    <t>61091</t>
  </si>
  <si>
    <t>Коронка MATRIX BIMETAL 22мм /72422</t>
  </si>
  <si>
    <t>60839</t>
  </si>
  <si>
    <t>Коронка MATRIX BIMETAL 30мм /72430</t>
  </si>
  <si>
    <t>61032</t>
  </si>
  <si>
    <t>Коронка MATRIX BIMETAL 32мм /72432</t>
  </si>
  <si>
    <t>60776</t>
  </si>
  <si>
    <t>Коронка MATRIX BIMETAL 38мм /72438</t>
  </si>
  <si>
    <t>61006</t>
  </si>
  <si>
    <t>Коронка MATRIX BIMETAL 40мм /72440</t>
  </si>
  <si>
    <t>60809</t>
  </si>
  <si>
    <t>Коронка MATRIX BIMETAL 48мм /72448</t>
  </si>
  <si>
    <t>61033</t>
  </si>
  <si>
    <t>Коронка MATRIX BIMETAL 51мм /72451</t>
  </si>
  <si>
    <t>61123</t>
  </si>
  <si>
    <t>Коронка MATRIX BIMETAL 54мм /72454</t>
  </si>
  <si>
    <t>60879</t>
  </si>
  <si>
    <t>Коронка MATRIX BIMETAL 57мм /72457</t>
  </si>
  <si>
    <t>61034</t>
  </si>
  <si>
    <t>Коронка MATRIX BIMETAL 60мм /72460</t>
  </si>
  <si>
    <t>01392</t>
  </si>
  <si>
    <t>Коронка MATRIX BIMETAL 65мм /72465</t>
  </si>
  <si>
    <t>61031</t>
  </si>
  <si>
    <t>Коронка MATRIX BIMETAL 67мм /72467</t>
  </si>
  <si>
    <t>61095</t>
  </si>
  <si>
    <t>Коронка MATRIX BIMETAL 68мм /72468</t>
  </si>
  <si>
    <t>61003</t>
  </si>
  <si>
    <t>Коронка MATRIX BIMETAL 70мм /72470</t>
  </si>
  <si>
    <t>61035</t>
  </si>
  <si>
    <t>Коронка MATRIX BIMETAL 73мм /72473</t>
  </si>
  <si>
    <t>60844</t>
  </si>
  <si>
    <t>Коронка MATRIX BIMETAL 76мм /72476</t>
  </si>
  <si>
    <t>60863</t>
  </si>
  <si>
    <t>Коронка MATRIX BIMETAL 78мм /72478</t>
  </si>
  <si>
    <t>61198</t>
  </si>
  <si>
    <t>Коронка MATRIX BIMETAL 80мм /72480</t>
  </si>
  <si>
    <t>61165</t>
  </si>
  <si>
    <t>Коронка MATRIX BIMETAL 83мм /72483</t>
  </si>
  <si>
    <t>60848</t>
  </si>
  <si>
    <t>Коронка MATRIX BIMETAL 89мм /72489</t>
  </si>
  <si>
    <t>61199</t>
  </si>
  <si>
    <t>Коронка MATRIX кольцевая с карбидным напылением 33 мм /72846</t>
  </si>
  <si>
    <t>61290</t>
  </si>
  <si>
    <t>Коронка MATRIX кольцевая с карбидным напылением 53 мм /72848</t>
  </si>
  <si>
    <t>60853</t>
  </si>
  <si>
    <t>Коронка MATRIX кольцевая с карбидным напылением 67 мм /72852</t>
  </si>
  <si>
    <t>61292</t>
  </si>
  <si>
    <t>Коронка MATRIX кольцевая с карбидным напылением 73 мм /72854</t>
  </si>
  <si>
    <t>61340</t>
  </si>
  <si>
    <t>Коронка MATRIX кольцевая с карбидным напылением 83 мм /72856</t>
  </si>
  <si>
    <t>61018</t>
  </si>
  <si>
    <t>Коронка SDS+ ГРАНИТ д82мм /444482</t>
  </si>
  <si>
    <t>61012</t>
  </si>
  <si>
    <t>Коронка по бетону в сборе СИБРТЕХ М22*68мм, SDS PLUS /703307</t>
  </si>
  <si>
    <t>61009</t>
  </si>
  <si>
    <t>Коронка по бетону в сборе СИБРТЕХ М22*80мм, SDS PLUS /703327</t>
  </si>
  <si>
    <t>61038</t>
  </si>
  <si>
    <t>Коронка по кирпичу в сборе MATRIX SDS+ M22*65мм /70330</t>
  </si>
  <si>
    <t>61070</t>
  </si>
  <si>
    <t>Коронка по кирпичу в сборе MATRIX SDS+ M22*68мм /70329</t>
  </si>
  <si>
    <t>61152</t>
  </si>
  <si>
    <t>Коронка по кирпичу в сборе MATRIX SDS+ M22*80мм /70331</t>
  </si>
  <si>
    <t>61079</t>
  </si>
  <si>
    <t>Коронка по кирпичу в сборе Воронеж SDS+ ф90мм*50 /9483</t>
  </si>
  <si>
    <t>61041</t>
  </si>
  <si>
    <t>Коронки MATRIX по керам. плитке, 33-53-67-73 мм, 6-гран. хвост. /72840</t>
  </si>
  <si>
    <t>61014</t>
  </si>
  <si>
    <t>Пика SDS max MATRIX 18*280мм /70346</t>
  </si>
  <si>
    <t>61024</t>
  </si>
  <si>
    <t>Пика SDS max MATRIX 18*400мм /70347</t>
  </si>
  <si>
    <t>60850</t>
  </si>
  <si>
    <t>Пика SDS max MATRIX 18*600мм /70348</t>
  </si>
  <si>
    <t>60807</t>
  </si>
  <si>
    <t>Пика SDS PLUS MATRIX 14*600мм /70327</t>
  </si>
  <si>
    <t>61011</t>
  </si>
  <si>
    <t>Пика SDS PLUS СИБРТЕХ 14*240мм /703407</t>
  </si>
  <si>
    <t>61058</t>
  </si>
  <si>
    <t>Пика SDS+ MATRIX 14*250мм /70340</t>
  </si>
  <si>
    <t>61021</t>
  </si>
  <si>
    <t>Пика SDS+ MATRIX 14*400мм /70325</t>
  </si>
  <si>
    <t>61017</t>
  </si>
  <si>
    <t>Пика SDS+ ГРАНИТ 250мм /110250</t>
  </si>
  <si>
    <t>61042</t>
  </si>
  <si>
    <t>Хвостовик MATRIX 6-гранный для коронок BIMETAL до 30 мм /72494</t>
  </si>
  <si>
    <t>61039</t>
  </si>
  <si>
    <t>Хвостовик MATRIX 6-гранный для коронок BIMETAL свыше 30 мм /72496</t>
  </si>
  <si>
    <t>61036</t>
  </si>
  <si>
    <t>Хвостовик MATRIX SDS+ для коронок BIMETAL до 30 мм /72490</t>
  </si>
  <si>
    <t>61040</t>
  </si>
  <si>
    <t>Хвостовик MATRIX SDS+ для коронок BIMETAL свыше 30 мм /72492</t>
  </si>
  <si>
    <t>611 Буры Сибртех/Зубр/прочие</t>
  </si>
  <si>
    <t>61126</t>
  </si>
  <si>
    <t>Бур 10*160 (Г)</t>
  </si>
  <si>
    <t>61127</t>
  </si>
  <si>
    <t>Бур 12*160 (Г)</t>
  </si>
  <si>
    <t>61007</t>
  </si>
  <si>
    <t>Бур SDS+ 25*300 Ник</t>
  </si>
  <si>
    <t>61266</t>
  </si>
  <si>
    <t>Бур SDS+ф 08*260 Управдом 12203-08-260</t>
  </si>
  <si>
    <t>61109</t>
  </si>
  <si>
    <t>Бур TOYA SDS+ф 8*110 /23670</t>
  </si>
  <si>
    <t>61155</t>
  </si>
  <si>
    <t>Бур ЗУБР Мастер SDS+ 10*110 /29315-110-10</t>
  </si>
  <si>
    <t>61161</t>
  </si>
  <si>
    <t>Бур ЗУБР Мастер SDS+ 6*260 /29315-260-06</t>
  </si>
  <si>
    <t>61167</t>
  </si>
  <si>
    <t>Бур по бетону СИБРТЕХ SDS PLUS 10*110 /70554</t>
  </si>
  <si>
    <t>61148</t>
  </si>
  <si>
    <t>Бур по бетону СИБРТЕХ SDS PLUS 10*160 /70557</t>
  </si>
  <si>
    <t>61142</t>
  </si>
  <si>
    <t>Бур по бетону СИБРТЕХ SDS PLUS 10*210 /70561</t>
  </si>
  <si>
    <t>61103</t>
  </si>
  <si>
    <t>Бур по бетону СИБРТЕХ SDS PLUS 10*300 /70565</t>
  </si>
  <si>
    <t>61131</t>
  </si>
  <si>
    <t>Бур по бетону СИБРТЕХ SDS PLUS 10*450 /70592</t>
  </si>
  <si>
    <t>61147</t>
  </si>
  <si>
    <t>Бур по бетону СИБРТЕХ SDS PLUS 12*160 /70558</t>
  </si>
  <si>
    <t>61140</t>
  </si>
  <si>
    <t>Бур по бетону СИБРТЕХ SDS PLUS 12*210 /70562</t>
  </si>
  <si>
    <t>90991</t>
  </si>
  <si>
    <t>Бур по бетону СИБРТЕХ SDS PLUS 12*300 /70566</t>
  </si>
  <si>
    <t>61129</t>
  </si>
  <si>
    <t>Бур по бетону СИБРТЕХ SDS PLUS 12*450 /70593</t>
  </si>
  <si>
    <t>61100</t>
  </si>
  <si>
    <t>Бур по бетону СИБРТЕХ SDS PLUS 14*300 /70567</t>
  </si>
  <si>
    <t>60898</t>
  </si>
  <si>
    <t>Бур по бетону СИБРТЕХ SDS PLUS 14*450 /70594</t>
  </si>
  <si>
    <t>60887</t>
  </si>
  <si>
    <t>Бур по бетону СИБРТЕХ SDS PLUS 16*450 /70595</t>
  </si>
  <si>
    <t>61137</t>
  </si>
  <si>
    <t>Бур по бетону СИБРТЕХ SDS PLUS 18*300 /70569</t>
  </si>
  <si>
    <t>60873</t>
  </si>
  <si>
    <t>Бур по бетону СИБРТЕХ SDS PLUS 18*450 /70596</t>
  </si>
  <si>
    <t>60865</t>
  </si>
  <si>
    <t>Бур по бетону СИБРТЕХ SDS PLUS 20*450 /70562</t>
  </si>
  <si>
    <t>04526</t>
  </si>
  <si>
    <t>Бур по бетону СИБРТЕХ SDS PLUS 6,5*160 /70548</t>
  </si>
  <si>
    <t>61104</t>
  </si>
  <si>
    <t>Бур по бетону СИБРТЕХ SDS PLUS 6,5*210 /70549</t>
  </si>
  <si>
    <t>61169</t>
  </si>
  <si>
    <t>Бур по бетону СИБРТЕХ SDS PLUS 6*110 /70552</t>
  </si>
  <si>
    <t>61166</t>
  </si>
  <si>
    <t>Бур по бетону СИБРТЕХ SDS PLUS 6*160 /70555</t>
  </si>
  <si>
    <t>00249</t>
  </si>
  <si>
    <t>Бур по бетону СИБРТЕХ SDS PLUS 6*210 /70559</t>
  </si>
  <si>
    <t>61139</t>
  </si>
  <si>
    <t>Бур по бетону СИБРТЕХ SDS PLUS 6*300 /70563</t>
  </si>
  <si>
    <t>61168</t>
  </si>
  <si>
    <t>Бур по бетону СИБРТЕХ SDS PLUS 8*110 /70553</t>
  </si>
  <si>
    <t>61153</t>
  </si>
  <si>
    <t>Бур по бетону СИБРТЕХ SDS PLUS 8*160 /70556</t>
  </si>
  <si>
    <t>61146</t>
  </si>
  <si>
    <t>Бур по бетону СИБРТЕХ SDS PLUS 8*210 /70560</t>
  </si>
  <si>
    <t>61105</t>
  </si>
  <si>
    <t>Бур по бетону СИБРТЕХ SDS PLUS 8*300 /70564</t>
  </si>
  <si>
    <t>61132</t>
  </si>
  <si>
    <t>Бур по бетону СИБРТЕХ SDS PLUS 8*450 /70591</t>
  </si>
  <si>
    <t>61122</t>
  </si>
  <si>
    <t>Бур Практик SDS+ф 8*110</t>
  </si>
  <si>
    <t>612 Буры Ермак Рокот</t>
  </si>
  <si>
    <t>61201</t>
  </si>
  <si>
    <t>Бур SDS+ ф 04*110 Ермак 654-005</t>
  </si>
  <si>
    <t>67104</t>
  </si>
  <si>
    <t>Бур SDS+ ф 06*110 Ермак 654-131 /5/200/</t>
  </si>
  <si>
    <t>67105</t>
  </si>
  <si>
    <t>Бур SDS+ ф 06*160 Ермак 654-132 /5/200/</t>
  </si>
  <si>
    <t>67125</t>
  </si>
  <si>
    <t>Бур SDS+ ф 06*210 Ермак 654-133</t>
  </si>
  <si>
    <t>67113</t>
  </si>
  <si>
    <t>Бур SDS+ ф 06*260 Ермак 654-264</t>
  </si>
  <si>
    <t>67128</t>
  </si>
  <si>
    <t>Бур SDS+ ф 08*160 Ермак 654-134 /5/200/</t>
  </si>
  <si>
    <t>67101</t>
  </si>
  <si>
    <t>Бур SDS+ ф 10*110 Ермак</t>
  </si>
  <si>
    <t>613 Дрели мех./Патроны</t>
  </si>
  <si>
    <t>61320</t>
  </si>
  <si>
    <t>Ключ для патрона MATRIX 13 мм /16886</t>
  </si>
  <si>
    <t>61328</t>
  </si>
  <si>
    <t>Ключ для патрона MATRIX 13 мм Т-образный /168955</t>
  </si>
  <si>
    <t>61329</t>
  </si>
  <si>
    <t>Ключ для патрона MATRIX 16 мм /16889</t>
  </si>
  <si>
    <t>61302</t>
  </si>
  <si>
    <t>Патрон сверл. МATRIX б/з 1-10мм-1/2" /16808</t>
  </si>
  <si>
    <t>61341</t>
  </si>
  <si>
    <t>Патрон сверл. МATRIX б/з 2-13мм-1/2" /16809</t>
  </si>
  <si>
    <t>61360</t>
  </si>
  <si>
    <t>Патрон сверл. МATRIX б/з 2-13мм-М12*1,25 /16814</t>
  </si>
  <si>
    <t>61325</t>
  </si>
  <si>
    <t>Патрон сверл. МATRIX б/з с "lock" 2-13мм-1/2" /16807</t>
  </si>
  <si>
    <t>61324</t>
  </si>
  <si>
    <t>Патрон сверл. МATRIX ключевой 1,5-10мм-1/2" /16815</t>
  </si>
  <si>
    <t>61319</t>
  </si>
  <si>
    <t>Патрон сверл. МATRIX ключевой 1,5-13мм-1/2" /16817</t>
  </si>
  <si>
    <t>61307</t>
  </si>
  <si>
    <t>Патрон сверл. МATRIX ключевой 1,5-13мм-3/8" /16818</t>
  </si>
  <si>
    <t>61333</t>
  </si>
  <si>
    <t>Патрон сверл. МATRIX ключевой 1,5-13мм-B12 /16822</t>
  </si>
  <si>
    <t>61331</t>
  </si>
  <si>
    <t>Патрон сверл. МATRIX ключевой 1,5-13мм-M12*1,25 /16825</t>
  </si>
  <si>
    <t>61312</t>
  </si>
  <si>
    <t>Патрон сверл. Сибртех ключевой 1,5-13мм-1/2, адаптер SDS PLUS /168177</t>
  </si>
  <si>
    <t>61300</t>
  </si>
  <si>
    <t>Патрон сверлильный НИЗ ПСР-10, резьбовой с ключом /5/</t>
  </si>
  <si>
    <t>61338</t>
  </si>
  <si>
    <t>Патрон сверлильный НИЗ ПСР-13, резьбовой с ключом /5/</t>
  </si>
  <si>
    <t>614 Заклепочники/Степлеры</t>
  </si>
  <si>
    <t>61520</t>
  </si>
  <si>
    <t>Гвозди MATRIX 10 мм, для меб. степ., со шляп., тип 300, 1000 шт /41510</t>
  </si>
  <si>
    <t>61420</t>
  </si>
  <si>
    <t>Гвозди MATRIX 14 мм, для меб. степ., без шляп., тип 300,1000 шт /41504</t>
  </si>
  <si>
    <t>61522</t>
  </si>
  <si>
    <t>Гвозди MATRIX 14 мм, для меб. степ., со шляп., тип 300, 1000 шт /41514</t>
  </si>
  <si>
    <t>61475</t>
  </si>
  <si>
    <t>Гвозди д/пневмостеплера MATRIX 25мм (1,0-1,25мм) 5000шт /57608</t>
  </si>
  <si>
    <t>61476</t>
  </si>
  <si>
    <t>Гвозди д/пневмостеплера MATRIX 30мм (1,0-1,25мм) 5000шт /57610</t>
  </si>
  <si>
    <t>61440</t>
  </si>
  <si>
    <t>Гвозди д/пневмостеплера MATRIX 32мм (1,0-1,25мм) 5000шт /57612</t>
  </si>
  <si>
    <t>61423</t>
  </si>
  <si>
    <t>Гвозди д/пневмостеплера MATRIX 35мм (1,0-1,25мм) 5000шт /57614</t>
  </si>
  <si>
    <t>61428</t>
  </si>
  <si>
    <t>Гвозди д/пневмостеплера MATRIX 40мм (1,0-1,25мм) 5000шт /57616</t>
  </si>
  <si>
    <t>61489</t>
  </si>
  <si>
    <t>Гвозди д/пневмостеплера MATRIX 45мм (1,0-1,25мм) 5000шт /57618</t>
  </si>
  <si>
    <t>61407</t>
  </si>
  <si>
    <t>Гвозди д/пневмостеплера MATRIX 50мм (1,0-1,25мм) 5000шт /57620</t>
  </si>
  <si>
    <t>61548</t>
  </si>
  <si>
    <t>Гвозди д/пневмостеплера бетон 18мм (2,1-2,2мм) 1т.</t>
  </si>
  <si>
    <t>61557</t>
  </si>
  <si>
    <t>Гвозди д/пневмостеплера бетон 25мм (2,1-2,2мм) 2т.</t>
  </si>
  <si>
    <t>61551</t>
  </si>
  <si>
    <t>Гвозди д/пневмостеплера бетон 38мм (2,1-2,2мм) 1т.</t>
  </si>
  <si>
    <t>61552</t>
  </si>
  <si>
    <t>Гвозди д/пневмостеплера бетон 45мм (2,1-2,2мм) 1т.</t>
  </si>
  <si>
    <t>61553</t>
  </si>
  <si>
    <t>Гвозди д/пневмостеплера бетон 50мм (2,1-2,2мм) 1т.</t>
  </si>
  <si>
    <t>61554</t>
  </si>
  <si>
    <t>Гвозди д/пневмостеплера бетон 64мм (2,1-2,2мм) 1т.</t>
  </si>
  <si>
    <t>61556</t>
  </si>
  <si>
    <t>Гвозди д/пневмостеплера дерев 25мм (2,1-2,2мм) 2т.</t>
  </si>
  <si>
    <t>61558</t>
  </si>
  <si>
    <t>Гвозди д/пневмостеплера дерев 38мм (2,1-2,2мм) 1т.</t>
  </si>
  <si>
    <t>61430</t>
  </si>
  <si>
    <t>Заклепки MATRIX 3,2*06мм 50шт /40610</t>
  </si>
  <si>
    <t>61463</t>
  </si>
  <si>
    <t>Заклепки MATRIX 3,2*08мм 50шт /40620</t>
  </si>
  <si>
    <t>61429</t>
  </si>
  <si>
    <t>Заклепки MATRIX 3,2*10мм 50шт /40625</t>
  </si>
  <si>
    <t>61482</t>
  </si>
  <si>
    <t>Заклепки MATRIX 3,2*12мм 50шт /40627</t>
  </si>
  <si>
    <t>01007</t>
  </si>
  <si>
    <t>Заклепки MATRIX 3,2*8мм RAL 6005 (темно-зеленый), 50 шт /40674</t>
  </si>
  <si>
    <t>61495</t>
  </si>
  <si>
    <t>Заклепки MATRIX 4,0*06мм 50шт /40631</t>
  </si>
  <si>
    <t>61432</t>
  </si>
  <si>
    <t>Заклепки MATRIX 4,0*08мм 50шт /40632</t>
  </si>
  <si>
    <t>61443</t>
  </si>
  <si>
    <t>Заклепки MATRIX 4,0*10мм 50шт /40635</t>
  </si>
  <si>
    <t>60497</t>
  </si>
  <si>
    <t>Заклепки MATRIX 4,0*12мм 50шт /40640</t>
  </si>
  <si>
    <t>61487</t>
  </si>
  <si>
    <t>Заклепки MATRIX 4,0*14мм 50шт /40643</t>
  </si>
  <si>
    <t>61471</t>
  </si>
  <si>
    <t>Заклепки MATRIX 4,0*16мм 50шт /40645</t>
  </si>
  <si>
    <t>61434</t>
  </si>
  <si>
    <t>Заклепки MATRIX 4,8*08мм 50шт /40650</t>
  </si>
  <si>
    <t>61448</t>
  </si>
  <si>
    <t>Заклепки MATRIX 4,8*10мм 50шт /40655</t>
  </si>
  <si>
    <t>61465</t>
  </si>
  <si>
    <t>Заклепки MATRIX 4,8*12мм 50шт /40660</t>
  </si>
  <si>
    <t>61496</t>
  </si>
  <si>
    <t>Заклепки MATRIX 4,8*14мм 50шт /40663</t>
  </si>
  <si>
    <t>61437</t>
  </si>
  <si>
    <t>Заклепки MATRIX 4,8*16мм 50шт /40665</t>
  </si>
  <si>
    <t>61560</t>
  </si>
  <si>
    <t>Заклепки алюм.SteelRex 3,2*16 (1000шт)</t>
  </si>
  <si>
    <t>61492</t>
  </si>
  <si>
    <t>Заклепочник GROSS 2,4-3,2-4,0-4,8 мм /40401</t>
  </si>
  <si>
    <t>61493</t>
  </si>
  <si>
    <t>Заклепочник GROSS 2,4-3,2-4,0-4,8 мм, усиленный /40403</t>
  </si>
  <si>
    <t>61468</t>
  </si>
  <si>
    <t>Заклепочник GROSS 258мм заклёпки 2,4-4,8 мм /40400</t>
  </si>
  <si>
    <t>61426</t>
  </si>
  <si>
    <t>Заклепочник MATRIX 225мм, 2,4-3,2-4,0-4,8 мм /40515</t>
  </si>
  <si>
    <t>61469</t>
  </si>
  <si>
    <t>Заклепочник MATRIX 250мм, 2,4-3,2-4-4,8мм 0-90град. /40527</t>
  </si>
  <si>
    <t>61439</t>
  </si>
  <si>
    <t>Заклепочник MATRIX 250мм, 2,4-3,2-4,0-4,8 мм/40524</t>
  </si>
  <si>
    <t>61441</t>
  </si>
  <si>
    <t>Заклепочник MATRIX 263мм, 2,4-3,2-4-4,8мм 0-360град /40533</t>
  </si>
  <si>
    <t>61484</t>
  </si>
  <si>
    <t>Заклепочник MATRIX литой 200мм, 2,4-3,2-4,0-4,8 мм ручной /40546</t>
  </si>
  <si>
    <t>61410</t>
  </si>
  <si>
    <t>Заклепочник MATRIX литой 260мм 2,4-3,2-4,0-4,8 мм /40551</t>
  </si>
  <si>
    <t>61412</t>
  </si>
  <si>
    <t>Заклепочник MATRIX литой 260мм 2,4-3,2-4,0-4,8 мм с набором заклепок /40552</t>
  </si>
  <si>
    <t>03992</t>
  </si>
  <si>
    <t>Заклепочник MATRIX литой 290мм 2,4-3,2-4,0-4,8 мм поворотный, 0-360° /40547</t>
  </si>
  <si>
    <t>01723</t>
  </si>
  <si>
    <t>Заклепочник БАРС 200 мм, алюминий 2,4-4,8 мм, сталь 2,4-4,0 мм /40430</t>
  </si>
  <si>
    <t>60751</t>
  </si>
  <si>
    <t>Заклепочник БАРС 250 мм, заклепки 2,4-4,8мм /40421</t>
  </si>
  <si>
    <t>61591</t>
  </si>
  <si>
    <t>Заклепочник БАРС литой 270 мм, заклепки 2,4-4,8мм /40425</t>
  </si>
  <si>
    <t>01259</t>
  </si>
  <si>
    <t>Заклепочник СИБРТЕХ 250мм, литой корпус, заклепки 2,4-3,2-4,0-4,8 мм /40545</t>
  </si>
  <si>
    <t>61459</t>
  </si>
  <si>
    <t>Заклепочник Спарта 225мм, 2,4-3,2-4,0-4,8 мм /40711</t>
  </si>
  <si>
    <t>61424</t>
  </si>
  <si>
    <t>Пломба пластиковая d-10 (~200шт)</t>
  </si>
  <si>
    <t>61400</t>
  </si>
  <si>
    <t>Скобоудалитель универсальный MATRIX /40912</t>
  </si>
  <si>
    <t>00749</t>
  </si>
  <si>
    <t>Скобы для степ. GROSS 10мм, тип 53, 1000шт усиленные /41710</t>
  </si>
  <si>
    <t>00816</t>
  </si>
  <si>
    <t>Скобы для степ. GROSS 12мм, тип 53, 1000шт усиленные /41712</t>
  </si>
  <si>
    <t>61314</t>
  </si>
  <si>
    <t>Скобы для степ. GROSS 14мм, тип 53, 1000шт усиленные /41714</t>
  </si>
  <si>
    <t>61433</t>
  </si>
  <si>
    <t>Скобы для степ. GROSS 6мм, тип 53, 1000шт усиленные /41706</t>
  </si>
  <si>
    <t>61444</t>
  </si>
  <si>
    <t>Скобы для степ. GROSS 8мм, тип 53, 1000шт усиленные /41708</t>
  </si>
  <si>
    <t>63543</t>
  </si>
  <si>
    <t>Скобы для степ. MATRIX 10мм, тип 53, 1000шт /41120</t>
  </si>
  <si>
    <t>61511</t>
  </si>
  <si>
    <t>Скобы для степ. MATRIX 12мм, тип 53, 1000шт /41122</t>
  </si>
  <si>
    <t>60501</t>
  </si>
  <si>
    <t>Скобы для степ. MATRIX 14мм, тип 53, 1000шт /41124</t>
  </si>
  <si>
    <t>61406</t>
  </si>
  <si>
    <t>Скобы для степ. MATRIX 6мм, тип 53, 1000шт /41116</t>
  </si>
  <si>
    <t>61486</t>
  </si>
  <si>
    <t>Скобы для степ. MATRIX 8мм, тип 53, 1000шт /41118</t>
  </si>
  <si>
    <t>61481</t>
  </si>
  <si>
    <t>Скобы для степ. заостр. MATRIX 10мм, тип 53, 1000шт /41140</t>
  </si>
  <si>
    <t>61480</t>
  </si>
  <si>
    <t>Скобы для степ. заостр. MATRIX 12мм, тип 53, 1000шт /41142</t>
  </si>
  <si>
    <t>61442</t>
  </si>
  <si>
    <t>Скобы для степ. заостр. MATRIX 14мм, тип 53, 1000шт /41144</t>
  </si>
  <si>
    <t>61477</t>
  </si>
  <si>
    <t>Скобы для степ. заостр. MATRIX 6мм, тип 53, 1000шт /41136</t>
  </si>
  <si>
    <t>61419</t>
  </si>
  <si>
    <t>Скобы для степ. заостр. MATRIX 8мм, тип 53, 1000шт /41138</t>
  </si>
  <si>
    <t>61466</t>
  </si>
  <si>
    <t>Скобы закал. MATRIX 10мм, тип 140, 1000шт /41310</t>
  </si>
  <si>
    <t>61452</t>
  </si>
  <si>
    <t>Скобы закал. MATRIX 10мм, тип 53, 1000шт /41210</t>
  </si>
  <si>
    <t>63969</t>
  </si>
  <si>
    <t>Скобы закал. MATRIX 12мм, тип 140, 1000шт /41312</t>
  </si>
  <si>
    <t>00126</t>
  </si>
  <si>
    <t>Скобы закал. MATRIX 12мм, тип 36, 1000шт /41412</t>
  </si>
  <si>
    <t>61449</t>
  </si>
  <si>
    <t>Скобы закал. MATRIX 12мм, тип 53, 1000шт /41212</t>
  </si>
  <si>
    <t>61446</t>
  </si>
  <si>
    <t>Скобы закал. MATRIX 14мм, тип 140, 1000шт /41314</t>
  </si>
  <si>
    <t>61447</t>
  </si>
  <si>
    <t>Скобы закал. MATRIX 14мм, тип 53, 1000шт /41214</t>
  </si>
  <si>
    <t>61458</t>
  </si>
  <si>
    <t>Скобы закал. MATRIX 6мм, тип 140, 1000шт /41306</t>
  </si>
  <si>
    <t>61402</t>
  </si>
  <si>
    <t>Скобы закал. MATRIX 6мм, тип 53, 1000шт /41206</t>
  </si>
  <si>
    <t>61415</t>
  </si>
  <si>
    <t>Скобы закал. MATRIX 8мм, тип 53, 1000шт /41208</t>
  </si>
  <si>
    <t>61409</t>
  </si>
  <si>
    <t>Степлер мебельный 4-функц. пласт., тип скобы 140; 6-14мм /40905</t>
  </si>
  <si>
    <t>60922</t>
  </si>
  <si>
    <t>Степлер мебельный 4-функц. тип скобы 140 /40901</t>
  </si>
  <si>
    <t>61568</t>
  </si>
  <si>
    <t>Степлер мебельный Denzel пластиковый корпус, тип 53, 6-14 мм, тип 13, 6-14 мм, тип 300, 14 мм /40210</t>
  </si>
  <si>
    <t>61453</t>
  </si>
  <si>
    <t>Степлер мебельный GROSS алюм. корпус, тип скобы 13, 53, 300, 6-10мм /41001</t>
  </si>
  <si>
    <t>61455</t>
  </si>
  <si>
    <t>Степлер мебельный GROSS алюм., регулир, тип скобы 13, 53, 300 6-16мм /41002</t>
  </si>
  <si>
    <t>61414</t>
  </si>
  <si>
    <t>Степлер мебельный GROSS алюм., регулир, тип скобы 140, 300 6-14мм /41007</t>
  </si>
  <si>
    <t>61411</t>
  </si>
  <si>
    <t>Степлер мебельный GROSS плас., 4-ф, тип скобы 13, 53, 300, 500 8-14мм /41005</t>
  </si>
  <si>
    <t>61462</t>
  </si>
  <si>
    <t>Степлер мебельный GROSS плас., регулир, тип скобы 13, 53, 300 6-16мм /41003</t>
  </si>
  <si>
    <t>61445</t>
  </si>
  <si>
    <t>Степлер мебельный GROSS стал. корпус, тип скобы 53, 4-14 мм /41000</t>
  </si>
  <si>
    <t>61418</t>
  </si>
  <si>
    <t>Степлер мебельный MATRIX пласт., тип скобы 53; 4-8мм /40907</t>
  </si>
  <si>
    <t>61499</t>
  </si>
  <si>
    <t>Степлер мебельный MATRIX регулир., тип скобы 53; 4-14мм /40902</t>
  </si>
  <si>
    <t>61472</t>
  </si>
  <si>
    <t>Степлер мебельный MATRIX регулир., тип скобы 53; 6-14мм /40913</t>
  </si>
  <si>
    <t>61461</t>
  </si>
  <si>
    <t>Степлер мебельный MATRIX стальной, быстрая загрузка, тип скобы 53, 4-14 мм, PRO /40917</t>
  </si>
  <si>
    <t>61542</t>
  </si>
  <si>
    <t>Степлер мебельный MATRIX стальной, быстрая загрузка, тип скобы 53, 6-10 мм, PRO /40916</t>
  </si>
  <si>
    <t>61498</t>
  </si>
  <si>
    <t>Степлер мебельный MATRIX тип скобы 53; 4-8мм /40903</t>
  </si>
  <si>
    <t>61425</t>
  </si>
  <si>
    <t>Степлер мебельный БАРС метал. корпус, тип скобы 53, 300, 500, 6-14мм /40004</t>
  </si>
  <si>
    <t>61483</t>
  </si>
  <si>
    <t>Степлер мебельный БАРС метал. корпус, тип скобы 53, 4-14мм /40003</t>
  </si>
  <si>
    <t>61479</t>
  </si>
  <si>
    <t>Степлер мебельный БАРС метал. корпус, тип скобы 53, 6-10мм /40002</t>
  </si>
  <si>
    <t>61478</t>
  </si>
  <si>
    <t>Степлер мебельный БАРС пласт. корпус, тип скобы 53, 6-10мм /40001</t>
  </si>
  <si>
    <t>61457</t>
  </si>
  <si>
    <t>Степлер мебельный СИБРТЕХ мет. корпус, тип скобы 53, 4-14мм /40101</t>
  </si>
  <si>
    <t>61401</t>
  </si>
  <si>
    <t>Степлер мебельный Спарта регулир. ск. 100шт, тип скобы 53; 6-8мм пластиковый /42001</t>
  </si>
  <si>
    <t>61473</t>
  </si>
  <si>
    <t>Степлер мебельный Спарта регулир. ск. 200шт, тип скобы 53; 6-14мм /42002</t>
  </si>
  <si>
    <t>61534</t>
  </si>
  <si>
    <t>Степлер мебельный Спарта регулир. ск. 500шт, тип скобы 53; 6-14мм /42003</t>
  </si>
  <si>
    <t>61470</t>
  </si>
  <si>
    <t>Степлер-молоток усиленный MATRIX тип скобы 14; 6-10мм /40911</t>
  </si>
  <si>
    <t>615 Зубила/Керны/Пробойники</t>
  </si>
  <si>
    <t>61076</t>
  </si>
  <si>
    <t>Зубило SDS max 18*25*280мм /70341</t>
  </si>
  <si>
    <t>61001</t>
  </si>
  <si>
    <t>Зубило SDS max 18*25*320мм канальное /70345</t>
  </si>
  <si>
    <t>60871</t>
  </si>
  <si>
    <t>Зубило SDS max 18*25*400мм /70342</t>
  </si>
  <si>
    <t>61063</t>
  </si>
  <si>
    <t>Зубило SDS max 18*25*600мм /70343</t>
  </si>
  <si>
    <t>60896</t>
  </si>
  <si>
    <t>Зубило SDS max 25*50*360мм /70344</t>
  </si>
  <si>
    <t>61555</t>
  </si>
  <si>
    <t>Зубило SDS+ MATRIX 14*20*250мм /70320</t>
  </si>
  <si>
    <t>61590</t>
  </si>
  <si>
    <t>Зубило SDS+ MATRIX 14*20*400мм /70321</t>
  </si>
  <si>
    <t>61518</t>
  </si>
  <si>
    <t>Зубило SDS+ MATRIX 14*20*600мм /70323</t>
  </si>
  <si>
    <t>61022</t>
  </si>
  <si>
    <t>Зубило SDS+ MATRIX 14*22*250мм канальное /70301</t>
  </si>
  <si>
    <t>61589</t>
  </si>
  <si>
    <t>Зубило SDS+ MATRIX 14*22*250мм канальное с опорами /70302</t>
  </si>
  <si>
    <t>60831</t>
  </si>
  <si>
    <t>Зубило SDS+ MATRIX 14*40*250мм /70310</t>
  </si>
  <si>
    <t>60889</t>
  </si>
  <si>
    <t>Зубило SDS+ MATRIX 14*40*250мм отогнутое для снятия плитки /70315</t>
  </si>
  <si>
    <t>60875</t>
  </si>
  <si>
    <t>Зубило SDS+ MATRIX 14*40*400мм /70311</t>
  </si>
  <si>
    <t>61545</t>
  </si>
  <si>
    <t>Зубило SDS+ MATRIX 14*40*600мм /70312</t>
  </si>
  <si>
    <t>61008</t>
  </si>
  <si>
    <t>Зубило SDS+ БАРС 14*40*250мм, 60CrV /70307</t>
  </si>
  <si>
    <t>61543</t>
  </si>
  <si>
    <t>Зубило SDS+ ГРАНИТ 20*250мм /120250</t>
  </si>
  <si>
    <t>61550</t>
  </si>
  <si>
    <t>Зубило SDS+ ГРАНИТ 20*400мм /120400</t>
  </si>
  <si>
    <t>61549</t>
  </si>
  <si>
    <t>Зубило SDS+ ГРАНИТ 40*250мм /140250</t>
  </si>
  <si>
    <t>61500</t>
  </si>
  <si>
    <t>Зубило лопаточное GROSS 40*250мм /70317</t>
  </si>
  <si>
    <t>61515</t>
  </si>
  <si>
    <t>Зубило плоское GROSS 20*250мм /70318</t>
  </si>
  <si>
    <t>61559</t>
  </si>
  <si>
    <t>Зубило плоское СИБРТЕХ широкое, 14*20*240мм, SDS PLUS /703207</t>
  </si>
  <si>
    <t>61115</t>
  </si>
  <si>
    <t>Зубило плоское СИБРТЕХ широкое, 14*40*240мм, SDS PLUS /703107</t>
  </si>
  <si>
    <t>61517</t>
  </si>
  <si>
    <t>Зубило-керн крашен. с протект GROSS 305мм /18803</t>
  </si>
  <si>
    <t>61509</t>
  </si>
  <si>
    <t>Клейма ручные цифровые N 2 сталь (футляр)</t>
  </si>
  <si>
    <t>04623</t>
  </si>
  <si>
    <t>Пробойники для кожи Сибртех 3; 4; 5; 6; 7; 8; 9; 10; 12; 14; 16; 19 мм, 12 шт, чехол /18312</t>
  </si>
  <si>
    <t>04130</t>
  </si>
  <si>
    <t>Пробойники для кожи Сибртех 3; 4; 6; 8; 10; 12,5 мм, 6 шт, чехол /18306</t>
  </si>
  <si>
    <t>616 Инструмент для пайки и сварки</t>
  </si>
  <si>
    <t>61696</t>
  </si>
  <si>
    <t>Горелка газовая Сибртех на бутановый баллон, диаметр сопла 25 мм /91434</t>
  </si>
  <si>
    <t>61609</t>
  </si>
  <si>
    <t>Горелка газовая Сибртех на бутановый баллон, пьезоподжиг /91421</t>
  </si>
  <si>
    <t>61604</t>
  </si>
  <si>
    <t>Держатель электродов 300А /91453</t>
  </si>
  <si>
    <t>61605</t>
  </si>
  <si>
    <t>Держатель электродов 500А /91455</t>
  </si>
  <si>
    <t>61661</t>
  </si>
  <si>
    <t>Зажим д/пайки с луп. "Третья рука" /914605</t>
  </si>
  <si>
    <t>61613</t>
  </si>
  <si>
    <t>Зажим ручной SPARTA 180 мм, полукруглый захват /184205</t>
  </si>
  <si>
    <t>61615</t>
  </si>
  <si>
    <t>Зажим ручной SPARTA 250 мм, полукруглый захват /184305</t>
  </si>
  <si>
    <t>61667</t>
  </si>
  <si>
    <t>Зажим ручной Сибртех 170 мм, увеличенный захват, подвижные губки /18425</t>
  </si>
  <si>
    <t>61633</t>
  </si>
  <si>
    <t>Зажим ручной Сибртех 180 мм, полукруглый захват /18421</t>
  </si>
  <si>
    <t>61603</t>
  </si>
  <si>
    <t>Зажим ручной Сибртех 180 мм, удлиненный плоский захват /18427</t>
  </si>
  <si>
    <t>61682</t>
  </si>
  <si>
    <t>Зажим ручной Сибртех 220 мм, полукруглый захват /18422</t>
  </si>
  <si>
    <t>61676</t>
  </si>
  <si>
    <t>Зажим ручной Сибртех 220 мм, удлиненный захват /18424</t>
  </si>
  <si>
    <t>61647</t>
  </si>
  <si>
    <t>Зажим ручной Сибртех 225 мм, удлиненный плоский захват /18428</t>
  </si>
  <si>
    <t>61690</t>
  </si>
  <si>
    <t>Зажим ручной Сибртех 270 мм, увеличенный захват, подвижные губки /18426</t>
  </si>
  <si>
    <t>61507</t>
  </si>
  <si>
    <t>Клемма магнитная "масса" для сварочных работ Denzel /97559</t>
  </si>
  <si>
    <t>61662</t>
  </si>
  <si>
    <t>Набор из 2 магнитных сварочных фиксаторов и магнитной клеммы "масса" Denzel /97557</t>
  </si>
  <si>
    <t>67187</t>
  </si>
  <si>
    <t>Пинцеты РОКОТ набор 4пр. нерж. сталь 669-216 /4/</t>
  </si>
  <si>
    <t>61665</t>
  </si>
  <si>
    <t>Пинцеты Спарта из нержавеющей стали, 2шт /914805</t>
  </si>
  <si>
    <t>61636</t>
  </si>
  <si>
    <t>Пинцеты Спарта из нержавеющей стали, 4шт /914845</t>
  </si>
  <si>
    <t>61614</t>
  </si>
  <si>
    <t>Припой Sn60Pb40, D1мм, 10г, в пластм. тубе /913305</t>
  </si>
  <si>
    <t>61669</t>
  </si>
  <si>
    <t>Припой Sn60Pb40, D1мм, 17г, в пластм. тубе /913315</t>
  </si>
  <si>
    <t>61607</t>
  </si>
  <si>
    <t>Припой Sn60Pb40, D1мм, 25г, на пластм. катушке /913325</t>
  </si>
  <si>
    <t>61610</t>
  </si>
  <si>
    <t>Припой Sn60Pb40, D1мм, 50г, на пластм. катушке /913335</t>
  </si>
  <si>
    <t>61656</t>
  </si>
  <si>
    <t>Припой проволока д-1 /914785</t>
  </si>
  <si>
    <t>61632</t>
  </si>
  <si>
    <t>Сплав ВУДА 50гр пакет Zip-lock</t>
  </si>
  <si>
    <t>61600</t>
  </si>
  <si>
    <t>Фиксатор магнитный для сварочных работ Denzel 25шт /97551</t>
  </si>
  <si>
    <t>61540</t>
  </si>
  <si>
    <t>Фиксатор магнитный для сварочных работ Denzel 4шт /97555</t>
  </si>
  <si>
    <t>61541</t>
  </si>
  <si>
    <t>Фиксатор магнитный для сварочных работ Denzel усилие 50 LB /97553</t>
  </si>
  <si>
    <t>61602</t>
  </si>
  <si>
    <t>Электроды GOODEL МР-3 д.3,0, 0,9кг г.Шадринск</t>
  </si>
  <si>
    <t>61619</t>
  </si>
  <si>
    <t>Электроды GOODEL МР-3 д.3,0, 5,0кг г.Шадринск</t>
  </si>
  <si>
    <t>61620</t>
  </si>
  <si>
    <t>Электроды GOODEL МР-3 д.4,0, 6,2кг г.Шадринск</t>
  </si>
  <si>
    <t>61601</t>
  </si>
  <si>
    <t>Электроды GOODEL ОК-46 д.3,0, 0,9кг г.Шадринск</t>
  </si>
  <si>
    <t>61691</t>
  </si>
  <si>
    <t>Электроды GOODEL ОК-46 д.3,0, 5,5кг г.Шадринск</t>
  </si>
  <si>
    <t>61692</t>
  </si>
  <si>
    <t>Электроды GOODEL ОК-46 д.4,0, 6,8кг г.Шадринск</t>
  </si>
  <si>
    <t>61606</t>
  </si>
  <si>
    <t>Электроды ОК-46.00 д.3мм 1,0кг (С-П)</t>
  </si>
  <si>
    <t>61608</t>
  </si>
  <si>
    <t>Электроды ОК-46.00 д.3мм 2,5кг (С-П)</t>
  </si>
  <si>
    <t>61641</t>
  </si>
  <si>
    <t>Электроды ОК-46.00 д.3мм 5,3кг (С-П)</t>
  </si>
  <si>
    <t>61687</t>
  </si>
  <si>
    <t>Электроды ОК-46.00 д.4мм 6,6кг (С-П)</t>
  </si>
  <si>
    <t>617-623 Ключи/головки</t>
  </si>
  <si>
    <t>617 Головки торцовые/воротки</t>
  </si>
  <si>
    <t>64324</t>
  </si>
  <si>
    <t>Вороток MATRIX 115мм, квадрат 1/4", CrV, хром. /13986</t>
  </si>
  <si>
    <t>64334</t>
  </si>
  <si>
    <t>Вороток MATRIX 200мм, квадрат 3/8", CrV, хром. /13987</t>
  </si>
  <si>
    <t>61827</t>
  </si>
  <si>
    <t>Вороток MATRIX 250мм, квадрат 1/2", CrV, хром. /13988</t>
  </si>
  <si>
    <t>64306</t>
  </si>
  <si>
    <t>Вороток MATRIX 380мм, квадрат 1/2", CrV, хром. /14066</t>
  </si>
  <si>
    <t>61705</t>
  </si>
  <si>
    <t>Вороток MATRIX отвертка, 150мм, квадрат 1/4" /13920</t>
  </si>
  <si>
    <t>64328</t>
  </si>
  <si>
    <t>Вороток STELS 115 мм, квадрат 1/4", CrV /14011</t>
  </si>
  <si>
    <t>63463</t>
  </si>
  <si>
    <t>Вороток с присоед.квадратом НИЗ большой 12,5*300мм цинк (2) /13962 /10/</t>
  </si>
  <si>
    <t>61718</t>
  </si>
  <si>
    <t>Вороток-отвертка STELS 150 мм, квадрат 1/4", CrV /14012</t>
  </si>
  <si>
    <t>ИЗМ12873</t>
  </si>
  <si>
    <t>Головка 6-ти гранная х 9 мм 1/2" ДТ 620009 /200/</t>
  </si>
  <si>
    <t>61775</t>
  </si>
  <si>
    <t>Головка MATRIX 10 мм, 12-гранная, CrV, хромированная /13680</t>
  </si>
  <si>
    <t>61731</t>
  </si>
  <si>
    <t>Головка MATRIX 11 мм, 12-гранная, CrV, хромированная /13682</t>
  </si>
  <si>
    <t>61702</t>
  </si>
  <si>
    <t>Головка MATRIX 12 мм, 12-гранная, CrV, хромированная /13684</t>
  </si>
  <si>
    <t>61760</t>
  </si>
  <si>
    <t>Головка MATRIX 13 мм, 12-гранная, CrV, хромированная /13686</t>
  </si>
  <si>
    <t>61758</t>
  </si>
  <si>
    <t>Головка MATRIX 14 мм, 12-гранная, CrV, хромированная /13688</t>
  </si>
  <si>
    <t>61854</t>
  </si>
  <si>
    <t>Головка MATRIX 17 мм, 12-гранная, CrV, хромированная /13690</t>
  </si>
  <si>
    <t>61701</t>
  </si>
  <si>
    <t>Головка MATRIX 19 мм, 12-гранная, CrV, хромированная /13691</t>
  </si>
  <si>
    <t>62225</t>
  </si>
  <si>
    <t>Головка MATRIX 24 мм, 12-гранная, CrV, хромированная /13693</t>
  </si>
  <si>
    <t>61782</t>
  </si>
  <si>
    <t>Головка MATRIX 27 мм, 12-гранная, CrV, хромированная /13695</t>
  </si>
  <si>
    <t>61771</t>
  </si>
  <si>
    <t>Головка MATRIX 30 мм, 12-гранная, CrV, хромированная /13697</t>
  </si>
  <si>
    <t>61796</t>
  </si>
  <si>
    <t>Головка MATRIX 8 мм, 12-гранная, CrV, хромированная /13676</t>
  </si>
  <si>
    <t>62381</t>
  </si>
  <si>
    <t>Головка MATRIX 9 мм, 12-гранная, CrV, хромированная /13678</t>
  </si>
  <si>
    <t>62247</t>
  </si>
  <si>
    <t>Головка №10 "Супер" НИЗ /13644</t>
  </si>
  <si>
    <t>61828</t>
  </si>
  <si>
    <t>Головка №10 12-гр. НИЗ</t>
  </si>
  <si>
    <t>61728</t>
  </si>
  <si>
    <t>Головка №10 6-гр. НИЗ</t>
  </si>
  <si>
    <t>62248</t>
  </si>
  <si>
    <t>Головка №11 "Супер" НИЗ /13645</t>
  </si>
  <si>
    <t>62063</t>
  </si>
  <si>
    <t>Головка №11 12-гр. НИЗ</t>
  </si>
  <si>
    <t>61795</t>
  </si>
  <si>
    <t>Головка №11 6-гр. НИЗ</t>
  </si>
  <si>
    <t>62250</t>
  </si>
  <si>
    <t>Головка №12 "Супер" НИЗ /13646</t>
  </si>
  <si>
    <t>61810</t>
  </si>
  <si>
    <t>Головка №12 12-гр. НИЗ</t>
  </si>
  <si>
    <t>61815</t>
  </si>
  <si>
    <t>Головка №12 6-гр. НИЗ</t>
  </si>
  <si>
    <t>61700</t>
  </si>
  <si>
    <t>Головка №13 6-гр. НИЗ</t>
  </si>
  <si>
    <t>61951</t>
  </si>
  <si>
    <t>Головка №14 "Супер" НИЗ /13650</t>
  </si>
  <si>
    <t>61746</t>
  </si>
  <si>
    <t>Головка №14 6-гр. НИЗ</t>
  </si>
  <si>
    <t>61797</t>
  </si>
  <si>
    <t>Головка №15 6-гр. НИЗ</t>
  </si>
  <si>
    <t>61785</t>
  </si>
  <si>
    <t>Головка №19 6-гр. НИЗ</t>
  </si>
  <si>
    <t>62257</t>
  </si>
  <si>
    <t>Головка №22 "Супер" НИЗ /13661</t>
  </si>
  <si>
    <t>61716</t>
  </si>
  <si>
    <t>Головка №22 12-гр. НИЗ</t>
  </si>
  <si>
    <t>61713</t>
  </si>
  <si>
    <t>Головка №22 6-гр. НИЗ</t>
  </si>
  <si>
    <t>62259</t>
  </si>
  <si>
    <t>Головка №24 "Супер" НИЗ /13663</t>
  </si>
  <si>
    <t>61757</t>
  </si>
  <si>
    <t>Головка №24 12-гр. НИЗ</t>
  </si>
  <si>
    <t>61750</t>
  </si>
  <si>
    <t>Головка №24 6-гр. НИЗ</t>
  </si>
  <si>
    <t>62269</t>
  </si>
  <si>
    <t>Головка №27 "Супер" НИЗ /13666</t>
  </si>
  <si>
    <t>62193</t>
  </si>
  <si>
    <t>Головка №27 12-гр. НИЗ</t>
  </si>
  <si>
    <t>61735</t>
  </si>
  <si>
    <t>Головка №27 6-гр. НИЗ</t>
  </si>
  <si>
    <t>62272</t>
  </si>
  <si>
    <t>Головка №30 "Супер" НИЗ /13670</t>
  </si>
  <si>
    <t>61776</t>
  </si>
  <si>
    <t>Головка №30 12-гр. НИЗ</t>
  </si>
  <si>
    <t>61732</t>
  </si>
  <si>
    <t>Головка №32 "Супер" НИЗ /13672</t>
  </si>
  <si>
    <t>01221</t>
  </si>
  <si>
    <t>Головка STELS с битой вставкой T20, квадрат 1/4", CrV /13804</t>
  </si>
  <si>
    <t>62890</t>
  </si>
  <si>
    <t>Головка STELS с битой вставкой T25, квадрат 1/4", CrV /13805</t>
  </si>
  <si>
    <t>61738</t>
  </si>
  <si>
    <t>Головка WP 15мм 1/2" Cr-V, super lock, с реб.кольц</t>
  </si>
  <si>
    <t>61965</t>
  </si>
  <si>
    <t>Головка торцевая 11мм, 6-гранная, Crv, под квадрат 1/2" /13822</t>
  </si>
  <si>
    <t>61594</t>
  </si>
  <si>
    <t>Головка торцевая 24мм, 6-гранная, Crv, под квадрат 1/2" /13835</t>
  </si>
  <si>
    <t>61595</t>
  </si>
  <si>
    <t>Головка торцевая 27мм, 6-гранная, Crv, под квадрат 1/2" /13836</t>
  </si>
  <si>
    <t>03655</t>
  </si>
  <si>
    <t>Головка торцевая STELS 1/2, Е 10, Crv /13868</t>
  </si>
  <si>
    <t>03654</t>
  </si>
  <si>
    <t>Головка торцевая STELS 1/2, Е 11, Crv /13869</t>
  </si>
  <si>
    <t>03653</t>
  </si>
  <si>
    <t>Головка торцевая STELS 1/2, Е 12, Crv /13870</t>
  </si>
  <si>
    <t>03120</t>
  </si>
  <si>
    <t>Головка торцевая STELS 1/2, Е 14, Crv /13871</t>
  </si>
  <si>
    <t>61754</t>
  </si>
  <si>
    <t>Головка торцевая STELS 1/2, Е 16, Crv /13872</t>
  </si>
  <si>
    <t>61770</t>
  </si>
  <si>
    <t>Головка торцевая STELS 1/2, Е 18, Crv /13873</t>
  </si>
  <si>
    <t>03650</t>
  </si>
  <si>
    <t>Головка торцевая STELS 1/2, Е 20, Crv /13874</t>
  </si>
  <si>
    <t>61774</t>
  </si>
  <si>
    <t>Головка торцевая STELS 1/4, Е 8, Crv /13867</t>
  </si>
  <si>
    <t>61747</t>
  </si>
  <si>
    <t>Головка торцевая STELS 1/4, Е7, CrV /13866</t>
  </si>
  <si>
    <t>61991</t>
  </si>
  <si>
    <t>Головка торцевая STELS 16 мм, 12-гранная, CrV, под квадрат 1/2" /13636</t>
  </si>
  <si>
    <t>61704</t>
  </si>
  <si>
    <t>Головка торцевая STELS 21 мм, 12-гранная, CrV, под квадрат 1/2" /13637</t>
  </si>
  <si>
    <t>61780</t>
  </si>
  <si>
    <t>Головка торцевая удлин., 10мм, 6-гранная, Crv, под квадрат 1/2" /13839</t>
  </si>
  <si>
    <t>61939</t>
  </si>
  <si>
    <t>Головка торцевая удлин., 12мм, 6-гранная, Crv, под квадрат 1/2" /13845</t>
  </si>
  <si>
    <t>61730</t>
  </si>
  <si>
    <t>Головка торцевая удлин., 13мм, 6-гранная, Crv, под квадрат 1/2" /13846</t>
  </si>
  <si>
    <t>61955</t>
  </si>
  <si>
    <t>Головка торцевая удлин., 14мм, 6-гранная, Crv, под квадрат 1/2" /13847</t>
  </si>
  <si>
    <t>61752</t>
  </si>
  <si>
    <t>Головка торцевая удлин., 17мм, 6-гранная, Crv, под квадрат 1/2" /13849</t>
  </si>
  <si>
    <t>61711</t>
  </si>
  <si>
    <t>Головка торцевая удлин., 19мм, 6-гранная, Crv, под квадрат 1/2" /13850</t>
  </si>
  <si>
    <t>61989</t>
  </si>
  <si>
    <t>Головка торцевая удлин., 22мм, 6-гранная, Crv, под квадрат 1/2" /13851</t>
  </si>
  <si>
    <t>61708</t>
  </si>
  <si>
    <t>Головка ударная 1/2" 38*15мм</t>
  </si>
  <si>
    <t>61714</t>
  </si>
  <si>
    <t>Головка ударная 1/2" 46*27мм</t>
  </si>
  <si>
    <t>60499</t>
  </si>
  <si>
    <t>Удлинитель для см. гол. 3/8" с гиб. валом</t>
  </si>
  <si>
    <t>618 Ключи 6-ти гранные (имбусовые)/трещеточные</t>
  </si>
  <si>
    <t>62042</t>
  </si>
  <si>
    <t>Ключ 6-ти гр.с внутр. НИ №19</t>
  </si>
  <si>
    <t>61801</t>
  </si>
  <si>
    <t>Ключ гаечный коленчатый КГН 8*9 TOYA хром</t>
  </si>
  <si>
    <t>61818</t>
  </si>
  <si>
    <t>Ключ имбусовый MATRIX HEX 10мм, CrV /11230</t>
  </si>
  <si>
    <t>61862</t>
  </si>
  <si>
    <t>Ключ имбусовый MATRIX HEX 12мм, CrV /11232</t>
  </si>
  <si>
    <t>61856</t>
  </si>
  <si>
    <t>Ключ имбусовый MATRIX HEX 4мм, CrV /11205</t>
  </si>
  <si>
    <t>61813</t>
  </si>
  <si>
    <t>Ключ имбусовый MATRIX HEX 5мм, CrV /11225</t>
  </si>
  <si>
    <t>61890</t>
  </si>
  <si>
    <t>Ключ имбусовый MATRIX HEX 6мм, CrV /11212</t>
  </si>
  <si>
    <t>61817</t>
  </si>
  <si>
    <t>Ключ имбусовый MATRIX HEX 7мм, CrV /11214</t>
  </si>
  <si>
    <t>62090</t>
  </si>
  <si>
    <t>Ключ имбусовый MATRIX HEX 8мм, CrV /11216</t>
  </si>
  <si>
    <t>03232</t>
  </si>
  <si>
    <t>Ключ имбусовый СИБРТЕХ HEX закаленный 10мм 45х зак никель /12343</t>
  </si>
  <si>
    <t>02794</t>
  </si>
  <si>
    <t>Ключ имбусовый СИБРТЕХ HEX закаленный 12мм 45х никель /12344</t>
  </si>
  <si>
    <t>61866</t>
  </si>
  <si>
    <t>Ключ имбусовый СИБРТЕХ HEX закаленный 14мм 45х никель /12346</t>
  </si>
  <si>
    <t>61872</t>
  </si>
  <si>
    <t>Ключ имбусовый СИБРТЕХ HEX закаленный 16мм 45х никель /12347</t>
  </si>
  <si>
    <t>61869</t>
  </si>
  <si>
    <t>Ключ имбусовый СИБРТЕХ HEX закаленный 17мм 45х никель /12348</t>
  </si>
  <si>
    <t>02314</t>
  </si>
  <si>
    <t>Ключ имбусовый СИБРТЕХ HEX закаленный 18мм 45х никель /12349</t>
  </si>
  <si>
    <t>61859</t>
  </si>
  <si>
    <t>Ключ имбусовый СИБРТЕХ HEX закаленный 22мм 45х никель /12352</t>
  </si>
  <si>
    <t>02316</t>
  </si>
  <si>
    <t>Ключ имбусовый СИБРТЕХ HEX закаленный 24мм 45х никель /12353</t>
  </si>
  <si>
    <t>02866</t>
  </si>
  <si>
    <t>Ключ имбусовый СИБРТЕХ HEX закаленный 4мм 45х никель /12328</t>
  </si>
  <si>
    <t>02867</t>
  </si>
  <si>
    <t>Ключ имбусовый СИБРТЕХ HEX закаленный 5мм 45х никель /12330</t>
  </si>
  <si>
    <t>03230</t>
  </si>
  <si>
    <t>Ключ имбусовый СИБРТЕХ HEX закаленный 6мм 45х никель /12333</t>
  </si>
  <si>
    <t>61848</t>
  </si>
  <si>
    <t>Ключ имбусовый СИБРТЕХ HEX закаленный 7мм 45х зак никель /12334</t>
  </si>
  <si>
    <t>03231</t>
  </si>
  <si>
    <t>Ключ имбусовый СИБРТЕХ HEX закаленный 8мм 45х зак никель /12340</t>
  </si>
  <si>
    <t>02136</t>
  </si>
  <si>
    <t>Ключ имбусовый СИБРТЕХ HEX закаленный 9мм 45х никель /12342</t>
  </si>
  <si>
    <t>61844</t>
  </si>
  <si>
    <t>Ключ комб. трещот. MATRIX PROFESSIONAL 10мм, C-RV, зерк. хром /14803</t>
  </si>
  <si>
    <t>00221</t>
  </si>
  <si>
    <t>Ключ комб. трещот. MATRIX PROFESSIONAL 11мм, C-RV, зерк. хром /14804</t>
  </si>
  <si>
    <t>61833</t>
  </si>
  <si>
    <t>Ключ комб. трещот. MATRIX PROFESSIONAL 12мм, C-RV, зерк. хром /14805</t>
  </si>
  <si>
    <t>61846</t>
  </si>
  <si>
    <t>Ключ комб. трещот. MATRIX PROFESSIONAL 13мм, C-RV, зерк. хром /14806</t>
  </si>
  <si>
    <t>61858</t>
  </si>
  <si>
    <t>Ключ комб. трещот. MATRIX PROFESSIONAL 14мм, C-RV, зерк. хром /14807</t>
  </si>
  <si>
    <t>62242</t>
  </si>
  <si>
    <t>Ключ комб. трещот. MATRIX PROFESSIONAL 17мм, C-RV, зерк. хром /14810</t>
  </si>
  <si>
    <t>61804</t>
  </si>
  <si>
    <t>Ключ комб. трещот. MATRIX PROFESSIONAL 19мм, C-RV, зерк. хром /14812</t>
  </si>
  <si>
    <t>61850</t>
  </si>
  <si>
    <t>Ключ комб. трещот. MATRIX PROFESSIONAL 8мм, C-RV, зерк. хром /14801</t>
  </si>
  <si>
    <t>61684</t>
  </si>
  <si>
    <t>Ключ комб. трещот. MATRIX PROFESSIONAL 9мм, C-RV, зерк. хром /14802</t>
  </si>
  <si>
    <t>61826</t>
  </si>
  <si>
    <t>Ключ моментный MATRIX 42-210 Нм, 1/2", CrV, хром /14160</t>
  </si>
  <si>
    <t>61807</t>
  </si>
  <si>
    <t>Ключ моментный STELS 28-210 Нм, 1/2", CrV, хром быстрый сброс /14159</t>
  </si>
  <si>
    <t>61805</t>
  </si>
  <si>
    <t>Ключ моментный STELS 5-24 Нм, 1/4", CrV, хром /14158</t>
  </si>
  <si>
    <t>62697</t>
  </si>
  <si>
    <t>Ключ накидной трещоточный MATRIX profi 16*17 CrV /14505</t>
  </si>
  <si>
    <t>61825</t>
  </si>
  <si>
    <t>Ключ трещеточный GROSS 120 зубьев 1/2" /14137</t>
  </si>
  <si>
    <t>61891</t>
  </si>
  <si>
    <t>Ключ трещеточный GROSS 120 зубьев 1/4" /14135</t>
  </si>
  <si>
    <t>62108</t>
  </si>
  <si>
    <t>Ключ трещеточный GROSS 120 зубьев 3/8" /14136</t>
  </si>
  <si>
    <t>61733</t>
  </si>
  <si>
    <t>Ключ трещеточный GROSS Comfort 1/2", 72 зуба, CrV, хром /14082</t>
  </si>
  <si>
    <t>61802</t>
  </si>
  <si>
    <t>Ключ трещеточный GROSS Comfort 1/4", 72 зуба, CrV, хром /14086</t>
  </si>
  <si>
    <t>61719</t>
  </si>
  <si>
    <t>Ключ трещеточный GROSS Comfort 3/8", 72 зуба, CrV, хром /14084</t>
  </si>
  <si>
    <t>61749</t>
  </si>
  <si>
    <t>Ключ трещеточный MATRIX 1/2", 72 зуба, CrV, хром /14090</t>
  </si>
  <si>
    <t>61709</t>
  </si>
  <si>
    <t>Ключ трещеточный MATRIX 3/8", 72 зуба, CrV, хром /14092</t>
  </si>
  <si>
    <t>61721</t>
  </si>
  <si>
    <t>Ключ трещеточный MATRIX PROFI 1/2 с переключателем /14015</t>
  </si>
  <si>
    <t>61822</t>
  </si>
  <si>
    <t>Ключ трещеточный MATRIX PROFI 1/4 с переключателем /14010</t>
  </si>
  <si>
    <t>61311</t>
  </si>
  <si>
    <t>Ключ трещеточный MATRIX PROFI 3/8 с переключателем /14013</t>
  </si>
  <si>
    <t>62044</t>
  </si>
  <si>
    <t>Ключ трещеточный SPARTA 1/2 C-RV с переключателем /140605</t>
  </si>
  <si>
    <t>61880</t>
  </si>
  <si>
    <t>Ключ трещеточный SPARTA 1/4 C-RV с переключателем /140205</t>
  </si>
  <si>
    <t>62056</t>
  </si>
  <si>
    <t>Ключ трещеточный SPARTA 3/8 C-RV с переключателем /140405</t>
  </si>
  <si>
    <t>04779</t>
  </si>
  <si>
    <t>Ключ трещеточный STELS 1/2", 72 зуба, с быстрым сбросом шар. СrV /14046</t>
  </si>
  <si>
    <t>61808</t>
  </si>
  <si>
    <t>Ключ трещеточный STELS 1/2", 72 зуба, с быстрым сбросом, CrV /14027</t>
  </si>
  <si>
    <t>61800</t>
  </si>
  <si>
    <t>Ключ трещеточный STELS 1/2", 72 зуба, с быстрым сбросом, CrV /14043</t>
  </si>
  <si>
    <t>00990</t>
  </si>
  <si>
    <t>Ключ трещеточный STELS 1/2", 72 зуба, с быстрым сбросом, CrV 2комп. руч. /14030</t>
  </si>
  <si>
    <t>61809</t>
  </si>
  <si>
    <t>Ключ трещеточный STELS 1/4", 72 зуба, с быстрым сбросом, CrV /14025</t>
  </si>
  <si>
    <t>61814</t>
  </si>
  <si>
    <t>Ключ трещеточный STELS 1/4", 72 зуба, с быстрым сбросом, CrV /14041</t>
  </si>
  <si>
    <t>00890</t>
  </si>
  <si>
    <t>Ключ трещеточный STELS 1/4", 72 зуба, с быстрым сбросом, CrV 2комп. руч. /14028</t>
  </si>
  <si>
    <t>61876</t>
  </si>
  <si>
    <t>Ключ трещеточный STELS 3/8", 72 зуба, с быстрым сбросом, CrV /14026</t>
  </si>
  <si>
    <t>61820</t>
  </si>
  <si>
    <t>Ключ трещеточный STELS 3/8", 72 зуба, с быстрым сбросом, CrV /14042</t>
  </si>
  <si>
    <t>00989</t>
  </si>
  <si>
    <t>Ключ трещеточный STELS 3/8", 72 зуба, с быстрым сбросом, CrV 2комп. руч. /14029</t>
  </si>
  <si>
    <t>61816</t>
  </si>
  <si>
    <t>Ключ трещеточный СИБРТЕХ 1/2" двухкомпонентная рукоятка /14009</t>
  </si>
  <si>
    <t>61803</t>
  </si>
  <si>
    <t>Ключ трещеточный СИБРТЕХ 1/4" двухкомпонентная рукоятка /14007</t>
  </si>
  <si>
    <t>02267</t>
  </si>
  <si>
    <t>Ключ трещеточный СИБРТЕХ 3/8" двухкомпонентная ручка /14008</t>
  </si>
  <si>
    <t>61853</t>
  </si>
  <si>
    <t>Ключ трещеточный телескоп. GROSS 1/2", 305-445мм, CrV, хром /14070</t>
  </si>
  <si>
    <t>61863</t>
  </si>
  <si>
    <t>Ключ трещеточный телескоп. GROSS 1/4", 150-200мм, CrV, хром /14074</t>
  </si>
  <si>
    <t>61851</t>
  </si>
  <si>
    <t>Ключ трещеточный телескоп. GROSS 3/8", 215-315мм, CrV, хром /14072</t>
  </si>
  <si>
    <t>62235</t>
  </si>
  <si>
    <t>Ключ шестигранный 10мм Россия</t>
  </si>
  <si>
    <t>62102</t>
  </si>
  <si>
    <t>Ключ шестигранный 9мм Россия</t>
  </si>
  <si>
    <t>61811</t>
  </si>
  <si>
    <t>Ключи 6-ти гр TOYA с внут. 17мм 56740 Ник</t>
  </si>
  <si>
    <t>62537</t>
  </si>
  <si>
    <t>Ключи 6-ти гр Воронеж 8шт рук. стойка /20890</t>
  </si>
  <si>
    <t>01809</t>
  </si>
  <si>
    <t>Ключи MATRIX комб. трещеточных 6шт /14511</t>
  </si>
  <si>
    <t>61870</t>
  </si>
  <si>
    <t>Ключи MATRIX комб. трещоточных шарнирных 6шт /14897</t>
  </si>
  <si>
    <t>61874</t>
  </si>
  <si>
    <t>Ключи имбусовые MATRIX 1,5-10мм, СrV, 9шт., удлинненые /11231</t>
  </si>
  <si>
    <t>00459</t>
  </si>
  <si>
    <t>Ключи имбусовые MATRIX HEX 10 шт: HEX 1,5–12 мм, CrV, удлин с шаром, сатин. чехол /12311</t>
  </si>
  <si>
    <t>01591</t>
  </si>
  <si>
    <t>Ключи имбусовые MATRIX TORX Tamper 9 шт: HEX, 1,5–12 мм CrV, удлин, сатин., чехол /12313</t>
  </si>
  <si>
    <t>0281</t>
  </si>
  <si>
    <t>Ключи имбусовых MATRIX TORX 10 шт: 1,5–12 мм CrV, экстра-длин, сатин. /12309</t>
  </si>
  <si>
    <t>0282</t>
  </si>
  <si>
    <t>Ключи имбусовых MATRIX TORX Tamper 9 шт: T10-T50, CrV, короткие, сатин., чехол /12312</t>
  </si>
  <si>
    <t>00873</t>
  </si>
  <si>
    <t>Набор ключей имбусовых Gross HEX 1,5-8 мм CrV, складные, 8 шт /16412</t>
  </si>
  <si>
    <t>61873</t>
  </si>
  <si>
    <t>Набор ключей имбусовых Gross HEX 9 шт: HEX 1,5–10 мм, CrV, удлин с шаром, сатин. /16403</t>
  </si>
  <si>
    <t>61821</t>
  </si>
  <si>
    <t>Набор ключей имбусовых MATRIX HEX 1,5–10 мм, CrV,  9 шт, экстра-длин, c шаром, сатин. /16410</t>
  </si>
  <si>
    <t>61806</t>
  </si>
  <si>
    <t>Набор ключей имбусовых MATRIX HEX 9 шт: HEX 1,5–10 мм, CrV, короткие, сатин. /12303</t>
  </si>
  <si>
    <t>61885</t>
  </si>
  <si>
    <t>Набор ключей имбусовых MATRIX HEX 9 шт: HEX 2,0–12 мм, CrV, короткие, сатин. /12301</t>
  </si>
  <si>
    <t>61889</t>
  </si>
  <si>
    <t>Набор ключей имбусовых MATRIX HEX 9 шт: HEX 2,0–12 мм, CrV, удлиненные, сатин. /12302</t>
  </si>
  <si>
    <t>61836</t>
  </si>
  <si>
    <t>Набор ключей имбусовых MATRIX TORX 9 шт: T10-T50, CrV, экстра-длин, сатин. /12307</t>
  </si>
  <si>
    <t>61842</t>
  </si>
  <si>
    <t>Набор ключей имбусовых Сибртех HEX 1,5–10 мм, 45x, закаленные, 9 шт, удлиненные, никель /12318</t>
  </si>
  <si>
    <t>61843</t>
  </si>
  <si>
    <t>Набор ключей имбусовых Сибртех Tamper-T 9 шт TTT10-T50 45x, закаленные, короткие, никель /12321</t>
  </si>
  <si>
    <t>61845</t>
  </si>
  <si>
    <t>Набор ключей имбусовых Сибртех Tamper-T 9 шт TTT10-T50 45x, закаленные, удлиненные, никель /12322</t>
  </si>
  <si>
    <t>62499</t>
  </si>
  <si>
    <t>Ремонтный набор для ключа-трещетки 1/2" MATRIX /14001</t>
  </si>
  <si>
    <t>62558</t>
  </si>
  <si>
    <t>Ремонтный набор для ключа-трещетки 3/8" MATRIX /14003</t>
  </si>
  <si>
    <t>619 Ключи гаечные</t>
  </si>
  <si>
    <t>61912</t>
  </si>
  <si>
    <t>Ключ гаечный НИЗ 2-х стор. 17-19 /14358</t>
  </si>
  <si>
    <t>61908</t>
  </si>
  <si>
    <t>Ключ гаечный Россия 17*19 мм</t>
  </si>
  <si>
    <t>61753</t>
  </si>
  <si>
    <t>Ключ гаечный Россия 27*30 мм /14331</t>
  </si>
  <si>
    <t>61985</t>
  </si>
  <si>
    <t>Ключ гаечный Россия 30*32 мм</t>
  </si>
  <si>
    <t>62022</t>
  </si>
  <si>
    <t>Ключ гаечный Россия 32*36 мм /14333</t>
  </si>
  <si>
    <t>61924</t>
  </si>
  <si>
    <t>Ключ гаечный Россия 41*46 мм</t>
  </si>
  <si>
    <t>61948</t>
  </si>
  <si>
    <t>Ключ гаечный Россия 50*55 мм</t>
  </si>
  <si>
    <t>620 Ключи накидные/торцовые/трубки</t>
  </si>
  <si>
    <t>62087</t>
  </si>
  <si>
    <t>Ключ кольцевой ударный СИБРТЕХ 24мм /14269</t>
  </si>
  <si>
    <t>62010</t>
  </si>
  <si>
    <t>Ключ кольцевой ударный СИБРТЕХ 27мм /14271</t>
  </si>
  <si>
    <t>62033</t>
  </si>
  <si>
    <t>Ключ кольцевой ударный СИБРТЕХ 30мм /14273</t>
  </si>
  <si>
    <t>62013</t>
  </si>
  <si>
    <t>Ключ кольцевой ударный СИБРТЕХ 32мм /14274</t>
  </si>
  <si>
    <t>62039</t>
  </si>
  <si>
    <t>Ключ кольцевой ударный СИБРТЕХ 36мм /14275</t>
  </si>
  <si>
    <t>62043</t>
  </si>
  <si>
    <t>Ключ кольцевой ударный СИБРТЕХ 41мм /14276</t>
  </si>
  <si>
    <t>02619</t>
  </si>
  <si>
    <t>Ключ кольцевой ударный СИБРТЕХ 46мм /14277</t>
  </si>
  <si>
    <t>01360</t>
  </si>
  <si>
    <t>Ключ кольцевой ударный СИБРТЕХ 55мм /14279</t>
  </si>
  <si>
    <t>61931</t>
  </si>
  <si>
    <t>Ключ накидной 17*22 Камышин</t>
  </si>
  <si>
    <t>01142</t>
  </si>
  <si>
    <t>Ключ накидной колен. SPARTA 10*11 CrV /147395</t>
  </si>
  <si>
    <t>62378</t>
  </si>
  <si>
    <t>Ключ накидной колен. SPARTA 12*13 CrV /147475</t>
  </si>
  <si>
    <t>62007</t>
  </si>
  <si>
    <t>Ключ накидной колен. SPARTA 14*15 CrV /147535</t>
  </si>
  <si>
    <t>62290</t>
  </si>
  <si>
    <t>Ключ накидной колен. SPARTA 8*9 CrV /147355</t>
  </si>
  <si>
    <t>62178</t>
  </si>
  <si>
    <t>Ключ накидной колен. НИ 13*17 CrV</t>
  </si>
  <si>
    <t>61986</t>
  </si>
  <si>
    <t>Ключ накидной Россия 14*17</t>
  </si>
  <si>
    <t>62180</t>
  </si>
  <si>
    <t>Ключ накидной Россия 17*19</t>
  </si>
  <si>
    <t>62079</t>
  </si>
  <si>
    <t>Ключ прокачной СИБРТЕХ 10*12 мм /14267</t>
  </si>
  <si>
    <t>62002</t>
  </si>
  <si>
    <t>Ключ рожково-торцевой 17мм TOYA Ник</t>
  </si>
  <si>
    <t>62082</t>
  </si>
  <si>
    <t>Ключ рожково-торцевой 19мм TOYA Ник</t>
  </si>
  <si>
    <t>61949</t>
  </si>
  <si>
    <t>Ключ с присоед. квадратом НИЗ изогнут. 200мм с лопаткой цинк (2) /10/</t>
  </si>
  <si>
    <t>62054</t>
  </si>
  <si>
    <t>Ключ с присоед. квадратом НИЗ изогнут. 200мм цинк (2) /10/</t>
  </si>
  <si>
    <t>62354</t>
  </si>
  <si>
    <t>Ключ торцевой L-образный 10мм STELS /14231</t>
  </si>
  <si>
    <t>62356</t>
  </si>
  <si>
    <t>Ключ торцевой L-образный 11мм STELS /14232</t>
  </si>
  <si>
    <t>62003</t>
  </si>
  <si>
    <t>Ключ торцевой L-образный 12мм STELS /14233</t>
  </si>
  <si>
    <t>62394</t>
  </si>
  <si>
    <t>Ключ торцевой L-образный 13мм STELS /14234</t>
  </si>
  <si>
    <t>62030</t>
  </si>
  <si>
    <t>Ключ торцевой L-образный 13мм TOYA Ник /54670</t>
  </si>
  <si>
    <t>60084</t>
  </si>
  <si>
    <t>Ключ торцевой L-образный 14мм STELS /14235</t>
  </si>
  <si>
    <t>62019</t>
  </si>
  <si>
    <t>Ключ торцевой L-образный 16*16мм КТИ</t>
  </si>
  <si>
    <t>62032</t>
  </si>
  <si>
    <t>Ключ торцевой L-образный 17мм STELS /14238</t>
  </si>
  <si>
    <t>62169</t>
  </si>
  <si>
    <t>Ключ торцевой L-образный 18мм TOYA Ник /54720</t>
  </si>
  <si>
    <t>62683</t>
  </si>
  <si>
    <t>Ключ торцевой L-образный 19мм STELS /14239</t>
  </si>
  <si>
    <t>62018</t>
  </si>
  <si>
    <t>Ключ торцевой L-образный 22мм STELS /14240</t>
  </si>
  <si>
    <t>62045</t>
  </si>
  <si>
    <t>Ключ торцевой L-образный 24мм STELS /14241</t>
  </si>
  <si>
    <t>62060</t>
  </si>
  <si>
    <t>Ключ торцевой L-образный 9мм TOYA Ник /54630</t>
  </si>
  <si>
    <t>62344</t>
  </si>
  <si>
    <t>Ключ торцевой Г-образный 10*13 STELS /14222</t>
  </si>
  <si>
    <t>62097</t>
  </si>
  <si>
    <t>Ключ торцевой Г-образный 13*14 STELS /14227</t>
  </si>
  <si>
    <t>61994</t>
  </si>
  <si>
    <t>Ключ торцевой Г-образный 14*15 STELS /14228</t>
  </si>
  <si>
    <t>62017</t>
  </si>
  <si>
    <t>Ключ торцевой Г-образный 9*11 STELS /14221</t>
  </si>
  <si>
    <t>62335</t>
  </si>
  <si>
    <t>Ключ торцевой двуст. изогн НИ 17*19</t>
  </si>
  <si>
    <t>62358</t>
  </si>
  <si>
    <t>Ключ торцевой Контур 250мм с воротк и гол. 17 и 19мм</t>
  </si>
  <si>
    <t>62342</t>
  </si>
  <si>
    <t>Ключ торцевой одност. изогн НИ 13</t>
  </si>
  <si>
    <t>62535</t>
  </si>
  <si>
    <t>Ключ торцевой одност. изогн НИ 17 с лопаткой</t>
  </si>
  <si>
    <t>62219</t>
  </si>
  <si>
    <t>Ключ торцевой одност. изогн НИ 21 с лопаткой</t>
  </si>
  <si>
    <t>62477</t>
  </si>
  <si>
    <t>Ключ торцевой одност. изогн НИ 22 с лопаткой</t>
  </si>
  <si>
    <t>62140</t>
  </si>
  <si>
    <t>Ключ торцевой одност. изогн НИЗ 13 цинк (1)</t>
  </si>
  <si>
    <t>62113</t>
  </si>
  <si>
    <t>Ключ торцевой одност. изогн НИЗ 17 с лопаткой, сварной цинк (2)</t>
  </si>
  <si>
    <t>61456</t>
  </si>
  <si>
    <t>Ключ торцевой одност. изогн НИЗ 17, сварной цинк</t>
  </si>
  <si>
    <t>62187</t>
  </si>
  <si>
    <t>Ключ торцевой одност. изогн НИЗ 17, цинк</t>
  </si>
  <si>
    <t>62119</t>
  </si>
  <si>
    <t>Ключ торцевой одност. изогн НИЗ 19 с лопаткой, сварной цинк (2)</t>
  </si>
  <si>
    <t>62009</t>
  </si>
  <si>
    <t>Ключ торцевой одност. изогн НИЗ 19, сварной цинк</t>
  </si>
  <si>
    <t>62362</t>
  </si>
  <si>
    <t>Ключ торцевой одност. изогн НИЗ 21, цинк</t>
  </si>
  <si>
    <t>62059</t>
  </si>
  <si>
    <t>Ключ торцевой ступичный 115мм STELS /14265</t>
  </si>
  <si>
    <t>62071</t>
  </si>
  <si>
    <t>Ключ торцевой ступичный 36мм STELS /14251</t>
  </si>
  <si>
    <t>61567</t>
  </si>
  <si>
    <t>Ключ торцевой ступичный 55мм STELS /14253</t>
  </si>
  <si>
    <t>62052</t>
  </si>
  <si>
    <t>Ключ торцевой ступичный 82мм STELS /14254</t>
  </si>
  <si>
    <t>62062</t>
  </si>
  <si>
    <t>Ключ торцевой ступичный 86мм STELS /14255</t>
  </si>
  <si>
    <t>62014</t>
  </si>
  <si>
    <t>Ключ торцевой Т-обр. КТ 19 TOYA</t>
  </si>
  <si>
    <t>62584</t>
  </si>
  <si>
    <t>Ключ-трубка MATRIX торцевой 10*12 мм, оцинкованный /13712</t>
  </si>
  <si>
    <t>62055</t>
  </si>
  <si>
    <t>Ключ-трубка MATRIX торцевой 12*13 мм, оцинкованный /13714</t>
  </si>
  <si>
    <t>62585</t>
  </si>
  <si>
    <t>Ключ-трубка MATRIX торцевой 14*15 мм, оцинкованный /13716</t>
  </si>
  <si>
    <t>62325</t>
  </si>
  <si>
    <t>Ключ-трубка MATRIX торцевой 17*19 мм, оцинкованный /13718</t>
  </si>
  <si>
    <t>62053</t>
  </si>
  <si>
    <t>Ключ-трубка MATRIX торцевой 8*10 мм, оцинкованный /13710</t>
  </si>
  <si>
    <t>62025</t>
  </si>
  <si>
    <t>Ключ-трубка Stels торцевой усиленный 10*11 мм Crv /13769</t>
  </si>
  <si>
    <t>62029</t>
  </si>
  <si>
    <t>Ключ-трубка Stels торцевой усиленный 10*12 мм Crv /13770</t>
  </si>
  <si>
    <t>00551</t>
  </si>
  <si>
    <t>Ключ-трубка Stels торцевой усиленный 12*13 мм Crv /13771</t>
  </si>
  <si>
    <t>62069</t>
  </si>
  <si>
    <t>Ключ-трубка Stels торцевой усиленный 17*19 мм Crv /13774</t>
  </si>
  <si>
    <t>00555</t>
  </si>
  <si>
    <t>Ключ-трубка Stels торцевой усиленный 18*19 мм Crv /13775</t>
  </si>
  <si>
    <t>00556</t>
  </si>
  <si>
    <t>Ключ-трубка Stels торцевой усиленный 20*22 мм Crv /13776</t>
  </si>
  <si>
    <t>00548</t>
  </si>
  <si>
    <t>Ключ-трубка Stels торцевой усиленный 6*7 мм Crv /13766</t>
  </si>
  <si>
    <t>62038</t>
  </si>
  <si>
    <t>Ключ-трубка Stels торцевой усиленный 8*10 мм Crv /13768</t>
  </si>
  <si>
    <t>62098</t>
  </si>
  <si>
    <t>Ключ-трубка СИБРТЕХ торцевых набор 8 пред /13713</t>
  </si>
  <si>
    <t>00560</t>
  </si>
  <si>
    <t>Ключ-трубки Stels торцевой усиленный набор 6 шт Crv /13778</t>
  </si>
  <si>
    <t>01777</t>
  </si>
  <si>
    <t>Ключ-трубки Stels торцевой усиленный набор 9 шт Crv /13779</t>
  </si>
  <si>
    <t>621 Ключи комбинированные</t>
  </si>
  <si>
    <t>62110</t>
  </si>
  <si>
    <t>Ключ комбинированный GROSS 6-22мм, 12 шт, CrV, холодный штамп /15149</t>
  </si>
  <si>
    <t>00471</t>
  </si>
  <si>
    <t>Ключ комбинированный GROSS 8-17мм, 6 шт, CrV, холодный штамп /15147</t>
  </si>
  <si>
    <t>62164</t>
  </si>
  <si>
    <t>Ключ комбинированный GROSS 8-19мм, 8 шт, CrV, холодный штамп /15148</t>
  </si>
  <si>
    <t>62107</t>
  </si>
  <si>
    <t>Ключ комбинированный STELS 10мм, C-RV, матовый хром /15206</t>
  </si>
  <si>
    <t>61996</t>
  </si>
  <si>
    <t>Ключ комбинированный STELS 11мм, C-RV, матовый хром /15207</t>
  </si>
  <si>
    <t>62118</t>
  </si>
  <si>
    <t>Ключ комбинированный STELS 12мм, C-RV, матовый хром /15208</t>
  </si>
  <si>
    <t>62160</t>
  </si>
  <si>
    <t>Ключ комбинированный STELS 13мм, C-RV, матовый хром /15209</t>
  </si>
  <si>
    <t>62158</t>
  </si>
  <si>
    <t>Ключ комбинированный STELS 14мм, C-RV, матовый хром /15211</t>
  </si>
  <si>
    <t>61741</t>
  </si>
  <si>
    <t>Ключ комбинированный STELS 17мм, C-RV, матовый хром /15213</t>
  </si>
  <si>
    <t>61742</t>
  </si>
  <si>
    <t>Ключ комбинированный STELS 19мм, C-RV, матовый хром /15214</t>
  </si>
  <si>
    <t>60730</t>
  </si>
  <si>
    <t>Ключ комбинированный STELS 20мм, C-RV, матовый хром /15215</t>
  </si>
  <si>
    <t>61739</t>
  </si>
  <si>
    <t>Ключ комбинированный STELS 22мм, C-RV, матовый хром /15216</t>
  </si>
  <si>
    <t>61837</t>
  </si>
  <si>
    <t>Ключ комбинированный STELS 24мм, C-RV, матовый хром /15217</t>
  </si>
  <si>
    <t>61835</t>
  </si>
  <si>
    <t>Ключ комбинированный STELS 32мм, C-RV, матовый хром /15219</t>
  </si>
  <si>
    <t>62114</t>
  </si>
  <si>
    <t>Ключ комбинированный STELS 6мм, C-RV, матовый хром /15202</t>
  </si>
  <si>
    <t>62148</t>
  </si>
  <si>
    <t>Ключ комбинированный STELS 7мм, C-RV, матовый хром /15203</t>
  </si>
  <si>
    <t>62168</t>
  </si>
  <si>
    <t>Ключ комбинированный STELS 8мм, C-RV, матовый хром /15204</t>
  </si>
  <si>
    <t>61984</t>
  </si>
  <si>
    <t>Ключ комбинированный STELS 9мм, C-RV, матовый хром /15205</t>
  </si>
  <si>
    <t>62196</t>
  </si>
  <si>
    <t>Ключ комбинированный Россия 17мм</t>
  </si>
  <si>
    <t>62198</t>
  </si>
  <si>
    <t>Ключ комбинированный Россия 19мм /14946</t>
  </si>
  <si>
    <t>62165</t>
  </si>
  <si>
    <t>Ключ комбинированный СИБРТЕХ 10мм, CrV, фосфатированный /14905</t>
  </si>
  <si>
    <t>62176</t>
  </si>
  <si>
    <t>Ключ комбинированный СИБРТЕХ 11мм, CrV, фосфатированный /14906</t>
  </si>
  <si>
    <t>62182</t>
  </si>
  <si>
    <t>Ключ комбинированный СИБРТЕХ 12мм, CrV, фосфатированный /14907</t>
  </si>
  <si>
    <t>62115</t>
  </si>
  <si>
    <t>Ключ комбинированный СИБРТЕХ 13мм, CrV, фосфатированный /14908</t>
  </si>
  <si>
    <t>62125</t>
  </si>
  <si>
    <t>Ключ комбинированный СИБРТЕХ 14мм, CrV, фосфатированный /14909</t>
  </si>
  <si>
    <t>62131</t>
  </si>
  <si>
    <t>Ключ комбинированный СИБРТЕХ 17мм, CrV, фосфатированный /14911</t>
  </si>
  <si>
    <t>62146</t>
  </si>
  <si>
    <t>Ключ комбинированный СИБРТЕХ 19мм, CrV, фосфатированный /14912</t>
  </si>
  <si>
    <t>62162</t>
  </si>
  <si>
    <t>Ключ комбинированный СИБРТЕХ 22мм, CrV, фосфатированный /14913</t>
  </si>
  <si>
    <t>62144</t>
  </si>
  <si>
    <t>Ключ комбинированный СИБРТЕХ 24мм, CrV, фосфатированный /14914</t>
  </si>
  <si>
    <t>62142</t>
  </si>
  <si>
    <t>Ключ комбинированный СИБРТЕХ 27мм, CrV, фосфатированный /14915</t>
  </si>
  <si>
    <t>62149</t>
  </si>
  <si>
    <t>Ключ комбинированный СИБРТЕХ 9мм, CrV, фосфатированный /14904</t>
  </si>
  <si>
    <t>622 Наборы ключей /головок</t>
  </si>
  <si>
    <t>61756</t>
  </si>
  <si>
    <t>Ключи 6-ти гр MATRIX 1,5-10мм, СrV, 9шт /11226</t>
  </si>
  <si>
    <t>62205</t>
  </si>
  <si>
    <t>Ключи 6-ти гр MATRIX 2,0-12мм, CrV, 9шт, удлиненные /11227</t>
  </si>
  <si>
    <t>61460</t>
  </si>
  <si>
    <t>Ключи 6-ти гр MATRIX HEX 18 шт: HEX 1,5–10 мм, T10-T50, CrV, короткие, сатин. /12314</t>
  </si>
  <si>
    <t>62233</t>
  </si>
  <si>
    <t>Ключи 6-ти гр MATRIX HEX 18 шт: HEX 1,5–10 мм, T10-T50, CrV, удлин, сатин. /12315</t>
  </si>
  <si>
    <t>62200</t>
  </si>
  <si>
    <t>Ключи 6-ти гр MATRIX TORX 9 шт: T10-T50, CrV, короткие, сатин. /12305</t>
  </si>
  <si>
    <t>62220</t>
  </si>
  <si>
    <t>Ключи 6-ти гр MATRIX TORX 9 шт: T10-T50, CrV, удлин, сатин. /12306</t>
  </si>
  <si>
    <t>62204</t>
  </si>
  <si>
    <t>Ключи 6-ти гр Sparta 1,5-10мм, CV 10шт никелер /112685</t>
  </si>
  <si>
    <t>61812</t>
  </si>
  <si>
    <t>Ключи 6-ти гр TOYA с внут. 19мм 56750 Ник</t>
  </si>
  <si>
    <t>62226</t>
  </si>
  <si>
    <t>Ключи гаечные MATRIX 6шт (6-17мм), CrV, Elliptical, зерк. хромирование /15236</t>
  </si>
  <si>
    <t>62240</t>
  </si>
  <si>
    <t>Ключи гаечные MATRIX 6шт C-RV 6-17мм полир. хром. /15231</t>
  </si>
  <si>
    <t>62440</t>
  </si>
  <si>
    <t>Ключи гаечные MATRIX 8шт (6-22мм), CrV, Elliptical, зерк. хромирование /15238</t>
  </si>
  <si>
    <t>62230</t>
  </si>
  <si>
    <t>Ключи гаечные MATRIX 8шт C-RV 6-22мм полир. хром. /15276</t>
  </si>
  <si>
    <t>62224</t>
  </si>
  <si>
    <t>Ключи гаечные SPARTA 6шт 6*17 мм, хромированные /152305</t>
  </si>
  <si>
    <t>62245</t>
  </si>
  <si>
    <t>Ключи гаечные SPARTA 8шт 6*22 мм, хромированные /152755</t>
  </si>
  <si>
    <t>61860</t>
  </si>
  <si>
    <t>Ключи гаечные Сибртех C-RV 6-19мм, CrV, фосфатированные 6шт /15220</t>
  </si>
  <si>
    <t>62222</t>
  </si>
  <si>
    <t>Ключи имбусовые GROSS HEX 1,5–10 мм, S2, 9 шт, магнит, экстра-длин. с шаром, хром/краска /16400</t>
  </si>
  <si>
    <t>62206</t>
  </si>
  <si>
    <t>Ключи имбусовые MATRIX 2,0-12мм, СrV, 9шт /11222</t>
  </si>
  <si>
    <t>62203</t>
  </si>
  <si>
    <t>Ключи имбусовые SPARTA 1,5-10мм, CV 10шт /112665</t>
  </si>
  <si>
    <t>61784</t>
  </si>
  <si>
    <t>Ключи комб. MATRIX C-RV 6-17мм матовый хром 6шт /15402</t>
  </si>
  <si>
    <t>61791</t>
  </si>
  <si>
    <t>Ключи комб. MATRIX C-RV 6-19мм матовый хром 8шт /15408</t>
  </si>
  <si>
    <t>62246</t>
  </si>
  <si>
    <t>Ключи комб. MATRIX C-RV 6-22мм матовый хром 12шт /15412</t>
  </si>
  <si>
    <t>61792</t>
  </si>
  <si>
    <t>Ключи комб. MATRIX C-RV 6-22мм матовый хром 9шт /15410</t>
  </si>
  <si>
    <t>61793</t>
  </si>
  <si>
    <t>Ключи комб. MATRIX C-RV 8-17мм матовый хром 6шт /15404</t>
  </si>
  <si>
    <t>61798</t>
  </si>
  <si>
    <t>Ключи комб. MATRIX C-RV 8-19мм матовый хром 8шт /15406</t>
  </si>
  <si>
    <t>61786</t>
  </si>
  <si>
    <t>Ключи комб. MATRIX C-RV полир. хром 6-17мм 6шт /15414</t>
  </si>
  <si>
    <t>61799</t>
  </si>
  <si>
    <t>Ключи комб. MATRIX C-RV полир. хром 6-19мм 8шт /15422</t>
  </si>
  <si>
    <t>62234</t>
  </si>
  <si>
    <t>Ключи комб. MATRIX C-RV полир. хром 6-22мм 12шт /15426</t>
  </si>
  <si>
    <t>62213</t>
  </si>
  <si>
    <t>Ключи комб. MATRIX C-RV полир. хром 8-19мм 8шт /15418</t>
  </si>
  <si>
    <t>62209</t>
  </si>
  <si>
    <t>Ключи комб. STELS C-RV матовый хром 6-22мм 12шт /15429</t>
  </si>
  <si>
    <t>62573</t>
  </si>
  <si>
    <t>Ключи комб. STELS C-RV матовый хром 8-17мм 6шт /15427</t>
  </si>
  <si>
    <t>62575</t>
  </si>
  <si>
    <t>Ключи комб. STELS C-RV матовый хром 8-19мм 8шт /15428</t>
  </si>
  <si>
    <t>61981</t>
  </si>
  <si>
    <t>Ключи комб. с трещеткой GROSS 8-19мм 2шт C-RV, реверсивные /14893</t>
  </si>
  <si>
    <t>64044</t>
  </si>
  <si>
    <t>Ключи комб. с трещеткой GROSS 8-19мм 7шт C-RV, реверсивные /14892</t>
  </si>
  <si>
    <t>62228</t>
  </si>
  <si>
    <t>Ключи комб. СИБРТЕХ 6-19мм 8шт /15438</t>
  </si>
  <si>
    <t>01091</t>
  </si>
  <si>
    <t>Ключи комб. СИБРТЕХ 6-22мм 12шт /15439</t>
  </si>
  <si>
    <t>61865</t>
  </si>
  <si>
    <t>Ключи комб. Сибртех C-RV 6-19мм, CrV, фосфатированные 8шт /15473</t>
  </si>
  <si>
    <t>62065</t>
  </si>
  <si>
    <t>Ключи комб. Сибртех C-RV 6-22мм 12шт /15452</t>
  </si>
  <si>
    <t>61867</t>
  </si>
  <si>
    <t>Ключи комб. Сибртех C-RV 6-22мм, CrV, фосфатированные 10шт /15475</t>
  </si>
  <si>
    <t>61868</t>
  </si>
  <si>
    <t>Ключи комб. Сибртех C-RV 6-22мм, CrV, фосфатированные 12шт /15477</t>
  </si>
  <si>
    <t>62081</t>
  </si>
  <si>
    <t>Ключи комб. Сибртех C-RV 8-17мм 6шт /15446</t>
  </si>
  <si>
    <t>62218</t>
  </si>
  <si>
    <t>Ключи комб. трещеточных MATRIX 8шт /14513</t>
  </si>
  <si>
    <t>62236</t>
  </si>
  <si>
    <t>Ключи накид. MATRIX C-RV 6-17мм 6шт /15336</t>
  </si>
  <si>
    <t>61871</t>
  </si>
  <si>
    <t>Ключи накид. MATRIX C-RV 6-17мм полиров хром 6шт /15331</t>
  </si>
  <si>
    <t>61875</t>
  </si>
  <si>
    <t>Ключи накид. MATRIX C-RV 6-22мм полиров хром 8шт /15332</t>
  </si>
  <si>
    <t>62321</t>
  </si>
  <si>
    <t>Ключи- трубки MATRIX торцевые 7 предм /13719</t>
  </si>
  <si>
    <t>61308</t>
  </si>
  <si>
    <t>Ключи- трубки MATRIX торцевые 8-17мм + вороток сталь 6шт /137405</t>
  </si>
  <si>
    <t>61857</t>
  </si>
  <si>
    <t>Ключи- трубки MATRIX торцевые 9 предм /13725</t>
  </si>
  <si>
    <t>61309</t>
  </si>
  <si>
    <t>Ключи- трубки SPARTA торцевые 6-22мм + 2 воротка ст. 10шт /137525</t>
  </si>
  <si>
    <t>623 Ключи разводные</t>
  </si>
  <si>
    <t>62328</t>
  </si>
  <si>
    <t>Ключ разводной MATRIX 150мм /15501</t>
  </si>
  <si>
    <t>61710</t>
  </si>
  <si>
    <t>Ключ разводной MATRIX 200мм /15503</t>
  </si>
  <si>
    <t>62338</t>
  </si>
  <si>
    <t>Ключ разводной MATRIX 250мм /15505</t>
  </si>
  <si>
    <t>61744</t>
  </si>
  <si>
    <t>Ключ разводной MATRIX 300мм /15507</t>
  </si>
  <si>
    <t>61886</t>
  </si>
  <si>
    <t>Ключ разводной MATRIX 375мм /15509</t>
  </si>
  <si>
    <t>62322</t>
  </si>
  <si>
    <t>Ключ разводной MATRIX PRO 300мм тонкие губки, фосфатированный, 2-х комп рукоятка /15579</t>
  </si>
  <si>
    <t>62330</t>
  </si>
  <si>
    <t>Ключ разводной MATRIX переставная губка 150мм 2-х комп. рук. /15516</t>
  </si>
  <si>
    <t>62311</t>
  </si>
  <si>
    <t>Ключ разводной MATRIX переставная губка 200мм 2-х комп. рук. /15517</t>
  </si>
  <si>
    <t>62303</t>
  </si>
  <si>
    <t>Ключ разводной MATRIX переставная губка 250мм 2-х комп. рук. /15518</t>
  </si>
  <si>
    <t>62300</t>
  </si>
  <si>
    <t>Ключ разводной SPARTA 150мм /155205</t>
  </si>
  <si>
    <t>62347</t>
  </si>
  <si>
    <t>Ключ разводной SPARTA 150мм 2-х комп. рук. /15541</t>
  </si>
  <si>
    <t>62327</t>
  </si>
  <si>
    <t>Ключ разводной SPARTA 200мм /155255</t>
  </si>
  <si>
    <t>62304</t>
  </si>
  <si>
    <t>Ключ разводной SPARTA 200мм 2-х комп. рук. /15542</t>
  </si>
  <si>
    <t>62340</t>
  </si>
  <si>
    <t>Ключ разводной SPARTA 250мм 2-х комп. рук. /15543</t>
  </si>
  <si>
    <t>62305</t>
  </si>
  <si>
    <t>Ключ разводной SPARTA 300мм /155355</t>
  </si>
  <si>
    <t>62352</t>
  </si>
  <si>
    <t>Ключ разводной SPARTA 300мм 2-х комп. рук. /15544</t>
  </si>
  <si>
    <t>62191</t>
  </si>
  <si>
    <t>Ключ разводной БАРС Crv 250мм /15506</t>
  </si>
  <si>
    <t>62337</t>
  </si>
  <si>
    <t>Ключ разводной СИБРТЕХ никелированный 150мм /15524</t>
  </si>
  <si>
    <t>62326</t>
  </si>
  <si>
    <t>Ключ разводной СИБРТЕХ никелированный 200мм /15526</t>
  </si>
  <si>
    <t>62345</t>
  </si>
  <si>
    <t>Ключ разводной СИБРТЕХ никелированный 250мм /15527</t>
  </si>
  <si>
    <t>62319</t>
  </si>
  <si>
    <t>Ключ разводной СИБРТЕХ тонкие губки фосфатированый 150мм /15533</t>
  </si>
  <si>
    <t>62302</t>
  </si>
  <si>
    <t>Ключ разводной СИБРТЕХ тонкие губки фосфатированый 200мм /15534</t>
  </si>
  <si>
    <t>62324</t>
  </si>
  <si>
    <t>Ключ разводной СИБРТЕХ тонкие губки фосфатированый 250мм /15536</t>
  </si>
  <si>
    <t>02451</t>
  </si>
  <si>
    <t>Ключ разводной СИБРТЕХ тонкие губки фосфатированый 300мм /15537</t>
  </si>
  <si>
    <t>624-629 Измерительный инструмент</t>
  </si>
  <si>
    <t>624 Рулетки</t>
  </si>
  <si>
    <t>62454</t>
  </si>
  <si>
    <t>Рулетка GROSS "Doppelhaken" 2м*16мм, нейлон, 2-стор. шкала /31121</t>
  </si>
  <si>
    <t>62418</t>
  </si>
  <si>
    <t>Рулетка GROSS "Doppelhaken" 3м*16мм, нейлон, 2-стор. шкала /31122</t>
  </si>
  <si>
    <t>62426</t>
  </si>
  <si>
    <t>Рулетка GROSS "Doppelhaken" 5м*16мм, нейлон, 2-стор. шкала /31123</t>
  </si>
  <si>
    <t>62456</t>
  </si>
  <si>
    <t>Рулетка GROSS "Doppelhaken" 5м*25мм, нейлон, 2-стор. шкала /31124</t>
  </si>
  <si>
    <t>62433</t>
  </si>
  <si>
    <t>Рулетка GROSS "Ergonomisch" 3м*16мм, магнит. обрезин. зацеп /31101</t>
  </si>
  <si>
    <t>62449</t>
  </si>
  <si>
    <t>Рулетка GROSS "Ergonomisch" 5м*19мм, магнит. обрезин. зацеп /31102</t>
  </si>
  <si>
    <t>62492</t>
  </si>
  <si>
    <t>Рулетка GROSS "Ergonomisch" 5м*25мм, магнит. обрезин. зацеп /31103</t>
  </si>
  <si>
    <t>62435</t>
  </si>
  <si>
    <t>Рулетка GROSS "Ergonomisch" 8м*25мм, магнит. обрезин. зацеп /31104</t>
  </si>
  <si>
    <t>62419</t>
  </si>
  <si>
    <t>Рулетка GROSS "Schlagfest" 3м*19мм, магн. обрезин. зацеп, 2-стор. шкала /31111</t>
  </si>
  <si>
    <t>62420</t>
  </si>
  <si>
    <t>Рулетка GROSS "Schlagfest" 5м*19мм, магн. обрезин. зацеп, 2-стор. шкала /31112</t>
  </si>
  <si>
    <t>62570</t>
  </si>
  <si>
    <t>Рулетка GROSS "Schlagfest" 5м*25мм, магн. обрезин. зацеп, 2-стор. шкала /31113</t>
  </si>
  <si>
    <t>62571</t>
  </si>
  <si>
    <t>Рулетка GROSS "Schlagfest" 8м*25мм, магн. обрезин. зацеп, 2-стор. шкала /31114</t>
  </si>
  <si>
    <t>03737</t>
  </si>
  <si>
    <t>Рулетка GROSS Komfortabel 10м*25мм, обрезиненный корпус /32564</t>
  </si>
  <si>
    <t>62417</t>
  </si>
  <si>
    <t>Рулетка GROSS Komfortabel 3м*19мм, обрезиненный корпус /32560</t>
  </si>
  <si>
    <t>62421</t>
  </si>
  <si>
    <t>Рулетка GROSS Komfortabel 5м*19мм, обрезиненный корпус /32561</t>
  </si>
  <si>
    <t>04938</t>
  </si>
  <si>
    <t>Рулетка GROSS Komfortabel 5м*25мм, обрезиненный корпус /32562</t>
  </si>
  <si>
    <t>04943</t>
  </si>
  <si>
    <t>Рулетка GROSS Komfortabel 8м*25мм, обрезиненный корпус /32563</t>
  </si>
  <si>
    <t>62413</t>
  </si>
  <si>
    <t>Рулетка MATRIX "BLACK" 3м*16мм карм. обрез. корп. /31013</t>
  </si>
  <si>
    <t>62447</t>
  </si>
  <si>
    <t>Рулетка MATRIX "BLACK" 5м*19мм карм. обрез. корп. /31014</t>
  </si>
  <si>
    <t>62460</t>
  </si>
  <si>
    <t>Рулетка MATRIX "BLACK" 7,5м*25мм карм. обрез. корп. /31015</t>
  </si>
  <si>
    <t>62469</t>
  </si>
  <si>
    <t>Рулетка MATRIX "CHROM" карм. хром 2м*13мм /31032</t>
  </si>
  <si>
    <t>62470</t>
  </si>
  <si>
    <t>Рулетка MATRIX "CHROM" карм. хром 3м*13мм /31036</t>
  </si>
  <si>
    <t>62471</t>
  </si>
  <si>
    <t>Рулетка MATRIX "CHROM" карм. хром 5м*13мм /31040</t>
  </si>
  <si>
    <t>62405</t>
  </si>
  <si>
    <t>Рулетка MATRIX "Continuous fixation" 3м*16мм карм. рез. кор. плав. фик /31086</t>
  </si>
  <si>
    <t>62410</t>
  </si>
  <si>
    <t>Рулетка MATRIX "Continuous fixation" 5м*19мм карм. рез. кор. плав. фик /31088</t>
  </si>
  <si>
    <t>62453</t>
  </si>
  <si>
    <t>Рулетка MATRIX "Continuous fixation" 7,5м*25мм карм. рез. кор. плав. фик /31090 /10/</t>
  </si>
  <si>
    <t>62666</t>
  </si>
  <si>
    <t>Рулетка MATRIX "Double fixation" 10м*25мм карм. рез. кор. плав. фик /31061</t>
  </si>
  <si>
    <t>62457</t>
  </si>
  <si>
    <t>Рулетка MATRIX "Double fixation" 3м*16мм карм. рез. кор. плав. фик /31052 /10/</t>
  </si>
  <si>
    <t>62458</t>
  </si>
  <si>
    <t>Рулетка MATRIX "Double fixation" 5м*19мм карм. рез. кор. плав. фик /31056 /10/</t>
  </si>
  <si>
    <t>62466</t>
  </si>
  <si>
    <t>Рулетка MATRIX "Double fixation" 7,5м*25мм карм. рез. кор. плав. фик /31058</t>
  </si>
  <si>
    <t>62461</t>
  </si>
  <si>
    <t>Рулетка MATRIX "FINE" 3м*13мм карм /31016</t>
  </si>
  <si>
    <t>62425</t>
  </si>
  <si>
    <t>Рулетка MATRIX "FINE" 5м*19мм карм /31017 /12/</t>
  </si>
  <si>
    <t>62478</t>
  </si>
  <si>
    <t>Рулетка MATRIX "FINE"7,5м*25мм карм /31018 /12/</t>
  </si>
  <si>
    <t>62463</t>
  </si>
  <si>
    <t>Рулетка MATRIX "MAGNETIC" 3м*16мм карм /31010</t>
  </si>
  <si>
    <t>62409</t>
  </si>
  <si>
    <t>Рулетка MATRIX "MAGNETIC" 5м*19мм карм /31011 /12/</t>
  </si>
  <si>
    <t>61074</t>
  </si>
  <si>
    <t>Рулетка MATRIX "MAGNETIC" 7,5м*25мм карм /31012</t>
  </si>
  <si>
    <t>62428</t>
  </si>
  <si>
    <t>Рулетка MATRIX "RUBBER" 3м*16мм, обрезиненный корпус /31003</t>
  </si>
  <si>
    <t>62473</t>
  </si>
  <si>
    <t>Рулетка MATRIX "RUBBER" 5м*19мм, обрезиненный корпус /31002</t>
  </si>
  <si>
    <t>62455</t>
  </si>
  <si>
    <t>Рулетка MATRIX "RUBBER" 7,5м*25мм, обрезиненный корпус /31001</t>
  </si>
  <si>
    <t>62487</t>
  </si>
  <si>
    <t>Рулетка MATRIX "Status 3 fixat" 3м*16мм, обрез. корпус, с магн. /31033</t>
  </si>
  <si>
    <t>62422</t>
  </si>
  <si>
    <t>Рулетка MATRIX "Status 3 fixat" 5м*19мм, обрез. корпус /31034</t>
  </si>
  <si>
    <t>62540</t>
  </si>
  <si>
    <t>Рулетка MATRIX "Status 3 fixat" 5м*25мм, обрез. корпус, с магн. /31035</t>
  </si>
  <si>
    <t>62690</t>
  </si>
  <si>
    <t>Рулетка MATRIX "Status autostop magnet+" 7,5м*25мм, обрез., нейлон /31039</t>
  </si>
  <si>
    <t>62459</t>
  </si>
  <si>
    <t>Рулетка MATRIX "Status magnet 3 fixat" 10м*32мм, обрез. корпус /31000</t>
  </si>
  <si>
    <t>62439</t>
  </si>
  <si>
    <t>Рулетка MATRIX "Status magnet 3 fixat" 3м*16мм, обрез. корпус /31004</t>
  </si>
  <si>
    <t>62464</t>
  </si>
  <si>
    <t>Рулетка MATRIX "Status magnet 3 fixat" 5м*25мм, обрез. корпус /31005</t>
  </si>
  <si>
    <t>62465</t>
  </si>
  <si>
    <t>Рулетка MATRIX "Status magnet 3 fixat" 7,5м*25мм, обрез. корпус /31006</t>
  </si>
  <si>
    <t>62430</t>
  </si>
  <si>
    <t>Рулетка MATRIX "Status magnet fixatio" 3м*16мм, обрез. корпус /31019</t>
  </si>
  <si>
    <t>62401</t>
  </si>
  <si>
    <t>Рулетка MATRIX "Status magnet fixatio" 5м*19мм, обрез. корпус /31023</t>
  </si>
  <si>
    <t>62481</t>
  </si>
  <si>
    <t>Рулетка MATRIX "Status magnet fixatio" 5м*25мм, обрез. корпус /31029</t>
  </si>
  <si>
    <t>62415</t>
  </si>
  <si>
    <t>Рулетка MATRIX "Status magnet fixatio" 7,5м*25мм, обрез. корпус /31031</t>
  </si>
  <si>
    <t>61106</t>
  </si>
  <si>
    <t>Рулетка MATRIX "STRONG" 3м*16мм карм. эргономичн. орбез. корп. /31078</t>
  </si>
  <si>
    <t>62403</t>
  </si>
  <si>
    <t>Рулетка MATRIX "STRONG" 5м*19мм карм. эргономичн. орбез. корп. /31080</t>
  </si>
  <si>
    <t>62472</t>
  </si>
  <si>
    <t>Рулетка MATRIX "STRONG" 7,5м*25мм карм. эргономичн. орбез. корп. /31082</t>
  </si>
  <si>
    <t>62442</t>
  </si>
  <si>
    <t>Рулетка MATRIX "Target" 7,5м*25мм автомат. фиксация, обрез. корп. /31083</t>
  </si>
  <si>
    <t>62429</t>
  </si>
  <si>
    <t>Рулетка MATRIX Autostop 3м*16мм, двухкомп. корпус. авто. фикс. /32550</t>
  </si>
  <si>
    <t>62432</t>
  </si>
  <si>
    <t>Рулетка MATRIX Autostop 5м*25мм, двухкомп. корпус. авто. фикс. /32552</t>
  </si>
  <si>
    <t>62438</t>
  </si>
  <si>
    <t>Рулетка MATRIX Autostop 8м*25мм, двухкомп. корпус. авто. фикс. /32553</t>
  </si>
  <si>
    <t>62491</t>
  </si>
  <si>
    <t>Рулетка MATRIX Neon 3м*16мм, обрез. корпус, 3 фиксации /32590</t>
  </si>
  <si>
    <t>62494</t>
  </si>
  <si>
    <t>Рулетка MATRIX Neon 5м*19мм, обрез. корпус, 3 фиксации /32591</t>
  </si>
  <si>
    <t>62436</t>
  </si>
  <si>
    <t>Рулетка MATRIX Neon 5м*25мм, обрез. корпус, 3 фиксации /32592</t>
  </si>
  <si>
    <t>62495</t>
  </si>
  <si>
    <t>Рулетка MATRIX Neon 8м*25мм, обрез. корпус, 3 фиксации /32593</t>
  </si>
  <si>
    <t>62597</t>
  </si>
  <si>
    <t>Рулетка SPARTA "Classic" 10м*24мм пластиковый корпус /31305</t>
  </si>
  <si>
    <t>62444</t>
  </si>
  <si>
    <t>Рулетка SPARTA "Classic" 2м*13мм пластиковый корпус /31301</t>
  </si>
  <si>
    <t>62406</t>
  </si>
  <si>
    <t>Рулетка SPARTA "Classic" 3м*16мм пластиковый корпус /31302</t>
  </si>
  <si>
    <t>62407</t>
  </si>
  <si>
    <t>Рулетка SPARTA "Classic" 5м*18мм пластиковый корпус /31303</t>
  </si>
  <si>
    <t>62552</t>
  </si>
  <si>
    <t>Рулетка SPARTA "Elastica" 10м*25мм обрезиненный корпус /31314 /6/</t>
  </si>
  <si>
    <t>62414</t>
  </si>
  <si>
    <t>Рулетка SPARTA "Elastica" 3м*16мм обрезиненный корпус /31311</t>
  </si>
  <si>
    <t>62408</t>
  </si>
  <si>
    <t>Рулетка SPARTA "Elastica" 5м*18мм обрезиненный корпус /31312</t>
  </si>
  <si>
    <t>62441</t>
  </si>
  <si>
    <t>Рулетка БАРС Вектор 3м*19мм, утолщенное полотно, магнитный зацеп, обрезиненный корпус /32540</t>
  </si>
  <si>
    <t>62479</t>
  </si>
  <si>
    <t>Рулетка БАРС Вектор 5м*19мм, утолщенное полотно, магнитный зацеп, обрезиненный корпус /32541</t>
  </si>
  <si>
    <t>62443</t>
  </si>
  <si>
    <t>Рулетка БАРС Вектор 5м*25мм, утолщенное полотно, магнитный зацеп, обрезиненный корпус /32542</t>
  </si>
  <si>
    <t>62445</t>
  </si>
  <si>
    <t>Рулетка БАРС Вектор 7,5м*25мм, утолщенное полотно, магнитный зацеп, обрезиненный корпус /32543</t>
  </si>
  <si>
    <t>62524</t>
  </si>
  <si>
    <t>Рулетка БАРС Полимер 3м*16мм, автом. фиксация, эрг. форма /32501</t>
  </si>
  <si>
    <t>61574</t>
  </si>
  <si>
    <t>Рулетка БАРС Полимер 7,5м*25мм, автом. фиксация, эрг. форма /32503</t>
  </si>
  <si>
    <t>62400</t>
  </si>
  <si>
    <t>Рулетка Ермак софт-тач 2м 658-730 /12/</t>
  </si>
  <si>
    <t>62468</t>
  </si>
  <si>
    <t>Рулетка Ермак софт-тач 3м 658-731 /12/</t>
  </si>
  <si>
    <t>62427</t>
  </si>
  <si>
    <t>Рулетка Ермак софт-тач 5м 658-732 /12/</t>
  </si>
  <si>
    <t>62448</t>
  </si>
  <si>
    <t>Рулетка Ермак софт-тач 7,5м 658-733 /6/</t>
  </si>
  <si>
    <t>62404</t>
  </si>
  <si>
    <t>Рулетка Рокот 3м*16мм 658-094 /12/</t>
  </si>
  <si>
    <t>62489</t>
  </si>
  <si>
    <t>Рулетка Рокот 5м*19мм 658-093 /12/</t>
  </si>
  <si>
    <t>62411</t>
  </si>
  <si>
    <t>Рулетка Рокот 7,5м*25мм 658-095 /60/</t>
  </si>
  <si>
    <t>62568</t>
  </si>
  <si>
    <t>Рулетка СИБРТЕХ Графит 3м*16мм, обрезиненный корпус, амортизатор /32530</t>
  </si>
  <si>
    <t>01827</t>
  </si>
  <si>
    <t>Рулетка СИБРТЕХ Графит 5м*19мм, обрезиненный корпус, амортизатор /32531</t>
  </si>
  <si>
    <t>62569</t>
  </si>
  <si>
    <t>Рулетка СИБРТЕХ Графит 5м*25мм, обрезиненный корпус, амортизатор /32532</t>
  </si>
  <si>
    <t>62579</t>
  </si>
  <si>
    <t>Рулетка СИБРТЕХ Графит 7,5м*25мм, обрезиненный корпус, амортизатор /32533</t>
  </si>
  <si>
    <t>01234</t>
  </si>
  <si>
    <t>Рулетка СИБРТЕХ Кварц 3м*16мм, прозрачный корпус, амортизатор /32520</t>
  </si>
  <si>
    <t>01296</t>
  </si>
  <si>
    <t>Рулетка СИБРТЕХ Кварц 5м*19мм, прозрачный корпус, амортизатор /32521</t>
  </si>
  <si>
    <t>01271</t>
  </si>
  <si>
    <t>Рулетка СИБРТЕХ Кварц 5м*25мм, прозрачный корпус, амортизатор /32522</t>
  </si>
  <si>
    <t>01272</t>
  </si>
  <si>
    <t>Рулетка СИБРТЕХ Кварц 7,5м*25мм, прозрачный корпус, амортизатор /32523</t>
  </si>
  <si>
    <t>62452</t>
  </si>
  <si>
    <t>Рулетка СИБРТЕХ Сипфир 5м*19мм, двухкомпонентный корпус /32581</t>
  </si>
  <si>
    <t>62475</t>
  </si>
  <si>
    <t>Рулетка СИБРТЕХ Сипфир 5м*25мм, двухкомпонентный корпус /32582</t>
  </si>
  <si>
    <t>62476</t>
  </si>
  <si>
    <t>Рулетка СИБРТЕХ Сипфир 7,5м*25мм, двухкомпонентный корпус /32583</t>
  </si>
  <si>
    <t>62486</t>
  </si>
  <si>
    <t>Рулетка-брелок Ермак 1м 658-156 /10/</t>
  </si>
  <si>
    <t>62402</t>
  </si>
  <si>
    <t>Рулетка-брелок Ермак 2м 658-157 /10/</t>
  </si>
  <si>
    <t>625 Рулетки геодезические</t>
  </si>
  <si>
    <t>62501</t>
  </si>
  <si>
    <t>Рулетка Воронеж открытый корпус 30-13 30м</t>
  </si>
  <si>
    <t>62474</t>
  </si>
  <si>
    <t>Рулетка геодезическая 10м*12,5мм, лента ПВХ, закрытый корпус /312075</t>
  </si>
  <si>
    <t>62598</t>
  </si>
  <si>
    <t>Рулетка геодезическая 20м*12,5мм, лента ПВХ, открытый корпус /314305</t>
  </si>
  <si>
    <t>62446</t>
  </si>
  <si>
    <t>Рулетка геодезическая 30м*10мм, лента ПВХ, открытый корпус /314355</t>
  </si>
  <si>
    <t>62869</t>
  </si>
  <si>
    <t>Рулетка геодезическая 30м*12,5мм, лента ПВХ, закрытый корпус /312235</t>
  </si>
  <si>
    <t>62451</t>
  </si>
  <si>
    <t>Рулетка геодезическая 50м*10мм, лента ПВХ, открытый корпус /314405</t>
  </si>
  <si>
    <t>62580</t>
  </si>
  <si>
    <t>Рулетка геодезическая GROSS 10м*13мм, мет. лента, закр. корпус /31250</t>
  </si>
  <si>
    <t>62502</t>
  </si>
  <si>
    <t>Рулетка геодезическая СИБРТЕХ закрытый корпус фиберглассовая лента 10м*13мм /31260</t>
  </si>
  <si>
    <t>62505</t>
  </si>
  <si>
    <t>Рулетка геодезическая СИБРТЕХ закрытый корпус фиберглассовая лента 20м*13мм /31261</t>
  </si>
  <si>
    <t>62506</t>
  </si>
  <si>
    <t>Рулетка геодезическая СИБРТЕХ закрытый корпус фиберглассовая лента 30м*13мм /31262</t>
  </si>
  <si>
    <t>626 Линейки/Угольники/Правила/Штангенциркули/Микрометры</t>
  </si>
  <si>
    <t>62617</t>
  </si>
  <si>
    <t>Линейка MATRIX металлическая с пл.ручк 2гл. 1000 мм /30577</t>
  </si>
  <si>
    <t>62630</t>
  </si>
  <si>
    <t>Линейка MATRIX металлическая с пл.ручк 2гл. 1200 мм /30579</t>
  </si>
  <si>
    <t>62631</t>
  </si>
  <si>
    <t>Линейка MATRIX металлическая с пл.ручк 2гл. 600 мм /30573</t>
  </si>
  <si>
    <t>62604</t>
  </si>
  <si>
    <t>Линейка MATRIX металлическая с пл.ручк 2гл. 800 мм /30575</t>
  </si>
  <si>
    <t>62602</t>
  </si>
  <si>
    <t>Линейка измерительная 1000 мм, металлическая /30563</t>
  </si>
  <si>
    <t>62601</t>
  </si>
  <si>
    <t>Линейка измерительная 300 мм, металлическая /30561</t>
  </si>
  <si>
    <t>62611</t>
  </si>
  <si>
    <t>Линейка измерительная 500 мм, металлическая /30562</t>
  </si>
  <si>
    <t>62641</t>
  </si>
  <si>
    <t>Линейка метал. SPARTA 1000мм /305105</t>
  </si>
  <si>
    <t>62618</t>
  </si>
  <si>
    <t>Линейка метал. SPARTA 150мм /305045</t>
  </si>
  <si>
    <t>62612</t>
  </si>
  <si>
    <t>Линейка метал. SPARTA 300мм /305065</t>
  </si>
  <si>
    <t>62649</t>
  </si>
  <si>
    <t>Метр складной металлический /С</t>
  </si>
  <si>
    <t>62650</t>
  </si>
  <si>
    <t>Метр складной пластмассовый 2м Ник</t>
  </si>
  <si>
    <t>62654</t>
  </si>
  <si>
    <t>Микрометр 0-25мм/0,01мм /317255</t>
  </si>
  <si>
    <t>62811</t>
  </si>
  <si>
    <t>Микрометр 25-50мм/0,01мм /317505</t>
  </si>
  <si>
    <t>62693</t>
  </si>
  <si>
    <t>Правило алюм. MATRIX 1,5м 2 ручки, с уровнем /89635</t>
  </si>
  <si>
    <t>62687</t>
  </si>
  <si>
    <t>Правило алюм. MATRIX 2,0м 2 ручки, с уровнем /89637</t>
  </si>
  <si>
    <t>62607</t>
  </si>
  <si>
    <t>Правило алюм. MATRIX 2,5м 2 ручки, с уровнем /89639</t>
  </si>
  <si>
    <t>06393</t>
  </si>
  <si>
    <t>Правило алюм. СИБРТЕХ "Трапеция" 1,0м 2 ребра жесткости /89601</t>
  </si>
  <si>
    <t>62616</t>
  </si>
  <si>
    <t>Правило алюм. СИБРТЕХ "Трапеция" 1,5м 2 ребра жесткости /89602</t>
  </si>
  <si>
    <t>62609</t>
  </si>
  <si>
    <t>Правило алюм. СИБРТЕХ "Трапеция" 2,0м 2 ребра жесткости /89603</t>
  </si>
  <si>
    <t>00975</t>
  </si>
  <si>
    <t>Правило алюм. СИБРТЕХ "Трапеция" 2,5м 1 ребро жесткости /89611</t>
  </si>
  <si>
    <t>62605</t>
  </si>
  <si>
    <t>Правило алюм. СИБРТЕХ "Трапеция" 2,5м 2 ребра жесткости /89604</t>
  </si>
  <si>
    <t>00829</t>
  </si>
  <si>
    <t>Правило алюм. СИБРТЕХ "Трапеция" 3,0м 1 ребро жесткости /89612</t>
  </si>
  <si>
    <t>06392</t>
  </si>
  <si>
    <t>Правило алюм. СИБРТЕХ "Трапеция" 3,0м 2 ребра жесткости /89605</t>
  </si>
  <si>
    <t>62672</t>
  </si>
  <si>
    <t>Угольник MATRIX 250мм, алюм. литой /32471</t>
  </si>
  <si>
    <t>62674</t>
  </si>
  <si>
    <t>Угольник MATRIX 300мм, алюм. литой /32472</t>
  </si>
  <si>
    <t>62675</t>
  </si>
  <si>
    <t>Угольник MATRIX 350мм, алюм. литой /32473</t>
  </si>
  <si>
    <t>62676</t>
  </si>
  <si>
    <t>Угольник MATRIX 400мм, алюм. литой /32474</t>
  </si>
  <si>
    <t>62610</t>
  </si>
  <si>
    <t>Угольник метал. MATRIX 300*200мм разметочный /32370</t>
  </si>
  <si>
    <t>62621</t>
  </si>
  <si>
    <t>Угольник метал. MATRIX 600*400мм разметочный /32371</t>
  </si>
  <si>
    <t>65128</t>
  </si>
  <si>
    <t>Угольник метал. SPARTA 250мм /323425</t>
  </si>
  <si>
    <t>62633</t>
  </si>
  <si>
    <t>Угольник метал. SPARTA 300мм /323445</t>
  </si>
  <si>
    <t>62634</t>
  </si>
  <si>
    <t>Угольник метал. SPARTA 500мм /323525</t>
  </si>
  <si>
    <t>62644</t>
  </si>
  <si>
    <t>Штангенциркуль Ермак 125 мм 660-033 /50/</t>
  </si>
  <si>
    <t>61355</t>
  </si>
  <si>
    <t>Штангенциркуль ШЦ 150мм 0,02мм мет. хром гл. /316315</t>
  </si>
  <si>
    <t>62639</t>
  </si>
  <si>
    <t>Штангенциркуль ШЦ 200мм 0,02мм мет. хром гл. /316325</t>
  </si>
  <si>
    <t>62659</t>
  </si>
  <si>
    <t>Штангенциркуль ШЦ-1-150-0,1мм на блист. 660-006 /50/</t>
  </si>
  <si>
    <t>627 Уровни MATRIX</t>
  </si>
  <si>
    <t>62810</t>
  </si>
  <si>
    <t>Уровень MATRIX 2-х глаз.+1пов. Рельс 1000мм /34029</t>
  </si>
  <si>
    <t>62900</t>
  </si>
  <si>
    <t>Уровень MATRIX 2-х глаз.+1пов. Рельс 1200мм /34032</t>
  </si>
  <si>
    <t>62706</t>
  </si>
  <si>
    <t>Уровень MATRIX 2-х глаз.+1пов. Рельс 1500мм /34035</t>
  </si>
  <si>
    <t>65132</t>
  </si>
  <si>
    <t>Уровень MATRIX 2-х глаз.+1пов. Рельс 1800мм /34038</t>
  </si>
  <si>
    <t>62930</t>
  </si>
  <si>
    <t>Уровень MATRIX 2-х глаз.+1пов. Рельс 400мм /34020</t>
  </si>
  <si>
    <t>62702</t>
  </si>
  <si>
    <t>Уровень MATRIX 2-х глаз.+1пов. Рельс 600мм /34023</t>
  </si>
  <si>
    <t>62753</t>
  </si>
  <si>
    <t>Уровень MATRIX 2-х глаз.+1пов. Рельс 800мм /34026</t>
  </si>
  <si>
    <t>62771</t>
  </si>
  <si>
    <t>Уровень MATRIX 2-х глаз.+1пов. Рельс 800мм, усиленный /34008</t>
  </si>
  <si>
    <t>62829</t>
  </si>
  <si>
    <t>Уровень MATRIX 3-х глаз. (1 зеркальный) магнитный 1800мм /34718</t>
  </si>
  <si>
    <t>62703</t>
  </si>
  <si>
    <t>Уровень MATRIX 3-х глаз. (1 зеркальный) магнитный 400мм /34704</t>
  </si>
  <si>
    <t>62700</t>
  </si>
  <si>
    <t>Уровень MATRIX 3-х глаз. алюминиевый 600мм ударопроч. заглушки, двухком. ручки /34304</t>
  </si>
  <si>
    <t>62719</t>
  </si>
  <si>
    <t>Уровень MATRIX 3-х глаз. алюминиевый 600мм фрезеров. усиленный 2 рукоятки /34361</t>
  </si>
  <si>
    <t>62732</t>
  </si>
  <si>
    <t>Уровень MATRIX 3-х глаз. магнитный 450мм /33701</t>
  </si>
  <si>
    <t>62744</t>
  </si>
  <si>
    <t>Уровень MATRIX 3-х глаз. магнитный 600мм /33702</t>
  </si>
  <si>
    <t>62814</t>
  </si>
  <si>
    <t>Уровень MATRIX 3-х глаз. с линейк. алюмин. 1200мм /33232</t>
  </si>
  <si>
    <t>02921</t>
  </si>
  <si>
    <t>Уровень MATRIX 3-х глаз. с линейк. алюмин. 1800мм красный /332389</t>
  </si>
  <si>
    <t>62768</t>
  </si>
  <si>
    <t>Уровень MATRIX 3-х глаз. с линейк. алюмин. 2000мм /33241</t>
  </si>
  <si>
    <t>02922</t>
  </si>
  <si>
    <t>Уровень MATRIX 3-х глаз. с линейк. алюмин. 2000мм красный /332419</t>
  </si>
  <si>
    <t>62755</t>
  </si>
  <si>
    <t>Уровень MATRIX 3-х глаз. с линейк. алюмин. 400мм /33220</t>
  </si>
  <si>
    <t>62751</t>
  </si>
  <si>
    <t>Уровень MATRIX 3-х глаз. с линейк. алюмин. 600мм /33223</t>
  </si>
  <si>
    <t>62827</t>
  </si>
  <si>
    <t>Уровень MATRIX 3-х глаз. с линейк. алюмин. 800мм /33226</t>
  </si>
  <si>
    <t>62788</t>
  </si>
  <si>
    <t>Уровень MATRIX 3-х глаз. фрезерованный 1000мм, усиленный /34710</t>
  </si>
  <si>
    <t>62975</t>
  </si>
  <si>
    <t>Уровень MATRIX 3-х глаз. фрезерованный 1200мм с двумя ручками /33230</t>
  </si>
  <si>
    <t>62750</t>
  </si>
  <si>
    <t>Уровень MATRIX 3-х глаз. фрезерованный 800мм с двумя ручками /33224</t>
  </si>
  <si>
    <t>62795</t>
  </si>
  <si>
    <t>Уровень MATRIX 3-х глаз. фрезерованный 800мм, усиленный /34708</t>
  </si>
  <si>
    <t>62754</t>
  </si>
  <si>
    <t>Уровень MATRIX 3-х глаз.+1пов. алюминиевый 1200мм фрезеров. усиленный 2 ручки /34512</t>
  </si>
  <si>
    <t>04753</t>
  </si>
  <si>
    <t>Уровень MATRIX 3-х глаз.+1пов. Рельс алюминиевый 2000мм MTX /340419</t>
  </si>
  <si>
    <t>628 Уровни лазерные/гидростатические</t>
  </si>
  <si>
    <t>62851</t>
  </si>
  <si>
    <t>Уровень гидростат. БАРС удлиненная колба, рельефная градуировка, 10м /37064</t>
  </si>
  <si>
    <t>62854</t>
  </si>
  <si>
    <t>Уровень гидростат. БАРС удлиненная колба, рельефная градуировка, 15м /37066</t>
  </si>
  <si>
    <t>62873</t>
  </si>
  <si>
    <t>Уровень гидростат. БАРС удлиненная колба, рельефная градуировка, 25м /37069</t>
  </si>
  <si>
    <t>62875</t>
  </si>
  <si>
    <t>Уровень гидростат. БАРС удлиненная колба, рельефная градуировка, 5м /37062</t>
  </si>
  <si>
    <t>62876</t>
  </si>
  <si>
    <t>Уровень гидростат. БАРС удлиненная колба, рельефная градуировка, 7м /37063</t>
  </si>
  <si>
    <t>62880</t>
  </si>
  <si>
    <t>Уровень лазерный MATRIX 100мм, штатив 1260мм, самовырав. /35023</t>
  </si>
  <si>
    <t>62724</t>
  </si>
  <si>
    <t>Уровень лазерный MATRIX 100мм, штатив 1300мм, ротац. пл.кейс /35031</t>
  </si>
  <si>
    <t>62761</t>
  </si>
  <si>
    <t>Уровень лазерный MATRIX 400мм 850мм штатив 3 глаз. набор /35027</t>
  </si>
  <si>
    <t>62802</t>
  </si>
  <si>
    <t>Уровень лазерный MATRIX XQB RED Basic SET 10м, резьба 1/4" /35018</t>
  </si>
  <si>
    <t>62861</t>
  </si>
  <si>
    <t>Уровень лазерный MATRIX приспособление для сверл и пылесборник /35040</t>
  </si>
  <si>
    <t>62862</t>
  </si>
  <si>
    <t>Уровень лазерный Ермак самовыравнивающийся 659-022 /4/</t>
  </si>
  <si>
    <t>629 Уровни прочие</t>
  </si>
  <si>
    <t>62701</t>
  </si>
  <si>
    <t>Уровень GROSS 2-х глаз. алюминиевый магнит. 600мм Magnetisch /33711</t>
  </si>
  <si>
    <t>62717</t>
  </si>
  <si>
    <t>Уровень GROSS 2-х глаз. литой 400мм /34914</t>
  </si>
  <si>
    <t>62725</t>
  </si>
  <si>
    <t>Уровень GROSS 2-х глаз. литой 500мм /34915</t>
  </si>
  <si>
    <t>62847</t>
  </si>
  <si>
    <t>Уровень GROSS 2-х глаз. литой 600мм /34916</t>
  </si>
  <si>
    <t>03167</t>
  </si>
  <si>
    <t>Уровень GROSS 3-х глаз. алюминиевый 1000мм фрезеровка 2 рукоятки Prazision /34442</t>
  </si>
  <si>
    <t>62837</t>
  </si>
  <si>
    <t>Уровень GROSS 3-х глаз. алюминиевый усилен. 1000мм /33630</t>
  </si>
  <si>
    <t>62824</t>
  </si>
  <si>
    <t>Уровень GROSS 3-х глаз. алюминиевый усилен. 1000мм магнитный /33673</t>
  </si>
  <si>
    <t>62836</t>
  </si>
  <si>
    <t>Уровень GROSS 3-х глаз. алюминиевый усилен. 1000мм магнитный /34372</t>
  </si>
  <si>
    <t>62994</t>
  </si>
  <si>
    <t>Уровень GROSS 3-х глаз. алюминиевый усилен. 1200мм /33632</t>
  </si>
  <si>
    <t>62995</t>
  </si>
  <si>
    <t>Уровень GROSS 3-х глаз. алюминиевый усилен. 1500мм /33636</t>
  </si>
  <si>
    <t>62996</t>
  </si>
  <si>
    <t>Уровень GROSS 3-х глаз. алюминиевый усилен. 1800мм /33638</t>
  </si>
  <si>
    <t>62798</t>
  </si>
  <si>
    <t>Уровень GROSS 3-х глаз. алюминиевый усилен. 400мм магнитный /33670</t>
  </si>
  <si>
    <t>62833</t>
  </si>
  <si>
    <t>Уровень GROSS 3-х глаз. алюминиевый усилен. 600мм /33625</t>
  </si>
  <si>
    <t>62730</t>
  </si>
  <si>
    <t>Уровень GROSS 3-х глаз. алюминиевый усилен. 600мм /34326</t>
  </si>
  <si>
    <t>62793</t>
  </si>
  <si>
    <t>Уровень GROSS 3-х глаз. алюминиевый усилен. 600мм магнитный /34370</t>
  </si>
  <si>
    <t>62796</t>
  </si>
  <si>
    <t>Уровень GROSS 3-х глаз. алюминиевый усилен. 800мм магнитный /34371</t>
  </si>
  <si>
    <t>62842</t>
  </si>
  <si>
    <t>Уровень GROSS 3-х глаз. фрезерованный 800мм магнитный /33672</t>
  </si>
  <si>
    <t>62961</t>
  </si>
  <si>
    <t>Уровень SPARTA 3-х глаз. "Торпедо" 225 мм пластмассовый (II) /346055</t>
  </si>
  <si>
    <t>62905</t>
  </si>
  <si>
    <t>Уровень SPARTA 3-х глаз. с линейк. алюмин. 1000мм /330295</t>
  </si>
  <si>
    <t>62817</t>
  </si>
  <si>
    <t>Уровень SPARTA 3-х глаз. с линейк. алюмин. 1500мм /330355</t>
  </si>
  <si>
    <t>62946</t>
  </si>
  <si>
    <t>Уровень SPARTA 3-х глаз. с линейк. алюмин. 2000мм /330415</t>
  </si>
  <si>
    <t>62999</t>
  </si>
  <si>
    <t>Уровень SPARTA 3-х глаз. с линейк. алюмин. 400мм /330205</t>
  </si>
  <si>
    <t>62902</t>
  </si>
  <si>
    <t>Уровень SPARTA 3-х глаз. с линейк. алюмин. 600мм /330235</t>
  </si>
  <si>
    <t>62924</t>
  </si>
  <si>
    <t>Уровень SPARTA 3-х глаз. с линейк. алюмин. 800мм /330265</t>
  </si>
  <si>
    <t>62942</t>
  </si>
  <si>
    <t>Уровень SPARTA 3-х глаз. с линейк. алюмин. 800мм /331265</t>
  </si>
  <si>
    <t>62762</t>
  </si>
  <si>
    <t>Уровень SPARTA 3-х глаз.+1пов. алюминиевый 800мм /34048</t>
  </si>
  <si>
    <t>00167</t>
  </si>
  <si>
    <t>Уровень БАРС 2-х глаз. алюминиевый 800 мм толщина профиля 1,3 мм /35128</t>
  </si>
  <si>
    <t>05019</t>
  </si>
  <si>
    <t>Уровень БАРС 3-х глаз. алюминиевый двуручный 1200мм толщина профиля 1,6 мм ударопр. заглушки /34356</t>
  </si>
  <si>
    <t>01646</t>
  </si>
  <si>
    <t>Уровень БАРС 3-х глаз. алюминиевый двуручный 600мм толщина профиля 1,6 мм ударопр. заглушки /34350</t>
  </si>
  <si>
    <t>05017</t>
  </si>
  <si>
    <t>Уровень БАРС 3-х глаз. алюминиевый двуручный 800мм толщина профиля 1,6 мм ударопр. заглушки /34352</t>
  </si>
  <si>
    <t>62807</t>
  </si>
  <si>
    <t>Уровень Воронеж магнитный 1200мм УМ1-3 /8213</t>
  </si>
  <si>
    <t>62740</t>
  </si>
  <si>
    <t>Уровень Петрович алюминиевый 1500мм П005-1500Р/1/</t>
  </si>
  <si>
    <t>630 Ножовки по дер/Пилы</t>
  </si>
  <si>
    <t>63064</t>
  </si>
  <si>
    <t>Ножовка по дер. "Зубец" 35см с закаленным зубом /23801 /6/</t>
  </si>
  <si>
    <t>63031</t>
  </si>
  <si>
    <t>Ножовка по дер. "Зубец" 40см защит. покр. и закал. зуб /23810 /6/</t>
  </si>
  <si>
    <t>63070</t>
  </si>
  <si>
    <t>Ножовка по дер. "Зубец" 40см с закаленным зубом /23802 /6/</t>
  </si>
  <si>
    <t>63067</t>
  </si>
  <si>
    <t>Ножовка по дер. "Зубец" 40см с крупным закален. зубом /23813 /6/</t>
  </si>
  <si>
    <t>63061</t>
  </si>
  <si>
    <t>Ножовка по дер. "Зубец" 45см защит. покр. и закал. зуб /23811 /6/</t>
  </si>
  <si>
    <t>63093</t>
  </si>
  <si>
    <t>Ножовка по дер. "Зубец" 45см с закаленным зубом /23803 /6/</t>
  </si>
  <si>
    <t>63096</t>
  </si>
  <si>
    <t>Ножовка по дер. "Зубец" 45см с крупным закален. зубом /23814</t>
  </si>
  <si>
    <t>63160</t>
  </si>
  <si>
    <t>Ножовка по дер. "Зубец" 50см с закаленным зубом /23804 /6/</t>
  </si>
  <si>
    <t>63003</t>
  </si>
  <si>
    <t>Ножовка по дер. "Зубец" 50см с закаленным зубом 7мм /23818</t>
  </si>
  <si>
    <t>63020</t>
  </si>
  <si>
    <t>Ножовка по дер. "Зубец" для точных пильных работ, 350мм, кал. зуб 2D, 14 TPI, 2-комп. рук-ка Сибртех</t>
  </si>
  <si>
    <t>63022</t>
  </si>
  <si>
    <t>Ножовка по дер. "Зубец" для точных пильных работ, 400мм, кал. зуб 2D, 14 TPI, 2-комп. рук-ка Сибртех</t>
  </si>
  <si>
    <t>63023</t>
  </si>
  <si>
    <t>Ножовка по дер. "Зубец" для точных пильных работ, 450мм, кал. зуб 2D, 14 TPI, 2-комп. рук-ка Сибртех</t>
  </si>
  <si>
    <t>63007</t>
  </si>
  <si>
    <t>Ножовка по дер. Denzel 45см, 11TPI, зуб-3D, кал. зуб /24141</t>
  </si>
  <si>
    <t>63013</t>
  </si>
  <si>
    <t>Ножовка по дер. Denzel 50см, 11TPI, зуб-3D, кал. зуб /24148</t>
  </si>
  <si>
    <t>63001</t>
  </si>
  <si>
    <t>Ножовка по дер. GROSS "PIRANHA" 40мм, 11-12TPI, зуб-3D /24111</t>
  </si>
  <si>
    <t>63078</t>
  </si>
  <si>
    <t>Ножовка по дер. GROSS "PIRANHA" 40см, 7-8TPI, зуб-3D, кал. зуб /24109</t>
  </si>
  <si>
    <t>63072</t>
  </si>
  <si>
    <t>Ножовка по дер. GROSS "PIRANHA" 45см, 11-12TPI, зуб-3D, кал. зуб /24103</t>
  </si>
  <si>
    <t>63010</t>
  </si>
  <si>
    <t>Ножовка по дер. GROSS "PIRANHA" 45см, 11-12TPI, зуб-3D, кал. зуб /24106</t>
  </si>
  <si>
    <t>63082</t>
  </si>
  <si>
    <t>Ножовка по дер. GROSS "PIRANHA" 45см, 7-8TPI, зуб-3D, кал. зуб /24100</t>
  </si>
  <si>
    <t>63074</t>
  </si>
  <si>
    <t>Ножовка по дер. GROSS "PIRANHA" 50см, 11-12TPI, зуб-3D, кал. зуб /24104</t>
  </si>
  <si>
    <t>63161</t>
  </si>
  <si>
    <t>Ножовка по дер. GROSS "PIRANHA" 50см, 11-12TPI, зуб-3D, кал. зуб, тефлонов покрыт /24107</t>
  </si>
  <si>
    <t>63043</t>
  </si>
  <si>
    <t>Ножовка по дер. GROSS "PIRANHA" 50см, 7-8TPI, зуб-3D, кал. зуб /24101</t>
  </si>
  <si>
    <t>63084</t>
  </si>
  <si>
    <t>Ножовка по дер. GROSS "PIRANHA" 55см, 11-12TPI, зуб-3D, кал. зуб /24105</t>
  </si>
  <si>
    <t>63265</t>
  </si>
  <si>
    <t>Ножовка по дер. GROSS "PIRANHA" 55см, 11-12TPI, зуб-3D, кал. зуб, тефлонов покрыт /24108</t>
  </si>
  <si>
    <t>00309</t>
  </si>
  <si>
    <t>Ножовка по дер. MATRIX 3 в 1 мет обрез. ручка /23575</t>
  </si>
  <si>
    <t>63011</t>
  </si>
  <si>
    <t>Ножовка по дер. MATRIX UNIVERSAL 400 мм, 13-14 TPI и 7-8 TPI, тефлоновое покр. /23571</t>
  </si>
  <si>
    <t>63012</t>
  </si>
  <si>
    <t>Ножовка по дер. MATRIX зак. зуб. двухкомп. ручка 40см /23540</t>
  </si>
  <si>
    <t>63098</t>
  </si>
  <si>
    <t>Ножовка по дер. MATRIX зак. зуб. двухкомп. ручка 45см /23541</t>
  </si>
  <si>
    <t>63075</t>
  </si>
  <si>
    <t>Ножовка по дер. MATRIX зак. зуб. двухкомп. ручка 50см /23542</t>
  </si>
  <si>
    <t>63027</t>
  </si>
  <si>
    <t>Ножовка по дер. MATRIX закаленый зуб двухкомп. ручка тефлон 40см /23549</t>
  </si>
  <si>
    <t>63037</t>
  </si>
  <si>
    <t>Ножовка по дер. MATRIX закаленый зуб двухкомп. ручка тефлон 45см /23550</t>
  </si>
  <si>
    <t>63046</t>
  </si>
  <si>
    <t>Ножовка по дер. MATRIX закаленый зуб двухкомп. ручка тефлон 50см /23551</t>
  </si>
  <si>
    <t>63016</t>
  </si>
  <si>
    <t>Ножовка по дер. SPARTA 400мм линейка, кален зуб, пласт ручка /232305</t>
  </si>
  <si>
    <t>63006</t>
  </si>
  <si>
    <t>Ножовка по дер. SPARTA 400мм линейка, кален. зуб, двухком. ручка /235015</t>
  </si>
  <si>
    <t>63024</t>
  </si>
  <si>
    <t>Ножовка по дер. SPARTA 450мм линейка, кален зуб, пласт ручка /232335</t>
  </si>
  <si>
    <t>63005</t>
  </si>
  <si>
    <t>Ножовка по дер. SPARTA 450мм линейка, кален. зуб, двухком. ручка /235025</t>
  </si>
  <si>
    <t>63032</t>
  </si>
  <si>
    <t>Ножовка по дер. SPARTA 500мм линейка, кален. зуб, пласт ручка /232365</t>
  </si>
  <si>
    <t>0261</t>
  </si>
  <si>
    <t>Ножовка по дер. БАРС 400мм 7-8 TPI короткий зкю2D /24130</t>
  </si>
  <si>
    <t>63089</t>
  </si>
  <si>
    <t>Ножовка по дер. БАРС 450мм 7-8 TPI короткий зкю2D /24132</t>
  </si>
  <si>
    <t>63056</t>
  </si>
  <si>
    <t>Ножовка по дер. Волчица 55см зак. /9861 /12/</t>
  </si>
  <si>
    <t>63008</t>
  </si>
  <si>
    <t>Ножовка по дер. Ижевск 400мм, шаг 4мм /23163 /30/</t>
  </si>
  <si>
    <t>63050</t>
  </si>
  <si>
    <t>Ножовка по дер. Ижевск 400мм, шаг 5мм /23162 /30/</t>
  </si>
  <si>
    <t>63196</t>
  </si>
  <si>
    <t>Ножовка по дер. Ижевск 500мм, шаг 8мм "Премиум" /23164 /25/</t>
  </si>
  <si>
    <t>63077</t>
  </si>
  <si>
    <t>Ножовка по дер. Ижевск 600мм, шаг 12мм /23167 /20/</t>
  </si>
  <si>
    <t>63054</t>
  </si>
  <si>
    <t>Ножовка по пенобетону MATRIX тверд. зуб. двухкомп. ручка 50см /23380</t>
  </si>
  <si>
    <t>63088</t>
  </si>
  <si>
    <t>Пила 2-хручная MATRIX MASTER 1м /23410</t>
  </si>
  <si>
    <t>63036</t>
  </si>
  <si>
    <t>Пила кольцевая MATRIX (64-127 мм) 8шт /704715</t>
  </si>
  <si>
    <t>63025</t>
  </si>
  <si>
    <t>Пила кольцевая по дереву MATRIX (19-64 мм) 11 шт /70473</t>
  </si>
  <si>
    <t>63097</t>
  </si>
  <si>
    <t>Пила по дер. обушковая для стусла SPARTA 300мм /231505</t>
  </si>
  <si>
    <t>63099</t>
  </si>
  <si>
    <t>Пила по дер. обушковая для стусла SPARTA 350мм /231515</t>
  </si>
  <si>
    <t>42272</t>
  </si>
  <si>
    <t>Пила туристическая Дружба складная ДИ-820</t>
  </si>
  <si>
    <t>63048</t>
  </si>
  <si>
    <t>Пила цепная ZIGZAG в чехле TE-180</t>
  </si>
  <si>
    <t>631 Ножовки по мет./пилки для лобзика</t>
  </si>
  <si>
    <t>63133</t>
  </si>
  <si>
    <t>Лобзик ручной по дер. 200мм /240205</t>
  </si>
  <si>
    <t>63105</t>
  </si>
  <si>
    <t>Лобзик ручной по дер. 300мм /240245</t>
  </si>
  <si>
    <t>63118</t>
  </si>
  <si>
    <t>Ножовка по мет. GROSS 300мм, обрезин. рукоят и захват /77600</t>
  </si>
  <si>
    <t>63162</t>
  </si>
  <si>
    <t>Ножовка по мет. MATRIX 250мм, обрезиненная рукоятка /775605</t>
  </si>
  <si>
    <t>63103</t>
  </si>
  <si>
    <t>Ножовка по мет. MATRIX 300мм, биметал. полотно, двухком. ручка /77593</t>
  </si>
  <si>
    <t>02321</t>
  </si>
  <si>
    <t>Ножовка по мет. MATRIX PROFESSIONAL 300мм, биметал. полотно, двухком. ручка /77599</t>
  </si>
  <si>
    <t>63198</t>
  </si>
  <si>
    <t>Ножовка по мет. Спарта 150мм пласт. ручка, хром /775225</t>
  </si>
  <si>
    <t>63193</t>
  </si>
  <si>
    <t>Ножовка по мет. Спарта 200-300мм метал. ручка /775435</t>
  </si>
  <si>
    <t>63128</t>
  </si>
  <si>
    <t>Ножовка по мет. Спарта 250-300мм метал. ручка /775765</t>
  </si>
  <si>
    <t>63102</t>
  </si>
  <si>
    <t>Ножовка по мет. Спарта 300мм дер. ручка /775895</t>
  </si>
  <si>
    <t>63106</t>
  </si>
  <si>
    <t>Ножовка по мет. Спарта 300мм пласт. ручкой /775865</t>
  </si>
  <si>
    <t>63245</t>
  </si>
  <si>
    <t>Пилки д/лобз. GROSS DIY 6шт пластиковый кейс /78291</t>
  </si>
  <si>
    <t>63244</t>
  </si>
  <si>
    <t>Пилки д/лобз. GROSS Profi 6шт пластиковый кейс /78290</t>
  </si>
  <si>
    <t>63142</t>
  </si>
  <si>
    <t>Пилки д/лобз. GROSS Проф. лин. 2шт (3101F-Т101ВF) /78282</t>
  </si>
  <si>
    <t>63262</t>
  </si>
  <si>
    <t>Пилки д/лобз. GROSS Проф. лин. 2шт (31135F-T111HF) /78284</t>
  </si>
  <si>
    <t>63197</t>
  </si>
  <si>
    <t>Пилки д/лобз. MATRIX 100/4мм дер. 3шт HCS EUхвост. /78142</t>
  </si>
  <si>
    <t>63147</t>
  </si>
  <si>
    <t>Пилки д/лобз. MATRIX 50/0,8мм мет. 3шт HCS EUхвост. /78143</t>
  </si>
  <si>
    <t>63110</t>
  </si>
  <si>
    <t>Пилки д/лобз. MATRIX 50/1,2мм дер. 3шт HCS EUхвост. /78140</t>
  </si>
  <si>
    <t>63354</t>
  </si>
  <si>
    <t>Пилки д/лобз. MATRIX 50/1,2мм мет. 3шт HCS EUхвост. /78147</t>
  </si>
  <si>
    <t>63251</t>
  </si>
  <si>
    <t>Пилки д/лобз. MATRIX 75/1,2мм биметал. 3шт BIM EUхвост. /78150</t>
  </si>
  <si>
    <t>63145</t>
  </si>
  <si>
    <t>Пилки д/лобз. MATRIX 75/2,5мм дер. 3шт HCS EUхвост. /78141</t>
  </si>
  <si>
    <t>63189</t>
  </si>
  <si>
    <t>Пилки д/лобз. MATRIX Prof 50/0,8мм 3шт HSS EUхвост. М /78206</t>
  </si>
  <si>
    <t>63125</t>
  </si>
  <si>
    <t>Пилки д/лобз. MATRIX Prof 50/1,2мм 3шт HSS EUхвост. М /78207</t>
  </si>
  <si>
    <t>63101</t>
  </si>
  <si>
    <t>Пилки д/лобз. MATRIX Prof 55/1,2мм 3шт HSS EUхвост. М /78209</t>
  </si>
  <si>
    <t>63152</t>
  </si>
  <si>
    <t>Пилки д/лобз. MATRIX Prof 75/2,5мм 3шт HCS EUхвост. Д /78201</t>
  </si>
  <si>
    <t>63149</t>
  </si>
  <si>
    <t>Пилки д/лобз. MATRIX Prof 75/2,5мм 3шт HCS EUхвост. о/з /78203</t>
  </si>
  <si>
    <t>63144</t>
  </si>
  <si>
    <t>Пилки д/лобз. MATRIX Prof 75/3мм 3шт HCS EUхвост. Д /78205</t>
  </si>
  <si>
    <t>63195</t>
  </si>
  <si>
    <t>Пилки д/лобз. MATRIX Prof 75/3мм 3шт HSS EUхвост. М /78208</t>
  </si>
  <si>
    <t>63151</t>
  </si>
  <si>
    <t>Пилки д/лобз. MATRIX Prof 75/4мм 3шт HCS EUхвост. Д /78202</t>
  </si>
  <si>
    <t>63107</t>
  </si>
  <si>
    <t>Пилки д/лобз. MATRIX Prof 75/4мм 3шт HCS EUхвост. Д /78204</t>
  </si>
  <si>
    <t>63114</t>
  </si>
  <si>
    <t>Пилки д/лобз. MATRIX Prof T101BF 75/2,5мм 3шт Bimetal /78211</t>
  </si>
  <si>
    <t>63116</t>
  </si>
  <si>
    <t>Пилки д/лобз. MATRIX Prof T101DF 75/4мм 3шт Bimetal /78212</t>
  </si>
  <si>
    <t>63123</t>
  </si>
  <si>
    <t>Пилки д/лобз. MATRIX Prof T244D 75/4мм 3шт HCS /78215</t>
  </si>
  <si>
    <t>63127</t>
  </si>
  <si>
    <t>Пилки д/лобз. MATRIX Prof T301CD 90/3мм 3шт HCS /78216</t>
  </si>
  <si>
    <t>63173</t>
  </si>
  <si>
    <t>Пилки д/лобз. MATRIX Prof Т-SET3 5шт по дереву /78250</t>
  </si>
  <si>
    <t>63172</t>
  </si>
  <si>
    <t>Пилки д/лобз. MATRIX Prof Т-SET4 5шт универс. /78251</t>
  </si>
  <si>
    <t>03460</t>
  </si>
  <si>
    <t>Пилки д/лобз. MATRIX T101AIF 72*1,7мм Bimetal по дер. 3шт /78230</t>
  </si>
  <si>
    <t>02807</t>
  </si>
  <si>
    <t>Пилки д/лобз. MATRIX T119B 50*2мм по дер. 3шт HCS /78228</t>
  </si>
  <si>
    <t>03457</t>
  </si>
  <si>
    <t>Пилки д/лобз. MATRIX T301DL 110*4мм по дер. 3шт HCS /78219</t>
  </si>
  <si>
    <t>03456</t>
  </si>
  <si>
    <t>Пилки д/лобз. MATRIX T308B 90*2,2мм по дер. 3шт HCS /78218</t>
  </si>
  <si>
    <t>03458</t>
  </si>
  <si>
    <t>Пилки д/лобз. MATRIX T311C 100*2,75мм по дер. 3шт HCS /78220</t>
  </si>
  <si>
    <t>03459</t>
  </si>
  <si>
    <t>Пилки д/лобз. MATRIX T344D 110*4мм по дер. 3шт HCS /78221</t>
  </si>
  <si>
    <t>63124</t>
  </si>
  <si>
    <t>Пилки д/лобз. ручного 30мм 20шт /24050</t>
  </si>
  <si>
    <t>63178</t>
  </si>
  <si>
    <t>Полотна для электролобзика MATRIX по дереву 3шт T234Х 90*2-3мм HCS /78217</t>
  </si>
  <si>
    <t>63029</t>
  </si>
  <si>
    <t>Полотна для электролобзика MATRIX по дереву 3шт T544D 125*4мм HCS /78222</t>
  </si>
  <si>
    <t>63204</t>
  </si>
  <si>
    <t>Полотна для электролобзика MATRIX по дереву 3шт T744D 155*4мм HCS /78223</t>
  </si>
  <si>
    <t>632 Полотна ножовочные</t>
  </si>
  <si>
    <t>00122</t>
  </si>
  <si>
    <t>Полотно для лучковой пилы PALISAD 530мм /60421</t>
  </si>
  <si>
    <t>63208</t>
  </si>
  <si>
    <t>Полотно ножовочн. 300мм 2шт /77774</t>
  </si>
  <si>
    <t>63657</t>
  </si>
  <si>
    <t>Полотно ножовочн. 300мм закал. /777715 /50/</t>
  </si>
  <si>
    <t>60433</t>
  </si>
  <si>
    <t>Полотно ножовочн. SPARTA 2ст 36шт /777555</t>
  </si>
  <si>
    <t>63224</t>
  </si>
  <si>
    <t>Полотно ножовочн. карбит- вольфрам 300мм /77915</t>
  </si>
  <si>
    <t>63155</t>
  </si>
  <si>
    <t>Полотно ножовочн. по мет. GROSS 300 мм, 18TPI, HSS, 2шт /77725</t>
  </si>
  <si>
    <t>63259</t>
  </si>
  <si>
    <t>Полотно ножовочн. по мет. GROSS 300 мм, 32TPI, carbon, 2шт /77718</t>
  </si>
  <si>
    <t>63260</t>
  </si>
  <si>
    <t>Полотно ножовочн. по мет. GROSS 300 мм, 32TPI, HSS, 2шт /77723</t>
  </si>
  <si>
    <t>63261</t>
  </si>
  <si>
    <t>Полотно ножовочн. по мет. GROSS 300 мм, BiM, 2шт VARIOZAHN /77731</t>
  </si>
  <si>
    <t>63264</t>
  </si>
  <si>
    <t>Полотно ножовочн. по мет. MATRIX 150 мм, биметалл, 2шт /77768</t>
  </si>
  <si>
    <t>633 Диски алмазные по стеклу керамике</t>
  </si>
  <si>
    <t>63336</t>
  </si>
  <si>
    <t>Диск алмазный Denzel 115*22,2мм сухая резка Turbo /73106</t>
  </si>
  <si>
    <t>63373</t>
  </si>
  <si>
    <t>Диск алмазный Denzel 150*22,2мм сухая резка Turbo /73110</t>
  </si>
  <si>
    <t>63380</t>
  </si>
  <si>
    <t>Диск алмазный Denzel 180*22,2мм сухая резка Turbo /73112</t>
  </si>
  <si>
    <t>63577</t>
  </si>
  <si>
    <t>Диск алмазный MATRIX Extra 150*22,2мм сухая резка Turbo /73195</t>
  </si>
  <si>
    <t>01174</t>
  </si>
  <si>
    <t>Диск алмазный MATRIX Extra 180*22,2мм сухая резка Turbo /73196</t>
  </si>
  <si>
    <t>63334</t>
  </si>
  <si>
    <t>Диск алмазный MATRIX Extra 230*22,2мм сухая резка Turbo /73198</t>
  </si>
  <si>
    <t>63306</t>
  </si>
  <si>
    <t>Диск алмазный MATRIX Premium 115*22,2мм сухая резка Turbo /73178</t>
  </si>
  <si>
    <t>63366</t>
  </si>
  <si>
    <t>Диск алмазный MATRIX Premium 125*22,2мм сухая резка Turbo /73179</t>
  </si>
  <si>
    <t>63595</t>
  </si>
  <si>
    <t>Диск алмазный MATRIX Premium 150*22,2мм сухая резка Turbo /73180</t>
  </si>
  <si>
    <t>63745</t>
  </si>
  <si>
    <t>Диск алмазный MATRIX Premium 180*22,2мм сухая резка Turbo /73181</t>
  </si>
  <si>
    <t>63386</t>
  </si>
  <si>
    <t>Диск алмазный MATRIX Premium 200*22,2мм сухая резка Turbo /73182</t>
  </si>
  <si>
    <t>63396</t>
  </si>
  <si>
    <t>Диск алмазный MATRIX Premium 230*22,2мм сухая резка Turbo /73183</t>
  </si>
  <si>
    <t>63389</t>
  </si>
  <si>
    <t>Диск алмазный БАРС 115*22,2мм Turbo /73069</t>
  </si>
  <si>
    <t>63345</t>
  </si>
  <si>
    <t>Диск алмазный ГРАНИТ по керамограниту/керамике CPS 115*1,9*10мм /250811</t>
  </si>
  <si>
    <t>63305</t>
  </si>
  <si>
    <t>Диск алмазный ГРАНИТ универсальный UPS-T 125*2,0*10мм /250817</t>
  </si>
  <si>
    <t>02068</t>
  </si>
  <si>
    <t>Диск алмазный сегментный DENZEL 125*22,2мм сухая резка /73101</t>
  </si>
  <si>
    <t>63321</t>
  </si>
  <si>
    <t>Диск алмазный сегментный MATRIX 115*22,2мм сухая резка /73152</t>
  </si>
  <si>
    <t>63383</t>
  </si>
  <si>
    <t>Диск алмазный сегментный MATRIX 115*22,2мм сухая резка /73172</t>
  </si>
  <si>
    <t>63319</t>
  </si>
  <si>
    <t>Диск алмазный сегментный MATRIX 125*22,2мм сухая резка /73153</t>
  </si>
  <si>
    <t>63369</t>
  </si>
  <si>
    <t>Диск алмазный сегментный MATRIX 125*22,2мм сухая резка /73173</t>
  </si>
  <si>
    <t>63497</t>
  </si>
  <si>
    <t>Диск алмазный сегментный MATRIX 150*22,2мм сухая резка /73174</t>
  </si>
  <si>
    <t>63303</t>
  </si>
  <si>
    <t>Диск алмазный сегментный MATRIX 180*22,2мм сухая резка  /73175</t>
  </si>
  <si>
    <t>63359</t>
  </si>
  <si>
    <t>Диск алмазный сегментный MATRIX 180*22,2мм сухая резка /73155</t>
  </si>
  <si>
    <t>63498</t>
  </si>
  <si>
    <t>Диск алмазный сегментный MATRIX 200*22,2мм сухая резка /73176</t>
  </si>
  <si>
    <t>63309</t>
  </si>
  <si>
    <t>Диск алмазный сегментный MATRIX 230*22,2мм сухая резка /73157</t>
  </si>
  <si>
    <t>63388</t>
  </si>
  <si>
    <t>Диск алмазный сегментный MATRIX 230*22,2мм сухая резка /73177</t>
  </si>
  <si>
    <t>02635</t>
  </si>
  <si>
    <t>Диск алмазный сегментный MATRIX Professional 115*22,2мм тонкий, сухая резка /730617</t>
  </si>
  <si>
    <t>01358</t>
  </si>
  <si>
    <t>Диск алмазный сегментный БАРС 115*22,2мм сухая резка /73061</t>
  </si>
  <si>
    <t>63322</t>
  </si>
  <si>
    <t>Диск алмазный сегментный БАРС 125*22,2мм сухая резка /73062</t>
  </si>
  <si>
    <t>63350</t>
  </si>
  <si>
    <t>Диск алмазный сегментный БАРС 150*22,2мм сухая резка /73063</t>
  </si>
  <si>
    <t>63391</t>
  </si>
  <si>
    <t>Диск алмазный сегментный СИБРТЕХ 115*22,2мм сухая резка /731007</t>
  </si>
  <si>
    <t>63460</t>
  </si>
  <si>
    <t>Диск алмазный сегментный СИБРТЕХ 125*22,2мм сухая резка /731017</t>
  </si>
  <si>
    <t>63337</t>
  </si>
  <si>
    <t>Диск алмазный сегментный СИБРТЕХ 230*22,2мм сухая резка /731047</t>
  </si>
  <si>
    <t>63378</t>
  </si>
  <si>
    <t>Диск алмазный сегментный СПАРТА 115*22,2мм сухая резка /731055</t>
  </si>
  <si>
    <t>63385</t>
  </si>
  <si>
    <t>Диск алмазный сегментный СПАРТА 125*22,2мм сухая резка /731075</t>
  </si>
  <si>
    <t>63583</t>
  </si>
  <si>
    <t>Диск алмазный сегментный СПАРТА 180*22,2мм сухая резка /731115</t>
  </si>
  <si>
    <t>63392</t>
  </si>
  <si>
    <t>Диск алмазный сегментный СПАРТА 200*32мм сухая резка /731135</t>
  </si>
  <si>
    <t>63310</t>
  </si>
  <si>
    <t>Диск алмазный сегментный СПАРТА 230*22мм сухая резка /731155</t>
  </si>
  <si>
    <t>01590</t>
  </si>
  <si>
    <t>Диск алмазный СИБРТЕХ 230*22,2мм сухая резка Turbo /731357</t>
  </si>
  <si>
    <t>63312</t>
  </si>
  <si>
    <t>Диск алмазный СПАРТА 125*22,2мм сухая резка Turbo /731195</t>
  </si>
  <si>
    <t>63323</t>
  </si>
  <si>
    <t>Диск алмазный СПАРТА 150*22,2мм сухая резка Turbo /731215</t>
  </si>
  <si>
    <t>63302</t>
  </si>
  <si>
    <t>Диск алмазный СПАРТА 200*32мм сухая резка Turbo /731255</t>
  </si>
  <si>
    <t>63325</t>
  </si>
  <si>
    <t>Диск алмазный СПАРТА 230*22,2мм сухая резка Turbo /731275</t>
  </si>
  <si>
    <t>63362</t>
  </si>
  <si>
    <t>Диск алмазный сплошной MATRIX Premium 115*22,2мм влажная резка /73184</t>
  </si>
  <si>
    <t>63381</t>
  </si>
  <si>
    <t>Диск алмазный сплошной MATRIX Premium 125*22,2мм влажная резка /73185</t>
  </si>
  <si>
    <t>63377</t>
  </si>
  <si>
    <t>Диск алмазный сплошной MATRIX Premium 180*22,2мм влажная резка /73187</t>
  </si>
  <si>
    <t>63368</t>
  </si>
  <si>
    <t>Диск алмазный сплошной MATRIX Premium 200*22,2мм влажная резка /73189</t>
  </si>
  <si>
    <t>63327</t>
  </si>
  <si>
    <t>Диск алмазный сплошной MATRIX Premium 200*25,4мм влажная резка /73190</t>
  </si>
  <si>
    <t>63358</t>
  </si>
  <si>
    <t>Диск алмазный сплошной MATRIX Premium 230*22,2мм влажная резка /73191</t>
  </si>
  <si>
    <t>63376</t>
  </si>
  <si>
    <t>Диск алмазный сплошной MATRIX Premium 230*25,4мм влажная резка /73192</t>
  </si>
  <si>
    <t>63351</t>
  </si>
  <si>
    <t>Диск алмазный сплошной СПАРТА 150*22,2мм влажная резка /731435</t>
  </si>
  <si>
    <t>63581</t>
  </si>
  <si>
    <t>Диск алмазный сплошной СПАРТА 180*22,2мм влажная резка /731475</t>
  </si>
  <si>
    <t>02609</t>
  </si>
  <si>
    <t>Диск алмазный сплошной СПАРТА 180*25,4мм влажная резка /731495</t>
  </si>
  <si>
    <t>63394</t>
  </si>
  <si>
    <t>Диск алмазный сплошной СПАРТА 230*22,2мм влажная резка /731515</t>
  </si>
  <si>
    <t>634 Диски пильные по дереву, ламинату, алюминию</t>
  </si>
  <si>
    <t>63410</t>
  </si>
  <si>
    <t>Диск пильный GROSS ф160х20 /16х48т дер. /73309</t>
  </si>
  <si>
    <t>00439</t>
  </si>
  <si>
    <t>Диск пильный GROSS ф190х20 /16х48т дер. /73317</t>
  </si>
  <si>
    <t>00529</t>
  </si>
  <si>
    <t>Диск пильный GROSS ф230х32 /30х24т дер. /73331</t>
  </si>
  <si>
    <t>00530</t>
  </si>
  <si>
    <t>Диск пильный GROSS ф230х32 /30х48т дер. /73333</t>
  </si>
  <si>
    <t>00451</t>
  </si>
  <si>
    <t>Диск пильный GROSS ф250х32 /30х24т дер. /73335</t>
  </si>
  <si>
    <t>93722</t>
  </si>
  <si>
    <t>Диск пильный MATRIX ф140/20 z20 дер+ кольцо 16/20 /73210</t>
  </si>
  <si>
    <t>63475</t>
  </si>
  <si>
    <t>Диск пильный MATRIX ф150/20 z24 дер+ кольцо 16/20 Professional /73272</t>
  </si>
  <si>
    <t>63455</t>
  </si>
  <si>
    <t>Диск пильный MATRIX ф150/20 z36 дер+ кольцо 16/20 /73215</t>
  </si>
  <si>
    <t>63422</t>
  </si>
  <si>
    <t>Диск пильный MATRIX ф160/20 z36 дер+ кольцо 16/20 Professional /73276</t>
  </si>
  <si>
    <t>63425</t>
  </si>
  <si>
    <t>Диск пильный MATRIX ф160/20 z48 дер+ кольцо 16/20 /73212</t>
  </si>
  <si>
    <t>63423</t>
  </si>
  <si>
    <t>Диск пильный MATRIX ф160/32 z24 дер /73249</t>
  </si>
  <si>
    <t>63355</t>
  </si>
  <si>
    <t>Диск пильный MATRIX ф160/32 z48 дер /73251</t>
  </si>
  <si>
    <t>63877</t>
  </si>
  <si>
    <t>Диск пильный MATRIX ф165/20 z24 дер+ кольцо 16/20 /73221</t>
  </si>
  <si>
    <t>63431</t>
  </si>
  <si>
    <t>Диск пильный MATRIX ф185/20 z24 дер+ кольцо 16/20 /73223</t>
  </si>
  <si>
    <t>63247</t>
  </si>
  <si>
    <t>Диск пильный MATRIX ф185/20 z36 дер+ кольцо 16/20 /73278</t>
  </si>
  <si>
    <t>63432</t>
  </si>
  <si>
    <t>Диск пильный MATRIX ф185/30 z36 дер 16/20 /73284</t>
  </si>
  <si>
    <t>63493</t>
  </si>
  <si>
    <t>Диск пильный MATRIX ф190/20 z24 дер+ кольцо 16/20 /73213</t>
  </si>
  <si>
    <t>63400</t>
  </si>
  <si>
    <t>Диск пильный MATRIX ф190/20 z36 дер+ кольцо 16/20 /73279</t>
  </si>
  <si>
    <t>63494</t>
  </si>
  <si>
    <t>Диск пильный MATRIX ф190/20 z48 дер+ кольцо 16/20 /73214</t>
  </si>
  <si>
    <t>63436</t>
  </si>
  <si>
    <t>Диск пильный MATRIX ф190/30 z24 дер /73217</t>
  </si>
  <si>
    <t>63439</t>
  </si>
  <si>
    <t>Диск пильный MATRIX ф190/30 z36 дер /73286</t>
  </si>
  <si>
    <t>63446</t>
  </si>
  <si>
    <t>Диск пильный MATRIX ф190/30 z48 дер /73219</t>
  </si>
  <si>
    <t>63320</t>
  </si>
  <si>
    <t>Диск пильный MATRIX ф200/32 z24 дер+ кольцо 30/32 /73261</t>
  </si>
  <si>
    <t>63348</t>
  </si>
  <si>
    <t>Диск пильный MATRIX ф200/32 z36 дер+ кольцо 30/32 /73262</t>
  </si>
  <si>
    <t>63349</t>
  </si>
  <si>
    <t>Диск пильный MATRIX ф200/32 z48 дер+ кольцо 30/32 /73263</t>
  </si>
  <si>
    <t>63495</t>
  </si>
  <si>
    <t>Диск пильный MATRIX ф200/32 z60 дер+ кольцо 30/32 /73264</t>
  </si>
  <si>
    <t>63466</t>
  </si>
  <si>
    <t>Диск пильный MATRIX ф210/30 z36 дер. /73290</t>
  </si>
  <si>
    <t>63451</t>
  </si>
  <si>
    <t>Диск пильный MATRIX ф210/32 z48 дер+ кольцо 30/32 /73226</t>
  </si>
  <si>
    <t>01139</t>
  </si>
  <si>
    <t>Диск пильный MATRIX ф216/32 z24 дер+ кольцо 30/32 /73227</t>
  </si>
  <si>
    <t>63406</t>
  </si>
  <si>
    <t>Диск пильный MATRIX ф216/32 z48 дер+ кольцо 30/32 /73228</t>
  </si>
  <si>
    <t>63421</t>
  </si>
  <si>
    <t>Диск пильный MATRIX ф230/32 z24 дер+ кольцо 30/32 /73229</t>
  </si>
  <si>
    <t>63424</t>
  </si>
  <si>
    <t>Диск пильный MATRIX ф230/32 z36 дер+ кольцо 30/32 Professional /73296</t>
  </si>
  <si>
    <t>63447</t>
  </si>
  <si>
    <t>Диск пильный MATRIX ф230/32 z48 дер+ кольцо 30/32 /73233</t>
  </si>
  <si>
    <t>63496</t>
  </si>
  <si>
    <t>Диск пильный MATRIX ф235/32 z48 дер+ кольцо 30/32 /73234</t>
  </si>
  <si>
    <t>63443</t>
  </si>
  <si>
    <t>Диск пильный MATRIX ф250/32 z48 дер. /73266</t>
  </si>
  <si>
    <t>63418</t>
  </si>
  <si>
    <t>Диск пильный MATRIX ф300/32 z48 дер. /73269</t>
  </si>
  <si>
    <t>63440</t>
  </si>
  <si>
    <t>Диск пильный SchanS ф350/32 z40 дер, t-4мм</t>
  </si>
  <si>
    <t>63570</t>
  </si>
  <si>
    <t>Диск пильный SchanS ф350/32 z44 дер</t>
  </si>
  <si>
    <t>63314</t>
  </si>
  <si>
    <t>Диск пильный Атака по алюминию ф216/30 z60</t>
  </si>
  <si>
    <t>63228</t>
  </si>
  <si>
    <t>Диск пильный Атака по алюминию ф300/30 z100</t>
  </si>
  <si>
    <t>63435</t>
  </si>
  <si>
    <t>Диск пильный Атака по алюминию ф355/25,4 z100</t>
  </si>
  <si>
    <t>63297</t>
  </si>
  <si>
    <t>Диск пильный Атака по дереву ф205/30 z24</t>
  </si>
  <si>
    <t>63482</t>
  </si>
  <si>
    <t>Диск пильный Атака по дереву ф216/30 z80</t>
  </si>
  <si>
    <t>63473</t>
  </si>
  <si>
    <t>Диск пильный Атака по ламинату ф200/30 z56</t>
  </si>
  <si>
    <t>63308</t>
  </si>
  <si>
    <t>Диск пильный Атака по ламинату ф200/32 z48</t>
  </si>
  <si>
    <t>63417</t>
  </si>
  <si>
    <t>Диск пильный Атака по ламинату ф200/32 z56</t>
  </si>
  <si>
    <t>63427</t>
  </si>
  <si>
    <t>Диск пильный Атака по ламинату ф230/30 z56 отрицательный</t>
  </si>
  <si>
    <t>63420</t>
  </si>
  <si>
    <t>Диск пильный Атака по ламинату ф230/30 z72 отрицательный</t>
  </si>
  <si>
    <t>63316</t>
  </si>
  <si>
    <t>Диск пильный БАРС ф160/20/16 z48 твердосплав. зубьев. /73359</t>
  </si>
  <si>
    <t>01156</t>
  </si>
  <si>
    <t>Диск пильный БАРС ф190/30 z48 твердосплав. зубьев. /73372</t>
  </si>
  <si>
    <t>63371</t>
  </si>
  <si>
    <t>Диск пильный БАРС ф200/32-30 z48 твердосплав. зубьев. /73376</t>
  </si>
  <si>
    <t>63280</t>
  </si>
  <si>
    <t>Диск пильный БАРС ф200/32-30 z60 твердосплав. зубьев. /73377</t>
  </si>
  <si>
    <t>00531</t>
  </si>
  <si>
    <t>Диск пильный БАРС ф230/32/30 z24 твердосплав. зубьев. /73383</t>
  </si>
  <si>
    <t>63375</t>
  </si>
  <si>
    <t>Диск пильный БАРС ф230/32/30 z48 твердосплав. зубьев. /73385</t>
  </si>
  <si>
    <t>63474</t>
  </si>
  <si>
    <t>Диск пильный СИБРТЕХ ф160/20 z36 дер+ кольцо 16/20 /732767</t>
  </si>
  <si>
    <t>02741</t>
  </si>
  <si>
    <t>Диск пильный СИБРТЕХ ф185/20 z36 дер+ кольцо 16/20 /732787</t>
  </si>
  <si>
    <t>01611</t>
  </si>
  <si>
    <t>Диск пильный СИБРТЕХ ф190/20 z48 зуба+ кольцо /732147</t>
  </si>
  <si>
    <t>02518</t>
  </si>
  <si>
    <t>Диск пильный СИБРТЕХ ф190/30 z24 дер /732177</t>
  </si>
  <si>
    <t>63478</t>
  </si>
  <si>
    <t>Диск пильный СИБРТЕХ ф190/30 z36 дер /732867</t>
  </si>
  <si>
    <t>04432</t>
  </si>
  <si>
    <t>Диск пильный СИБРТЕХ ф190/30 z48 дер /732197</t>
  </si>
  <si>
    <t>02025</t>
  </si>
  <si>
    <t>Диск пильный СИБРТЕХ ф210/30 z36 дер /732907</t>
  </si>
  <si>
    <t>63489</t>
  </si>
  <si>
    <t>Диск пильный Спарта ф125/22 z36 дер /732395</t>
  </si>
  <si>
    <t>63559</t>
  </si>
  <si>
    <t>Диск пильный Спарта ф150/22 z40 дер /732405</t>
  </si>
  <si>
    <t>63476</t>
  </si>
  <si>
    <t>Диск пильный Спарта ф180/22 z40 дер /732425</t>
  </si>
  <si>
    <t>63395</t>
  </si>
  <si>
    <t>Диск пильный Спарта ф200/22 z40 дер /732445</t>
  </si>
  <si>
    <t>63405</t>
  </si>
  <si>
    <t>Диск пильный Спарта ф230/22 z40 дер /732465</t>
  </si>
  <si>
    <t>635 Слесарно-сантехнический инструмент</t>
  </si>
  <si>
    <t>63521</t>
  </si>
  <si>
    <t>Клупп 1/4"-1/2"-3/4"-1"-1,25"+пл/дер. с трещ. 8 пред. /77332</t>
  </si>
  <si>
    <t>63527</t>
  </si>
  <si>
    <t>Клупп 1/4"-3/8"-1/2"-3/4"-1"-1 1/4"+пл/дер. с трещ. 9 пред. /773355</t>
  </si>
  <si>
    <t>63500</t>
  </si>
  <si>
    <t>Клупп СИБРТЕХ трубн. для нарез. резьбы 1" /77369</t>
  </si>
  <si>
    <t>63592</t>
  </si>
  <si>
    <t>Клупп СИБРТЕХ трубн. для нарез. резьбы 1/2" /77365</t>
  </si>
  <si>
    <t>65019</t>
  </si>
  <si>
    <t>Клупп СИБРТЕХ трубн. для нарез. резьбы 3/4" /77367</t>
  </si>
  <si>
    <t>63561</t>
  </si>
  <si>
    <t>Ключ трубный GROSS рычажный, №0, 0,5", цельнокованый CrV, тип-B /15620</t>
  </si>
  <si>
    <t>63597</t>
  </si>
  <si>
    <t>Ключ трубный GROSS рычажный, №0, 0,5", цельнокованый, CrV, тип-S /15610</t>
  </si>
  <si>
    <t>63530</t>
  </si>
  <si>
    <t>Ключ трубный GROSS рычажный, №0, 3/4", цельнокованый, CrV, тип-L /15600</t>
  </si>
  <si>
    <t>63513</t>
  </si>
  <si>
    <t>Ключ трубный GROSS рычажный, №1, 1", цельнокованый, CrV, тип-L /15601</t>
  </si>
  <si>
    <t>63557</t>
  </si>
  <si>
    <t>Ключ трубный GROSS рычажный, №1, 1", цельнокованый, CrV, тип-S /15611</t>
  </si>
  <si>
    <t>63501</t>
  </si>
  <si>
    <t>Ключ трубный GROSS рычажный, №2, 1,5", цельнокованый, CrV, тип-L /15603</t>
  </si>
  <si>
    <t>63505</t>
  </si>
  <si>
    <t>Ключ трубный GROSS рычажный, №2, 1,5", цельнокованый, CrV, тип-В /15622</t>
  </si>
  <si>
    <t>63524</t>
  </si>
  <si>
    <t>Ключ трубный GROSS рычажный, №3, 2", цельнокованый, CrV, тип-L /15605</t>
  </si>
  <si>
    <t>63562</t>
  </si>
  <si>
    <t>Ключ трубный GROSS рычажный, №3, 2", цельнокованый, CrV, тип-S /15615</t>
  </si>
  <si>
    <t>02203</t>
  </si>
  <si>
    <t>Ключ трубный GROSS рычажный, №4, 3", цельнокованый, CrV, тип-S /15616</t>
  </si>
  <si>
    <t>62266</t>
  </si>
  <si>
    <t>Ключ трубный НИЗ КТР №4 25-90мм /15794</t>
  </si>
  <si>
    <t>63511</t>
  </si>
  <si>
    <t>Ключ трубный СИБРТЕХ КТР-0 /15769</t>
  </si>
  <si>
    <t>63571</t>
  </si>
  <si>
    <t>Ключ трубный СИБРТЕХ КТР-1 /15770</t>
  </si>
  <si>
    <t>65015</t>
  </si>
  <si>
    <t>Ключ трубный СИБРТЕХ КТР-2 /15771</t>
  </si>
  <si>
    <t>65029</t>
  </si>
  <si>
    <t>Ключ трубный СИБРТЕХ КТР-3 /15772</t>
  </si>
  <si>
    <t>63526</t>
  </si>
  <si>
    <t>Ключ трубный СИБРТЕХ рычажный 330 х 25 мм, с изогнутыми губками /15736</t>
  </si>
  <si>
    <t>63525</t>
  </si>
  <si>
    <t>Ключ трубный СИБРТЕХ рычажный 405 х 37 мм, с изогнутыми губками /15740</t>
  </si>
  <si>
    <t>65040</t>
  </si>
  <si>
    <t>Ключ трубный СИБРТЕХ рычажный 545 х 50 мм, с изогнутыми губками /15744</t>
  </si>
  <si>
    <t>63550</t>
  </si>
  <si>
    <t>Ключ трубный СИБРТЕХ рычажный №0, литой /15757</t>
  </si>
  <si>
    <t>63572</t>
  </si>
  <si>
    <t>Ключ трубный СИБРТЕХ рычажный №1, литой /15758</t>
  </si>
  <si>
    <t>63517</t>
  </si>
  <si>
    <t>Ключ трубный СИБРТЕХ рычажный №2, литой /15759</t>
  </si>
  <si>
    <t>65007</t>
  </si>
  <si>
    <t>Ключ трубный СИБРТЕХ рычажный №3, литой /15761</t>
  </si>
  <si>
    <t>62329</t>
  </si>
  <si>
    <t>Ключ трубный Сосновское №2 рычажный</t>
  </si>
  <si>
    <t>63545</t>
  </si>
  <si>
    <t>Набор для трубных работ Ник</t>
  </si>
  <si>
    <t>65008</t>
  </si>
  <si>
    <t>Набор для трубных работ, 13 предметов Спарта /773345</t>
  </si>
  <si>
    <t>66024</t>
  </si>
  <si>
    <t>Резцы д/труб. клуппов 1/4 (4шт) /773605</t>
  </si>
  <si>
    <t>65020</t>
  </si>
  <si>
    <t>Ролик для трубореза 12-50мм Сибртех /787115</t>
  </si>
  <si>
    <t>63514</t>
  </si>
  <si>
    <t>Ролик для трубореза 25-75мм Сибртех /787165</t>
  </si>
  <si>
    <t>65012</t>
  </si>
  <si>
    <t>Ролик режущий для плиткореза MATRIX 22,0 х 10,5 х 2,0 мм /87670</t>
  </si>
  <si>
    <t>65044</t>
  </si>
  <si>
    <t>Ролик режущий для плиткореза MATRIX 22,0 х 6,0 х 2,0 мм /87669</t>
  </si>
  <si>
    <t>63502</t>
  </si>
  <si>
    <t>Трещетка д/клуппов СИБРТЕХ с удлинит /77373</t>
  </si>
  <si>
    <t>63585</t>
  </si>
  <si>
    <t>Трубогиб, до 15мм, для труб из металлопластика и мяг. металлов /181255</t>
  </si>
  <si>
    <t>63512</t>
  </si>
  <si>
    <t>Труборез 12-50мм Сибртех /78710</t>
  </si>
  <si>
    <t>63537</t>
  </si>
  <si>
    <t>Труборез 25-75мм Сибртех /78715</t>
  </si>
  <si>
    <t>63518</t>
  </si>
  <si>
    <t>Труборез 3-28мм MATRIX /78720</t>
  </si>
  <si>
    <t>63554</t>
  </si>
  <si>
    <t>Труборез ручной PIRANHA, 16мм (1/2") GROSS /78705</t>
  </si>
  <si>
    <t>63555</t>
  </si>
  <si>
    <t>Труборез ручной PIRANHA, 22мм (3/4") GROSS /78706</t>
  </si>
  <si>
    <t>636-639 Отвертки</t>
  </si>
  <si>
    <t>636 Отвертки MATRIX</t>
  </si>
  <si>
    <t>63652</t>
  </si>
  <si>
    <t>Отвертка 2-х стор. MATRIX Fusion SL6,0 / Ph2 мм /11451</t>
  </si>
  <si>
    <t>63675</t>
  </si>
  <si>
    <t>Отвертка 2-х стор. MATRIX SL6,0 / РН2 х38мм /11581</t>
  </si>
  <si>
    <t>63522</t>
  </si>
  <si>
    <t>Отвертка 2-х стор. MATRIX SL6.0/Ph2, CrV, антиск. двухкомп. ручка /12290</t>
  </si>
  <si>
    <t>01527</t>
  </si>
  <si>
    <t>Отвертка MATRIX с комб. битами для точных работ, PH0, PH000; SL 1.5, SL 3 CrV /11598</t>
  </si>
  <si>
    <t>63515</t>
  </si>
  <si>
    <t>Отвертка крест. MATRIX Anti-Slip двухкомп. ручка PH0*100мм /12238</t>
  </si>
  <si>
    <t>63617</t>
  </si>
  <si>
    <t>Отвертка крест. MATRIX Anti-Slip двухкомп. ручка PH1*100мм /12244</t>
  </si>
  <si>
    <t>63579</t>
  </si>
  <si>
    <t>Отвертка крест. MATRIX Anti-Slip двухкомп. ручка PH1*150мм /12246</t>
  </si>
  <si>
    <t>63523</t>
  </si>
  <si>
    <t>Отвертка крест. MATRIX Anti-Slip двухкомп. ручка PH1*38мм /12232</t>
  </si>
  <si>
    <t>63519</t>
  </si>
  <si>
    <t>Отвертка крест. MATRIX Anti-Slip двухкомп. ручка PH2*100мм /12248</t>
  </si>
  <si>
    <t>63648</t>
  </si>
  <si>
    <t>Отвертка крест. MATRIX Anti-Slip двухкомп. ручка PH2*150мм /12250</t>
  </si>
  <si>
    <t>63516</t>
  </si>
  <si>
    <t>Отвертка крест. MATRIX Anti-Slip двухкомп. ручка PH2*38мм /12234</t>
  </si>
  <si>
    <t>63678</t>
  </si>
  <si>
    <t>Отвертка крест. MATRIX FUSION антиск. трехк. ручка PH0*100мм CrV /11435</t>
  </si>
  <si>
    <t>63679</t>
  </si>
  <si>
    <t>Отвертка крест. MATRIX FUSION антиск. трехк. ручка PH0*150мм CrV /11436</t>
  </si>
  <si>
    <t>63598</t>
  </si>
  <si>
    <t>Отвертка крест. MATRIX FUSION антиск. трехк. ручка PH0*80мм CrV /11432</t>
  </si>
  <si>
    <t>63534</t>
  </si>
  <si>
    <t>Отвертка крест. MATRIX FUSION антиск. трехк. ручка PH1*100мм CrV /11438</t>
  </si>
  <si>
    <t>63503</t>
  </si>
  <si>
    <t>Отвертка крест. MATRIX FUSION антиск. трехк. ручка PH1*150мм CrV /11439</t>
  </si>
  <si>
    <t>63653</t>
  </si>
  <si>
    <t>Отвертка крест. MATRIX FUSION антиск. трехк. ручка PH1*38мм CrV /11429</t>
  </si>
  <si>
    <t>63546</t>
  </si>
  <si>
    <t>Отвертка крест. MATRIX FUSION антиск. трехк. ручка PH1*75мм CrV /11440</t>
  </si>
  <si>
    <t>63684</t>
  </si>
  <si>
    <t>Отвертка крест. MATRIX FUSION антиск. трехк. ручка PH2*100мм CrV /11441</t>
  </si>
  <si>
    <t>63646</t>
  </si>
  <si>
    <t>Отвертка крест. MATRIX FUSION антиск. трехк. ручка PH2*150мм CrV /11443</t>
  </si>
  <si>
    <t>63656</t>
  </si>
  <si>
    <t>Отвертка крест. MATRIX FUSION антиск. трехк. ручка PH2*200мм CrV /11442</t>
  </si>
  <si>
    <t>63654</t>
  </si>
  <si>
    <t>Отвертка крест. MATRIX FUSION антиск. трехк. ручка PH2*38мм CrV /11431</t>
  </si>
  <si>
    <t>63687</t>
  </si>
  <si>
    <t>Отвертка крест. MATRIX FUSION антиск. трехк. ручка PH3*150мм CrV /11445</t>
  </si>
  <si>
    <t>63630</t>
  </si>
  <si>
    <t>Отвертка крест. MATRIX FUSION антиск. трехк. ручка PH3*250мм CrV /11449</t>
  </si>
  <si>
    <t>63691</t>
  </si>
  <si>
    <t>Отвертка крест. MATRIX PROF двухкомп. ручка Ph0*100мм S2 /11838</t>
  </si>
  <si>
    <t>63532</t>
  </si>
  <si>
    <t>Отвертка крест. MATRIX PROF двухкомп. ручка PH2*100мм S2 /11844</t>
  </si>
  <si>
    <t>63549</t>
  </si>
  <si>
    <t>Отвертка крест. MATRIX PROF двухкомп. ручка PH2*150мм S2 /11846</t>
  </si>
  <si>
    <t>63626</t>
  </si>
  <si>
    <t>Отвертка крест. MATRIX PROF двухкомп. ручка РZ3*150мм SVMC /11952</t>
  </si>
  <si>
    <t>63508</t>
  </si>
  <si>
    <t>Отвертка крест. MATRIX PROF двухкомп. ручка РН1*100мм S2 /11842</t>
  </si>
  <si>
    <t>63506</t>
  </si>
  <si>
    <t>Отвертка крест. MATRIX PROF двухкомп. ручка РН1*75мм S2 /11840</t>
  </si>
  <si>
    <t>63659</t>
  </si>
  <si>
    <t>Отвертка крест. MATRIX PROF двухкомп. ручка РН2*200мм S2 /11848</t>
  </si>
  <si>
    <t>65913</t>
  </si>
  <si>
    <t>Отвертка крест. MATRIX PROF двухкомп. ручка РН3*150мм S2 /11852</t>
  </si>
  <si>
    <t>63666</t>
  </si>
  <si>
    <t>Отвертка плоская MATRIX Anti-Slip двухкомп. ручка SL3,0*100мм /12208</t>
  </si>
  <si>
    <t>63620</t>
  </si>
  <si>
    <t>Отвертка плоская MATRIX Anti-Slip двухкомп. ручка SL4,0*100мм /12210</t>
  </si>
  <si>
    <t>63711</t>
  </si>
  <si>
    <t>Отвертка плоская MATRIX Anti-Slip двухкомп. ручка SL5,0*100мм /12216</t>
  </si>
  <si>
    <t>63957</t>
  </si>
  <si>
    <t>Отвертка плоская MATRIX Anti-Slip двухкомп. ручка SL5,0*38мм /12202</t>
  </si>
  <si>
    <t>63564</t>
  </si>
  <si>
    <t>Отвертка плоская MATRIX Anti-Slip двухкомп. ручка SL6,0*100мм /12220</t>
  </si>
  <si>
    <t>63636</t>
  </si>
  <si>
    <t>Отвертка плоская MATRIX Anti-Slip двухкомп. ручка SL6,0*150мм /12222</t>
  </si>
  <si>
    <t>63520</t>
  </si>
  <si>
    <t>Отвертка плоская MATRIX Anti-Slip двухкомп. ручка SL8,0*150мм /12226</t>
  </si>
  <si>
    <t>63667</t>
  </si>
  <si>
    <t>Отвертка плоская MATRIX FUSION антиск. трехк. ручка 3,0*100мм CrV /11408</t>
  </si>
  <si>
    <t>63673</t>
  </si>
  <si>
    <t>Отвертка плоская MATRIX FUSION антиск. трехк. ручка 3,0*200мм CrV /11410</t>
  </si>
  <si>
    <t>63621</t>
  </si>
  <si>
    <t>Отвертка плоская MATRIX FUSION антиск. трехк. ручка 3,0*80мм CrV /11406</t>
  </si>
  <si>
    <t>63694</t>
  </si>
  <si>
    <t>Отвертка плоская MATRIX FUSION антиск. трехк. ручка 4,0*100мм CrV /11412</t>
  </si>
  <si>
    <t>63685</t>
  </si>
  <si>
    <t>Отвертка плоская MATRIX FUSION антиск. трехк. ручка 4,0*150мм CrV /11414</t>
  </si>
  <si>
    <t>63531</t>
  </si>
  <si>
    <t>Отвертка плоская MATRIX FUSION антиск. трехк. ручка 5,0*100мм CrV /11419</t>
  </si>
  <si>
    <t>63528</t>
  </si>
  <si>
    <t>Отвертка плоская MATRIX FUSION антиск. трехк. ручка 5,0*150мм CrV /11420</t>
  </si>
  <si>
    <t>63670</t>
  </si>
  <si>
    <t>Отвертка плоская MATRIX FUSION антиск. трехк. ручка 5,0*38мм CrV /11402</t>
  </si>
  <si>
    <t>63535</t>
  </si>
  <si>
    <t>Отвертка плоская MATRIX FUSION антиск. трехк. ручка 6,0*100мм CrV /11423</t>
  </si>
  <si>
    <t>63548</t>
  </si>
  <si>
    <t>Отвертка плоская MATRIX FUSION антиск. трехк. ручка 6,0*150мм CrV /11424</t>
  </si>
  <si>
    <t>63604</t>
  </si>
  <si>
    <t>Отвертка плоская MATRIX FUSION антиск. трехк. ручка 6,0*200мм CrV /11418</t>
  </si>
  <si>
    <t>63696</t>
  </si>
  <si>
    <t>Отвертка плоская MATRIX FUSION антиск. трехк. ручка 8,0*200мм CrV /11426</t>
  </si>
  <si>
    <t>63611</t>
  </si>
  <si>
    <t>Отвертка плоская MATRIX Insulated, до 1000В, SL5,5*125мм /12918</t>
  </si>
  <si>
    <t>63644</t>
  </si>
  <si>
    <t>Отвертка плоская MATRIX Insulated, до 1000В, SL8,0*150мм S2 /12922</t>
  </si>
  <si>
    <t>63674</t>
  </si>
  <si>
    <t>Отвертка плоская MATRIX PROF двухкомп. ручка SL6,5*100мм S2 /11820</t>
  </si>
  <si>
    <t>63608</t>
  </si>
  <si>
    <t>Отвертка плоская MATRIX PROF двухкомп. ручка SL6,5*150мм S2 /11824</t>
  </si>
  <si>
    <t>63618</t>
  </si>
  <si>
    <t>Отвертка ударная MATRIX PH1*75 мм двух-компонентная рукоятка, CrV /19118</t>
  </si>
  <si>
    <t>01206</t>
  </si>
  <si>
    <t>Отвертка ударная MATRIX PH2*100 мм двух-компонентная рукоятка, CrV /19119</t>
  </si>
  <si>
    <t>01202</t>
  </si>
  <si>
    <t>Отвертка ударная MATRIX SL5*75 мм двух-компонентная рукоятка, CrV /19114</t>
  </si>
  <si>
    <t>63600</t>
  </si>
  <si>
    <t>Отвертка ударная MATRIX SL6*100 мм двух-компонентная рукоятка, CrV /19115</t>
  </si>
  <si>
    <t>63607</t>
  </si>
  <si>
    <t>Отвертка ударная MATRIX SL6*150 мм двух-компонентная рукоятка, CrV /19116</t>
  </si>
  <si>
    <t>63606</t>
  </si>
  <si>
    <t>Отвертка ударная MATRIX SL8*150 мм двух-компонентная рукоятка, CrV /19117</t>
  </si>
  <si>
    <t>637 Отвертки прочие</t>
  </si>
  <si>
    <t>63881</t>
  </si>
  <si>
    <t>Отвертка 2-х стор. SPARTA SL6,0 РН2 /115875</t>
  </si>
  <si>
    <t>00710</t>
  </si>
  <si>
    <t>Отвертка SPARTA Point Ph1*100мм, CrV, 2-х компонентная рукоятка /11775</t>
  </si>
  <si>
    <t>00712</t>
  </si>
  <si>
    <t>Отвертка SPARTA Point Ph1*38мм, CrV, 2-х компонентная рукоятка /11771</t>
  </si>
  <si>
    <t>00713</t>
  </si>
  <si>
    <t>Отвертка SPARTA Point Ph1*75мм, CrV, 2-х компонентная рукоятка /11777</t>
  </si>
  <si>
    <t>00714</t>
  </si>
  <si>
    <t>Отвертка SPARTA Point Ph2*100мм, CrV, 2-х компонентная рукоятка /11778</t>
  </si>
  <si>
    <t>00716</t>
  </si>
  <si>
    <t>Отвертка SPARTA Point Ph2*200мм, CrV, 2-х компонентная рукоятка /11779</t>
  </si>
  <si>
    <t>63701</t>
  </si>
  <si>
    <t>Отвертка SPARTA Point Ph2*38мм, CrV, 2-х компонентная рукоятка /11772</t>
  </si>
  <si>
    <t>00717</t>
  </si>
  <si>
    <t>Отвертка SPARTA Point SL3,0*100мм, CrV, 2-х компонентная рукоятка /11762</t>
  </si>
  <si>
    <t>00734</t>
  </si>
  <si>
    <t>Отвертка SPARTA Point SL4,0*100мм, CrV, 2-х компонентная рукоятка /11763</t>
  </si>
  <si>
    <t>63820</t>
  </si>
  <si>
    <t>Отвертка SPARTA Point SL5,0*100мм, CrV, 2-х компонентная рукоятка /11766</t>
  </si>
  <si>
    <t>00735</t>
  </si>
  <si>
    <t>Отвертка SPARTA Point SL5,0*50мм, CrV, 2-х компонентная рукоятка /11767</t>
  </si>
  <si>
    <t>63803</t>
  </si>
  <si>
    <t>Отвертка SPARTA Point SL5,0*75мм, CrV, 2-х компонентная рукоятка /11765</t>
  </si>
  <si>
    <t>00722</t>
  </si>
  <si>
    <t>Отвертка SPARTA Point SL6,0*150мм, CrV, 2-х компонентная рукоятка /11769</t>
  </si>
  <si>
    <t>63860</t>
  </si>
  <si>
    <t>Отвертка Диэлектрик крест PH1 8*175 Управдом 203221-3-17 /12/</t>
  </si>
  <si>
    <t>63872</t>
  </si>
  <si>
    <t>Отвертка Диэлектрик плоск. SL3 8*175 Управдом 203211-08-17 /12/</t>
  </si>
  <si>
    <t>63755</t>
  </si>
  <si>
    <t>Отвертка ЕРМАК 2в1 3*50 4 цв. 651-972 /12/480/</t>
  </si>
  <si>
    <t>63727</t>
  </si>
  <si>
    <t>Отвертка ЕРМАК 2в1 5*65 4 цв. 651-976 /12/288/</t>
  </si>
  <si>
    <t>63770</t>
  </si>
  <si>
    <t>Отвертка ЕРМАК 2в1 6*38 4 цв. 651-975 /12/288/</t>
  </si>
  <si>
    <t>63748</t>
  </si>
  <si>
    <t>Отвертка ЕРМАК 2в1 6*75 4 цв. 651-967 /12/</t>
  </si>
  <si>
    <t>63731</t>
  </si>
  <si>
    <t>Отвертка ЕРМАК с прорезиненной ручкой (-) SL3,2*100 мм 651-092 /5/240/</t>
  </si>
  <si>
    <t>63732</t>
  </si>
  <si>
    <t>Отвертка ЕРМАК с прорезиненной ручкой (-) SL4*100 мм 651-094 /5/240/</t>
  </si>
  <si>
    <t>63724</t>
  </si>
  <si>
    <t>Отвертка ЕРМАК с прорезиненной ручкой (-) SL5*100 мм 651-095 /5/240/</t>
  </si>
  <si>
    <t>63733</t>
  </si>
  <si>
    <t>Отвертка ЕРМАК с прорезиненной ручкой (-) SL6*100 мм 651-099 /5/240/</t>
  </si>
  <si>
    <t>63746</t>
  </si>
  <si>
    <t>Отвертка ЕРМАК с прорезиненной ручкой (+) PH0 4*100 мм 651-133 /5/240/</t>
  </si>
  <si>
    <t>63734</t>
  </si>
  <si>
    <t>Отвертка ЕРМАК с прорезиненной ручкой (+) PH1 5*100 мм 651-107 /5/240/</t>
  </si>
  <si>
    <t>63740</t>
  </si>
  <si>
    <t>Отвертка ЕРМАК с прорезиненной ручкой (+) PH2 6*100 мм 651-110 /5/</t>
  </si>
  <si>
    <t>63728</t>
  </si>
  <si>
    <t>Отвертка ЕРМАК с прорезиненной ручкой (+) PH2 6*150 мм 651-111 /5/240/</t>
  </si>
  <si>
    <t>63610</t>
  </si>
  <si>
    <t>Отвертка крест. Металлист 190№2 автом. маслобензостойкая</t>
  </si>
  <si>
    <t>63627</t>
  </si>
  <si>
    <t>Отвертка крест. Металлист 260№3 автом. маслобензостойкая</t>
  </si>
  <si>
    <t>63639</t>
  </si>
  <si>
    <t>Отвертка крест. Металлист 260№3 оксид. /80/</t>
  </si>
  <si>
    <t>64312</t>
  </si>
  <si>
    <t>Отвертка крест. Металлист 310№4 цинк /50/</t>
  </si>
  <si>
    <t>63602</t>
  </si>
  <si>
    <t>Отвертка плоская 160*0,4 цинк С</t>
  </si>
  <si>
    <t>63948</t>
  </si>
  <si>
    <t>Отвертка плоская 190*1*6,5 цинк С</t>
  </si>
  <si>
    <t>63742</t>
  </si>
  <si>
    <t>Отвертка плоская 250*1,4 цинк С</t>
  </si>
  <si>
    <t>63616</t>
  </si>
  <si>
    <t>Отвертка Сибртех диэлектрическая до 1000В, PH0*75mm, CrV /12934</t>
  </si>
  <si>
    <t>63619</t>
  </si>
  <si>
    <t>Отвертка Сибртех диэлектрическая до 1000В, PH1*80mm, CrV /12930</t>
  </si>
  <si>
    <t>63874</t>
  </si>
  <si>
    <t>Отвертка Сибртех диэлектрическая до 1000В, PH2*100mm, CrV /12929</t>
  </si>
  <si>
    <t>63622</t>
  </si>
  <si>
    <t>Отвертка Сибртех диэлектрическая до 1000В, SL3*75mm, CrV /12931</t>
  </si>
  <si>
    <t>63676</t>
  </si>
  <si>
    <t>Отвертка Сибртех диэлектрическая до 1000В, SL4*100mm, CrV /12932</t>
  </si>
  <si>
    <t>63680</t>
  </si>
  <si>
    <t>Отвертка Сибртех диэлектрическая до 1000В, SL5,5*125mm, CrV /12933</t>
  </si>
  <si>
    <t>63832</t>
  </si>
  <si>
    <t>Отвертка Сибртех диэлектрическая до 1000В, SL6,5*150mm, CrV /12935</t>
  </si>
  <si>
    <t>638 Отвертка с битами</t>
  </si>
  <si>
    <t>63826</t>
  </si>
  <si>
    <t>Отвертка MATRIX с битами 10шт Fusion CrV, трехкомп. ручка "anti slip" /11453</t>
  </si>
  <si>
    <t>63835</t>
  </si>
  <si>
    <t>Отвертка MATRIX с битами 14шт CrV /11337</t>
  </si>
  <si>
    <t>0222</t>
  </si>
  <si>
    <t>Отвертка реверс. Gross Механизм SmartPush 12 шт S2 /11611</t>
  </si>
  <si>
    <t>01011</t>
  </si>
  <si>
    <t>Отвертка реверс. MATRIX для точн работ набор бит и торц головок, удл, 32 предм. CrV /13370</t>
  </si>
  <si>
    <t>63845</t>
  </si>
  <si>
    <t>Отвертка реверс. MATRIX набор бит 11шт CrV /11546</t>
  </si>
  <si>
    <t>63829</t>
  </si>
  <si>
    <t>Отвертка реверс. MATRIX набор бит и насадок торц., CrV, 1/4", 16 шт /11332</t>
  </si>
  <si>
    <t>63857</t>
  </si>
  <si>
    <t>Отвертка реверс. SPARTA c шарниром + биты +головки, 19 шт /115545</t>
  </si>
  <si>
    <t>63848</t>
  </si>
  <si>
    <t>Отвертка реверс. SPARTA набор бит, 12шт CrV /11347</t>
  </si>
  <si>
    <t>63859</t>
  </si>
  <si>
    <t>Отвертка реверс. SPARTA набор бит, 9шт CrV /115455</t>
  </si>
  <si>
    <t>63933</t>
  </si>
  <si>
    <t>Отвертка реверс. БАРС мини с набором бит и торцевыми головками , 41 шт/13358</t>
  </si>
  <si>
    <t>63786</t>
  </si>
  <si>
    <t>Отвертка реверс. БАРС Т-образная, 15бит/13311</t>
  </si>
  <si>
    <t>63756</t>
  </si>
  <si>
    <t>Отвертка реверс. БАРС Т-образная, 18бит/13315</t>
  </si>
  <si>
    <t>63529</t>
  </si>
  <si>
    <t>Отвертка Т-образная MATRIX набор насадок и эргоном. ручка, 11шт, CrV /11567</t>
  </si>
  <si>
    <t>63596</t>
  </si>
  <si>
    <t>Отвертка Т-образная MATRIX набор насадок и эргоном. ручка, 19шт, CrV /11574</t>
  </si>
  <si>
    <t>63510</t>
  </si>
  <si>
    <t>Отвертка Т-образная MATRIX набор насадок, 36шт, CrV, бокс /11572</t>
  </si>
  <si>
    <t>63823</t>
  </si>
  <si>
    <t>Отвертка Т-образная набор бит, 11 шт /115655</t>
  </si>
  <si>
    <t>63878</t>
  </si>
  <si>
    <t>Отвертка ударная MATRIX 1/2" набор бит, 6шт., обрез. ручка, бокс /11579</t>
  </si>
  <si>
    <t>63892</t>
  </si>
  <si>
    <t>Отвертка ударная MATRIX 1/2" набор бит, 6шт., пласт бокс /11561</t>
  </si>
  <si>
    <t>63576</t>
  </si>
  <si>
    <t>Отвертка ударная MATRIX 1/2" набор бит, 6шт., пласт бокс /11575</t>
  </si>
  <si>
    <t>639 Наборы отверток</t>
  </si>
  <si>
    <t>63960</t>
  </si>
  <si>
    <t>Отвертка СИБРТЕХ комб SL5,0 / Ph1, SL6,0 / Ph2 /13377</t>
  </si>
  <si>
    <t>63896</t>
  </si>
  <si>
    <t>Отвертки GROSS 3шт, S2, трехкомп. ручка /12165</t>
  </si>
  <si>
    <t>63882</t>
  </si>
  <si>
    <t>Отвертки GROSS д/точных работ 6шт, CrMo, метал. обрезин. рукоятки /13346</t>
  </si>
  <si>
    <t>63898</t>
  </si>
  <si>
    <t>Отвертки GROSS комбинированные 3шт, S2, трехкомп. ручка /12167</t>
  </si>
  <si>
    <t>63919</t>
  </si>
  <si>
    <t>Отвертки MATRIX "Era" 3-комп. рукоятка, CrV, 5шт /13379</t>
  </si>
  <si>
    <t>63975</t>
  </si>
  <si>
    <t>Отвертки MATRIX 6шт (PH1x75, PH2x100, PH3x150, SL5x75, SL6x100, SL8x150) /19120</t>
  </si>
  <si>
    <t>63888</t>
  </si>
  <si>
    <t>Отвертки MATRIX Fusion 3-комп. рукоятка, CrV, 6шт /13351</t>
  </si>
  <si>
    <t>63809</t>
  </si>
  <si>
    <t>Отвертки MATRIX Fusion для точных работ, 6 шт, в пенале /13361</t>
  </si>
  <si>
    <t>63954</t>
  </si>
  <si>
    <t>Отвертки MATRIX Fusion на подвесной полке 18шт CrV /11452</t>
  </si>
  <si>
    <t>63808</t>
  </si>
  <si>
    <t>Отвертки MATRIX Fusion часовые 11шт /11582</t>
  </si>
  <si>
    <t>63856</t>
  </si>
  <si>
    <t>Отвертки MATRIX двухкомпонентные рукоятки, сталь S2, 6шт /13303</t>
  </si>
  <si>
    <t>63956</t>
  </si>
  <si>
    <t>Отвертки MATRIX для точных работ с моб телефонами, 8шт /11589</t>
  </si>
  <si>
    <t>63887</t>
  </si>
  <si>
    <t>Отвертки MATRIX часовые 22шт /11584</t>
  </si>
  <si>
    <t>63953</t>
  </si>
  <si>
    <t>Отвертки SPARTA "Point" 6шт CrV, 2-х компонентная рукоятка /11782</t>
  </si>
  <si>
    <t>63833</t>
  </si>
  <si>
    <t>Отвертки SPARTA 4шт (SL5x100, 6x100, PH1x100, 2x100), пласт. рукоятка /13220</t>
  </si>
  <si>
    <t>63827</t>
  </si>
  <si>
    <t>Отвертки SPARTA 8шт, 2-диэлек., 5-PH, SL, тестер 220В /135435</t>
  </si>
  <si>
    <t>60241</t>
  </si>
  <si>
    <t>Отвертки SPARTA CrV, биты, двухкомп. рукоят., 21 предмет /13309</t>
  </si>
  <si>
    <t>63976</t>
  </si>
  <si>
    <t>Отвертки SPARTA для точной механики, 11шт /133605</t>
  </si>
  <si>
    <t>63800</t>
  </si>
  <si>
    <t>Отвертки SPARTA для точной механики, 6шт /133445</t>
  </si>
  <si>
    <t>63847</t>
  </si>
  <si>
    <t>Отвертки WP 4-SL, 3-PH (81-2207)</t>
  </si>
  <si>
    <t>01255</t>
  </si>
  <si>
    <t>Отвертки Сибртех CrV для точных работ универсальн. 8 шт /13378</t>
  </si>
  <si>
    <t>63925</t>
  </si>
  <si>
    <t>Отвертки Сибртех CrV со сменными насадками, 5 шт /13384</t>
  </si>
  <si>
    <t>63906</t>
  </si>
  <si>
    <t>Отвертки Сибртех CrV универсальные трехкомп. рук. 6 шт /13374</t>
  </si>
  <si>
    <t>63909</t>
  </si>
  <si>
    <t>Отвертки Сибртех CrV универсальные трехкомп. рук. 8 шт /13375</t>
  </si>
  <si>
    <t>63928</t>
  </si>
  <si>
    <t>Отвертки Сибртех диэлектрических до 1000В, тестер, CrV, двухкомп. рук. (5шт) /12937</t>
  </si>
  <si>
    <t>640 Кусачки/Бокорезы/Щипцы</t>
  </si>
  <si>
    <t>64002</t>
  </si>
  <si>
    <t>Бокорезы MATRIX Mini авторазжим ИР ник. пок 130мм /17814</t>
  </si>
  <si>
    <t>64052</t>
  </si>
  <si>
    <t>Бокорезы MATRIX Premium 160 мм, трехкомп. рукоятки /17532</t>
  </si>
  <si>
    <t>64060</t>
  </si>
  <si>
    <t>Бокорезы MATRIX Premium 180 мм, трехкомп. рукоятки /17533</t>
  </si>
  <si>
    <t>64061</t>
  </si>
  <si>
    <t>Бокорезы MATRIX Premium 200 мм, трехкомп. рукоятки /17534</t>
  </si>
  <si>
    <t>64000</t>
  </si>
  <si>
    <t>Бокорезы MATRIX PRO Insulated, 160мм, двухкомпонентные рукоятки /17506</t>
  </si>
  <si>
    <t>64039</t>
  </si>
  <si>
    <t>Бокорезы MATRIX PRO Insulated, 180мм, двухкомпонентные рукоятки /17508</t>
  </si>
  <si>
    <t>64042</t>
  </si>
  <si>
    <t>Бокорезы MATRIX ИР шлифованные Black Nickel 160мм /17572</t>
  </si>
  <si>
    <t>64043</t>
  </si>
  <si>
    <t>Бокорезы MATRIX ИР шлифованные Black Nickel 180мм /17574</t>
  </si>
  <si>
    <t>64038</t>
  </si>
  <si>
    <t>Бокорезы MATRIX ИР шлифованные Black Nickel 200мм /17576</t>
  </si>
  <si>
    <t>64017</t>
  </si>
  <si>
    <t>Бокорезы MATRIX ИР шлифованные Econom 160мм /17594</t>
  </si>
  <si>
    <t>64036</t>
  </si>
  <si>
    <t>Бокорезы MATRIX ИР шлифованные Econom 180мм /17595</t>
  </si>
  <si>
    <t>64012</t>
  </si>
  <si>
    <t>Бокорезы MATRIX ИР шлифованные Econom 200мм /17596</t>
  </si>
  <si>
    <t>64031</t>
  </si>
  <si>
    <t>Бокорезы MATRIX ИР шлифованные Nickel 160мм /17520</t>
  </si>
  <si>
    <t>64032</t>
  </si>
  <si>
    <t>Бокорезы MATRIX ИР шлифованные Nickel 180мм /17522</t>
  </si>
  <si>
    <t>64033</t>
  </si>
  <si>
    <t>Бокорезы MATRIX ИР шлифованные Nickel 200мм /17524</t>
  </si>
  <si>
    <t>64020</t>
  </si>
  <si>
    <t>Бокорезы MATRIX ИР шлифованные Standard 160мм /17565</t>
  </si>
  <si>
    <t>64021</t>
  </si>
  <si>
    <t>Бокорезы MATRIX ИР шлифованные Standard 180мм /17567</t>
  </si>
  <si>
    <t>64022</t>
  </si>
  <si>
    <t>Бокорезы MATRIX ИР шлифованные Standard 200мм /17569</t>
  </si>
  <si>
    <t>64014</t>
  </si>
  <si>
    <t>Бокорезы SPARTA Classic 160мм шлиф., пласт. рукоятки /17558</t>
  </si>
  <si>
    <t>64040</t>
  </si>
  <si>
    <t>Бокорезы SPARTA Classic 180мм шлиф., пласт. рукоятки /17560</t>
  </si>
  <si>
    <t>64004</t>
  </si>
  <si>
    <t>Бокорезы SPARTA Classic шлиф., пласт. рукоятки /17562/</t>
  </si>
  <si>
    <t>64027</t>
  </si>
  <si>
    <t>Бокорезы SPARTA Comfort 160мм шлиф., двухкомп. рукоятки /17566/</t>
  </si>
  <si>
    <t>64016</t>
  </si>
  <si>
    <t>Бокорезы SPARTA Comfort 180мм шлиф., двухкомп. рукоятки /17568/</t>
  </si>
  <si>
    <t>64035</t>
  </si>
  <si>
    <t>Бокорезы SPARTA Comfort 200мм шлиф., двухкомп. рукоятки /17570/</t>
  </si>
  <si>
    <t>64024</t>
  </si>
  <si>
    <t>Бокорезы SPARTA Mini авторазжим ИР ник. пок 130мм /17824</t>
  </si>
  <si>
    <t>64059</t>
  </si>
  <si>
    <t>Бокорезы БАРС двухкомпонентные рукоятки, 160мм хром-ванадий /17597</t>
  </si>
  <si>
    <t>01294</t>
  </si>
  <si>
    <t>Бокорезы СИБРТЕХ двухкомпонентные рукоятки, 160 мм /17521</t>
  </si>
  <si>
    <t>64045</t>
  </si>
  <si>
    <t>Бокорезы СИБРТЕХ двухкомпонентные рукоятки, 180 мм /17523</t>
  </si>
  <si>
    <t>64048</t>
  </si>
  <si>
    <t>Бокорезы СИБРТЕХ двухкомпонентные рукоятки, 200 мм /17525</t>
  </si>
  <si>
    <t>64054</t>
  </si>
  <si>
    <t>Бокорезы СИБРТЕХ фосфатирование, трехкомп. рукоятки, 160 мм /17527</t>
  </si>
  <si>
    <t>64055</t>
  </si>
  <si>
    <t>Бокорезы СИБРТЕХ фосфатирование, трехкомп. рукоятки, 180 мм /17529</t>
  </si>
  <si>
    <t>60235</t>
  </si>
  <si>
    <t>Кусачки боковые НИЗ КБ-160 диэл. покрытие /15740 /5/</t>
  </si>
  <si>
    <t>64013</t>
  </si>
  <si>
    <t>Кусачки торцевые SPARTA Mini 105 мм, никел., авторазжим /17828</t>
  </si>
  <si>
    <t>62297</t>
  </si>
  <si>
    <t>Набор губцевого инструмента SPARTA 3-х предметов №2 /13545</t>
  </si>
  <si>
    <t>641 Плоскогубцы, длинногубцы</t>
  </si>
  <si>
    <t>64226</t>
  </si>
  <si>
    <t>Длинногубцы MATRIX Black NICKEL прямые, ИР шлиф. 160мм /17158</t>
  </si>
  <si>
    <t>64250</t>
  </si>
  <si>
    <t>Длинногубцы MATRIX Black NICKEL прямые, ИР шлиф. 180мм /17160</t>
  </si>
  <si>
    <t>64151</t>
  </si>
  <si>
    <t>Длинногубцы MATRIX Black NICKEL прямые, ИР шлиф. 200мм /17162</t>
  </si>
  <si>
    <t>64131</t>
  </si>
  <si>
    <t>Длинногубцы MATRIX Econom ИР шлиф. 160мм /17192</t>
  </si>
  <si>
    <t>64188</t>
  </si>
  <si>
    <t>Длинногубцы MATRIX Econom ИР шлиф. 180мм /17193</t>
  </si>
  <si>
    <t>64247</t>
  </si>
  <si>
    <t>Длинногубцы MATRIX Econom ИР шлиф. 200мм /17194</t>
  </si>
  <si>
    <t>64177</t>
  </si>
  <si>
    <t>Длинногубцы MATRIX NICKEL ИР шлиф. 200мм /17168</t>
  </si>
  <si>
    <t>64171</t>
  </si>
  <si>
    <t>Длинногубцы MATRIX Standard ИР шлиф. 180мм /17152</t>
  </si>
  <si>
    <t>64246</t>
  </si>
  <si>
    <t>Длинногубцы MATRIX Standard ИР шлиф. 200мм /17154</t>
  </si>
  <si>
    <t>64161</t>
  </si>
  <si>
    <t>Длинногубцы SPARTA Classic шлиф. 160мм /17157</t>
  </si>
  <si>
    <t>64123</t>
  </si>
  <si>
    <t>Длинногубцы SPARTA Classic шлиф. 180мм /17159</t>
  </si>
  <si>
    <t>64175</t>
  </si>
  <si>
    <t>Длинногубцы SPARTA Mini тонконосые изогнутые ИР ник. пок 130мм /17822</t>
  </si>
  <si>
    <t>64189</t>
  </si>
  <si>
    <t>Длинногубцы БАРС двухкомпонентные рукоятки 160мм /17178</t>
  </si>
  <si>
    <t>64104</t>
  </si>
  <si>
    <t>Длинногубцы изогнутые MATRIX Econom ИР шлиф. 160мм /17494</t>
  </si>
  <si>
    <t>64113</t>
  </si>
  <si>
    <t>Длинногубцы изогнутые MATRIX Econom ИР шлиф. 180мм /17495</t>
  </si>
  <si>
    <t>64129</t>
  </si>
  <si>
    <t>Длинногубцы изогнутые MATRIX Econom ИР шлиф. 200мм /17496</t>
  </si>
  <si>
    <t>64187</t>
  </si>
  <si>
    <t>Длинногубцы изогнутые MATRIX NICKEL ИР шлиф. 160мм /17420</t>
  </si>
  <si>
    <t>64252</t>
  </si>
  <si>
    <t>Длинногубцы изогнутые MATRIX NICKEL ИР шлиф. 180мм /17422</t>
  </si>
  <si>
    <t>64196</t>
  </si>
  <si>
    <t>Длинногубцы изогнутые MATRIX NICKEL ИР шлиф. 200мм /17424</t>
  </si>
  <si>
    <t>64167</t>
  </si>
  <si>
    <t>Длинногубцы изогнутые MATRIX с красно-черными ИР никел. 160мм /17458</t>
  </si>
  <si>
    <t>64168</t>
  </si>
  <si>
    <t>Длинногубцы изогнутые MATRIX с красно-черными ИР никел. 180мм /17460</t>
  </si>
  <si>
    <t>64170</t>
  </si>
  <si>
    <t>Длинногубцы изогнутые MATRIX с красно-черными ИР никел. 200мм /17462</t>
  </si>
  <si>
    <t>64184</t>
  </si>
  <si>
    <t>Круглогубцы MATRIX 160 мм, никел двухкомп рук NICKEL /17355</t>
  </si>
  <si>
    <t>03543</t>
  </si>
  <si>
    <t>Круглогубцы MATRIX Mini 125 мм авторазжим PRO /17835</t>
  </si>
  <si>
    <t>64260</t>
  </si>
  <si>
    <t>Плоскогубцы MATRIX Energies 180 мм, двойной рычажный механизм /16927</t>
  </si>
  <si>
    <t>64150</t>
  </si>
  <si>
    <t>Плоскогубцы MATRIX Mini авторазжим ИР ник. пок 130мм /17816</t>
  </si>
  <si>
    <t>64138</t>
  </si>
  <si>
    <t>Плоскогубцы MATRIX Mini тонконосые изогнутые ИР ник. пок 130мм /17812</t>
  </si>
  <si>
    <t>64148</t>
  </si>
  <si>
    <t>Плоскогубцы MATRIX Mini тонконосые ИР ник. пок 130мм /17810</t>
  </si>
  <si>
    <t>64136</t>
  </si>
  <si>
    <t>Плоскогубцы MATRIX с ИР красные Econom 160мм /16992</t>
  </si>
  <si>
    <t>61211</t>
  </si>
  <si>
    <t>Плоскогубцы MATRIX с ИР красные Econom 180мм /16993</t>
  </si>
  <si>
    <t>64139</t>
  </si>
  <si>
    <t>Плоскогубцы MATRIX с ИР красные Econom 200мм /16994</t>
  </si>
  <si>
    <t>64134</t>
  </si>
  <si>
    <t>Плоскогубцы MATRIX с красно-черными ИР никел. 160мм /16902</t>
  </si>
  <si>
    <t>64120</t>
  </si>
  <si>
    <t>Плоскогубцы MATRIX с красно-черными ИР никел. 180мм 16904</t>
  </si>
  <si>
    <t>64147</t>
  </si>
  <si>
    <t>Плоскогубцы MATRIX с красно-черными ИР никел. 200мм черные /16983</t>
  </si>
  <si>
    <t>64160</t>
  </si>
  <si>
    <t>Плоскогубцы MATRIX с пл. ИР шлиф. Standard 160мм /16969</t>
  </si>
  <si>
    <t>61212</t>
  </si>
  <si>
    <t>Плоскогубцы MATRIX с пл. ИР шлиф. Standard 200мм /16974</t>
  </si>
  <si>
    <t>64163</t>
  </si>
  <si>
    <t>Плоскогубцы SPARTA Mini авторазжим ИР ник. пок 130мм /17826</t>
  </si>
  <si>
    <t>64164</t>
  </si>
  <si>
    <t>Плоскогубцы SPARTA Mini тонконосые ИР ник. пок 130мм /17820</t>
  </si>
  <si>
    <t>64183</t>
  </si>
  <si>
    <t>Плоскогубцы SPARTA с пл. ИР шлиф. Classic 180мм /16958</t>
  </si>
  <si>
    <t>64192</t>
  </si>
  <si>
    <t>Плоскогубцы SPARTA с пл. ИР шлиф. Classic 200мм /16962</t>
  </si>
  <si>
    <t>64153</t>
  </si>
  <si>
    <t>Плоскогубцы SPARTA с пл. ИР шлиф. Comfort 160мм /16964</t>
  </si>
  <si>
    <t>64154</t>
  </si>
  <si>
    <t>Плоскогубцы SPARTA с пл. ИР шлиф. Comfort 180мм /16968</t>
  </si>
  <si>
    <t>64156</t>
  </si>
  <si>
    <t>Плоскогубцы SPARTA с пл. ИР шлиф. Comfort 200мм /16971</t>
  </si>
  <si>
    <t>64100</t>
  </si>
  <si>
    <t>Плоскогубцы БАРС комб. 160 мм, хром-ванадий, двухкомп. рукоятки /16996</t>
  </si>
  <si>
    <t>01964</t>
  </si>
  <si>
    <t>Плоскогубцы БАРС комб. 180 мм, хром-ванадий, двухкомп. рукоятки /16997</t>
  </si>
  <si>
    <t>64107</t>
  </si>
  <si>
    <t>Плоскогубцы БАРС комб. 200 мм, хром-ванадий, двухкомп. рукоятки /16998</t>
  </si>
  <si>
    <t>64182</t>
  </si>
  <si>
    <t>Плоскогубцы комбинир. Insulated 200мм, 2-х комп-ая рукоятка /16905</t>
  </si>
  <si>
    <t>64179</t>
  </si>
  <si>
    <t>Плоскогубцы комбинир. Insulated до 1000В 160мм, 2-х комп-ая рукоятка /16901</t>
  </si>
  <si>
    <t>64132</t>
  </si>
  <si>
    <t>Плоскогубцы НИЗ ПГК-200 декор.руч цинк/5/100/16986</t>
  </si>
  <si>
    <t>64144</t>
  </si>
  <si>
    <t>Плоскогубцы Павлово переставные 150мм цинк/С/</t>
  </si>
  <si>
    <t>64106</t>
  </si>
  <si>
    <t>Плоскогубцы СИБРТЕХ комб. 160мм, двухкомпонентные рукоятки /17050</t>
  </si>
  <si>
    <t>64140</t>
  </si>
  <si>
    <t>Плоскогубцы СИБРТЕХ комб. 180мм, двухкомпонентные рукоятки /17051</t>
  </si>
  <si>
    <t>642-643 Резьбонарезной инструмент</t>
  </si>
  <si>
    <t>642 Метчики /Наборы резьбонарезные</t>
  </si>
  <si>
    <t>64988</t>
  </si>
  <si>
    <t>Метчик М22 Томск ММСП</t>
  </si>
  <si>
    <t>64227</t>
  </si>
  <si>
    <t>Метчик М4 Томск</t>
  </si>
  <si>
    <t>64257</t>
  </si>
  <si>
    <t>Метчик М5 Томск</t>
  </si>
  <si>
    <t>64212</t>
  </si>
  <si>
    <t>Метчик М5 Томск ММСП комплект 2шт</t>
  </si>
  <si>
    <t>64264</t>
  </si>
  <si>
    <t>Метчик М6 Томск ММСП</t>
  </si>
  <si>
    <t>64207</t>
  </si>
  <si>
    <t>Метчик ручной М10*1,0 к-т Сибртех /76625</t>
  </si>
  <si>
    <t>64209</t>
  </si>
  <si>
    <t>Метчик ручной М10*1,25 к-т Сибртех /76627</t>
  </si>
  <si>
    <t>64211</t>
  </si>
  <si>
    <t>Метчик ручной М10*1,5 к-т Сибртех /76628</t>
  </si>
  <si>
    <t>64251</t>
  </si>
  <si>
    <t>Метчик ручной М12*1,25 к-т Сибртех /76631</t>
  </si>
  <si>
    <t>64214</t>
  </si>
  <si>
    <t>Метчик ручной М12*1,5 к-т Сибртех /76632</t>
  </si>
  <si>
    <t>64201</t>
  </si>
  <si>
    <t>Метчик ручной М12*1,75 к-т Сибртех /76634</t>
  </si>
  <si>
    <t>64217</t>
  </si>
  <si>
    <t>Метчик ручной М14*1,25 к-т Сибртех /76635</t>
  </si>
  <si>
    <t>64223</t>
  </si>
  <si>
    <t>Метчик ручной М14*1,5 к-т Сибртех /76636</t>
  </si>
  <si>
    <t>64272</t>
  </si>
  <si>
    <t>Метчик ручной М14*2,0 к-т Сибртех /76637</t>
  </si>
  <si>
    <t>64229</t>
  </si>
  <si>
    <t>Метчик ручной М16*1,5 к-т Сибртех /76644</t>
  </si>
  <si>
    <t>64224</t>
  </si>
  <si>
    <t>Метчик ручной М16*2,0 к-т Сибртех /76646</t>
  </si>
  <si>
    <t>60947</t>
  </si>
  <si>
    <t>Метчик ручной М18*2,5 к-т Сибртех /76648</t>
  </si>
  <si>
    <t>64231</t>
  </si>
  <si>
    <t>Метчик ручной М20*1,5 к-т Сибртех 2шт /76654</t>
  </si>
  <si>
    <t>64222</t>
  </si>
  <si>
    <t>Метчик ручной М20*2,5 к-т Сибртех /76656</t>
  </si>
  <si>
    <t>64205</t>
  </si>
  <si>
    <t>Метчик ручной М22*2,5 к-т Сибртех /76660</t>
  </si>
  <si>
    <t>60998</t>
  </si>
  <si>
    <t>Метчик ручной М24*3,0 к-т Сибртех /76665</t>
  </si>
  <si>
    <t>64230</t>
  </si>
  <si>
    <t>Метчик ручной М4*0,7 2шт к-т Сибртех /76609</t>
  </si>
  <si>
    <t>64215</t>
  </si>
  <si>
    <t>Метчик ручной М5*0,8 2 шт СИБРТЕХ /76613</t>
  </si>
  <si>
    <t>64248</t>
  </si>
  <si>
    <t>Метчик ручной М6*0,5 к-т Сибртех /76614</t>
  </si>
  <si>
    <t>64299</t>
  </si>
  <si>
    <t>Метчик ручной М6*1,0 к-т Сибртех /76617</t>
  </si>
  <si>
    <t>64233</t>
  </si>
  <si>
    <t>Метчик ручной М8*1,0 к-т Сибртех /76620</t>
  </si>
  <si>
    <t>64206</t>
  </si>
  <si>
    <t>Метчик ручной М8*1,25 к-т Сибртех /76622</t>
  </si>
  <si>
    <t>64236</t>
  </si>
  <si>
    <t>Метчики Сибртех М3-М12 8 предмет /77308</t>
  </si>
  <si>
    <t>64210</t>
  </si>
  <si>
    <t>Метчики+плашки MATRIX М3-М10 14шт /77345</t>
  </si>
  <si>
    <t>64245</t>
  </si>
  <si>
    <t>Метчики+плашки М3-М12+пл/дер.+мет/дер.+рез.+отв 40шт /773155</t>
  </si>
  <si>
    <t>64259</t>
  </si>
  <si>
    <t>Метчики+плашки М3-М12+плашкодер.+метчикодер. 20шт /773105</t>
  </si>
  <si>
    <t>64273</t>
  </si>
  <si>
    <t>Набор метчиков RinoPro 8 предметов</t>
  </si>
  <si>
    <t>64203</t>
  </si>
  <si>
    <t>Набор метчиков Сибртех 21 предмет /77307</t>
  </si>
  <si>
    <t>643 Плашки</t>
  </si>
  <si>
    <t>64319</t>
  </si>
  <si>
    <t>Вороток MATRIX с трещет. хромиров. М3-М8 /76905</t>
  </si>
  <si>
    <t>64301</t>
  </si>
  <si>
    <t>Вороток MATRIX с трещет. хромиров. М5-М12 /76907</t>
  </si>
  <si>
    <t>64313</t>
  </si>
  <si>
    <t>Вороток СИБРТЕХ хромиров. М3-М12 /76912</t>
  </si>
  <si>
    <t>64321</t>
  </si>
  <si>
    <t>Вороток СИБРТЕХ хромиров. М6-М20 /76920</t>
  </si>
  <si>
    <t>03692</t>
  </si>
  <si>
    <t>Вороток СИБРТЕХ хромиров. М6-М25 /76925</t>
  </si>
  <si>
    <t>64326</t>
  </si>
  <si>
    <t>Плашка М10 Томск ПЛКП /20/</t>
  </si>
  <si>
    <t>65462</t>
  </si>
  <si>
    <t>Плашка М14 Томск ПЛКП</t>
  </si>
  <si>
    <t>64320</t>
  </si>
  <si>
    <t>Плашка М3,5 Томск ПЛКП /20/</t>
  </si>
  <si>
    <t>64349</t>
  </si>
  <si>
    <t>Плашка М4*0,7 MATRIX Р6М5 /77071</t>
  </si>
  <si>
    <t>64317</t>
  </si>
  <si>
    <t>Плашка М5 Томск ПЛКП /10/</t>
  </si>
  <si>
    <t>64356</t>
  </si>
  <si>
    <t>Плашка М5*0,8 MATRIX Р6М5 /77073</t>
  </si>
  <si>
    <t>64335</t>
  </si>
  <si>
    <t>Плашка Сибртех М10*1,0 /77024</t>
  </si>
  <si>
    <t>64305</t>
  </si>
  <si>
    <t>Плашка Сибртех М10*1,25 /77025</t>
  </si>
  <si>
    <t>64308</t>
  </si>
  <si>
    <t>Плашка Сибртех М10*1,5 /77027</t>
  </si>
  <si>
    <t>64310</t>
  </si>
  <si>
    <t>Плашка Сибртех М12*1,25 /77030</t>
  </si>
  <si>
    <t>64314</t>
  </si>
  <si>
    <t>Плашка Сибртех М12*1,5 /77031</t>
  </si>
  <si>
    <t>64323</t>
  </si>
  <si>
    <t>Плашка Сибртех М12*1,75 /77032</t>
  </si>
  <si>
    <t>64325</t>
  </si>
  <si>
    <t>Плашка Сибртех М14*1,5 /77036</t>
  </si>
  <si>
    <t>64333</t>
  </si>
  <si>
    <t>Плашка Сибртех М14*2,0 /77037</t>
  </si>
  <si>
    <t>64302</t>
  </si>
  <si>
    <t>Плашка Сибртех М16*1,5 /77042</t>
  </si>
  <si>
    <t>64346</t>
  </si>
  <si>
    <t>Плашка Сибртех М16*2,0 /77044</t>
  </si>
  <si>
    <t>64351</t>
  </si>
  <si>
    <t>Плашка Сибртех М18*1,5 /77048</t>
  </si>
  <si>
    <t>64352</t>
  </si>
  <si>
    <t>Плашка Сибртех М18*2,0 /77050</t>
  </si>
  <si>
    <t>64358</t>
  </si>
  <si>
    <t>Плашка Сибртех М18*2,5 /77052</t>
  </si>
  <si>
    <t>64366</t>
  </si>
  <si>
    <t>Плашка Сибртех М20*1,5 /77054</t>
  </si>
  <si>
    <t>64368</t>
  </si>
  <si>
    <t>Плашка Сибртех М20*2,5 /77058</t>
  </si>
  <si>
    <t>64300</t>
  </si>
  <si>
    <t>Плашка Сибртех М3*0,5 /77005</t>
  </si>
  <si>
    <t>64303</t>
  </si>
  <si>
    <t>Плашка Сибртех М4*0,7 /77009</t>
  </si>
  <si>
    <t>64341</t>
  </si>
  <si>
    <t>Плашка Сибртех М5*0,5 /77010</t>
  </si>
  <si>
    <t>64307</t>
  </si>
  <si>
    <t>Плашка Сибртех М5*0,8 /77013</t>
  </si>
  <si>
    <t>66504</t>
  </si>
  <si>
    <t>Плашка Сибртех М6*0,5 /77015</t>
  </si>
  <si>
    <t>64347</t>
  </si>
  <si>
    <t>Плашка Сибртех М6*1,0 /77017</t>
  </si>
  <si>
    <t>64348</t>
  </si>
  <si>
    <t>Плашка Сибртех М8*1,0 /77019</t>
  </si>
  <si>
    <t>64304</t>
  </si>
  <si>
    <t>Плашка Сибртех М8*1,25 /77020</t>
  </si>
  <si>
    <t>64309</t>
  </si>
  <si>
    <t>Плашка трубная G1/2 Сибртех /77112</t>
  </si>
  <si>
    <t>64331</t>
  </si>
  <si>
    <t>Плашки Сибртех М3-М12, 8 предметов /77309</t>
  </si>
  <si>
    <t>64322</t>
  </si>
  <si>
    <t>Плашкодержатель СИБРТЕХ 20мм /77420</t>
  </si>
  <si>
    <t>64327</t>
  </si>
  <si>
    <t>Плашкодержатель СИБРТЕХ 25мм /77425</t>
  </si>
  <si>
    <t>64354</t>
  </si>
  <si>
    <t>Плашкодержатель СИБРТЕХ 38мм /77438</t>
  </si>
  <si>
    <t>64370</t>
  </si>
  <si>
    <t>Плашкодержатель СИБРТЕХ 45мм /77450</t>
  </si>
  <si>
    <t>644-651 Сверла</t>
  </si>
  <si>
    <t>644 Сверла прочие</t>
  </si>
  <si>
    <t>7073</t>
  </si>
  <si>
    <t>Сверло по мет. HSS титановое покрытие 13,0 мм "FIT" 34203 /5/</t>
  </si>
  <si>
    <t>64553</t>
  </si>
  <si>
    <t>Сверло по мет. Россия 13,5 Р6М5 д12мм /1/</t>
  </si>
  <si>
    <t>64578</t>
  </si>
  <si>
    <t>Сверло по мет. Россия 13,8 Р6М5 д12мм /1/</t>
  </si>
  <si>
    <t>65077</t>
  </si>
  <si>
    <t>Сверло по мет. Россия 17,4 Р6М5 д12мм /1/</t>
  </si>
  <si>
    <t>65048</t>
  </si>
  <si>
    <t>Сверло по мет. Россия 17,5 Р6М5 д12мм /1/</t>
  </si>
  <si>
    <t>64446</t>
  </si>
  <si>
    <t>Сверло по мет. Россия 2,1 Р6М5 левое /1/</t>
  </si>
  <si>
    <t>64450</t>
  </si>
  <si>
    <t>Сверло по мет. Россия 2,15 Р6М5 левое /1/</t>
  </si>
  <si>
    <t>64409</t>
  </si>
  <si>
    <t>Сверло по мет. Россия 2,3 Р6М5 левое /1/</t>
  </si>
  <si>
    <t>64447</t>
  </si>
  <si>
    <t>Сверло по мет. Россия 2,5 Р6М5 левое /1/</t>
  </si>
  <si>
    <t>64448</t>
  </si>
  <si>
    <t>Сверло по мет. Россия 2,7 Р6М5 левое /1/</t>
  </si>
  <si>
    <t>64595</t>
  </si>
  <si>
    <t>Сверло по мет. Россия 23,5 Р6М5 д12мм /1/</t>
  </si>
  <si>
    <t>64365</t>
  </si>
  <si>
    <t>Сверло по мет. Россия 25,5 Р6М5 д12мм /1/</t>
  </si>
  <si>
    <t>64604</t>
  </si>
  <si>
    <t>Сверло по мет. Россия 26,5 Р6М5 д12мм /1/</t>
  </si>
  <si>
    <t>64449</t>
  </si>
  <si>
    <t>Сверло по мет. Россия 3,0 Р6М5 левое /1/</t>
  </si>
  <si>
    <t>64451</t>
  </si>
  <si>
    <t>Сверло по мет. Россия 3,2 Р6М5 левое /1/</t>
  </si>
  <si>
    <t>64452</t>
  </si>
  <si>
    <t>Сверло по мет. Россия 3,3 Р6М5 левое /1/</t>
  </si>
  <si>
    <t>64454</t>
  </si>
  <si>
    <t>Сверло по мет. Россия 4,2 Р6М5 левое /1/</t>
  </si>
  <si>
    <t>64455</t>
  </si>
  <si>
    <t>Сверло по мет. Россия 4,5 Р6М5 левое /1/</t>
  </si>
  <si>
    <t>64411</t>
  </si>
  <si>
    <t>Сверло по мет. Россия 4,7 Р6М5 левое /1/</t>
  </si>
  <si>
    <t>64456</t>
  </si>
  <si>
    <t>Сверло по мет. Россия 4,8 Р6М5 левое /1/</t>
  </si>
  <si>
    <t>64458</t>
  </si>
  <si>
    <t>Сверло по мет. Россия 5,1 Р6М5 левое /1/</t>
  </si>
  <si>
    <t>64459</t>
  </si>
  <si>
    <t>Сверло по мет. Россия 5,4 Р6М5 левое /1/</t>
  </si>
  <si>
    <t>64460</t>
  </si>
  <si>
    <t>Сверло по мет. Россия 5,9 Р6М5 левое /1/</t>
  </si>
  <si>
    <t>64464</t>
  </si>
  <si>
    <t>Сверло по мет. Россия 6,1 Р6М5 левое /1/</t>
  </si>
  <si>
    <t>64412</t>
  </si>
  <si>
    <t>Сверло по мет. Россия 6,3 Р6М5 левое /1/</t>
  </si>
  <si>
    <t>64416</t>
  </si>
  <si>
    <t>Сверло по мет. Россия 6,4 Р6М5 левое /1/</t>
  </si>
  <si>
    <t>64422</t>
  </si>
  <si>
    <t>Сверло по мет. Россия 6,6 Р6М5 левое /1/</t>
  </si>
  <si>
    <t>64467</t>
  </si>
  <si>
    <t>Сверло по мет. Россия 6,7 Р6М5 левое /1/</t>
  </si>
  <si>
    <t>64428</t>
  </si>
  <si>
    <t>Сверло по мет. Россия 6,8 Р6М5 левое /1/</t>
  </si>
  <si>
    <t>64468</t>
  </si>
  <si>
    <t>Сверло по мет. Россия 8,2 Р6М5 левое /1/</t>
  </si>
  <si>
    <t>66074</t>
  </si>
  <si>
    <t>Сверло по мет. спиральное GROSS 12,0 мм, HSS-Co /72354</t>
  </si>
  <si>
    <t>66081</t>
  </si>
  <si>
    <t>Сверло по мет. спиральное GROSS 3,0 мм, 2шт, HSS-Co /72306</t>
  </si>
  <si>
    <t>64960</t>
  </si>
  <si>
    <t>Сверло по мет. ступенчат. 6-32мм /35-5-032</t>
  </si>
  <si>
    <t>64474</t>
  </si>
  <si>
    <t>Сверло-фреза МАТRIX 6мм унив. для корон. нитридтит. пок. хвост. цил. /72826</t>
  </si>
  <si>
    <t>645 Сверла Томск по металлу</t>
  </si>
  <si>
    <t>64568</t>
  </si>
  <si>
    <t>Сверло по мет. Томск 1,0 Р6М5 /100/</t>
  </si>
  <si>
    <t>64605</t>
  </si>
  <si>
    <t>Сверло по мет. Томск 1,05 Р6М5 /100/</t>
  </si>
  <si>
    <t>64863</t>
  </si>
  <si>
    <t>Сверло по мет. Томск 1,1 Р6М5 /100/</t>
  </si>
  <si>
    <t>64562</t>
  </si>
  <si>
    <t>Сверло по мет. Томск 1,2 Р6М5 /100/</t>
  </si>
  <si>
    <t>65171</t>
  </si>
  <si>
    <t>Сверло по мет. Томск 1,4 Р6М5 /100/</t>
  </si>
  <si>
    <t>64714</t>
  </si>
  <si>
    <t>Сверло по мет. Томск 1,5 Р6М5 /100/</t>
  </si>
  <si>
    <t>64569</t>
  </si>
  <si>
    <t>Сверло по мет. Томск 1,6 Р6М5 /100/</t>
  </si>
  <si>
    <t>65361</t>
  </si>
  <si>
    <t>Сверло по мет. Томск 1,7 Р6М5 /100/</t>
  </si>
  <si>
    <t>65362</t>
  </si>
  <si>
    <t>Сверло по мет. Томск 1,8 Р6М5 /100/</t>
  </si>
  <si>
    <t>64508</t>
  </si>
  <si>
    <t>Сверло по мет. Томск 1,9 Р6М5 /100/</t>
  </si>
  <si>
    <t>64522</t>
  </si>
  <si>
    <t>Сверло по мет. Томск 10,0 Р6М5 /15/</t>
  </si>
  <si>
    <t>64535</t>
  </si>
  <si>
    <t>Сверло по мет. Томск 10,2 Р6М5 /5/</t>
  </si>
  <si>
    <t>64500</t>
  </si>
  <si>
    <t>Сверло по мет. Томск 10,5 Р6М5 /15/</t>
  </si>
  <si>
    <t>64541</t>
  </si>
  <si>
    <t>Сверло по мет. Томск 11,5 Р6М5</t>
  </si>
  <si>
    <t>64738</t>
  </si>
  <si>
    <t>Сверло по мет. Томск 11,7 Р6М5</t>
  </si>
  <si>
    <t>64579</t>
  </si>
  <si>
    <t>Сверло по мет. Томск 12,0 Р6М5</t>
  </si>
  <si>
    <t>65427</t>
  </si>
  <si>
    <t>Сверло по мет. Томск 12,5 Р6М5 /15/</t>
  </si>
  <si>
    <t>64584</t>
  </si>
  <si>
    <t>Сверло по мет. Томск 12,8 Р6М5 /15/</t>
  </si>
  <si>
    <t>64740</t>
  </si>
  <si>
    <t>Сверло по мет. Томск 12,9 Р6М5 /15/</t>
  </si>
  <si>
    <t>64526</t>
  </si>
  <si>
    <t>Сверло по мет. Томск 13,0 Р6М5 /15/</t>
  </si>
  <si>
    <t>64536</t>
  </si>
  <si>
    <t>Сверло по мет. Томск 13,1 Р6М5 /15/</t>
  </si>
  <si>
    <t>64551</t>
  </si>
  <si>
    <t>Сверло по мет. Томск 13,3 Р6М5 /15/</t>
  </si>
  <si>
    <t>64524</t>
  </si>
  <si>
    <t>Сверло по мет. Томск 13,5 Р6М5 /15/</t>
  </si>
  <si>
    <t>64543</t>
  </si>
  <si>
    <t>Сверло по мет. Томск 14,0 Р6М5 /15/</t>
  </si>
  <si>
    <t>64544</t>
  </si>
  <si>
    <t>Сверло по мет. Томск 14,5 Р6М5 /15/</t>
  </si>
  <si>
    <t>65466</t>
  </si>
  <si>
    <t>Сверло по мет. Томск 15,0 Р6М5 /15/</t>
  </si>
  <si>
    <t>64748</t>
  </si>
  <si>
    <t>Сверло по мет. Томск 17,5 Р6М5 /15/</t>
  </si>
  <si>
    <t>64538</t>
  </si>
  <si>
    <t>Сверло по мет. Томск 18,5 Р6М5 /15/</t>
  </si>
  <si>
    <t>64750</t>
  </si>
  <si>
    <t>Сверло по мет. Томск 19,5 Р6М5 /15/</t>
  </si>
  <si>
    <t>64715</t>
  </si>
  <si>
    <t>Сверло по мет. Томск 2,0 Р6М5</t>
  </si>
  <si>
    <t>64716</t>
  </si>
  <si>
    <t>Сверло по мет. Томск 2,1 Р6М5</t>
  </si>
  <si>
    <t>64717</t>
  </si>
  <si>
    <t>Сверло по мет. Томск 2,2 Р6М5 /100/</t>
  </si>
  <si>
    <t>64513</t>
  </si>
  <si>
    <t>Сверло по мет. Томск 2,3 Р6М5 /100/</t>
  </si>
  <si>
    <t>64724</t>
  </si>
  <si>
    <t>Сверло по мет. Томск 2,35 Р6М5 /100/</t>
  </si>
  <si>
    <t>64718</t>
  </si>
  <si>
    <t>Сверло по мет. Томск 2,4 Р6М5</t>
  </si>
  <si>
    <t>64501</t>
  </si>
  <si>
    <t>Сверло по мет. Томск 2,5 Р6М5</t>
  </si>
  <si>
    <t>64566</t>
  </si>
  <si>
    <t>Сверло по мет. Томск 2,7 Р6М5 /100/</t>
  </si>
  <si>
    <t>64720</t>
  </si>
  <si>
    <t>Сверло по мет. Томск 2,8 Р6М5 /100/</t>
  </si>
  <si>
    <t>65364</t>
  </si>
  <si>
    <t>Сверло по мет. Томск 2,9 Р6М5 /100/</t>
  </si>
  <si>
    <t>64530</t>
  </si>
  <si>
    <t>Сверло по мет. Томск 3,0 Р6М5</t>
  </si>
  <si>
    <t>64592</t>
  </si>
  <si>
    <t>Сверло по мет. Томск 3,0*100/66 удлин.</t>
  </si>
  <si>
    <t>64560</t>
  </si>
  <si>
    <t>Сверло по мет. Томск 3,1 Р6М5 /100/</t>
  </si>
  <si>
    <t>64558</t>
  </si>
  <si>
    <t>Сверло по мет. Томск 3,2 Р6М5 /110/</t>
  </si>
  <si>
    <t>64565</t>
  </si>
  <si>
    <t>Сверло по мет. Томск 3,3 Р6М5 /200/</t>
  </si>
  <si>
    <t>65368</t>
  </si>
  <si>
    <t>Сверло по мет. Томск 3,4 Р6М5 /200/</t>
  </si>
  <si>
    <t>64559</t>
  </si>
  <si>
    <t>Сверло по мет. Томск 3,5 Р6М5 /100/</t>
  </si>
  <si>
    <t>65369</t>
  </si>
  <si>
    <t>Сверло по мет. Томск 3,6 Р6М5 /100/</t>
  </si>
  <si>
    <t>65370</t>
  </si>
  <si>
    <t>Сверло по мет. Томск 3,7 Р6М5 /100/</t>
  </si>
  <si>
    <t>64722</t>
  </si>
  <si>
    <t>Сверло по мет. Томск 3,8 Р6М5 /100/</t>
  </si>
  <si>
    <t>64533</t>
  </si>
  <si>
    <t>Сверло по мет. Томск 3,9 Р6М5</t>
  </si>
  <si>
    <t>64574</t>
  </si>
  <si>
    <t>Сверло по мет. Томск 4,0 Р6М5 /80/</t>
  </si>
  <si>
    <t>65277</t>
  </si>
  <si>
    <t>Сверло по мет. Томск 4,0*119/78 удлин.</t>
  </si>
  <si>
    <t>64534</t>
  </si>
  <si>
    <t>Сверло по мет. Томск 4,1 Р6М5 /100/</t>
  </si>
  <si>
    <t>64575</t>
  </si>
  <si>
    <t>Сверло по мет. Томск 4,2 Р6М5</t>
  </si>
  <si>
    <t>64570</t>
  </si>
  <si>
    <t>Сверло по мет. Томск 4,3 Р6М5 /100/</t>
  </si>
  <si>
    <t>65372</t>
  </si>
  <si>
    <t>Сверло по мет. Томск 4,4 Р6М5 /100/</t>
  </si>
  <si>
    <t>65415</t>
  </si>
  <si>
    <t>Сверло по мет. Томск 4,5 Р6М5 /100/</t>
  </si>
  <si>
    <t>65373</t>
  </si>
  <si>
    <t>Сверло по мет. Томск 4,6 Р6М5 /100/</t>
  </si>
  <si>
    <t>64727</t>
  </si>
  <si>
    <t>Сверло по мет. Томск 4,7 Р6М5 /100/</t>
  </si>
  <si>
    <t>65221</t>
  </si>
  <si>
    <t>Сверло по мет. Томск 4,8 Р6М5 /100/</t>
  </si>
  <si>
    <t>64511</t>
  </si>
  <si>
    <t>Сверло по мет. Томск 4,9 Р6М5 /100/</t>
  </si>
  <si>
    <t>64598</t>
  </si>
  <si>
    <t>Сверло по мет. Томск 5,0 Р6М5</t>
  </si>
  <si>
    <t>65278</t>
  </si>
  <si>
    <t>Сверло по мет. Томск 5,0*132/87 удлин.</t>
  </si>
  <si>
    <t>65375</t>
  </si>
  <si>
    <t>Сверло по мет. Томск 5,1 Р6М5 /100/</t>
  </si>
  <si>
    <t>65376</t>
  </si>
  <si>
    <t>Сверло по мет. Томск 5,2 Р6М5 /100/</t>
  </si>
  <si>
    <t>64539</t>
  </si>
  <si>
    <t>Сверло по мет. Томск 5,3 Р6М5 /100/</t>
  </si>
  <si>
    <t>64730</t>
  </si>
  <si>
    <t>Сверло по мет. Томск 5,4 HSS</t>
  </si>
  <si>
    <t>65378</t>
  </si>
  <si>
    <t>Сверло по мет. Томск 5,4 Р6М5 /100/</t>
  </si>
  <si>
    <t>65416</t>
  </si>
  <si>
    <t>Сверло по мет. Томск 5,5 Р6М5 /100/</t>
  </si>
  <si>
    <t>64739</t>
  </si>
  <si>
    <t>Сверло по мет. Томск 5,6 Р6М5 /100/</t>
  </si>
  <si>
    <t>65379</t>
  </si>
  <si>
    <t>Сверло по мет. Томск 5,7 Р6М5 /100/</t>
  </si>
  <si>
    <t>65380</t>
  </si>
  <si>
    <t>Сверло по мет. Томск 5,8 Р6М5</t>
  </si>
  <si>
    <t>64523</t>
  </si>
  <si>
    <t>Сверло по мет. Томск 5,9 Р6М5</t>
  </si>
  <si>
    <t>64502</t>
  </si>
  <si>
    <t>Сверло по мет. Томск 6,0 Р6М5 /100/</t>
  </si>
  <si>
    <t>64561</t>
  </si>
  <si>
    <t>Сверло по мет. Томск 6,1 Р6М5</t>
  </si>
  <si>
    <t>64503</t>
  </si>
  <si>
    <t>Сверло по мет. Томск 6,3 Р6М5 /100/</t>
  </si>
  <si>
    <t>65383</t>
  </si>
  <si>
    <t>Сверло по мет. Томск 6,4 Р6М5 /100/</t>
  </si>
  <si>
    <t>64885</t>
  </si>
  <si>
    <t>Сверло по мет. Томск 6,5 Р6М5 /100/</t>
  </si>
  <si>
    <t>64883</t>
  </si>
  <si>
    <t>Сверло по мет. Томск 6,6 Р6М5 /100/</t>
  </si>
  <si>
    <t>64518</t>
  </si>
  <si>
    <t>Сверло по мет. Томск 6,7 Р6М5 /100/</t>
  </si>
  <si>
    <t>65385</t>
  </si>
  <si>
    <t>Сверло по мет. Томск 6,8 Р6М5 /50/</t>
  </si>
  <si>
    <t>64912</t>
  </si>
  <si>
    <t>Сверло по мет. Томск 6,9 Р6М5</t>
  </si>
  <si>
    <t>65465</t>
  </si>
  <si>
    <t>Сверло по мет. Томск 7,0 Р6М5</t>
  </si>
  <si>
    <t>64540</t>
  </si>
  <si>
    <t>Сверло по мет. Томск 7,2 Р6М5</t>
  </si>
  <si>
    <t>65417</t>
  </si>
  <si>
    <t>Сверло по мет. Томск 7,3 Р6М5 /50/</t>
  </si>
  <si>
    <t>65418</t>
  </si>
  <si>
    <t>Сверло по мет. Томск 7,4 Р6М5 /50/</t>
  </si>
  <si>
    <t>65419</t>
  </si>
  <si>
    <t>Сверло по мет. Томск 7,5 Р6М5 /50/</t>
  </si>
  <si>
    <t>64515</t>
  </si>
  <si>
    <t>Сверло по мет. Томск 7,6 Р6М5 /50/</t>
  </si>
  <si>
    <t>65387</t>
  </si>
  <si>
    <t>Сверло по мет. Томск 7,7 Р6М5 /50/</t>
  </si>
  <si>
    <t>65388</t>
  </si>
  <si>
    <t>Сверло по мет. Томск 7,8 Р6М5 /50/</t>
  </si>
  <si>
    <t>64532</t>
  </si>
  <si>
    <t>Сверло по мет. Томск 7,9 Р6М5 /50/</t>
  </si>
  <si>
    <t>64550</t>
  </si>
  <si>
    <t>Сверло по мет. Томск 8,0*165/109 удлин.</t>
  </si>
  <si>
    <t>65188</t>
  </si>
  <si>
    <t>Сверло по мет. Томск 8,1 Р6М5 /50/</t>
  </si>
  <si>
    <t>64554</t>
  </si>
  <si>
    <t>Сверло по мет. Томск 8,4 Р6М5 /50/</t>
  </si>
  <si>
    <t>64512</t>
  </si>
  <si>
    <t>Сверло по мет. Томск 8,5 Р6М5 /50/</t>
  </si>
  <si>
    <t>64555</t>
  </si>
  <si>
    <t>Сверло по мет. Томск 8,6 Р6М5 /50/</t>
  </si>
  <si>
    <t>64556</t>
  </si>
  <si>
    <t>Сверло по мет. Томск 8,7 Р6М5</t>
  </si>
  <si>
    <t>64529</t>
  </si>
  <si>
    <t>Сверло по мет. Томск 8,8 Р6М5</t>
  </si>
  <si>
    <t>64519</t>
  </si>
  <si>
    <t>Сверло по мет. Томск 8,9 Р6М5</t>
  </si>
  <si>
    <t>64528</t>
  </si>
  <si>
    <t>Сверло по мет. Томск 9,0 Р6М5</t>
  </si>
  <si>
    <t>64849</t>
  </si>
  <si>
    <t>Сверло по мет. Томск 9,1 Р6М5</t>
  </si>
  <si>
    <t>65391</t>
  </si>
  <si>
    <t>Сверло по мет. Томск 9,2 Р6М5 /25/</t>
  </si>
  <si>
    <t>65392</t>
  </si>
  <si>
    <t>Сверло по мет. Томск 9,3 Р6М5 /15/</t>
  </si>
  <si>
    <t>65393</t>
  </si>
  <si>
    <t>Сверло по мет. Томск 9,4 Р6М5 /15/</t>
  </si>
  <si>
    <t>64929</t>
  </si>
  <si>
    <t>Сверло по мет. Томск 9,5 Р6М5</t>
  </si>
  <si>
    <t>65423</t>
  </si>
  <si>
    <t>Сверло по мет. Томск 9,6 Р6М5 /15/</t>
  </si>
  <si>
    <t>64537</t>
  </si>
  <si>
    <t>Сверло по мет. Томск 9,7 Р6М5 /15/</t>
  </si>
  <si>
    <t>65424</t>
  </si>
  <si>
    <t>Сверло по мет. Томск 9,8 Р6М5 /15/</t>
  </si>
  <si>
    <t>64520</t>
  </si>
  <si>
    <t>Сверло по мет. Томск 9,9 Р6М5 /15/</t>
  </si>
  <si>
    <t>64703</t>
  </si>
  <si>
    <t>Сверло по мет. Томск кобальт 3,0 Р6М5К5</t>
  </si>
  <si>
    <t>64704</t>
  </si>
  <si>
    <t>Сверло по мет. Томск кобальт 4,0 Р6М5К5</t>
  </si>
  <si>
    <t>64705</t>
  </si>
  <si>
    <t>Сверло по мет. Томск кобальт 5,0 Р6М5К5</t>
  </si>
  <si>
    <t>64708</t>
  </si>
  <si>
    <t>Сверло по мет. Томск кобальт 8,0 Р6М5К5</t>
  </si>
  <si>
    <t>646 Сверла Гранит, Энкор по металлу</t>
  </si>
  <si>
    <t>64896</t>
  </si>
  <si>
    <t>Сверло по мет. Воронеж 13,0*205/134мм 5шт удл.</t>
  </si>
  <si>
    <t>64659</t>
  </si>
  <si>
    <t>Сверло по мет. Воронеж 13,0мм 5шт.</t>
  </si>
  <si>
    <t>64693</t>
  </si>
  <si>
    <t>Сверло по мет. Воронеж 2,5мм 10шт.</t>
  </si>
  <si>
    <t>65092</t>
  </si>
  <si>
    <t>Сверло по мет. Воронеж 2,8мм Р6М5 3шт. блистер</t>
  </si>
  <si>
    <t>64657</t>
  </si>
  <si>
    <t>Сверло по мет. Воронеж 5,1мм 10шт.</t>
  </si>
  <si>
    <t>64663</t>
  </si>
  <si>
    <t>Сверло по мет. Воронеж 5,3мм 10шт.</t>
  </si>
  <si>
    <t>63580</t>
  </si>
  <si>
    <t>Сверло по мет. Воронеж 5,7мм 10шт.</t>
  </si>
  <si>
    <t>64666</t>
  </si>
  <si>
    <t>Сверло по мет. Воронеж 6,8мм 10шт.</t>
  </si>
  <si>
    <t>64987</t>
  </si>
  <si>
    <t>Сверло по мет. Воронеж 7,0*156/102мм 10шт. удл.</t>
  </si>
  <si>
    <t>64593</t>
  </si>
  <si>
    <t>Сверло по мет. Воронеж 7,2мм 10шт.</t>
  </si>
  <si>
    <t>64989</t>
  </si>
  <si>
    <t>Сверло по мет. Воронеж 7,3мм 10шт.</t>
  </si>
  <si>
    <t>65059</t>
  </si>
  <si>
    <t>Сверло по мет. Воронеж 7,4мм 10шт.</t>
  </si>
  <si>
    <t>64732</t>
  </si>
  <si>
    <t>Сверло по мет. Воронеж 7,5*156/102мм 10шт. удл.</t>
  </si>
  <si>
    <t>64572</t>
  </si>
  <si>
    <t>Сверло по мет. Воронеж 7,5мм 10шт.</t>
  </si>
  <si>
    <t>63229</t>
  </si>
  <si>
    <t>Сверло по мет. Воронеж 7,6мм 10шт.</t>
  </si>
  <si>
    <t>63236</t>
  </si>
  <si>
    <t>Сверло по мет. Воронеж 7,7мм 10шт.</t>
  </si>
  <si>
    <t>64625</t>
  </si>
  <si>
    <t>Сверло по мет. Воронеж 7,8мм 10шт.</t>
  </si>
  <si>
    <t>64596</t>
  </si>
  <si>
    <t>Сверло по мет. Воронеж 7,9мм Р6М5 1шт.</t>
  </si>
  <si>
    <t>63613</t>
  </si>
  <si>
    <t>Сверло по мет. Воронеж 8,8мм 5шт.</t>
  </si>
  <si>
    <t>63614</t>
  </si>
  <si>
    <t>Сверло по мет. Воронеж 8,9мм 5шт.</t>
  </si>
  <si>
    <t>64677</t>
  </si>
  <si>
    <t>Сверло по мет. Воронеж 9,0*175/115мм 5шт. удл.</t>
  </si>
  <si>
    <t>64623</t>
  </si>
  <si>
    <t>Сверло по мет. Воронеж 9,0мм 1шт.</t>
  </si>
  <si>
    <t>64652</t>
  </si>
  <si>
    <t>Сверло по мет. Воронеж 9,1мм 5шт.</t>
  </si>
  <si>
    <t>65223</t>
  </si>
  <si>
    <t>Сверло по мет. Воронеж 9,2мм 5шт.</t>
  </si>
  <si>
    <t>63615</t>
  </si>
  <si>
    <t>Сверло по мет. Воронеж 9,4мм 5шт.</t>
  </si>
  <si>
    <t>646870</t>
  </si>
  <si>
    <t>Сверло по мет. Воронеж 9,5*175/115мм удл. 1шт.</t>
  </si>
  <si>
    <t>65253</t>
  </si>
  <si>
    <t>Сверло по мет. Воронеж 9,8мм Р6М5</t>
  </si>
  <si>
    <t>64650</t>
  </si>
  <si>
    <t>Сверло по мет. ГРАНИТ HSS-Co 10,2х133мм 1шт. /165004</t>
  </si>
  <si>
    <t>64651</t>
  </si>
  <si>
    <t>Сверло по мет. ГРАНИТ HSS-Co 10,5х133мм 1шт. /165005</t>
  </si>
  <si>
    <t>64653</t>
  </si>
  <si>
    <t>Сверло по мет. ГРАНИТ HSS-Co 11,0х142мм 1шт. /165006</t>
  </si>
  <si>
    <t>64654</t>
  </si>
  <si>
    <t>Сверло по мет. ГРАНИТ HSS-Co 11,5х142мм 1шт. /165007</t>
  </si>
  <si>
    <t>64655</t>
  </si>
  <si>
    <t>Сверло по мет. ГРАНИТ HSS-Co 12,0х151мм 1шт. /165008</t>
  </si>
  <si>
    <t>64656</t>
  </si>
  <si>
    <t>Сверло по мет. ГРАНИТ HSS-Co 12,5х151мм 1шт. /165009</t>
  </si>
  <si>
    <t>64658</t>
  </si>
  <si>
    <t>Сверло по мет. ГРАНИТ HSS-Co 13,0х151мм 1шт. /165010</t>
  </si>
  <si>
    <t>64661</t>
  </si>
  <si>
    <t>Сверло по мет. ГРАНИТ HSS-Co 2,0х49мм 1шт. /165011</t>
  </si>
  <si>
    <t>64662</t>
  </si>
  <si>
    <t>Сверло по мет. ГРАНИТ HSS-Co 2,5х57мм 1шт. /165012</t>
  </si>
  <si>
    <t>64612</t>
  </si>
  <si>
    <t>Сверло по мет. ГРАНИТ HSS-Co 3,0х61мм 1шт. /165013</t>
  </si>
  <si>
    <t>64614</t>
  </si>
  <si>
    <t>Сверло по мет. ГРАНИТ HSS-Co 3,2х65мм 1шт. /165014</t>
  </si>
  <si>
    <t>64615</t>
  </si>
  <si>
    <t>Сверло по мет. ГРАНИТ HSS-Co 3,3х65мм 1шт. /165015</t>
  </si>
  <si>
    <t>64668</t>
  </si>
  <si>
    <t>Сверло по мет. ГРАНИТ HSS-Co 4,5х80мм 1шт. /165019</t>
  </si>
  <si>
    <t>64669</t>
  </si>
  <si>
    <t>Сверло по мет. ГРАНИТ HSS-Co 4,8х86мм 1шт. /165210</t>
  </si>
  <si>
    <t>64619</t>
  </si>
  <si>
    <t>Сверло по мет. ГРАНИТ HSS-Co 6,5х101мм 1шт. /165023</t>
  </si>
  <si>
    <t>64620</t>
  </si>
  <si>
    <t>Сверло по мет. ГРАНИТ HSS-Co 6,8х109мм 1шт. /165024</t>
  </si>
  <si>
    <t>64672</t>
  </si>
  <si>
    <t>Сверло по мет. ГРАНИТ HSS-Co 8,0х86мм 1шт. /165027</t>
  </si>
  <si>
    <t>64674</t>
  </si>
  <si>
    <t>Сверло по мет. ГРАНИТ HSS-Co 9,0х125мм 1шт. /165029</t>
  </si>
  <si>
    <t>64622</t>
  </si>
  <si>
    <t>Сверло по мет. ГРАНИТ HSS-G 1,0х34мм 1шт. /165031</t>
  </si>
  <si>
    <t>64624</t>
  </si>
  <si>
    <t>Сверло по мет. ГРАНИТ HSS-G 1,5х40мм 1шт. /165032</t>
  </si>
  <si>
    <t>64676</t>
  </si>
  <si>
    <t>Сверло по мет. ГРАНИТ HSS-G 10,0х133мм 1шт. /165033</t>
  </si>
  <si>
    <t>64626</t>
  </si>
  <si>
    <t>Сверло по мет. ГРАНИТ HSS-G 10,2х133мм 1шт. /165034</t>
  </si>
  <si>
    <t>64627</t>
  </si>
  <si>
    <t>Сверло по мет. ГРАНИТ HSS-G 10,5х133мм 1шт. /165035</t>
  </si>
  <si>
    <t>64678</t>
  </si>
  <si>
    <t>Сверло по мет. ГРАНИТ HSS-G 11,0х142мм 1шт. /165036</t>
  </si>
  <si>
    <t>64628</t>
  </si>
  <si>
    <t>Сверло по мет. ГРАНИТ HSS-G 11,5х133мм 1шт. /165037</t>
  </si>
  <si>
    <t>64629</t>
  </si>
  <si>
    <t>Сверло по мет. ГРАНИТ HSS-G 12,0х133мм 1шт. /165038</t>
  </si>
  <si>
    <t>64630</t>
  </si>
  <si>
    <t>Сверло по мет. ГРАНИТ HSS-G 13,0х151мм 1шт. /165040</t>
  </si>
  <si>
    <t>64679</t>
  </si>
  <si>
    <t>Сверло по мет. ГРАНИТ HSS-G 2,0х49мм 1шт. /165041</t>
  </si>
  <si>
    <t>64680</t>
  </si>
  <si>
    <t>Сверло по мет. ГРАНИТ HSS-G 2,5х57мм 1шт. /165042</t>
  </si>
  <si>
    <t>64689</t>
  </si>
  <si>
    <t>Сверло по мет. ГРАНИТ HSS-G 3,0х100мм удлиненное 1шт. /165067</t>
  </si>
  <si>
    <t>64633</t>
  </si>
  <si>
    <t>Сверло по мет. ГРАНИТ HSS-G 3,0х61мм 1шт. /165043</t>
  </si>
  <si>
    <t>64606</t>
  </si>
  <si>
    <t>Сверло по мет. ГРАНИТ HSS-G 3,2х65мм 1шт. /165044</t>
  </si>
  <si>
    <t>64634</t>
  </si>
  <si>
    <t>Сверло по мет. ГРАНИТ HSS-G 3,3х65мм 1шт. /165045</t>
  </si>
  <si>
    <t>64681</t>
  </si>
  <si>
    <t>Сверло по мет. ГРАНИТ HSS-G 3,5х70мм 1шт. /165046</t>
  </si>
  <si>
    <t>64690</t>
  </si>
  <si>
    <t>Сверло по мет. ГРАНИТ HSS-G 4,0х119мм удлиненное 1шт. /165070</t>
  </si>
  <si>
    <t>64682</t>
  </si>
  <si>
    <t>Сверло по мет. ГРАНИТ HSS-G 4,0х75мм 1шт. /165047</t>
  </si>
  <si>
    <t>64637</t>
  </si>
  <si>
    <t>Сверло по мет. ГРАНИТ HSS-G 4,2х119мм удлиненное 1шт. /165071</t>
  </si>
  <si>
    <t>64607</t>
  </si>
  <si>
    <t>Сверло по мет. ГРАНИТ HSS-G 4,2х75мм 1шт. /165048</t>
  </si>
  <si>
    <t>64684</t>
  </si>
  <si>
    <t>Сверло по мет. ГРАНИТ HSS-G 4,5х80мм 1шт. /165049</t>
  </si>
  <si>
    <t>64639</t>
  </si>
  <si>
    <t>Сверло по мет. ГРАНИТ HSS-G 5,0х132мм удлиненное 1шт. /165073</t>
  </si>
  <si>
    <t>64635</t>
  </si>
  <si>
    <t>Сверло по мет. ГРАНИТ HSS-G 5,0х86мм 1шт. /165050</t>
  </si>
  <si>
    <t>64609</t>
  </si>
  <si>
    <t>Сверло по мет. ГРАНИТ HSS-G 5,5х93мм 1шт. /165051</t>
  </si>
  <si>
    <t>64686</t>
  </si>
  <si>
    <t>Сверло по мет. ГРАНИТ HSS-G 6,5х101мм 1шт. /165053</t>
  </si>
  <si>
    <t>64640</t>
  </si>
  <si>
    <t>Сверло по мет. ГРАНИТ HSS-G 6,5х148мм удлиненное 1шт. /165076</t>
  </si>
  <si>
    <t>64610</t>
  </si>
  <si>
    <t>Сверло по мет. ГРАНИТ HSS-G 7,0х109мм 1шт. /165055</t>
  </si>
  <si>
    <t>64641</t>
  </si>
  <si>
    <t>Сверло по мет. ГРАНИТ HSS-G 7,0х156мм удлиненное 1шт. /165077</t>
  </si>
  <si>
    <t>64642</t>
  </si>
  <si>
    <t>Сверло по мет. ГРАНИТ HSS-G 7,5х156мм удлиненное 1шт. /165078</t>
  </si>
  <si>
    <t>64608</t>
  </si>
  <si>
    <t>Сверло по мет. ГРАНИТ HSS-G 8,0х117мм 1шт. /165057</t>
  </si>
  <si>
    <t>64687</t>
  </si>
  <si>
    <t>Сверло по мет. ГРАНИТ HSS-G 8,5х117мм 1шт. /165058</t>
  </si>
  <si>
    <t>64611</t>
  </si>
  <si>
    <t>Сверло по мет. ГРАНИТ HSS-G 9,0х125мм 1шт. /165059</t>
  </si>
  <si>
    <t>64644</t>
  </si>
  <si>
    <t>Сверло по мет. ГРАНИТ HSS-G 9,0х175мм удлиненное 1шт. /165081</t>
  </si>
  <si>
    <t>64688</t>
  </si>
  <si>
    <t>Сверло по мет. ГРАНИТ HSS-G 9,5х125мм 1шт. /165060</t>
  </si>
  <si>
    <t>647 Сверла Воронеж по дереву стеклу бетону</t>
  </si>
  <si>
    <t>64701</t>
  </si>
  <si>
    <t>Сверло по бетону 12*200мм</t>
  </si>
  <si>
    <t>64702</t>
  </si>
  <si>
    <t>Сверло по бетону Воронеж 12*400мм</t>
  </si>
  <si>
    <t>64815</t>
  </si>
  <si>
    <t>Сверло по бетону Воронеж 12*600мм</t>
  </si>
  <si>
    <t>67110</t>
  </si>
  <si>
    <t>Сверло по бетону Воронеж 8*400мм</t>
  </si>
  <si>
    <t>67102</t>
  </si>
  <si>
    <t>Сверло по дер. винтовое Воронеж 14*600мм</t>
  </si>
  <si>
    <t>64793</t>
  </si>
  <si>
    <t>Сверло по дер. винтовое Воронеж 15*230мм</t>
  </si>
  <si>
    <t>64743</t>
  </si>
  <si>
    <t>Сверло по дер. винтовое Воронеж 15*460мм</t>
  </si>
  <si>
    <t>64852</t>
  </si>
  <si>
    <t>Сверло по дер. винтовое Воронеж 15*600мм</t>
  </si>
  <si>
    <t>64751</t>
  </si>
  <si>
    <t>Сверло по дер. винтовое Воронеж 16*600мм</t>
  </si>
  <si>
    <t>65699</t>
  </si>
  <si>
    <t>Сверло по дер. винтовое Воронеж 18*600мм</t>
  </si>
  <si>
    <t>64760</t>
  </si>
  <si>
    <t>Сверло по дер. винтовое Воронеж 20*230мм</t>
  </si>
  <si>
    <t>64773</t>
  </si>
  <si>
    <t>Сверло по дер. винтовое Воронеж 20*600мм</t>
  </si>
  <si>
    <t>64778</t>
  </si>
  <si>
    <t>Сверло по дер. винтовое Воронеж 25*230мм</t>
  </si>
  <si>
    <t>64752</t>
  </si>
  <si>
    <t>Сверло по дер. винтовое Воронеж 28*230мм</t>
  </si>
  <si>
    <t>67108</t>
  </si>
  <si>
    <t>Сверло по дер. винтовое Воронеж 30*230мм</t>
  </si>
  <si>
    <t>65087</t>
  </si>
  <si>
    <t>Сверло по дер. винтовое Воронеж 30*600мм</t>
  </si>
  <si>
    <t>64755</t>
  </si>
  <si>
    <t>Сверло по дер. винтовое Воронеж 32*230мм</t>
  </si>
  <si>
    <t>64735</t>
  </si>
  <si>
    <t>Сверло по дер. винтовое Воронеж 32*460мм</t>
  </si>
  <si>
    <t>65095</t>
  </si>
  <si>
    <t>Сверло по дер. винтовое Воронеж 32*600мм</t>
  </si>
  <si>
    <t>64783</t>
  </si>
  <si>
    <t>Сверло по дер. винтовое Воронеж 35*230мм</t>
  </si>
  <si>
    <t>64784</t>
  </si>
  <si>
    <t>Сверло по дер. винтовое Воронеж 35*460мм</t>
  </si>
  <si>
    <t>64736</t>
  </si>
  <si>
    <t>Сверло по дер. винтовое Воронеж 35*600мм</t>
  </si>
  <si>
    <t>65326</t>
  </si>
  <si>
    <t>Сверло по дер. винтовое Воронеж 38*230мм</t>
  </si>
  <si>
    <t>65624</t>
  </si>
  <si>
    <t>Сверло по дер. винтовое Воронеж 38*460мм</t>
  </si>
  <si>
    <t>64772</t>
  </si>
  <si>
    <t>Сверло по дер. винтовое Воронеж 38*600мм</t>
  </si>
  <si>
    <t>64746</t>
  </si>
  <si>
    <t>Сверло по дер. винтовое Воронеж 40*460мм</t>
  </si>
  <si>
    <t>64754</t>
  </si>
  <si>
    <t>Сверло по дер. винтовое Воронеж 40*600мм</t>
  </si>
  <si>
    <t>64814</t>
  </si>
  <si>
    <t>Сверло по дер. Форстнера ЭНКОР ф45мм НМ /19178 /10/120/</t>
  </si>
  <si>
    <t>64818</t>
  </si>
  <si>
    <t>Сверло по дер. Форстнера ЭНКОР ф50мм НМ /19179 /10/120/</t>
  </si>
  <si>
    <t>648 Наборы сверел</t>
  </si>
  <si>
    <t>64804</t>
  </si>
  <si>
    <t>Набор д/установки врезных замков 22мм/48мм перо /70493</t>
  </si>
  <si>
    <t>64805</t>
  </si>
  <si>
    <t>Набор д/установки врезных замков 22мм/48мм спираль /70491</t>
  </si>
  <si>
    <t>64806</t>
  </si>
  <si>
    <t>Набор д/установки врезных замков 22мм/55мм перо /70494</t>
  </si>
  <si>
    <t>64808</t>
  </si>
  <si>
    <t>Набор д/установки врезных замков 22мм/55мм спираль /70492</t>
  </si>
  <si>
    <t>64848</t>
  </si>
  <si>
    <t>Сверла по бетону д-ву MATRIX 5-6-8-10мм, м-лу 1-10мм, 40шт цил. хвост. /725455</t>
  </si>
  <si>
    <t>64857</t>
  </si>
  <si>
    <t>Сверла по бетону МАTRIX 4-5-6-8-10 мм, пласт. бокс /70730</t>
  </si>
  <si>
    <t>64816</t>
  </si>
  <si>
    <t>Сверла по дер. SPARTA 3-4-5-6-7-8-9-10мм, 8шт цилин. хвостов. /702125</t>
  </si>
  <si>
    <t>64803</t>
  </si>
  <si>
    <t>Сверла по дер. SPARTA 4-5-6-8-10мм, 5шт цилин. хвостов. /702105</t>
  </si>
  <si>
    <t>64903</t>
  </si>
  <si>
    <t>Сверла по дер. TOYA наборное 60-95мм 7пр. 28725</t>
  </si>
  <si>
    <t>64813</t>
  </si>
  <si>
    <t>Сверла по дер. винтовые Воронеж 10-24*230 8шт. /20949</t>
  </si>
  <si>
    <t>64859</t>
  </si>
  <si>
    <t>Сверла по дер. винтовые Воронеж 10-24*460 8шт. /20953</t>
  </si>
  <si>
    <t>64884</t>
  </si>
  <si>
    <t>Сверла по дер. наборное 19-127мм 12 предм. /70472</t>
  </si>
  <si>
    <t>64850</t>
  </si>
  <si>
    <t>Сверла по дер. наборное 26-63мм 1" /70450</t>
  </si>
  <si>
    <t>64937</t>
  </si>
  <si>
    <t>Сверла по дер. наборное 26-63мм 2" /70452</t>
  </si>
  <si>
    <t>64976</t>
  </si>
  <si>
    <t>Сверла по дер. наборное 60-67-74-81-95мм 1 1/2" /70470</t>
  </si>
  <si>
    <t>64828</t>
  </si>
  <si>
    <t>Сверла по дер. перов. 10-25 6шт, 6-гран хвостовик /704055</t>
  </si>
  <si>
    <t>64838</t>
  </si>
  <si>
    <t>Сверла по дер. перов. СИБРТЕХ (10/12/16/18/20/25) 6 шт 6-гранный хвостовик /704155</t>
  </si>
  <si>
    <t>64809</t>
  </si>
  <si>
    <t>Сверла по мет. 1-10 мм (через 0,5 мм), 19шт.,HSS, метал. коробка /72388</t>
  </si>
  <si>
    <t>64825</t>
  </si>
  <si>
    <t>Сверла по мет. 2-8 мм (через 0,5 мм) HSS 13 шт пластик. коробка цил. хвостовик /723877</t>
  </si>
  <si>
    <t>64873</t>
  </si>
  <si>
    <t>Сверла по мет. MATRIX 1,5-6,5 мм 13шт., HSS, титан. /72386</t>
  </si>
  <si>
    <t>64800</t>
  </si>
  <si>
    <t>Сверла по мет. MATRIX 2-8 мм 13шт., HSS, метал. бокс /72387</t>
  </si>
  <si>
    <t>64871</t>
  </si>
  <si>
    <t>Сверла по мет. MATRIX 3-4-5-6-8 мм 5шт., HSS, титан. /72383</t>
  </si>
  <si>
    <t>65133</t>
  </si>
  <si>
    <t>Сверла по мет. MATRIX 4-5-6-8-10 мм 5шт., HSS, пласт. бокс /723105</t>
  </si>
  <si>
    <t>64841</t>
  </si>
  <si>
    <t>Сверла по мет. ГРАНИТ HSS-Co 1,5-6,5 6шт, пластик. упаковка /165200</t>
  </si>
  <si>
    <t>64844</t>
  </si>
  <si>
    <t>Сверла по мет. ГРАНИТ HSS-Co 1,5-9 13шт, пластик. упаковка /165201</t>
  </si>
  <si>
    <t>64802</t>
  </si>
  <si>
    <t>Сверла по мет. ГРАНИТ HSS-G 1,5-6,5 6шт, пластик. упаковка /165204</t>
  </si>
  <si>
    <t>64821</t>
  </si>
  <si>
    <t>Сверла по мет. ГРАНИТ HSS-G 1,5-9 13шт, пластик. упаковка /165205</t>
  </si>
  <si>
    <t>64837</t>
  </si>
  <si>
    <t>Сверла по мет. нитридтитан. 1,5-6,5мм (через 0,5мм+3,2мм, 4,8мм) НSS 13 шт /723867</t>
  </si>
  <si>
    <t>64807</t>
  </si>
  <si>
    <t>Сверла по мет. СИБРТЕХ 1-10мм (0,5 мм), HSS, 19 шт., пл. кор. цил. хвостовик /723887</t>
  </si>
  <si>
    <t>64845</t>
  </si>
  <si>
    <t>Сверла по мет. СИБРТЕХ 1,5-6,5 мм, 13 шт., Р6М5, пластиковый кейс /72346</t>
  </si>
  <si>
    <t>64860</t>
  </si>
  <si>
    <t>Сверла по мет. СИБРТЕХ 4-10мм, 5 шт., Р6М5, пластиковый кейс /72347</t>
  </si>
  <si>
    <t>64817</t>
  </si>
  <si>
    <t>Сверла по мет. Спарта 1,5-2,5-3-4-5мм 5шт., HSS, пласт. бокс /723155</t>
  </si>
  <si>
    <t>64877</t>
  </si>
  <si>
    <t>Сверла по мет. Спарта 3-4-5-6-7-8-9-10 мм 8шт., HSS /723205</t>
  </si>
  <si>
    <t>64819</t>
  </si>
  <si>
    <t>Сверло по мет. ступен. MATRIX 4-6-8-10-12-14-16-18-20-22-24-26-28-30-32мм HSS трехгр. хвост /72359</t>
  </si>
  <si>
    <t>64829</t>
  </si>
  <si>
    <t>Сверло по мет. ступен. MATRIX 6-8-10-12-14-16-18-20-22-24-26-28-30мм HSS спирал. проф. трехг /72357</t>
  </si>
  <si>
    <t>64824</t>
  </si>
  <si>
    <t>Сверло по мет. ступен. MATRIX 9-12-15-18-21-24-27-30-33-36мм HSS спирал. проф. трехгр. хвост /72358</t>
  </si>
  <si>
    <t>65263</t>
  </si>
  <si>
    <t>Сверло по мет. ступен. БАРС 4-5-6-7-8-9-10-11-12мм, P6M5, шестигр. хвостовик /72360</t>
  </si>
  <si>
    <t>64874</t>
  </si>
  <si>
    <t>Сверло по мет. ступен. БАРС 4-6-8-10-12-14-16-18-20мм, P6M5, шестигр. хвостовик /72361</t>
  </si>
  <si>
    <t>64842</t>
  </si>
  <si>
    <t>Сверло по мет. ступен. БАРС 6-8-10-12-14-16-18-20-22-24-26-28-30мм, Р6М5, трехгр. хвостовик /72362</t>
  </si>
  <si>
    <t>64801</t>
  </si>
  <si>
    <t>Сверло ступен. MATRIX 4-5-6-7-8-9-10-11-12мм HSS спиральный проф. шестигр. хвостовик /72353</t>
  </si>
  <si>
    <t>64811</t>
  </si>
  <si>
    <t>Сверло ступен. MATRIX 4-6-8-10-12-14-16-18-20мм HSS спирал. проф. шестигр. /72356</t>
  </si>
  <si>
    <t>64810</t>
  </si>
  <si>
    <t>Сверло ступен. БАРС 4-6-9-12-15-18-21-24-27-30-33-36-39мм, Р6М5, трехгр. хвостовик /72363</t>
  </si>
  <si>
    <t>649 Сверла Matrix по металлу</t>
  </si>
  <si>
    <t>64955</t>
  </si>
  <si>
    <t>Сверло по мет. MATRIX 1,5мм, HSS, 10шт.цилиндрический хвостовик /71515</t>
  </si>
  <si>
    <t>648640</t>
  </si>
  <si>
    <t>Сверло по мет. MATRIX 10,0мм, HSS, цилиндрический хвостовик 1 штука</t>
  </si>
  <si>
    <t>64880</t>
  </si>
  <si>
    <t>Сверло по мет. MATRIX 13,0мм, HSS, 5шт.цилиндрический хвостовик /72030</t>
  </si>
  <si>
    <t>64707</t>
  </si>
  <si>
    <t>Сверло по мет. MATRIX 13,5мм, HSS, 5шт.цилиндрический хвостовик /72035</t>
  </si>
  <si>
    <t>65254</t>
  </si>
  <si>
    <t>Сверло по мет. MATRIX 14,5мм, HSS, 5шт.цилиндрический хвостовик /72045</t>
  </si>
  <si>
    <t>64710</t>
  </si>
  <si>
    <t>Сверло по мет. MATRIX 15,0мм, HSS, 5шт.цилиндрический хвостовик /72050</t>
  </si>
  <si>
    <t>00785</t>
  </si>
  <si>
    <t>Сверло по мет. MATRIX 15,5мм, HSS, 5шт.цилиндрический хвостовик /72055</t>
  </si>
  <si>
    <t>64632</t>
  </si>
  <si>
    <t>Сверло по мет. MATRIX 16,5мм, HSS, 5шт.цилиндрический хвостовик /72065</t>
  </si>
  <si>
    <t>64643</t>
  </si>
  <si>
    <t>Сверло по мет. MATRIX 17,0мм, HSS, 5шт.цилиндрический хвостовик /72070</t>
  </si>
  <si>
    <t>64933</t>
  </si>
  <si>
    <t>Сверло по мет. MATRIX 17,0мм, HSS, цилиндрический хвостовик 1 штука</t>
  </si>
  <si>
    <t>64484</t>
  </si>
  <si>
    <t>Сверло по мет. MATRIX 18,0мм, HSS, 5шт.цилиндрический хвостовик /72080</t>
  </si>
  <si>
    <t>64986</t>
  </si>
  <si>
    <t>Сверло по мет. MATRIX 18,5мм, HSS, 5шт.цилиндрический хвостовик /72085</t>
  </si>
  <si>
    <t>64934</t>
  </si>
  <si>
    <t>Сверло по мет. MATRIX 19,0мм, HSS, 5шт.цилиндрический хвостовик /72090</t>
  </si>
  <si>
    <t>0294</t>
  </si>
  <si>
    <t>Сверло по мет. MATRIX 19,5мм, HSS, 5шт.цилиндрический хвостовик /72095</t>
  </si>
  <si>
    <t>94400</t>
  </si>
  <si>
    <t>Сверло по мет. MATRIX 20,0мм, HSS, 5шт цилиндрический хвостовик /72099</t>
  </si>
  <si>
    <t>65272</t>
  </si>
  <si>
    <t>Сверло по мет. MATRIX 3,3мм, HSS, 10шт.цилиндрический хвостовик /71533</t>
  </si>
  <si>
    <t>649950</t>
  </si>
  <si>
    <t>Сверло по мет. MATRIX 4,5мм, HSS, цилиндрический хвостовик 1 штука</t>
  </si>
  <si>
    <t>64471</t>
  </si>
  <si>
    <t>Сверло по мет. MATRIX 4,8мм, HSS, 10шт.цилиндрический хвостовик /71548</t>
  </si>
  <si>
    <t>71500</t>
  </si>
  <si>
    <t>Сверло по мет. MATRIX 4,9мм, HSS, 10шт.цилиндрический хвостовик /71549</t>
  </si>
  <si>
    <t>64820</t>
  </si>
  <si>
    <t>Сверло по мет. MATRIX 5,5мм, HSS, 10шт.цилиндрический хвостовик /71555</t>
  </si>
  <si>
    <t>64830</t>
  </si>
  <si>
    <t>Сверло по мет. MATRIX 6,5мм, HSS, 10шт.цилиндрический хвостовик /71565</t>
  </si>
  <si>
    <t>64833</t>
  </si>
  <si>
    <t>Сверло по мет. MATRIX 7,0мм, HSS, 10шт.цилиндрический хвостовик /71570</t>
  </si>
  <si>
    <t>648330</t>
  </si>
  <si>
    <t>Сверло по мет. MATRIX 7,0мм, HSS, цилиндрический хвостовик 1 штука</t>
  </si>
  <si>
    <t>0265</t>
  </si>
  <si>
    <t>Сверло по мет. MATRIX Co-5% 12 мм, HSS /71482</t>
  </si>
  <si>
    <t>65028</t>
  </si>
  <si>
    <t>Сверло по мет. MATRIX Co-5% 2,0 мм, HSS 2 шт. /71402</t>
  </si>
  <si>
    <t>65027</t>
  </si>
  <si>
    <t>Сверло по мет. MATRIX Co-5% 2,5 мм, HSS 2 шт. /71406</t>
  </si>
  <si>
    <t>65189</t>
  </si>
  <si>
    <t>Сверло по мет. MATRIX Co-5% 3,0 мм, HSS 2 шт. /71411</t>
  </si>
  <si>
    <t>65024</t>
  </si>
  <si>
    <t>Сверло по мет. MATRIX Co-5% 3,5 мм, HSS 2 шт. /71417</t>
  </si>
  <si>
    <t>0262</t>
  </si>
  <si>
    <t>Сверло по мет. MATRIX Co-5% 4,5 мм, HSS /71422</t>
  </si>
  <si>
    <t>64571</t>
  </si>
  <si>
    <t>Сверло по мет. MATRIX Co-5% 4,8 мм, HSS /71423</t>
  </si>
  <si>
    <t>0263</t>
  </si>
  <si>
    <t>Сверло по мет. MATRIX Co-5% 5,5 мм, HSS /71429</t>
  </si>
  <si>
    <t>64546</t>
  </si>
  <si>
    <t>Сверло по мет. MATRIX Co-5% 6,5 мм, HSS /71439</t>
  </si>
  <si>
    <t>64442</t>
  </si>
  <si>
    <t>Сверло по мет. MATRIX Co-5% 7,5 мм, HSS /71453</t>
  </si>
  <si>
    <t>0264</t>
  </si>
  <si>
    <t>Сверло по мет. MATRIX Co-5% 9,0 мм, HSS /71469</t>
  </si>
  <si>
    <t>65220</t>
  </si>
  <si>
    <t>Сверло по мет. MATRIX TiN покрытие 10.0мм, HSS /717950</t>
  </si>
  <si>
    <t>64907</t>
  </si>
  <si>
    <t>Сверло по мет. MATRIX TiN покрытие 12.0мм, HSS /717980</t>
  </si>
  <si>
    <t>64914</t>
  </si>
  <si>
    <t>Сверло по мет. MATRIX TiN покрытие 2.0мм, HSS /717200</t>
  </si>
  <si>
    <t>64978</t>
  </si>
  <si>
    <t>Сверло по мет. MATRIX TiN покрытие 2.5мм, HSS /717250</t>
  </si>
  <si>
    <t>64932</t>
  </si>
  <si>
    <t>Сверло по мет. MATRIX TiN покрытие 3.0мм, HSS /717300</t>
  </si>
  <si>
    <t>64951</t>
  </si>
  <si>
    <t>Сверло по мет. MATRIX TiN покрытие 3.2мм, HSS /717320</t>
  </si>
  <si>
    <t>64979</t>
  </si>
  <si>
    <t>Сверло по мет. MATRIX TiN покрытие 3.5мм, HSS /717350</t>
  </si>
  <si>
    <t>03850</t>
  </si>
  <si>
    <t>Сверло по мет. MATRIX TiN покрытие 3.8мм, HSS/717380</t>
  </si>
  <si>
    <t>64915</t>
  </si>
  <si>
    <t>Сверло по мет. MATRIX TiN покрытие 4.0мм, HSS /717400</t>
  </si>
  <si>
    <t>03758</t>
  </si>
  <si>
    <t>Сверло по мет. MATRIX TiN покрытие 4.2мм, HSS /717420</t>
  </si>
  <si>
    <t>65215</t>
  </si>
  <si>
    <t>Сверло по мет. MATRIX TiN покрытие 4.5мм, HSS /717450</t>
  </si>
  <si>
    <t>65072</t>
  </si>
  <si>
    <t>Сверло по мет. MATRIX TiN покрытие 4.8мм, HSS /717480</t>
  </si>
  <si>
    <t>64922</t>
  </si>
  <si>
    <t>Сверло по мет. MATRIX TiN покрытие 5.0мм, HSS /717500</t>
  </si>
  <si>
    <t>65192</t>
  </si>
  <si>
    <t>Сверло по мет. MATRIX TiN покрытие 5.5мм, HSS /717550</t>
  </si>
  <si>
    <t>65219</t>
  </si>
  <si>
    <t>Сверло по мет. MATRIX TiN покрытие 6.5мм, HSS /717650</t>
  </si>
  <si>
    <t>65256</t>
  </si>
  <si>
    <t>Сверло по мет. MATRIX TiN покрытие 7.0мм, HSS /717700</t>
  </si>
  <si>
    <t>65266</t>
  </si>
  <si>
    <t>Сверло по мет. MATRIX TiN покрытие 7.5мм, HSS /717750</t>
  </si>
  <si>
    <t>64900</t>
  </si>
  <si>
    <t>Сверло по мет. MATRIX TiN покрытие 8.0мм, HSS /717800</t>
  </si>
  <si>
    <t>65267</t>
  </si>
  <si>
    <t>Сверло по мет. MATRIX TiN покрытие 9.0мм, HSS /717900</t>
  </si>
  <si>
    <t>65080</t>
  </si>
  <si>
    <t>Сверло по мет. шестигр. хвостовик 10.0мм, HSS, TiN покрытие /717952</t>
  </si>
  <si>
    <t>65073</t>
  </si>
  <si>
    <t>Сверло по мет. шестигр. хвостовик 3.2мм, HSS, TiN покрытие /717322</t>
  </si>
  <si>
    <t>64902</t>
  </si>
  <si>
    <t>Сверло по мет. шестигр. хвостовик 3.8мм, HSS, TiN покрытие /717382</t>
  </si>
  <si>
    <t>64971</t>
  </si>
  <si>
    <t>Сверло по мет. шестигр. хвостовик 4.0мм, HSS, TiN покрытие /717402</t>
  </si>
  <si>
    <t>64908</t>
  </si>
  <si>
    <t>Сверло по мет. шестигр. хвостовик 4.2мм, HSS, TiN покрытие /717422</t>
  </si>
  <si>
    <t>65084</t>
  </si>
  <si>
    <t>Сверло по мет. шестигр. хвостовик 4.5мм, HSS, TiN покрытие /717452</t>
  </si>
  <si>
    <t>64969</t>
  </si>
  <si>
    <t>Сверло по мет. шестигр. хвостовик 5.0мм, HSS, TiN покрытие /717502</t>
  </si>
  <si>
    <t>64999</t>
  </si>
  <si>
    <t>Сверло по мет. шестигр. хвостовик 5.5мм, HSS, TiN покрытие /717552</t>
  </si>
  <si>
    <t>64931</t>
  </si>
  <si>
    <t>Сверло по мет. шестигр. хвостовик 6.0мм, HSS, TiN покрытие /717602</t>
  </si>
  <si>
    <t>64996</t>
  </si>
  <si>
    <t>Сверло по мет. шестигр. хвостовик 6.5мм, HSS, TiN покрытие /717652</t>
  </si>
  <si>
    <t>64984</t>
  </si>
  <si>
    <t>Сверло по мет. шестигр. хвостовик 7.0мм, HSS, TiN покрытие /717702</t>
  </si>
  <si>
    <t>64994</t>
  </si>
  <si>
    <t>Сверло по мет. шестигр. хвостовик 7.5мм, HSS, TiN покрытие /717752</t>
  </si>
  <si>
    <t>65076</t>
  </si>
  <si>
    <t>Сверло по мет. шестигр. хвостовик 9.0мм, HSS, TiN покрытие /717902</t>
  </si>
  <si>
    <t>650 Сверла по дереву</t>
  </si>
  <si>
    <t>01635</t>
  </si>
  <si>
    <t>Сверло по дер. MATRIX 9*125 мм, цилиндрический хвостовик /70207</t>
  </si>
  <si>
    <t>64905</t>
  </si>
  <si>
    <t>Сверло по дер. MATRIX Master регулир. Балеринка 30-120мм /70497</t>
  </si>
  <si>
    <t>65037</t>
  </si>
  <si>
    <t>Сверло по дер. перовое Сибртех 14мм /70364</t>
  </si>
  <si>
    <t>64909</t>
  </si>
  <si>
    <t>Сверло по дер. перовое Сибртех 16мм /70366</t>
  </si>
  <si>
    <t>64913</t>
  </si>
  <si>
    <t>Сверло по дер. перовое Сибртех 18мм /70368</t>
  </si>
  <si>
    <t>64918</t>
  </si>
  <si>
    <t>Сверло по дер. перовое Сибртех 20мм /70370</t>
  </si>
  <si>
    <t>64923</t>
  </si>
  <si>
    <t>Сверло по дер. перовое Сибртех 22мм /70372</t>
  </si>
  <si>
    <t>64924</t>
  </si>
  <si>
    <t>Сверло по дер. перовое Сибртех 24мм /70374</t>
  </si>
  <si>
    <t>64935</t>
  </si>
  <si>
    <t>Сверло по дер. перовое Сибртех 25мм /70375</t>
  </si>
  <si>
    <t>64939</t>
  </si>
  <si>
    <t>Сверло по дер. перовое Сибртех 28мм /70378</t>
  </si>
  <si>
    <t>64940</t>
  </si>
  <si>
    <t>Сверло по дер. перовое Сибртех 30мм /70380</t>
  </si>
  <si>
    <t>65090</t>
  </si>
  <si>
    <t>Сверло по дер. перовое Сибртех 32мм /70382</t>
  </si>
  <si>
    <t>64944</t>
  </si>
  <si>
    <t>Сверло по дер. перовое Сибртех 35мм /70385</t>
  </si>
  <si>
    <t>64945</t>
  </si>
  <si>
    <t>Сверло по дер. перовое Сибртех 36мм /70386</t>
  </si>
  <si>
    <t>64946</t>
  </si>
  <si>
    <t>Сверло по дер. перовое Сибртех 38мм /70388</t>
  </si>
  <si>
    <t>64947</t>
  </si>
  <si>
    <t>Сверло по дер. перовое Сибртех 40мм /70390</t>
  </si>
  <si>
    <t>64950</t>
  </si>
  <si>
    <t>Сверло по дер. перовое Сибртех 45мм /70395</t>
  </si>
  <si>
    <t>65034</t>
  </si>
  <si>
    <t>Сверло по дер. перовое Сибртех 50мм /70397</t>
  </si>
  <si>
    <t>64952</t>
  </si>
  <si>
    <t>Сверло по дер. перовое Сибртех 55мм /70399</t>
  </si>
  <si>
    <t>01634</t>
  </si>
  <si>
    <t>Сверло по дер. спиральное 14*600мм 6-грн. хвостовик /70173</t>
  </si>
  <si>
    <t>65774</t>
  </si>
  <si>
    <t>Сверло по дер. спиральное 18*600мм 6-грн. хвостовик /70175</t>
  </si>
  <si>
    <t>64941</t>
  </si>
  <si>
    <t>Сверло по дер. спиральное FIT 24*230мм</t>
  </si>
  <si>
    <t>64391</t>
  </si>
  <si>
    <t>Сверло по дер. спиральное Левиса Управдом  8*450/360мм шестигран.</t>
  </si>
  <si>
    <t>64495</t>
  </si>
  <si>
    <t>Сверло по дер. спиральное Левиса Управдом 10*450/360мм шестигран.</t>
  </si>
  <si>
    <t>64497</t>
  </si>
  <si>
    <t>Сверло по дер. спиральное Левиса Управдом 12*450/360мм шестигран.</t>
  </si>
  <si>
    <t>64496</t>
  </si>
  <si>
    <t>Сверло по дер. спиральное Левиса Управдом 14*235/160мм шестигран.</t>
  </si>
  <si>
    <t>64498</t>
  </si>
  <si>
    <t>Сверло по дер. спиральное Левиса Управдом 14*450/360мм шестигран.</t>
  </si>
  <si>
    <t>64369</t>
  </si>
  <si>
    <t>Сверло по дер. спиральное Левиса Управдом 16*450/360мм шестигран.</t>
  </si>
  <si>
    <t>64373</t>
  </si>
  <si>
    <t>Сверло по дер. спиральное Левиса Управдом 18*235/160мм шестигран.</t>
  </si>
  <si>
    <t>64374</t>
  </si>
  <si>
    <t>Сверло по дер. спиральное Левиса Управдом 18*450/360мм шестигран.</t>
  </si>
  <si>
    <t>64376</t>
  </si>
  <si>
    <t>Сверло по дер. спиральное Левиса Управдом 20*450/360мм шестигран.</t>
  </si>
  <si>
    <t>64379</t>
  </si>
  <si>
    <t>Сверло по дер. спиральное Левиса Управдом 30*235/160мм шестигран.</t>
  </si>
  <si>
    <t>64381</t>
  </si>
  <si>
    <t>Сверло по дер. спиральное Левиса Управдом 32*235/160мм шестигран.</t>
  </si>
  <si>
    <t>64380</t>
  </si>
  <si>
    <t>Сверло по дер. спиральное Левиса Управдом 32*450/360мм шестигран.</t>
  </si>
  <si>
    <t>64382</t>
  </si>
  <si>
    <t>Сверло по дер. спиральное Левиса Управдом 35*450/360мм шестигран.</t>
  </si>
  <si>
    <t>64383</t>
  </si>
  <si>
    <t>Сверло по дер. спиральное Левиса Управдом 38*450/360мм шестигран.</t>
  </si>
  <si>
    <t>64385</t>
  </si>
  <si>
    <t>Сверло по дер. спиральное Левиса Управдом 40*450/360мм шестигран.</t>
  </si>
  <si>
    <t>651 Сверла по бетону/стеклу и керамике</t>
  </si>
  <si>
    <t>02206</t>
  </si>
  <si>
    <t>Сверло алмазное по керамограниту MATRIX 10*67мм, 3-гранный хвостовик 2шт /726103</t>
  </si>
  <si>
    <t>02207</t>
  </si>
  <si>
    <t>Сверло алмазное по керамограниту MATRIX 12*67мм, 3-гранный хвостовик 2шт /726123</t>
  </si>
  <si>
    <t>02971</t>
  </si>
  <si>
    <t>Сверло алмазное по керамограниту MATRIX 18*67мм, 3-гранный хвостовик /726183</t>
  </si>
  <si>
    <t>02181</t>
  </si>
  <si>
    <t>Сверло алмазное по керамограниту MATRIX 22*67мм, 3-гранный хвостовик /726223</t>
  </si>
  <si>
    <t>03454</t>
  </si>
  <si>
    <t>Сверло алмазное по керамограниту MATRIX 28*67мм, 3-гранный хвостовик /726283</t>
  </si>
  <si>
    <t>03144</t>
  </si>
  <si>
    <t>Сверло алмазное по керамограниту MATRIX 30*67мм, 3-гранный хвостовик /726303</t>
  </si>
  <si>
    <t>02319</t>
  </si>
  <si>
    <t>Сверло алмазное по керамограниту MATRIX 35*67мм, 3-гранный хвостовик /726353</t>
  </si>
  <si>
    <t>05597</t>
  </si>
  <si>
    <t>Сверло алмазное по керамограниту MATRIX 38*67мм, 3-гранный хвостовик /726383</t>
  </si>
  <si>
    <t>02197</t>
  </si>
  <si>
    <t>Сверло алмазное по керамограниту MATRIX 40*67мм, 3-гранный хвостовик /726403</t>
  </si>
  <si>
    <t>02706</t>
  </si>
  <si>
    <t>Сверло алмазное по керамограниту MATRIX 50*67мм, 3-гранный хвостовик /726503</t>
  </si>
  <si>
    <t>02204</t>
  </si>
  <si>
    <t>Сверло алмазное по керамограниту MATRIX 6*67мм, 3-гранный хвостовик 2шт /726063</t>
  </si>
  <si>
    <t>01390</t>
  </si>
  <si>
    <t>Сверло алмазное по керамограниту MATRIX 65*67мм, 3-гранный хвостовик /726653</t>
  </si>
  <si>
    <t>01391</t>
  </si>
  <si>
    <t>Сверло алмазное по керамограниту MATRIX 68*67мм, 3-гранный хвостовик /726683</t>
  </si>
  <si>
    <t>02744</t>
  </si>
  <si>
    <t>Сверло алмазное по керамограниту MATRIX 70*67мм, 3-гранный хвостовик /726703</t>
  </si>
  <si>
    <t>02205</t>
  </si>
  <si>
    <t>Сверло алмазное по керамограниту MATRIX 8*67мм, 3-гранный хвостовик 2шт /726083</t>
  </si>
  <si>
    <t>65245</t>
  </si>
  <si>
    <t>Сверло алмазное по керамограниту БАРС 5*35мм, 6-гранный хвостовик /72670</t>
  </si>
  <si>
    <t>65114</t>
  </si>
  <si>
    <t>Сверло алмазное по керамограниту БАРС 6*35мм, 6-гранный хвостовик /72671</t>
  </si>
  <si>
    <t>65120</t>
  </si>
  <si>
    <t>Сверло по керамической плитке БАРС 10 мм, крестовая пластинка, шестигр. хвостовик /72809</t>
  </si>
  <si>
    <t>02447</t>
  </si>
  <si>
    <t>Сверло по керамической плитке БАРС 12 мм, крестовая пластинка, шестигр. хвостовик /72811</t>
  </si>
  <si>
    <t>02446</t>
  </si>
  <si>
    <t>Сверло по керамической плитке БАРС 4 мм, крестовая пластинка, шестигр. хвостовик /72802</t>
  </si>
  <si>
    <t>65117</t>
  </si>
  <si>
    <t>Сверло по керамической плитке БАРС 8 мм, крестовая пластинка, шестигр. хвостовик /72807</t>
  </si>
  <si>
    <t>65208</t>
  </si>
  <si>
    <t>Сверло по керамической плитке ГРАНИТ 10*85мм /133005</t>
  </si>
  <si>
    <t>65210</t>
  </si>
  <si>
    <t>Сверло по керамической плитке ГРАНИТ 12*90мм /133006</t>
  </si>
  <si>
    <t>65236</t>
  </si>
  <si>
    <t>Сверло по керамической плитке ГРАНИТ 3*60мм /133000</t>
  </si>
  <si>
    <t>65257</t>
  </si>
  <si>
    <t>Сверло по керамической плитке ГРАНИТ 4*65мм /133001</t>
  </si>
  <si>
    <t>65153</t>
  </si>
  <si>
    <t>Сверло по керамической плитке ГРАНИТ 5*70мм /133002</t>
  </si>
  <si>
    <t>65187</t>
  </si>
  <si>
    <t>Сверло по керамической плитке ГРАНИТ 6*75мм /133003</t>
  </si>
  <si>
    <t>65203</t>
  </si>
  <si>
    <t>Сверло по керамической плитке ГРАНИТ 8*80мм /133004</t>
  </si>
  <si>
    <t>64926</t>
  </si>
  <si>
    <t>Сверло по стеклу и керамике (К) 10,0мм, коронка /728105</t>
  </si>
  <si>
    <t>66327</t>
  </si>
  <si>
    <t>Сверло по стеклу и керамике (К) 4,0мм, коронка /728045</t>
  </si>
  <si>
    <t>64928</t>
  </si>
  <si>
    <t>Сверло по стеклу и керамике (К) 6,0мм, коронка /728065</t>
  </si>
  <si>
    <t>64919</t>
  </si>
  <si>
    <t>Сверло по стеклу и керамике (К) 8,0мм, коронка /728085</t>
  </si>
  <si>
    <t>65158</t>
  </si>
  <si>
    <t>Сверло по стеклу и керамике MATRIX 12*67мм, коронка 2шт /72612</t>
  </si>
  <si>
    <t>64985</t>
  </si>
  <si>
    <t>Сверло по стеклу и керамике MATRIX 38*67мм, коронка /72638</t>
  </si>
  <si>
    <t>65032</t>
  </si>
  <si>
    <t>Сверло по стеклу и керамике MATRIX 55*67мм, коронка /72655</t>
  </si>
  <si>
    <t>65035</t>
  </si>
  <si>
    <t>Сверло по стеклу и керамике MATRIX 60*67мм, коронка /72660</t>
  </si>
  <si>
    <t>64782</t>
  </si>
  <si>
    <t>Сверло по стеклу и керамике MATRIX перо 10,0мм /72820</t>
  </si>
  <si>
    <t>64920</t>
  </si>
  <si>
    <t>Сверло по стеклу и керамике MATRIX перо 12,0мм /72822</t>
  </si>
  <si>
    <t>64776</t>
  </si>
  <si>
    <t>Сверло по стеклу и керамике MATRIX перо 3,0мм /72813</t>
  </si>
  <si>
    <t>65159</t>
  </si>
  <si>
    <t>Сверло по стеклу и керамике MATRIX перо 4,0мм /72814</t>
  </si>
  <si>
    <t>64927</t>
  </si>
  <si>
    <t>Сверло по стеклу и керамике MATRIX перо 5,0мм /72815</t>
  </si>
  <si>
    <t>64917</t>
  </si>
  <si>
    <t>Сверло по стеклу и керамике MATRIX перо 6,0мм /72816</t>
  </si>
  <si>
    <t>64974</t>
  </si>
  <si>
    <t>Сверло по стеклу и керамике MATRIX перо 8,0мм /72818</t>
  </si>
  <si>
    <t>64733</t>
  </si>
  <si>
    <t>Сверло по стеклу и керамике Воронеж 12,0мм, перо</t>
  </si>
  <si>
    <t>67126</t>
  </si>
  <si>
    <t>Сверло по стеклу и керамике Воронеж 8,0мм, перо</t>
  </si>
  <si>
    <t>652 Стеклорезы/Фрезы/Зенковки/Шарошки</t>
  </si>
  <si>
    <t>65232</t>
  </si>
  <si>
    <t>Плиткорез TOYA 130мм 04050</t>
  </si>
  <si>
    <t>65227</t>
  </si>
  <si>
    <t>Резак по плитке 200мм + угломер TOYA</t>
  </si>
  <si>
    <t>65241</t>
  </si>
  <si>
    <t>Ролик для стеклореза 1шт Glasston /Т</t>
  </si>
  <si>
    <t>65242</t>
  </si>
  <si>
    <t>Ролик для стеклореза 2шт Glasston /Т</t>
  </si>
  <si>
    <t>65247</t>
  </si>
  <si>
    <t>Ролик для стеклореза 3шт Glasston /Т</t>
  </si>
  <si>
    <t>65207</t>
  </si>
  <si>
    <t>Стеклорез 6-ти роликовый дер. ручка /872235</t>
  </si>
  <si>
    <t>65201</t>
  </si>
  <si>
    <t>Стеклорез 6-ти роликовый пласт. ручка /872205</t>
  </si>
  <si>
    <t>65258</t>
  </si>
  <si>
    <t>Стеклорез Ермак 6-ти роликовый 669-156 /6/</t>
  </si>
  <si>
    <t>65246</t>
  </si>
  <si>
    <t>Стеклорез Ермак алмазный 669-098 /6/</t>
  </si>
  <si>
    <t>65222</t>
  </si>
  <si>
    <t>Стеклорез Ермак масляный 669-071 /6/</t>
  </si>
  <si>
    <t>65213</t>
  </si>
  <si>
    <t>Стеклорез масляный MATRIX с металл. ручкой \87264</t>
  </si>
  <si>
    <t>66010</t>
  </si>
  <si>
    <t>Фреза 50мм (Г)</t>
  </si>
  <si>
    <t>60185</t>
  </si>
  <si>
    <t>Шарошки по дереву 5шт. MATRIX /70499</t>
  </si>
  <si>
    <t>653-657 Строительный инструмент</t>
  </si>
  <si>
    <t>653 Гвоздодеры/Ломы/Выдерги</t>
  </si>
  <si>
    <t>65319</t>
  </si>
  <si>
    <t>Гвоздодер Спарта 300мм шестигр. крашен. /252225</t>
  </si>
  <si>
    <t>65316</t>
  </si>
  <si>
    <t>Гвоздодер Спарта 600мм шестигр. крашен. /252265</t>
  </si>
  <si>
    <t>65318</t>
  </si>
  <si>
    <t>Гвоздодер Спарта 900мм шестигр. крашен. /252285</t>
  </si>
  <si>
    <t>65321</t>
  </si>
  <si>
    <t>Ледоруб-скребок без черенка, 120*1200мм /66-7-019</t>
  </si>
  <si>
    <t>65306</t>
  </si>
  <si>
    <t>Ледоруб-топор Б-2, кованный, металлический черенок /66-7-016</t>
  </si>
  <si>
    <t>65342</t>
  </si>
  <si>
    <t>Лом-гвоздодер GROSS двутавровый профиль 600*300*17мм /25237</t>
  </si>
  <si>
    <t>65340</t>
  </si>
  <si>
    <t>Лом-гвоздодер GROSS двутавровый профиль 900*300*17мм /25239</t>
  </si>
  <si>
    <t>65335</t>
  </si>
  <si>
    <t>Лом-гвоздодер GROSS усиленный 450*25*12мм /25236</t>
  </si>
  <si>
    <t>65333</t>
  </si>
  <si>
    <t>Лом-гвоздодер MATRIX усиленный 450*25*12мм /25231</t>
  </si>
  <si>
    <t>65334</t>
  </si>
  <si>
    <t>Лом-гвоздодер MATRIX усиленный 600*29*15мм /25233</t>
  </si>
  <si>
    <t>65341</t>
  </si>
  <si>
    <t>Лом-гвоздодер MATRIX усиленный 900*29*15мм /25235</t>
  </si>
  <si>
    <t>65328</t>
  </si>
  <si>
    <t>Лом-гвоздодер СИБРТЕХ 450*22*12мм /25241</t>
  </si>
  <si>
    <t>01879</t>
  </si>
  <si>
    <t>Лом-гвоздодер СИБРТЕХ 600*25*12мм /25243</t>
  </si>
  <si>
    <t>01800</t>
  </si>
  <si>
    <t>Лом-гвоздодер СИБРТЕХ 900*25*12мм /25245</t>
  </si>
  <si>
    <t>65394</t>
  </si>
  <si>
    <t>Лом-гвоздодер шестигранный 19мм Denzel 1200мм, сталь 65 /25205</t>
  </si>
  <si>
    <t>654 Кувалды</t>
  </si>
  <si>
    <t>65492</t>
  </si>
  <si>
    <t>Кувалда MATRIX 1,0кг фиберглассовая обрезиненная ручка /10919</t>
  </si>
  <si>
    <t>65401</t>
  </si>
  <si>
    <t>Кувалда MATRIX 1,5кг фиберглассовая обрезиненная ручка /10920</t>
  </si>
  <si>
    <t>65494</t>
  </si>
  <si>
    <t>Кувалда MATRIX 2,0кг фиберглассовая обрезиненная ручка /10921</t>
  </si>
  <si>
    <t>65496</t>
  </si>
  <si>
    <t>Кувалда MATRIX 3,0кг фиберглассовая обрезиненная ручка /10922</t>
  </si>
  <si>
    <t>65434</t>
  </si>
  <si>
    <t>Кувалда MATRIX 4,0кг фиберглассовая обрезиненная ручка /10923</t>
  </si>
  <si>
    <t>65498</t>
  </si>
  <si>
    <t>Кувалда MATRIX 5,0кг фиберглассовая обрезиненная ручка /10924</t>
  </si>
  <si>
    <t>03132</t>
  </si>
  <si>
    <t>Кувалда MATRIX 6,0кг фиберглассовая обрезиненная ручка /10925</t>
  </si>
  <si>
    <t>03390</t>
  </si>
  <si>
    <t>Кувалда MATRIX 7,0кг фиберглассовая обрезиненная ручка /10928</t>
  </si>
  <si>
    <t>65402</t>
  </si>
  <si>
    <t>Кувалда MATRIX PROFI 1,0кг с дер. двухцв. ручкой /10902</t>
  </si>
  <si>
    <t>65413</t>
  </si>
  <si>
    <t>Кувалда MATRIX PROFI 1,5кг с дер. двухцв. ручкой /10903</t>
  </si>
  <si>
    <t>65407</t>
  </si>
  <si>
    <t>Кувалда SPARTA 1,5кг кованная головка, дер. двухцв. ручка /10907</t>
  </si>
  <si>
    <t>65436</t>
  </si>
  <si>
    <t>Кувалда кованая СИБРТЕХ в сборе 3,0кг /10929</t>
  </si>
  <si>
    <t>65435</t>
  </si>
  <si>
    <t>Кувалда кованая СИБРТЕХ в сборе 6,0кг /10933</t>
  </si>
  <si>
    <t>65439</t>
  </si>
  <si>
    <t>Кувалда кованая СИБРТЕХ в сборе 7,0кг /10934</t>
  </si>
  <si>
    <t>65403</t>
  </si>
  <si>
    <t>Рукоятка для колуна 660мм /Л</t>
  </si>
  <si>
    <t>65400</t>
  </si>
  <si>
    <t>Рукоятка для колуна, шлифованная, БУК, 600 мм /22049</t>
  </si>
  <si>
    <t>65456</t>
  </si>
  <si>
    <t>Рукоятка для колуна, шлифованная, БУК, 700 мм /22051</t>
  </si>
  <si>
    <t>65486</t>
  </si>
  <si>
    <t>Рукоятка для кувалды 600мм /Л</t>
  </si>
  <si>
    <t>65432</t>
  </si>
  <si>
    <t>Рукоятка для кувалды, шлифованная Бук 400 мм /11000</t>
  </si>
  <si>
    <t>65433</t>
  </si>
  <si>
    <t>Рукоятка для кувалды, шлифованная Бук 500 мм /11002</t>
  </si>
  <si>
    <t>65443</t>
  </si>
  <si>
    <t>Рукоятка для кувалды, шлифованная Бук 600 мм /11004</t>
  </si>
  <si>
    <t>65442</t>
  </si>
  <si>
    <t>Рукоятка для кувалды, шлифованная Бук 700 мм /11006</t>
  </si>
  <si>
    <t>65444</t>
  </si>
  <si>
    <t>Рукоятка для молотка Россия 320 мм, деревянная /10292</t>
  </si>
  <si>
    <t>65450</t>
  </si>
  <si>
    <t>Рукоятка для молотка союз /Л</t>
  </si>
  <si>
    <t>655 Молотки</t>
  </si>
  <si>
    <t>65543</t>
  </si>
  <si>
    <t>Молоток GROSS 0,5кг, фиберглассовая обрезиненная ручка /10276</t>
  </si>
  <si>
    <t>65595</t>
  </si>
  <si>
    <t>Молоток MATRIX 0,1кг с квадратный боек деревянная ручка /10226</t>
  </si>
  <si>
    <t>65547</t>
  </si>
  <si>
    <t>Молоток MATRIX 0,1кг фиберглассовая обрезиненная ручка /10315</t>
  </si>
  <si>
    <t>65523</t>
  </si>
  <si>
    <t>Молоток MATRIX 0,2кг квадратный боек, деревянная ручка /10227</t>
  </si>
  <si>
    <t>65522</t>
  </si>
  <si>
    <t>Молоток MATRIX 0,2кг фиберглассовая обрезиненная ручка /10317</t>
  </si>
  <si>
    <t>65521</t>
  </si>
  <si>
    <t>Молоток MATRIX 0,3кг квадратный боек, деревянная ручка /10228</t>
  </si>
  <si>
    <t>65509</t>
  </si>
  <si>
    <t>Молоток MATRIX 0,3кг фиберглассовая обрезиненная ручка /10320</t>
  </si>
  <si>
    <t>65529</t>
  </si>
  <si>
    <t>Молоток MATRIX 0,4кг квадратный боек, деревянная ручка /10230</t>
  </si>
  <si>
    <t>65581</t>
  </si>
  <si>
    <t>Молоток MATRIX 0,4кг фиберглассовая обрезиненная ручка /10322</t>
  </si>
  <si>
    <t>65528</t>
  </si>
  <si>
    <t>Молоток MATRIX 0,5кг квадратный боек, деревянная ручка /10232</t>
  </si>
  <si>
    <t>65576</t>
  </si>
  <si>
    <t>Молоток MATRIX 0,5кг фиберглассовая обрезиненная ручка /10330</t>
  </si>
  <si>
    <t>65531</t>
  </si>
  <si>
    <t>Молоток MATRIX 0,6кг квадратный боек, деревянная ручка /10233</t>
  </si>
  <si>
    <t>65510</t>
  </si>
  <si>
    <t>Молоток MATRIX 0,6кг фиберглассовая обрезиненная ручка /10340</t>
  </si>
  <si>
    <t>65530</t>
  </si>
  <si>
    <t>Молоток MATRIX 0,8кг квадратный боек, деревянная ручка /10235</t>
  </si>
  <si>
    <t>65511</t>
  </si>
  <si>
    <t>Молоток MATRIX 0,8кг фиберглассовая обрезиненная ручка /10350</t>
  </si>
  <si>
    <t>65580</t>
  </si>
  <si>
    <t>Молоток MATRIX 1,0кг фиберглассовая обрезиненная ручка /10360</t>
  </si>
  <si>
    <t>65515</t>
  </si>
  <si>
    <t>Молоток MATRIX 1,5кг квадратный боек, деревянная ручка /10237</t>
  </si>
  <si>
    <t>65549</t>
  </si>
  <si>
    <t>Молоток MATRIX 1,5кг фиберглассовая обрезиненная ручка /10363</t>
  </si>
  <si>
    <t>65597</t>
  </si>
  <si>
    <t>Молоток-гвоздодер 450гр, боек 27мм, деревянная ручка /104205</t>
  </si>
  <si>
    <t>65540</t>
  </si>
  <si>
    <t>Молоток-гвоздодер 450гр, боек 27мм, металл. труб. обрезин. ручка /104405</t>
  </si>
  <si>
    <t>65562</t>
  </si>
  <si>
    <t>Молоток-гвоздодер GROSS 450гр, цельнокованный трехкомп. ручка /10469</t>
  </si>
  <si>
    <t>65550</t>
  </si>
  <si>
    <t>Молоток-гвоздодер GROSS 570гр, цельнокованый, двухкомп. ручка /10470</t>
  </si>
  <si>
    <t>65555</t>
  </si>
  <si>
    <t>Молоток-гвоздодер MATRIX 450гр боек 27мм, фибергл. обрезин. руч. /10450</t>
  </si>
  <si>
    <t>65513</t>
  </si>
  <si>
    <t>Молоток-гвоздодер MATRIX 450гр боек c магнитом, фиберг. ручка /10446</t>
  </si>
  <si>
    <t>01811</t>
  </si>
  <si>
    <t>Молоток-гвоздодер мини MATRIX 250 боек с магнитом, фиберг. двухкомп. ручка /10443</t>
  </si>
  <si>
    <t>65579</t>
  </si>
  <si>
    <t>Молоток-гвоздодер мини MATRIX 250г фиберглас. двухкомп. ручка /10444</t>
  </si>
  <si>
    <t>656 Топоры/Колуны/Кирки</t>
  </si>
  <si>
    <t>65612</t>
  </si>
  <si>
    <t>Кирка MATRIX 1000гр с фиберг.руч./21829</t>
  </si>
  <si>
    <t>65601</t>
  </si>
  <si>
    <t>Кирка MATRIX 1500гр с фиберг.руч./21830</t>
  </si>
  <si>
    <t>65607</t>
  </si>
  <si>
    <t>Кирка MATRIX MINI 400гр с фиберг. руч. /21828</t>
  </si>
  <si>
    <t>65663</t>
  </si>
  <si>
    <t>Кирка MATRIX MINI двухплоскостная, 500гр с фиберг. руч. /21826</t>
  </si>
  <si>
    <t>65627</t>
  </si>
  <si>
    <t>Колун 1900 г, в сборе, кованый, деревянное топорище, 600 мм, (Труд) С373 г.Вача Россия /21850</t>
  </si>
  <si>
    <t>65625</t>
  </si>
  <si>
    <t>Колун MATRIX 1,0кг с клиновидным полотном /21815</t>
  </si>
  <si>
    <t>65631</t>
  </si>
  <si>
    <t>Колун MATRIX 2,0кг с клиновидным полотном, фиберглас топорище /21816</t>
  </si>
  <si>
    <t>65643</t>
  </si>
  <si>
    <t>Колун MATRIX 2,7кг фибергласовое топорище 900мм /21820</t>
  </si>
  <si>
    <t>65644</t>
  </si>
  <si>
    <t>Колун MATRIX 3,6кг фибергласовое топорище /21822</t>
  </si>
  <si>
    <t>65615</t>
  </si>
  <si>
    <t>Топор 1200 г, в сборе, кованый, дер. топорище, 500 мм, (Труд) С45 г.Вача /21692</t>
  </si>
  <si>
    <t>65796</t>
  </si>
  <si>
    <t>Топор 1200 г, в сборе, кованый, дер. топорище, 500 мм, /39-2-120</t>
  </si>
  <si>
    <t>65639</t>
  </si>
  <si>
    <t>Топор 1200 г, в сборе, кованый, дер. топорище, 500 мм, Б2 (Труд) С44 г.Вача /21691</t>
  </si>
  <si>
    <t>65611</t>
  </si>
  <si>
    <t>Топор 1400 г, в сборе, кованый, дер. топорище, 500 мм, (Труд) С205 г.Вача /21693</t>
  </si>
  <si>
    <t>65696</t>
  </si>
  <si>
    <t>Топор 600 г, в сборе, кованый, дер. топорище</t>
  </si>
  <si>
    <t>65609</t>
  </si>
  <si>
    <t>Топор 600 г, в сборе, кованый, дер. топорище, 350 мм, Б2 (Труд) С133/2 г.Вача /21690</t>
  </si>
  <si>
    <t>65614</t>
  </si>
  <si>
    <t>Топор 800 г, в сборе, кованый, дер. топорище, 400 мм, Б2  (Труд) С44 г.Вача /21691</t>
  </si>
  <si>
    <t>65681</t>
  </si>
  <si>
    <t>Топор MATRIX 0,6кг фибергласовое топорище /21640</t>
  </si>
  <si>
    <t>65642</t>
  </si>
  <si>
    <t>Топор MATRIX 0,8кг фибергласовое топорище /21647</t>
  </si>
  <si>
    <t>65617</t>
  </si>
  <si>
    <t>Топор MATRIX 1,0кг фибергласовое топорище /21649</t>
  </si>
  <si>
    <t>65636</t>
  </si>
  <si>
    <t>Топор SPARTA 0,8кг кованный, деревянное топорище /21610</t>
  </si>
  <si>
    <t>65629</t>
  </si>
  <si>
    <t>Топор БАРС 1000гр двухкомп. рукоятка /21414</t>
  </si>
  <si>
    <t>65626</t>
  </si>
  <si>
    <t>Топор в сборе "Мясоруб", кованный, дер. топорище 430мм (Труд.Вача) /21657</t>
  </si>
  <si>
    <t>65652</t>
  </si>
  <si>
    <t>Топор кованный А1 Ижевск 1,6кг в сборе /12/</t>
  </si>
  <si>
    <t>65653</t>
  </si>
  <si>
    <t>Топор кованный А2 Ижевск 1,4кг в сборе /12/</t>
  </si>
  <si>
    <t>65657</t>
  </si>
  <si>
    <t>Топор кованный А2 Ижевск 1,8кг в сборе /12/</t>
  </si>
  <si>
    <t>65672</t>
  </si>
  <si>
    <t>Топор кованный Б2 Ижевск 0,8кг в сборе /20/</t>
  </si>
  <si>
    <t>65688</t>
  </si>
  <si>
    <t>Топор кованный Б3 Ижевск 1,3кг в сборе /20/</t>
  </si>
  <si>
    <t>65695</t>
  </si>
  <si>
    <t>Топор кованный Б4 Ижевск 1,4кг в сборе /12/</t>
  </si>
  <si>
    <t>65685</t>
  </si>
  <si>
    <t>Топор кованный М2 Ижевск 2,6кг в сборе мясоруб /10/</t>
  </si>
  <si>
    <t>65659</t>
  </si>
  <si>
    <t>Топор кованный М2 Ижевск 3,2кг в сборе мясоруб /10/</t>
  </si>
  <si>
    <t>65641</t>
  </si>
  <si>
    <t>Топор Сибртех 0,6кг ТП11-06 кованный, деревянное топорище /21617</t>
  </si>
  <si>
    <t>65646</t>
  </si>
  <si>
    <t>Топор Сибртех 0,8кг ТП11-08 кованный, деревянное топорище /21619</t>
  </si>
  <si>
    <t>65648</t>
  </si>
  <si>
    <t>Топор Сибртех 1,0кг ТП11-10 кованный, деревянное топорище /21621</t>
  </si>
  <si>
    <t>65619</t>
  </si>
  <si>
    <t>Топор-колун 1700 г, в сборе, кованый, дер. топорище, 500 мм, (Труд) С372 г.Вача /39-2-200</t>
  </si>
  <si>
    <t>65667</t>
  </si>
  <si>
    <t>Топор-колун дерев. рук. 1350г /39-2-200</t>
  </si>
  <si>
    <t>65633</t>
  </si>
  <si>
    <t>Топорище шлиф. БУК 400мм Россия /22041</t>
  </si>
  <si>
    <t>65635</t>
  </si>
  <si>
    <t>Топорище шлиф. БУК 500мм Россия /22043</t>
  </si>
  <si>
    <t>65674</t>
  </si>
  <si>
    <t>Топорище шлиф. малое /Л</t>
  </si>
  <si>
    <t>65673</t>
  </si>
  <si>
    <t>Топорище шлиф. среднее /Л</t>
  </si>
  <si>
    <t>657 Прочий строительный инструмент</t>
  </si>
  <si>
    <t>65731</t>
  </si>
  <si>
    <t>Пистолет д/герметиков SPARTA полуоткр 310мл утолщ. стенк /886365</t>
  </si>
  <si>
    <t>65708</t>
  </si>
  <si>
    <t>Пистолет д/герметиков SPARTA полуоткр 310мл, кругл. шток Heavy Duty /886325</t>
  </si>
  <si>
    <t>65732</t>
  </si>
  <si>
    <t>Пистолет д/герметиков SPARTA скелет 310мл мет. с фик. усиленный /886125</t>
  </si>
  <si>
    <t>65781</t>
  </si>
  <si>
    <t>Пистолет д/герметиков TYTAN скелет усиленный /24/</t>
  </si>
  <si>
    <t>65718</t>
  </si>
  <si>
    <t>Пистолет д/герметиков полуоткр 310мл хром. зубчат /88640</t>
  </si>
  <si>
    <t>65794</t>
  </si>
  <si>
    <t>Пистолет д/монтажной пены Blast DIY /20/</t>
  </si>
  <si>
    <t>65792</t>
  </si>
  <si>
    <t>Пистолет д/монтажной пены Blast Flint цельнометаллический проф. /20/</t>
  </si>
  <si>
    <t>65784</t>
  </si>
  <si>
    <t>Пистолет д/монтажной пены PROFFLEX CY-028T Профи плюс</t>
  </si>
  <si>
    <t>65782</t>
  </si>
  <si>
    <t>Пистолет д/монтажной пены PROFFLEX CY-030T Стандарт</t>
  </si>
  <si>
    <t>65705</t>
  </si>
  <si>
    <t>Пистолет д/монтажной пены REALIST</t>
  </si>
  <si>
    <t>65734</t>
  </si>
  <si>
    <t>Пистолет д/монтажной пены Sila тефлоновый /20/</t>
  </si>
  <si>
    <t>65777</t>
  </si>
  <si>
    <t>Пистолет д/монтажной пены TYTAN Caliber 30 Gun блистер /20/</t>
  </si>
  <si>
    <t>65717</t>
  </si>
  <si>
    <t>Пистолет д/монтажной пены TYTAN Eco Slim /20/</t>
  </si>
  <si>
    <t>65722</t>
  </si>
  <si>
    <t>Пистолет д/монтажной пены TYTAN GUN PRO Grafit /20/</t>
  </si>
  <si>
    <t>65757</t>
  </si>
  <si>
    <t>Пистолет д/монтажной пены Ultima Standart блистер /36/</t>
  </si>
  <si>
    <t>65724</t>
  </si>
  <si>
    <t>Пистолет д/монтажной пены Ultima черно-желтый /60/</t>
  </si>
  <si>
    <t>65764</t>
  </si>
  <si>
    <t>Пистолет д/монтажной пены СИБРТЕХ пластмас. корпус /88672</t>
  </si>
  <si>
    <t>65759</t>
  </si>
  <si>
    <t>Пистолет д/фолиевых туб 600 мл и герметиков 310 мл /20/</t>
  </si>
  <si>
    <t>65706</t>
  </si>
  <si>
    <t>Сопло для напыления POLYNOR веерное-угловое с функциями адаптации 2шт</t>
  </si>
  <si>
    <t>658 Ящики для инструмента</t>
  </si>
  <si>
    <t>42236</t>
  </si>
  <si>
    <t>Бокс для рыболовных принадлежностей 12" Темно-зеленый BR5732ТЗЛ /10/</t>
  </si>
  <si>
    <t>65866</t>
  </si>
  <si>
    <t>Органайзер Comfort 8 BR3771 /32/</t>
  </si>
  <si>
    <t>65811</t>
  </si>
  <si>
    <t>Органайзер HOBBY BOX 12" серо-свинц./оранж. BR3751СРСВЦОР</t>
  </si>
  <si>
    <t>65805</t>
  </si>
  <si>
    <t>Органайзер HOBBY BOX 9" прозрач. BR3750ПР</t>
  </si>
  <si>
    <t>65875</t>
  </si>
  <si>
    <t>Органайзер Leader 32" серо-свинц. ПЦ3720СРСВИНЦОР /15/</t>
  </si>
  <si>
    <t>66025</t>
  </si>
  <si>
    <t>Органайзер Домашний мини прозр сл кость BQ2559ПРСЛК</t>
  </si>
  <si>
    <t>65857</t>
  </si>
  <si>
    <t>Органайзер Мастер 14 прозрачно-матовый BR3782ПРМТ /14/</t>
  </si>
  <si>
    <t>65968</t>
  </si>
  <si>
    <t>Ящик д/инструмента MATRIX 410*154*95мм, металлический /906035</t>
  </si>
  <si>
    <t>65838</t>
  </si>
  <si>
    <t>Ящик д/метизов (16*11,5*7,5) оранжевый ПЦ3740ОР</t>
  </si>
  <si>
    <t>66064</t>
  </si>
  <si>
    <t>Ящик д/метизов (24,5*17*12,5) оранжевый ПЦ3741ОР</t>
  </si>
  <si>
    <t>65992</t>
  </si>
  <si>
    <t>Ящик д/метизов (37,5*22,5*16) серо-свинцовый ПЦ3742СРСВИНЦ</t>
  </si>
  <si>
    <t>75558</t>
  </si>
  <si>
    <t>Ящик универсальный Альтернатива раскладной 385*255*210 черный М8321 /15/</t>
  </si>
  <si>
    <t>659 Струбцины/приспособления</t>
  </si>
  <si>
    <t>61349</t>
  </si>
  <si>
    <t>Коловорот к сменным головкам 1/2" хром TOYA</t>
  </si>
  <si>
    <t>65935</t>
  </si>
  <si>
    <t>Коловорот к сменным головкам НИЗ</t>
  </si>
  <si>
    <t>65980</t>
  </si>
  <si>
    <t>Крюк для вязки арматуры СИБРТЕХ 210мм деревянная рукоятка /84876</t>
  </si>
  <si>
    <t>66033</t>
  </si>
  <si>
    <t>Крюк для вязки арматуры СИБРТЕХ 210мм пластиковая рукоятка /84879</t>
  </si>
  <si>
    <t>65942</t>
  </si>
  <si>
    <t>Крюк для вязки арматуры СИБРТЕХ 245мм оцинк. ручка /84873</t>
  </si>
  <si>
    <t>66020</t>
  </si>
  <si>
    <t>Крюк для вязки арматуры Спарта автоматический /848805</t>
  </si>
  <si>
    <t>65982</t>
  </si>
  <si>
    <t>Набор экстракторов MATRIX 5шт прямой квадрат /77351</t>
  </si>
  <si>
    <t>65969</t>
  </si>
  <si>
    <t>Приспособления для заточки сверл ПЗС-01</t>
  </si>
  <si>
    <t>65950</t>
  </si>
  <si>
    <t>Станок для крепления УШМ COS-115 /934155</t>
  </si>
  <si>
    <t>65959</t>
  </si>
  <si>
    <t>Станок для крепления УШМ COS-230 /934205</t>
  </si>
  <si>
    <t>65985</t>
  </si>
  <si>
    <t>Струбцина F-образная MATRIX 150*265*45мм, пласт. корпус /20561</t>
  </si>
  <si>
    <t>65986</t>
  </si>
  <si>
    <t>Струбцина F-образная MATRIX 200*315*45мм, пласт. корпус /20562</t>
  </si>
  <si>
    <t>65931</t>
  </si>
  <si>
    <t>Струбцина F-образная MATRIX 300*415*45мм, пласт. корпус /20573</t>
  </si>
  <si>
    <t>65951</t>
  </si>
  <si>
    <t>Струбцина F-образная MATRIX MASTER 250*50*310мм /20404</t>
  </si>
  <si>
    <t>66075</t>
  </si>
  <si>
    <t>Струбцина F-образная MATRIX MASTER 450*765*90мм /20545</t>
  </si>
  <si>
    <t>04762</t>
  </si>
  <si>
    <t>Струбцина F-образная СИБР быстрозажимная, 450*70*660мм, пласт.корпус,фиксатор,двухкомп. рук-ка/20566</t>
  </si>
  <si>
    <t>65912</t>
  </si>
  <si>
    <t>Струбцина F-образная СИБРТЕХ быстрозж, 900*70*1130мм, пласт. корпус, фиксатор, двухкомп.рук-ка/20568</t>
  </si>
  <si>
    <t>66055</t>
  </si>
  <si>
    <t>Струбцина F-образная СПАРТА 1000*120*1050мм /204475</t>
  </si>
  <si>
    <t>65997</t>
  </si>
  <si>
    <t>Струбцина F-образная СПАРТА 150*50*200мм /204235</t>
  </si>
  <si>
    <t>65901</t>
  </si>
  <si>
    <t>Струбцина F-образная СПАРТА 200*50*250мм /204265</t>
  </si>
  <si>
    <t>65966</t>
  </si>
  <si>
    <t>Струбцина G-образная MATRIX MASTER 100мм /20604</t>
  </si>
  <si>
    <t>65909</t>
  </si>
  <si>
    <t>Струбцина G-образная MATRIX MASTER 125*130*225мм /20605</t>
  </si>
  <si>
    <t>65906</t>
  </si>
  <si>
    <t>Струбцина G-образная MATRIX MASTER 150*130*250мм /20606</t>
  </si>
  <si>
    <t>65971</t>
  </si>
  <si>
    <t>Струбцина G-образная MATRIX MASTER 75*50*150мм /20603</t>
  </si>
  <si>
    <t>65983</t>
  </si>
  <si>
    <t>Струбцина G-образная MATRIX PROF 75-150мм, ступенчат. регулиров /20612</t>
  </si>
  <si>
    <t>65933</t>
  </si>
  <si>
    <t>Струбцина G-образная СИБРТЕХ 100мм /20584</t>
  </si>
  <si>
    <t>66018</t>
  </si>
  <si>
    <t>Струбцина G-образная СИБРТЕХ 150мм /20586</t>
  </si>
  <si>
    <t>65902</t>
  </si>
  <si>
    <t>Струбцина G-образная СИБРТЕХ 50мм /20580</t>
  </si>
  <si>
    <t>66049</t>
  </si>
  <si>
    <t>Струбцина G-образная СИБРТЕХ 75мм /20582</t>
  </si>
  <si>
    <t>65910</t>
  </si>
  <si>
    <t>Струбцина G-образная СПАРТА 100мм /206565</t>
  </si>
  <si>
    <t>65911</t>
  </si>
  <si>
    <t>Струбцина G-образная СПАРТА 150мм /206625</t>
  </si>
  <si>
    <t>63092</t>
  </si>
  <si>
    <t>Струбцина G-образная СПАРТА 200мм /206655</t>
  </si>
  <si>
    <t>64638</t>
  </si>
  <si>
    <t>Струбцина G-образная СПАРТА 250мм /206685</t>
  </si>
  <si>
    <t>65904</t>
  </si>
  <si>
    <t>Струбцина G-образная СПАРТА 300мм /206715</t>
  </si>
  <si>
    <t>65947</t>
  </si>
  <si>
    <t>Струбцина G-образная СПАРТА 3шт. 25-50-75мм /206755</t>
  </si>
  <si>
    <t>65979</t>
  </si>
  <si>
    <t>Струбцина G-образная СПАРТА 50мм /206505</t>
  </si>
  <si>
    <t>65970</t>
  </si>
  <si>
    <t>Струбцина G-образная СПАРТА 75мм /206535</t>
  </si>
  <si>
    <t>65999</t>
  </si>
  <si>
    <t>Струбцина Воронеж кованная G 250мм /20055</t>
  </si>
  <si>
    <t>03069</t>
  </si>
  <si>
    <t>Струбцина клещеобр. MATRIX усиленная, пл. корпус, двухкомп. рукоятки, 2"/50 мм /20792</t>
  </si>
  <si>
    <t>03071</t>
  </si>
  <si>
    <t>Струбцина клещеобр. MATRIX усиленная, пл. корпус, двухкомп. рукоятки, 4"/100 мм /20794</t>
  </si>
  <si>
    <t>02615</t>
  </si>
  <si>
    <t>Струбцина клещеобр. СИБРТЕХ пл. корп. 2-х комп. рукоятки, усиленная пружина, 1-1/4"/33мм /20782</t>
  </si>
  <si>
    <t>02616</t>
  </si>
  <si>
    <t>Струбцина клещеобр. СИБРТЕХ пл. корп. 2-х комп. рукоятки, усиленная пружина, 1-5/8"/42мм /20784</t>
  </si>
  <si>
    <t>02795</t>
  </si>
  <si>
    <t>Струбцина клещеобр. СИБРТЕХ пл. корп. 2-х комп. рукоятки, усиленная пружина, 2,3-4"/70мм /20786</t>
  </si>
  <si>
    <t>02796</t>
  </si>
  <si>
    <t>Струбцина клещеобр. СИБРТЕХ пл. корп. 2-х комп. рукоятки, усиленная пружина, 3-3/16"/82мм /20788</t>
  </si>
  <si>
    <t>60409</t>
  </si>
  <si>
    <t>Удлинитель MATRIX 125мм 1/2" /13972</t>
  </si>
  <si>
    <t>65978</t>
  </si>
  <si>
    <t>Удлинитель MATRIX 250мм 1/2" /13973</t>
  </si>
  <si>
    <t>65975</t>
  </si>
  <si>
    <t>Удлинитель MATRIX MASTER 100мм 1/4" д/труднод. мест /13970</t>
  </si>
  <si>
    <t>64832</t>
  </si>
  <si>
    <t>Удлинитель MATRIX MASTER 125мм 1/2" д/труднод. мест /13979</t>
  </si>
  <si>
    <t>65923</t>
  </si>
  <si>
    <t>Удлинитель MATRIX MASTER 75мм 3/8" д/труднод. мест /13971</t>
  </si>
  <si>
    <t>65918</t>
  </si>
  <si>
    <t>Удлинитель STELS 125мм 1/2" /13906</t>
  </si>
  <si>
    <t>65949</t>
  </si>
  <si>
    <t>Удлинитель STELS 150мм 1/4" /13903</t>
  </si>
  <si>
    <t>66017</t>
  </si>
  <si>
    <t>Удлинитель STELS 150мм 3/8" /13905</t>
  </si>
  <si>
    <t>65919</t>
  </si>
  <si>
    <t>Удлинитель STELS 250мм 1/2" /13908</t>
  </si>
  <si>
    <t>65967</t>
  </si>
  <si>
    <t>Удлинитель STELS 50мм 1/4" /13902</t>
  </si>
  <si>
    <t>65905</t>
  </si>
  <si>
    <t>Удлинитель STELS 75мм 3/8" /13904</t>
  </si>
  <si>
    <t>65926</t>
  </si>
  <si>
    <t>Удлинитель STELS ударный 75 мм 1/2" /13975</t>
  </si>
  <si>
    <t>65974</t>
  </si>
  <si>
    <t>Удлинитель НИЗ 250мм с наруж. присоед. квадратом с перех. цинк (2) /13960 /10/</t>
  </si>
  <si>
    <t>65940</t>
  </si>
  <si>
    <t>Удлинитель НИЗ 250мм сварной конструкции цинк (2) /10/</t>
  </si>
  <si>
    <t>60920</t>
  </si>
  <si>
    <t>Шарнир НИЗ цинк (2)</t>
  </si>
  <si>
    <t>660 Стусла/Ножовки по гипсокартону</t>
  </si>
  <si>
    <t>63170</t>
  </si>
  <si>
    <t>Ножовка по гипсокартону MATRIX с двухс. зат. полот. /23392</t>
  </si>
  <si>
    <t>63112</t>
  </si>
  <si>
    <t>Стусло MATRIX 300мм пластм.+пила /22550</t>
  </si>
  <si>
    <t>01192</t>
  </si>
  <si>
    <t>Стусло MATRIX 350мм пластм.+пила /22536</t>
  </si>
  <si>
    <t>63158</t>
  </si>
  <si>
    <t>Стусло MATRIX 420мм прецизионное /22732</t>
  </si>
  <si>
    <t>63135</t>
  </si>
  <si>
    <t>Стусло MATRIX 500мм пластм.+пила /22540</t>
  </si>
  <si>
    <t>63177</t>
  </si>
  <si>
    <t>Стусло MATRIX 550мм прецизионное облегченное /22735</t>
  </si>
  <si>
    <t>63207</t>
  </si>
  <si>
    <t>Стусло MATRIX 600мм прецизионное с наклоном полотна /22750</t>
  </si>
  <si>
    <t>66002</t>
  </si>
  <si>
    <t>Стусло СИБРТЕХ 300*100 пластиковое 4 угла запила /22572</t>
  </si>
  <si>
    <t>63159</t>
  </si>
  <si>
    <t>Стусло СИБРТЕХ 310*120мм пластм. 6 углов для запила /22574</t>
  </si>
  <si>
    <t>66043</t>
  </si>
  <si>
    <t>Стусло СИБРТЕХ 310*90мм пластм. 6 углов для запила /22576</t>
  </si>
  <si>
    <t>02405</t>
  </si>
  <si>
    <t>Стусло СИБРТЕХ 450мм пластм.+пила /22538</t>
  </si>
  <si>
    <t>661-667 Штукатурно-малярный инструмент</t>
  </si>
  <si>
    <t>661 Кельмы/Мастерки</t>
  </si>
  <si>
    <t>66145</t>
  </si>
  <si>
    <t>Кельма бетонщика 150мм с деревянной ручкой /862785</t>
  </si>
  <si>
    <t>66129</t>
  </si>
  <si>
    <t>Кельма бетонщика стальная дер. усил. ручка Россия /86220</t>
  </si>
  <si>
    <t>66117</t>
  </si>
  <si>
    <t>Кельма каменщика 160мм с деревянной ручкой /862745</t>
  </si>
  <si>
    <t>66146</t>
  </si>
  <si>
    <t>Кельма каменщика 200мм с деревянной ручкой /862765</t>
  </si>
  <si>
    <t>66167</t>
  </si>
  <si>
    <t>Кельма печника 200мм с деревянной ручкой /862805</t>
  </si>
  <si>
    <t>66157</t>
  </si>
  <si>
    <t>Кельма штукатура 160мм с деревянной ручкой /862705</t>
  </si>
  <si>
    <t>66158</t>
  </si>
  <si>
    <t>Кельма штукатура 200мм с деревянной ручкой /862725</t>
  </si>
  <si>
    <t>66127</t>
  </si>
  <si>
    <t>Кельма штукатура стальная деревянная усиленная ручка /86224</t>
  </si>
  <si>
    <t>662 Гладилки/терки</t>
  </si>
  <si>
    <t>66211</t>
  </si>
  <si>
    <t>Гладилка MATRIX 280*130мм нерж. сталь, дер. ручка /86733</t>
  </si>
  <si>
    <t>66216</t>
  </si>
  <si>
    <t>Гладилка MATRIX 280*130мм нерж. сталь, зеркал. полир., плас. руч /86776</t>
  </si>
  <si>
    <t>66213</t>
  </si>
  <si>
    <t>Гладилка MATRIX 280*130мм сталь, зеркальная полировка, дер. руч /86732</t>
  </si>
  <si>
    <t>66214</t>
  </si>
  <si>
    <t>Гладилка MATRIX 280*130мм сталь, зеркальная полировка, плас. руч /86774</t>
  </si>
  <si>
    <t>66215</t>
  </si>
  <si>
    <t>Гладилка MATRIX 280*130мм сталь, зуб 6*6мм, пласт. ручка /86775</t>
  </si>
  <si>
    <t>66226</t>
  </si>
  <si>
    <t>Терка СИБРТЕХ 120*1000мм полутерок полиурет /86615 /12/</t>
  </si>
  <si>
    <t>66204</t>
  </si>
  <si>
    <t>Терка СИБРТЕХ 120*190мм полиурет /86606 /30/</t>
  </si>
  <si>
    <t>66220</t>
  </si>
  <si>
    <t>Терка СИБРТЕХ 120*240мм полиурет /86609 /30/</t>
  </si>
  <si>
    <t>66243</t>
  </si>
  <si>
    <t>Терка СИБРТЕХ 120*800мм облегч полиурет /86642 /30/</t>
  </si>
  <si>
    <t>66234</t>
  </si>
  <si>
    <t>Терка СИБРТЕХ 140*230мм полиурет /86618 /12/</t>
  </si>
  <si>
    <t>66223</t>
  </si>
  <si>
    <t>Терка СИБРТЕХ 140*280мм полиурет /86621 /30/</t>
  </si>
  <si>
    <t>66203</t>
  </si>
  <si>
    <t>Терка СИБРТЕХ 180*320мм полиурет /86630 /30/</t>
  </si>
  <si>
    <t>66240</t>
  </si>
  <si>
    <t>Терка СИБРТЕХ 200*360мм облегч полиурет /86633 /30/</t>
  </si>
  <si>
    <t>663 Кисти плоские/радиаторные</t>
  </si>
  <si>
    <t>66342</t>
  </si>
  <si>
    <t>Кисть КП 120х25 231120 /П/</t>
  </si>
  <si>
    <t>66344</t>
  </si>
  <si>
    <t>Кисть КП 120х35 221120 /П/</t>
  </si>
  <si>
    <t>66340</t>
  </si>
  <si>
    <t>Кисть КП 70х25 221070 /П/</t>
  </si>
  <si>
    <t>66434</t>
  </si>
  <si>
    <t>Кисть плоская "Профи 1,5", натуральная щетина, дерев. /83151 /12/300/</t>
  </si>
  <si>
    <t>66430</t>
  </si>
  <si>
    <t>Кисть плоская "Профи 1,5", натуральная щетина, пластмас. /83161 /12/300/</t>
  </si>
  <si>
    <t>66336</t>
  </si>
  <si>
    <t>Кисть плоская "Профи 1", натуральная щетина, дерев. /83150 /12/600/</t>
  </si>
  <si>
    <t>66432</t>
  </si>
  <si>
    <t>Кисть плоская "Профи 1", натуральная щетина, пластмас. /83160 /12/600/</t>
  </si>
  <si>
    <t>63330</t>
  </si>
  <si>
    <t>Кисть плоская "Профи 2,5", натуральная щетина, дерев. /83153 /12/240/</t>
  </si>
  <si>
    <t>66436</t>
  </si>
  <si>
    <t>Кисть плоская "Профи 2,5", натуральная щетина, пластмас. /83163 /12/240/</t>
  </si>
  <si>
    <t>66306</t>
  </si>
  <si>
    <t>Кисть плоская "Профи 2", натуральная щетина, дерев. /83152 /12/240/</t>
  </si>
  <si>
    <t>66435</t>
  </si>
  <si>
    <t>Кисть плоская "Профи 2", натуральная щетина, пластмас. /83162 /12/240/</t>
  </si>
  <si>
    <t>66333</t>
  </si>
  <si>
    <t>Кисть плоская "Профи 3", натуральная щетина, дерев. /83154 /12/120/</t>
  </si>
  <si>
    <t>66433</t>
  </si>
  <si>
    <t>Кисть плоская "Профи 3", натуральная щетина, пластмас. /83164 /12/120/</t>
  </si>
  <si>
    <t>66431</t>
  </si>
  <si>
    <t>Кисть плоская "Профи 4", натуральная щетина, дерев. /83155 /12/120/</t>
  </si>
  <si>
    <t>66437</t>
  </si>
  <si>
    <t>Кисть плоская "Профи 4", натуральная щетина, пластмас. /83165 /12/120/</t>
  </si>
  <si>
    <t>66300</t>
  </si>
  <si>
    <t>Кисть плоская MATRIX "Декор" 2", натуральная черная щетина, дер. ручка /82630</t>
  </si>
  <si>
    <t>66409</t>
  </si>
  <si>
    <t>Кисть плоская MATRIX "Евро"1,5", натур. щет., дерев. ручка /83052 /12/300/</t>
  </si>
  <si>
    <t>66305</t>
  </si>
  <si>
    <t>Кисть плоская MATRIX "Евро"1,5", натур. щет., пласт. ручка /83062 /12/300/</t>
  </si>
  <si>
    <t>66408</t>
  </si>
  <si>
    <t>Кисть плоская MATRIX "Евро"1", натур. щет., дерев. ручка /83051 /12/480/</t>
  </si>
  <si>
    <t>66415</t>
  </si>
  <si>
    <t>Кисть плоская MATRIX "Евро"1", натур. щет., пласт. ручка /83061 /12/480/</t>
  </si>
  <si>
    <t>66411</t>
  </si>
  <si>
    <t>Кисть плоская MATRIX "Евро"2,5", натур. щет., дерев. ручка /83054 /12/240/</t>
  </si>
  <si>
    <t>66439</t>
  </si>
  <si>
    <t>Кисть плоская MATRIX "Евро"2,5", натур. щет., пласт. ручка /83064 /12/240/</t>
  </si>
  <si>
    <t>66410</t>
  </si>
  <si>
    <t>Кисть плоская MATRIX "Евро"2", натур. щет., дерев. ручка /83053 /12/240/</t>
  </si>
  <si>
    <t>66416</t>
  </si>
  <si>
    <t>Кисть плоская MATRIX "Евро"2", натур. щет., пласт. ручка /83063 /12/240/</t>
  </si>
  <si>
    <t>66412</t>
  </si>
  <si>
    <t>Кисть плоская MATRIX "Евро"3", натур. щет., дерев. ручка /83056 /12/144/</t>
  </si>
  <si>
    <t>66417</t>
  </si>
  <si>
    <t>Кисть плоская MATRIX "Евро"3", натур. щет., пласт. ручка /83066 /12/144/</t>
  </si>
  <si>
    <t>66310</t>
  </si>
  <si>
    <t>Кисть плоская MATRIX "Евро"3/4", натур. щет., дерев. ручка /83050 /12/600/</t>
  </si>
  <si>
    <t>66326</t>
  </si>
  <si>
    <t>Кисть плоская MATRIX "Евро"3/4", натур. щет., пласт. ручка /83060 /12/600/</t>
  </si>
  <si>
    <t>66303</t>
  </si>
  <si>
    <t>Кисть плоская MATRIX "Евро"4", натур. щет., дерев. ручка /83057 /12/120/</t>
  </si>
  <si>
    <t>66419</t>
  </si>
  <si>
    <t>Кисть плоская MATRIX "Евро"4", натур. щет., пласт. ручка /83067 /12/120/</t>
  </si>
  <si>
    <t>ИЗМ82007</t>
  </si>
  <si>
    <t>Кисть плоская MATRIX № 29 натуральн. 82007</t>
  </si>
  <si>
    <t>66309</t>
  </si>
  <si>
    <t>Кисть плоская MATRIX Стандарт 1 1/2"/38мм св. щет /82525 /12/600/</t>
  </si>
  <si>
    <t>66558</t>
  </si>
  <si>
    <t>Кисть плоская MATRIX Стандарт 1"/25мм св. щет /82520 /12/720/</t>
  </si>
  <si>
    <t>66559</t>
  </si>
  <si>
    <t>Кисть плоская MATRIX Стандарт 2 1/2"/63мм св. щет /82535 /12/300/</t>
  </si>
  <si>
    <t>66560</t>
  </si>
  <si>
    <t>Кисть плоская MATRIX Стандарт 2"/50мм св. щет /82530 /12/480/</t>
  </si>
  <si>
    <t>66561</t>
  </si>
  <si>
    <t>Кисть плоская MATRIX Стандарт 3"/75мм св. щет /82540 /12/240/</t>
  </si>
  <si>
    <t>66331</t>
  </si>
  <si>
    <t>Кисть плоская MATRIX Стандарт 3/4"/19мм св. щет /82515 /12/1080/</t>
  </si>
  <si>
    <t>66563</t>
  </si>
  <si>
    <t>Кисть плоская MATRIX Стандарт 4"/100мм св. щет /82545 /12/240/</t>
  </si>
  <si>
    <t>66313</t>
  </si>
  <si>
    <t>Кисть плоская №24 натуральная щетина /Россия</t>
  </si>
  <si>
    <t>66325</t>
  </si>
  <si>
    <t>Кисть плоская Sparta Slimline 1 1/2" дер. ручка /824255 /12/600/</t>
  </si>
  <si>
    <t>66334</t>
  </si>
  <si>
    <t>Кисть плоская Sparta Slimline 1" дер. ручка /824205 /12/1200/</t>
  </si>
  <si>
    <t>66335</t>
  </si>
  <si>
    <t>Кисть плоская Sparta Slimline 2 1/2" дер. ручка /824355 /12/600/</t>
  </si>
  <si>
    <t>66330</t>
  </si>
  <si>
    <t>Кисть плоская Sparta Slimline 2" дер. ручка /824305 /12/600/</t>
  </si>
  <si>
    <t>66392</t>
  </si>
  <si>
    <t>Кисть плоская Sparta Slimline 3" дер. ручка /824405 /12/360/</t>
  </si>
  <si>
    <t>66387</t>
  </si>
  <si>
    <t>Кисть плоская Sparta Slimline 3/4" дер. ручка /824155 /12/1200/</t>
  </si>
  <si>
    <t>66377</t>
  </si>
  <si>
    <t>Кисть плоская Sparta Slimline 4" дер. ручка /824455 /12/240/</t>
  </si>
  <si>
    <t>66360</t>
  </si>
  <si>
    <t>Кисть плоская д/водных КП 100х25-В7 247100 /П/</t>
  </si>
  <si>
    <t>66348</t>
  </si>
  <si>
    <t>Кисть плоская д/консерв-в КП 100х25-С7 227100 /П/</t>
  </si>
  <si>
    <t>66301</t>
  </si>
  <si>
    <t>Кисть плоская д/консерв-в КП 120х25-С7 227120 /П/</t>
  </si>
  <si>
    <t>66311</t>
  </si>
  <si>
    <t>Кисть плоская д/консерв-в КП 120х25-С7 ЗЕЛ 207120 /П/</t>
  </si>
  <si>
    <t>66361</t>
  </si>
  <si>
    <t>Кисть радиатор. MATRIX 1 1/2" дер. ручка /83843 /12/300/</t>
  </si>
  <si>
    <t>66367</t>
  </si>
  <si>
    <t>Кисть радиатор. MATRIX 1" дер. ручка /83840 /12/600/</t>
  </si>
  <si>
    <t>66378</t>
  </si>
  <si>
    <t>Кисть радиатор. MATRIX 2 1/2" дер. ручка /83849 /12/300/</t>
  </si>
  <si>
    <t>66357</t>
  </si>
  <si>
    <t>Кисть радиатор. MATRIX 2" дер. ручка /83846 /12/300/</t>
  </si>
  <si>
    <t>66042</t>
  </si>
  <si>
    <t>Кисть радиатор. MATRIX 3" дер. ручка /83852 /12/300/</t>
  </si>
  <si>
    <t>664 Кисти круглые/макловицы</t>
  </si>
  <si>
    <t>66425</t>
  </si>
  <si>
    <t>Кисть дерево КЭ-100 /50/ /П/</t>
  </si>
  <si>
    <t>66426</t>
  </si>
  <si>
    <t>Кисть дерево КЭ-80 211080 /П/</t>
  </si>
  <si>
    <t>66483</t>
  </si>
  <si>
    <t>Кисть круглая № 2 (20мм), натуральная щетина, дерев /82072 /12/960/</t>
  </si>
  <si>
    <t>66492</t>
  </si>
  <si>
    <t>Кисть круглая № 4 (25мм), натуральная щетина, дерев /82074 /12/720/</t>
  </si>
  <si>
    <t>66400</t>
  </si>
  <si>
    <t>Кисть круглая № 6 (30мм), натуральная щетина, дерев /82076 /12/600/</t>
  </si>
  <si>
    <t>66427</t>
  </si>
  <si>
    <t>Кисть круглая № 8 (35мм), натуральная щетина, дерев /82078 /12/480/</t>
  </si>
  <si>
    <t>66315</t>
  </si>
  <si>
    <t>Кисть круглая №10 (40мм), натуральная щетина, дерев /82080 /12/360/</t>
  </si>
  <si>
    <t>66317</t>
  </si>
  <si>
    <t>Кисть круглая №12 (45мм), натуральная щетина, дерев /82082 /12/240/</t>
  </si>
  <si>
    <t>66307</t>
  </si>
  <si>
    <t>Кисть круглая №14 (50мм), натуральная щетина, дерев /82084 /12/240/</t>
  </si>
  <si>
    <t>66428</t>
  </si>
  <si>
    <t>Кисть круглая №16 (55мм), натуральная щетина, дерев /82086 /12/120/</t>
  </si>
  <si>
    <t>66453</t>
  </si>
  <si>
    <t>Кисть круглая №18 (60мм), натуральная щетина, дерев /82088 /6/120/</t>
  </si>
  <si>
    <t>66429</t>
  </si>
  <si>
    <t>Кисть круглая №20 (65мм), натуральная щетина, дерев /82090 /6/120/</t>
  </si>
  <si>
    <t>66438</t>
  </si>
  <si>
    <t>Кисть круглая Sparta № 2 (20мм), натуральная щетина, дерев /820725 /400/</t>
  </si>
  <si>
    <t>66445</t>
  </si>
  <si>
    <t>Кисть круглая Кр-35 /СТ/</t>
  </si>
  <si>
    <t>66406</t>
  </si>
  <si>
    <t>Кисть круглая Кр-40 /СТ/</t>
  </si>
  <si>
    <t>66488</t>
  </si>
  <si>
    <t>Кисть маховая MATRIX КМ65, нат. щетина, пл. ручка /84006 /32/</t>
  </si>
  <si>
    <t>66489</t>
  </si>
  <si>
    <t>Кисть маховая MATRIX КМ80, нат. щетина, пл. ручка /84007 /30/</t>
  </si>
  <si>
    <t>66407</t>
  </si>
  <si>
    <t>Кисть-макловица 170*70мм из искуственного волокна 607002 /П/</t>
  </si>
  <si>
    <t>66484</t>
  </si>
  <si>
    <t>Кисть-макловица MATRIX 100*30мм, искусст. щетина пласт корп. /84126</t>
  </si>
  <si>
    <t>66345</t>
  </si>
  <si>
    <t>Кисть-макловица MATRIX 170*70мм, искусст. щетина /84086 /12/72/</t>
  </si>
  <si>
    <t>66320</t>
  </si>
  <si>
    <t>Кисть-макловица MATRIX 30*100мм, натур. щетина /84121 /12/</t>
  </si>
  <si>
    <t>66447</t>
  </si>
  <si>
    <t>Кисть-макловица MATRIX 40*140мм, искусст. щетина, пластмас. корпус, пластмас. ручка /84128 /6/96/</t>
  </si>
  <si>
    <t>66421</t>
  </si>
  <si>
    <t>Кисть-макловица MATRIX 40*140мм, натур. щетина пластмас. ручка /84123 /12/</t>
  </si>
  <si>
    <t>66323</t>
  </si>
  <si>
    <t>Кисть-макловица MATRIX 50*150мм, натур. щетина /84124 /12/</t>
  </si>
  <si>
    <t>66319</t>
  </si>
  <si>
    <t>Кисть-макловица MATRIX круглая, искусст. щетина, пласт. корпус /84110 /12/72/</t>
  </si>
  <si>
    <t>66404</t>
  </si>
  <si>
    <t>Кисть-макловица Спарта 30*100мм /841025 /12/144/</t>
  </si>
  <si>
    <t>66414</t>
  </si>
  <si>
    <t>Кисть-макловица Спарта 30*120мм /841035 /12/120/</t>
  </si>
  <si>
    <t>66401</t>
  </si>
  <si>
    <t>Кисть-макловица Спарта 30*70мм /841015 /12/120/</t>
  </si>
  <si>
    <t>66364</t>
  </si>
  <si>
    <t>Кисть-макловица Спарта 40*140мм /841045 /6/60/</t>
  </si>
  <si>
    <t>66422</t>
  </si>
  <si>
    <t>Кисть-макловица Спарта 50*140мм /841065 /6/48/</t>
  </si>
  <si>
    <t>66418</t>
  </si>
  <si>
    <t>Кисть-макловица Спарта 50*150мм /841055 /6/72/</t>
  </si>
  <si>
    <t>66450</t>
  </si>
  <si>
    <t>Кисть-макловица Т4Р 40*140 белая 0106114</t>
  </si>
  <si>
    <t>665 Валики /наборы/шубки</t>
  </si>
  <si>
    <t>66545</t>
  </si>
  <si>
    <t>Бюгель для валика MATRIX 250мм d-8мм, никель /81245</t>
  </si>
  <si>
    <t>66582</t>
  </si>
  <si>
    <t>Бюгель для валика-мини MATRIX 50мм и 75мм, d-6мм, никель /81211</t>
  </si>
  <si>
    <t>66534</t>
  </si>
  <si>
    <t>Валик Headman Велюр в сборе 240мм бюгель 6мм ворс 5 мм 681-121 /5/35/</t>
  </si>
  <si>
    <t>66519</t>
  </si>
  <si>
    <t>Валик Headman Искусственный мех в сборе 240мм бюгель 6мм ворс 12 мм 681-117 /5/30/</t>
  </si>
  <si>
    <t>66524</t>
  </si>
  <si>
    <t>Валик Headman Поролон в сборе 180мм бюгель 6мм ворс 10 мм 681-118 /5/35/</t>
  </si>
  <si>
    <t>66529</t>
  </si>
  <si>
    <t>Валик Headman Поролон в сборе 240мм бюгель 6мм ворс 10 мм 681-119 /5/30/</t>
  </si>
  <si>
    <t>66566</t>
  </si>
  <si>
    <t>Валик MATRIX "ГРЕЙТЕКС", полиакрил, 180мм, ворс 12мм, D-48мм, с руч. /80657</t>
  </si>
  <si>
    <t>66567</t>
  </si>
  <si>
    <t>Валик MATRIX "ГРЕЙТЕКС", полиакрил, 250мм, ворс 12мм, D-48мм, с руч. /80658</t>
  </si>
  <si>
    <t>66541</t>
  </si>
  <si>
    <t>Валик MATRIX "СИНТЕКС" с 2-х ком ручк, полиакрил, 180мм, ворс 18мм, D-48мм /80654</t>
  </si>
  <si>
    <t>66565</t>
  </si>
  <si>
    <t>Валик MATRIX "СИНТЕКС" с 2-х ком ручк, полиакрил, 250мм, ворс 18мм, D-48мм /80656</t>
  </si>
  <si>
    <t>04179</t>
  </si>
  <si>
    <t>Валик MATRIX "СИНТЕКС" с ручк., полиакрил, 180мм, ворс 18мм, D-40мм /80886</t>
  </si>
  <si>
    <t>66598</t>
  </si>
  <si>
    <t>Валик MATRIX "СИНТЕКС" с ручк., полиакрил, 250мм, ворс 18мм, D-40мм /80887</t>
  </si>
  <si>
    <t>66506</t>
  </si>
  <si>
    <t>Валик MATRIX "СИНТЕКС" с ручк., полиакрил, 250мм, ворс 18мм, D-48мм /80752</t>
  </si>
  <si>
    <t>66573</t>
  </si>
  <si>
    <t>Валик MATRIX "СИНТЕКС" с ручкой 8мм, 180мм, ворс 18мм, D-48мм, D руч.-8мм /80751</t>
  </si>
  <si>
    <t>66777</t>
  </si>
  <si>
    <t>Валик MATRIX игольчатый по бетону, 300 мм /81106</t>
  </si>
  <si>
    <t>66555</t>
  </si>
  <si>
    <t>Валик прижимной резиновый MATRIX 40мм бюг. 6мм /81005</t>
  </si>
  <si>
    <t>66525</t>
  </si>
  <si>
    <t>Валик СИБРТЕХ из искус. меха в сборе, ворс 15мм, 100мм /80111</t>
  </si>
  <si>
    <t>66591</t>
  </si>
  <si>
    <t>Валик СИБРТЕХ из искус. меха в сборе, ворс 15мм, 150мм /80112</t>
  </si>
  <si>
    <t>66547</t>
  </si>
  <si>
    <t>Валик СИБРТЕХ из искус. меха в сборе, ворс 15мм, 200мм /80113</t>
  </si>
  <si>
    <t>66564</t>
  </si>
  <si>
    <t>Валик СИБРТЕХ из искус. меха в сборе, ворс 15мм, 250мм /80114</t>
  </si>
  <si>
    <t>66516</t>
  </si>
  <si>
    <t>Валик СИБРТЕХ из натур. меха в сборе, ворс 12мм, 100мм /80121</t>
  </si>
  <si>
    <t>66556</t>
  </si>
  <si>
    <t>Валик СИБРТЕХ из натур. меха в сборе, ворс 12мм, 250мм /80124</t>
  </si>
  <si>
    <t>66571</t>
  </si>
  <si>
    <t>Валик СИБРТЕХ из натур. меха в сборе, ворс 15мм, 150мм /80122</t>
  </si>
  <si>
    <t>66568</t>
  </si>
  <si>
    <t>Валик СИБРТЕХ из натур. меха в сборе, ворс 15мм, 200мм /80123</t>
  </si>
  <si>
    <t>66550</t>
  </si>
  <si>
    <t>Валик СИБРТЕХ Поролон в сборе D-48 мм, 100мм /80101</t>
  </si>
  <si>
    <t>66552</t>
  </si>
  <si>
    <t>Валик СИБРТЕХ Поролон в сборе D-48 мм, 150мм /80102</t>
  </si>
  <si>
    <t>66557</t>
  </si>
  <si>
    <t>Валик СИБРТЕХ Поролон в сборе D-48 мм, 200мм /80103</t>
  </si>
  <si>
    <t>66595</t>
  </si>
  <si>
    <t>Валик СИБРТЕХ Поролон в сборе D-48 мм, 250мм /80104</t>
  </si>
  <si>
    <t>66512</t>
  </si>
  <si>
    <t>Валик Управдом Корд-Полиэстер 240мм, d8мм /0232210-24 /50/</t>
  </si>
  <si>
    <t>66575</t>
  </si>
  <si>
    <t>Валик Управдом Полиэстер 240мм, d6мм /0222668-24 /50/</t>
  </si>
  <si>
    <t>66590</t>
  </si>
  <si>
    <t>Набор валик "ГРЕЙТЕКС", полиакрил, 180мм+ванночка 260*320мм /84404</t>
  </si>
  <si>
    <t>66597</t>
  </si>
  <si>
    <t>Набор валик "ГРЕЙТЕКС", полиакрил, 250мм+ванночка 330*350мм /84405</t>
  </si>
  <si>
    <t>55104</t>
  </si>
  <si>
    <t>Решетка малярная СИБРТЕХ пластмас 270*290 /81423</t>
  </si>
  <si>
    <t>66884</t>
  </si>
  <si>
    <t>Ручка для минивалика Headman 50*190 мм Д6 681-013</t>
  </si>
  <si>
    <t>01713</t>
  </si>
  <si>
    <t>Шубка натуральный мех Сибртех 250мм, для арт. 80164, 10 шт /80169</t>
  </si>
  <si>
    <t>666 Шпатели</t>
  </si>
  <si>
    <t>66606</t>
  </si>
  <si>
    <t>Шпатели (40-60-80) 3шт. бел. резина /858275</t>
  </si>
  <si>
    <t>66577</t>
  </si>
  <si>
    <t>Шпатели Tytan Proffessional для выравнивания</t>
  </si>
  <si>
    <t>66651</t>
  </si>
  <si>
    <t>Шпатели пластик SPARTA Япончик 4шт 50,75,100,120мм /860045</t>
  </si>
  <si>
    <t>66646</t>
  </si>
  <si>
    <t>Шпатели стальные SPARTA Япончик 4шт 50,80,100,120мм /852605</t>
  </si>
  <si>
    <t>66613</t>
  </si>
  <si>
    <t>Шпатель 30мм нерж. с дер. ручкой /852035 /12/</t>
  </si>
  <si>
    <t>66614</t>
  </si>
  <si>
    <t>Шпатель 40мм нерж. с дер. ручкой /852065 /12/</t>
  </si>
  <si>
    <t>66626</t>
  </si>
  <si>
    <t>Шпатель MATRIX метал. с двухкомп. ручкой 100мм /85510</t>
  </si>
  <si>
    <t>66672</t>
  </si>
  <si>
    <t>Шпатель MATRIX метал. с двухкомп. ручкой 120мм /85512</t>
  </si>
  <si>
    <t>66680</t>
  </si>
  <si>
    <t>Шпатель MATRIX метал. с двухкомп. ручкой 150мм /85515</t>
  </si>
  <si>
    <t>66679</t>
  </si>
  <si>
    <t>Шпатель MATRIX метал. с двухкомп. ручкой 40мм /85504</t>
  </si>
  <si>
    <t>64102</t>
  </si>
  <si>
    <t>Шпатель MATRIX метал. с двухкомп. ручкой 50мм /85505</t>
  </si>
  <si>
    <t>66624</t>
  </si>
  <si>
    <t>Шпатель MATRIX метал. с двухкомп. ручкой 60мм /85506</t>
  </si>
  <si>
    <t>66625</t>
  </si>
  <si>
    <t>Шпатель MATRIX метал. с двухкомп. ручкой 80мм /85508</t>
  </si>
  <si>
    <t>66694</t>
  </si>
  <si>
    <t>Шпатель MATRIX фасад. из нержав. стали 200мм 2-комп. руч. /85513</t>
  </si>
  <si>
    <t>66687</t>
  </si>
  <si>
    <t>Шпатель MATRIX фасад. из нержав. стали 200мм 2-комп. руч. шир. пол. /85502</t>
  </si>
  <si>
    <t>66645</t>
  </si>
  <si>
    <t>Шпатель MATRIX фасад. из нержав. стали 250мм 2-комп. руч. /85514</t>
  </si>
  <si>
    <t>66674</t>
  </si>
  <si>
    <t>Шпатель MATRIX фасад. из нержав. стали 300мм 2-комп. руч. /85516</t>
  </si>
  <si>
    <t>66684</t>
  </si>
  <si>
    <t>Шпатель MATRIX фасад. из нержав. стали 475мм 2-комп. руч. /85518</t>
  </si>
  <si>
    <t>66686</t>
  </si>
  <si>
    <t>Шпатель MATRIX фасад. из нержав. стали 600мм 2-комп. руч. /85519</t>
  </si>
  <si>
    <t>66770</t>
  </si>
  <si>
    <t>Шпатель SPARTA 25мм сталь, пласт. ручка /852305 /12/</t>
  </si>
  <si>
    <t>66604</t>
  </si>
  <si>
    <t>Шпатель Арефино ШП 30мм</t>
  </si>
  <si>
    <t>81058</t>
  </si>
  <si>
    <t>Шпатель для укладки плитки пластиковый</t>
  </si>
  <si>
    <t>66896</t>
  </si>
  <si>
    <t>Шпатель СИБРТЕХ 100мм, белая резина /85834</t>
  </si>
  <si>
    <t>66630</t>
  </si>
  <si>
    <t>Шпатель СИБРТЕХ 150мм, белая резина /85835</t>
  </si>
  <si>
    <t>66647</t>
  </si>
  <si>
    <t>Шпатель СИБРТЕХ из нержав. стали 200мм, зуб 6*6мм, пласт. руч. /85464</t>
  </si>
  <si>
    <t>66656</t>
  </si>
  <si>
    <t>Шпатель СИБРТЕХ из нержав. стали 250мм, зуб 6*6мм, пласт. руч. /85465</t>
  </si>
  <si>
    <t>66638</t>
  </si>
  <si>
    <t>Шпатель СИБРТЕХ из нержав. стали 300мм, зуб 8*8мм, пласт. руч. /85476</t>
  </si>
  <si>
    <t>66668</t>
  </si>
  <si>
    <t>Шпатель СИБРТЕХ из нержавеющей стали 100мм пласт. ручка /85435</t>
  </si>
  <si>
    <t>66666</t>
  </si>
  <si>
    <t>Шпатель СИБРТЕХ из нержавеющей стали 60мм пласт. ручка /85432</t>
  </si>
  <si>
    <t>66667</t>
  </si>
  <si>
    <t>Шпатель СИБРТЕХ из нержавеющей стали 80мм пласт. ручка /85433</t>
  </si>
  <si>
    <t>66636</t>
  </si>
  <si>
    <t>Шпатель СИБРТЕХ фасад. из нержав. стали 150мм пласт. руч. /85436</t>
  </si>
  <si>
    <t>66607</t>
  </si>
  <si>
    <t>Шпатель СИБРТЕХ фасад. из нержав. стали 200мм пласт. руч. /85438</t>
  </si>
  <si>
    <t>66608</t>
  </si>
  <si>
    <t>Шпатель СИБРТЕХ фасад. из нержав. стали 250мм пласт. руч. /85439</t>
  </si>
  <si>
    <t>66609</t>
  </si>
  <si>
    <t>Шпатель СИБРТЕХ фасад. из нержав. стали 300мм пласт. руч. /85442</t>
  </si>
  <si>
    <t>66610</t>
  </si>
  <si>
    <t>Шпатель СИБРТЕХ фасад. из нержав. стали 350мм пласт. руч. /85446</t>
  </si>
  <si>
    <t>66639</t>
  </si>
  <si>
    <t>Шпатель СИБРТЕХ фасад. из нержав. стали 450мм пласт. руч. /85450</t>
  </si>
  <si>
    <t>66641</t>
  </si>
  <si>
    <t>Шпатель СИБРТЕХ фасад. из нержав. стали 600мм пласт. руч. /85452</t>
  </si>
  <si>
    <t>667 Прочий штукатурно-малярный инструмент</t>
  </si>
  <si>
    <t>66708</t>
  </si>
  <si>
    <t>Ванночка д/краски Сибртех 330*350мм /81419</t>
  </si>
  <si>
    <t>66711</t>
  </si>
  <si>
    <t>Карандаш малярный 180мм в упаковке 12шт /848045</t>
  </si>
  <si>
    <t>66734</t>
  </si>
  <si>
    <t>Карандаш малярный 250мм в упаковке 12шт /848055</t>
  </si>
  <si>
    <t>66722</t>
  </si>
  <si>
    <t>Карандаш малярный 250мм в упаковке 1шт</t>
  </si>
  <si>
    <t>66771</t>
  </si>
  <si>
    <t>Карандаш мебельный стальная вата 5 цв. 422-009 /10/</t>
  </si>
  <si>
    <t>61523</t>
  </si>
  <si>
    <t>Карандаш разметочный СИБРТЕХ, 145 мм, твердосплавный наконечник/18910</t>
  </si>
  <si>
    <t>66760</t>
  </si>
  <si>
    <t>Мелки MATRIX разметочные восковые красные 120мм 6шт /84818</t>
  </si>
  <si>
    <t>66714</t>
  </si>
  <si>
    <t>Миксер Denzel SDS Plus д/красок и штукатурных смесей, 120*600 мм, оцинк. хвостовик /848847</t>
  </si>
  <si>
    <t>66762</t>
  </si>
  <si>
    <t>Миксер Denzel SDS Plus д/красок и штукатурных смесей, 80*400 мм, оцинк. хвостовик /848827</t>
  </si>
  <si>
    <t>66730</t>
  </si>
  <si>
    <t>Миксер Denzel д/красок 100*8*600 мм, шестигранный хвостовик /848757</t>
  </si>
  <si>
    <t>66723</t>
  </si>
  <si>
    <t>Миксер для красок, 100*600 мм, шестигранный хвостовик// Denzel/848837</t>
  </si>
  <si>
    <t>64087</t>
  </si>
  <si>
    <t>Миксер Сибртех ф 100мм, L450мм цинк д/красок /84813</t>
  </si>
  <si>
    <t>66703</t>
  </si>
  <si>
    <t>Миксер Сибртех ф 120мм, L570мм цинк д/красок /84815</t>
  </si>
  <si>
    <t>66727</t>
  </si>
  <si>
    <t>Миксер Сибртех ф 60мм, L400мм цинк д/красок /84807</t>
  </si>
  <si>
    <t>66713</t>
  </si>
  <si>
    <t>Миксер Сибртех ф 80мм, L450мм цинк д/красок /84810</t>
  </si>
  <si>
    <t>66729</t>
  </si>
  <si>
    <t>Отвес конусный MATRIX 100гр со шнуром 5м /84831</t>
  </si>
  <si>
    <t>66702</t>
  </si>
  <si>
    <t>Отвес конусный MATRIX 200гр со шнуром 5м /84832</t>
  </si>
  <si>
    <t>66825</t>
  </si>
  <si>
    <t>Отвес конусный MATRIX 300гр со шнуром 5м /84833</t>
  </si>
  <si>
    <t>66742</t>
  </si>
  <si>
    <t>Отвес конусный MATRIX 400гр со шнуром 5м /84834</t>
  </si>
  <si>
    <t>66707</t>
  </si>
  <si>
    <t>Отвес цилиндрический MATRIX 100гр со шнуром 30м /84836</t>
  </si>
  <si>
    <t>66788</t>
  </si>
  <si>
    <t>Пленка защитная MATRIX 4*12,5м, 15 мкм, полиэтиленовая /88828</t>
  </si>
  <si>
    <t>66717</t>
  </si>
  <si>
    <t>Пленка защитная Tytan Prof 140см*33м, полиэтиленовая с маскирующей лентой</t>
  </si>
  <si>
    <t>66945</t>
  </si>
  <si>
    <t>Пленка защитная Tytan Prof 4*12,5м, 7 мкм, полиэтиленовая</t>
  </si>
  <si>
    <t>66720</t>
  </si>
  <si>
    <t>Пленка защитная Tytan Prof 4*5м, 5 мкм, полиэтиленовая</t>
  </si>
  <si>
    <t>66736</t>
  </si>
  <si>
    <t>Пленка защитная Tytan Prof 55см*33м, полиэтиленовая с маскирующей лентой</t>
  </si>
  <si>
    <t>66776</t>
  </si>
  <si>
    <t>Пленка защитная Ultima 270см*17м, полиэтиленовая с маскирующей лентой /30/</t>
  </si>
  <si>
    <t>66802</t>
  </si>
  <si>
    <t>Порошок для разметочных шнуров MATRIX 115г меловой красный /84858</t>
  </si>
  <si>
    <t>66793</t>
  </si>
  <si>
    <t>Порошок для разметочных шнуров MATRIX 115г меловой синий /84860</t>
  </si>
  <si>
    <t>66782</t>
  </si>
  <si>
    <t>Порошок для разметочных шнуров MATRIX 50г меловой красный /84857</t>
  </si>
  <si>
    <t>66848</t>
  </si>
  <si>
    <t>Порошок для разметочных шнуров MATRIX 50г меловой синий /84861</t>
  </si>
  <si>
    <t>66745</t>
  </si>
  <si>
    <t>Стержень телескоп. металлический MATRIX от 0,75м до 1,5м /81230</t>
  </si>
  <si>
    <t>66746</t>
  </si>
  <si>
    <t>Стержень телескоп. металлический MATRIX от 1,0м до 2,0м /81231</t>
  </si>
  <si>
    <t>66750</t>
  </si>
  <si>
    <t>Стержень телескоп. металлический MATRIX от 1,5м до 3,0м /81232</t>
  </si>
  <si>
    <t>66700</t>
  </si>
  <si>
    <t>Шнур разметочный MATRIX в пласт. обрезин. корпусе+порошок красный /84855</t>
  </si>
  <si>
    <t>66796</t>
  </si>
  <si>
    <t>Шнур разметочный MATRIX нейлоновый на катушке c руч. D1,5мм, 100м /84824</t>
  </si>
  <si>
    <t>66706</t>
  </si>
  <si>
    <t>Шнур разметочный MATRIX нейлоновый на катушке c руч. D1,5мм, 30м /84821</t>
  </si>
  <si>
    <t>66712</t>
  </si>
  <si>
    <t>Шнур разметочный MATRIX нейлоновый на катушке c руч. D1,5мм, 50м /84822</t>
  </si>
  <si>
    <t>66783</t>
  </si>
  <si>
    <t>Шнур разметочный SPARTA в пласт. корпусе 15м /848515</t>
  </si>
  <si>
    <t>668 Трубогибы гидравлические</t>
  </si>
  <si>
    <t>66804</t>
  </si>
  <si>
    <t>Трубогиб гидравлич. 12т в компл. 6 баш. 1/2,3/4,1,1-1/4,1-1/2,2" /181335</t>
  </si>
  <si>
    <t>65096</t>
  </si>
  <si>
    <t>Трубогиб гидравлич. 15т в компл. 8 баш. 1/2"-3" /181365</t>
  </si>
  <si>
    <t>03970</t>
  </si>
  <si>
    <t>Трубогиб гидравлич. 8т в компл. с баш. 1/2"–1" STELS /18114</t>
  </si>
  <si>
    <t>669 Плиткорезы/Крестики для плитки</t>
  </si>
  <si>
    <t>63934</t>
  </si>
  <si>
    <t>Крестик для плитки 1,0 мм 250шт Спарта /880645</t>
  </si>
  <si>
    <t>63940</t>
  </si>
  <si>
    <t>Крестик для плитки 2,0 мм 250шт Спарта /880685</t>
  </si>
  <si>
    <t>63905</t>
  </si>
  <si>
    <t>Крестик для плитки 2,5 мм 250шт Спарта /880695</t>
  </si>
  <si>
    <t>63931</t>
  </si>
  <si>
    <t>Крестик для плитки 3,0 мм 250шт Спарта /880725</t>
  </si>
  <si>
    <t>62906</t>
  </si>
  <si>
    <t>Крестик для плитки 6,0 мм 100шт /СТ/</t>
  </si>
  <si>
    <t>60382</t>
  </si>
  <si>
    <t>Кусачки для плитки СПАРТА 200мм твердосплавные полукруглые губки /87822</t>
  </si>
  <si>
    <t>60381</t>
  </si>
  <si>
    <t>Кусачки для плитки СПАРТА 200мм твердосплавные прямые губки /878205</t>
  </si>
  <si>
    <t>63918</t>
  </si>
  <si>
    <t>Плиткорез MATRIX 300*12мм /87613</t>
  </si>
  <si>
    <t>63914</t>
  </si>
  <si>
    <t>Плиткорез MATRIX 350*12мм /87616</t>
  </si>
  <si>
    <t>63911</t>
  </si>
  <si>
    <t>Плиткорез MATRIX 400*12мм /87619</t>
  </si>
  <si>
    <t>63946</t>
  </si>
  <si>
    <t>Плиткорез MATRIX 400*16мм с "Балеринкой" мет. угольник /87653</t>
  </si>
  <si>
    <t>63910</t>
  </si>
  <si>
    <t>Плиткорез MATRIX 500*14мм /87622</t>
  </si>
  <si>
    <t>63938</t>
  </si>
  <si>
    <t>Плиткорез MATRIX 500*16мм с "Балеринкой" мет. угольник /87656</t>
  </si>
  <si>
    <t>66900</t>
  </si>
  <si>
    <t>Плиткорез MATRIX 600*14мм /87625</t>
  </si>
  <si>
    <t>63916</t>
  </si>
  <si>
    <t>Плиткорез-кусачки MATRIX 200мм с алюминиевым упором /87830</t>
  </si>
  <si>
    <t>63902</t>
  </si>
  <si>
    <t>Плиткорез-кусачки MATRIX 200мм с пластмассовым упором /87840</t>
  </si>
  <si>
    <t>66914</t>
  </si>
  <si>
    <t>Система выравнивания плитки (СВП) Зажим пакет 100 шт 683-158 /42/</t>
  </si>
  <si>
    <t>66951</t>
  </si>
  <si>
    <t>Система выравнивания плитки (СВП) Зажим+клин 100 шт</t>
  </si>
  <si>
    <t>66913</t>
  </si>
  <si>
    <t>Система выравнивания плитки (СВП) Клин пакет 50 шт 683-157 /36/</t>
  </si>
  <si>
    <t>66950</t>
  </si>
  <si>
    <t>Система выравнивания плитки (СВП) Клин фасовка 50 шт</t>
  </si>
  <si>
    <t>670 Щетки д/дрели, УШМ, ручные</t>
  </si>
  <si>
    <t>01886</t>
  </si>
  <si>
    <t>Щетка для УШМ MATRIX 100 мм, М14 плоская, метал. проволока 0,35мм /74631</t>
  </si>
  <si>
    <t>01838</t>
  </si>
  <si>
    <t>Щетка для УШМ MATRIX 125 мм, М14 плоская, латун. витая проволока /74651</t>
  </si>
  <si>
    <t>01977</t>
  </si>
  <si>
    <t>Щетка для УШМ MATRIX 150 мм, М14 плоская, латун. витая проволока /74652</t>
  </si>
  <si>
    <t>04750</t>
  </si>
  <si>
    <t>Щетка для УШМ СИБРТЕХ плоская 175 мм витая проволока /746667</t>
  </si>
  <si>
    <t>67177</t>
  </si>
  <si>
    <t>Щетка для УШМ СИБРТЕХ чашка 100 мм, М14 крученая метал. проволока /746287</t>
  </si>
  <si>
    <t>01694</t>
  </si>
  <si>
    <t>Щетка зачистная MATRIX 3-х рядная, закален. прямая проволока с пласт. ручкой /74813</t>
  </si>
  <si>
    <t>67000</t>
  </si>
  <si>
    <t>Щетка зачистная MATRIX 4-х рядная, плоская, пластиковая /74818</t>
  </si>
  <si>
    <t>01697</t>
  </si>
  <si>
    <t>Щетка зачистная MATRIX 6-и рядная, плоская, пластиковая /74819</t>
  </si>
  <si>
    <t>68015</t>
  </si>
  <si>
    <t>Щетка зачистная MATRIX 6-х рядная, закален. прямая проволока с пласт. ручкой /74816</t>
  </si>
  <si>
    <t>67183</t>
  </si>
  <si>
    <t>Щетка зачистная СИБРТЕХ 6-и рядная, закален. прямая проволока с дерев. ручкой /74806</t>
  </si>
  <si>
    <t>02546</t>
  </si>
  <si>
    <t>Щетка зачистная СИБРТЕХ 6-и рядная, закален. прямая проволока, плоская деревян. /74811</t>
  </si>
  <si>
    <t>67015</t>
  </si>
  <si>
    <t>Щетка круглая алюм. /Т</t>
  </si>
  <si>
    <t>67023</t>
  </si>
  <si>
    <t>Щетка мет. д/др. MATRIX плоская со шпилькой д6, латун. витая 75мм /74448</t>
  </si>
  <si>
    <t>67082</t>
  </si>
  <si>
    <t>Щетка мет. д/др. MATRIX плоская со шпилькой, латун. витая 100мм /74450</t>
  </si>
  <si>
    <t>67013</t>
  </si>
  <si>
    <t>Щетка мет. д/др. MATRIX плоская со шпилькой, латун. витая 40мм /74442</t>
  </si>
  <si>
    <t>67081</t>
  </si>
  <si>
    <t>Щетка мет. д/др. MATRIX плоская со шпилькой, латун. витая 50мм /74444</t>
  </si>
  <si>
    <t>67022</t>
  </si>
  <si>
    <t>Щетка мет. д/др. MATRIX плоская со шпилькой, латун. витая 60мм /74446</t>
  </si>
  <si>
    <t>67002</t>
  </si>
  <si>
    <t>Щетка мет. д/др. шп. чаш. 30мм крученая проволока /74466</t>
  </si>
  <si>
    <t>67088</t>
  </si>
  <si>
    <t>Щетка мет. д/др. шп. чаш. 65мм крученая проволока /74468</t>
  </si>
  <si>
    <t>67076</t>
  </si>
  <si>
    <t>Щетка мет. д/др. шп. чаш. 75мм крученая проволока /74470</t>
  </si>
  <si>
    <t>67046</t>
  </si>
  <si>
    <t>Щетка мет. д/др. шпильк. чашка 50мм /74475</t>
  </si>
  <si>
    <t>67047</t>
  </si>
  <si>
    <t>Щетка мет. д/др. шпильк. чашка 65мм /74477</t>
  </si>
  <si>
    <t>67048</t>
  </si>
  <si>
    <t>Щетка мет. д/др. шпильк. чашка 75мм /74478</t>
  </si>
  <si>
    <t>67030</t>
  </si>
  <si>
    <t>Щетка мет. д/др. шпилька д6 чаш. 25мм крученая проволока /74464</t>
  </si>
  <si>
    <t>03143</t>
  </si>
  <si>
    <t>Щетка мет. д/УШМ MATRIX плоская круч. пр. 0,5 М22 125мм /746327</t>
  </si>
  <si>
    <t>67050</t>
  </si>
  <si>
    <t>Щетка мет. д/УШМ MATRIX плоская круч. пр. М22 100мм /74630</t>
  </si>
  <si>
    <t>67051</t>
  </si>
  <si>
    <t>Щетка мет. д/УШМ MATRIX плоская круч. пр. М22 125мм /74632</t>
  </si>
  <si>
    <t>67092</t>
  </si>
  <si>
    <t>Щетка мет. д/УШМ MATRIX плоская круч. пр. М22 175мм /74636</t>
  </si>
  <si>
    <t>67091</t>
  </si>
  <si>
    <t>Щетка мет. д/УШМ MATRIX плоская М14, 100мм латунирован. витая пров. /74650</t>
  </si>
  <si>
    <t>67086</t>
  </si>
  <si>
    <t>Щетка мет. д/УШМ MATRIX плоская М14, 125мм крученая проволока 0,5 мм /74640</t>
  </si>
  <si>
    <t>67049</t>
  </si>
  <si>
    <t>Щетка мет. д/УШМ MATRIX плоская М22, 100мм латунирован. витая пров. /74648</t>
  </si>
  <si>
    <t>67039</t>
  </si>
  <si>
    <t>Щетка мет. д/УШМ MATRIX плоская М22, 125мм латунирован. витая пров. /74656</t>
  </si>
  <si>
    <t>67004</t>
  </si>
  <si>
    <t>Щетка мет. д/УШМ MATRIX плоская М22, 150мм латунирован. витая пров. /74664</t>
  </si>
  <si>
    <t>61196</t>
  </si>
  <si>
    <t>Щетка мет. д/УШМ MATRIX плоская М22, 200мм латунирован. витая пров. /74668</t>
  </si>
  <si>
    <t>61154</t>
  </si>
  <si>
    <t>Щетка мет. д/УШМ MATRIX тарелка М14 100мм /74608</t>
  </si>
  <si>
    <t>67005</t>
  </si>
  <si>
    <t>Щетка мет. д/УШМ MATRIX тарелка М14 115мм /74612</t>
  </si>
  <si>
    <t>67006</t>
  </si>
  <si>
    <t>Щетка мет. д/УШМ MATRIX тарелка М14 125мм /74616</t>
  </si>
  <si>
    <t>67025</t>
  </si>
  <si>
    <t>Щетка мет. д/УШМ MATRIX тарелка М14 125мм, крученая проволока 0,5 мм /74611</t>
  </si>
  <si>
    <t>67179</t>
  </si>
  <si>
    <t>Щетка мет. д/УШМ MATRIX тарелка М14 150мм, крученая проволока 0,5 мм /74626</t>
  </si>
  <si>
    <t>67031</t>
  </si>
  <si>
    <t>Щетка мет. д/УШМ MATRIX чашка круч. 100мм М14 Heavy Duty /74672</t>
  </si>
  <si>
    <t>65179</t>
  </si>
  <si>
    <t>Щетка мет. д/УШМ MATRIX чашка круч. 125мм М14 Heavy Duty /74674</t>
  </si>
  <si>
    <t>67026</t>
  </si>
  <si>
    <t>Щетка мет. д/УШМ MATRIX чашка круч. 80мм М14 Heavy Duty /74670</t>
  </si>
  <si>
    <t>65170</t>
  </si>
  <si>
    <t>Щетка мет. д/УШМ MATRIX чашка круч. пр. М14 100мм /74628</t>
  </si>
  <si>
    <t>02541</t>
  </si>
  <si>
    <t>Щетка мет. д/УШМ MATRIX чашка круч. пр. М14 100мм 0,35 мм /74615</t>
  </si>
  <si>
    <t>01976</t>
  </si>
  <si>
    <t>Щетка мет. д/УШМ MATRIX чашка круч. пр. М14 100мм 0,8 мм /74623</t>
  </si>
  <si>
    <t>67085</t>
  </si>
  <si>
    <t>Щетка мет. д/УШМ MATRIX чашка круч. пр. М14 125мм /74627</t>
  </si>
  <si>
    <t>65317</t>
  </si>
  <si>
    <t>Щетка мет. д/УШМ MATRIX чашка круч. пр. М14 150мм /74629</t>
  </si>
  <si>
    <t>67007</t>
  </si>
  <si>
    <t>Щетка мет. д/УШМ MATRIX чашка круч. пр. М14 65мм /74620</t>
  </si>
  <si>
    <t>67024</t>
  </si>
  <si>
    <t>Щетка мет. д/УШМ MATRIX чашка круч. пр. М14 75мм /74624</t>
  </si>
  <si>
    <t>02540</t>
  </si>
  <si>
    <t>Щетка мет. д/УШМ MATRIX чашка круч. пр. М14 75мм 0,35 мм /74614</t>
  </si>
  <si>
    <t>67009</t>
  </si>
  <si>
    <t>Щетка мет. д/УШМ MATRIX чашка М14 100мм /74605</t>
  </si>
  <si>
    <t>67084</t>
  </si>
  <si>
    <t>Щетка мет. д/УШМ MATRIX чашка М14 125мм /74606</t>
  </si>
  <si>
    <t>67083</t>
  </si>
  <si>
    <t>Щетка мет. д/УШМ MATRIX чашка М14 65мм /74603</t>
  </si>
  <si>
    <t>67008</t>
  </si>
  <si>
    <t>Щетка мет. д/УШМ MATRIX чашка М14 75мм /74604</t>
  </si>
  <si>
    <t>67089</t>
  </si>
  <si>
    <t>Щетка мет. д/УШМ Sturm пллоская круч. пр. М22 180мм</t>
  </si>
  <si>
    <t>01404</t>
  </si>
  <si>
    <t>Щетка мет. д/УШМ СИБРТЕХ тарелка М14 100мм крученая метал. проволока /746097</t>
  </si>
  <si>
    <t>67018</t>
  </si>
  <si>
    <t>Щетка мет. д/УШМ СИБРТЕХ тарелка М14 125мм крученая метал. проволока /746117</t>
  </si>
  <si>
    <t>02999</t>
  </si>
  <si>
    <t>Щетка мет. д/УШМ СИБРТЕХ чашка М14 125мм крученая мет. проволока /746277</t>
  </si>
  <si>
    <t>03550</t>
  </si>
  <si>
    <t>Щетка металлическая изогнутая, пластиковая ручка/Matrix/74839</t>
  </si>
  <si>
    <t>67038</t>
  </si>
  <si>
    <t>Щетка по металлу 3-и ряд с пл руч. /748655</t>
  </si>
  <si>
    <t>61149</t>
  </si>
  <si>
    <t>Щетка по металлу 3-х ряд с дер руч. /748205</t>
  </si>
  <si>
    <t>67099</t>
  </si>
  <si>
    <t>Щетка по металлу 4-и ряд с пл руч. /748665</t>
  </si>
  <si>
    <t>60102</t>
  </si>
  <si>
    <t>Щетка по металлу 4-х ряд с дер руч. /748225</t>
  </si>
  <si>
    <t>67014</t>
  </si>
  <si>
    <t>Щетка по металлу 5-и ряд с дер руч. /748245 /12/</t>
  </si>
  <si>
    <t>67010</t>
  </si>
  <si>
    <t>Щетка по металлу 5-и ряд с пл руч. /748675</t>
  </si>
  <si>
    <t>67001</t>
  </si>
  <si>
    <t>Щетка по металлу 6-и ряд с дер руч. /748265</t>
  </si>
  <si>
    <t>67016</t>
  </si>
  <si>
    <t>Щетка по металлу 6-и ряд с пл руч. /748685</t>
  </si>
  <si>
    <t>67070</t>
  </si>
  <si>
    <t>Щетка по металлу SPARTA с пластм. ручкой /748505</t>
  </si>
  <si>
    <t>67042</t>
  </si>
  <si>
    <t>Щетки мет. 2 шт 1 плоск, 100мм+1 "чашка", 75мм, со шпильк. /74480</t>
  </si>
  <si>
    <t>67041</t>
  </si>
  <si>
    <t>Щетки мет. 3 шт 1 плоск, 50мм+2 "чашки", 25-50мм, со шпильк. / 74486</t>
  </si>
  <si>
    <t>67040</t>
  </si>
  <si>
    <t>Щетки мет. 3 шт 1 плоск, 65мм, 50мм "чашка", ручки металл / 74484</t>
  </si>
  <si>
    <t>67044</t>
  </si>
  <si>
    <t>Щетки мет. 3 шт 3 плоск, 50-63-75мм, со шпильками /74490</t>
  </si>
  <si>
    <t>67096</t>
  </si>
  <si>
    <t>Щетки мет. 3 шт металлические с пластмассовой ручкой, большие /74863</t>
  </si>
  <si>
    <t>67095</t>
  </si>
  <si>
    <t>Щетки мет. 3 шт металлические с пластмассовой ручкой, малые /74860</t>
  </si>
  <si>
    <t>67053</t>
  </si>
  <si>
    <t>Щетки мет. 5 шт 5 плоск, 25-38-50-63-75мм, со шпильками /74494</t>
  </si>
  <si>
    <t>671 Ножи/Скребки</t>
  </si>
  <si>
    <t>67103</t>
  </si>
  <si>
    <t>Лезвия MATRIX 100мм. для скребков (10шт.) /793335</t>
  </si>
  <si>
    <t>62901</t>
  </si>
  <si>
    <t>Лезвия MATRIX 18мм. (10шт.)  /793315</t>
  </si>
  <si>
    <t>62974</t>
  </si>
  <si>
    <t>Лезвия MATRIX 9мм. (10шт.)  /793115</t>
  </si>
  <si>
    <t>67132</t>
  </si>
  <si>
    <t>Лезвия MATRIX трапециедальные (5шт.) /793555</t>
  </si>
  <si>
    <t>67107</t>
  </si>
  <si>
    <t>Лезвия SPARTA 18мм. (10шт.) /78969</t>
  </si>
  <si>
    <t>62957</t>
  </si>
  <si>
    <t>Лезвия SPARTA 9мм. (10шт.) /78968</t>
  </si>
  <si>
    <t>67117</t>
  </si>
  <si>
    <t>Набор для укладки напольных покрытий MATRIX /88100</t>
  </si>
  <si>
    <t>67178</t>
  </si>
  <si>
    <t>Нож Denzel 18 мм, сменное лезвие, SK4, облегченный корпус, нажимной фиксатор /78941</t>
  </si>
  <si>
    <t>62958</t>
  </si>
  <si>
    <t>Нож MATRIX 180м для напольных покрытий /78989</t>
  </si>
  <si>
    <t>67123</t>
  </si>
  <si>
    <t>Нож MATRIX 18мм выдвиж. лезвие "QUICK BLADE" мет. направл. двойная фикс.эргоном. двухком.рук./78936</t>
  </si>
  <si>
    <t>62926</t>
  </si>
  <si>
    <t>Нож MATRIX 18мм с 2-мя выдвижными лезвиями нож и пилка /78923</t>
  </si>
  <si>
    <t>62967</t>
  </si>
  <si>
    <t>Нож MATRIX 18мм с выдвижным лезвием /78929 /12/24/</t>
  </si>
  <si>
    <t>67163</t>
  </si>
  <si>
    <t>Нож MATRIX 18мм с выдвижным лезвием ABS-пластик /78928</t>
  </si>
  <si>
    <t>62960</t>
  </si>
  <si>
    <t>Нож MATRIX 18мм с выдвижным лезвием с мет. направл. /78918 /24/</t>
  </si>
  <si>
    <t>67116</t>
  </si>
  <si>
    <t>Нож MATRIX 18мм с выдвижным лезвием с мет. направл. с винт /78914 /12/</t>
  </si>
  <si>
    <t>67157</t>
  </si>
  <si>
    <t>Нож MATRIX 18мм с выдвижным лезвием с мет. направл., эргоном. двухком. рук. /78933</t>
  </si>
  <si>
    <t>67168</t>
  </si>
  <si>
    <t>Нож MATRIX 18мм с выдвижным лезвием с мет. направл., эргоном. двухком. рук. /78938</t>
  </si>
  <si>
    <t>67129</t>
  </si>
  <si>
    <t>Нож MATRIX 18мм с выдвижным трапец. лезвием отделен. для лезвий, мет. корпус /78967</t>
  </si>
  <si>
    <t>67197</t>
  </si>
  <si>
    <t>Нож MATRIX 18мм с выдвижным трапец. лезвием, мет.корпус /78964</t>
  </si>
  <si>
    <t>62939</t>
  </si>
  <si>
    <t>Нож MATRIX 18мм с выдвижным трапец. лезвием, мет.корпус + 8 лезвий /78924</t>
  </si>
  <si>
    <t>62949</t>
  </si>
  <si>
    <t>Нож MATRIX 25мм с выдвежным лезвием усилен. метал. направ. /78959</t>
  </si>
  <si>
    <t>62920</t>
  </si>
  <si>
    <t>Нож MATRIX 9мм с выдвижным лезвием /78911</t>
  </si>
  <si>
    <t>67161</t>
  </si>
  <si>
    <t>Нож MATRIX 9мм с выдвижным лезвием ABS-пластик /78927</t>
  </si>
  <si>
    <t>67164</t>
  </si>
  <si>
    <t>Нож MATRIX 9мм с выдвижным лезвием мет. направл., эргоном. двухком. рук. /78937</t>
  </si>
  <si>
    <t>62993</t>
  </si>
  <si>
    <t>Нож MATRIX 9мм с выдвижным лезвием усиленный /78909</t>
  </si>
  <si>
    <t>67133</t>
  </si>
  <si>
    <t>Нож MATRIX для напольных покрытий и мягкой кровли /78979</t>
  </si>
  <si>
    <t>67159</t>
  </si>
  <si>
    <t>Нож MATRIX электрика, складной, изогнутое лезвие, эргоном. двухк. рукоятка /78986</t>
  </si>
  <si>
    <t>62903</t>
  </si>
  <si>
    <t>Нож SPARTA 18мм с выдвижным лезвием /78974</t>
  </si>
  <si>
    <t>67167</t>
  </si>
  <si>
    <t>Нож SPARTA 18мм с выдвижным лезвием мет. направляющ. /78973</t>
  </si>
  <si>
    <t>67180</t>
  </si>
  <si>
    <t>Нож SPARTA 18мм с выдвижным лезвием пласт. усиленный корпус /78907</t>
  </si>
  <si>
    <t>78972</t>
  </si>
  <si>
    <t>Нож SPARTA 9мм с выдвежным лезвием /78972</t>
  </si>
  <si>
    <t>67121</t>
  </si>
  <si>
    <t>Нож SPARTA 9мм с выдвижным лезвием мет. направляющая /78971</t>
  </si>
  <si>
    <t>62935</t>
  </si>
  <si>
    <t>Нож зернодробилки Барнаул колос прямой нов. образца /Г/</t>
  </si>
  <si>
    <t>62661</t>
  </si>
  <si>
    <t>Нож зернодробилки Барнаул колос прямой стар. образца /Г/</t>
  </si>
  <si>
    <t>62917</t>
  </si>
  <si>
    <t>Нож универсальный Сибртех /78997</t>
  </si>
  <si>
    <t>62981</t>
  </si>
  <si>
    <t>Ножи MATRIX 9-18мм с выдвижным лезвием набор 3шт /78985</t>
  </si>
  <si>
    <t>62922</t>
  </si>
  <si>
    <t>Ножи MATRIX 9мм-4, 18мм-2 + скребки с выдвижным фиксир. лезвием 2шт /78991</t>
  </si>
  <si>
    <t>67115</t>
  </si>
  <si>
    <t>Скребок 100мм с фиксированным лезвием металл. орбрез. ручка /79545</t>
  </si>
  <si>
    <t>67190</t>
  </si>
  <si>
    <t>Скребок 100мм с фиксированным лезвием металл. орбрез. ручка 250 /79541</t>
  </si>
  <si>
    <t>67138</t>
  </si>
  <si>
    <t>Скребок 100мм с фиксированным лезвием металл. орбрез. ручка 300 /79542</t>
  </si>
  <si>
    <t>67189</t>
  </si>
  <si>
    <t>Скребок 100мм с фиксированным лезвием металл. орбрез. ручка 500 /79543</t>
  </si>
  <si>
    <t>67109</t>
  </si>
  <si>
    <t>Скребок 100мм с фиксированным лезвием удл металл. орбрез. ручка /79550</t>
  </si>
  <si>
    <t>62911</t>
  </si>
  <si>
    <t>Скребок 62мм с фиксированным лезвием /795405</t>
  </si>
  <si>
    <t>67156</t>
  </si>
  <si>
    <t>Шило с дерев. ручкой круглое дерев+металл /50/</t>
  </si>
  <si>
    <t>67193</t>
  </si>
  <si>
    <t>Шило с дерев. ручкой круглое дерев+металл с ушком /50/</t>
  </si>
  <si>
    <t>65294</t>
  </si>
  <si>
    <t>Шило с пласт. ручкой /100/</t>
  </si>
  <si>
    <t>67166</t>
  </si>
  <si>
    <t>Шило хозяйственное круглое 6*100мм Matrix /11759</t>
  </si>
  <si>
    <t>672 Напильники</t>
  </si>
  <si>
    <t>67204</t>
  </si>
  <si>
    <t>Напильник 3-х гранный Металлист 150мм ДТП /16050</t>
  </si>
  <si>
    <t>62483</t>
  </si>
  <si>
    <t>Напильник 3-х гранный Металлист 200№2 /16062</t>
  </si>
  <si>
    <t>67207</t>
  </si>
  <si>
    <t>Напильник 3-х гранный Металлист 250№2 /16072</t>
  </si>
  <si>
    <t>62530</t>
  </si>
  <si>
    <t>Напильник 3-х гранный Металлист 300№2 /16074</t>
  </si>
  <si>
    <t>0227</t>
  </si>
  <si>
    <t>Напильник БАРС квадратный 200 мм, двухкомпонентная рукоятка /15844</t>
  </si>
  <si>
    <t>0229</t>
  </si>
  <si>
    <t>Напильник БАРС полукруглый 200 мм, двухкомпонентная рукоятка /15848</t>
  </si>
  <si>
    <t>0226</t>
  </si>
  <si>
    <t>Напильник БАРС трехгранный 200 мм, двухкомпонентная рукоятка /15842</t>
  </si>
  <si>
    <t>62496</t>
  </si>
  <si>
    <t>Напильник квадратный Металлист 150№1</t>
  </si>
  <si>
    <t>62498</t>
  </si>
  <si>
    <t>Напильник квадратный Металлист 150№3</t>
  </si>
  <si>
    <t>62523</t>
  </si>
  <si>
    <t>Напильник квадратный Металлист 250№2</t>
  </si>
  <si>
    <t>62526</t>
  </si>
  <si>
    <t>Напильник квадратный Металлист 300№3</t>
  </si>
  <si>
    <t>62301</t>
  </si>
  <si>
    <t>Напильник квадратный Металлист 350№1</t>
  </si>
  <si>
    <t>62488</t>
  </si>
  <si>
    <t>Напильник квадратный Металлист 350№2</t>
  </si>
  <si>
    <t>62484</t>
  </si>
  <si>
    <t>Напильник квадратный Металлист 400№2</t>
  </si>
  <si>
    <t>62202</t>
  </si>
  <si>
    <t>Напильник круглый Металлист 150№1 /16151</t>
  </si>
  <si>
    <t>62275</t>
  </si>
  <si>
    <t>Напильник круглый Металлист 150№3</t>
  </si>
  <si>
    <t>67281</t>
  </si>
  <si>
    <t>Напильник круглый Металлист 250№2 /16173</t>
  </si>
  <si>
    <t>17812</t>
  </si>
  <si>
    <t>Напильник круглый Металлист 300№3 /16185</t>
  </si>
  <si>
    <t>62274</t>
  </si>
  <si>
    <t>Напильник круглый- гнутый двухстор. 150 №1 /10/</t>
  </si>
  <si>
    <t>62485</t>
  </si>
  <si>
    <t>Напильник плоский Металлист 150№1 /16251</t>
  </si>
  <si>
    <t>62490</t>
  </si>
  <si>
    <t>Напильник плоский Металлист 150№2 /16252</t>
  </si>
  <si>
    <t>63342</t>
  </si>
  <si>
    <t>Напильник плоский Металлист 150№3 /16253</t>
  </si>
  <si>
    <t>67225</t>
  </si>
  <si>
    <t>Напильник плоский Металлист 200№2 /16262</t>
  </si>
  <si>
    <t>67256</t>
  </si>
  <si>
    <t>Напильник плоский Металлист 200№2 остроносый</t>
  </si>
  <si>
    <t>67226</t>
  </si>
  <si>
    <t>Напильник плоский Металлист 200№3 /5/</t>
  </si>
  <si>
    <t>00428</t>
  </si>
  <si>
    <t>Напильник плоский Металлист 250№2 /16272</t>
  </si>
  <si>
    <t>62533</t>
  </si>
  <si>
    <t>Напильник плоский Металлист 300№2 /16282</t>
  </si>
  <si>
    <t>67229</t>
  </si>
  <si>
    <t>Напильник плоский Металлист 350№2 остроносый</t>
  </si>
  <si>
    <t>62497</t>
  </si>
  <si>
    <t>Напильник полукруглый Металлист 150№2</t>
  </si>
  <si>
    <t>67274</t>
  </si>
  <si>
    <t>Напильник полукруглый Металлист 150№3</t>
  </si>
  <si>
    <t>62522</t>
  </si>
  <si>
    <t>Напильник полукруглый Металлист 200№1</t>
  </si>
  <si>
    <t>67231</t>
  </si>
  <si>
    <t>Напильник полукруглый Металлист 250№2 /16340</t>
  </si>
  <si>
    <t>67286</t>
  </si>
  <si>
    <t>Напильник полукруглый Металлист 250№3</t>
  </si>
  <si>
    <t>67258</t>
  </si>
  <si>
    <t>Напильник полукруглый Металлист 400№3</t>
  </si>
  <si>
    <t>62214</t>
  </si>
  <si>
    <t>Напильник ромбический Металлист 150№2</t>
  </si>
  <si>
    <t>67280</t>
  </si>
  <si>
    <t>Напильник СИБРТЕХ квадратный, деревянная ручка 150мм /15923</t>
  </si>
  <si>
    <t>67279</t>
  </si>
  <si>
    <t>Напильник СИБРТЕХ квадратный, деревянная ручка 200мм /15926</t>
  </si>
  <si>
    <t>62673</t>
  </si>
  <si>
    <t>Напильник СИБРТЕХ квадратный, деревянная ручка 250мм /15929</t>
  </si>
  <si>
    <t>62677</t>
  </si>
  <si>
    <t>Напильник СИБРТЕХ квадратный, деревянная ручка 300мм /15932</t>
  </si>
  <si>
    <t>67264</t>
  </si>
  <si>
    <t>Напильник СИБРТЕХ круглый 300 мм, №1 сталь У13А /161817</t>
  </si>
  <si>
    <t>67232</t>
  </si>
  <si>
    <t>Напильник СИБРТЕХ круглый, деревянная ручка 150мм /16123</t>
  </si>
  <si>
    <t>67206</t>
  </si>
  <si>
    <t>Напильник СИБРТЕХ круглый, деревянная ручка 200мм /16126</t>
  </si>
  <si>
    <t>67284</t>
  </si>
  <si>
    <t>Напильник СИБРТЕХ плоский, деревянная ручка 250мм /16229</t>
  </si>
  <si>
    <t>67285</t>
  </si>
  <si>
    <t>Напильник СИБРТЕХ плоский, деревянная ручка 300мм /16232</t>
  </si>
  <si>
    <t>67235</t>
  </si>
  <si>
    <t>Напильник СИБРТЕХ полукруглый, деревянная ручка 150мм /16323</t>
  </si>
  <si>
    <t>62255</t>
  </si>
  <si>
    <t>Напильник СИБРТЕХ полукруглый, деревянная ручка 200мм /16326</t>
  </si>
  <si>
    <t>62243</t>
  </si>
  <si>
    <t>Напильник СИБРТЕХ полукруглый, деревянная ручка 250мм /16329</t>
  </si>
  <si>
    <t>62244</t>
  </si>
  <si>
    <t>Напильник СИБРТЕХ полукруглый, деревянная ручка 300мм /16332</t>
  </si>
  <si>
    <t>67236</t>
  </si>
  <si>
    <t>Напильник СИБРТЕХ трехгранный, деревянная ручка 150мм /16023</t>
  </si>
  <si>
    <t>67202</t>
  </si>
  <si>
    <t>Напильник СИБРТЕХ трехгранный, деревянная ручка 200мм /16026</t>
  </si>
  <si>
    <t>62284</t>
  </si>
  <si>
    <t>Напильник СИБРТЕХ трехгранный, деревянная ручка 250мм /16029</t>
  </si>
  <si>
    <t>62282</t>
  </si>
  <si>
    <t>Напильник СИБРТЕХ трехгранный, деревянная ручка 300мм /16032</t>
  </si>
  <si>
    <t>67251</t>
  </si>
  <si>
    <t>Ручка для напильника 200мм, деревянная /16663</t>
  </si>
  <si>
    <t>673 Домкраты</t>
  </si>
  <si>
    <t>61271</t>
  </si>
  <si>
    <t>Домкрат гидравлич. бутылоч. MATRIX 10т /50725</t>
  </si>
  <si>
    <t>61272</t>
  </si>
  <si>
    <t>Домкрат гидравлич. бутылоч. MATRIX 12т /50727</t>
  </si>
  <si>
    <t>61243</t>
  </si>
  <si>
    <t>Домкрат гидравлич. бутылоч. MATRIX 15т /50729</t>
  </si>
  <si>
    <t>67303</t>
  </si>
  <si>
    <t>Домкрат гидравлич. бутылоч. MATRIX 20т /50731</t>
  </si>
  <si>
    <t>67347</t>
  </si>
  <si>
    <t>Домкрат гидравлич. бутылоч. MATRIX 20т h подъема 244-449 мм /50778</t>
  </si>
  <si>
    <t>61206</t>
  </si>
  <si>
    <t>Домкрат гидравлич. бутылоч. MATRIX 25т /50733</t>
  </si>
  <si>
    <t>61202</t>
  </si>
  <si>
    <t>Домкрат гидравлич. бутылоч. MATRIX 2т /50715</t>
  </si>
  <si>
    <t>61235</t>
  </si>
  <si>
    <t>Домкрат гидравлич. бутылоч. MATRIX 2т h подъема 181-345 мм кейс /50750</t>
  </si>
  <si>
    <t>67364</t>
  </si>
  <si>
    <t>Домкрат гидравлич. бутылоч. MATRIX 2т h подъема 181–345 мм /50761</t>
  </si>
  <si>
    <t>67374</t>
  </si>
  <si>
    <t>Домкрат гидравлич. бутылоч. MATRIX 30т /50735</t>
  </si>
  <si>
    <t>61270</t>
  </si>
  <si>
    <t>Домкрат гидравлич. бутылоч. MATRIX 3т /50717</t>
  </si>
  <si>
    <t>67359</t>
  </si>
  <si>
    <t>Домкрат гидравлич. бутылоч. MATRIX 3т h подъема 178-343 мм /50762</t>
  </si>
  <si>
    <t>61204</t>
  </si>
  <si>
    <t>Домкрат гидравлич. бутылоч. MATRIX 3т кейс /50752</t>
  </si>
  <si>
    <t>67349</t>
  </si>
  <si>
    <t>Домкрат гидравлич. бутылоч. MATRIX 4т h подъема 194–372 мм /50763</t>
  </si>
  <si>
    <t>67366</t>
  </si>
  <si>
    <t>Домкрат гидравлич. бутылоч. MATRIX 4т h подъема 194–372 мм, в пласт. кейсе /50775</t>
  </si>
  <si>
    <t>61203</t>
  </si>
  <si>
    <t>Домкрат гидравлич. бутылоч. MATRIX 4т кейс /50754</t>
  </si>
  <si>
    <t>61218</t>
  </si>
  <si>
    <t>Домкрат гидравлич. бутылоч. MATRIX 5т /50721</t>
  </si>
  <si>
    <t>67367</t>
  </si>
  <si>
    <t>Домкрат гидравлич. бутылоч. MATRIX 5т h подъема 197–382 мм, в пласт. кейсе /50776</t>
  </si>
  <si>
    <t>61209</t>
  </si>
  <si>
    <t>Домкрат гидравлич. бутылоч. MATRIX 5т кейс /50756</t>
  </si>
  <si>
    <t>61208</t>
  </si>
  <si>
    <t>Домкрат гидравлич. бутылоч. MATRIX 6т h подъема 171-453 мм /507405</t>
  </si>
  <si>
    <t>67348</t>
  </si>
  <si>
    <t>Домкрат гидравлич. бутылоч. MATRIX 6т h подъема 216–413 мм /50765</t>
  </si>
  <si>
    <t>67368</t>
  </si>
  <si>
    <t>Домкрат гидравлич. бутылоч. MATRIX 6т h подъема 216–413 мм, в пласт. кейсе /50777</t>
  </si>
  <si>
    <t>63603</t>
  </si>
  <si>
    <t>Домкрат гидравлич. бутылоч. MATRIX 8т /50723</t>
  </si>
  <si>
    <t>04440</t>
  </si>
  <si>
    <t>Домкрат гидравлич. бутылоч. MATRIX MASTER 12т h подъема 230-465 мм /50768</t>
  </si>
  <si>
    <t>67358</t>
  </si>
  <si>
    <t>Домкрат гидравлич. бутылоч. MATRIX MASTER 2т h подъема 181–345 мм, в пласт. кейсе /50773</t>
  </si>
  <si>
    <t>61268</t>
  </si>
  <si>
    <t>Домкрат гидравлич. бутылоч. SPARTA 12т 210-400 мм /50326</t>
  </si>
  <si>
    <t>61279</t>
  </si>
  <si>
    <t>Домкрат гидравлич. бутылоч. SPARTA 16т 220-420 мм /50327</t>
  </si>
  <si>
    <t>67338</t>
  </si>
  <si>
    <t>Домкрат гидравлич. бутылоч. SPARTA 20т 250-470 мм /50328</t>
  </si>
  <si>
    <t>67392</t>
  </si>
  <si>
    <t>Домкрат гидравлич. бутылоч. SPARTA 2т 148-278 мм /50321</t>
  </si>
  <si>
    <t>61285</t>
  </si>
  <si>
    <t>Домкрат гидравлич. бутылоч. SPARTA 8т 180-350 мм /50334</t>
  </si>
  <si>
    <t>61264</t>
  </si>
  <si>
    <t>Домкрат гидравлич. бутылоч. SPARTA 8т 200-385 мм /50324</t>
  </si>
  <si>
    <t>67377</t>
  </si>
  <si>
    <t>Домкрат гидравлич. бутылоч. STELS 20т h подъема 235-445 мм /51169</t>
  </si>
  <si>
    <t>60557</t>
  </si>
  <si>
    <t>Домкрат гидравлич. бутылоч. телескоп STELS 10т 170-430 мм /51119</t>
  </si>
  <si>
    <t>60513</t>
  </si>
  <si>
    <t>Домкрат гидравлич. бутылоч. телескоп STELS 2т 170-420 мм /51115</t>
  </si>
  <si>
    <t>61380</t>
  </si>
  <si>
    <t>Домкрат гидравлич. бутылоч. телескоп STELS 6т 170-420 мм /51117</t>
  </si>
  <si>
    <t>63285</t>
  </si>
  <si>
    <t>Домкрат гидравлич. бутылоч. телескоп STELS 8т 170-430 мм /51118</t>
  </si>
  <si>
    <t>61225</t>
  </si>
  <si>
    <t>Домкрат гидравлич. подк. MATRIX 2т 135-355мм /51020</t>
  </si>
  <si>
    <t>67344</t>
  </si>
  <si>
    <t>Домкрат гидравлич. подк. MATRIX 3т 130-410мм /510335</t>
  </si>
  <si>
    <t>67342</t>
  </si>
  <si>
    <t>Домкрат гидравлич. подк. MATRIX 3т 130-410мм с пов. руч. /510345</t>
  </si>
  <si>
    <t>67301</t>
  </si>
  <si>
    <t>Домкрат гидравлич. подк. MATRIX 3т 150-530мм /51040</t>
  </si>
  <si>
    <t>67336</t>
  </si>
  <si>
    <t>Домкрат гидравлич. подк. MATRIX Low Profile 2т 85-330мм /51018</t>
  </si>
  <si>
    <t>67345</t>
  </si>
  <si>
    <t>Домкрат гидравлич. подк. MATRIX Low Profile 2т 85-330мм в пласт. кейсе /51019</t>
  </si>
  <si>
    <t>67352</t>
  </si>
  <si>
    <t>Домкрат гидравлич. подк. STELS 2т 140-330 мм /51127</t>
  </si>
  <si>
    <t>67370</t>
  </si>
  <si>
    <t>Домкрат гидравлич. подк. STELS 2т h подъема 140–340 мм, в кейсе /51128</t>
  </si>
  <si>
    <t>67333</t>
  </si>
  <si>
    <t>Домкрат гидравлич. подк. STELS Low Profile 2т 80-380 мм /51129</t>
  </si>
  <si>
    <t>67334</t>
  </si>
  <si>
    <t>Домкрат гидравлич. подк. STELS Low Profile 2т 80-380 мм в пл. кейсе /51130</t>
  </si>
  <si>
    <t>67315</t>
  </si>
  <si>
    <t>Домкрат гидравлич. подк. STELS SAFETY PIN 2,5т с фиксатором 140-385 мм кейс /51132</t>
  </si>
  <si>
    <t>67355</t>
  </si>
  <si>
    <t>Домкрат механич. бутылоч. STELS 2т h подъема 160–325 мм 2 части (домкрат, ручка) /50101</t>
  </si>
  <si>
    <t>67356</t>
  </si>
  <si>
    <t>Домкрат механич. бутылоч. STELS 2т h подъема 210–390 мм 2 части (домкрат, ручка) /50103</t>
  </si>
  <si>
    <t>67357</t>
  </si>
  <si>
    <t>Домкрат механич. бутылоч. STELS 2т h подъема 270–485 мм 2 части (домкрат, ручка) /50105</t>
  </si>
  <si>
    <t>67307</t>
  </si>
  <si>
    <t>Домкрат реечный High Jack 3т высот поъема 154-1070 /505175</t>
  </si>
  <si>
    <t>00118</t>
  </si>
  <si>
    <t>Приспособление для вывешивания двигателя 500кг //MATRIX/567895</t>
  </si>
  <si>
    <t>61287</t>
  </si>
  <si>
    <t>Резиновая накладка для подкат. домкрата универсальная /50906</t>
  </si>
  <si>
    <t>67316</t>
  </si>
  <si>
    <t>Резиновая опора для подкат. домкрата (для 51135, 51035, 510105) D=130 мм /50904</t>
  </si>
  <si>
    <t>67327</t>
  </si>
  <si>
    <t>Резиновая опора для подкат. домкрата D=51 mm MATRIX/Россия (подходит для 51131, 51132) /50903</t>
  </si>
  <si>
    <t>67310</t>
  </si>
  <si>
    <t>Резиновая опора для подкат. домкрата универсальная /50901</t>
  </si>
  <si>
    <t>61286</t>
  </si>
  <si>
    <t>Резиновая опора для подкат. домкрата универсальная /50905</t>
  </si>
  <si>
    <t>67311</t>
  </si>
  <si>
    <t>Стеклодомкрат двойной MATRIX /875205</t>
  </si>
  <si>
    <t>61249</t>
  </si>
  <si>
    <t>Стеклодомкрат двойной SPARTA /875155</t>
  </si>
  <si>
    <t>674 Лебедки/Тали/Тельферы/Растяжки</t>
  </si>
  <si>
    <t>61210</t>
  </si>
  <si>
    <t>Лебедка MATRIX 0,8 шестеренчатая ленточная /522715</t>
  </si>
  <si>
    <t>61255</t>
  </si>
  <si>
    <t>Лебедка MATRIX 0,8 шестеренчатая тросовая /522735</t>
  </si>
  <si>
    <t>61229</t>
  </si>
  <si>
    <t>Лебедка MATRIX 2т/0,8т 1-е храп. колесо /52220</t>
  </si>
  <si>
    <t>61230</t>
  </si>
  <si>
    <t>Лебедка MATRIX 2т/0,8т 2-е храп. колесо /52260</t>
  </si>
  <si>
    <t>67419</t>
  </si>
  <si>
    <t>Лебедка MATRIX 4т/1,6т 2-е храп. колесо /52225</t>
  </si>
  <si>
    <t>61241</t>
  </si>
  <si>
    <t>Лебедка SPARTA 1,5т/0,6т 1-е храп. колесо /522155</t>
  </si>
  <si>
    <t>61283</t>
  </si>
  <si>
    <t>Лебедка автомобильная DENZEL 2.2т, 12В /520405</t>
  </si>
  <si>
    <t>61284</t>
  </si>
  <si>
    <t>Лебедка автомобильная DENZEL 3.6т, 12В /520455</t>
  </si>
  <si>
    <t>61251</t>
  </si>
  <si>
    <t>Лебедка автомобильная DENZEL 4.5т, 12В /520505</t>
  </si>
  <si>
    <t>61289</t>
  </si>
  <si>
    <t>Насос гидравлический со шлангом для 4-тонной растяжки /513275</t>
  </si>
  <si>
    <t>67404</t>
  </si>
  <si>
    <t>Подставки под машину регулир. MATRIX 2т, h подъема 275-420мм, 2шт /51620</t>
  </si>
  <si>
    <t>61223</t>
  </si>
  <si>
    <t>Подставки под машину регулир. MATRIX 6т, h подъема 400-610мм, 2шт /516455</t>
  </si>
  <si>
    <t>61228</t>
  </si>
  <si>
    <t>Подставки под машину регулир. MATRIX 6т, h подъема 405-605мм, 2шт /51630</t>
  </si>
  <si>
    <t>67439</t>
  </si>
  <si>
    <t>Подставки под машину регулир. Stels 3т, h подъема 280-430мм, 2 шт /51627</t>
  </si>
  <si>
    <t>61253</t>
  </si>
  <si>
    <t>Пресс гидравлич. MATRIX 12т 1230*500*510мм /523105</t>
  </si>
  <si>
    <t>67406</t>
  </si>
  <si>
    <t>Растяжка гидравлическая 10т, набор из 12 пред., 7 насадок, пластик. кейс. /513405</t>
  </si>
  <si>
    <t>67424</t>
  </si>
  <si>
    <t>Растяжка гидравлическая Stels 10т, набор из 16 пред., 7 насадок, пласт. кейс. /51355</t>
  </si>
  <si>
    <t>67409</t>
  </si>
  <si>
    <t>Стяжка гидравлическая MATRIX 10т, с крюками усиленная /513485</t>
  </si>
  <si>
    <t>61269</t>
  </si>
  <si>
    <t>Таль цепная 0,5т, h подъема 2,5м, между крюками 240мм /519305</t>
  </si>
  <si>
    <t>61237</t>
  </si>
  <si>
    <t>Таль цепная 1,0т, h подъема 2,5м, между крюками 300мм /519335</t>
  </si>
  <si>
    <t>61250</t>
  </si>
  <si>
    <t>Таль цепная 2,0т, h подъема 2,5м, между крюками 380мм /519365</t>
  </si>
  <si>
    <t>61252</t>
  </si>
  <si>
    <t>Таль цепная 3,0т, h подъема 3м, между крюками 470мм /519395</t>
  </si>
  <si>
    <t>67427</t>
  </si>
  <si>
    <t>Таль цепная SPARTA 1,0т, h подъема 2,5м, между крюками 300мм /519135</t>
  </si>
  <si>
    <t>67432</t>
  </si>
  <si>
    <t>Таль цепная SPARTA 2,0т, h подъема 2,5м, между крюками 38мм /519165</t>
  </si>
  <si>
    <t>67434</t>
  </si>
  <si>
    <t>Таль цепная STELS 1,0т, h подъема 2,5м, между крюками 350мм /51944</t>
  </si>
  <si>
    <t>67417</t>
  </si>
  <si>
    <t>Тельфер цепной MATRIX грузоподъемность 5т /519885</t>
  </si>
  <si>
    <t>67414</t>
  </si>
  <si>
    <t>Цилиндр гидравлический MATRIX для 10-тонной растяжки /513265</t>
  </si>
  <si>
    <t>67418</t>
  </si>
  <si>
    <t>Цилиндр гидравлический MATRIX для 4-тонной растяжки /513285</t>
  </si>
  <si>
    <t>67437</t>
  </si>
  <si>
    <t>Цилиндр гидравлический Stels 10 т, стяжной усиленный с крюками /51362</t>
  </si>
  <si>
    <t>67425</t>
  </si>
  <si>
    <t>Цилиндр гидравлический Stels 5 т, стяжной усиленный с крюками /51361</t>
  </si>
  <si>
    <t>675-676 Наборы инструмента</t>
  </si>
  <si>
    <t>675 Наборы инструмента MATRIX, СПАРТА, STELS, GROSS, СИБРТЕХ</t>
  </si>
  <si>
    <t>67533</t>
  </si>
  <si>
    <t>Набор инструментов Gross 101 пред., 120 зубьев, CrV, 1/4", 1/2" /14151</t>
  </si>
  <si>
    <t>67555</t>
  </si>
  <si>
    <t>Набор инструментов Gross 216 пред., 120 зубьев, CrV, 1/2", 3/8", 1/4" /14157</t>
  </si>
  <si>
    <t>67534</t>
  </si>
  <si>
    <t>Набор инструментов Gross 24 пред., 120 зубьев, CrV, 1/2" /14147</t>
  </si>
  <si>
    <t>67557</t>
  </si>
  <si>
    <t>Набор инструментов Gross 42 пред., 120 зубьев, CrV, 1/4" /14146</t>
  </si>
  <si>
    <t>67558</t>
  </si>
  <si>
    <t>Набор инструментов Gross 76 пред., 120 зубьев, CrV, 1/4, 1/2" /14156</t>
  </si>
  <si>
    <t>67536</t>
  </si>
  <si>
    <t>Набор инструментов Gross 78 пред., 120 зубьев, CrV, 1/2", 1/4" /14148</t>
  </si>
  <si>
    <t>67551</t>
  </si>
  <si>
    <t>Набор инструментов Gross 82 пред., 120 зубьев, CrV, 1/2", 1/4" /14149</t>
  </si>
  <si>
    <t>67514</t>
  </si>
  <si>
    <t>Набор инструментов STELS 1/2", 1/4", Cr-V, S2, 69 предм. пластиковый кейс /14108</t>
  </si>
  <si>
    <t>67523</t>
  </si>
  <si>
    <t>Набор инструментов STELS 1/2", 1/4", Cr-V, S2, 88 предм. пластиковый кейс /14109</t>
  </si>
  <si>
    <t>67515</t>
  </si>
  <si>
    <t>Набор инструментов STELS 1/2", 1/4", Cr-V, S2, 98 предм. пластиковый кейс /14111</t>
  </si>
  <si>
    <t>67524</t>
  </si>
  <si>
    <t>Набор инструментов STELS 1/2", Cr-V, S2, 58 предм. усиленный кейс /14113</t>
  </si>
  <si>
    <t>67519</t>
  </si>
  <si>
    <t>Набор инструментов STELS 1/4",  1/2", Cr-V, S2, усиленный кейс, 119 предм./14112</t>
  </si>
  <si>
    <t>67541</t>
  </si>
  <si>
    <t>Набор инструментов STELS 1/4", 3/8", 1/2", Cr-V, S2, 151 предм. усиленный кейс /14114</t>
  </si>
  <si>
    <t>67525</t>
  </si>
  <si>
    <t>Набор инструментов STELS 1/4", 3/8", 1/2", Cr-V, S2, 216 предм. усиленный кейс /14115</t>
  </si>
  <si>
    <t>67517</t>
  </si>
  <si>
    <t>Набор инструментов STELS 1/4", Cr-V, S2, 47 предм. усиленный кейс /14099</t>
  </si>
  <si>
    <t>67543</t>
  </si>
  <si>
    <t>Набор инструментов STELS 109 предметов 12 гранные головки /14122</t>
  </si>
  <si>
    <t>67542</t>
  </si>
  <si>
    <t>Набор инструментов STELS 76 предметов 12 гранные головки /14116</t>
  </si>
  <si>
    <t>67544</t>
  </si>
  <si>
    <t>Набор инструментов STELS 82 предметов 12 гранные головки /14117</t>
  </si>
  <si>
    <t>67545</t>
  </si>
  <si>
    <t>Набор инструментов STELS 94 предметов 12 гранные головки /14118</t>
  </si>
  <si>
    <t>67510</t>
  </si>
  <si>
    <t>Набор слесарно-монт. MATRIX 12 предмета /13562</t>
  </si>
  <si>
    <t>67509</t>
  </si>
  <si>
    <t>Набор слесарно-монт. MATRIX 22 предмета /13561</t>
  </si>
  <si>
    <t>62298</t>
  </si>
  <si>
    <t>Набор слесарно-монт. SPARTA 19 предмета /13546</t>
  </si>
  <si>
    <t>62317</t>
  </si>
  <si>
    <t>Набор слесарно-монт. SPARTA 21 предмет /13537</t>
  </si>
  <si>
    <t>67511</t>
  </si>
  <si>
    <t>Набор слесарно-монт. SPARTA 25 предметов /13534</t>
  </si>
  <si>
    <t>67512</t>
  </si>
  <si>
    <t>Набор слесарно-монт. SPARTA 29 предметов /13535</t>
  </si>
  <si>
    <t>67503</t>
  </si>
  <si>
    <t>Набор слесарно-монт. SPARTA 36 предмета /13541</t>
  </si>
  <si>
    <t>62161</t>
  </si>
  <si>
    <t>Набор слесарно-монт. квадр. 1/4", 1/2" 94пр. /13580</t>
  </si>
  <si>
    <t>62154</t>
  </si>
  <si>
    <t>Набор слесарно-монт. квадр. MATRIX 1/2" 21пр. /13521</t>
  </si>
  <si>
    <t>67530</t>
  </si>
  <si>
    <t>Набор слесарно-монт. квадр. MATRIX 1/2" 24пр. /13582</t>
  </si>
  <si>
    <t>67552</t>
  </si>
  <si>
    <t>Набор слесарно-монт. квадр. MATRIX 1/4" 1/2" 5/16" 112пр. /13586</t>
  </si>
  <si>
    <t>62177</t>
  </si>
  <si>
    <t>Набор слесарно-монт. квадр. MATRIX 1/4" 1/2" 5/16" 117пр. /13587</t>
  </si>
  <si>
    <t>62121</t>
  </si>
  <si>
    <t>Набор слесарно-монт. квадр. MATRIX 1/4" 1/2" 53пр. /13585</t>
  </si>
  <si>
    <t>62120</t>
  </si>
  <si>
    <t>Набор слесарно-монт. квадр. MATRIX MASTER 1/4" 38пр. /13522</t>
  </si>
  <si>
    <t>62662</t>
  </si>
  <si>
    <t>Набор слесарно-монт. квадр. MATRIX PRO 1/2" 58пр., Cr-V, S2 /13551</t>
  </si>
  <si>
    <t>62331</t>
  </si>
  <si>
    <t>Набор слесарно-монт. квадр. SPARTA 1/2", 24пр. /135045</t>
  </si>
  <si>
    <t>60694</t>
  </si>
  <si>
    <t>Набор слесарно-монт. квадр. STELS 1/2" 31пр. /14102</t>
  </si>
  <si>
    <t>67502</t>
  </si>
  <si>
    <t>Набор слесарно-монт. квадр. STELS 1/2" 60пр. /14103</t>
  </si>
  <si>
    <t>67508</t>
  </si>
  <si>
    <t>Набор слесарно-монт. квадр. STELS 1/2", 1/4" 76пр. /14104</t>
  </si>
  <si>
    <t>62364</t>
  </si>
  <si>
    <t>Набор слесарно-монт. квадр. STELS 1/2", 1/4" 82пр. /14105</t>
  </si>
  <si>
    <t>67504</t>
  </si>
  <si>
    <t>Набор слесарно-монт. квадр. STELS 1/2", 1/4" 94пр. /14106</t>
  </si>
  <si>
    <t>67505</t>
  </si>
  <si>
    <t>Набор слесарно-монт. квадр. STELS 1/2", 3/8'', 1/4'' 142пр. /14107</t>
  </si>
  <si>
    <t>67501</t>
  </si>
  <si>
    <t>Набор слесарно-монт. квадр. STELS 1/4" 29пр. /14100</t>
  </si>
  <si>
    <t>62363</t>
  </si>
  <si>
    <t>Набор слесарно-монт. квадр. STELS 1/4" 57пр. /14101</t>
  </si>
  <si>
    <t>67561</t>
  </si>
  <si>
    <t>Набор слесарно-монт. Сибртех 1/2", 1/4", CrV, пластиковый кейс 94 предм. /13509</t>
  </si>
  <si>
    <t>67548</t>
  </si>
  <si>
    <t>Набор торцевых головок Gross трещотка 120 зубьев, 12 предметов, 1/2", CrV /14138</t>
  </si>
  <si>
    <t>67549</t>
  </si>
  <si>
    <t>Набор торцевых головок Gross трещотка 120 зубьев, 12 предметов, 1/4", CrV /14141</t>
  </si>
  <si>
    <t>67522</t>
  </si>
  <si>
    <t>Набор торцевых головок Gross трещотка 120 зубьев, 41 предмет, 1/2", 1/4", CrV /14143</t>
  </si>
  <si>
    <t>62201</t>
  </si>
  <si>
    <t>Набор торцевых головок MATRIX и вороток 3/4" 19-50мм 20 пред. в футляре /13536</t>
  </si>
  <si>
    <t>67562</t>
  </si>
  <si>
    <t>Набор торцевых головок MATRIX квадрат 1/2", головки 10*24мм, 12 пр. /13526</t>
  </si>
  <si>
    <t>67507</t>
  </si>
  <si>
    <t>Набор торцевых головок MATRIX квадрат 3/4"-1", 21*65мм, 26пр. /13539</t>
  </si>
  <si>
    <t>67547</t>
  </si>
  <si>
    <t>Набор торцевых головок Stels с трещоткой, 1/4", 26 предм. /13574</t>
  </si>
  <si>
    <t>67518</t>
  </si>
  <si>
    <t>Набор торцевых головок удл. 6-ти гр. 1/2", головки 17*21мм, 3пр. /13513</t>
  </si>
  <si>
    <t>67553</t>
  </si>
  <si>
    <t>Набор торцевых головок удл. MATRIX 6-ти гр. 1/2", головки 10*22мм,10пр. /13590</t>
  </si>
  <si>
    <t>62593</t>
  </si>
  <si>
    <t>Набор торцевых головок удл. MATRIX 6-ти гр. 1/4", головки 4*13мм, 10пр. /13592</t>
  </si>
  <si>
    <t>67572</t>
  </si>
  <si>
    <t>Набор торцевых головок удл. MATRIX 6-ти гр. 3/8", головки 8*19мм, 10пр. /13591</t>
  </si>
  <si>
    <t>03647</t>
  </si>
  <si>
    <t>Набор торцовых головок Gross трещотка 120 зубьев, 36 предметов, 1/4", CrV /14142</t>
  </si>
  <si>
    <t>67529</t>
  </si>
  <si>
    <t>Набор универс.торцевых головок STELS трещотка 1/2", CrV, 11 пред., 10-22мм /14127</t>
  </si>
  <si>
    <t>67527</t>
  </si>
  <si>
    <t>Набор универс.торцевых головок STELS трещотка 1/4", CrV, 11 пред., 4-13мм /14125</t>
  </si>
  <si>
    <t>67528</t>
  </si>
  <si>
    <t>Набор универс.торцевых головок STELS трещотка 3/8", CrV, 11 пред., 7-22мм /14126</t>
  </si>
  <si>
    <t>67615</t>
  </si>
  <si>
    <t>Набор шоферского Stels с квадратом 1/2", 24 предм. /13578</t>
  </si>
  <si>
    <t>67573</t>
  </si>
  <si>
    <t>Торцевые головки MATRIX 12-ти гран. 1/2" 10-24мм 10пр. /13596</t>
  </si>
  <si>
    <t>67540</t>
  </si>
  <si>
    <t>Торцевые головки MATRIX 12-ти гран. 1/4" 4-13мм 10пр. /13594</t>
  </si>
  <si>
    <t>67516</t>
  </si>
  <si>
    <t>Торцевые головки MATRIX 12-ти гран. 3/8" 9-19мм 10пр. /13595</t>
  </si>
  <si>
    <t>67521</t>
  </si>
  <si>
    <t>Торцевые головки MATRIX 6-ти гран. 1/2" 10-22мм 10пр. /13557</t>
  </si>
  <si>
    <t>67554</t>
  </si>
  <si>
    <t>Торцевые головки MATRIX 6-ти гран. 1/4" 4-13мм 10пр. /13559</t>
  </si>
  <si>
    <t>67535</t>
  </si>
  <si>
    <t>Торцевые головки MATRIX 6-ти гран. 3/8" 8-19мм 10пр. /13558</t>
  </si>
  <si>
    <t>62663</t>
  </si>
  <si>
    <t>Торцевые головки универсальные MATRIX 1/2", Spline, CrV, 10шт., 10-22мм /13597</t>
  </si>
  <si>
    <t>67546</t>
  </si>
  <si>
    <t>Торцевые головки универсальные MATRIX 1/4", Spline, CrV, 10шт., 4-13мм /13599</t>
  </si>
  <si>
    <t>67539</t>
  </si>
  <si>
    <t>Торцевые головки универсальные MATRIX 3/8", Spline, CrV, 10шт., 8-19мм /13593</t>
  </si>
  <si>
    <t>676 Наборы инструмента Наборы НИЗ, НИ, Россия</t>
  </si>
  <si>
    <t>62241</t>
  </si>
  <si>
    <t>Набор инструмента НИЗ Автомобилист-1 12-гр. пл/футл.</t>
  </si>
  <si>
    <t>62262</t>
  </si>
  <si>
    <t>Набор инструмента НИЗ Универсал 6-гр. пл/футл.</t>
  </si>
  <si>
    <t>62270</t>
  </si>
  <si>
    <t>Набор инструмента НИЗ Универсал-2 6-гр. пл/футл. цинк (2)</t>
  </si>
  <si>
    <t>677 Стамески/Долота</t>
  </si>
  <si>
    <t>67763</t>
  </si>
  <si>
    <t>Стамеска Практик 8мм Ник</t>
  </si>
  <si>
    <t>65166</t>
  </si>
  <si>
    <t>Стамеска СИБРТЕХ 06 мм, плоская, пластмассовая ручка /24706</t>
  </si>
  <si>
    <t>65167</t>
  </si>
  <si>
    <t>Стамеска СИБРТЕХ 08 мм, плоская, пластмассовая ручка /24708</t>
  </si>
  <si>
    <t>65105</t>
  </si>
  <si>
    <t>Стамеска СИБРТЕХ 16 мм, плоская, пластмассовая ручка /24716</t>
  </si>
  <si>
    <t>65178</t>
  </si>
  <si>
    <t>Стамеска СИБРТЕХ 26 мм, плоская, пластмассовая ручка /24726</t>
  </si>
  <si>
    <t>65124</t>
  </si>
  <si>
    <t>Стамеска СИБРТЕХ 30 мм, плоская, пластмассовая ручка /24730</t>
  </si>
  <si>
    <t>67742</t>
  </si>
  <si>
    <t>Стамеска СИБРТЕХ 32 мм, плоская, пластмассовая ручка /24732</t>
  </si>
  <si>
    <t>65585</t>
  </si>
  <si>
    <t>Стамеска СИБРТЕХ 38 мм, плоская, пластмассовая ручка /24738</t>
  </si>
  <si>
    <t>02333</t>
  </si>
  <si>
    <t>Стамеска-долото GROSS PIRANHA 13 мм двухкомпонентная эргономичная ручка /25005</t>
  </si>
  <si>
    <t>65134</t>
  </si>
  <si>
    <t>Стамеска-Долото MATRIX "Тигровый глаз", 06мм, 2-х комп.ручк. /24501</t>
  </si>
  <si>
    <t>65265</t>
  </si>
  <si>
    <t>Стамеска-Долото MATRIX "Тигровый глаз", 08мм, 2-х комп.ручк. /24503</t>
  </si>
  <si>
    <t>65100</t>
  </si>
  <si>
    <t>Стамеска-Долото MATRIX "Тигровый глаз", 10мм, 2-х комп.ручк. /24505</t>
  </si>
  <si>
    <t>65102</t>
  </si>
  <si>
    <t>Стамеска-Долото MATRIX "Тигровый глаз", 12мм, 2-х комп.ручк. /24507</t>
  </si>
  <si>
    <t>65107</t>
  </si>
  <si>
    <t>Стамеска-Долото MATRIX "Тигровый глаз", 14мм, 2-х комп.ручк. /24509</t>
  </si>
  <si>
    <t>65131</t>
  </si>
  <si>
    <t>Стамеска-Долото MATRIX "Тигровый глаз", 16мм, 2-х комп.ручк. /24511</t>
  </si>
  <si>
    <t>65125</t>
  </si>
  <si>
    <t>Стамеска-Долото MATRIX "Тигровый глаз", 18мм, 2-х комп.ручк. /24513</t>
  </si>
  <si>
    <t>67789</t>
  </si>
  <si>
    <t>Стамеска-Долото MATRIX "Тигровый глаз", 20мм, 2-х комп.ручк. /24515</t>
  </si>
  <si>
    <t>67702</t>
  </si>
  <si>
    <t>Стамеска-Долото MATRIX "Тигровый глаз", 22мм, 2-х комп.ручк. /24516</t>
  </si>
  <si>
    <t>65127</t>
  </si>
  <si>
    <t>Стамеска-Долото MATRIX "Тигровый глаз", 24мм, 2-х комп.ручк. /24517</t>
  </si>
  <si>
    <t>65160</t>
  </si>
  <si>
    <t>Стамеска-Долото MATRIX "Тигровый глаз", 26мм, 2-х комп.ручк. /24518</t>
  </si>
  <si>
    <t>65101</t>
  </si>
  <si>
    <t>Стамеска-Долото MATRIX "Тигровый глаз", 28мм, 2-х комп.ручк. /24520</t>
  </si>
  <si>
    <t>67700</t>
  </si>
  <si>
    <t>Стамеска-Долото MATRIX "Тигровый глаз", 30мм, 2-х комп.ручк. /24519</t>
  </si>
  <si>
    <t>65154</t>
  </si>
  <si>
    <t>Стамеска-Долото MATRIX "Тигровый глаз", 32мм, 2-х комп.ручк. /24521</t>
  </si>
  <si>
    <t>67720</t>
  </si>
  <si>
    <t>Стамеска-Долото MATRIX "Тигровый глаз", 38мм, 2-х комп.ручк. /24525</t>
  </si>
  <si>
    <t>67722</t>
  </si>
  <si>
    <t>Стамеска-долото Арефино 12 мм, плоское, деревянная рукоятка /24250</t>
  </si>
  <si>
    <t>65173</t>
  </si>
  <si>
    <t>Стамеска-Долото БАРС 12мм, 2-х комп. ручк., мет. затыльник /24637</t>
  </si>
  <si>
    <t>65200</t>
  </si>
  <si>
    <t>Стамеска-Долото БАРС 18мм, 2-х комп. ручк., мет. затыльник /24643</t>
  </si>
  <si>
    <t>65224</t>
  </si>
  <si>
    <t>Стамеска-Долото БАРС 20мм, 2-х комп. ручк., мет. затыльник /24645</t>
  </si>
  <si>
    <t>65229</t>
  </si>
  <si>
    <t>Стамеска-Долото БАРС 24мм, 2-х комп. ручк., мет. затыльник /24649</t>
  </si>
  <si>
    <t>65230</t>
  </si>
  <si>
    <t>Стамеска-Долото БАРС 26мм, 2-х комп. ручк., мет. затыльник /24651</t>
  </si>
  <si>
    <t>65231</t>
  </si>
  <si>
    <t>Стамеска-Долото БАРС 28мм, 2-х комп. ручк., мет. затыльник /24653</t>
  </si>
  <si>
    <t>65235</t>
  </si>
  <si>
    <t>Стамеска-Долото БАРС 38мм, 2-х комп. ручк., мет. затыльник /24659</t>
  </si>
  <si>
    <t>67754</t>
  </si>
  <si>
    <t>Стамески 6-12-18-24 мм, деревянные ручки ударные /243975</t>
  </si>
  <si>
    <t>67755</t>
  </si>
  <si>
    <t>Стамески Практик CR-V (4шт) Ник</t>
  </si>
  <si>
    <t>678 Тиски/Верстаки/Сумки для инструмента</t>
  </si>
  <si>
    <t>67848</t>
  </si>
  <si>
    <t>Кобура для шуруповерта MATRIX с карманом для бит и сверл. /90243</t>
  </si>
  <si>
    <t>00010</t>
  </si>
  <si>
    <t>Органайзер CD-дисков STELS на 20 дисков /54391</t>
  </si>
  <si>
    <t>65852</t>
  </si>
  <si>
    <t>Сумка д/инструмента MATRIX 14 карманов, 315мм*215мм*225мм /90251</t>
  </si>
  <si>
    <t>67845</t>
  </si>
  <si>
    <t>Сумка д/инструмента MATRIX 18 карманов, 320мм*215мм*250мм /90259</t>
  </si>
  <si>
    <t>67846</t>
  </si>
  <si>
    <t>Сумка д/инструмента MATRIX 18 карманов, 510мм*210мм*360мм /90252</t>
  </si>
  <si>
    <t>67849</t>
  </si>
  <si>
    <t>Сумка д/инструмента MATRIX 32 кармана, 460мм*280мм*305мм /90256</t>
  </si>
  <si>
    <t>65878</t>
  </si>
  <si>
    <t>Сумка-переноска д/инструмента MATRIX 415мм*230мм*260мм /90257</t>
  </si>
  <si>
    <t>67812</t>
  </si>
  <si>
    <t>Сумка-пояс MATRIX двойная, 20 карм., держатель д/молотка /90240</t>
  </si>
  <si>
    <t>67832</t>
  </si>
  <si>
    <t>Сумка-пояс MATRIX двойная, 7 карм. /90241</t>
  </si>
  <si>
    <t>65765</t>
  </si>
  <si>
    <t>Сумка-пояс MATRIX кобура, держатель д/молотка, 810-1120мм /90247</t>
  </si>
  <si>
    <t>78134</t>
  </si>
  <si>
    <t>Сумка-стул MATRIX складная 420мм*280мм*385мм /90249</t>
  </si>
  <si>
    <t>67847</t>
  </si>
  <si>
    <t>Тиски верстак. поворотн. 100мм /186235</t>
  </si>
  <si>
    <t>65826</t>
  </si>
  <si>
    <t>Тиски верстак. поворотн. 125мм /186255</t>
  </si>
  <si>
    <t>65848</t>
  </si>
  <si>
    <t>Тиски верстак. поворотн. 150мм /186275</t>
  </si>
  <si>
    <t>67804</t>
  </si>
  <si>
    <t>Тиски верстак. поворотн. 200мм /186295</t>
  </si>
  <si>
    <t>67800</t>
  </si>
  <si>
    <t>Тиски настольн. Спарта 40мм /185055</t>
  </si>
  <si>
    <t>67806</t>
  </si>
  <si>
    <t>Тиски настольн. Спарта 50мм /185075</t>
  </si>
  <si>
    <t>67808</t>
  </si>
  <si>
    <t>Тиски настольн. Спарта 60мм /185095</t>
  </si>
  <si>
    <t>65855</t>
  </si>
  <si>
    <t>Тиски настольн. Спарта 75мм /185115</t>
  </si>
  <si>
    <t>67802</t>
  </si>
  <si>
    <t>Тиски настольные MATRIX 70мм /18506</t>
  </si>
  <si>
    <t>67819</t>
  </si>
  <si>
    <t>Тиски поворотные Глазов ТСС-125 125мм /18665</t>
  </si>
  <si>
    <t>67816</t>
  </si>
  <si>
    <t>Тиски поворотные Глазов ТСС-140 140мм /18667</t>
  </si>
  <si>
    <t>67833</t>
  </si>
  <si>
    <t>Тиски ручные</t>
  </si>
  <si>
    <t>680 Электротехнический инструмент</t>
  </si>
  <si>
    <t>68014</t>
  </si>
  <si>
    <t>Индикатор напряжения 12-220В с жидкок. дисп. неон. лам /130855</t>
  </si>
  <si>
    <t>68012</t>
  </si>
  <si>
    <t>Индикатор напряжения 12-220В с жидкокристал. диспл. /130805</t>
  </si>
  <si>
    <t>68013</t>
  </si>
  <si>
    <t>Индикатор напряжения 70-250В многофункц /130905</t>
  </si>
  <si>
    <t>68063</t>
  </si>
  <si>
    <t>Индикатор напряжения Спарта 140мм 100-500В /130405 /20/</t>
  </si>
  <si>
    <t>68070</t>
  </si>
  <si>
    <t>Индикатор напряжения Спарта 190мм 100-500В /130605 /20/</t>
  </si>
  <si>
    <t>68102</t>
  </si>
  <si>
    <t>Клещи д/снятия изоляции MATRIX 160мм, 2-х комп-ые рукоятки /17717</t>
  </si>
  <si>
    <t>68007</t>
  </si>
  <si>
    <t>Клещи для обжима комп. и телеф. конн. GROSS, RJ-45, 6P, 8P, RJ-11/ 17719</t>
  </si>
  <si>
    <t>68003</t>
  </si>
  <si>
    <t>Клещи для обжима электрокабеля SPARTA 0,5–6 мм /177065</t>
  </si>
  <si>
    <t>68009</t>
  </si>
  <si>
    <t>Клещи обжимные универсальные 6р+8р 106-131</t>
  </si>
  <si>
    <t>68036</t>
  </si>
  <si>
    <t>Щипцы для зачистки проводов 170 мм 1-3,2мм /177305</t>
  </si>
  <si>
    <t>68085</t>
  </si>
  <si>
    <t>Щипцы для зачистки проводов 210 мм 1,5–6,5мм /177505</t>
  </si>
  <si>
    <t>68002</t>
  </si>
  <si>
    <t>Щипцы для зачистки проводов GROSS 0,05-8 кв.мм /17718</t>
  </si>
  <si>
    <t>68017</t>
  </si>
  <si>
    <t>Щипцы для зачистки проводов Сибртех функция обрезания проводов /17734</t>
  </si>
  <si>
    <t>68005</t>
  </si>
  <si>
    <t>Щипцы для зачистки электропроводов GROSS 0,2-6 мм2 /17722</t>
  </si>
  <si>
    <t>68010</t>
  </si>
  <si>
    <t>Щипцы для зачистки электропроводов GROSS 0,5, 1,0, 1,5, 2,5, 4,0, 8,0 мм2 /17721</t>
  </si>
  <si>
    <t>690-695 Абразивный инструмент</t>
  </si>
  <si>
    <t>690 Абразивный инструмент прочий</t>
  </si>
  <si>
    <t>69079</t>
  </si>
  <si>
    <t>Брусок абраз. Лодочка 2-х сторонний /Сибртех /76425</t>
  </si>
  <si>
    <t>69011</t>
  </si>
  <si>
    <t>Брусок абраз. Лодочка 225 645-134 /100/</t>
  </si>
  <si>
    <t>69012</t>
  </si>
  <si>
    <t>Брусок абраз. Луга 35*15*225 14А ЛОДОЧКА /60/</t>
  </si>
  <si>
    <t>69014</t>
  </si>
  <si>
    <t>Брусок абраз. Луга 35*18*225 14А ЛОДОЧКА /50/</t>
  </si>
  <si>
    <t>69053</t>
  </si>
  <si>
    <t>Брусок абраз. СИБРТЕХ 200 двухслойный /76420</t>
  </si>
  <si>
    <t>69015</t>
  </si>
  <si>
    <t>Брусок для шлифования MATRIX 150мм с липучкой /75815</t>
  </si>
  <si>
    <t>69060</t>
  </si>
  <si>
    <t>Брусок для шлифования MATRIX 160*85мм /75820</t>
  </si>
  <si>
    <t>60014</t>
  </si>
  <si>
    <t>Брусок для шлифования MATRIX 210*105мм /75830</t>
  </si>
  <si>
    <t>69017</t>
  </si>
  <si>
    <t>Губка шлиф. 100*70*25 мягкая, 3шт, Р60/80, Р60/100, Р80/120 /75705</t>
  </si>
  <si>
    <t>60048</t>
  </si>
  <si>
    <t>Губка шлиф. Воронеж 100*70*25 К60</t>
  </si>
  <si>
    <t>69023</t>
  </si>
  <si>
    <t>Круг д/зат. пил Луга ЗП 150*6*32 14А 40СТ /20/</t>
  </si>
  <si>
    <t>69089</t>
  </si>
  <si>
    <t>Круг д/зат. пил Луга ЗП 150*8*32 14А 40СТ /20/</t>
  </si>
  <si>
    <t>60122</t>
  </si>
  <si>
    <t>Круг д/зат. пил Луга ЗП 250*8*76 14А 40СТ /7/</t>
  </si>
  <si>
    <t>69094</t>
  </si>
  <si>
    <t>Круг полировальный MATRIX "под липучку", 125 мм, короткая плетеная шерстяная нить /75962</t>
  </si>
  <si>
    <t>69095</t>
  </si>
  <si>
    <t>Круг полировальный MATRIX "под липучку", 150 мм, короткая плетеная шерстяная нить /75963</t>
  </si>
  <si>
    <t>69085</t>
  </si>
  <si>
    <t>Круг полировальный MATRIX из натур. войлока, 125*20*12,7мм /75904</t>
  </si>
  <si>
    <t>69027</t>
  </si>
  <si>
    <t>Круг полировальный MATRIX из натур. войлока, 125*20*32мм /75905</t>
  </si>
  <si>
    <t>69028</t>
  </si>
  <si>
    <t>Круг полировальный MATRIX из натур. войлока, 150*20*32мм /75910</t>
  </si>
  <si>
    <t>02396</t>
  </si>
  <si>
    <t>Круг полировальный MATRIX из натур. войлока, 200*20*32мм /75912</t>
  </si>
  <si>
    <t>69070</t>
  </si>
  <si>
    <t>Круг полировальный MATRIX из натур. войлока, под лип. 115*7мм /75920</t>
  </si>
  <si>
    <t>69030</t>
  </si>
  <si>
    <t>Круг полировальный MATRIX из натур. войлока, под лип. 125*7мм /75925</t>
  </si>
  <si>
    <t>69031</t>
  </si>
  <si>
    <t>Круг полировальный MATRIX из натур. войлока, под лип. 150*7мм /75930</t>
  </si>
  <si>
    <t>69081</t>
  </si>
  <si>
    <t>Круг полировальный лепестковый MATRIX из натур. войлока, 125*22мм /75934</t>
  </si>
  <si>
    <t>69082</t>
  </si>
  <si>
    <t>Круг полировальный непрерывный MATRIX из натур. войлока, 125*22мм /75942</t>
  </si>
  <si>
    <t>69078</t>
  </si>
  <si>
    <t>Круг резин. MATRIX шлиф. д/др. и УШМ с липпуч. 115мм /76218</t>
  </si>
  <si>
    <t>69059</t>
  </si>
  <si>
    <t>Круг резин. MATRIX шлиф. д/др. и УШМ с липпуч. 125мм /76220</t>
  </si>
  <si>
    <t>69002</t>
  </si>
  <si>
    <t>Круг резин. MATRIX шлиф. д/др. и УШМ с липпуч. 150мм /76221</t>
  </si>
  <si>
    <t>60067</t>
  </si>
  <si>
    <t>Круг фибровый MATRIX 180*22мм, P24, 5шт /73919</t>
  </si>
  <si>
    <t>69099</t>
  </si>
  <si>
    <t>Насадка MATRIX д/дрели и УШМ с липучкой, 125мм, твердая /76230</t>
  </si>
  <si>
    <t>69045</t>
  </si>
  <si>
    <t>Сегмент 6С 85 78 50 14А 080СТ (24 O,P,Q) д/моз. шлиф. машины /18/</t>
  </si>
  <si>
    <t>60005</t>
  </si>
  <si>
    <t>Сегмент 6С 85 78 50 14А 100СТ (20 O,P,Q) д/моз. шлиф. машины /18/</t>
  </si>
  <si>
    <t>60191</t>
  </si>
  <si>
    <t>Сегмент 6С 85 78 50 14А 125СТ (16 O,P,Q) д/моз. шлиф. машины /18/</t>
  </si>
  <si>
    <t>60068</t>
  </si>
  <si>
    <t>Сегмент 6С 85 78 50 54С 100СТ (20 O,P,Q) д/моз. шлиф. машины /18/</t>
  </si>
  <si>
    <t>60467</t>
  </si>
  <si>
    <t>Точильные камни для дрели MATRIX 5шт /76020</t>
  </si>
  <si>
    <t>69013</t>
  </si>
  <si>
    <t>Чашка алмазная зачистная 125 мм двухрядная /74-0-502</t>
  </si>
  <si>
    <t>69043</t>
  </si>
  <si>
    <t>Чашка алмазная зачистная 180 мм двурядный /74-0-508</t>
  </si>
  <si>
    <t>69052</t>
  </si>
  <si>
    <t>Чашка алмазная зачистная 180 мм Турбо /74-0-518</t>
  </si>
  <si>
    <t>03915</t>
  </si>
  <si>
    <t>Чашка алмазная зачистная Denzel 125 мм Turbo /72970</t>
  </si>
  <si>
    <t>69005</t>
  </si>
  <si>
    <t>Чашка алмазная зачистная Denzel 125 мм Агрессор /72972</t>
  </si>
  <si>
    <t>69036</t>
  </si>
  <si>
    <t>Чашка алмазная зачистная Denzel 125 мм Бриллиант /72973</t>
  </si>
  <si>
    <t>69051</t>
  </si>
  <si>
    <t>Чашка алмазная зачистная Denzel 125 мм Волна /72971</t>
  </si>
  <si>
    <t>60370</t>
  </si>
  <si>
    <t>Чашка алмазная зачистная MATRIX 115 мм, двухрядная /72980</t>
  </si>
  <si>
    <t>69063</t>
  </si>
  <si>
    <t>Чашка алмазная зачистная MATRIX 125 мм, однорядная /72985</t>
  </si>
  <si>
    <t>60372</t>
  </si>
  <si>
    <t>Чашка алмазная зачистная MATRIX 125 мм, турбо-сегмент /72988</t>
  </si>
  <si>
    <t>69057</t>
  </si>
  <si>
    <t>Чашка алмазная зачистная MATRIX 150 мм, Turbo /72997</t>
  </si>
  <si>
    <t>69058</t>
  </si>
  <si>
    <t>Чашка алмазная зачистная MATRIX 150 мм, двухрядная /72996</t>
  </si>
  <si>
    <t>69054</t>
  </si>
  <si>
    <t>Чашка алмазная зачистная MATRIX 180 мм, Turbo /72999</t>
  </si>
  <si>
    <t>69055</t>
  </si>
  <si>
    <t>Чашка алмазная зачистная MATRIX 180 мм, двухрядная /72998</t>
  </si>
  <si>
    <t>69200</t>
  </si>
  <si>
    <t>Чашка алмазная зачистная SPARTA 125 мм сплошная /729935</t>
  </si>
  <si>
    <t>69414</t>
  </si>
  <si>
    <t>Чашка алмазная зачистная БАРС 125 мм, турбо /72960</t>
  </si>
  <si>
    <t>69092</t>
  </si>
  <si>
    <t>Чашка алмазная зачистная СИБРТЕХ 125мм, комбинированная /72958</t>
  </si>
  <si>
    <t>691 Круги шлифовальные Луга</t>
  </si>
  <si>
    <t>69176</t>
  </si>
  <si>
    <t>Круг шлиф. Луга 125*16*12,7 25А 40 (К,L) 40СМ /73476</t>
  </si>
  <si>
    <t>69198</t>
  </si>
  <si>
    <t>Круг шлиф. Луга 125*16*12,7 25А 60 (К,L) 25СМ /73476</t>
  </si>
  <si>
    <t>69175</t>
  </si>
  <si>
    <t>Круг шлиф. Луга 125*20*12,7 25А 60 (К.L) 25СМ /73477</t>
  </si>
  <si>
    <t>69121</t>
  </si>
  <si>
    <t>Круг шлиф. Луга 125*20*32 25А 60 (K,L) 25СМ /73450 /24/</t>
  </si>
  <si>
    <t>69125</t>
  </si>
  <si>
    <t>Круг шлиф. Луга 125*25*32 25А 40 (K,L) 40СМ1 /24/</t>
  </si>
  <si>
    <t>69126</t>
  </si>
  <si>
    <t>Круг шлиф. Луга 125*25*32 25А 60 (K,L) 25СМ1 /24/</t>
  </si>
  <si>
    <t>69127</t>
  </si>
  <si>
    <t>Круг шлиф. Луга 150*16*12,7 25А 40 (K,L) 40СМ1 /16/</t>
  </si>
  <si>
    <t>69108</t>
  </si>
  <si>
    <t>Круг шлиф. Луга 150*16*12,7 25А 60 (К,L) 25СМ1 /73478 /16/</t>
  </si>
  <si>
    <t>60182</t>
  </si>
  <si>
    <t>Круг шлиф. Луга 150*20*12,7 25А 40 (K,L) 40СМ1 белый /16/</t>
  </si>
  <si>
    <t>69129</t>
  </si>
  <si>
    <t>Круг шлиф. Луга 150*20*12,7 25А 60 (К.L) 25СМ /73479</t>
  </si>
  <si>
    <t>69131</t>
  </si>
  <si>
    <t>Круг шлиф. Луга 150*20*16 25А 60 (K,L) 25СМ /16/</t>
  </si>
  <si>
    <t>60193</t>
  </si>
  <si>
    <t>Круг шлиф. Луга 150*20*32 25А 60 (K,L) 25СМ /73455 /16/</t>
  </si>
  <si>
    <t>60110</t>
  </si>
  <si>
    <t>Круг шлиф. Луга 150*20*32 63С 40 (K,L) 40СМ /16/</t>
  </si>
  <si>
    <t>69138</t>
  </si>
  <si>
    <t>Круг шлиф. Луга 150*25*32 25А 40 (K,L) 40СМ /12/</t>
  </si>
  <si>
    <t>69170</t>
  </si>
  <si>
    <t>Круг шлиф. Луга 150*25*32 25А 60 (K,L) 40СМ /12/</t>
  </si>
  <si>
    <t>69186</t>
  </si>
  <si>
    <t>Круг шлиф. Луга 175*20*32 25А 40( K,L) 40СМ /73462 /6/</t>
  </si>
  <si>
    <t>69187</t>
  </si>
  <si>
    <t>Круг шлиф. Луга 175*20*32 25А 60 (KL) 25СМ /73465 /12/</t>
  </si>
  <si>
    <t>60139</t>
  </si>
  <si>
    <t>Круг шлиф. Луга 175*20*32 63С 40 (K,L) 40СМ /12/</t>
  </si>
  <si>
    <t>69143</t>
  </si>
  <si>
    <t>Круг шлиф. Луга 175*20*32 63С 60 (K,L) 25СМ /12/</t>
  </si>
  <si>
    <t>69144</t>
  </si>
  <si>
    <t>Круг шлиф. Луга 175*25*32 25А 40 (K,L) 40СМ1 /10/</t>
  </si>
  <si>
    <t>69180</t>
  </si>
  <si>
    <t>Круг шлиф. Луга 175*25*32 25А 60 (K,L) 25СМ1 /6/</t>
  </si>
  <si>
    <t>60106</t>
  </si>
  <si>
    <t>Круг шлиф. Луга 175*25*32 63С 40СМ1 /10/</t>
  </si>
  <si>
    <t>69147</t>
  </si>
  <si>
    <t>Круг шлиф. Луга 200*20*16 25А 40( K,L) 40СМ /8/</t>
  </si>
  <si>
    <t>69172</t>
  </si>
  <si>
    <t>Круг шлиф. Луга 200*20*20 63С 60(K,L) 25СМ1 /8/</t>
  </si>
  <si>
    <t>60189</t>
  </si>
  <si>
    <t>Круг шлиф. Луга 200*20*32 25А 40 (K,L) 40СМ /73467 /8/</t>
  </si>
  <si>
    <t>69189</t>
  </si>
  <si>
    <t>Круг шлиф. Луга 200*20*32 63С 60СМ2 /73483 /5/</t>
  </si>
  <si>
    <t>60107</t>
  </si>
  <si>
    <t>Круг шлиф. Луга 200*25*32 25А 40 (К,L) 40СМ /6/</t>
  </si>
  <si>
    <t>60187</t>
  </si>
  <si>
    <t>Круг шлиф. Луга 200*25*32 25А 60 (К,L) 25СМ белый /5/</t>
  </si>
  <si>
    <t>60133</t>
  </si>
  <si>
    <t>Круг шлиф. Луга 200*25*32 63С 40 (K,L) 40СМ1 /6/</t>
  </si>
  <si>
    <t>60111</t>
  </si>
  <si>
    <t>Круг шлиф. Луга 200*25*32 63С 60(K,L) 25СМ2 зеленый /6/</t>
  </si>
  <si>
    <t>60124</t>
  </si>
  <si>
    <t>Круг шлиф. Луга 400*50*127 63С 63СМ2 /1/</t>
  </si>
  <si>
    <t>69181</t>
  </si>
  <si>
    <t>Круг шлиф. Луга ЧК125*45*32 25А 60 (K,L) 25СМ /12/</t>
  </si>
  <si>
    <t>69167</t>
  </si>
  <si>
    <t>Круг шлиф. Луга ЧК150*50*32 25А 40 (K,L) 40СМ /12/</t>
  </si>
  <si>
    <t>69106</t>
  </si>
  <si>
    <t>Круг шлиф. Луга ЧК150*50*32 25А 60 (K,L) 25СМ1 /12/</t>
  </si>
  <si>
    <t>69183</t>
  </si>
  <si>
    <t>Круг шлиф. Луга ЧК150*50*32 25А 60 (O,P,Q) 25СТ /12/</t>
  </si>
  <si>
    <t>692 Шкурка шлифовальная /лента абразивная/приспособления для нее</t>
  </si>
  <si>
    <t>60188</t>
  </si>
  <si>
    <t>Держатель для шлифшкурки ЭНКОР 70х130мм /12260</t>
  </si>
  <si>
    <t>60307</t>
  </si>
  <si>
    <t>Лента абразивная бескон. MATRIX 100*610мм зер. 40 10шт /74250</t>
  </si>
  <si>
    <t>602850</t>
  </si>
  <si>
    <t>Шкурка шлиф. бумажной основе водостойкая 1шт ≈22*27 № 80 /75606</t>
  </si>
  <si>
    <t>644610</t>
  </si>
  <si>
    <t>Шкурка шлиф. бумажной основе водостойкая 1шт ≈22*27 №240 /75614</t>
  </si>
  <si>
    <t>603100</t>
  </si>
  <si>
    <t>Шкурка шлиф. бумажной основе водостойкая 1шт ≈22*27 №320 /75616</t>
  </si>
  <si>
    <t>602940</t>
  </si>
  <si>
    <t>Шкурка шлиф. тканевой основе водостойкая 1шт ≈22*27 № 120 /75645</t>
  </si>
  <si>
    <t>692550</t>
  </si>
  <si>
    <t>Шкурка шлиф. тканевой основе водостойкая 1шт ≈22*27 № 60 /75639</t>
  </si>
  <si>
    <t>602780</t>
  </si>
  <si>
    <t>Шкурка шлиф. тканевой основе водостойкая 1шт ≈22*27 № 80 /75641</t>
  </si>
  <si>
    <t>60242</t>
  </si>
  <si>
    <t>Шкурка шлиф. тканевой основе л.набор230*280 № 46 10 шт /75635</t>
  </si>
  <si>
    <t>69255</t>
  </si>
  <si>
    <t>Шкурка шлиф. тканевой основе л.набор230*280 № 60 10 шт /75639</t>
  </si>
  <si>
    <t>69218</t>
  </si>
  <si>
    <t>Шкурка шлиф. тканевой основе л.набор240*170 № 10 10 шт /75664</t>
  </si>
  <si>
    <t>69226</t>
  </si>
  <si>
    <t>Шкурка шлиф. тканевой основе л.набор240*170 № 25 10 шт /75676</t>
  </si>
  <si>
    <t>69264</t>
  </si>
  <si>
    <t>Шкурка шлиф. тканевой основе л.набор240*170 № 32 10 шт /75679</t>
  </si>
  <si>
    <t>69232</t>
  </si>
  <si>
    <t>Шкурка шлиф. тканевой основе л.набор240*170 № 5 10 шт /75655</t>
  </si>
  <si>
    <t>693 Круги из абразивной бумаги/лепестковые</t>
  </si>
  <si>
    <t>69377</t>
  </si>
  <si>
    <t>Круг лепес. по мет. для дрели 20*20*6 MATRIX зер.100 /74103</t>
  </si>
  <si>
    <t>69375</t>
  </si>
  <si>
    <t>Круг лепес. по мет. для дрели 20*20*6 MATRIX зер.40 /74100</t>
  </si>
  <si>
    <t>01862</t>
  </si>
  <si>
    <t>Круг лепес. по мет. для дрели 20*20*6 MATRIX зер.80 /74102</t>
  </si>
  <si>
    <t>69382</t>
  </si>
  <si>
    <t>Круг лепес. по мет. для дрели 30*20*6 MATRIX зер.40 /74158</t>
  </si>
  <si>
    <t>69351</t>
  </si>
  <si>
    <t>Круг лепес. по мет. для дрели 60*20*6 MATRIX зер.40 /74110/</t>
  </si>
  <si>
    <t>60218</t>
  </si>
  <si>
    <t>Круг лепес. по мет. для дрели 60*20*6 MATRIX зер.60 /74112</t>
  </si>
  <si>
    <t>69308</t>
  </si>
  <si>
    <t>Круг лепес. по мет. для дрели 60*20*6 MATRIX зер.80 /74114/</t>
  </si>
  <si>
    <t>01865</t>
  </si>
  <si>
    <t>Круг лепес. по мет. для дрели 60*30*6 MATRIX зер.100 /74125</t>
  </si>
  <si>
    <t>69366</t>
  </si>
  <si>
    <t>Круг лепес. по мет. для дрели 60*30*6 MATRIX зер.120 /74126</t>
  </si>
  <si>
    <t>01867</t>
  </si>
  <si>
    <t>Круг лепес. по мет. для дрели 60*30*6 MATRIX зер.150 /74127</t>
  </si>
  <si>
    <t>60383</t>
  </si>
  <si>
    <t>Круг лепес. по мет. для дрели 60*30*6 MATRIX зер.40 /74120</t>
  </si>
  <si>
    <t>60339</t>
  </si>
  <si>
    <t>Круг лепес. по мет. для дрели 60*30*6 MATRIX зер.60 /74122</t>
  </si>
  <si>
    <t>69334</t>
  </si>
  <si>
    <t>Круг лепес. по мет. для дрели 60*30*6 MATRIX зер.80 /74124</t>
  </si>
  <si>
    <t>60377</t>
  </si>
  <si>
    <t>Круг лепес. по мет. для дрели 80*30*6 MATRIX зер.40 /74140</t>
  </si>
  <si>
    <t>60342</t>
  </si>
  <si>
    <t>Круг лепес. по мет. для дрели 80*30*6 MATRIX зер.60 /74142</t>
  </si>
  <si>
    <t>60379</t>
  </si>
  <si>
    <t>Круг лепес. по мет. для дрели 80*30*6 MATRIX зер.80 /74144</t>
  </si>
  <si>
    <t>60304</t>
  </si>
  <si>
    <t>Круг лепес. по мет. для дрели 80*40*6 MATRIX зер.40 /74150</t>
  </si>
  <si>
    <t>60319</t>
  </si>
  <si>
    <t>Круг лепес. по мет. для дрели 80*40*6 MATRIX зер.60 /74152</t>
  </si>
  <si>
    <t>60320</t>
  </si>
  <si>
    <t>Круг лепес. по мет. для дрели 80*40*6 MATRIX зер.80 /74154</t>
  </si>
  <si>
    <t>02186</t>
  </si>
  <si>
    <t>Круг лепестковый для дрели 30*20*6мм MATRIX зер.80 /74160</t>
  </si>
  <si>
    <t>02121</t>
  </si>
  <si>
    <t>Круг лепестковый для дрели 40*20*6мм MATRIX зер.100 /74168</t>
  </si>
  <si>
    <t>01884</t>
  </si>
  <si>
    <t>Круг лепестковый для дрели 40*20*6мм MATRIX зер.120 /74169</t>
  </si>
  <si>
    <t>01883</t>
  </si>
  <si>
    <t>Круг лепестковый для дрели 40*20*6мм MATRIX зер.80 /74167</t>
  </si>
  <si>
    <t>69396</t>
  </si>
  <si>
    <t>Круг лепестковый для дрели 50*30*6мм MATRIX зер.100 /74175</t>
  </si>
  <si>
    <t>69398</t>
  </si>
  <si>
    <t>Круг лепестковый для дрели 50*30*6мм MATRIX зер.40 /74172</t>
  </si>
  <si>
    <t>69399</t>
  </si>
  <si>
    <t>Круг лепестковый для дрели 50*30*6мм MATRIX зер.60 /74173</t>
  </si>
  <si>
    <t>69439</t>
  </si>
  <si>
    <t>Круг лепестковый для дрели 50*30*6мм MATRIX зер.80 /74174</t>
  </si>
  <si>
    <t>69440</t>
  </si>
  <si>
    <t>Круг лепестковый для дрели 80*30*6мм MATRIX P 100 /74145</t>
  </si>
  <si>
    <t>69441</t>
  </si>
  <si>
    <t>Круг лепестковый для дрели 80*30*6мм MATRIX P 120 /74146</t>
  </si>
  <si>
    <t>69348</t>
  </si>
  <si>
    <t>Круг лепестковый торцевой 125*22 MATRIX зер.100 /74047</t>
  </si>
  <si>
    <t>69364</t>
  </si>
  <si>
    <t>Круг лепестковый торцевой 125*22 MATRIX зер.120 /74048</t>
  </si>
  <si>
    <t>60231</t>
  </si>
  <si>
    <t>Круг лепестковый торцевой 125*22 MATRIX зер.25 /74041</t>
  </si>
  <si>
    <t>60236</t>
  </si>
  <si>
    <t>Круг лепестковый торцевой 125*22 MATRIX зер.40 /74042</t>
  </si>
  <si>
    <t>60237</t>
  </si>
  <si>
    <t>Круг лепестковый торцевой 125*22 MATRIX зер.60 /74043</t>
  </si>
  <si>
    <t>69368</t>
  </si>
  <si>
    <t>Круг лепестковый торцевой 125*22 MATRIX зер.80 /74044</t>
  </si>
  <si>
    <t>60239</t>
  </si>
  <si>
    <t>Круг лепестковый торцевой 150*22 MATRIX зер.25 /74056</t>
  </si>
  <si>
    <t>69335</t>
  </si>
  <si>
    <t>Круг лепестковый торцевой 150*22 MATRIX зер.60 /74058</t>
  </si>
  <si>
    <t>69313</t>
  </si>
  <si>
    <t>Круг лепестковый торцевой 150*22 MATRIX зер.80 /74059</t>
  </si>
  <si>
    <t>60378</t>
  </si>
  <si>
    <t>Круг лепестковый торцевой 180*22 MATRIX зер.25 /74072</t>
  </si>
  <si>
    <t>60280</t>
  </si>
  <si>
    <t>Круг лепестковый торцевой 180*22 MATRIX зер.40 /74073</t>
  </si>
  <si>
    <t>60246</t>
  </si>
  <si>
    <t>Круг лепестковый торцевой 180*22 MATRIX зер.60 /74074</t>
  </si>
  <si>
    <t>60368</t>
  </si>
  <si>
    <t>Круг лепестковый торцевой 180*22 MATRIX зер.80 /74075</t>
  </si>
  <si>
    <t>69451</t>
  </si>
  <si>
    <t>Круг наждачный MATRIX 115мм с лип. зер. 100 10шт /73826</t>
  </si>
  <si>
    <t>69373</t>
  </si>
  <si>
    <t>Круг наждачный MATRIX 115мм с лип. зер. 180 10шт /73829</t>
  </si>
  <si>
    <t>60220</t>
  </si>
  <si>
    <t>Круг наждачный MATRIX 115мм с лип. зер. 24 10шт /73810</t>
  </si>
  <si>
    <t>69339</t>
  </si>
  <si>
    <t>Круг наждачный MATRIX 115мм с лип. зер. 40 10шт /73815</t>
  </si>
  <si>
    <t>69321</t>
  </si>
  <si>
    <t>Круг наждачный MATRIX 115мм с лип. зер. 60 10шт /73820</t>
  </si>
  <si>
    <t>69344</t>
  </si>
  <si>
    <t>Круг наждачный MATRIX 115мм с лип. зер. 80 10шт /73825</t>
  </si>
  <si>
    <t>69300</t>
  </si>
  <si>
    <t>Круг наждачный MATRIX 125мм с лип. зер. 100 10шт /73850</t>
  </si>
  <si>
    <t>69324</t>
  </si>
  <si>
    <t>Круг наждачный MATRIX 125мм с лип. зер. 120 10шт /73855</t>
  </si>
  <si>
    <t>69336</t>
  </si>
  <si>
    <t>Круг наждачный MATRIX 125мм с лип. зер. 150 10шт /73860</t>
  </si>
  <si>
    <t>69345</t>
  </si>
  <si>
    <t>Круг наждачный MATRIX 125мм с лип. зер. 180 10шт /73865</t>
  </si>
  <si>
    <t>69346</t>
  </si>
  <si>
    <t>Круг наждачный MATRIX 125мм с лип. зер. 220 10шт /73870</t>
  </si>
  <si>
    <t>60257</t>
  </si>
  <si>
    <t>Круг наждачный MATRIX 125мм с лип. зер. 24 10шт /73830</t>
  </si>
  <si>
    <t>60258</t>
  </si>
  <si>
    <t>Круг наждачный MATRIX 125мм с лип. зер. 36 10шт /73833</t>
  </si>
  <si>
    <t>60259</t>
  </si>
  <si>
    <t>Круг наждачный MATRIX 125мм с лип. зер. 40 10шт /73835</t>
  </si>
  <si>
    <t>69322</t>
  </si>
  <si>
    <t>Круг наждачный MATRIX 125мм с лип. зер. 60 10шт /73840</t>
  </si>
  <si>
    <t>69323</t>
  </si>
  <si>
    <t>Круг наждачный MATRIX 125мм с лип. зер. 80 10шт /73845</t>
  </si>
  <si>
    <t>694 Круги зачистные/Сетка абразивная/сеткодержатели</t>
  </si>
  <si>
    <t>60314</t>
  </si>
  <si>
    <t>Круг д/зачистки мет. HITACHI 180*6*22 24А (27) /40/</t>
  </si>
  <si>
    <t>69416</t>
  </si>
  <si>
    <t>Круг д/зачистки мет. HITACHI 230*6*22 24А (27) /20/</t>
  </si>
  <si>
    <t>60525</t>
  </si>
  <si>
    <t>Круг д/зачистки мет. ZIGGER 180*6*22 /25/</t>
  </si>
  <si>
    <t>60058</t>
  </si>
  <si>
    <t>Круг д/зачистки мет. и нерж. Луга 180*6*22 24А /20/</t>
  </si>
  <si>
    <t>60049</t>
  </si>
  <si>
    <t>Круг д/зачистки мет. и нерж. Луга 230*6*22 24А /73425 /20/</t>
  </si>
  <si>
    <t>69405</t>
  </si>
  <si>
    <t>Круг д/зачистки мет. Луга 115*6*22 24А /80/</t>
  </si>
  <si>
    <t>60002</t>
  </si>
  <si>
    <t>Круг д/зачистки мет. Луга 125*6*22 24А /73410 /10/80/</t>
  </si>
  <si>
    <t>69407</t>
  </si>
  <si>
    <t>Круг д/зачистки мет. Луга 150*6*22 24А /73415 /10/40/</t>
  </si>
  <si>
    <t>69412</t>
  </si>
  <si>
    <t>Круг д/зачистки мет. Луга 180*6*22 14А /40/</t>
  </si>
  <si>
    <t>60001</t>
  </si>
  <si>
    <t>Круг д/зачистки мет. Луга 200*6*22 24А /20/</t>
  </si>
  <si>
    <t>69406</t>
  </si>
  <si>
    <t>Круг д/зачистки мет. Луга 230*6*22 24А /20/</t>
  </si>
  <si>
    <t>60332</t>
  </si>
  <si>
    <t>Сетка абразивная MATRIX №100 106*280мм 25шт /75170</t>
  </si>
  <si>
    <t>60086</t>
  </si>
  <si>
    <t>Сетка абразивная MATRIX №220 106*280мм 25шт /75180</t>
  </si>
  <si>
    <t>60061</t>
  </si>
  <si>
    <t>Сетка абразивная MATRIX №400 106*280мм 25шт /75186</t>
  </si>
  <si>
    <t>60349</t>
  </si>
  <si>
    <t>Сетка абразивная MATRIX №80 106*280мм 25шт /75168</t>
  </si>
  <si>
    <t>69422</t>
  </si>
  <si>
    <t>Сетка абразивная Спарта №100 105*280мм 10шт /751255</t>
  </si>
  <si>
    <t>69400</t>
  </si>
  <si>
    <t>Сетка абразивная Спарта №120 115*280мм 10шт /751285</t>
  </si>
  <si>
    <t>60037</t>
  </si>
  <si>
    <t>Сетка абразивная Спарта №150 105*280мм 10шт /751305</t>
  </si>
  <si>
    <t>69401</t>
  </si>
  <si>
    <t>Сетка абразивная Спарта №180 115*280мм 10шт /751325</t>
  </si>
  <si>
    <t>69423</t>
  </si>
  <si>
    <t>Сетка абразивная Спарта №240 105*280мм 10шт /751365</t>
  </si>
  <si>
    <t>60331</t>
  </si>
  <si>
    <t>Сетка абразивная Спарта №40 105*280мм 10шт /751185</t>
  </si>
  <si>
    <t>69404</t>
  </si>
  <si>
    <t>Сетка абразивная Спарта №60 115*280мм 10шт /751205</t>
  </si>
  <si>
    <t>69409</t>
  </si>
  <si>
    <t>Сетка абразивная Спарта №80 105*280мм 10шт /751225</t>
  </si>
  <si>
    <t>60303</t>
  </si>
  <si>
    <t>Сеткодержатель 230*105мм пластиковый с зажимами /758475</t>
  </si>
  <si>
    <t>60044</t>
  </si>
  <si>
    <t>Сеткодержатель 230*120мм пластиковый с зажимами /758515</t>
  </si>
  <si>
    <t>69442</t>
  </si>
  <si>
    <t>Сеткодержатель MATRIX 230*105мм металлический с зажимами /75856</t>
  </si>
  <si>
    <t>60326</t>
  </si>
  <si>
    <t>Сеткодержатель MATRIX 230*105мм пластиковый с зажимами /75852</t>
  </si>
  <si>
    <t>69403</t>
  </si>
  <si>
    <t>Сеткодержатель MATRIX 230*120мм пластиковый с зажимами /75853</t>
  </si>
  <si>
    <t>695 Рубанки/резцы</t>
  </si>
  <si>
    <t>64418</t>
  </si>
  <si>
    <t>Резцы по дереву Спарта 13шт /246165</t>
  </si>
  <si>
    <t>64407</t>
  </si>
  <si>
    <t>Резцы по дереву Спарта 6шт /246065</t>
  </si>
  <si>
    <t>69506</t>
  </si>
  <si>
    <t>Рубанок 140*45мм малогабаритный металлический /210205</t>
  </si>
  <si>
    <t>69515</t>
  </si>
  <si>
    <t>Рубанок Спарта 150*45мм малогабаритный металлический /210215</t>
  </si>
  <si>
    <t>64403</t>
  </si>
  <si>
    <t>Рубанок Спарта 175*50мм малогабаритный металлический /210225</t>
  </si>
  <si>
    <t>64410</t>
  </si>
  <si>
    <t>Рубанок Спарта 230*52мм металлический №3 /210785</t>
  </si>
  <si>
    <t>64402</t>
  </si>
  <si>
    <t>Рубанок Спарта 355*60мм металлический №5 /210805</t>
  </si>
  <si>
    <t>69509</t>
  </si>
  <si>
    <t>Рубанок Спарта 450*70мм металлический №6 /210815</t>
  </si>
  <si>
    <t>696 Надфили/Рашпили</t>
  </si>
  <si>
    <t>69600</t>
  </si>
  <si>
    <t>Надфили MATRIX 160*4мм обрезин рукоятки, 10шт /15818</t>
  </si>
  <si>
    <t>69603</t>
  </si>
  <si>
    <t>Надфили MATRIX 160*4мм обрезин рукоятки, 6шт /15816</t>
  </si>
  <si>
    <t>63275</t>
  </si>
  <si>
    <t>Надфили MATRIX 180*5мм пластик рукоятки, 10шт /15824</t>
  </si>
  <si>
    <t>63274</t>
  </si>
  <si>
    <t>Надфили MATRIX 180*5мм пластик рукоятки, 6шт /15822</t>
  </si>
  <si>
    <t>60334</t>
  </si>
  <si>
    <t>Надфили MATRIX алмазные 140*50*3 10шт /15832</t>
  </si>
  <si>
    <t>69604</t>
  </si>
  <si>
    <t>Надфили MATRIX алмазные 140*50*3 5шт /158307</t>
  </si>
  <si>
    <t>62307</t>
  </si>
  <si>
    <t>Надфили MATRIX алмазные 140*50*3 6шт /15831</t>
  </si>
  <si>
    <t>61323</t>
  </si>
  <si>
    <t>Надфили MATRIX алмазные 140*70*3 10шт /15835</t>
  </si>
  <si>
    <t>62309</t>
  </si>
  <si>
    <t>Надфили MATRIX алмазные 140*70*3 5шт /15833</t>
  </si>
  <si>
    <t>62320</t>
  </si>
  <si>
    <t>Надфили MATRIX алмазные 140*70*3 6шт /15834</t>
  </si>
  <si>
    <t>69623</t>
  </si>
  <si>
    <t>Надфили СИБРТЕХ алмазные 140*50*3 6шт /158317</t>
  </si>
  <si>
    <t>69627</t>
  </si>
  <si>
    <t>Надфили СИБРТЕХ алмазные 140*70*3 10шт /158357</t>
  </si>
  <si>
    <t>69625</t>
  </si>
  <si>
    <t>Надфили СИБРТЕХ алмазные 140*70*3 5шт /158337</t>
  </si>
  <si>
    <t>69626</t>
  </si>
  <si>
    <t>Надфили СИБРТЕХ алмазные 140*70*3 6шт /158347</t>
  </si>
  <si>
    <t>62314</t>
  </si>
  <si>
    <t>Надфиль Сосновское плоский тупоносый 160*80мм /10/</t>
  </si>
  <si>
    <t>700-709 Коврики</t>
  </si>
  <si>
    <t>700 Коврики в рулонах</t>
  </si>
  <si>
    <t>70079</t>
  </si>
  <si>
    <t>Коврик универс.ПВХ 0,65 х 15м 6684 ракушки на голубом</t>
  </si>
  <si>
    <t>70005</t>
  </si>
  <si>
    <t>Коврик универс.ПВХ 0,65 х 15м 7016 Голубой с бордюром</t>
  </si>
  <si>
    <t>70011</t>
  </si>
  <si>
    <t>Коврик универс.ПВХ 0,65 х 15м 7147 Квадраты</t>
  </si>
  <si>
    <t>70078</t>
  </si>
  <si>
    <t>Коврик универс.ПВХ 0,65 х 15м V19OR желто-красные волны</t>
  </si>
  <si>
    <t>70054</t>
  </si>
  <si>
    <t>Коврик универс.ПВХ 0,65 х 15м V20ВL ракушки на голубом</t>
  </si>
  <si>
    <t>70056</t>
  </si>
  <si>
    <t>Коврик универс.ПВХ 0,65 х 15м V23C голубые звезды</t>
  </si>
  <si>
    <t>70084</t>
  </si>
  <si>
    <t>Коврик универс.ПВХ 0,65 х 15м V23OR оранжевые звезды</t>
  </si>
  <si>
    <t>70047</t>
  </si>
  <si>
    <t>Коврик универс.ПВХ 0,65 х 15м V7 капли</t>
  </si>
  <si>
    <t>70130</t>
  </si>
  <si>
    <t>Коврик универс.ПВХ 0,8 х 15м 7147 Квадраты</t>
  </si>
  <si>
    <t>70057</t>
  </si>
  <si>
    <t>Коврик универс.ПВХ 0,8 х 15м V16BG коричневые якоря</t>
  </si>
  <si>
    <t>70041</t>
  </si>
  <si>
    <t>Коврик универс.ПВХ 0,8 х 15м V19ВL сине голубые волны</t>
  </si>
  <si>
    <t>701 Коврики для прихожей</t>
  </si>
  <si>
    <t>70104</t>
  </si>
  <si>
    <t>Коврик д/прихожей 45*60 резина с ворсом S-15</t>
  </si>
  <si>
    <t>70132</t>
  </si>
  <si>
    <t>Коврик д/прихожей Destiny 60*40 см</t>
  </si>
  <si>
    <t>70131</t>
  </si>
  <si>
    <t>Коврик д/прихожей Destiny 60*40 см S D/0282</t>
  </si>
  <si>
    <t>70106</t>
  </si>
  <si>
    <t>Коврик д/прихожей Destiny 73*43 см M</t>
  </si>
  <si>
    <t>70197</t>
  </si>
  <si>
    <t>Коврик д/прихожей Destiny Box 73*43 см M</t>
  </si>
  <si>
    <t>70163</t>
  </si>
  <si>
    <t>Коврик д/прихожей Destiny Flower 73*43 см M</t>
  </si>
  <si>
    <t>70129</t>
  </si>
  <si>
    <t>Коврик д/прихожей Destiny Grid 60*40 см S</t>
  </si>
  <si>
    <t>70196</t>
  </si>
  <si>
    <t>Коврик д/прихожей Destiny Grid 73*43 см M</t>
  </si>
  <si>
    <t>70119</t>
  </si>
  <si>
    <t>Коврик д/прихожей Destiny Pineapple 60*40 см S</t>
  </si>
  <si>
    <t>70195</t>
  </si>
  <si>
    <t>Коврик д/прихожей Destiny Pineapple 73*43 см M</t>
  </si>
  <si>
    <t>70162</t>
  </si>
  <si>
    <t>Коврик д/прихожей Destiny Tiger 73*43 см M</t>
  </si>
  <si>
    <t>70103</t>
  </si>
  <si>
    <t>Коврик д/прихожей Destiny Versace 60*40 см S</t>
  </si>
  <si>
    <t>70108</t>
  </si>
  <si>
    <t>Коврик д/прихожей Destiny Welcome 60*40 см S</t>
  </si>
  <si>
    <t>70127</t>
  </si>
  <si>
    <t>Коврик д/прихожей Destiny Welcome 60*40 см размер S</t>
  </si>
  <si>
    <t>70158</t>
  </si>
  <si>
    <t>Коврик д/прихожей Destiny Welcome 73*43 см M</t>
  </si>
  <si>
    <t>70136</t>
  </si>
  <si>
    <t>Коврик д/прихожей Destiny ДоброПожаловать 40*60 см влаговпитывающий коричневый</t>
  </si>
  <si>
    <t>70137</t>
  </si>
  <si>
    <t>Коврик д/прихожей Destiny ДоброПожаловать 40*60 см влаговпитывающий серый</t>
  </si>
  <si>
    <t>70126</t>
  </si>
  <si>
    <t>Коврик д/прихожей Destiny ДоброПожаловать 40*60 см влаговпитывающий черный</t>
  </si>
  <si>
    <t>70190</t>
  </si>
  <si>
    <t>Коврик д/прихожей Destiny ДоброПожаловать 45*75 см влаговпитывающий коричневый</t>
  </si>
  <si>
    <t>70191</t>
  </si>
  <si>
    <t>Коврик д/прихожей Destiny ДоброПожаловать 45*75 см влаговпитывающий серый</t>
  </si>
  <si>
    <t>70189</t>
  </si>
  <si>
    <t>Коврик д/прихожей Destiny ДоброПожаловать 45*75 см влаговпитывающий черный</t>
  </si>
  <si>
    <t>70143</t>
  </si>
  <si>
    <t>Коврик д/прихожей Destiny Елочка 73*43 см M</t>
  </si>
  <si>
    <t>70118</t>
  </si>
  <si>
    <t>Коврик д/прихожей Destiny Копья 60*40 см S</t>
  </si>
  <si>
    <t>70193</t>
  </si>
  <si>
    <t>Коврик д/прихожей Destiny Копья 73*43 см M</t>
  </si>
  <si>
    <t>70153</t>
  </si>
  <si>
    <t>Коврик д/прихожей Destiny Круг-Квадрат 73*43 см M</t>
  </si>
  <si>
    <t>70101</t>
  </si>
  <si>
    <t>Коврик д/прихожей Destiny Круги 73*43 см M</t>
  </si>
  <si>
    <t>70169</t>
  </si>
  <si>
    <t>Коврик д/прихожей Destiny Паркет 73*43 см M</t>
  </si>
  <si>
    <t>70175</t>
  </si>
  <si>
    <t>Коврик д/прихожей Destiny полуовал 73*43 см M</t>
  </si>
  <si>
    <t>70192</t>
  </si>
  <si>
    <t>Коврик д/прихожей Destiny полуовал Лепестки 73*43 см M</t>
  </si>
  <si>
    <t>70109</t>
  </si>
  <si>
    <t>Коврик д/прихожей Destiny Ребристый 50*80 см влаговпитывающий коричневый /10/</t>
  </si>
  <si>
    <t>70111</t>
  </si>
  <si>
    <t>Коврик д/прихожей Destiny Ребристый 50*80 см влаговпитывающий серый /10/</t>
  </si>
  <si>
    <t>70159</t>
  </si>
  <si>
    <t>Коврик д/прихожей Destiny Ребристый 50*80 см влаговпитывающий черный /10/</t>
  </si>
  <si>
    <t>70160</t>
  </si>
  <si>
    <t>Коврик д/прихожей Destiny Ребристый 60*90 см влаговпитывающий коричневый /10/</t>
  </si>
  <si>
    <t>70151</t>
  </si>
  <si>
    <t>Коврик д/прихожей Destiny Ромбы 40*60 см влаговпитывающий коричневый</t>
  </si>
  <si>
    <t>70157</t>
  </si>
  <si>
    <t>Коврик д/прихожей Destiny Ромбы 40*60 см влаговпитывающий серый</t>
  </si>
  <si>
    <t>70148</t>
  </si>
  <si>
    <t>Коврик д/прихожей Destiny Ромбы 40*60 см влаговпитывающий черный</t>
  </si>
  <si>
    <t>70198</t>
  </si>
  <si>
    <t>Коврик д/прихожей Destiny Ромбы 45*75 см влаговпитывающий коричневый</t>
  </si>
  <si>
    <t>70199</t>
  </si>
  <si>
    <t>Коврик д/прихожей Destiny Ромбы 45*75 см влаговпитывающий серый</t>
  </si>
  <si>
    <t>70194</t>
  </si>
  <si>
    <t>Коврик д/прихожей Destiny Ромбы 45*75 см влаговпитывающий черный</t>
  </si>
  <si>
    <t>70168</t>
  </si>
  <si>
    <t>Коврик д/прихожей Destiny Ромбы 73*43 см M</t>
  </si>
  <si>
    <t>70167</t>
  </si>
  <si>
    <t>Коврик д/прихожей Destiny Соты 73*43 см M</t>
  </si>
  <si>
    <t>70117</t>
  </si>
  <si>
    <t>Коврик д/прихожей Destiny Узоры 60*40 см S</t>
  </si>
  <si>
    <t>70110</t>
  </si>
  <si>
    <t>Коврик д/прихожей Destiny Узоры 73*43 см M</t>
  </si>
  <si>
    <t>70164</t>
  </si>
  <si>
    <t>Коврик д/прихожей Destiny Цветы 73*43 см M</t>
  </si>
  <si>
    <t>70170</t>
  </si>
  <si>
    <t>Коврик д/прихожей Destiny Чешуйки 40*60 см влаговпитывающий коричневый</t>
  </si>
  <si>
    <t>70188</t>
  </si>
  <si>
    <t>Коврик д/прихожей Destiny Чешуйки 40*60 см влаговпитывающий серый</t>
  </si>
  <si>
    <t>70186</t>
  </si>
  <si>
    <t>Коврик д/прихожей Destiny Чешуйки 40*60 см влаговпитывающий черный</t>
  </si>
  <si>
    <t>70205</t>
  </si>
  <si>
    <t>Коврик д/прихожей Destiny Чешуйки 45*75 см влаговпитывающий коричневый</t>
  </si>
  <si>
    <t>70207</t>
  </si>
  <si>
    <t>Коврик д/прихожей Destiny Чешуйки 45*75 см влаговпитывающий серый</t>
  </si>
  <si>
    <t>70206</t>
  </si>
  <si>
    <t>Коврик д/прихожей Destiny Чешуйки 45*75 см влаговпитывающий черный</t>
  </si>
  <si>
    <t>70139</t>
  </si>
  <si>
    <t>Коврик д/прихожей Fusion Sunstep 40*60 см коричневый/бежевый/15/</t>
  </si>
  <si>
    <t>70185</t>
  </si>
  <si>
    <t>Коврик д/прихожей Fusion Sunstep 50*80 см красный/черный /10/</t>
  </si>
  <si>
    <t>70229</t>
  </si>
  <si>
    <t>Коврик д/прихожей Mio Sunstep 50*80 см влаговпитывающий /15/</t>
  </si>
  <si>
    <t>70138</t>
  </si>
  <si>
    <t>Коврик д/прихожей Soft 40*60 см Sunstep бордовый /20/</t>
  </si>
  <si>
    <t>70142</t>
  </si>
  <si>
    <t>Коврик д/прихожей Soft 40*60 см Sunstep зеленый /20/</t>
  </si>
  <si>
    <t>70144</t>
  </si>
  <si>
    <t>Коврик д/прихожей Soft 40*60 см Sunstep коричневый /20/</t>
  </si>
  <si>
    <t>70147</t>
  </si>
  <si>
    <t>Коврик д/прихожей Soft 40*60 см Sunstep синий /20/</t>
  </si>
  <si>
    <t>70150</t>
  </si>
  <si>
    <t>Коврик д/прихожей Soft 50*80 см Sunstep бордовый /15/</t>
  </si>
  <si>
    <t>70154</t>
  </si>
  <si>
    <t>Коврик д/прихожей Soft 50*80 см Sunstep зеленый /15/</t>
  </si>
  <si>
    <t>70171</t>
  </si>
  <si>
    <t>Коврик д/прихожей Soft 50*80 см Sunstep синий /15/</t>
  </si>
  <si>
    <t>70172</t>
  </si>
  <si>
    <t>Коврик д/прихожей Soft 50*80 см Sunstep черный /15/</t>
  </si>
  <si>
    <t>70113</t>
  </si>
  <si>
    <t>Коврик д/прихожей Spongy Sunstep Дарси 40*60 см  /20/</t>
  </si>
  <si>
    <t>70187</t>
  </si>
  <si>
    <t>Коврик д/прихожей Spongy Sunstep Оникс 40*60 см  /20/</t>
  </si>
  <si>
    <t>70100</t>
  </si>
  <si>
    <t>Коврик д/прихожей Spongy Sunstep Прадо 40*60 см  /20/</t>
  </si>
  <si>
    <t>70226</t>
  </si>
  <si>
    <t>Коврик д/прихожей Spongy Sunstep Тапочки 40*60 см  /20/</t>
  </si>
  <si>
    <t>70102</t>
  </si>
  <si>
    <t>Коврик д/прихожей Spongy Sunstep Фиеста 40*60 см  /20/</t>
  </si>
  <si>
    <t>70115</t>
  </si>
  <si>
    <t>Коврик д/прихожей Spongy Меандр 40*60 см Sunstep зеленый /20/</t>
  </si>
  <si>
    <t>70121</t>
  </si>
  <si>
    <t>Коврик д/прихожей Spongy Меандр 40*60 см Sunstep коричневый /20/</t>
  </si>
  <si>
    <t>70174</t>
  </si>
  <si>
    <t>Коврик д/прихожей Spongy Меандр 40*60 см Sunstep красный /20/</t>
  </si>
  <si>
    <t>70177</t>
  </si>
  <si>
    <t>Коврик д/прихожей Spongy Меандр 40*60 см Sunstep синий /20/</t>
  </si>
  <si>
    <t>70179</t>
  </si>
  <si>
    <t>Коврик д/прихожей Spongy Меандр 50*80 см Sunstep зеленый /15/</t>
  </si>
  <si>
    <t>70181</t>
  </si>
  <si>
    <t>Коврик д/прихожей Spongy Меандр 50*80 см Sunstep красный /15/</t>
  </si>
  <si>
    <t>70183</t>
  </si>
  <si>
    <t>Коврик д/прихожей Spongy Меандр 50*80 см Sunstep синий /15/</t>
  </si>
  <si>
    <t>70146</t>
  </si>
  <si>
    <t>Коврик д/прихожей Zalel Восток 65 см круг зеленый</t>
  </si>
  <si>
    <t>70166</t>
  </si>
  <si>
    <t>Коврик д/прихожей Zalel Галант 40*60 см влаговпитывающий коричневый</t>
  </si>
  <si>
    <t>70182</t>
  </si>
  <si>
    <t>Коврик д/прихожей Zalel Галант 40*60 см влаговпитывающий серый</t>
  </si>
  <si>
    <t>70184</t>
  </si>
  <si>
    <t>Коврик д/прихожей Zalel Чешуйки 40*60 см влаговпитывающий полукруг коричневый</t>
  </si>
  <si>
    <t>70165</t>
  </si>
  <si>
    <t>Коврик д/прихожей Zalel Чешуйки 40*60 см влаговпитывающий полукруг серый</t>
  </si>
  <si>
    <t>70176</t>
  </si>
  <si>
    <t>Коврик д/прихожей Zalel Чешуйки 40*60 см влаговпитывающий полукруг черный</t>
  </si>
  <si>
    <t>70152</t>
  </si>
  <si>
    <t>Коврик д/прихожей Zalel Чешуйки 45*75 см влаговпитывающий овал черный</t>
  </si>
  <si>
    <t>70208</t>
  </si>
  <si>
    <t>Коврик д/прихожей гравированный Sunstep 40*60 см Тапочки /15/</t>
  </si>
  <si>
    <t>70209</t>
  </si>
  <si>
    <t>Коврик д/прихожей гравированный Sunstep 40*60 см Шашечки /15/</t>
  </si>
  <si>
    <t>70210</t>
  </si>
  <si>
    <t>Коврик д/прихожей гравированный Sunstep 45*75 см Love /15/</t>
  </si>
  <si>
    <t>70211</t>
  </si>
  <si>
    <t>Коврик д/прихожей гравированный Sunstep 45*75 см Домики /15/</t>
  </si>
  <si>
    <t>70213</t>
  </si>
  <si>
    <t>Коврик д/прихожей интерьерный Sunstep 40*60 см Welcome /15/</t>
  </si>
  <si>
    <t>70214</t>
  </si>
  <si>
    <t>Коврик д/прихожей интерьерный Sunstep 40*60 см Ключ /15/</t>
  </si>
  <si>
    <t>70215</t>
  </si>
  <si>
    <t>Коврик д/прихожей полипропиленовый Sunstep Funky 40*60 см серый /10/</t>
  </si>
  <si>
    <t>70216</t>
  </si>
  <si>
    <t>Коврик д/прихожей полипропиленовый Sunstep Funky 40*60 см черный /10/</t>
  </si>
  <si>
    <t>70217</t>
  </si>
  <si>
    <t>Коврик д/прихожей полипропиленовый Sunstep Funky 45*75 см бордовый /10/</t>
  </si>
  <si>
    <t>70203</t>
  </si>
  <si>
    <t>Коврик д/прихожей Ребристый Sunstep 40*60 см влаговпитывающий зеленый /15/</t>
  </si>
  <si>
    <t>70212</t>
  </si>
  <si>
    <t>Коврик д/прихожей Сетчатый Sunstep 35*60 см коричневый /10/</t>
  </si>
  <si>
    <t>70218</t>
  </si>
  <si>
    <t>Коврик д/прихожей фигурный Sunstep 40*60 см Welcome /15/</t>
  </si>
  <si>
    <t>70220</t>
  </si>
  <si>
    <t>Коврик д/прихожей фигурный Sunstep 40*60 см Камушки /15/</t>
  </si>
  <si>
    <t>70221</t>
  </si>
  <si>
    <t>Коврик д/прихожей фигурный Sunstep 45*75 см Все дороги ведут домой /15/</t>
  </si>
  <si>
    <t>70222</t>
  </si>
  <si>
    <t>Коврик д/прихожей фигурный Sunstep 45*75 см Приношу удачу /15/</t>
  </si>
  <si>
    <t>70223</t>
  </si>
  <si>
    <t>Коврик д/прихожей фигурный Sunstep 50*80 см Welcome Home /10/</t>
  </si>
  <si>
    <t>70225</t>
  </si>
  <si>
    <t>Коврик д/прихожей фигурный Sunstep 50*80 см Листья /10/</t>
  </si>
  <si>
    <t>70140</t>
  </si>
  <si>
    <t>Коврик интерьерный 45*75 см Фотопринт Камни</t>
  </si>
  <si>
    <t>70107</t>
  </si>
  <si>
    <t>Коврик интерьерный 45*75 см Фотопринт Лондон</t>
  </si>
  <si>
    <t>70116</t>
  </si>
  <si>
    <t>Коврик-травка 36*54 черно-зеленый Омск /10/</t>
  </si>
  <si>
    <t>70120</t>
  </si>
  <si>
    <t>Коврик-травка 36*54 черно-коричневый Омск /10/</t>
  </si>
  <si>
    <t>70123</t>
  </si>
  <si>
    <t>Коврик-травка 36*54 черно-красный Омск /10/</t>
  </si>
  <si>
    <t>70124</t>
  </si>
  <si>
    <t>Коврик-травка 36*54 черно-синий Омск /10/</t>
  </si>
  <si>
    <t>70133</t>
  </si>
  <si>
    <t>Коврик-травка 36*54 черно-фиолетовый Омск /10/</t>
  </si>
  <si>
    <t>702 Коврики в рулонах Аквамат</t>
  </si>
  <si>
    <t>70253</t>
  </si>
  <si>
    <t>Коврик универс. Аквамат 0,65 х 15м бежевые кораблики</t>
  </si>
  <si>
    <t>70246</t>
  </si>
  <si>
    <t>Коврик универс. Аквамат 0,65 х 15м бежевые якоря</t>
  </si>
  <si>
    <t>70249</t>
  </si>
  <si>
    <t>Коврик универс. Аквамат 0,65 х 15м бежевый коричнево-синие полоски икруги</t>
  </si>
  <si>
    <t>70245</t>
  </si>
  <si>
    <t>Коврик универс. Аквамат 0,65 х 15м бежевый орнамент</t>
  </si>
  <si>
    <t>70241</t>
  </si>
  <si>
    <t>Коврик универс. Аквамат 0,65 х 15м голубые зигзаги</t>
  </si>
  <si>
    <t>70204</t>
  </si>
  <si>
    <t>Коврик универс. Аквамат 0,65 х 15м голубые листья</t>
  </si>
  <si>
    <t>70237</t>
  </si>
  <si>
    <t>Коврик универс. Аквамат 0,65 х 15м голубые пузырьки</t>
  </si>
  <si>
    <t>70243</t>
  </si>
  <si>
    <t>Коврик универс. Аквамат 0,65 х 15м зеленые зигзаги</t>
  </si>
  <si>
    <t>70240</t>
  </si>
  <si>
    <t>Коврик универс. Аквамат 0,65 х 15м зеленые камешки</t>
  </si>
  <si>
    <t>70242</t>
  </si>
  <si>
    <t>Коврик универс. Аквамат 0,65 х 15м зеленые узорные звезды</t>
  </si>
  <si>
    <t>70232</t>
  </si>
  <si>
    <t>Коврик универс. Аквамат 0,65 х 15м красные узорные звезды</t>
  </si>
  <si>
    <t>70269</t>
  </si>
  <si>
    <t>Коврик универс. Аквамат 0,65 х 15м красный орнамент</t>
  </si>
  <si>
    <t>70251</t>
  </si>
  <si>
    <t>Коврик универс. Аквамат 0,65 х 15м малиновые зигзаги</t>
  </si>
  <si>
    <t>70267</t>
  </si>
  <si>
    <t>Коврик универс. Аквамат 0,65 х 15м оранжево-голубые квадраты</t>
  </si>
  <si>
    <t>70266</t>
  </si>
  <si>
    <t>Коврик универс. Аквамат 0,65 х 15м паркет мелкий</t>
  </si>
  <si>
    <t>70250</t>
  </si>
  <si>
    <t>Коврик универс. Аквамат 0,65 х 15м розовые дельфины</t>
  </si>
  <si>
    <t>70247</t>
  </si>
  <si>
    <t>Коврик универс. Аквамат 0,65 х 15м розовый орнамент</t>
  </si>
  <si>
    <t>70239</t>
  </si>
  <si>
    <t>Коврик универс. Аквамат 0,65 х 15м розовый с рисунком</t>
  </si>
  <si>
    <t>70202</t>
  </si>
  <si>
    <t>Коврик универс. Аквамат 0,65 х 15м серые листья</t>
  </si>
  <si>
    <t>70236</t>
  </si>
  <si>
    <t>Коврик универс. Аквамат 0,65 х 15м серые ромбы</t>
  </si>
  <si>
    <t>70270</t>
  </si>
  <si>
    <t>Коврик универс. Аквамат 0,65 х 15м серый орнамент</t>
  </si>
  <si>
    <t>70268</t>
  </si>
  <si>
    <t>Коврик универс. Аквамат 0,65 х 15м сине-голубые квадраты</t>
  </si>
  <si>
    <t>70238</t>
  </si>
  <si>
    <t>Коврик универс. Аквамат 0,65 х 15м сиреневый орнамент</t>
  </si>
  <si>
    <t>70201</t>
  </si>
  <si>
    <t>Коврик универс. Аквамат 0,65 х 15м фотопечать FV1</t>
  </si>
  <si>
    <t>70227</t>
  </si>
  <si>
    <t>Коврик универс. Аквамат 0,65 х 15м фотопечать FV3</t>
  </si>
  <si>
    <t>70260</t>
  </si>
  <si>
    <t>Коврик универс. Аквамат 0,65 х 15м фотопечать FV33</t>
  </si>
  <si>
    <t>70256</t>
  </si>
  <si>
    <t>Коврик универс. Аквамат 0,65 х 15м фотопечать FV4</t>
  </si>
  <si>
    <t>70261</t>
  </si>
  <si>
    <t>Коврик универс. Аквамат 0,65 х 15м фотопечать FV41</t>
  </si>
  <si>
    <t>70262</t>
  </si>
  <si>
    <t>Коврик универс. Аквамат 0,65 х 15м фотопечать FV43</t>
  </si>
  <si>
    <t>70263</t>
  </si>
  <si>
    <t>Коврик универс. Аквамат 0,65 х 15м фотопечать FV46</t>
  </si>
  <si>
    <t>70264</t>
  </si>
  <si>
    <t>Коврик универс. Аквамат 0,65 х 15м фотопечать FV54</t>
  </si>
  <si>
    <t>70257</t>
  </si>
  <si>
    <t>Коврик универс. Аквамат 0,65 х 15м фотопечать FV7</t>
  </si>
  <si>
    <t>70258</t>
  </si>
  <si>
    <t>Коврик универс. Аквамат 0,65 х 15м фотопечать FV8</t>
  </si>
  <si>
    <t>70259</t>
  </si>
  <si>
    <t>Коврик универс. Аквамат 0,65 х 15м фотопечать FV9</t>
  </si>
  <si>
    <t>703 Коврики силиконовые/ПВХ</t>
  </si>
  <si>
    <t>70362</t>
  </si>
  <si>
    <t>Коврик Spa 1-1 Soft touch 39*69 см камушки с ракуш овал бисквит /30/</t>
  </si>
  <si>
    <t>70358</t>
  </si>
  <si>
    <t>Коврик Spa 1-1 Soft touch 39*69 см камушки с ракуш овал зелен пастель /30/</t>
  </si>
  <si>
    <t>70360</t>
  </si>
  <si>
    <t>Коврик Spa 1-1 Soft touch 39*69 см камушки с ракуш овал лазурный /30/</t>
  </si>
  <si>
    <t>70389</t>
  </si>
  <si>
    <t>Коврик Spa 10 36*70 см массажный зеленая пастель /20/</t>
  </si>
  <si>
    <t>70328</t>
  </si>
  <si>
    <t>Коврик Spa 10 36*70 см массажный лавандовый /20/</t>
  </si>
  <si>
    <t>70390</t>
  </si>
  <si>
    <t>Коврик Spa 10 36*70 см массажный платиновый /20/</t>
  </si>
  <si>
    <t>70303</t>
  </si>
  <si>
    <t>Коврик Spa 11-1  Soft touch 39*69 см ромашка овал кремовый /40/</t>
  </si>
  <si>
    <t>70365</t>
  </si>
  <si>
    <t>Коврик Spa 11-1 Soft touch 39*69 см ромашка овал зелен пастель /40/</t>
  </si>
  <si>
    <t>70367</t>
  </si>
  <si>
    <t>Коврик Spa 11-1 Soft touch 39*69 см ромашка овал лазурный /40/</t>
  </si>
  <si>
    <t>70368</t>
  </si>
  <si>
    <t>Коврик Spa 11-1 Soft touch 39*69 см ромашка овал платин /40/</t>
  </si>
  <si>
    <t>70374</t>
  </si>
  <si>
    <t>Коврик Spa 14 Soft touch 36*67 см галька овал бисквит /50/</t>
  </si>
  <si>
    <t>70379</t>
  </si>
  <si>
    <t>Коврик Spa 14 Soft touch 36*67 см галька овал пудр роза</t>
  </si>
  <si>
    <t>70394</t>
  </si>
  <si>
    <t>Коврик Spa 15 Soft touch 36*66 см паутинка овал лазурный /60/</t>
  </si>
  <si>
    <t>70391</t>
  </si>
  <si>
    <t>Коврик Spa 3 Soft touch 36*67 см горошек бисквит /40/</t>
  </si>
  <si>
    <t>70334</t>
  </si>
  <si>
    <t>Коврик Spa 3 Soft touch 36*67 см горошек зеленая пастель /40/</t>
  </si>
  <si>
    <t>70398</t>
  </si>
  <si>
    <t>Коврик Spa 3 Soft touch 36*67 см горошек кремовый /40/</t>
  </si>
  <si>
    <t>70395</t>
  </si>
  <si>
    <t>Коврик Spa 6 Soft touch 34*65 см следы зеленая пастель /30/</t>
  </si>
  <si>
    <t>70354</t>
  </si>
  <si>
    <t>Коврик Spa 6 Soft touch 34*65 см следы кремовый /30/</t>
  </si>
  <si>
    <t>70355</t>
  </si>
  <si>
    <t>Коврик Spa 6 Soft touch 34*65 см следы лаванда /30/</t>
  </si>
  <si>
    <t>70383</t>
  </si>
  <si>
    <t>Коврик Spa 6 Soft touch 34*65 см следы лазурный /30/</t>
  </si>
  <si>
    <t>70396</t>
  </si>
  <si>
    <t>Коврик Spa 6 Soft touch 34*65 см следы платин /30/</t>
  </si>
  <si>
    <t>70393</t>
  </si>
  <si>
    <t>Коврик Spa 8 Soft touch 39*69 см сеточка овал бисквит /30/</t>
  </si>
  <si>
    <t>70397</t>
  </si>
  <si>
    <t>Коврик Spa 8 Soft touch 39*69 см сеточка овал лаванда /30/</t>
  </si>
  <si>
    <t>70392</t>
  </si>
  <si>
    <t>Коврик Spa 8 Soft touch 39*69 см сеточка овал лазурный /30/</t>
  </si>
  <si>
    <t>70300</t>
  </si>
  <si>
    <t>Коврик Spa 8 Soft touch 39*69 см сеточка овал лимон /30/</t>
  </si>
  <si>
    <t>70310</t>
  </si>
  <si>
    <t>Коврик Spa 9 Soft touch 38*88 см кружевной бисквит /30/</t>
  </si>
  <si>
    <t>70315</t>
  </si>
  <si>
    <t>Коврик Spa 9 Soft touch 38*88 см кружевной лаванда /30/</t>
  </si>
  <si>
    <t>70318</t>
  </si>
  <si>
    <t>Коврик Spa 9 Soft touch 38*88 см кружевной платиновый /30/</t>
  </si>
  <si>
    <t>70316</t>
  </si>
  <si>
    <t>Коврик Spa Fotoprint 36*67 см галька 14-108 /50/</t>
  </si>
  <si>
    <t>70336</t>
  </si>
  <si>
    <t>Коврик Spa Fotoprint 36*67 см галька Иллюзия 14-161 /50/</t>
  </si>
  <si>
    <t>70333</t>
  </si>
  <si>
    <t>Коврик Spa Fotoprint 36*67 см галька Листья 14-160 /50/</t>
  </si>
  <si>
    <t>70324</t>
  </si>
  <si>
    <t>Коврик Spa Fotoprint 36*67 см галька Лотос 14-126 /50/</t>
  </si>
  <si>
    <t>70320</t>
  </si>
  <si>
    <t>Коврик д/ванны ПВХ противоск. 45*35 см 2 цв. 403-068 /6/84/</t>
  </si>
  <si>
    <t>70312</t>
  </si>
  <si>
    <t>Коврик д/ванны ПВХ противоск. 68*37 см Лайт 403-064 /4/60/</t>
  </si>
  <si>
    <t>70322</t>
  </si>
  <si>
    <t>Коврик д/ванны ПВХ противоск.68*38 см Мозаика 403-092 /4/36/</t>
  </si>
  <si>
    <t>70325</t>
  </si>
  <si>
    <t>Коврик д/ванны ПВХ противоск.70*34 см Камни 2 цв. 462-441 /6/24/</t>
  </si>
  <si>
    <t>70326</t>
  </si>
  <si>
    <t>Коврик д/душев каб. Spa 13 Soft touch 50*50 см бисквит</t>
  </si>
  <si>
    <t>70372</t>
  </si>
  <si>
    <t>Коврик д/душев каб. Spa 13 Soft touch 50*50 см платин</t>
  </si>
  <si>
    <t>70373</t>
  </si>
  <si>
    <t>Коврик д/душев каб. Spa 13 Soft touch 50*50 см пудр роза</t>
  </si>
  <si>
    <t>70317</t>
  </si>
  <si>
    <t>Коврики набор силиконовые 6 шт. Цветные 6 диз. 403-074 /2/</t>
  </si>
  <si>
    <t>704 Коврики универсальные/ворсовые</t>
  </si>
  <si>
    <t>70434</t>
  </si>
  <si>
    <t>Коврик Mozaic универсальный 45*75 см оливковый</t>
  </si>
  <si>
    <t>70429</t>
  </si>
  <si>
    <t>Коврик Mozaic универсальный 45*75 см синий</t>
  </si>
  <si>
    <t>70428</t>
  </si>
  <si>
    <t>Коврик Mozaic универсальный 45*75 см черный</t>
  </si>
  <si>
    <t>70459</t>
  </si>
  <si>
    <t>Коврик декоративный 55*85 мм цифровая печать 2 предм. с бахр. 5029</t>
  </si>
  <si>
    <t>70444</t>
  </si>
  <si>
    <t>Коврик декоративный 55*85 мм цифровая печать 2 предм. с бахр. 6504</t>
  </si>
  <si>
    <t>70460</t>
  </si>
  <si>
    <t>Коврик декоративный 55*85 мм цифровая печать 2 предм. с бахр. 6560</t>
  </si>
  <si>
    <t>70431</t>
  </si>
  <si>
    <t>Коврик декоративный 55*85 мм цифровая печать 2 предм. с бахр. 6592</t>
  </si>
  <si>
    <t>70445</t>
  </si>
  <si>
    <t>Коврик декоративный 55*85 мм цифровая печать 2 предм. с бахр. 6607</t>
  </si>
  <si>
    <t>70439</t>
  </si>
  <si>
    <t>Коврик декоративный 55*85 мм цифровая печать 2 предм. с бахр. 6725</t>
  </si>
  <si>
    <t>70457</t>
  </si>
  <si>
    <t>Коврик декоративный 55*85 мм цифровая печать 2 предм. с бахр. 6739</t>
  </si>
  <si>
    <t>70461</t>
  </si>
  <si>
    <t>Коврик декоративный 55*85 мм цифровая печать 2 предм. с бахр. 6740</t>
  </si>
  <si>
    <t>70440</t>
  </si>
  <si>
    <t>Коврик декоративный 55*85 мм цифровая печать 2 предм. с бахр. 6752</t>
  </si>
  <si>
    <t>70437</t>
  </si>
  <si>
    <t>Коврик декоративный 55*85 мм цифровая печать 2 предм. с бахр. 6756</t>
  </si>
  <si>
    <t>70441</t>
  </si>
  <si>
    <t>Коврик декоративный 55*85 мм цифровая печать 2 предм. с бахр. 6767</t>
  </si>
  <si>
    <t>70442</t>
  </si>
  <si>
    <t>Коврик декоративный 55*85 мм цифровая печать 2 предм. с бахр. 6777</t>
  </si>
  <si>
    <t>70438</t>
  </si>
  <si>
    <t>Коврик декоративный 55*85 мм цифровая печать 2 предм. с бахр. 6781</t>
  </si>
  <si>
    <t>70488</t>
  </si>
  <si>
    <t>Коврик декоративный 60*100 мм цифровая печать 2 предм. без бахр. Deco 24</t>
  </si>
  <si>
    <t>70402</t>
  </si>
  <si>
    <t>Коврик декоративный 60*100 мм цифровая печать 2 предм. без бахр. Deco 30</t>
  </si>
  <si>
    <t>70470</t>
  </si>
  <si>
    <t>Коврик декоративный 60*100 мм цифровая печать 2 предм. с бахр.</t>
  </si>
  <si>
    <t>70467</t>
  </si>
  <si>
    <t>Коврик декоративный 60*100 мм цифровая печать 2 предм. с бахр. 5029</t>
  </si>
  <si>
    <t>70465</t>
  </si>
  <si>
    <t>Коврик декоративный 60*100 мм цифровая печать 2 предм. с бахр. 6504</t>
  </si>
  <si>
    <t>70475</t>
  </si>
  <si>
    <t>Коврик декоративный 60*100 мм цифровая печать 2 предм. с бахр. 6560</t>
  </si>
  <si>
    <t>70464</t>
  </si>
  <si>
    <t>Коврик декоративный 60*100 мм цифровая печать 2 предм. с бахр. 6565</t>
  </si>
  <si>
    <t>70472</t>
  </si>
  <si>
    <t>Коврик декоративный 60*100 мм цифровая печать 2 предм. с бахр. 6591</t>
  </si>
  <si>
    <t>70474</t>
  </si>
  <si>
    <t>Коврик декоративный 60*100 мм цифровая печать 2 предм. с бахр. 6719</t>
  </si>
  <si>
    <t>70469</t>
  </si>
  <si>
    <t>Коврик декоративный 60*100 мм цифровая печать 2 предм. с бахр. 6734</t>
  </si>
  <si>
    <t>70476</t>
  </si>
  <si>
    <t>Коврик декоративный 60*100 мм цифровая печать 2 предм. с бахр. 6740</t>
  </si>
  <si>
    <t>70466</t>
  </si>
  <si>
    <t>Коврик декоративный 60*100 мм цифровая печать 2 предм. с бахр. 6752</t>
  </si>
  <si>
    <t>70471</t>
  </si>
  <si>
    <t>Коврик декоративный 60*100 мм цифровая печать 2 предм. с бахр. 6767</t>
  </si>
  <si>
    <t>70473</t>
  </si>
  <si>
    <t>Коврик декоративный 60*100 мм цифровая печать 2 предм. с бахр. 6781</t>
  </si>
  <si>
    <t>70401</t>
  </si>
  <si>
    <t>Коврик декоративный 60*100 мм цифровая печать 2 предм. с бахр. 6836</t>
  </si>
  <si>
    <t>70430</t>
  </si>
  <si>
    <t>Коврик декоративный 60*100 мм цифровая печать 2 предм. с бахр. Deco 13</t>
  </si>
  <si>
    <t>70484</t>
  </si>
  <si>
    <t>Коврик декоративный 60*100 мм цифровая печать 2 предм. с бахр. Deco 14</t>
  </si>
  <si>
    <t>70479</t>
  </si>
  <si>
    <t>Коврик декоративный 60*100 мм цифровая печать 2 предм. с бахр. Deco 16</t>
  </si>
  <si>
    <t>70482</t>
  </si>
  <si>
    <t>Коврик декоративный 60*100 мм цифровая печать 2 предм. с бахр. Deco 17</t>
  </si>
  <si>
    <t>70480</t>
  </si>
  <si>
    <t>Коврик декоративный 60*100 мм цифровая печать 2 предм. с бахр. Deco 18</t>
  </si>
  <si>
    <t>70483</t>
  </si>
  <si>
    <t>Коврик декоративный 60*100 мм цифровая печать 2 предм. с бахр. Deco 23</t>
  </si>
  <si>
    <t>70478</t>
  </si>
  <si>
    <t>Коврик декоративный 60*100 мм цифровая печать 2 предм. с бахр. Deco 25</t>
  </si>
  <si>
    <t>70485</t>
  </si>
  <si>
    <t>Коврик декоративный 60*100 мм цифровая печать 2 предм. с бахр. Deco 3</t>
  </si>
  <si>
    <t>70426</t>
  </si>
  <si>
    <t>Коврик декоративный 60*100 мм цифровая печать 2 предм. с бахр. Deco 35</t>
  </si>
  <si>
    <t>70404</t>
  </si>
  <si>
    <t>Коврик декоративный 60*100 мм цифровая печать 2 предм. с бахр. Deco 37</t>
  </si>
  <si>
    <t>70477</t>
  </si>
  <si>
    <t>Коврик декоративный 60*100 мм цифровая печать 2 предм. с бахр. Deco 6</t>
  </si>
  <si>
    <t>70415</t>
  </si>
  <si>
    <t>Коврик декоративный 60*100 мм цифровая печать 2 предм. с бахр. Deco 7</t>
  </si>
  <si>
    <t>70443</t>
  </si>
  <si>
    <t>Коврик для йоги 140*50*0,6см пенополиэтелен 5 цветов 191-040 /2/10/</t>
  </si>
  <si>
    <t>70411</t>
  </si>
  <si>
    <t>Коврик комнатный Zalel 80*150 с бахромой BM-040</t>
  </si>
  <si>
    <t>70410</t>
  </si>
  <si>
    <t>Коврик комнатный Zalel 80*150 с бахромой BM2103</t>
  </si>
  <si>
    <t>70449</t>
  </si>
  <si>
    <t>Коврик комнатный Zalel 80*150 с бахромой home1 синий</t>
  </si>
  <si>
    <t>70451</t>
  </si>
  <si>
    <t>Коврик комнатный Zalel 80*150 с бахромой home1 черный</t>
  </si>
  <si>
    <t>70450</t>
  </si>
  <si>
    <t>Коврик комнатный Zalel 80*150 с бахромой home4</t>
  </si>
  <si>
    <t>70423</t>
  </si>
  <si>
    <t>Коврик противовибрационный 62*55 серый 03 /10/</t>
  </si>
  <si>
    <t>70432</t>
  </si>
  <si>
    <t>Коврик противовибрационный 62*55 черный /5/</t>
  </si>
  <si>
    <t>70425</t>
  </si>
  <si>
    <t>Коврик противовибрационный 62*55 шоколадный 06 /10/</t>
  </si>
  <si>
    <t>705 Коврики для ванной и туалета</t>
  </si>
  <si>
    <t>70528</t>
  </si>
  <si>
    <t>Коврик д/ванной Vetta микрофибра Венок из роз 60*40 см 2 цв. 462-701 /36/</t>
  </si>
  <si>
    <t>70510</t>
  </si>
  <si>
    <t>Коврик д/ванной Vetta шенилл 40*60 с люрексом 2 цв. 462-684 /2/24/</t>
  </si>
  <si>
    <t>70501</t>
  </si>
  <si>
    <t>Коврик д/ванной Vetta шенилл 60*90 Бархатная роскош 462-689 /24/</t>
  </si>
  <si>
    <t>70577</t>
  </si>
  <si>
    <t>Коврик д/ванной Zalel 45*75 противоскользящий AC-1758</t>
  </si>
  <si>
    <t>70582</t>
  </si>
  <si>
    <t>Коврик д/ванной Zalel 45*75 противоскользящий AC-2952</t>
  </si>
  <si>
    <t>70581</t>
  </si>
  <si>
    <t>Коврик д/ванной Zalel 45*75 противоскользящий AC-2971</t>
  </si>
  <si>
    <t>70573</t>
  </si>
  <si>
    <t>Коврик д/ванной Zalel 45*75 противоскользящий GZN-042</t>
  </si>
  <si>
    <t>70586</t>
  </si>
  <si>
    <t>Коврик д/ванной Zalel 45*75 противоскользящий GZN-071</t>
  </si>
  <si>
    <t>70574</t>
  </si>
  <si>
    <t>Коврик д/ванной Zalel 45*75 противоскользящий GZN-078</t>
  </si>
  <si>
    <t>70588</t>
  </si>
  <si>
    <t>Коврик д/ванной Zalel 45*75 противоскользящий GZN-096</t>
  </si>
  <si>
    <t>70575</t>
  </si>
  <si>
    <t>Коврик д/ванной Zalel 45*75 противоскользящий GZN-111</t>
  </si>
  <si>
    <t>70578</t>
  </si>
  <si>
    <t>Коврик д/ванной Zalel 45*75 противоскользящий GZN-176</t>
  </si>
  <si>
    <t>70569</t>
  </si>
  <si>
    <t>Коврик д/ванной Zalel 45*75 противоскользящий TY-002</t>
  </si>
  <si>
    <t>70571</t>
  </si>
  <si>
    <t>Коврик д/ванной Zalel 45*75 противоскользящий TY-010</t>
  </si>
  <si>
    <t>70572</t>
  </si>
  <si>
    <t>Коврик д/ванной Zalel 45*75 противоскользящий TY-020</t>
  </si>
  <si>
    <t>70589</t>
  </si>
  <si>
    <t>Коврик д/ванной Zalel 45*75 противоскользящий TY-213</t>
  </si>
  <si>
    <t>70583</t>
  </si>
  <si>
    <t>Коврик д/ванной Zalel 45*75 противоскользящий TY-338</t>
  </si>
  <si>
    <t>70584</t>
  </si>
  <si>
    <t>Коврик д/ванной Zalel 45*75 противоскользящий TY-397</t>
  </si>
  <si>
    <t>70503</t>
  </si>
  <si>
    <t>Коврик д/ванной Zalel 55*85 1-пр aubergine</t>
  </si>
  <si>
    <t>70507</t>
  </si>
  <si>
    <t>Коврик д/ванной Zalel 55*85 1-пр black</t>
  </si>
  <si>
    <t>70508</t>
  </si>
  <si>
    <t>Коврик д/ванной Zalel 55*85 1-пр bordo</t>
  </si>
  <si>
    <t>70509</t>
  </si>
  <si>
    <t>Коврик д/ванной Zalel 55*85 1-пр brik</t>
  </si>
  <si>
    <t>70513</t>
  </si>
  <si>
    <t>Коврик д/ванной Zalel 55*85 1-пр chream</t>
  </si>
  <si>
    <t>70516</t>
  </si>
  <si>
    <t>Коврик д/ванной Zalel 55*85 1-пр d.green</t>
  </si>
  <si>
    <t>70517</t>
  </si>
  <si>
    <t>Коврик д/ванной Zalel 55*85 1-пр grey</t>
  </si>
  <si>
    <t>70519</t>
  </si>
  <si>
    <t>Коврик д/ванной Zalel 55*85 1-пр l.brown</t>
  </si>
  <si>
    <t>70520</t>
  </si>
  <si>
    <t>Коврик д/ванной Zalel 55*85 1-пр l.green</t>
  </si>
  <si>
    <t>70521</t>
  </si>
  <si>
    <t>Коврик д/ванной Zalel 55*85 1-пр lilac</t>
  </si>
  <si>
    <t>70524</t>
  </si>
  <si>
    <t>Коврик д/ванной Zalel 55*85 1-пр pink</t>
  </si>
  <si>
    <t>70525</t>
  </si>
  <si>
    <t>Коврик д/ванной Zalel 55*85 1-пр red</t>
  </si>
  <si>
    <t>70526</t>
  </si>
  <si>
    <t>Коврик д/ванной Zalel 55*85 1-пр turkuaz</t>
  </si>
  <si>
    <t>70529</t>
  </si>
  <si>
    <t>Коврик д/ванной Zalel 55*85 1-пр white</t>
  </si>
  <si>
    <t>70672</t>
  </si>
  <si>
    <t>Коврик д/ванной Zalel 55*85 1-пр yellow</t>
  </si>
  <si>
    <t>70554</t>
  </si>
  <si>
    <t>Коврик под унитаз Zalel 50*60 aubergine</t>
  </si>
  <si>
    <t>70555</t>
  </si>
  <si>
    <t>Коврик под унитаз Zalel 50*60 black</t>
  </si>
  <si>
    <t>70556</t>
  </si>
  <si>
    <t>Коврик под унитаз Zalel 50*60 bordo</t>
  </si>
  <si>
    <t>70557</t>
  </si>
  <si>
    <t>Коврик под унитаз Zalel 50*60 brik</t>
  </si>
  <si>
    <t>70559</t>
  </si>
  <si>
    <t>Коврик под унитаз Zalel 50*60 chream</t>
  </si>
  <si>
    <t>70562</t>
  </si>
  <si>
    <t>Коврик под унитаз Zalel 50*60 d.blue</t>
  </si>
  <si>
    <t>70563</t>
  </si>
  <si>
    <t>Коврик под унитаз Zalel 50*60 d.green</t>
  </si>
  <si>
    <t>70541</t>
  </si>
  <si>
    <t>Коврик под унитаз Zalel 50*60 grey</t>
  </si>
  <si>
    <t>70564</t>
  </si>
  <si>
    <t>Коврик под унитаз Zalel 50*60 l.blue</t>
  </si>
  <si>
    <t>70565</t>
  </si>
  <si>
    <t>Коврик под унитаз Zalel 50*60 l.brown</t>
  </si>
  <si>
    <t>70542</t>
  </si>
  <si>
    <t>Коврик под унитаз Zalel 50*60 l.qreen</t>
  </si>
  <si>
    <t>70543</t>
  </si>
  <si>
    <t>Коврик под унитаз Zalel 50*60 lilac</t>
  </si>
  <si>
    <t>70690</t>
  </si>
  <si>
    <t>Коврик под унитаз Zalel 50*60 pink</t>
  </si>
  <si>
    <t>70691</t>
  </si>
  <si>
    <t>Коврик под унитаз Zalel 50*60 red</t>
  </si>
  <si>
    <t>70566</t>
  </si>
  <si>
    <t>Коврик под унитаз Zalel 50*60 white</t>
  </si>
  <si>
    <t>70567</t>
  </si>
  <si>
    <t>Коврик под унитаз Zalel 50*60 yellow</t>
  </si>
  <si>
    <t>70530</t>
  </si>
  <si>
    <t>Коврик под унитаз Zalel 55*42,5 aubergine</t>
  </si>
  <si>
    <t>70532</t>
  </si>
  <si>
    <t>Коврик под унитаз Zalel 55*42,5 black</t>
  </si>
  <si>
    <t>70533</t>
  </si>
  <si>
    <t>Коврик под унитаз Zalel 55*42,5 bordo</t>
  </si>
  <si>
    <t>70534</t>
  </si>
  <si>
    <t>Коврик под унитаз Zalel 55*42,5 brik</t>
  </si>
  <si>
    <t>70535</t>
  </si>
  <si>
    <t>Коврик под унитаз Zalel 55*42,5 chream</t>
  </si>
  <si>
    <t>70536</t>
  </si>
  <si>
    <t>Коврик под унитаз Zalel 55*42,5 d.blue</t>
  </si>
  <si>
    <t>70537</t>
  </si>
  <si>
    <t>Коврик под унитаз Zalel 55*42,5 d.green</t>
  </si>
  <si>
    <t>70546</t>
  </si>
  <si>
    <t>Коврик под унитаз Zalel 55*42,5 grey</t>
  </si>
  <si>
    <t>70538</t>
  </si>
  <si>
    <t>Коврик под унитаз Zalel 55*42,5 l.blue</t>
  </si>
  <si>
    <t>70539</t>
  </si>
  <si>
    <t>Коврик под унитаз Zalel 55*42,5 l.brown</t>
  </si>
  <si>
    <t>70547</t>
  </si>
  <si>
    <t>Коврик под унитаз Zalel 55*42,5 l.green</t>
  </si>
  <si>
    <t>70548</t>
  </si>
  <si>
    <t>Коврик под унитаз Zalel 55*42,5 lilac</t>
  </si>
  <si>
    <t>70549</t>
  </si>
  <si>
    <t>Коврик под унитаз Zalel 55*42,5 pink</t>
  </si>
  <si>
    <t>70550</t>
  </si>
  <si>
    <t>Коврик под унитаз Zalel 55*42,5 red</t>
  </si>
  <si>
    <t>70551</t>
  </si>
  <si>
    <t>Коврик под унитаз Zalel 55*42,5 white</t>
  </si>
  <si>
    <t>70540</t>
  </si>
  <si>
    <t>Коврик под унитаз Zalel 55*42,5 yellow</t>
  </si>
  <si>
    <t>706 Коврики люкс</t>
  </si>
  <si>
    <t>70605</t>
  </si>
  <si>
    <t>Коврик д/ванны Lux Border Плюш 50*80 beige /20/</t>
  </si>
  <si>
    <t>70622</t>
  </si>
  <si>
    <t>Коврик д/ванны Lux Border Плюш 50*80 blue /20/</t>
  </si>
  <si>
    <t>70630</t>
  </si>
  <si>
    <t>Коврик д/ванны Lux Border Плюш 50*80 brown /20/</t>
  </si>
  <si>
    <t>70632</t>
  </si>
  <si>
    <t>Коврик д/ванны Lux Border Плюш 50*80 dark brown /20/</t>
  </si>
  <si>
    <t>70633</t>
  </si>
  <si>
    <t>Коврик д/ванны Lux Border Плюш 50*80 green /20/</t>
  </si>
  <si>
    <t>70606</t>
  </si>
  <si>
    <t>Коврик д/ванны Lux Border Плюш 50*80 grey</t>
  </si>
  <si>
    <t>70616</t>
  </si>
  <si>
    <t>Коврик д/ванны Lux Border Плюш 50*80 l.blue /20/</t>
  </si>
  <si>
    <t>70617</t>
  </si>
  <si>
    <t>Коврик д/ванны Lux Border Плюш 50*80 pink /20/</t>
  </si>
  <si>
    <t>70646</t>
  </si>
  <si>
    <t>Коврик д/ванны Memory Foam Mat 40*60 WE22-006 beige /12/</t>
  </si>
  <si>
    <t>70686</t>
  </si>
  <si>
    <t>Коврик д/ванны Memory Foam Mat 40*60 WE22-006 grey /12/</t>
  </si>
  <si>
    <t>70687</t>
  </si>
  <si>
    <t>Коврик д/ванны Memory Foam Mat 40*60 WE22-006 light blue /12/</t>
  </si>
  <si>
    <t>70668</t>
  </si>
  <si>
    <t>Коврик д/ванны Memory Foam Mat 50*80 WE22-001 beige /24/</t>
  </si>
  <si>
    <t>70607</t>
  </si>
  <si>
    <t>Коврик д/ванны Memory Foam Mat 50*80 WE22-001 dark grey /24/</t>
  </si>
  <si>
    <t>70643</t>
  </si>
  <si>
    <t>Коврик д/ванны Memory Foam Mat 50*80 WE22-001 light blue /24/</t>
  </si>
  <si>
    <t>70642</t>
  </si>
  <si>
    <t>Коврик д/ванны Memory Foam Mat 50*80 WE22-005 камни /24/</t>
  </si>
  <si>
    <t>70634</t>
  </si>
  <si>
    <t>Коврик д/ванны Memory stripes 50*80 beige /16/</t>
  </si>
  <si>
    <t>70635</t>
  </si>
  <si>
    <t>Коврик д/ванны Memory stripes 50*80 brown /16/</t>
  </si>
  <si>
    <t>70636</t>
  </si>
  <si>
    <t>Коврик д/ванны Memory stripes 50*80 green /16/</t>
  </si>
  <si>
    <t>70637</t>
  </si>
  <si>
    <t>Коврик д/ванны Memory stripes 50*80 grey /16/</t>
  </si>
  <si>
    <t>70608</t>
  </si>
  <si>
    <t>Коврик д/ванны Memory stripes 50*80 light-blue /16/</t>
  </si>
  <si>
    <t>70669</t>
  </si>
  <si>
    <t>Коврик д/ванны Memory stripes 50*80 pink /16/</t>
  </si>
  <si>
    <t>70694</t>
  </si>
  <si>
    <t>Коврик д/ванны Memory stripes Comfort 50*80 beige /20/</t>
  </si>
  <si>
    <t>70695</t>
  </si>
  <si>
    <t>Коврик д/ванны Memory stripes Comfort 50*80 chocolade /20/</t>
  </si>
  <si>
    <t>70696</t>
  </si>
  <si>
    <t>Коврик д/ванны Memory stripes Comfort 50*80 coffee /20/</t>
  </si>
  <si>
    <t>70697</t>
  </si>
  <si>
    <t>Коврик д/ванны Memory stripes Comfort 50*80 spa blue /20/</t>
  </si>
  <si>
    <t>70677</t>
  </si>
  <si>
    <t>Коврик д/кухни Zalel Kitchen 50*120 6882 Специи</t>
  </si>
  <si>
    <t>70683</t>
  </si>
  <si>
    <t>Коврик д/кухни Zalel Kitchen 50*120 6883 Специи ассорти</t>
  </si>
  <si>
    <t>70601</t>
  </si>
  <si>
    <t>Коврик д/кухни Zalel Kitchen 50*120 6884 Полоски +специи</t>
  </si>
  <si>
    <t>70603</t>
  </si>
  <si>
    <t>Коврик д/кухни Zalel Kitchen 50*120 Черный</t>
  </si>
  <si>
    <t>70600</t>
  </si>
  <si>
    <t>Коврик д/кухни Zalel Kitchen 60*80 6640 Кофе</t>
  </si>
  <si>
    <t>70699</t>
  </si>
  <si>
    <t>Коврик д/кухни Zalel Kitchen 60*80 6643 Вилка+ложка на черном</t>
  </si>
  <si>
    <t>70698</t>
  </si>
  <si>
    <t>Коврик д/кухни Zalel Kitchen 60*80 6649 Ложки+специи</t>
  </si>
  <si>
    <t>70678</t>
  </si>
  <si>
    <t>Коврик д/кухни Zalel Kitchen 60*80 6669 Чашки</t>
  </si>
  <si>
    <t>70629</t>
  </si>
  <si>
    <t>Коврик д/кухни Zalel Kitchen 60*80 6859 Чашки с кофе</t>
  </si>
  <si>
    <t>70613</t>
  </si>
  <si>
    <t>Коврик д/кухни Zalel Kitchen 60*80 6882 Специи</t>
  </si>
  <si>
    <t>70628</t>
  </si>
  <si>
    <t>Коврик многофункциональный 35*35 /30/</t>
  </si>
  <si>
    <t>70618</t>
  </si>
  <si>
    <t>Коврик под унитаз Lux Border Плюш 45*55 beige /30/</t>
  </si>
  <si>
    <t>70619</t>
  </si>
  <si>
    <t>Коврик под унитаз Lux Border Плюш 45*55 blue /30/</t>
  </si>
  <si>
    <t>70620</t>
  </si>
  <si>
    <t>Коврик под унитаз Lux Border Плюш 45*55 brown /30/</t>
  </si>
  <si>
    <t>70621</t>
  </si>
  <si>
    <t>Коврик под унитаз Lux Border Плюш 45*55 claret /30/</t>
  </si>
  <si>
    <t>70623</t>
  </si>
  <si>
    <t>Коврик под унитаз Lux Border Плюш 45*55 dark brown /30/</t>
  </si>
  <si>
    <t>70624</t>
  </si>
  <si>
    <t>Коврик под унитаз Lux Border Плюш 45*55 green /30/</t>
  </si>
  <si>
    <t>70625</t>
  </si>
  <si>
    <t>Коврик под унитаз Lux Border Плюш 45*55 grey /30/</t>
  </si>
  <si>
    <t>70626</t>
  </si>
  <si>
    <t>Коврик под унитаз Lux Border Плюш 45*55 l.blue /30/</t>
  </si>
  <si>
    <t>70627</t>
  </si>
  <si>
    <t>Коврик под унитаз Lux Border Плюш 45*55 pink /30/</t>
  </si>
  <si>
    <t>707 Коврики для ванной и туалета набор</t>
  </si>
  <si>
    <t>70706</t>
  </si>
  <si>
    <t>Коврик д/кухни Zalel Kitchen 50*120+60*80 6640 Кофе</t>
  </si>
  <si>
    <t>70704</t>
  </si>
  <si>
    <t>Коврик д/кухни Zalel Kitchen 50*120+60*80 6882 Специи на красном</t>
  </si>
  <si>
    <t>70701</t>
  </si>
  <si>
    <t>Коврики д/ванны и туалета Rabbit 60*100 2 предм. beige</t>
  </si>
  <si>
    <t>70702</t>
  </si>
  <si>
    <t>Коврики д/ванны и туалета Rabbit 60*100 2 предм. grey</t>
  </si>
  <si>
    <t>70703</t>
  </si>
  <si>
    <t>Коврики д/ванны и туалета Rabbit 60*100 2 предм. pink</t>
  </si>
  <si>
    <t>70732</t>
  </si>
  <si>
    <t>Коврики д/ванны и туалета Vetta 50*80+50*40 4 диз. 462-649 /16/</t>
  </si>
  <si>
    <t>70729</t>
  </si>
  <si>
    <t>Коврики д/ванны и туалета Vetta 50*80+50*40 бежевый 4 диз. 462-650 /16/</t>
  </si>
  <si>
    <t>70737</t>
  </si>
  <si>
    <t>Коврики д/ванны и туалета Vetta 60*40+40*40 Индия 4 цв. 462-694 /4/</t>
  </si>
  <si>
    <t>70739</t>
  </si>
  <si>
    <t>Коврики д/ванны и туалета Vetta 60*40+40*40 Орнамент 4 цв. 462-695 /4/</t>
  </si>
  <si>
    <t>70708</t>
  </si>
  <si>
    <t>Коврики д/ванны и туалета Zalel 55*85 2-пр black</t>
  </si>
  <si>
    <t>70709</t>
  </si>
  <si>
    <t>Коврики д/ванны и туалета Zalel 55*85 2-пр bordo</t>
  </si>
  <si>
    <t>70655</t>
  </si>
  <si>
    <t>Коврики д/ванны и туалета Zalel 55*85 2-пр brik</t>
  </si>
  <si>
    <t>70711</t>
  </si>
  <si>
    <t>Коврики д/ванны и туалета Zalel 55*85 2-пр d.blue</t>
  </si>
  <si>
    <t>70712</t>
  </si>
  <si>
    <t>Коврики д/ванны и туалета Zalel 55*85 2-пр d.brown</t>
  </si>
  <si>
    <t>70718</t>
  </si>
  <si>
    <t>Коврики д/ванны и туалета Zalel 55*85 2-пр d.green</t>
  </si>
  <si>
    <t>70720</t>
  </si>
  <si>
    <t>Коврики д/ванны и туалета Zalel 55*85 2-пр grey</t>
  </si>
  <si>
    <t>70721</t>
  </si>
  <si>
    <t>Коврики д/ванны и туалета Zalel 55*85 2-пр l.blue</t>
  </si>
  <si>
    <t>70723</t>
  </si>
  <si>
    <t>Коврики д/ванны и туалета Zalel 55*85 2-пр l.green</t>
  </si>
  <si>
    <t>70724</t>
  </si>
  <si>
    <t>Коврики д/ванны и туалета Zalel 55*85 2-пр lilac</t>
  </si>
  <si>
    <t>70665</t>
  </si>
  <si>
    <t>Коврики д/ванны и туалета Zalel 55*85 2-пр pink</t>
  </si>
  <si>
    <t>70725</t>
  </si>
  <si>
    <t>Коврики д/ванны и туалета Zalel 55*85 2-пр red</t>
  </si>
  <si>
    <t>70740</t>
  </si>
  <si>
    <t>Коврики д/ванны и туалета Zalel 55*85 2-пр turkuaz</t>
  </si>
  <si>
    <t>70728</t>
  </si>
  <si>
    <t>Коврики д/ванны и туалета Zalel 55*85 2-пр white</t>
  </si>
  <si>
    <t>70736</t>
  </si>
  <si>
    <t>Коврики д/ванны и туалета Zalel 55*85 2-пр yellow</t>
  </si>
  <si>
    <t>708 Коврики для прихожей резиновые/ Welcome</t>
  </si>
  <si>
    <t>70838</t>
  </si>
  <si>
    <t>Коврик д/прихожей Spongy Welcome 40*60 см Sunstep зеленый /20/</t>
  </si>
  <si>
    <t>70840</t>
  </si>
  <si>
    <t>Коврик д/прихожей Spongy Welcome 40*60 см Sunstep красный /20/</t>
  </si>
  <si>
    <t>70841</t>
  </si>
  <si>
    <t>Коврик д/прихожей Spongy Welcome 40*60 см Sunstep серый /20/</t>
  </si>
  <si>
    <t>70842</t>
  </si>
  <si>
    <t>Коврик д/прихожей Spongy Welcome 40*60 см Sunstep синий /20/</t>
  </si>
  <si>
    <t>70843</t>
  </si>
  <si>
    <t>Коврик д/прихожей Spongy Welcome 50*80 см Sunstep зеленый /15/</t>
  </si>
  <si>
    <t>70845</t>
  </si>
  <si>
    <t>Коврик д/прихожей Spongy Welcome 50*80 см Sunstep красный /15/</t>
  </si>
  <si>
    <t>70847</t>
  </si>
  <si>
    <t>Коврик д/прихожей Spongy Welcome 50*80 см Sunstep синий /15/</t>
  </si>
  <si>
    <t>70849</t>
  </si>
  <si>
    <t>Коврик д/прихожей Spongy Welcome 60*90 см Sunstep коричневый /10/</t>
  </si>
  <si>
    <t>70850</t>
  </si>
  <si>
    <t>Коврик д/прихожей Spongy Welcome 60*90 см Sunstep серый /10/</t>
  </si>
  <si>
    <t>70863</t>
  </si>
  <si>
    <t>Коврик д/прихожей Zalel KD103 45*75 см black+grey</t>
  </si>
  <si>
    <t>70862</t>
  </si>
  <si>
    <t>Коврик д/прихожей Zalel KD103 45*75 см black+red</t>
  </si>
  <si>
    <t>70864</t>
  </si>
  <si>
    <t>Коврик д/прихожей Zalel KD103 45*75 см blue+orange</t>
  </si>
  <si>
    <t>70803</t>
  </si>
  <si>
    <t>Коврик д/прихожей Zalel KD103 45*75 см green+orange</t>
  </si>
  <si>
    <t>70852</t>
  </si>
  <si>
    <t>Коврик д/прихожей ажурный Sunstep  40*60 см Лепестки /10/</t>
  </si>
  <si>
    <t>70836</t>
  </si>
  <si>
    <t>Коврик д/прихожей резиновый 50*70 10 мм red /25/</t>
  </si>
  <si>
    <t>709 Коврики Макароны/Лапша</t>
  </si>
  <si>
    <t>70579</t>
  </si>
  <si>
    <t>Коврик д/ванной Макароны 50*80 желтый</t>
  </si>
  <si>
    <t>70900</t>
  </si>
  <si>
    <t>Коврик д/ванной Макароны 50*80 коралл</t>
  </si>
  <si>
    <t>70905</t>
  </si>
  <si>
    <t>Коврик д/ванной Макароны 60*90 1 пр баклажан</t>
  </si>
  <si>
    <t>70906</t>
  </si>
  <si>
    <t>Коврик д/ванной Макароны 60*90 1 пр желтый</t>
  </si>
  <si>
    <t>70915</t>
  </si>
  <si>
    <t>Коврик д/ванной Макароны 60*90 1 пр зеленый</t>
  </si>
  <si>
    <t>70907</t>
  </si>
  <si>
    <t>Коврик д/ванной Макароны 60*90 1 пр малина</t>
  </si>
  <si>
    <t>70908</t>
  </si>
  <si>
    <t>Коврик д/ванной Макароны 60*90 1 пр оранжев.</t>
  </si>
  <si>
    <t>70909</t>
  </si>
  <si>
    <t>Коврик д/ванной Макароны 60*90 1 пр розовый</t>
  </si>
  <si>
    <t>70910</t>
  </si>
  <si>
    <t>Коврик д/ванной Макароны 60*90 1 пр салатовый /25/</t>
  </si>
  <si>
    <t>70911</t>
  </si>
  <si>
    <t>Коврик д/ванной Макароны 60*90 1 пр св.голубой</t>
  </si>
  <si>
    <t>70912</t>
  </si>
  <si>
    <t>Коврик д/ванной Макароны 60*90 1 пр темн.голубой</t>
  </si>
  <si>
    <t>70914</t>
  </si>
  <si>
    <t>Коврик д/ванной Макароны 60*90 1 пр фиолетовый</t>
  </si>
  <si>
    <t>70902</t>
  </si>
  <si>
    <t>Коврик д/ванной Макароны 60*90 блестящ.1 пр красный</t>
  </si>
  <si>
    <t>70903</t>
  </si>
  <si>
    <t>Коврик д/ванной Макароны 60*90 блестящ.1 пр малина</t>
  </si>
  <si>
    <t>70904</t>
  </si>
  <si>
    <t>Коврик д/ванной Макароны 60*90 блестящ.1 пр розовый</t>
  </si>
  <si>
    <t>70930</t>
  </si>
  <si>
    <t>Коврик д/ванной Макароны 60*90 блестящ.1 пр салат /25/</t>
  </si>
  <si>
    <t>70940</t>
  </si>
  <si>
    <t>Коврик д/туалета Макароны 50*60 баклажан /25/</t>
  </si>
  <si>
    <t>70941</t>
  </si>
  <si>
    <t>Коврик д/туалета Макароны 50*60 белый /25/</t>
  </si>
  <si>
    <t>70932</t>
  </si>
  <si>
    <t>Коврик д/туалета Макароны 50*60 блестящ. бежевый /25/</t>
  </si>
  <si>
    <t>70933</t>
  </si>
  <si>
    <t>Коврик д/туалета Макароны 50*60 блестящ. бордо /25/</t>
  </si>
  <si>
    <t>70934</t>
  </si>
  <si>
    <t>Коврик д/туалета Макароны 50*60 блестящ. коричневый /25/</t>
  </si>
  <si>
    <t>70935</t>
  </si>
  <si>
    <t>Коврик д/туалета Макароны 50*60 блестящ. красный /25/</t>
  </si>
  <si>
    <t>70936</t>
  </si>
  <si>
    <t>Коврик д/туалета Макароны 50*60 блестящ. малина /25/</t>
  </si>
  <si>
    <t>70937</t>
  </si>
  <si>
    <t>Коврик д/туалета Макароны 50*60 блестящ. розовый /25/</t>
  </si>
  <si>
    <t>70938</t>
  </si>
  <si>
    <t>Коврик д/туалета Макароны 50*60 блестящ. серый /25/</t>
  </si>
  <si>
    <t>70939</t>
  </si>
  <si>
    <t>Коврик д/туалета Макароны 50*60 блестящ. терракот /25/</t>
  </si>
  <si>
    <t>70942</t>
  </si>
  <si>
    <t>Коврик д/туалета Макароны 50*60 бордо /25/</t>
  </si>
  <si>
    <t>70944</t>
  </si>
  <si>
    <t>Коврик д/туалета Макароны 50*60 желтый /25/</t>
  </si>
  <si>
    <t>70945</t>
  </si>
  <si>
    <t>Коврик д/туалета Макароны 50*60 какао /25/</t>
  </si>
  <si>
    <t>70946</t>
  </si>
  <si>
    <t>Коврик д/туалета Макароны 50*60 красный /25/</t>
  </si>
  <si>
    <t>70943</t>
  </si>
  <si>
    <t>Коврик д/туалета Макароны 50*60 кремовый /25/</t>
  </si>
  <si>
    <t>70947</t>
  </si>
  <si>
    <t>Коврик д/туалета Макароны 50*60 малина /25/</t>
  </si>
  <si>
    <t>70948</t>
  </si>
  <si>
    <t>Коврик д/туалета Макароны 50*60 оранжевый /25/</t>
  </si>
  <si>
    <t>70949</t>
  </si>
  <si>
    <t>Коврик д/туалета Макароны 50*60 розовый /25/</t>
  </si>
  <si>
    <t>70951</t>
  </si>
  <si>
    <t>Коврик д/туалета Макароны 50*60 салатовый /25/</t>
  </si>
  <si>
    <t>70950</t>
  </si>
  <si>
    <t>Коврик д/туалета Макароны 50*60 св. голубой /25/</t>
  </si>
  <si>
    <t>70952</t>
  </si>
  <si>
    <t>Коврик д/туалета Макароны 50*60 серый /25/</t>
  </si>
  <si>
    <t>70953</t>
  </si>
  <si>
    <t>Коврик д/туалета Макароны 50*60 тем. голубой /25/</t>
  </si>
  <si>
    <t>70954</t>
  </si>
  <si>
    <t>Коврик д/туалета Макароны 50*60 тем. зеленый /25/</t>
  </si>
  <si>
    <t>70955</t>
  </si>
  <si>
    <t>Коврик д/туалета Макароны 50*60 тем. коричневый /25/</t>
  </si>
  <si>
    <t>70956</t>
  </si>
  <si>
    <t>Коврик д/туалета Макароны 50*60 фиолетовый /25/</t>
  </si>
  <si>
    <t>70957</t>
  </si>
  <si>
    <t>Коврик д/туалета Макароны 50*60 черный /25/</t>
  </si>
  <si>
    <t>70958</t>
  </si>
  <si>
    <t>Коврик д/туалета Макароны 50*60 ярко зеленый /25/</t>
  </si>
  <si>
    <t>710-714 Клеенка</t>
  </si>
  <si>
    <t>710-711 Клеенка в рулонах Декорама</t>
  </si>
  <si>
    <t>710 Декорама</t>
  </si>
  <si>
    <t>71086</t>
  </si>
  <si>
    <t>Клеенка Декорама ПВХ 006А 140 см*20 м листья на рогожке бежевый</t>
  </si>
  <si>
    <t>71073</t>
  </si>
  <si>
    <t>Клеенка Декорама ПВХ 006В 140 см*20 м Листья на рогожке темно-бежевый</t>
  </si>
  <si>
    <t>71011</t>
  </si>
  <si>
    <t>Клеенка Декорама ПВХ 007В 140 см*20 м мрамор зеленый</t>
  </si>
  <si>
    <t>71010</t>
  </si>
  <si>
    <t>Клеенка Декорама ПВХ 007С 140 см*20 м мрамор голубой</t>
  </si>
  <si>
    <t>71038</t>
  </si>
  <si>
    <t>Клеенка Декорама ПВХ 008D 140 см*20 м цветочки на сером</t>
  </si>
  <si>
    <t>71035</t>
  </si>
  <si>
    <t>Клеенка Декорама ПВХ 008С 140 см*20 м цветочки на зеленом</t>
  </si>
  <si>
    <t>71066</t>
  </si>
  <si>
    <t>Клеенка Декорама ПВХ 027В 140 см*20 м курочки на бежевом</t>
  </si>
  <si>
    <t>71078</t>
  </si>
  <si>
    <t>Клеенка Декорама ПВХ 029A 140 см*20 м курочки</t>
  </si>
  <si>
    <t>71083</t>
  </si>
  <si>
    <t>Клеенка Декорама ПВХ 030A 140 см*20 м розы на белом</t>
  </si>
  <si>
    <t>71089</t>
  </si>
  <si>
    <t>Клеенка Декорама ПВХ 030С 140 см*20 м фиолетовые розы на сером</t>
  </si>
  <si>
    <t>71007</t>
  </si>
  <si>
    <t>Клеенка Декорама ПВХ 031A 140 см*20 м кофе и шоколад корич.</t>
  </si>
  <si>
    <t>71008</t>
  </si>
  <si>
    <t>Клеенка Декорама ПВХ 031B 140 см*20 м кофе и шоколад серый</t>
  </si>
  <si>
    <t>71075</t>
  </si>
  <si>
    <t>Клеенка Декорама ПВХ 033B 140 см*20 м лилии бежевые</t>
  </si>
  <si>
    <t>71184</t>
  </si>
  <si>
    <t>Клеенка Декорама ПВХ 039А 140 см*20 м посуда на газетном фоне</t>
  </si>
  <si>
    <t>71064</t>
  </si>
  <si>
    <t>Клеенка Декорама ПВХ 040D 140 см*20 м клетка синяя</t>
  </si>
  <si>
    <t>71065</t>
  </si>
  <si>
    <t>Клеенка Декорама ПВХ 040E 140 см*20 м клетка серая</t>
  </si>
  <si>
    <t>71063</t>
  </si>
  <si>
    <t>Клеенка Декорама ПВХ 040С 140 см*20 м клетка розовая</t>
  </si>
  <si>
    <t>71070</t>
  </si>
  <si>
    <t>Клеенка Декорама ПВХ 048А 140 см*20 м клетка на бежевом</t>
  </si>
  <si>
    <t>71082</t>
  </si>
  <si>
    <t>Клеенка Декорама ПВХ 049B 140 см*20 м пионы и сердечки на коричневом</t>
  </si>
  <si>
    <t>71198</t>
  </si>
  <si>
    <t>Клеенка Декорама ПВХ 049А 140 см*20 м пионы и сердечки на бежевом</t>
  </si>
  <si>
    <t>71069</t>
  </si>
  <si>
    <t>Клеенка Декорама ПВХ 050B 140 см*20 м бежевые розы</t>
  </si>
  <si>
    <t>71014</t>
  </si>
  <si>
    <t>Клеенка Декорама ПВХ 050А 140 см*20 м розовые розы</t>
  </si>
  <si>
    <t>71030</t>
  </si>
  <si>
    <t>Клеенка Декорама ПВХ 054А 140 см*20 м розы на бежевом</t>
  </si>
  <si>
    <t>71199</t>
  </si>
  <si>
    <t>Клеенка Декорама ПВХ 056А 140 см*20 м роза на бежевом</t>
  </si>
  <si>
    <t>71016</t>
  </si>
  <si>
    <t>Клеенка Декорама ПВХ 060А 140 см*20 м кофе</t>
  </si>
  <si>
    <t>71031</t>
  </si>
  <si>
    <t>Клеенка Декорама ПВХ 065В 140 см*20 м кружева на коричневом</t>
  </si>
  <si>
    <t>71036</t>
  </si>
  <si>
    <t>Клеенка Декорама ПВХ 066А 140 см*20 м бежевые розы на молочном</t>
  </si>
  <si>
    <t>71034</t>
  </si>
  <si>
    <t>Клеенка Декорама ПВХ 067В 140 см*20 м кофейные мотивы на бежевом</t>
  </si>
  <si>
    <t>71033</t>
  </si>
  <si>
    <t>Клеенка Декорама ПВХ 068А 140 см*20 м ромашки на бежевом</t>
  </si>
  <si>
    <t>71037</t>
  </si>
  <si>
    <t>Клеенка Декорама ПВХ 069А 140 см*20 м зерна кофейные</t>
  </si>
  <si>
    <t>71039</t>
  </si>
  <si>
    <t>Клеенка Декорама ПВХ 069В 140 см*20 м зерна кофейные</t>
  </si>
  <si>
    <t>71017</t>
  </si>
  <si>
    <t>Клеенка Декорама ПВХ 070А 140 см*20 м кофе</t>
  </si>
  <si>
    <t>71087</t>
  </si>
  <si>
    <t>Клеенка Декорама ПВХ 072A 140 см*20 м кофе макаруны на молочном</t>
  </si>
  <si>
    <t>71049</t>
  </si>
  <si>
    <t>Клеенка Декорама ПВХ 072В 140 см*20 м кофе макаруны на бежевом</t>
  </si>
  <si>
    <t>71061</t>
  </si>
  <si>
    <t>Клеенка Декорама ПВХ 074А 140 см*20 м</t>
  </si>
  <si>
    <t>71029</t>
  </si>
  <si>
    <t>Клеенка Декорама ПВХ 075В 140 см*20 м пионы и сирень на бежевом</t>
  </si>
  <si>
    <t>71117</t>
  </si>
  <si>
    <t>Клеенка Декорама ПВХ 075С 140 см*20 м букеты роз на бежевом</t>
  </si>
  <si>
    <t>71023</t>
  </si>
  <si>
    <t>Клеенка Декорама ПВХ 077C 140 см*20 м цветы на зеленом</t>
  </si>
  <si>
    <t>71091</t>
  </si>
  <si>
    <t>Клеенка Декорама ПВХ 077D 140 см*20 м цветы на голубом</t>
  </si>
  <si>
    <t>71094</t>
  </si>
  <si>
    <t>Клеенка Декорама ПВХ 079A 140 см*20 м чашка кофе на бежевом</t>
  </si>
  <si>
    <t>71013</t>
  </si>
  <si>
    <t>Клеенка Декорама ПВХ 081В 140 см*20 м коричнево-голубые полоски</t>
  </si>
  <si>
    <t>71088</t>
  </si>
  <si>
    <t>Клеенка Декорама ПВХ 082А 140 см*20 м утро деревенское</t>
  </si>
  <si>
    <t>71095</t>
  </si>
  <si>
    <t>Клеенка Декорама ПВХ 082В 140 см*20 м утро деревенское</t>
  </si>
  <si>
    <t>71120</t>
  </si>
  <si>
    <t>Клеенка Декорама ПВХ 085А 140 см*20 м узор на зеленом</t>
  </si>
  <si>
    <t>71043</t>
  </si>
  <si>
    <t>Клеенка Декорама ПВХ 087A 140 см*20 м желтые герберы на бежевом</t>
  </si>
  <si>
    <t>71044</t>
  </si>
  <si>
    <t>Клеенка Декорама ПВХ 087C 140 см*20 м малиновые герберы на сером</t>
  </si>
  <si>
    <t>71040</t>
  </si>
  <si>
    <t>Клеенка Декорама ПВХ 087В 140 см*20 м бежевые герберы на бежевом</t>
  </si>
  <si>
    <t>71090</t>
  </si>
  <si>
    <t>Клеенка Декорама ПВХ 093B 140 см*20 м цветы на молочном</t>
  </si>
  <si>
    <t>71028</t>
  </si>
  <si>
    <t>Клеенка Декорама ПВХ 093С 140 см*20 м цветы на голубом</t>
  </si>
  <si>
    <t>71096</t>
  </si>
  <si>
    <t>Клеенка Декорама ПВХ 094С 140 см*20 м прованс на бежевом</t>
  </si>
  <si>
    <t>71166</t>
  </si>
  <si>
    <t>Клеенка Декорама ПВХ 095А 140 см*20 м узоры на коричневом</t>
  </si>
  <si>
    <t>71093</t>
  </si>
  <si>
    <t>Клеенка Декорама ПВХ 099A 140 см*20 м кофейные мотивы на бежевом</t>
  </si>
  <si>
    <t>71125</t>
  </si>
  <si>
    <t>Клеенка Декорама ПВХ 099В 140 см*20 м кофейные мотивы на сером</t>
  </si>
  <si>
    <t>71059</t>
  </si>
  <si>
    <t>Клеенка Декорама ПВХ 100А 140 см*20 м кофе</t>
  </si>
  <si>
    <t>71074</t>
  </si>
  <si>
    <t>Клеенка Декорама ПВХ 104B 140 см*20 м серые круги на коричневом</t>
  </si>
  <si>
    <t>71060</t>
  </si>
  <si>
    <t>Клеенка Декорама ПВХ 106А 140 см*20 м фрукты и ягоды в клетке</t>
  </si>
  <si>
    <t>711 Декорама</t>
  </si>
  <si>
    <t>71115</t>
  </si>
  <si>
    <t>Клеенка Декорама Star ПВХ 512А 140 см*20 м шампань</t>
  </si>
  <si>
    <t>71139</t>
  </si>
  <si>
    <t>Клеенка Декорама Star ПВХ 516А 140 см*20 м шампань</t>
  </si>
  <si>
    <t>71132</t>
  </si>
  <si>
    <t>Клеенка Декорама Star ПВХ 517А 140 см*20 м белая</t>
  </si>
  <si>
    <t>71192</t>
  </si>
  <si>
    <t>Клеенка Декорама Star ПВХ 537А 140 см*20 м белая</t>
  </si>
  <si>
    <t>71168</t>
  </si>
  <si>
    <t>Клеенка Декорама Star ПВХ 539А 140 см*20 м белая</t>
  </si>
  <si>
    <t>71107</t>
  </si>
  <si>
    <t>Клеенка Декорама Star ПВХ 544А 140 см*20 м шампань</t>
  </si>
  <si>
    <t>71119</t>
  </si>
  <si>
    <t>Клеенка Декорама Star ПВХ 545А 140 см*20 м белая</t>
  </si>
  <si>
    <t>71102</t>
  </si>
  <si>
    <t>Клеенка Декорама ПВХ 109C 140 см*20 м клетка</t>
  </si>
  <si>
    <t>71137</t>
  </si>
  <si>
    <t>Клеенка Декорама ПВХ 112А 140 см*20 м сэндвичи на белом</t>
  </si>
  <si>
    <t>71136</t>
  </si>
  <si>
    <t>Клеенка Декорама ПВХ 117А 140 см*20 м цветы черные на белом</t>
  </si>
  <si>
    <t>71195</t>
  </si>
  <si>
    <t>Клеенка Декорама ПВХ 118C 140 см*20 м лилии в голубой клетке</t>
  </si>
  <si>
    <t>71123</t>
  </si>
  <si>
    <t>Клеенка Декорама ПВХ 119C 140 см*20 м орнамент цветочный на зеленом</t>
  </si>
  <si>
    <t>71180</t>
  </si>
  <si>
    <t>Клеенка Декорама ПВХ 119А 140 см*20 м цветы на бежевом</t>
  </si>
  <si>
    <t>71179</t>
  </si>
  <si>
    <t>Клеенка Декорама ПВХ 123А 140 см*20 м розы бежевые</t>
  </si>
  <si>
    <t>71149</t>
  </si>
  <si>
    <t>Клеенка Декорама ПВХ 133В 140 см*20 м цветы полевые на бежевом</t>
  </si>
  <si>
    <t>71148</t>
  </si>
  <si>
    <t>Клеенка Декорама ПВХ 136A 140 см*20 м кофе</t>
  </si>
  <si>
    <t>71134</t>
  </si>
  <si>
    <t>Клеенка Декорама ПВХ 138A 140 см*20 м красные розы</t>
  </si>
  <si>
    <t>71109</t>
  </si>
  <si>
    <t>Клеенка Декорама ПВХ 141А 140 см*20 м цветы на столе</t>
  </si>
  <si>
    <t>71054</t>
  </si>
  <si>
    <t>Клеенка Декорама ПВХ 147B 140 см*20 м чашки кофейные на бежевом</t>
  </si>
  <si>
    <t>71053</t>
  </si>
  <si>
    <t>Клеенка Декорама ПВХ 147C 140 см*20 м чашки кофейные на сером</t>
  </si>
  <si>
    <t>71171</t>
  </si>
  <si>
    <t>Клеенка Декорама ПВХ 147А 140 см*20 м чашки кофейные</t>
  </si>
  <si>
    <t>71110</t>
  </si>
  <si>
    <t>Клеенка Декорама ПВХ 151А 140 см*20 м ромб</t>
  </si>
  <si>
    <t>71111</t>
  </si>
  <si>
    <t>Клеенка Декорама ПВХ 159B 140 см*20 м астры на бежевом</t>
  </si>
  <si>
    <t>71190</t>
  </si>
  <si>
    <t>Клеенка Декорама ПВХ 159А 140 см*20 м астры на бежевом</t>
  </si>
  <si>
    <t>71130</t>
  </si>
  <si>
    <t>Клеенка Декорама ПВХ 159С 140 см*20 м астры на бежевом</t>
  </si>
  <si>
    <t>71172</t>
  </si>
  <si>
    <t>Клеенка Декорама ПВХ 161B 140 см*20 м орнамент розовый</t>
  </si>
  <si>
    <t>71103</t>
  </si>
  <si>
    <t>Клеенка Декорама ПВХ 161C 140 см*20 м орнамент серый</t>
  </si>
  <si>
    <t>71194</t>
  </si>
  <si>
    <t>Клеенка Декорама ПВХ 162А 140 см*20 м фрукты на бежевом</t>
  </si>
  <si>
    <t>71104</t>
  </si>
  <si>
    <t>Клеенка Декорама ПВХ 166C 140 см*20 м волны</t>
  </si>
  <si>
    <t>71173</t>
  </si>
  <si>
    <t>Клеенка Декорама ПВХ 167А 140 см*20 м барбекю</t>
  </si>
  <si>
    <t>71154</t>
  </si>
  <si>
    <t>Клеенка Декорама ПВХ 168B 140 см*20 м завтрак</t>
  </si>
  <si>
    <t>71174</t>
  </si>
  <si>
    <t>Клеенка Декорама ПВХ 168C 140 см*20 м завтрак голубая</t>
  </si>
  <si>
    <t>71155</t>
  </si>
  <si>
    <t>Клеенка Декорама ПВХ 171A 140 см*20 м кофейное ассорти</t>
  </si>
  <si>
    <t>71122</t>
  </si>
  <si>
    <t>Клеенка Декорама ПВХ 176A 140 см*20 м сердечки и кружева на розовом</t>
  </si>
  <si>
    <t>71183</t>
  </si>
  <si>
    <t>Клеенка Декорама ПВХ 176B 140 см*20 м сердечки и кружева на коричневом</t>
  </si>
  <si>
    <t>71131</t>
  </si>
  <si>
    <t>Клеенка Декорама ПВХ 182B 140 см*20 м сердечки на бежевой клетке</t>
  </si>
  <si>
    <t>71143</t>
  </si>
  <si>
    <t>Клеенка Декорама ПВХ 189A 140 см*20 м сердечки и кружева на бежевом</t>
  </si>
  <si>
    <t>71118</t>
  </si>
  <si>
    <t>Клеенка Декорама ПВХ 192A 140 см*20 м розовые розы на бежевом</t>
  </si>
  <si>
    <t>71141</t>
  </si>
  <si>
    <t>Клеенка Декорама ПВХ 192B 140 см*20 м розы коричневые на бежевом</t>
  </si>
  <si>
    <t>71101</t>
  </si>
  <si>
    <t>Клеенка Декорама ПВХ 195B 140 см*20 м букеты роз на коричнево-безевом</t>
  </si>
  <si>
    <t>71157</t>
  </si>
  <si>
    <t>Клеенка Декорама ПВХ 202A 140 см*20 м кофейные чашки на белом</t>
  </si>
  <si>
    <t>71176</t>
  </si>
  <si>
    <t>Клеенка Декорама ПВХ 202B 140 см*20 м кофейные чашки на бежевом</t>
  </si>
  <si>
    <t>71144</t>
  </si>
  <si>
    <t>Клеенка Декорама ПВХ 204A 140 см*20 м</t>
  </si>
  <si>
    <t>71158</t>
  </si>
  <si>
    <t>Клеенка Декорама ПВХ 208A 140 см*20 м прованс фиолетовый</t>
  </si>
  <si>
    <t>71159</t>
  </si>
  <si>
    <t>Клеенка Декорама ПВХ 208B 140 см*20 м прованс бежевый</t>
  </si>
  <si>
    <t>71160</t>
  </si>
  <si>
    <t>Клеенка Декорама ПВХ 210C 140 см*20 м цветы на сером</t>
  </si>
  <si>
    <t>71146</t>
  </si>
  <si>
    <t>Клеенка Декорама ПВХ 212A 140 см*20 м вязаный узор</t>
  </si>
  <si>
    <t>71105</t>
  </si>
  <si>
    <t>Клеенка Декорама ПВХ 212B 140 см*20 м вязаный узор</t>
  </si>
  <si>
    <t>71188</t>
  </si>
  <si>
    <t>Клеенка Декорама ПВХ 212C 140 см*20 м вязаный узор серый</t>
  </si>
  <si>
    <t>71150</t>
  </si>
  <si>
    <t>Клеенка Декорама ПВХ 214A 140 см*20 м розовые цветочки на белом</t>
  </si>
  <si>
    <t>71162</t>
  </si>
  <si>
    <t>Клеенка Декорама ПВХ 214E 140 см*20 м серые цветочки на белом</t>
  </si>
  <si>
    <t>71161</t>
  </si>
  <si>
    <t>Клеенка Декорама ПВХ 225A 140 см*20 м лимоны на бежевом</t>
  </si>
  <si>
    <t>71175</t>
  </si>
  <si>
    <t>Клеенка Декорама ПВХ 226A 140 см*20 м кофе и молоко на светло-бежевом</t>
  </si>
  <si>
    <t>71197</t>
  </si>
  <si>
    <t>Клеенка Декорама ПВХ 230С 140 см*20 м пионы фиолетовые и бежевые</t>
  </si>
  <si>
    <t>71113</t>
  </si>
  <si>
    <t>Клеенка Декорама ПВХ 233С 140 см*20 м ромашки на фиолетовом</t>
  </si>
  <si>
    <t>71185</t>
  </si>
  <si>
    <t>Клеенка Декорама ПВХ 234A 140 см*20 м лилии на розово-сером</t>
  </si>
  <si>
    <t>71186</t>
  </si>
  <si>
    <t>Клеенка Декорама ПВХ 234В 140 см*20 м лилии на бежевом</t>
  </si>
  <si>
    <t>71187</t>
  </si>
  <si>
    <t>Клеенка Декорама ПВХ 234С 140 см*20 м лилии на сером</t>
  </si>
  <si>
    <t>71114</t>
  </si>
  <si>
    <t>Клеенка Декорама ПВХ 235A 140 см*20 м герберы лимоны и оливки на бежевом</t>
  </si>
  <si>
    <t>71145</t>
  </si>
  <si>
    <t>Клеенка Декорама ПВХ 235B 140 см*20 м герберы лимоны и оливки на бежевом</t>
  </si>
  <si>
    <t>71153</t>
  </si>
  <si>
    <t>Клеенка Декорама ПВХ 244B 140 см*20 м сине-зеленые листья на белом</t>
  </si>
  <si>
    <t>71129</t>
  </si>
  <si>
    <t>Клеенка Декорама ПВХ 248А 140 см*20 м цветы на бежевом</t>
  </si>
  <si>
    <t>71142</t>
  </si>
  <si>
    <t>Клеенка Декорама ПВХ 248В 140 см*20 м цветы на бежевом</t>
  </si>
  <si>
    <t>71177</t>
  </si>
  <si>
    <t>Клеенка Декорама ПВХ 250B 140 см*20 м бежевые цветы на бежевом</t>
  </si>
  <si>
    <t>71121</t>
  </si>
  <si>
    <t>Клеенка Декорама ПВХ 258C 140 см*20 м клетка серая</t>
  </si>
  <si>
    <t>71112</t>
  </si>
  <si>
    <t>Клеенка Декорама ПВХ 258E 140 см*20 м клетка зеленая</t>
  </si>
  <si>
    <t>712 Термоклеенка силиконовая прозрачная</t>
  </si>
  <si>
    <t>71230</t>
  </si>
  <si>
    <t>Термоклеенка Crystal 0,6*15 м ПВХ прозрачная толщ. 1,2 мм</t>
  </si>
  <si>
    <t>71226</t>
  </si>
  <si>
    <t>Термоклеенка Crystal 0,6*20 м ПВХ прозрачная толщ. 0,8 мм</t>
  </si>
  <si>
    <t>71232</t>
  </si>
  <si>
    <t>Термоклеенка Crystal 1,0*15 м ПВХ прозрачная толщ. 1,2 мм</t>
  </si>
  <si>
    <t>71228</t>
  </si>
  <si>
    <t>Термоклеенка Crystal 1,4*20 м ПВХ прозрачная толщ. 0,8 мм</t>
  </si>
  <si>
    <t>71214</t>
  </si>
  <si>
    <t>Термоклеенка Dekorelle 0,6*20 м 113 силиконовая прозрачная 0,8 мм</t>
  </si>
  <si>
    <t>71240</t>
  </si>
  <si>
    <t>Термоклеенка Dekorelle 0,8*20 м 001-G силиконовая прозрачная золото</t>
  </si>
  <si>
    <t>71244</t>
  </si>
  <si>
    <t>Термоклеенка Dekorelle 0,8*20 м 004-G силиконовая прозрачная золото</t>
  </si>
  <si>
    <t>71238</t>
  </si>
  <si>
    <t>Термоклеенка Dekorelle 0,8*20 м 004-S силиконовая прозрачная серебро</t>
  </si>
  <si>
    <t>71253</t>
  </si>
  <si>
    <t>Термоклеенка Dekorelle 0,8*20 м 010-G силиконовая прозрачная золото</t>
  </si>
  <si>
    <t>71243</t>
  </si>
  <si>
    <t>Термоклеенка Dekorelle 0,8*20 м 010-S силиконовая прозрачная серебро</t>
  </si>
  <si>
    <t>71257</t>
  </si>
  <si>
    <t>Термоклеенка Dekorelle 0,8*20 м 015-G силиконовая прозрачная золото</t>
  </si>
  <si>
    <t>71239</t>
  </si>
  <si>
    <t>Термоклеенка Dekorelle 0,8*20 м 018-G силиконовая прозрачная золото</t>
  </si>
  <si>
    <t>71255</t>
  </si>
  <si>
    <t>Термоклеенка Dekorelle 0,8*20 м 021-G силиконовая прозрачная золото</t>
  </si>
  <si>
    <t>71259</t>
  </si>
  <si>
    <t>Термоклеенка Dekorelle 0,8*20 м 027-S силиконовая прозрачная серебро</t>
  </si>
  <si>
    <t>71254</t>
  </si>
  <si>
    <t>Термоклеенка Dekorelle 0,8*20 м 049-S силиконовая белая серебро</t>
  </si>
  <si>
    <t>71256</t>
  </si>
  <si>
    <t>Термоклеенка Dekorelle 0,8*20 м 054 силиконовая прозрачная с печатью</t>
  </si>
  <si>
    <t>71213</t>
  </si>
  <si>
    <t>Термоклеенка Dekorelle 0,8*20 м 123 силиконовая прозрачная 0,8 мм</t>
  </si>
  <si>
    <t>71252</t>
  </si>
  <si>
    <t>Термоклеенка Dekorelle 0,8*20 м 126 силиконовая прозрачная 1,5 мм</t>
  </si>
  <si>
    <t>71241</t>
  </si>
  <si>
    <t>Термоклеенка Dekorelle 0,8*20 м 129-GW силиконовая белая золото</t>
  </si>
  <si>
    <t>71245</t>
  </si>
  <si>
    <t>Термоклеенка Dekorelle 0,8*20 м 129-SW силиконовая белая серебро</t>
  </si>
  <si>
    <t>71242</t>
  </si>
  <si>
    <t>Термоклеенка Dekorelle 0,8*20 м 130-W силиконовая прозрачная белая</t>
  </si>
  <si>
    <t>71261</t>
  </si>
  <si>
    <t>Термоклеенка Dekorelle 0,8*20 м 167-S силиконовая прозрачная серебро</t>
  </si>
  <si>
    <t>71258</t>
  </si>
  <si>
    <t>Термоклеенка Dekorelle 0,8*20 м 168-S силиконовая прозрачная серебро</t>
  </si>
  <si>
    <t>71262</t>
  </si>
  <si>
    <t>Термоклеенка Dekorelle 0,8*20 м 180-S силиконовая прозрачная серебро</t>
  </si>
  <si>
    <t>71260</t>
  </si>
  <si>
    <t>Термоклеенка Dekorelle 0,8*20 м 181-S силиконовая прозрачная серебро</t>
  </si>
  <si>
    <t>71247</t>
  </si>
  <si>
    <t>Термоклеенка Dekorelle 0,8*20 м 197-G силиконовая прозрачная золото</t>
  </si>
  <si>
    <t>71246</t>
  </si>
  <si>
    <t>Термоклеенка Dekorelle 0,8*20 м 197-S силиконовая прозрачная серебро</t>
  </si>
  <si>
    <t>71248</t>
  </si>
  <si>
    <t>Термоклеенка Dekorelle 0,8*20 м 199-G силиконовая прозрачная золото блестки</t>
  </si>
  <si>
    <t>71263</t>
  </si>
  <si>
    <t>Термоклеенка Dekorelle 0,8*20 м 201-SW силиконовая белая серебро</t>
  </si>
  <si>
    <t>71264</t>
  </si>
  <si>
    <t>Термоклеенка Dekorelle 0,8*20 м 206 силиконовая белая печать</t>
  </si>
  <si>
    <t>71266</t>
  </si>
  <si>
    <t>Термоклеенка Dekorelle 0,8*20 м 703 силиконовая прозрачная серебро</t>
  </si>
  <si>
    <t>71267</t>
  </si>
  <si>
    <t>Термоклеенка Dekorelle 0,8*20 м 727 силиконовая прозрачная золото</t>
  </si>
  <si>
    <t>71249</t>
  </si>
  <si>
    <t>Термоклеенка Dekorelle 1,0*20 м 004-G силиконовая прозрачная золото</t>
  </si>
  <si>
    <t>71265</t>
  </si>
  <si>
    <t>Термоклеенка Dekorelle 1,0*20 м 010-G силиконовая прозрачная золото</t>
  </si>
  <si>
    <t>71217</t>
  </si>
  <si>
    <t>Термоклеенка Dekorelle 1,0*20 м 133 силиконовая прозрачная 0,8 мм</t>
  </si>
  <si>
    <t>71250</t>
  </si>
  <si>
    <t>Термоклеенка Dekorelle 1,0*20 м 172-S силиконовая прозрачная серебро</t>
  </si>
  <si>
    <t>71251</t>
  </si>
  <si>
    <t>Термоклеенка Dekorelle 1,0*20 м 209-S силиконовая прозрачная серебро блестки</t>
  </si>
  <si>
    <t>71215</t>
  </si>
  <si>
    <t>Термоклеенка Dekorelle 1,2*20 м 143 силиконовая прозрачная 0,8 мм</t>
  </si>
  <si>
    <t>71218</t>
  </si>
  <si>
    <t>Термоклеенка Dekorelle 1,4*25 м 1511 силиконовая прозрачная 0,5 мм</t>
  </si>
  <si>
    <t>71206</t>
  </si>
  <si>
    <t>Термоклеенка Laser 0,8*15 м 4205 силиконовая прозрачная с печатью</t>
  </si>
  <si>
    <t>71084</t>
  </si>
  <si>
    <t>Термоклеенка Laser 0,8*15 м 4230 силиконовая прозрачная с печатью</t>
  </si>
  <si>
    <t>71229</t>
  </si>
  <si>
    <t>Термоклеенка Т5059 прозрачная 0,6*20 м 0,7 мм</t>
  </si>
  <si>
    <t>713 Клеенка в рулонах</t>
  </si>
  <si>
    <t>71377</t>
  </si>
  <si>
    <t>Клеенка Carnelia CL-1021B 1,40*20 м</t>
  </si>
  <si>
    <t>71379</t>
  </si>
  <si>
    <t>Клеенка Carnelia CL-2040 1,40*20 м</t>
  </si>
  <si>
    <t>71391</t>
  </si>
  <si>
    <t>Клеенка Grace D8038 ПВХ 1,37*20 м</t>
  </si>
  <si>
    <t>71392</t>
  </si>
  <si>
    <t>Клеенка Grace D81174-1 ПВХ 1,37*20 м цветы на фиолет.</t>
  </si>
  <si>
    <t>71393</t>
  </si>
  <si>
    <t>Клеенка Grace D8118 ПВХ 1,37*20 м букет цветов</t>
  </si>
  <si>
    <t>71304</t>
  </si>
  <si>
    <t>Клеенка Grace D8172-3 ПВХ 1,37*20 м розы</t>
  </si>
  <si>
    <t>71305</t>
  </si>
  <si>
    <t>Клеенка Grace D8729 ПВХ 1,37*20 м</t>
  </si>
  <si>
    <t>71390</t>
  </si>
  <si>
    <t>Клеенка Grace LH-0558B ПВХ 0.50*20 м Лейс</t>
  </si>
  <si>
    <t>71306</t>
  </si>
  <si>
    <t>Клеенка Grace NH-6086-1 ПВХ 1,35*25 м</t>
  </si>
  <si>
    <t>71320</t>
  </si>
  <si>
    <t>Клеенка Grace NI-60691-01 ПВХ 1,37*25 м</t>
  </si>
  <si>
    <t>71395</t>
  </si>
  <si>
    <t>Клеенка Grace NI-6464-1 ПВХ 1,35*25 м посуда на бежевом</t>
  </si>
  <si>
    <t>71396</t>
  </si>
  <si>
    <t>Клеенка Grace NI-6464-3 ПВХ 1,35*25 м посуда на голубом</t>
  </si>
  <si>
    <t>71397</t>
  </si>
  <si>
    <t>Клеенка Grace NJ-6371-1 ПВХ 1,35*25 м фрукты и ягоды на бежевом</t>
  </si>
  <si>
    <t>71398</t>
  </si>
  <si>
    <t>Клеенка Grace NM-6332-1 ПВХ 1,35*25 м серо-зеленые листья на белом</t>
  </si>
  <si>
    <t>71399</t>
  </si>
  <si>
    <t>Клеенка Grace NM-6334-2 ПВХ 1,35*25 м</t>
  </si>
  <si>
    <t>71310</t>
  </si>
  <si>
    <t>Клеенка Grace NM-6448-2 ПВХ 1,35*25 м цветы на синем</t>
  </si>
  <si>
    <t>71311</t>
  </si>
  <si>
    <t>Клеенка Grace NN-6470-3 ПВХ 1,35*25 м</t>
  </si>
  <si>
    <t>71344</t>
  </si>
  <si>
    <t>Клеенка Mirage H200 прозрачная с печатью 1,37*25 м</t>
  </si>
  <si>
    <t>71353</t>
  </si>
  <si>
    <t>Клеенка Mirage H211 прозрачная с печатью 1,37*25 м</t>
  </si>
  <si>
    <t>71326</t>
  </si>
  <si>
    <t>Клеенка Modemo 6241-01 ПВХ 1,40*20 м</t>
  </si>
  <si>
    <t>71327</t>
  </si>
  <si>
    <t>Клеенка Modemo 6243-01 ПВХ 1,40*20 м</t>
  </si>
  <si>
    <t>71328</t>
  </si>
  <si>
    <t>Клеенка Modemo 6253-01 ПВХ 1,40*20 м</t>
  </si>
  <si>
    <t>71324</t>
  </si>
  <si>
    <t>Клеенка NataM E-6493-5T ПВХ 1,35*30 м</t>
  </si>
  <si>
    <t>71319</t>
  </si>
  <si>
    <t>Клеенка NataM M-114-1T ПВХ 1,35*30 м</t>
  </si>
  <si>
    <t>71323</t>
  </si>
  <si>
    <t>Клеенка NataM N-6491-4T ПВХ 1,35*30 м</t>
  </si>
  <si>
    <t>47485</t>
  </si>
  <si>
    <t>Клеенка Вальтери FY-4103B-8016F FY-14 двухсторонняя 1.37*20 м золото</t>
  </si>
  <si>
    <t>47491</t>
  </si>
  <si>
    <t>Клеенка Вальтери FY-4509B-8088F FY-19 двухсторонняя 1.37*20 м золото</t>
  </si>
  <si>
    <t>47497</t>
  </si>
  <si>
    <t>Клеенка Вальтери FY-4517B-8094F FY-24 двухсторонняя 1.37*20 м золото</t>
  </si>
  <si>
    <t>71042</t>
  </si>
  <si>
    <t>Клеенка Вальтери FY-6317А-8093F двухсторонняя 1.37*20 м золото</t>
  </si>
  <si>
    <t>71019</t>
  </si>
  <si>
    <t>Клеенка Вальтери SJ-7420D-8619F ткан.осн. 1.37*20 м лазерная</t>
  </si>
  <si>
    <t>71041</t>
  </si>
  <si>
    <t>Клеенка Вальтери SY-1170B-8057 ткан.осн. 1.37*20 м</t>
  </si>
  <si>
    <t>71045</t>
  </si>
  <si>
    <t>Клеенка Вальтери SY-1177F-8057 ткан.осн. 1.37*20 м</t>
  </si>
  <si>
    <t>47451</t>
  </si>
  <si>
    <t>Клеенка Вальтери ZJ-4103H ZJB-3 неткан.осн. 1.37*20 м лазерная</t>
  </si>
  <si>
    <t>71361</t>
  </si>
  <si>
    <t>Клеенка Лазер FY-1283Е-8093B печатная серебро 1,32 м *22 м</t>
  </si>
  <si>
    <t>71365</t>
  </si>
  <si>
    <t>Клеенка Лазер FY-1339А-8091F печатная золото 1,32 м *22 м</t>
  </si>
  <si>
    <t>71370</t>
  </si>
  <si>
    <t>Клеенка Лазер FY-2171A-8094F печатная серебро 1,32 м *22 м</t>
  </si>
  <si>
    <t>71372</t>
  </si>
  <si>
    <t>Клеенка Лазер FY-7181D-8094F печатная золото 1,32 м *22 м</t>
  </si>
  <si>
    <t>71371</t>
  </si>
  <si>
    <t>Клеенка Лазер FY-7181D-8094В печатная золото 1,32 м *22 м</t>
  </si>
  <si>
    <t>71373</t>
  </si>
  <si>
    <t>Клеенка Лазер LS-1931AB 1,32 м *20 м цветы на белом</t>
  </si>
  <si>
    <t>71374</t>
  </si>
  <si>
    <t>Клеенка Лазер LS-1942AB 1,32 м *20 м красные и бежевые цветы на белом</t>
  </si>
  <si>
    <t>71318</t>
  </si>
  <si>
    <t>Клеенка ПВХ на нетканой основе 1,37*20м Кофейный принт 423-054</t>
  </si>
  <si>
    <t>71321</t>
  </si>
  <si>
    <t>Клеенка ПВХ на нетканой основе 1,37*20м Цветочная поляна 423-056</t>
  </si>
  <si>
    <t>71386</t>
  </si>
  <si>
    <t>Клеенка ПВХ на нетканой основе 1,4*20м Florista 1633-03</t>
  </si>
  <si>
    <t>71387</t>
  </si>
  <si>
    <t>Клеенка ПВХ на нетканой основе 1,4*20м Moderno 6154-00</t>
  </si>
  <si>
    <t>71388</t>
  </si>
  <si>
    <t>Клеенка ПВХ на нетканой основе 1,4*20м Moderno 6265-00</t>
  </si>
  <si>
    <t>71080</t>
  </si>
  <si>
    <t>Клеенка Принт SY-1017А-8057 ткан.осн. 1.37*20 м лазерная</t>
  </si>
  <si>
    <t>71135</t>
  </si>
  <si>
    <t>Клеенка рельефная ПВХ F286 140 см*20 м</t>
  </si>
  <si>
    <t>750-759 Интерьер</t>
  </si>
  <si>
    <t>750 Комоды</t>
  </si>
  <si>
    <t>75056</t>
  </si>
  <si>
    <t>Комод Альтернатива 4-х секц 44 котенка №1 М7643</t>
  </si>
  <si>
    <t>75058</t>
  </si>
  <si>
    <t>Комод Альтернатива 4-х секц 44 котенка широкий М7645</t>
  </si>
  <si>
    <t>75012</t>
  </si>
  <si>
    <t>Комод Альтернатива 4-х секц Beby Sark'S Big Show широкий М8492</t>
  </si>
  <si>
    <t>75014</t>
  </si>
  <si>
    <t>Комод Альтернатива 4-х секц BOY М1998</t>
  </si>
  <si>
    <t>75026</t>
  </si>
  <si>
    <t>Комод Альтернатива 4-х секц GIRL М1999</t>
  </si>
  <si>
    <t>75010</t>
  </si>
  <si>
    <t>Комод Альтернатива 4-х секц LOL Surprise М8230</t>
  </si>
  <si>
    <t>75023</t>
  </si>
  <si>
    <t>Комод Альтернатива 4-х секц LOL Surprise широкий М8229</t>
  </si>
  <si>
    <t>49072</t>
  </si>
  <si>
    <t>Комод Альтернатива 4-х секц белый М5507</t>
  </si>
  <si>
    <t>49011</t>
  </si>
  <si>
    <t>Комод Альтернатива 4-х секц Весна в Париже широкий М2266</t>
  </si>
  <si>
    <t>49085</t>
  </si>
  <si>
    <t>Комод Альтернатива 4-х секц детский для девочек М1240</t>
  </si>
  <si>
    <t>75015</t>
  </si>
  <si>
    <t>Комод Альтернатива 4-х секц детский для мальчиков М1243</t>
  </si>
  <si>
    <t>75060</t>
  </si>
  <si>
    <t>Комод Альтернатива 4-х секц Колорит венге М7836</t>
  </si>
  <si>
    <t>75087</t>
  </si>
  <si>
    <t>Комод Альтернатива 4-х секц Колорит широкий бежевый М8759</t>
  </si>
  <si>
    <t>75088</t>
  </si>
  <si>
    <t>Комод Альтернатива 4-х секц Колорит широкий венге М8761</t>
  </si>
  <si>
    <t>75089</t>
  </si>
  <si>
    <t>Комод Альтернатива 4-х секц Колорит широкий цветной М8822</t>
  </si>
  <si>
    <t>49019</t>
  </si>
  <si>
    <t>Комод Альтернатива 4-х секц коричневый М1356</t>
  </si>
  <si>
    <t>75003</t>
  </si>
  <si>
    <t>Комод Альтернатива 4-х секц Лаура широкий белый М6791</t>
  </si>
  <si>
    <t>75004</t>
  </si>
  <si>
    <t>Комод Альтернатива 4-х секц Лаура широкий венге М6874</t>
  </si>
  <si>
    <t>75005</t>
  </si>
  <si>
    <t>Комод Альтернатива 4-х секц Лаура широкий слон.кость М6839</t>
  </si>
  <si>
    <t>49089</t>
  </si>
  <si>
    <t>Комод Альтернатива 4-х секц Медвежата М1701</t>
  </si>
  <si>
    <t>75039</t>
  </si>
  <si>
    <t>Комод Альтернатива 4-х секц Мульти-пульти широкий М2265</t>
  </si>
  <si>
    <t>75027</t>
  </si>
  <si>
    <t>Комод Альтернатива 4-х секц Орхидеи М2059</t>
  </si>
  <si>
    <t>49034</t>
  </si>
  <si>
    <t>Комод Альтернатива 4-х секц Орхидеи широкий М2638</t>
  </si>
  <si>
    <t>49079</t>
  </si>
  <si>
    <t>Комод Альтернатива 4-х секц Плетенка какао М2434</t>
  </si>
  <si>
    <t>49045</t>
  </si>
  <si>
    <t>Комод Альтернатива 4-х секц Плетенка слоновая кость М2430</t>
  </si>
  <si>
    <t>49020</t>
  </si>
  <si>
    <t>Комод Альтернатива 4-х секц Плетенка широкий какао М4061</t>
  </si>
  <si>
    <t>49000</t>
  </si>
  <si>
    <t>Комод Альтернатива 4-х секц Плетенка широкий слоновая кость М4059</t>
  </si>
  <si>
    <t>75047</t>
  </si>
  <si>
    <t>Комод Альтернатива 4-х секц Ретро широкий М7112</t>
  </si>
  <si>
    <t>75006</t>
  </si>
  <si>
    <t>Комод Альтернатива 4-х секц Флоран белый М6786</t>
  </si>
  <si>
    <t>75008</t>
  </si>
  <si>
    <t>Комод Альтернатива 4-х секц Флоран слон.кость М6838</t>
  </si>
  <si>
    <t>75048</t>
  </si>
  <si>
    <t>Комод Альтернатива 4-х секц Царевны М8560</t>
  </si>
  <si>
    <t>75029</t>
  </si>
  <si>
    <t>Комод Альтернатива 4-х секц Щенячий патруль плетеный для девочек М6133</t>
  </si>
  <si>
    <t>75009</t>
  </si>
  <si>
    <t>Комод Альтернатива 4-х секц Щенячий патруль широкий М7988</t>
  </si>
  <si>
    <t>75017</t>
  </si>
  <si>
    <t>Комод Альтернатива 4-х секц Эконом М2443</t>
  </si>
  <si>
    <t>75092</t>
  </si>
  <si>
    <t>Комод Альтернатива 5-ти секц Колорит широкий венге М8762</t>
  </si>
  <si>
    <t>75093</t>
  </si>
  <si>
    <t>Комод Альтернатива 5-ти секц Колорит широкий цветной М8823</t>
  </si>
  <si>
    <t>75094</t>
  </si>
  <si>
    <t>Комод Альтернатива 5-ти секц Колорит широкий черный М8764</t>
  </si>
  <si>
    <t>75002</t>
  </si>
  <si>
    <t>Комод Альтернатива 5-ти секц Эконом М6498</t>
  </si>
  <si>
    <t>75143</t>
  </si>
  <si>
    <t>Комод Виолет 4-х секц Kitty с декором с/ручк 0352143</t>
  </si>
  <si>
    <t>75064</t>
  </si>
  <si>
    <t>Комод Виолет 4-х секц Ажур без декора беж/корич 035421</t>
  </si>
  <si>
    <t>75063</t>
  </si>
  <si>
    <t>Комод Виолет 4-х секц Ажур без декора бел/мрамор 035426</t>
  </si>
  <si>
    <t>75077</t>
  </si>
  <si>
    <t>Комод Виолет 4-х секц Акварель с декором 352129</t>
  </si>
  <si>
    <t>75097</t>
  </si>
  <si>
    <t>Комод Виолет 4-х секц Кожа с декором 035294</t>
  </si>
  <si>
    <t>75148</t>
  </si>
  <si>
    <t>Комод Виолет 4-х секц Мечтатель с декором с/ручк 0352139</t>
  </si>
  <si>
    <t>75080</t>
  </si>
  <si>
    <t>Комод Виолет 4-х секц Мозаика с декором 035296</t>
  </si>
  <si>
    <t>75095</t>
  </si>
  <si>
    <t>Комод Виолет 4-х секц Мрамор с декором 035250</t>
  </si>
  <si>
    <t>75098</t>
  </si>
  <si>
    <t>Комод Виолет 4-х секц Плетенка беж/корич 035401</t>
  </si>
  <si>
    <t>75062</t>
  </si>
  <si>
    <t>Комод Виолет 4-х секц Плетенка белый 035406</t>
  </si>
  <si>
    <t>75140</t>
  </si>
  <si>
    <t>Комод Виолет 4-х секц Ротанг белый 035706</t>
  </si>
  <si>
    <t>75021</t>
  </si>
  <si>
    <t>Комод Виолет 4-х секц Ротанг сл кость 035726</t>
  </si>
  <si>
    <t>75081</t>
  </si>
  <si>
    <t>Комод Виолет 4-х секц Хэппи Кидс с декором с/ручк 035245</t>
  </si>
  <si>
    <t>75055</t>
  </si>
  <si>
    <t>Комод Виолет 4-х секц Элегант с декором светлый 035270</t>
  </si>
  <si>
    <t>75054</t>
  </si>
  <si>
    <t>Комод Виолет 4-х секц Элегант с декором темный 035272</t>
  </si>
  <si>
    <t>751 Контейнеры с ручками</t>
  </si>
  <si>
    <t>82783</t>
  </si>
  <si>
    <t>Контейнер Альтернатива д/прод. 4,5л М574 /10/</t>
  </si>
  <si>
    <t>75101</t>
  </si>
  <si>
    <t>Контейнер Альтернатива д/прод. квадр. с ручкаой 4л М1021 /12/</t>
  </si>
  <si>
    <t>82758</t>
  </si>
  <si>
    <t>Контейнер Альтернатива д/прод. квадр. с ручкой 15л М1023 /5/</t>
  </si>
  <si>
    <t>82742</t>
  </si>
  <si>
    <t>Контейнер Альтернатива д/прод. квадр. с ручкой 8,5л М1032/12/</t>
  </si>
  <si>
    <t>75113</t>
  </si>
  <si>
    <t>Контейнер Альтернатива д/прод. круглый с ручками 10,0 л М6762 /6/</t>
  </si>
  <si>
    <t>75114</t>
  </si>
  <si>
    <t>Контейнер Альтернатива д/прод. круглый с ручками 3,0 л М6729 /12/</t>
  </si>
  <si>
    <t>75121</t>
  </si>
  <si>
    <t>Контейнер Альтернатива д/прод. круглый с ручками 7,0 л М147 /10/</t>
  </si>
  <si>
    <t>75122</t>
  </si>
  <si>
    <t>Контейнер Альтернатива д/прод. круглый с ручками 8,0 л М098 /8/</t>
  </si>
  <si>
    <t>82745</t>
  </si>
  <si>
    <t>Контейнер Альтернатива д/прод. прямоуг. с ручкой 11,5л М425 /10/</t>
  </si>
  <si>
    <t>81826</t>
  </si>
  <si>
    <t>Контейнер Альтернатива д/прод. прямоуг. с ручкой 2,5л М421 /12/</t>
  </si>
  <si>
    <t>81840</t>
  </si>
  <si>
    <t>Контейнер Альтернатива д/прод. прямоуг. с ручкой 4,5л М419 /10/</t>
  </si>
  <si>
    <t>82775</t>
  </si>
  <si>
    <t>Контейнер Альтернатива д/прод. прямоуг. с ручкой 7,5л М428 /10/</t>
  </si>
  <si>
    <t>752 Этажерки для обуви пластмассовые</t>
  </si>
  <si>
    <t>75210</t>
  </si>
  <si>
    <t>Этажерка для обуви Альтернатива 1008*510*350 4 секции М665 /4/</t>
  </si>
  <si>
    <t>49600</t>
  </si>
  <si>
    <t>Этажерка для обуви Альтернатива Эконом 1008*510*350 4 секции М2446 /4/</t>
  </si>
  <si>
    <t>753 Вешалки</t>
  </si>
  <si>
    <t>75349</t>
  </si>
  <si>
    <t>Вешалка костюмная Контур белое серебро ВНП 367 БС</t>
  </si>
  <si>
    <t>75308</t>
  </si>
  <si>
    <t>Вешалка костюмная Контур малый цвет белое серебро ВНП 398 БС</t>
  </si>
  <si>
    <t>75314</t>
  </si>
  <si>
    <t>Вешалка костюмная Контур малый цвет медный антик  ВНП 398 М</t>
  </si>
  <si>
    <t>75347</t>
  </si>
  <si>
    <t>Вешалка костюмная Контур малый черный ВНП 398 Ч</t>
  </si>
  <si>
    <t>75350</t>
  </si>
  <si>
    <t>Вешалка костюмная Контур медный антик ВНП 367 М</t>
  </si>
  <si>
    <t>75351</t>
  </si>
  <si>
    <t>Вешалка костюмная Контур черный ВНП 367 Ч</t>
  </si>
  <si>
    <t>75300</t>
  </si>
  <si>
    <t>Вешалка костюмная Римини2 цвет белый ВКР2 Б</t>
  </si>
  <si>
    <t>75325</t>
  </si>
  <si>
    <t>Вешалка костюмная Римини2 цвет черный ВКР2 Ч</t>
  </si>
  <si>
    <t>75355</t>
  </si>
  <si>
    <t>Вешалка костюмная Римини2М цвет черный ВКР2М Ч</t>
  </si>
  <si>
    <t>75346</t>
  </si>
  <si>
    <t>Вешалка костюмная Слуга малая цвет белое серебро ВНП 141 БС</t>
  </si>
  <si>
    <t>49163</t>
  </si>
  <si>
    <t>Вешалка костюмная Слуга№1 цвет белое серебро ВНП 34 БС /2/</t>
  </si>
  <si>
    <t>49169</t>
  </si>
  <si>
    <t>Вешалка костюмная Слуга№1 цвет медный антик ВНП 34 М</t>
  </si>
  <si>
    <t>49170</t>
  </si>
  <si>
    <t>Вешалка костюмная Слуга№1 цвет черный ВНП 34 Ч</t>
  </si>
  <si>
    <t>75340</t>
  </si>
  <si>
    <t>Вешалка костюмная Стиль-3 цвет белое серебро ВНП 300 БС</t>
  </si>
  <si>
    <t>75331</t>
  </si>
  <si>
    <t>Вешалка костюмная Стиль-3 цвет белый ВНП 300 Б</t>
  </si>
  <si>
    <t>75307</t>
  </si>
  <si>
    <t>Вешалка костюмная Стиль-3 цвет графит ВНП 300 ГР</t>
  </si>
  <si>
    <t>75341</t>
  </si>
  <si>
    <t>Вешалка костюмная Стиль-3 цвет медный антик ВНП 300 М</t>
  </si>
  <si>
    <t>75345</t>
  </si>
  <si>
    <t>Вешалка костюмная Стиль-3 цвет черный ВНП 300 Ч</t>
  </si>
  <si>
    <t>75315</t>
  </si>
  <si>
    <t>Вешалка надверная 2 кр мет 12*15*5 см 3 цв 465-164</t>
  </si>
  <si>
    <t>75316</t>
  </si>
  <si>
    <t>Вешалка надверная 5 кр 24*5*2,5*9,5 см мет. 639-046 /10/</t>
  </si>
  <si>
    <t>75357</t>
  </si>
  <si>
    <t>Вешалка надверная 5 кр М005 /60/</t>
  </si>
  <si>
    <t>75359</t>
  </si>
  <si>
    <t>Вешалка надверная 5 кр пластик нагрузка 5кг 3221А /240/</t>
  </si>
  <si>
    <t>75358</t>
  </si>
  <si>
    <t>Вешалка надверная 6 кр М006 /60/</t>
  </si>
  <si>
    <t>75343</t>
  </si>
  <si>
    <t>Вешалка надверная 7*2 см AN52-92 /12/</t>
  </si>
  <si>
    <t>75602</t>
  </si>
  <si>
    <t>Вешалка надверная Гость 2 медный антик ВД 295 М /10/</t>
  </si>
  <si>
    <t>75309</t>
  </si>
  <si>
    <t>Вешалка надверная Гость 2 серый ВД 295 С</t>
  </si>
  <si>
    <t>48487</t>
  </si>
  <si>
    <t>Вешалка надверная Гость 3 серый ВД 296 С /10/</t>
  </si>
  <si>
    <t>75306</t>
  </si>
  <si>
    <t>Вешалка надверная Нота 3 белый ВНД 308 Б /5/</t>
  </si>
  <si>
    <t>75320</t>
  </si>
  <si>
    <t>Вешалка надверная Нота 3 медный антик ВНД 308 М</t>
  </si>
  <si>
    <t>48432</t>
  </si>
  <si>
    <t>Вешалка надверная Нота 3 черный ВНД 308 Ч</t>
  </si>
  <si>
    <t>75339</t>
  </si>
  <si>
    <t>Вешалка надверная Нота 5 белый ВНД 310 Б /5/</t>
  </si>
  <si>
    <t>48479</t>
  </si>
  <si>
    <t>Вешалка надверная Нота 5 медный антик ВНД 310 М /5/</t>
  </si>
  <si>
    <t>75323</t>
  </si>
  <si>
    <t>Вешалка надверная Нота 5 Черная ВНД 310 Ч /5/</t>
  </si>
  <si>
    <t>75321</t>
  </si>
  <si>
    <t>Вешалка подвесная на полку 4 крючка мет. 481-059 /60/</t>
  </si>
  <si>
    <t>75324</t>
  </si>
  <si>
    <t>Вешалка-стойка №8 Престиж цвет белый ВНП 199 Б</t>
  </si>
  <si>
    <t>49171</t>
  </si>
  <si>
    <t>Вешалка-стойка №8 Престиж цвет Медный антик ВНП 199 М</t>
  </si>
  <si>
    <t>75344</t>
  </si>
  <si>
    <t>Вешалка-стойка №8 Престиж цвет черный ВНП 199 Ч</t>
  </si>
  <si>
    <t>75302</t>
  </si>
  <si>
    <t>Вешалка-стойка №9 Дерево Белое серебро ВНП 211 БС</t>
  </si>
  <si>
    <t>75342</t>
  </si>
  <si>
    <t>Вешалка-стойка №9 Дерево белый ВНП 211 Б</t>
  </si>
  <si>
    <t>75303</t>
  </si>
  <si>
    <t>Вешалка-стойка №9 Дерево Медный антик ВНП 211 М</t>
  </si>
  <si>
    <t>75301</t>
  </si>
  <si>
    <t>Вешалка-стойка №9 Дерево черный ВНП 211 Ч</t>
  </si>
  <si>
    <t>75322</t>
  </si>
  <si>
    <t>Вешалка-стойка Корона №3 цвет белый ВНП 17 Б</t>
  </si>
  <si>
    <t>75328</t>
  </si>
  <si>
    <t>Вешалка-стойка Корона №3 цвет медный антик ВНП 17 М</t>
  </si>
  <si>
    <t>75327</t>
  </si>
  <si>
    <t>Вешалка-стойка Корона №3 цвет черный ВНП 17 Ч</t>
  </si>
  <si>
    <t>75312</t>
  </si>
  <si>
    <t>Вешалка-стойка Корона разборная цвет медный антик ВНП 366 М</t>
  </si>
  <si>
    <t>75305</t>
  </si>
  <si>
    <t>Вешалка-стойка Корона цвет белое серебро ВНП 365 БС</t>
  </si>
  <si>
    <t>75332</t>
  </si>
  <si>
    <t>Вешалка-стойка Луч 3 цвет белый ВНП 338 Б</t>
  </si>
  <si>
    <t>75333</t>
  </si>
  <si>
    <t>Вешалка-стойка Луч 3 цвет графит ВНП 338 ГР</t>
  </si>
  <si>
    <t>75318</t>
  </si>
  <si>
    <t>Вешалка-стойка Луч 3 цвет медный антик ВНП 338 М</t>
  </si>
  <si>
    <t>75334</t>
  </si>
  <si>
    <t>Вешалка-стойка Луч 5 цвет графит ВНП 361 ГР</t>
  </si>
  <si>
    <t>75338</t>
  </si>
  <si>
    <t>Вешалка-стойка Луч 5 цвет черный ВНП 361 Ч</t>
  </si>
  <si>
    <t>75311</t>
  </si>
  <si>
    <t>Вешалка-стойка Луч на диске 5 цвет медный антик ВНП 364 М</t>
  </si>
  <si>
    <t>49142</t>
  </si>
  <si>
    <t>Вешалка-стойка Тюльпан №2 цвет белое серебро ВНП 13 БС</t>
  </si>
  <si>
    <t>75326</t>
  </si>
  <si>
    <t>Вешалка-стойка Тюльпан №2 цвет белый ВНП 13 Б</t>
  </si>
  <si>
    <t>49132</t>
  </si>
  <si>
    <t>Вешалка-стойка Тюльпан №2 цвет медный антик ВНП 13 М</t>
  </si>
  <si>
    <t>75352</t>
  </si>
  <si>
    <t>Вешалка-стойка Тюльпан №2 цвет черный ВНП 13 Ч</t>
  </si>
  <si>
    <t>754 Мебель/Предметы интерьера</t>
  </si>
  <si>
    <t>75420</t>
  </si>
  <si>
    <t>Банкетка круглая цвет белое серебро БН 140 БС</t>
  </si>
  <si>
    <t>49157</t>
  </si>
  <si>
    <t>Банкетка круглая цвет Медный антик БН 140 М</t>
  </si>
  <si>
    <t>49127</t>
  </si>
  <si>
    <t>Банкетка круглая цвет Черный БН 140 Ч</t>
  </si>
  <si>
    <t>75483</t>
  </si>
  <si>
    <t>Банкетка Торонто 13S каркас белый сиденье бежевое БТ13СББ</t>
  </si>
  <si>
    <t>75484</t>
  </si>
  <si>
    <t>Банкетка Торонто 13S каркас белый сиденье горчичное БТ13СБГ</t>
  </si>
  <si>
    <t>75485</t>
  </si>
  <si>
    <t>Банкетка Торонто 13S каркас графит сиденье серое БТ13СГрС</t>
  </si>
  <si>
    <t>75487</t>
  </si>
  <si>
    <t>Банкетка Торонто 13S каркас черный сиденье горчичное БТ13СЧГ</t>
  </si>
  <si>
    <t>75486</t>
  </si>
  <si>
    <t>Банкетка Торонто 13S каркас черный сиденье серое БТ13СЧС</t>
  </si>
  <si>
    <t>75413</t>
  </si>
  <si>
    <t>Раскладушка-кровать  Арт. С 816/72 Olsa Валетта 194*79,3*44,5 см с матрасом 8см</t>
  </si>
  <si>
    <t>75466</t>
  </si>
  <si>
    <t>Раскладушка-кровать 190*70см без подголовника, с матрасом 5см, на пр. змейка, на колесах БК-1</t>
  </si>
  <si>
    <t>75472</t>
  </si>
  <si>
    <t>Раскладушка-кровать 190*70см без подголовника, с матрасом 6см, на ламелях БК-2Л (С ДЕФЕКТОМ)</t>
  </si>
  <si>
    <t>75431</t>
  </si>
  <si>
    <t>Раскладушка-кровать 190*70см с подголовником ЭК-01 тр20</t>
  </si>
  <si>
    <t>75473</t>
  </si>
  <si>
    <t>Раскладушка-кровать 190*70см с подголовником, с матрасом 3см ЭК-М30 тр20 (С ДЕФЕКТОМ)</t>
  </si>
  <si>
    <t>75475</t>
  </si>
  <si>
    <t>Раскладушка-кровать 200*70см без подголовника ЭК-02 (С ДЕФЕКТОМ)</t>
  </si>
  <si>
    <t>75459</t>
  </si>
  <si>
    <t>Раскладушка-кровать 200*70см без подголовника, с матрасом 6см ЭК-02М</t>
  </si>
  <si>
    <t>75476</t>
  </si>
  <si>
    <t>Раскладушка-кровать 200*70см без подголовника, с матрасом 6см ЭК-02М (С ДЕФЕКТОМ)</t>
  </si>
  <si>
    <t>75477</t>
  </si>
  <si>
    <t>Раскладушка-кровать 200*70см без подголовника, с матрасом 6см, на пр. змейка БК-2 (С ДЕФЕКТОМ)</t>
  </si>
  <si>
    <t>75471</t>
  </si>
  <si>
    <t>Раскладушка-кровать 200*70см без подголовника, с матрасом 6см, на сетке БК-2С</t>
  </si>
  <si>
    <t>75478</t>
  </si>
  <si>
    <t>Раскладушка-кровать 200*70см без подголовника, с матрасом 6см, на сетке БК-2С (С ДЕФЕКТОМ)</t>
  </si>
  <si>
    <t>75479</t>
  </si>
  <si>
    <t>Раскладушка-кровать 200*70см с подголовником, с матрасом 6см ЭК-03М (С ДЕФЕКТОМ)</t>
  </si>
  <si>
    <t>75401</t>
  </si>
  <si>
    <t>Раскладушка-кровать Olsa Верона 194*79,3*38,5 см с матрасом 5см</t>
  </si>
  <si>
    <t>75441</t>
  </si>
  <si>
    <t>Раскладушка-кровать Дрема-2 белое серебро КРБ 193 БС</t>
  </si>
  <si>
    <t>49167</t>
  </si>
  <si>
    <t>Раскладушка-кровать Дрема-4 усиленная  КРУ 205</t>
  </si>
  <si>
    <t>75419</t>
  </si>
  <si>
    <t>Раскладушка-кровать Соня-М1 с полумягким матрасом 4см 1500*600*300/60 кг</t>
  </si>
  <si>
    <t>75414</t>
  </si>
  <si>
    <t>Стул Эврика белый М6332 /3/</t>
  </si>
  <si>
    <t>75418</t>
  </si>
  <si>
    <t>Стул Эврика коричневый М6333 /3/</t>
  </si>
  <si>
    <t>75422</t>
  </si>
  <si>
    <t>Стул-табурет бежевый М1547 /5/</t>
  </si>
  <si>
    <t>75423</t>
  </si>
  <si>
    <t>Стул-табурет зеленый М1370 /5/</t>
  </si>
  <si>
    <t>75430</t>
  </si>
  <si>
    <t>Стул-табурет коричненвый М1369 /5/</t>
  </si>
  <si>
    <t>75424</t>
  </si>
  <si>
    <t>Стул-табурет красный М1368 /5/</t>
  </si>
  <si>
    <t>49131</t>
  </si>
  <si>
    <t>Табурет Альтернатива для сада с боксом М5833 /5/</t>
  </si>
  <si>
    <t>75462</t>
  </si>
  <si>
    <t>Табурет Альтернатива с боксом универсальный М5831 /5/</t>
  </si>
  <si>
    <t>75416</t>
  </si>
  <si>
    <t>Табурет Виолет Ротанг h33 сл кость /6/</t>
  </si>
  <si>
    <t>75415</t>
  </si>
  <si>
    <t>Табурет Виолет Ротанг h45 корич /10/</t>
  </si>
  <si>
    <t>75482</t>
  </si>
  <si>
    <t>Табурет Виолет Ротанг h45 сл кость /10/</t>
  </si>
  <si>
    <t>75468</t>
  </si>
  <si>
    <t>Табурет квадр. Пенек крепкий бежевый Т 269 /4/</t>
  </si>
  <si>
    <t>75434</t>
  </si>
  <si>
    <t>Табурет квадр. Пенек крепкий ваниль Т 269 /4/</t>
  </si>
  <si>
    <t>75480</t>
  </si>
  <si>
    <t>Табурет квадр. Пенек крепкий коричневый Т 269 /4/</t>
  </si>
  <si>
    <t>49122</t>
  </si>
  <si>
    <t>Табурет квадр. Пенек крепкий оливковый Т 269</t>
  </si>
  <si>
    <t>75421</t>
  </si>
  <si>
    <t>Табурет квадр. Пенек крепкий серый Т 269 /4/</t>
  </si>
  <si>
    <t>49123</t>
  </si>
  <si>
    <t>Табурет квадр. Пенек легкий бежевый 184 /4/</t>
  </si>
  <si>
    <t>75435</t>
  </si>
  <si>
    <t>Табурет квадр. Пенек легкий ваниль 184</t>
  </si>
  <si>
    <t>49111</t>
  </si>
  <si>
    <t>Табурет квадр. Пенек легкий оливковый 184</t>
  </si>
  <si>
    <t>75436</t>
  </si>
  <si>
    <t>Табурет квадр. Пенек легкий пыльная роза 184 /4/</t>
  </si>
  <si>
    <t>75481</t>
  </si>
  <si>
    <t>Табурет квадр. Пенек легкий серый 184 /4/</t>
  </si>
  <si>
    <t>75412</t>
  </si>
  <si>
    <t>Табурет кругл. Пенек крепкий бежевый Т 266</t>
  </si>
  <si>
    <t>75438</t>
  </si>
  <si>
    <t>Табурет кругл. Пенек крепкий ваниль Т 266</t>
  </si>
  <si>
    <t>75425</t>
  </si>
  <si>
    <t>Табурет кругл. Пенек крепкий коричневый Т 266 /4/</t>
  </si>
  <si>
    <t>75411</t>
  </si>
  <si>
    <t>Табурет кругл. Пенек крепкий красный Т 266</t>
  </si>
  <si>
    <t>49152</t>
  </si>
  <si>
    <t>Табурет кругл. Пенек крепкий оливковый Т 266</t>
  </si>
  <si>
    <t>49101</t>
  </si>
  <si>
    <t>Табурет кругл. Пенек крепкий оранжевый Т 266</t>
  </si>
  <si>
    <t>75437</t>
  </si>
  <si>
    <t>Табурет кругл. Пенек крепкий пыльная роза Т 266 /4/</t>
  </si>
  <si>
    <t>75456</t>
  </si>
  <si>
    <t>Табурет кругл. Пенек крепкий серый Т 266</t>
  </si>
  <si>
    <t>49180</t>
  </si>
  <si>
    <t>Табурет кругл. Пенек легкий бежевый 180</t>
  </si>
  <si>
    <t>75439</t>
  </si>
  <si>
    <t>Табурет кругл. Пенек легкий ваниль 180</t>
  </si>
  <si>
    <t>49191</t>
  </si>
  <si>
    <t>Табурет кругл. Пенек легкий коричневый 180 Т 270</t>
  </si>
  <si>
    <t>49114</t>
  </si>
  <si>
    <t>Табурет кругл. Пенек легкий оливковый 180</t>
  </si>
  <si>
    <t>75440</t>
  </si>
  <si>
    <t>Табурет кругл. Пенек легкий пыльная роза 180</t>
  </si>
  <si>
    <t>75454</t>
  </si>
  <si>
    <t>Табурет-стремянка Конек белый ТС 277 Б /5/</t>
  </si>
  <si>
    <t>75400</t>
  </si>
  <si>
    <t>Табурет-стремянка Конек графит ТС 277 ГР /5/</t>
  </si>
  <si>
    <t>49194</t>
  </si>
  <si>
    <t>Табурет-стремянка Конек медный антик ТС 277 М /5/</t>
  </si>
  <si>
    <t>81693</t>
  </si>
  <si>
    <t>Табурет-стремянка М3945 /5/</t>
  </si>
  <si>
    <t>755 Этажерки/полки/ящики</t>
  </si>
  <si>
    <t>75589</t>
  </si>
  <si>
    <t>Ключница LaDecor МДФ 22,5*16*5,2 см 2 диз 510-023 /2/36/</t>
  </si>
  <si>
    <t>75543</t>
  </si>
  <si>
    <t>Полка настенная Барселона 21 белая ПНБ21 Б /10/</t>
  </si>
  <si>
    <t>75545</t>
  </si>
  <si>
    <t>Полка настенная Барселона 21 черная ПНБ21 Ч /10/</t>
  </si>
  <si>
    <t>75500</t>
  </si>
  <si>
    <t>Этажерка 2х-секц. Альтернатива настольная белая М6318 /16/</t>
  </si>
  <si>
    <t>75520</t>
  </si>
  <si>
    <t>Этажерка 3х-секц. Nature угловая сл.кость BQ3778СЛК</t>
  </si>
  <si>
    <t>49601</t>
  </si>
  <si>
    <t>Этажерка 3х-секц. Альтернатива для игрушек М1273 /3/</t>
  </si>
  <si>
    <t>75501</t>
  </si>
  <si>
    <t>Этажерка 3х-секц. Альтернатива угловая бежевая М6479 /6/</t>
  </si>
  <si>
    <t>75502</t>
  </si>
  <si>
    <t>Этажерка 3х-секц. Альтернатива угловая белая М6471 /6/</t>
  </si>
  <si>
    <t>75593</t>
  </si>
  <si>
    <t>Этажерка 3х-секц. Виолет Vikea угловая белая 783306</t>
  </si>
  <si>
    <t>75594</t>
  </si>
  <si>
    <t>Этажерка 3х-секц. Виолет Vikea угловая серая 783318</t>
  </si>
  <si>
    <t>75595</t>
  </si>
  <si>
    <t>Этажерка 3х-секц. Виолет Vikea угловая черная 783307</t>
  </si>
  <si>
    <t>75515</t>
  </si>
  <si>
    <t>Этажерка 3х-секц. Виолет Vikea узкая на колесах белая 760306</t>
  </si>
  <si>
    <t>75540</t>
  </si>
  <si>
    <t>Этажерка 3х-секц. Виолет Vikea узкая на колесах белая 782306</t>
  </si>
  <si>
    <t>75542</t>
  </si>
  <si>
    <t>Этажерка 3х-секц. Виолет Vikea узкая на колесах серая 782318</t>
  </si>
  <si>
    <t>75546</t>
  </si>
  <si>
    <t>Этажерка 3х-секц. Виолет Vikea узкая на колесах черная 782307</t>
  </si>
  <si>
    <t>75527</t>
  </si>
  <si>
    <t>Этажерка 4х-секц. Nature угловая микс BQ3779МИКС</t>
  </si>
  <si>
    <t>75534</t>
  </si>
  <si>
    <t>Этажерка 4х-секц. Prima угловая сл.кость BQ2833СЛК /8/</t>
  </si>
  <si>
    <t>49602</t>
  </si>
  <si>
    <t>Этажерка 4х-секц. Альтернатива 830х510х350мм М598 /4/</t>
  </si>
  <si>
    <t>75555</t>
  </si>
  <si>
    <t>Этажерка 4х-секц. Альтернатива д/обуви венге М7057</t>
  </si>
  <si>
    <t>75514</t>
  </si>
  <si>
    <t>Этажерка 4х-секц. Альтернатива Плетенка №2 бежевый М2553</t>
  </si>
  <si>
    <t>49619</t>
  </si>
  <si>
    <t>Этажерка 4х-секц. Альтернатива Плетенка №2 белый М2551</t>
  </si>
  <si>
    <t>49627</t>
  </si>
  <si>
    <t>Этажерка 4х-секц. Альтернатива Плетенка №2 какао М2552</t>
  </si>
  <si>
    <t>75512</t>
  </si>
  <si>
    <t>Этажерка 4х-секц. Альтернатива Плетенка №2 сл.кость М2521</t>
  </si>
  <si>
    <t>75505</t>
  </si>
  <si>
    <t>Этажерка 4х-секц. Альтернатива Универсал коричневый М6530</t>
  </si>
  <si>
    <t>75511</t>
  </si>
  <si>
    <t>Этажерка 4х-секц. Альтернатива Универсал Лайт белый М7556 /2/</t>
  </si>
  <si>
    <t>75509</t>
  </si>
  <si>
    <t>Этажерка 4х-секц. Альтернатива Универсал Лайт сл.кость/беж М7557 /2/</t>
  </si>
  <si>
    <t>75596</t>
  </si>
  <si>
    <t>Этажерка 4х-секц. Виолет Vikea угловая белая 783406</t>
  </si>
  <si>
    <t>75597</t>
  </si>
  <si>
    <t>Этажерка 4х-секц. Виолет Vikea угловая серая 783418</t>
  </si>
  <si>
    <t>75598</t>
  </si>
  <si>
    <t>Этажерка 4х-секц. Виолет Vikea угловая черная 783407</t>
  </si>
  <si>
    <t>75567</t>
  </si>
  <si>
    <t>Этажерка 4х-секц. Виолет Vikea узкая на колесах белая 782406</t>
  </si>
  <si>
    <t>75591</t>
  </si>
  <si>
    <t>Этажерка 4х-секц. Виолет Vikea узкая на колесах серая 782418</t>
  </si>
  <si>
    <t>75539</t>
  </si>
  <si>
    <t>Этажерка 4х-секц. Виолет Vikea узкая на колесах черная 760407</t>
  </si>
  <si>
    <t>75592</t>
  </si>
  <si>
    <t>Этажерка 4х-секц. Виолет Vikea узкая на колесах черная 782407</t>
  </si>
  <si>
    <t>75549</t>
  </si>
  <si>
    <t>Этажерка Vetta узкая на колесиках 3 полки пластик белая 463-987 /4/</t>
  </si>
  <si>
    <t>75563</t>
  </si>
  <si>
    <t>Этажерка над унитазом метал.47*26*152 см 2 цвета 465-215 /10/</t>
  </si>
  <si>
    <t>75588</t>
  </si>
  <si>
    <t>Этажерка над унитазом метал.65*28*152 см 2 цвета 465-216 /10/</t>
  </si>
  <si>
    <t>75562</t>
  </si>
  <si>
    <t>Ящик универсальный Альтернатива 650*415*395 М604 /3/</t>
  </si>
  <si>
    <t>756 Вешалки настенные</t>
  </si>
  <si>
    <t>75608</t>
  </si>
  <si>
    <t>Вешалка настен. 2-х ярусная с полкой 60 см белая ВСП 8 Б</t>
  </si>
  <si>
    <t>48415</t>
  </si>
  <si>
    <t>Вешалка настен. 2-х ярусная с полкой 60 см медный антик ВСП 8 М</t>
  </si>
  <si>
    <t>75673</t>
  </si>
  <si>
    <t>Вешалка настен. 2-х ярусная с полкой 60 см черный ВСП 8 Ч</t>
  </si>
  <si>
    <t>75607</t>
  </si>
  <si>
    <t>Вешалка настен. 2-х ярусная с полкой 80 см белый ВСП 9 Б</t>
  </si>
  <si>
    <t>48480</t>
  </si>
  <si>
    <t>Вешалка настен. 2-х ярусная с полкой 80 см медный антик ВСП 9 М</t>
  </si>
  <si>
    <t>75618</t>
  </si>
  <si>
    <t>Вешалка настен. 2-х ярусная с полкой 80 см черный ВСП 9 Ч</t>
  </si>
  <si>
    <t>75635</t>
  </si>
  <si>
    <t>Вешалка настен. 2-х ярусная с полкой со вставкой из кожи белое серебро ВСП 22В БС</t>
  </si>
  <si>
    <t>75636</t>
  </si>
  <si>
    <t>Вешалка настен. 2-х ярусная с полкой со вставкой из кожи медный антик ВСП 22В М</t>
  </si>
  <si>
    <t>75637</t>
  </si>
  <si>
    <t>Вешалка настен. 2-х ярусная с полкой со вставкой из кожи черная ВСП 22В Ч</t>
  </si>
  <si>
    <t>75600</t>
  </si>
  <si>
    <t>Вешалка настен. 3B-SL НОЭ3 черный матовый /2/</t>
  </si>
  <si>
    <t>75601</t>
  </si>
  <si>
    <t>Вешалка настен. 4B-S НОЭ3 черный матовый /2/</t>
  </si>
  <si>
    <t>75641</t>
  </si>
  <si>
    <t>Вешалка настен. Ажур-4 белый ВНА 200 Б /5/</t>
  </si>
  <si>
    <t>48436</t>
  </si>
  <si>
    <t>Вешалка настен. Ажур-4 медный антик ВНА 200М</t>
  </si>
  <si>
    <t>48437</t>
  </si>
  <si>
    <t>Вешалка настен. Ажур-4 черный ВНА 200Ч</t>
  </si>
  <si>
    <t>48438</t>
  </si>
  <si>
    <t>Вешалка настен. Ажур-6 белое серебро ВНА 201БС</t>
  </si>
  <si>
    <t>48406</t>
  </si>
  <si>
    <t>Вешалка настен. Ажур-6 медный антик ВНА 201М /5/</t>
  </si>
  <si>
    <t>48419</t>
  </si>
  <si>
    <t>Вешалка настен. Ажур-6 черный ВНА 201Ч</t>
  </si>
  <si>
    <t>48443</t>
  </si>
  <si>
    <t>Вешалка настен. Дружба 3 медный антик ВН 330 М /10/</t>
  </si>
  <si>
    <t>75605</t>
  </si>
  <si>
    <t>Вешалка настен. Дружба 4 медный антик ВН 319 М /10/</t>
  </si>
  <si>
    <t>25500</t>
  </si>
  <si>
    <t>Вешалка настен. Дружба 4 серый ВН 319 С /10/</t>
  </si>
  <si>
    <t>48476</t>
  </si>
  <si>
    <t>Вешалка настен. Дружба 6 серый ВН 320 С</t>
  </si>
  <si>
    <t>75652</t>
  </si>
  <si>
    <t>Вешалка настен. Кружева 3 белая ВН 275 Б /10/</t>
  </si>
  <si>
    <t>75610</t>
  </si>
  <si>
    <t>Вешалка настен. Кружева 3 Медный антик ВН 275 М</t>
  </si>
  <si>
    <t>48305</t>
  </si>
  <si>
    <t>Вешалка настен. Кружева 3 черный ВН 275 Ч</t>
  </si>
  <si>
    <t>75653</t>
  </si>
  <si>
    <t>Вешалка настен. Кружева 5 белая  ВН 276 Б</t>
  </si>
  <si>
    <t>75669</t>
  </si>
  <si>
    <t>Вешалка настен. Кружева 5 белое серебро ВН 276 БС</t>
  </si>
  <si>
    <t>48308</t>
  </si>
  <si>
    <t>Вешалка настен. Кружева 5 Медный антик ВН 276 М /10/</t>
  </si>
  <si>
    <t>48309</t>
  </si>
  <si>
    <t>Вешалка настен. Кружева 5 черный ВНА 276 Ч</t>
  </si>
  <si>
    <t>48463</t>
  </si>
  <si>
    <t>Вешалка настен. Норма 3 цвет белое серебро ВН 64БС</t>
  </si>
  <si>
    <t>75643</t>
  </si>
  <si>
    <t>Вешалка настен. Норма 3 цвет белый ВН 64 Б</t>
  </si>
  <si>
    <t>48433</t>
  </si>
  <si>
    <t>Вешалка настен. Норма 3 цвет медный антик ВН 64 М</t>
  </si>
  <si>
    <t>48451</t>
  </si>
  <si>
    <t>Вешалка настен. Норма 3 цвет черный ВН 64 Ч /10/</t>
  </si>
  <si>
    <t>75644</t>
  </si>
  <si>
    <t>Вешалка настен. Норма 5 цвет белый ВН 24 Б</t>
  </si>
  <si>
    <t>48452</t>
  </si>
  <si>
    <t>Вешалка настен. Норма 5 цвет медный антик ВН 24 М /10/</t>
  </si>
  <si>
    <t>48434</t>
  </si>
  <si>
    <t>Вешалка настен. Норма 5 цвет черный ВН 24 Ч /10/</t>
  </si>
  <si>
    <t>75645</t>
  </si>
  <si>
    <t>Вешалка настен. Норма 7 цвет белый ВН 66 Б</t>
  </si>
  <si>
    <t>75672</t>
  </si>
  <si>
    <t>Вешалка настен. Норма 7 цвет медный антик ВН 66 М</t>
  </si>
  <si>
    <t>48473</t>
  </si>
  <si>
    <t>Вешалка настен. Норма 7 цвет черный ВН 66 Ч</t>
  </si>
  <si>
    <t>48477</t>
  </si>
  <si>
    <t>Вешалка настен. Овал 60см цвет черный ВН 3 Ч</t>
  </si>
  <si>
    <t>75603</t>
  </si>
  <si>
    <t>Вешалка настен. с полкой 100см цвет белый ВСП 169 Б</t>
  </si>
  <si>
    <t>48402</t>
  </si>
  <si>
    <t>Вешалка настен. с полкой 100см цвет медный антик ВСП 169 М /2/</t>
  </si>
  <si>
    <t>75615</t>
  </si>
  <si>
    <t>Вешалка настен. с полкой 100см цвет черный ВСП 169 Ч</t>
  </si>
  <si>
    <t>75613</t>
  </si>
  <si>
    <t>Вешалка настен. с полкой 60см цвет белый ВСП 6 Б</t>
  </si>
  <si>
    <t>48412</t>
  </si>
  <si>
    <t>Вешалка настен. с полкой 60см цвет медный антик ВСП 6 М /2/</t>
  </si>
  <si>
    <t>48403</t>
  </si>
  <si>
    <t>Вешалка настен. с полкой 60см цвет черный ВСП 6 Ч</t>
  </si>
  <si>
    <t>75614</t>
  </si>
  <si>
    <t>Вешалка настен. с полкой 80см цвет белый ВСП 7 Б</t>
  </si>
  <si>
    <t>48405</t>
  </si>
  <si>
    <t>Вешалка настен. с полкой 80см цвет медный антик ВСП 7 М</t>
  </si>
  <si>
    <t>48428</t>
  </si>
  <si>
    <t>Вешалка настен. с полкой 80см цвет черный ВСП 7 Ч /2/</t>
  </si>
  <si>
    <t>75611</t>
  </si>
  <si>
    <t>Вешалка настен. с полкой Ажур 60 см белый ВСПА 202 Б</t>
  </si>
  <si>
    <t>48466</t>
  </si>
  <si>
    <t>Вешалка настен. с полкой Ажур 60 см черный ВСПА 202 Ч</t>
  </si>
  <si>
    <t>75650</t>
  </si>
  <si>
    <t>Вешалка настен. с полкой Ажур 80 см белый ВСПА 203 Б</t>
  </si>
  <si>
    <t>48411</t>
  </si>
  <si>
    <t>Вешалка настен. с полкой Ажур 80 см медный антик ВСПА 203М</t>
  </si>
  <si>
    <t>75616</t>
  </si>
  <si>
    <t>Вешалка настен. с полкой Ажур 80 см черный ВСПА 203 Ч</t>
  </si>
  <si>
    <t>75649</t>
  </si>
  <si>
    <t>Вешалка настен. с полкой Гранада 21 белый ВСПГ21 Б</t>
  </si>
  <si>
    <t>75654</t>
  </si>
  <si>
    <t>Вешалка настен. с полкой Гранада 21 графит ВСПГ21 ГР</t>
  </si>
  <si>
    <t>75655</t>
  </si>
  <si>
    <t>Вешалка настен. с полкой Гранада 21 черный ВСПГ21 Ч</t>
  </si>
  <si>
    <t>75656</t>
  </si>
  <si>
    <t>Вешалка настен. с полкой Гранада 22 белый ВСПГ22 Б</t>
  </si>
  <si>
    <t>75657</t>
  </si>
  <si>
    <t>Вешалка настен. с полкой Гранада 22 графит ВСПГ22 ГР</t>
  </si>
  <si>
    <t>75658</t>
  </si>
  <si>
    <t>Вешалка настен. с полкой Гранада 22 черный ВСПГ22 Ч</t>
  </si>
  <si>
    <t>75612</t>
  </si>
  <si>
    <t>Вешалка настен. с полкой со вставкой из кожи белый ВСП 21В Б</t>
  </si>
  <si>
    <t>75639</t>
  </si>
  <si>
    <t>Вешалка настен. с полкой со вставкой из кожи медный антик ВСП 21В М</t>
  </si>
  <si>
    <t>75640</t>
  </si>
  <si>
    <t>Вешалка настен. с полкой со вставкой из кожи черный ВСП 21В Ч</t>
  </si>
  <si>
    <t>75659</t>
  </si>
  <si>
    <t>Вешалка настен. с полкой Торонто 21 белый ВСПТ21 Б</t>
  </si>
  <si>
    <t>75660</t>
  </si>
  <si>
    <t>Вешалка настен. с полкой Торонто 21 графит ВСПТ21 ГР</t>
  </si>
  <si>
    <t>75661</t>
  </si>
  <si>
    <t>Вешалка настен. с полкой Торонто 21 черный ВСПТ21 Ч</t>
  </si>
  <si>
    <t>75662</t>
  </si>
  <si>
    <t>Вешалка настен. с полкой Торонто 22 белый ВСПТ22 Б</t>
  </si>
  <si>
    <t>75663</t>
  </si>
  <si>
    <t>Вешалка настен. с полкой Торонто 22 графит ВСПТ22 ГР</t>
  </si>
  <si>
    <t>75664</t>
  </si>
  <si>
    <t>Вешалка настен. с полкой Торонто 22 черный ВСПТ22 Ч</t>
  </si>
  <si>
    <t>75651</t>
  </si>
  <si>
    <t>Вешалка настен. с полкой Уют-21 белый ВСПУ21 Б</t>
  </si>
  <si>
    <t>75647</t>
  </si>
  <si>
    <t>Вешалка настен. с полкой Уют-21 черный ВСПУ21 Ч</t>
  </si>
  <si>
    <t>75619</t>
  </si>
  <si>
    <t>Вешалка настен. с полкой Уют-22 белый ВСПУ22 Б</t>
  </si>
  <si>
    <t>75620</t>
  </si>
  <si>
    <t>Вешалка настен. с полкой Уют-22 черный ВСПУ22 Ч</t>
  </si>
  <si>
    <t>75674</t>
  </si>
  <si>
    <t>Вешалка настен. Торонто 3 белый ВНТ3 Б</t>
  </si>
  <si>
    <t>75675</t>
  </si>
  <si>
    <t>Вешалка настен. Торонто 5 белый ВНТ5 Б</t>
  </si>
  <si>
    <t>75665</t>
  </si>
  <si>
    <t>Вешалка настен. Уют-5 белый ВНУ5 Б</t>
  </si>
  <si>
    <t>75666</t>
  </si>
  <si>
    <t>Вешалка настен. Уют-5 черный ВНУ5 Ч</t>
  </si>
  <si>
    <t>75667</t>
  </si>
  <si>
    <t>Вешалка настен. Уют-7 белый ВНУ7 Б</t>
  </si>
  <si>
    <t>75668</t>
  </si>
  <si>
    <t>Вешалка настен. Уют-7 черный ВНУ7 Ч</t>
  </si>
  <si>
    <t>75646</t>
  </si>
  <si>
    <t>Вешалка настен. Эра-5 с полкой Медный антик ВСП 278 М /5/</t>
  </si>
  <si>
    <t>48429</t>
  </si>
  <si>
    <t>Вешалка настен. Эра-5 с полкой Черный ВСП 278 Ч</t>
  </si>
  <si>
    <t>97711</t>
  </si>
  <si>
    <t>Крючки на декоративной планке 4шт NV AC4</t>
  </si>
  <si>
    <t>97712</t>
  </si>
  <si>
    <t>Крючки на декоративной планке 5шт NV AC5 /10/</t>
  </si>
  <si>
    <t>97713</t>
  </si>
  <si>
    <t>Крючки на декоративной планке 6шт NV AC6</t>
  </si>
  <si>
    <t>757 Корзины для белья</t>
  </si>
  <si>
    <t>75733</t>
  </si>
  <si>
    <t>Корзина д/белья Альтернатива 25 л Вязаное плетение белая М6888 /6/</t>
  </si>
  <si>
    <t>75752</t>
  </si>
  <si>
    <t>Корзина д/белья Альтернатива 45 л Матрица бежевый М7485 /4/</t>
  </si>
  <si>
    <t>75771</t>
  </si>
  <si>
    <t>Корзина д/белья Альтернатива 45 л Матрица белый М7484 /4/</t>
  </si>
  <si>
    <t>75772</t>
  </si>
  <si>
    <t>Корзина д/белья Альтернатива 45 л Матрица коричневый М7486 /4/</t>
  </si>
  <si>
    <t>49482</t>
  </si>
  <si>
    <t>Корзина д/белья Альтернатива Плетенка 43л слон.кость овал.М4970 /3/</t>
  </si>
  <si>
    <t>75769</t>
  </si>
  <si>
    <t>Корзина д/белья Альтернатива Плетенка 60л бел. М2254 /4/</t>
  </si>
  <si>
    <t>75776</t>
  </si>
  <si>
    <t>Корзина д/белья Альтернатива Плетенка 60л гол. М2255 /4/</t>
  </si>
  <si>
    <t>75727</t>
  </si>
  <si>
    <t>Корзина д/белья Альтернатива Плетенка люкс 85л бел. М3405 /4/</t>
  </si>
  <si>
    <t>75712</t>
  </si>
  <si>
    <t>Корзина д/белья Альтернатива Плетенка люкс 85л сл.кость М3406 /4/</t>
  </si>
  <si>
    <t>75747</t>
  </si>
  <si>
    <t>Корзина д/белья Альтернатива Эстель 455*388*445 бел. М6116 /6/</t>
  </si>
  <si>
    <t>75794</t>
  </si>
  <si>
    <t>Корзина д/белья Виолет Береста с крышкой 50л узкая белая 5750006 /10/</t>
  </si>
  <si>
    <t>75796</t>
  </si>
  <si>
    <t>Корзина д/белья Виолет Береста с крышкой 50л узкая венге 5750005 /10/</t>
  </si>
  <si>
    <t>75795</t>
  </si>
  <si>
    <t>Корзина д/белья Виолет Береста с крышкой 50л узкая слон. кость 5750026 /10/</t>
  </si>
  <si>
    <t>75757</t>
  </si>
  <si>
    <t>Корзина д/белья Виолет Вязь с крышкой 40л белый 204006 /10/</t>
  </si>
  <si>
    <t>75793</t>
  </si>
  <si>
    <t>Корзина д/белья Виолет Вязь с крышкой 40л шоколад 204022 /10/</t>
  </si>
  <si>
    <t>75730</t>
  </si>
  <si>
    <t>Корзина д/белья Виолет Вязь с крышкой 60л белая 206006 /8/</t>
  </si>
  <si>
    <t>75791</t>
  </si>
  <si>
    <t>Корзина д/белья Виолет Лофт с крышкой 50л узкая белая 5650006 /10/</t>
  </si>
  <si>
    <t>75792</t>
  </si>
  <si>
    <t>Корзина д/белья Виолет Лофт с крышкой 50л узкая латте 5650020 /10/</t>
  </si>
  <si>
    <t>75706</t>
  </si>
  <si>
    <t>Корзина д/белья Виолет Ронтаг с крышкой 40л белая 184006 /10/</t>
  </si>
  <si>
    <t>75702</t>
  </si>
  <si>
    <t>Корзина д/белья Виолет Ронтаг с крышкой 40л коричневый 184001 /10/</t>
  </si>
  <si>
    <t>75701</t>
  </si>
  <si>
    <t>Корзина д/белья Виолет Ронтаг с крышкой 40л латте 184020 /10/</t>
  </si>
  <si>
    <t>75789</t>
  </si>
  <si>
    <t>Корзина д/белья Плетение полипропилен 35 л 3 цв.463-954 /5/</t>
  </si>
  <si>
    <t>75756</t>
  </si>
  <si>
    <t>Корзина д/белья угловая Альтерналива 45л голубая М1365 /6/</t>
  </si>
  <si>
    <t>75755</t>
  </si>
  <si>
    <t>Корзина д/белья угловая Альтернатива 45л белая М1546 /6/</t>
  </si>
  <si>
    <t>49420</t>
  </si>
  <si>
    <t>Корзина д/белья угловая Альтернатива 45л белый мрамор М1364 /6/</t>
  </si>
  <si>
    <t>49446</t>
  </si>
  <si>
    <t>Корзина д/белья угловая Альтернатива 45л Плетенка белая М2251 /6/</t>
  </si>
  <si>
    <t>49447</t>
  </si>
  <si>
    <t>Корзина д/белья угловая Альтернатива 45л Плетенка голубая М2252 /6/</t>
  </si>
  <si>
    <t>49465</t>
  </si>
  <si>
    <t>Корзина д/белья угловая Альтернатива 45л Плетенка розовая М2250 /6/</t>
  </si>
  <si>
    <t>49452</t>
  </si>
  <si>
    <t>Корзина д/белья угловая Альтернатива 45л Плетенка сл.кость М2029 /6/</t>
  </si>
  <si>
    <t>75761</t>
  </si>
  <si>
    <t>Корзина д/белья угловая Виолет Ротанг 60л белая 235006 /8/</t>
  </si>
  <si>
    <t>75762</t>
  </si>
  <si>
    <t>Корзина д/белья угловая Виолет Ротанг 60л коричневая 235001 /8/</t>
  </si>
  <si>
    <t>75764</t>
  </si>
  <si>
    <t>Корзина д/белья угловая Виолет Ротанг 60л латте 235020 /8/</t>
  </si>
  <si>
    <t>75766</t>
  </si>
  <si>
    <t>Корзина д/белья угловая Виолет Ротанг 60л сл кость 235026 /8/</t>
  </si>
  <si>
    <t>758 Корзины универсальные</t>
  </si>
  <si>
    <t>40259</t>
  </si>
  <si>
    <t>Корзина Альтернатива Феличита 230*185*185 мм бежевый М6251 /12/</t>
  </si>
  <si>
    <t>40201</t>
  </si>
  <si>
    <t>Корзина Альтернатива Феличита 230*185*185 мм белый М6250 /12/</t>
  </si>
  <si>
    <t>40264</t>
  </si>
  <si>
    <t>Корзина Альтернатива Флоран 1,5 л светло-бирюзовый М6348 /24/</t>
  </si>
  <si>
    <t>40266</t>
  </si>
  <si>
    <t>Корзина Альтернатива Флоран 3,0 л светло-бирюзовый М6345 /12/</t>
  </si>
  <si>
    <t>40265</t>
  </si>
  <si>
    <t>Корзина Альтернатива Флоран 3,0л белый М6329 /12/</t>
  </si>
  <si>
    <t>75820</t>
  </si>
  <si>
    <t>Корзина Бязь 16,5*25*7см 2 цв. 414-145 /16/</t>
  </si>
  <si>
    <t>48920</t>
  </si>
  <si>
    <t>Корзина Вдохновение 265*165*100 М471 /20/</t>
  </si>
  <si>
    <t>40247</t>
  </si>
  <si>
    <t>Корзина Вдохновение 300*200*115 М529 /15/</t>
  </si>
  <si>
    <t>75839</t>
  </si>
  <si>
    <t>Корзина Зверюшки 380*285*210 М8224 /8/</t>
  </si>
  <si>
    <t>75817</t>
  </si>
  <si>
    <t>Корзина Мираж 290*190*150 бежевая М6834 /15/</t>
  </si>
  <si>
    <t>75809</t>
  </si>
  <si>
    <t>Корзина Мираж 290*190*150 белая М8369 /15/</t>
  </si>
  <si>
    <t>75868</t>
  </si>
  <si>
    <t>Корзина навесная на 2-х кр. 24,5*17*15,5 см пластик 3 цв. 416-224 /6/</t>
  </si>
  <si>
    <t>40231</t>
  </si>
  <si>
    <t>Корзина Плетенка 3 л прямоуг. с ручк. белая М4564 /20/</t>
  </si>
  <si>
    <t>75837</t>
  </si>
  <si>
    <t>Корзина Плетенка 3 л прямоуг. с ручк. бирюз голубая М6801 /20/</t>
  </si>
  <si>
    <t>75800</t>
  </si>
  <si>
    <t>Корзина Полимербыт 250*150*72 мм С331 /55/</t>
  </si>
  <si>
    <t>75824</t>
  </si>
  <si>
    <t>Корзина ПЦ Fiori 3,1л круглая микс BQ4009МИКС /18/</t>
  </si>
  <si>
    <t>75825</t>
  </si>
  <si>
    <t>Корзина ПЦ Fiori 6,2л овал микс BQ4010МИКС /12/</t>
  </si>
  <si>
    <t>40228</t>
  </si>
  <si>
    <t>Корзина Романтика 230*120*90 малая М1783 /22/</t>
  </si>
  <si>
    <t>40176</t>
  </si>
  <si>
    <t>Корзина Романтика 245*145*110 большая М1838 /15/</t>
  </si>
  <si>
    <t>40237</t>
  </si>
  <si>
    <t>Корзина Романтика Люкс 280*205*90 темн.корич. М5368 /18/</t>
  </si>
  <si>
    <t>75867</t>
  </si>
  <si>
    <t>Корзина универсальная на присосках пластик 46*27*16 см 2 цв.414-052 /30/</t>
  </si>
  <si>
    <t>75866</t>
  </si>
  <si>
    <t>Корзинка Vertta хоз на колесах 11,5 л 49,5*18*,5*17,4 см 3 цв.478-104 /36/</t>
  </si>
  <si>
    <t>75869</t>
  </si>
  <si>
    <t>Корзинка Vertta хоз навесная 15*15,5*15,2 см 3 цв.416-223 /12/144/</t>
  </si>
  <si>
    <t>75865</t>
  </si>
  <si>
    <t>Корзинка Vetta универсальная настенная складная пластик 28*29*47 см 3 цв.463-989 /48/</t>
  </si>
  <si>
    <t>75854</t>
  </si>
  <si>
    <t>Корзинка Виолет Береста 3,0л слон. кость 521126 /16/</t>
  </si>
  <si>
    <t>75858</t>
  </si>
  <si>
    <t>Корзинка Виолет Лофт 2,0л белый 641006 /20/</t>
  </si>
  <si>
    <t>75815</t>
  </si>
  <si>
    <t>Корзинка Виолет Лофт 2,0л латте 641020 /20/</t>
  </si>
  <si>
    <t>75859</t>
  </si>
  <si>
    <t>Корзинка Виолет Лофт 2,0л мокка 641039 /20/</t>
  </si>
  <si>
    <t>75860</t>
  </si>
  <si>
    <t>Корзинка Виолет Лофт 2,0л серый 641008 /20/</t>
  </si>
  <si>
    <t>75855</t>
  </si>
  <si>
    <t>Корзинка Виолет Лофт 2,8л белый 642006 /12/</t>
  </si>
  <si>
    <t>75819</t>
  </si>
  <si>
    <t>Корзинка Виолет Лофт 2,8л латте 642020 /12/</t>
  </si>
  <si>
    <t>75857</t>
  </si>
  <si>
    <t>Корзинка Виолет Лофт 2,8л серый 642008 /12/</t>
  </si>
  <si>
    <t>75861</t>
  </si>
  <si>
    <t>Корзинка Виолет Лофт 3,8л белый 643006 /14/</t>
  </si>
  <si>
    <t>75808</t>
  </si>
  <si>
    <t>Корзинка Виолет Лофт 3,8л латте 643020 /14/</t>
  </si>
  <si>
    <t>75863</t>
  </si>
  <si>
    <t>Корзинка Виолет Лофт 3,8л серый 643008 /14/</t>
  </si>
  <si>
    <t>75826</t>
  </si>
  <si>
    <t>Корзинка Виолет Лофт 5,3л белый 644006 /13/</t>
  </si>
  <si>
    <t>75810</t>
  </si>
  <si>
    <t>Корзинка Виолет Лофт подвесная белый 580006 /10/</t>
  </si>
  <si>
    <t>75821</t>
  </si>
  <si>
    <t>Корзинка Виолет Лофт подвесная латте 580020 /10/</t>
  </si>
  <si>
    <t>75842</t>
  </si>
  <si>
    <t>Корзинка Виолет Лофт подвесная на дверь белый 612006 /20/</t>
  </si>
  <si>
    <t>75844</t>
  </si>
  <si>
    <t>Корзинка Виолет Лофт подвесная на дверь серый 612008 /20/</t>
  </si>
  <si>
    <t>75845</t>
  </si>
  <si>
    <t>Корзинка Виолет Лофт подвесная с петлей белый 611006 /10/</t>
  </si>
  <si>
    <t>75846</t>
  </si>
  <si>
    <t>Корзинка Виолет Лофт подвесная с петлей мокка 611039 /10/</t>
  </si>
  <si>
    <t>75847</t>
  </si>
  <si>
    <t>Корзинка Виолет Лофт подвесная с петлей серый 611008 /10/</t>
  </si>
  <si>
    <t>75848</t>
  </si>
  <si>
    <t>Корзинка Виолет Лофт хоз на колесах узкая белая 621006 /10/</t>
  </si>
  <si>
    <t>75806</t>
  </si>
  <si>
    <t>Корзинка Виолет Лофт хоз на колесах узкая слон. кость 621026 /10/</t>
  </si>
  <si>
    <t>75850</t>
  </si>
  <si>
    <t>Корзинка Виолет Лофт хоз на колесах узкая шалфей 621031 /10/</t>
  </si>
  <si>
    <t>75851</t>
  </si>
  <si>
    <t>Корзинка Виолет Лофт хоз на колесах широкая белая 622006 /13/</t>
  </si>
  <si>
    <t>75852</t>
  </si>
  <si>
    <t>Корзинка Виолет Лофт хоз на колесах широкая мокка 622039 /13/</t>
  </si>
  <si>
    <t>75853</t>
  </si>
  <si>
    <t>Корзинка Виолет Лофт хоз на колесах широкая шалфей 622031 /13/</t>
  </si>
  <si>
    <t>75864</t>
  </si>
  <si>
    <t>Корзинка Виолет Ромашки 3л латте 511020 /18/</t>
  </si>
  <si>
    <t>759 Подставки для обуви</t>
  </si>
  <si>
    <t>75936</t>
  </si>
  <si>
    <t>Подставка для обуви 2-х Полочная 60см цвет белый  ПДО 12 Б</t>
  </si>
  <si>
    <t>75929</t>
  </si>
  <si>
    <t>Подставка для обуви 2-х Полочная 80см с бежевым сид цвет мед.антик ПДОсС 81 Б М</t>
  </si>
  <si>
    <t>75938</t>
  </si>
  <si>
    <t>Подставка для обуви 3-х Полочная 45см с сид.беж.цв.цвет медный антик ПДОсС 340 Б М</t>
  </si>
  <si>
    <t>75903</t>
  </si>
  <si>
    <t>Подставка для обуви 3-х Полочная 45см с сид.цвет белое серебро ПДО 340 БС</t>
  </si>
  <si>
    <t>75937</t>
  </si>
  <si>
    <t>Подставка для обуви 3-х Полочная 45см с сид.цвет белый ПДОсС 340 Б</t>
  </si>
  <si>
    <t>75904</t>
  </si>
  <si>
    <t>Подставка для обуви 3-х Полочная 45см с сид.цвет медный антик ПДО 340М</t>
  </si>
  <si>
    <t>75906</t>
  </si>
  <si>
    <t>Подставка для обуви 3-х Полочная 60см с сиденьем цвет белое серебро ПДОсС 89 БС</t>
  </si>
  <si>
    <t>75940</t>
  </si>
  <si>
    <t>Подставка для обуви 3-х Полочная 60см с сиденьем ящиком цвет белый ПДОсСя 360 Б</t>
  </si>
  <si>
    <t>75944</t>
  </si>
  <si>
    <t>Подставка для обуви 3-х Полочная 80см с сиденьем ящиком цвет белый ПДОсСя 339 Б</t>
  </si>
  <si>
    <t>75918</t>
  </si>
  <si>
    <t>Подставка для обуви 3-х Полочная 80см цвет белое серебро ПДО 36 БС</t>
  </si>
  <si>
    <t>49193</t>
  </si>
  <si>
    <t>Подставка для обуви 3-х Полочная 80см цвет черный ПДО 36 Ч</t>
  </si>
  <si>
    <t>49197</t>
  </si>
  <si>
    <t>Подставка для обуви 5-х Полочная 40см цвет медный антик ПДО 240 М</t>
  </si>
  <si>
    <t>75926</t>
  </si>
  <si>
    <t>Подставка для обуви 5-х Полочная 90см с бежевым сид.и ящиком мед.антик ПДОсСя 360 БМ</t>
  </si>
  <si>
    <t>75911</t>
  </si>
  <si>
    <t>Подставка для обуви 5-х Полочная 90см с сид.и ящиком цвет белый ПДОсСя 360 Б</t>
  </si>
  <si>
    <t>75927</t>
  </si>
  <si>
    <t>Подставка для обуви Альфа 13 2-х Полочная с сиденьем и ящиком цвет белый ПДОА13СЯ Б</t>
  </si>
  <si>
    <t>75928</t>
  </si>
  <si>
    <t>Подставка для обуви Альфа 13 2-х Полочная с сиденьем и ящиком цвет медный антик ПДОА13СЯ М</t>
  </si>
  <si>
    <t>75931</t>
  </si>
  <si>
    <t>Подставка для обуви Альфа 13 2-х Полочная с сиденьем и ящиком цвет черный ПДОА13СЯ Ч</t>
  </si>
  <si>
    <t>75989</t>
  </si>
  <si>
    <t>Подставка для обуви Альфа 15 5-х Полочная 45см цвет белая ПДОА15 Б</t>
  </si>
  <si>
    <t>75990</t>
  </si>
  <si>
    <t>Подставка для обуви Альфа 15 5-х Полочная 45см цвет медный антик ПДОА15 М</t>
  </si>
  <si>
    <t>75991</t>
  </si>
  <si>
    <t>Подставка для обуви Альфа 15 5-х Полочная 45см цвет черный ПДОА15 Ч</t>
  </si>
  <si>
    <t>75912</t>
  </si>
  <si>
    <t>Подставка для обуви Альфа 22 2-х Полочная 60см цвет белая ПДОА22 Б</t>
  </si>
  <si>
    <t>75902</t>
  </si>
  <si>
    <t>Подставка для обуви Альфа 22 2-х Полочная 60см цвет медный антик ПДОА22 М</t>
  </si>
  <si>
    <t>75970</t>
  </si>
  <si>
    <t>Подставка для обуви Альфа 22 2-х Полочная 60см цвет черный ПДОА22 Ч</t>
  </si>
  <si>
    <t>75983</t>
  </si>
  <si>
    <t>Подставка для обуви Альфа 23 2-х Полочная 65см с сиденьем беж.и ящиком цвет медный антик  ПДОА23СЯ М</t>
  </si>
  <si>
    <t>75980</t>
  </si>
  <si>
    <t>Подставка для обуви Альфа 23 2-х Полочная 65см с сиденьем и ящиком цвет белый ПДОА23СЯ Б</t>
  </si>
  <si>
    <t>75981</t>
  </si>
  <si>
    <t>Подставка для обуви Альфа 23 2-х Полочная 65см с сиденьем и ящиком цвет медный антик ПДОА23СЯ М</t>
  </si>
  <si>
    <t>75982</t>
  </si>
  <si>
    <t>Подставка для обуви Альфа 23 2-х Полочная 65см с сиденьем и ящиком цвет черный ПДОА23СЯ Ч</t>
  </si>
  <si>
    <t>75976</t>
  </si>
  <si>
    <t>Подставка для обуви Альфа 23 2-х Полочная 65см с сиденьем цвет белый ПДОА23С Б</t>
  </si>
  <si>
    <t>75977</t>
  </si>
  <si>
    <t>Подставка для обуви Альфа 23 2-х Полочная 65см с сиденьем цвет медный антик ПДОА23С М</t>
  </si>
  <si>
    <t>75978</t>
  </si>
  <si>
    <t>Подставка для обуви Альфа 23 2-х Полочная 65см с сиденьем цвет черный ПДОА23С Ч</t>
  </si>
  <si>
    <t>75975</t>
  </si>
  <si>
    <t>Подставка для обуви Альфа 23 2-х Полочная 65см цвет медный антик ПДОА23 М</t>
  </si>
  <si>
    <t>75945</t>
  </si>
  <si>
    <t>Подставка для обуви Альфа 25 цвет белый ПДОА25 Б</t>
  </si>
  <si>
    <t>75946</t>
  </si>
  <si>
    <t>Подставка для обуви Альфа 25 цвет медный антик ПДОА25 М</t>
  </si>
  <si>
    <t>75947</t>
  </si>
  <si>
    <t>Подставка для обуви Альфа 25 цвет черный ПДОА25 Ч</t>
  </si>
  <si>
    <t>75973</t>
  </si>
  <si>
    <t>Подставка для обуви Альфа 32 2-х Полочная 87см цвет медный антик ПДОА32 М</t>
  </si>
  <si>
    <t>75972</t>
  </si>
  <si>
    <t>Подставка для обуви Альфа 32 2-х Полочная 87см цвет черный ПДОА32 Ч</t>
  </si>
  <si>
    <t>75987</t>
  </si>
  <si>
    <t>Подставка для обуви Альфа 33 3-х Полочная 87см с сиденьем и ящиком цвет медный антик ПДОА33СЯ М</t>
  </si>
  <si>
    <t>75988</t>
  </si>
  <si>
    <t>Подставка для обуви Альфа 33 3-х Полочная 87см с сиденьем и ящиком цвет черный ПДОА33СЯ Ч</t>
  </si>
  <si>
    <t>75984</t>
  </si>
  <si>
    <t>Подставка для обуви Альфа 33 3-х Полочная 87см цвет белая ПДОА33 Б</t>
  </si>
  <si>
    <t>75985</t>
  </si>
  <si>
    <t>Подставка для обуви Альфа 33 3-х Полочная 87см цвет медный антик ПДОА33 М</t>
  </si>
  <si>
    <t>75986</t>
  </si>
  <si>
    <t>Подставка для обуви Альфа 33 3-х Полочная 87см цвет черный ПДОА33 Ч</t>
  </si>
  <si>
    <t>75992</t>
  </si>
  <si>
    <t>Подставка для обуви Альфа 35 5-х Полочная 87см цвет белая ПДОА35 Б</t>
  </si>
  <si>
    <t>75993</t>
  </si>
  <si>
    <t>Подставка для обуви Альфа 35 5-х Полочная 87см цвет медный антик ПДОА35 М</t>
  </si>
  <si>
    <t>75994</t>
  </si>
  <si>
    <t>Подставка для обуви Альфа 35 5-х Полочная 87см цвет черный ПДОА35 Ч</t>
  </si>
  <si>
    <t>75999</t>
  </si>
  <si>
    <t>Подставка для обуви Верона 13 белый ПДОВ13 Б</t>
  </si>
  <si>
    <t>75941</t>
  </si>
  <si>
    <t>Подставка для обуви Верона 13 графит ПДОВ13 ГР</t>
  </si>
  <si>
    <t>75914</t>
  </si>
  <si>
    <t>Подставка для обуви Верона 13 черный ПДОВ13 Ч</t>
  </si>
  <si>
    <t>75916</t>
  </si>
  <si>
    <t>Подставка для обуви Верона 14 белый ПДОВ14 Б</t>
  </si>
  <si>
    <t>75955</t>
  </si>
  <si>
    <t>Подставка для обуви Верона 14 графит ПДОВ14 ГР</t>
  </si>
  <si>
    <t>75915</t>
  </si>
  <si>
    <t>Подставка для обуви Верона 14 черный ПДОВ14 Ч</t>
  </si>
  <si>
    <t>75960</t>
  </si>
  <si>
    <t>Подставка для обуви Верона 15 белый ПДО В15 Б</t>
  </si>
  <si>
    <t>75924</t>
  </si>
  <si>
    <t>Подставка для обуви Верона 15 графит ПДО В15 ГР</t>
  </si>
  <si>
    <t>75961</t>
  </si>
  <si>
    <t>Подставка для обуви Верона 15 черный ПДО В15 Ч</t>
  </si>
  <si>
    <t>75900</t>
  </si>
  <si>
    <t>Подставка для обуви Верона 23 белый ПДОВ23 Б</t>
  </si>
  <si>
    <t>75905</t>
  </si>
  <si>
    <t>Подставка для обуви Верона 23 графит ПДОВ23 ГР</t>
  </si>
  <si>
    <t>75920</t>
  </si>
  <si>
    <t>Подставка для обуви Верона 23 черный ПДОВ23 Ч</t>
  </si>
  <si>
    <t>75919</t>
  </si>
  <si>
    <t>Подставка для обуви Верона 24 белый ПДОВ24 Б</t>
  </si>
  <si>
    <t>75923</t>
  </si>
  <si>
    <t>Подставка для обуви Верона 24 черный ПДОВ24 Ч</t>
  </si>
  <si>
    <t>75963</t>
  </si>
  <si>
    <t>Подставка для обуви Верона 25 белый ПДО В25 Б</t>
  </si>
  <si>
    <t>75964</t>
  </si>
  <si>
    <t>Подставка для обуви Верона 25 металлик ПДО В25 МЕТ</t>
  </si>
  <si>
    <t>75965</t>
  </si>
  <si>
    <t>Подставка для обуви Верона 25 черный ПДО В25 Ч</t>
  </si>
  <si>
    <t>75921</t>
  </si>
  <si>
    <t>Подставка для обуви Верона 33 белый ПДОВ33 Б</t>
  </si>
  <si>
    <t>75925</t>
  </si>
  <si>
    <t>Подставка для обуви Верона 33 графит ПДОВ33 ГР</t>
  </si>
  <si>
    <t>75930</t>
  </si>
  <si>
    <t>Подставка для обуви Верона 33 черный ПДОВ33 Ч</t>
  </si>
  <si>
    <t>75966</t>
  </si>
  <si>
    <t>Подставка для обуви Гранада 13 белый ПДОГ13С Б</t>
  </si>
  <si>
    <t>75962</t>
  </si>
  <si>
    <t>Подставка для обуви Гранада 13 графит ПДОГ13С ГР</t>
  </si>
  <si>
    <t>75967</t>
  </si>
  <si>
    <t>Подставка для обуви Гранада 13 черный ПДОГ13С Ч</t>
  </si>
  <si>
    <t>75979</t>
  </si>
  <si>
    <t>Подставка для обуви Гранада 13В с сиденьем и ящиком белый ПДОГ13В Б</t>
  </si>
  <si>
    <t>75909</t>
  </si>
  <si>
    <t>Подставка для обуви Гранада 13В с сиденьем и ящиком графит ПДОГ13В ГР</t>
  </si>
  <si>
    <t>76202</t>
  </si>
  <si>
    <t>Подставка для обуви Гранада 13В с сиденьем и ящиком черный ПДОГ13В Ч</t>
  </si>
  <si>
    <t>75968</t>
  </si>
  <si>
    <t>Подставка для обуви Гранада 23 белый ПДОГ23С Б</t>
  </si>
  <si>
    <t>75969</t>
  </si>
  <si>
    <t>Подставка для обуви Гранада 23 черный ПДОГ23С Ч</t>
  </si>
  <si>
    <t>75913</t>
  </si>
  <si>
    <t>Подставка для обуви Гранада 23В с сиденьем и ящиком графит ПДОГ23В ГР</t>
  </si>
  <si>
    <t>75949</t>
  </si>
  <si>
    <t>Подставка для обуви Женева 13 3-х Полочная белый ПДО Ж13 Б</t>
  </si>
  <si>
    <t>75908</t>
  </si>
  <si>
    <t>Подставка для обуви Женева 13 3-х Полочная графит ПДО Ж13 ГР</t>
  </si>
  <si>
    <t>75933</t>
  </si>
  <si>
    <t>Подставка для обуви Женева 13 3-х Полочная черный ПДО Ж13 Ч</t>
  </si>
  <si>
    <t>75922</t>
  </si>
  <si>
    <t>Подставка для обуви Женева 14 4-х Полочная белый ПДО Ж14 Б</t>
  </si>
  <si>
    <t>75956</t>
  </si>
  <si>
    <t>Подставка для обуви Женева 15 5-х Полочная белый ПДО Ж15 Б</t>
  </si>
  <si>
    <t>75957</t>
  </si>
  <si>
    <t>Подставка для обуви Женева 15 5-х Полочная графит ПДО Ж15 ГР</t>
  </si>
  <si>
    <t>75907</t>
  </si>
  <si>
    <t>Подставка для обуви Женева 15 5-х Полочная черный ПДО Ж15 Ч</t>
  </si>
  <si>
    <t>75951</t>
  </si>
  <si>
    <t>Подставка для обуви Женева 23 3-х Полочная белый ПДО Ж23 Б</t>
  </si>
  <si>
    <t>75950</t>
  </si>
  <si>
    <t>Подставка для обуви Женева 23 3-х Полочная металлик ПДО Ж23 МЕТ</t>
  </si>
  <si>
    <t>75932</t>
  </si>
  <si>
    <t>Подставка для обуви Женева 23 3-х Полочная черный ПДО Ж23 Ч</t>
  </si>
  <si>
    <t>75942</t>
  </si>
  <si>
    <t>Подставка для обуви Женева 24 4-х Полочная белый ПДО Ж24 Б</t>
  </si>
  <si>
    <t>75974</t>
  </si>
  <si>
    <t>Подставка для обуви Женева 24 4-х Полочная графит ПДО Ж24 ГР</t>
  </si>
  <si>
    <t>75995</t>
  </si>
  <si>
    <t>Подставка для обуви Женева 24 4-х Полочная черный ПДО Ж24 Ч</t>
  </si>
  <si>
    <t>75958</t>
  </si>
  <si>
    <t>Подставка для обуви Женева 25 5-х Полочная белый ПДО Ж25 Б</t>
  </si>
  <si>
    <t>75959</t>
  </si>
  <si>
    <t>Подставка для обуви Женева 25 5-х Полочная металлик ПДО Ж25 МЕТ</t>
  </si>
  <si>
    <t>75917</t>
  </si>
  <si>
    <t>Подставка для обуви Женева 25 5-х Полочная черный ПДО Ж25 Ч</t>
  </si>
  <si>
    <t>75953</t>
  </si>
  <si>
    <t>Подставка для обуви Женева 33 3-х Полочная белый ПДО Ж33 Б</t>
  </si>
  <si>
    <t>75952</t>
  </si>
  <si>
    <t>Подставка для обуви Женева 33 3-х Полочная металлик ПДО Ж33 МЕТ</t>
  </si>
  <si>
    <t>75934</t>
  </si>
  <si>
    <t>Подставка для обуви Женева 33 3-х Полочная черный ПДО Ж33 Ч</t>
  </si>
  <si>
    <t>75948</t>
  </si>
  <si>
    <t>Подставка для обуви Женева 34 4-х Полочная белый ПДО Ж34 Б</t>
  </si>
  <si>
    <t>75971</t>
  </si>
  <si>
    <t>Подставка для обуви Женева 34 4-х Полочная графит ПДО Ж34 ГР</t>
  </si>
  <si>
    <t>75910</t>
  </si>
  <si>
    <t>Подставка для обуви Женева 34 4-х Полочная черный ПДО Ж34 Ч</t>
  </si>
  <si>
    <t>75939</t>
  </si>
  <si>
    <t>Подставка для обуви Женева 35 5-х Полочная белый ПДО Ж35 Б</t>
  </si>
  <si>
    <t>75954</t>
  </si>
  <si>
    <t>Подставка для обуви Женева 35 5-х Полочная графит ПДО Ж35 ГР</t>
  </si>
  <si>
    <t>75935</t>
  </si>
  <si>
    <t>Подставка для обуви Женева 35 5-х Полочная черный ПДО Ж35 Ч</t>
  </si>
  <si>
    <t>75996</t>
  </si>
  <si>
    <t>Подставка для обуви Уют13 3-х Полочная 45см с сид и ящиком цвет черный ПДОУ13СЯ Ч</t>
  </si>
  <si>
    <t>75997</t>
  </si>
  <si>
    <t>Подставка для обуви Уют23 3-х Полочная 65см с сид и ящиком цвет белый ПДОУ23СЯ Б</t>
  </si>
  <si>
    <t>75998</t>
  </si>
  <si>
    <t>Подставка для обуви Уют23 3-х Полочная 65см с сид и ящиком цвет черный ПДОУ23СЯ Ч</t>
  </si>
  <si>
    <t>760 Корзины для хранения</t>
  </si>
  <si>
    <t>76023</t>
  </si>
  <si>
    <t>Контейнер универсальный Vetta 9*4*26 см пласт. 3 цв. 411-024 /120/</t>
  </si>
  <si>
    <t>76022</t>
  </si>
  <si>
    <t>Корзина Vetta 11 л с кр пласт. 2 цв. 406-147 /7/</t>
  </si>
  <si>
    <t>76021</t>
  </si>
  <si>
    <t>Корзина Vetta 17 л с кр пласт. 2 цв. 406-146 /5/</t>
  </si>
  <si>
    <t>76020</t>
  </si>
  <si>
    <t>Корзина Vetta 18,8*10,3 см пласт. 4 цв. 406-129 /10/</t>
  </si>
  <si>
    <t>76024</t>
  </si>
  <si>
    <t>Корзина Vetta 21,7*11,7 см пласт. 4 цв. 406-130 /10/</t>
  </si>
  <si>
    <t>75818</t>
  </si>
  <si>
    <t>Корзина Зима 380*285*210 бежевая М7216 /8/</t>
  </si>
  <si>
    <t>75811</t>
  </si>
  <si>
    <t>Корзина Мираж 380*285*210 бежевая М6833 /8/</t>
  </si>
  <si>
    <t>75812</t>
  </si>
  <si>
    <t>Корзина Мираж 380*285*210 белая М6879 /8/</t>
  </si>
  <si>
    <t>75814</t>
  </si>
  <si>
    <t>Корзина Мираж 380*285*210 розовая М6878 /8/</t>
  </si>
  <si>
    <t>75816</t>
  </si>
  <si>
    <t>Корзина Мираж 380*285*210 синий М7006 /8/</t>
  </si>
  <si>
    <t>76015</t>
  </si>
  <si>
    <t>Корзина Плетенка 350*290*225 белая М3488 /8/</t>
  </si>
  <si>
    <t>76017</t>
  </si>
  <si>
    <t>Корзина Плетенка 350*290*225 коричневая М3490 /8/</t>
  </si>
  <si>
    <t>40219</t>
  </si>
  <si>
    <t>Корзина Плетенка с крышк 350*290*175 бежевая М3557 /8/</t>
  </si>
  <si>
    <t>40223</t>
  </si>
  <si>
    <t>Корзина Плетенка с крышк 350*290*175 белая М3582 /10/</t>
  </si>
  <si>
    <t>40224</t>
  </si>
  <si>
    <t>Корзина Плетенка с крышк 350*290*175 коричневая М3558 /10/</t>
  </si>
  <si>
    <t>76001</t>
  </si>
  <si>
    <t>Корзина Плетенка с крышк 350*290*175 М3560 /10/</t>
  </si>
  <si>
    <t>76000</t>
  </si>
  <si>
    <t>Корзина Плетенка с крышк 350*290*175 салатовая М3556 /10/</t>
  </si>
  <si>
    <t>40171</t>
  </si>
  <si>
    <t>Корзина Плетенка с крышк 350*290*225 бежевая М3552 /7/</t>
  </si>
  <si>
    <t>76013</t>
  </si>
  <si>
    <t>Корзина Плетенка с крышк 350*290*225 белая М3591 /7/</t>
  </si>
  <si>
    <t>40217</t>
  </si>
  <si>
    <t>Корзина Плетенка с крышк 350*290*225 коричневая М3553 /7/</t>
  </si>
  <si>
    <t>75822</t>
  </si>
  <si>
    <t>Корзина универсальная 20л с/кр Nature Style кофейный BQ4066КФ /4/</t>
  </si>
  <si>
    <t>761 Этажерки металллические</t>
  </si>
  <si>
    <t>76164</t>
  </si>
  <si>
    <t>Стеллаж Атлантик 13 белый СТА13 Б</t>
  </si>
  <si>
    <t>76162</t>
  </si>
  <si>
    <t>Стеллаж Атлантик 13 графит СТА13 ГР</t>
  </si>
  <si>
    <t>76163</t>
  </si>
  <si>
    <t>Стеллаж Атлантик 13 черный СТА13 Ч</t>
  </si>
  <si>
    <t>76167</t>
  </si>
  <si>
    <t>Стеллаж Атлантик 23 графит СТА23 ГР</t>
  </si>
  <si>
    <t>76166</t>
  </si>
  <si>
    <t>Стеллаж Атлантик 23 черный СТА23 Ч</t>
  </si>
  <si>
    <t>76145</t>
  </si>
  <si>
    <t>Стеллаж Валенсия 14 белый СТВ14 Б</t>
  </si>
  <si>
    <t>76147</t>
  </si>
  <si>
    <t>Стеллаж Валенсия 14 графит СТВ14 ГР</t>
  </si>
  <si>
    <t>76146</t>
  </si>
  <si>
    <t>Стеллаж Валенсия 14 черный СТВ14 Ч</t>
  </si>
  <si>
    <t>76148</t>
  </si>
  <si>
    <t>Стеллаж Валенсия 15 белый СТВ15 Б</t>
  </si>
  <si>
    <t>76150</t>
  </si>
  <si>
    <t>Стеллаж Валенсия 15 графит СТВ15 ГР</t>
  </si>
  <si>
    <t>76149</t>
  </si>
  <si>
    <t>Стеллаж Валенсия 15 черный СТВ15 Ч</t>
  </si>
  <si>
    <t>76172</t>
  </si>
  <si>
    <t>Стеллаж Торонто 13 3-х ярусный белый СТТ13 Б</t>
  </si>
  <si>
    <t>76173</t>
  </si>
  <si>
    <t>Стеллаж Торонто 13 3-х ярусный черный СТТ13 Ч</t>
  </si>
  <si>
    <t>76176</t>
  </si>
  <si>
    <t>Стеллаж Торонто 14 4-х ярусный белый СТТ14 Б</t>
  </si>
  <si>
    <t>76177</t>
  </si>
  <si>
    <t>Стеллаж Торонто 14 4-х ярусный черный СТТ14 Ч</t>
  </si>
  <si>
    <t>76170</t>
  </si>
  <si>
    <t>Стеллаж Торонто 23 3-х ярусный белый СТТ23 Б</t>
  </si>
  <si>
    <t>76171</t>
  </si>
  <si>
    <t>Стеллаж Торонто 23 3-х ярусный черный СТТ23 Ч</t>
  </si>
  <si>
    <t>76174</t>
  </si>
  <si>
    <t>Стеллаж Торонто 24 4-х ярусный белый СТТ24 Б</t>
  </si>
  <si>
    <t>76175</t>
  </si>
  <si>
    <t>Стеллаж Торонто 24 4-х ярусный черный СТТ24 Ч</t>
  </si>
  <si>
    <t>76154</t>
  </si>
  <si>
    <t>Этажерка Ладья 1 К белый Э 321 Б</t>
  </si>
  <si>
    <t>75402</t>
  </si>
  <si>
    <t>Этажерка Ладья 1 К серый Э 321 С</t>
  </si>
  <si>
    <t>75403</t>
  </si>
  <si>
    <t>Этажерка Ладья 1 К черный Э 321 Ч</t>
  </si>
  <si>
    <t>76129</t>
  </si>
  <si>
    <t>Этажерка Ладья 1 черный Э 289 Ч</t>
  </si>
  <si>
    <t>76151</t>
  </si>
  <si>
    <t>Этажерка Ладья 13 белый Э 399 Б</t>
  </si>
  <si>
    <t>76160</t>
  </si>
  <si>
    <t>Этажерка Ладья 13 графит Э 399 ГР</t>
  </si>
  <si>
    <t>76169</t>
  </si>
  <si>
    <t>Этажерка Ладья 13 серый Э 399 С</t>
  </si>
  <si>
    <t>76132</t>
  </si>
  <si>
    <t>Этажерка Ладья 13 черный Э 399 Ч</t>
  </si>
  <si>
    <t>76128</t>
  </si>
  <si>
    <t>Этажерка Ладья 14 К белый Э 372 Б</t>
  </si>
  <si>
    <t>76137</t>
  </si>
  <si>
    <t>Этажерка Ладья 14 К графит Э 372 ГР</t>
  </si>
  <si>
    <t>76144</t>
  </si>
  <si>
    <t>Этажерка Ладья 14 К серый Э 372 С</t>
  </si>
  <si>
    <t>76168</t>
  </si>
  <si>
    <t>Этажерка Ладья 14 К черный Э 372 Ч</t>
  </si>
  <si>
    <t>76155</t>
  </si>
  <si>
    <t>Этажерка Ладья 2 белый Э 290 Б</t>
  </si>
  <si>
    <t>76156</t>
  </si>
  <si>
    <t>Этажерка Ладья 2 графит Э 290 ГР</t>
  </si>
  <si>
    <t>76157</t>
  </si>
  <si>
    <t>Этажерка Ладья 2 К белый Э 322 Б</t>
  </si>
  <si>
    <t>76112</t>
  </si>
  <si>
    <t>Этажерка Ладья 2 К металлик Э 322</t>
  </si>
  <si>
    <t>75406</t>
  </si>
  <si>
    <t>Этажерка Ладья 2 К серый Э 322 С</t>
  </si>
  <si>
    <t>75407</t>
  </si>
  <si>
    <t>Этажерка Ладья 2 К черный Э 322 Ч</t>
  </si>
  <si>
    <t>75408</t>
  </si>
  <si>
    <t>Этажерка Ладья 2 серый Э 290 С</t>
  </si>
  <si>
    <t>76130</t>
  </si>
  <si>
    <t>Этажерка Ладья 2 черный Э 290 Ч</t>
  </si>
  <si>
    <t>76119</t>
  </si>
  <si>
    <t>Этажерка Ладья 24 белый Э556 Б</t>
  </si>
  <si>
    <t>76118</t>
  </si>
  <si>
    <t>Этажерка Ладья 24 серый Э556 С</t>
  </si>
  <si>
    <t>76101</t>
  </si>
  <si>
    <t>Этажерка Ладья 24 черный Э556 Ч</t>
  </si>
  <si>
    <t>76158</t>
  </si>
  <si>
    <t>Этажерка Ладья 24К белый Э 342 Б</t>
  </si>
  <si>
    <t>76113</t>
  </si>
  <si>
    <t>Этажерка Ладья 24К графит Э 342 ГР</t>
  </si>
  <si>
    <t>75427</t>
  </si>
  <si>
    <t>Этажерка Ладья 24К серый Э 342 С</t>
  </si>
  <si>
    <t>75428</t>
  </si>
  <si>
    <t>Этажерка Ладья 24К черный Э 342 Ч</t>
  </si>
  <si>
    <t>76107</t>
  </si>
  <si>
    <t>Этажерка Ладья 25КС медный антик Э 443 М</t>
  </si>
  <si>
    <t>76108</t>
  </si>
  <si>
    <t>Этажерка Ладья 25КС черный Э 443 Ч</t>
  </si>
  <si>
    <t>76138</t>
  </si>
  <si>
    <t>Этажерка Ладья 33КС колесики и столешница белый Э 356 Б</t>
  </si>
  <si>
    <t>75444</t>
  </si>
  <si>
    <t>Этажерка Ладья 33КС колесики и столешница медный антик Э 356 М</t>
  </si>
  <si>
    <t>75445</t>
  </si>
  <si>
    <t>Этажерка Ладья 33КС колесики и столешница серый Э 356 С</t>
  </si>
  <si>
    <t>75446</t>
  </si>
  <si>
    <t>Этажерка Ладья 33КС колесики и столешница черный Э 356 Ч</t>
  </si>
  <si>
    <t>76131</t>
  </si>
  <si>
    <t>Этажерка Ладья 33КС колесики и столик под дерево белый Э 559 Б</t>
  </si>
  <si>
    <t>76141</t>
  </si>
  <si>
    <t>Этажерка Ладья 33КС колесики и столик под дерево медный антик Э 559 М</t>
  </si>
  <si>
    <t>76114</t>
  </si>
  <si>
    <t>Этажерка Ладья 33КС колесики и столик под дерево металлик Э 559 МЕТ</t>
  </si>
  <si>
    <t>76133</t>
  </si>
  <si>
    <t>Этажерка Ладья 33КС колесики и столик под дерево серый Э 559 С</t>
  </si>
  <si>
    <t>76142</t>
  </si>
  <si>
    <t>Этажерка Ладья 33КС колесики и столик под дерево черный Э 559 Ч</t>
  </si>
  <si>
    <t>76123</t>
  </si>
  <si>
    <t>Этажерка Ладья 33С 3-полочная белый Э 557 Б</t>
  </si>
  <si>
    <t>76159</t>
  </si>
  <si>
    <t>Этажерка Ладья 33С 3-полочная графит Э 557 ГР</t>
  </si>
  <si>
    <t>76122</t>
  </si>
  <si>
    <t>Этажерка Ладья 33С 3-полочная серый Э 557 С</t>
  </si>
  <si>
    <t>76121</t>
  </si>
  <si>
    <t>Этажерка Ладья 33С 3-полочная черный Э 557 Ч</t>
  </si>
  <si>
    <t>76136</t>
  </si>
  <si>
    <t>Этажерка Ладья 34КС колесики и столешница белый Э 357 Б</t>
  </si>
  <si>
    <t>76143</t>
  </si>
  <si>
    <t>Этажерка Ладья 34КС колесики и столешница графит Э 357 ГР</t>
  </si>
  <si>
    <t>75447</t>
  </si>
  <si>
    <t>Этажерка Ладья 34КС колесики и столешница медный антик Э 357 М</t>
  </si>
  <si>
    <t>76115</t>
  </si>
  <si>
    <t>Этажерка Ладья 34КС колесики и столешница металлик Э 357 МЕТ</t>
  </si>
  <si>
    <t>75448</t>
  </si>
  <si>
    <t>Этажерка Ладья 34КС колесики и столешница серый Э 357 С</t>
  </si>
  <si>
    <t>75449</t>
  </si>
  <si>
    <t>Этажерка Ладья 34КС колесики и столешница черный Э 357 Ч</t>
  </si>
  <si>
    <t>76161</t>
  </si>
  <si>
    <t>Этажерка Ладья 34КС колесики и столик под дерево медный антик Э 560 М</t>
  </si>
  <si>
    <t>76105</t>
  </si>
  <si>
    <t>Этажерка Ладья 34КС колесики и столик под дерево серый Э 560 С</t>
  </si>
  <si>
    <t>76106</t>
  </si>
  <si>
    <t>Этажерка Ладья 34КС колесики и столик под дерево черный Э 560 Ч</t>
  </si>
  <si>
    <t>76127</t>
  </si>
  <si>
    <t>Этажерка Ладья 34С белый Э 558 Б</t>
  </si>
  <si>
    <t>76126</t>
  </si>
  <si>
    <t>Этажерка Ладья 34С серый Э 558 С</t>
  </si>
  <si>
    <t>76125</t>
  </si>
  <si>
    <t>Этажерка Ладья 34С черный Э 558 Ч</t>
  </si>
  <si>
    <t>76117</t>
  </si>
  <si>
    <t>Этажерка Ладья 35КС медный антик Э 410 М</t>
  </si>
  <si>
    <t>76102</t>
  </si>
  <si>
    <t>Этажерка Ладья 35КС серый Э 410 С</t>
  </si>
  <si>
    <t>76103</t>
  </si>
  <si>
    <t>Этажерка Ладья 35КС черный Э 410 Ч</t>
  </si>
  <si>
    <t>762 Подставки для цветов</t>
  </si>
  <si>
    <t>76211</t>
  </si>
  <si>
    <t>Подставка д/цветов Лотос малый цвет белый ПДЦ 147 Б</t>
  </si>
  <si>
    <t>76208</t>
  </si>
  <si>
    <t>Подставка д/цветов Стелла 5 цвет белый ПДЦ 85 Б</t>
  </si>
  <si>
    <t>75461</t>
  </si>
  <si>
    <t>Подставка д/цветов Стелла 5 цвет медный антик ПДЦ 85 М</t>
  </si>
  <si>
    <t>49226</t>
  </si>
  <si>
    <t>Подставка д/цветов Стелла 5 цвет черный ПДЦ 85 Ч</t>
  </si>
  <si>
    <t>75417</t>
  </si>
  <si>
    <t>Подставка д/цветов Стелла 9 цвет медный антик ПДЦ 91 М</t>
  </si>
  <si>
    <t>770-799 Товары для кухни</t>
  </si>
  <si>
    <t>770 Терки хозяйственные/шинковки/измельчители</t>
  </si>
  <si>
    <t>77074</t>
  </si>
  <si>
    <t>Нож-слайсер для фигурной нарезки пласт. нерж сталь. 19*6 см 884-068 /6/</t>
  </si>
  <si>
    <t>79957</t>
  </si>
  <si>
    <t>Овощерезка кухонная CHOP-43/001304</t>
  </si>
  <si>
    <t>77058</t>
  </si>
  <si>
    <t>Резак для овощей и фруктов VL53-113 /12/</t>
  </si>
  <si>
    <t>77095</t>
  </si>
  <si>
    <t>Резак для овощей и фруктов Волна DH53-132 /12/</t>
  </si>
  <si>
    <t>77073</t>
  </si>
  <si>
    <t>Резак для овощей и фруктов Гофре VL53-112 /12/</t>
  </si>
  <si>
    <t>77043</t>
  </si>
  <si>
    <t>Терка для корейской моркови 27,5*8,7*1,6 см ТК-1 885-102 /5/</t>
  </si>
  <si>
    <t>77039</t>
  </si>
  <si>
    <t>Терка для корейской моркови МТ76-11 /5/</t>
  </si>
  <si>
    <t>77042</t>
  </si>
  <si>
    <t>Терка для корейской моркови Эконом МТ76-110 /5/</t>
  </si>
  <si>
    <t>77044</t>
  </si>
  <si>
    <t>Терка хоз. 4-х стор. 17*5см жесть 885-111 /6/</t>
  </si>
  <si>
    <t>77038</t>
  </si>
  <si>
    <t>Терка хоз. 4-х стор. 22,5 см пирамида MT53-72 /8/</t>
  </si>
  <si>
    <t>77004</t>
  </si>
  <si>
    <t>Терка хоз. 4-х стор. 22см 885-521 /3/</t>
  </si>
  <si>
    <t>77000</t>
  </si>
  <si>
    <t>Терка хоз. 4-х стор. 23см Т-1 885-097 /5/</t>
  </si>
  <si>
    <t>77002</t>
  </si>
  <si>
    <t>Терка хоз. 4-х стор. круглая ручка 9" 885-446 /6/</t>
  </si>
  <si>
    <t>77037</t>
  </si>
  <si>
    <t>Терка хоз. 6-х стор. 19 см AN53-67 /9/</t>
  </si>
  <si>
    <t>77049</t>
  </si>
  <si>
    <t>Терка хоз. Domina 4-х стор 8"</t>
  </si>
  <si>
    <t>77048</t>
  </si>
  <si>
    <t>Терка хоз. Domina 6-ти стор 8"</t>
  </si>
  <si>
    <t>77005</t>
  </si>
  <si>
    <t>Терка хоз. Domina 6-ти стор 9"</t>
  </si>
  <si>
    <t>77010</t>
  </si>
  <si>
    <t>Терка хоз. SATOSHI Эко мелкая на ручке нерж. сталь 882-392 /120/</t>
  </si>
  <si>
    <t>79924</t>
  </si>
  <si>
    <t>Терка хоз. Vetta 4-х стор. 16см жесть KL-324I 6.5TK144 885-086 /3/</t>
  </si>
  <si>
    <t>77013</t>
  </si>
  <si>
    <t>Терка хоз. Vetta 4-х стор. 20см жесть 2 цвета ручка 885-104 /4/</t>
  </si>
  <si>
    <t>77018</t>
  </si>
  <si>
    <t>Терка хоз. Vetta 4-х стор. 22см 3 цв. ручки 885-106 /3/</t>
  </si>
  <si>
    <t>79906</t>
  </si>
  <si>
    <t>Терка хоз. Vetta 4-х стор. 23см жесть 2 цвета ручки 885-105 /4/</t>
  </si>
  <si>
    <t>77060</t>
  </si>
  <si>
    <t>Терка хоз. Vetta 4-х стор. 23см с контейнером, нерж. сталь 885-112 /4/</t>
  </si>
  <si>
    <t>79908</t>
  </si>
  <si>
    <t>Терка хоз. Vetta 6-ти стор. 20 см нерж. сталь под дерево KL326А-8S 885-072 /3/</t>
  </si>
  <si>
    <t>77012</t>
  </si>
  <si>
    <t>Терка хоз. Vetta 6-ти стор. 22 см жесть 885-108 /4/</t>
  </si>
  <si>
    <t>79912</t>
  </si>
  <si>
    <t>Терка хоз. Vetta 6-ти стор. 22см 4 цвета ручки 885-107 /3/</t>
  </si>
  <si>
    <t>77084</t>
  </si>
  <si>
    <t>Терка хоз. многофункц. со сменными лезв. 7пред. 885-272 /11/</t>
  </si>
  <si>
    <t>77008</t>
  </si>
  <si>
    <t>Терка хоз. с ручкой АХМ2115-4 /24/</t>
  </si>
  <si>
    <t>79979</t>
  </si>
  <si>
    <t>Терки хоз. Vetta с пластиков. контейнером 885-087 /6/</t>
  </si>
  <si>
    <t>77046</t>
  </si>
  <si>
    <t>Шинковка для капусты Satoshi 15 см нерж. сталь 882-302 /6/</t>
  </si>
  <si>
    <t>77027</t>
  </si>
  <si>
    <t>Шинковка для капусты ручная 053 884-017 /6/</t>
  </si>
  <si>
    <t>771 Столовые приборы</t>
  </si>
  <si>
    <t>77155</t>
  </si>
  <si>
    <t>Вилка столовая №3 (Г)/24/</t>
  </si>
  <si>
    <t>79183</t>
  </si>
  <si>
    <t>Вилка столовая №5 "Вензель" (Г)/12/</t>
  </si>
  <si>
    <t>77152</t>
  </si>
  <si>
    <t>Вилка столовая №7 (Г)/24/</t>
  </si>
  <si>
    <t>79003</t>
  </si>
  <si>
    <t>Вилка столовая алюмин.Россия МТ-022 /25/</t>
  </si>
  <si>
    <t>79059</t>
  </si>
  <si>
    <t>Вилка столовая алюминиевая</t>
  </si>
  <si>
    <t>77121</t>
  </si>
  <si>
    <t>Ложка десертная мет. 19,5 см 2 цв. 858-002 /10/</t>
  </si>
  <si>
    <t>77122</t>
  </si>
  <si>
    <t>Ложка десертная мет. 19,5 см 2 цв. 858-005 /10/</t>
  </si>
  <si>
    <t>77150</t>
  </si>
  <si>
    <t>Ложка детская мет. Зверушка 12 диз. 815-192 /12/</t>
  </si>
  <si>
    <t>77132</t>
  </si>
  <si>
    <t>Ложка подарочная, мед. сталь, 14см Женские имена, 24 дизайна 531-109 /24/</t>
  </si>
  <si>
    <t>77133</t>
  </si>
  <si>
    <t>Ложка подарочная, мед. сталь, 14см Мужские имена, 24 дизайна 531-107 /24/</t>
  </si>
  <si>
    <t>79027</t>
  </si>
  <si>
    <t>Ложка столовая нерж. Эконом BG-1 12 шт</t>
  </si>
  <si>
    <t>79069</t>
  </si>
  <si>
    <t>Ложка столовая нерж. Эконом BG-4 12 шт</t>
  </si>
  <si>
    <t>77108</t>
  </si>
  <si>
    <t>Ложка чайная Лика с удлиненной ручкой 815-271 /10/</t>
  </si>
  <si>
    <t>77151</t>
  </si>
  <si>
    <t>Ложка чайная Узор с удлиненной ручкой 815-401 /10/</t>
  </si>
  <si>
    <t>79085</t>
  </si>
  <si>
    <t>Столовые приборы Eco Бристоль Вилки 6 пр 19,3 см 855-002 /2/</t>
  </si>
  <si>
    <t>77160</t>
  </si>
  <si>
    <t>Столовые приборы Eco Бристоль Ложки чайные 6 пр 13,7 см 855-003 /2/</t>
  </si>
  <si>
    <t>77153</t>
  </si>
  <si>
    <t>Столовые приборы Satoshi Багет Вилки 6 пр блист. 815-375 /48/</t>
  </si>
  <si>
    <t>77154</t>
  </si>
  <si>
    <t>Столовые приборы Satoshi Багет Ложки 6 пр. блист. 815-376 /48/</t>
  </si>
  <si>
    <t>77156</t>
  </si>
  <si>
    <t>Столовые приборы Satoshi Багет Ложки чайные 6 пр блист. 815-377 /72/</t>
  </si>
  <si>
    <t>77157</t>
  </si>
  <si>
    <t>Столовые приборы Satoshi Венса Вилки 6 пр блист. 815-372 /48/</t>
  </si>
  <si>
    <t>77139</t>
  </si>
  <si>
    <t>Столовые приборы Satoshi Венса Ложки 6 пр. блист. 815-373 /48/</t>
  </si>
  <si>
    <t>77158</t>
  </si>
  <si>
    <t>Столовые приборы Satoshi Венса Ложки чайные 6 пр блист. 815-374 /6/</t>
  </si>
  <si>
    <t>77119</t>
  </si>
  <si>
    <t>Столовые приборы Satoshi Верано Вилки 6 пр. блист. 815-334 /6/</t>
  </si>
  <si>
    <t>77113</t>
  </si>
  <si>
    <t>Столовые приборы Satoshi Верано Ложки 6 пр. 815-335 /6/</t>
  </si>
  <si>
    <t>77116</t>
  </si>
  <si>
    <t>Столовые приборы Satoshi Верано Ложки чайные 6 пр блист. 815-336 /3/</t>
  </si>
  <si>
    <t>79095</t>
  </si>
  <si>
    <t>Столовые приборы Satoshi Классика Вилки 6 пр блист. 815-331 /6/</t>
  </si>
  <si>
    <t>79016</t>
  </si>
  <si>
    <t>Столовые приборы Satoshi Классика Ложки 6 пр блист. 815-332 /6/</t>
  </si>
  <si>
    <t>77128</t>
  </si>
  <si>
    <t>Столовые приборы Satoshi Классика Ложки чайные 6 пр блист. 815-333 /6/</t>
  </si>
  <si>
    <t>77104</t>
  </si>
  <si>
    <t>Столовые приборы Satoshi Классика Ложки чайные с удлин. руч. 3 пр. блист. 815-347 /12/</t>
  </si>
  <si>
    <t>79031</t>
  </si>
  <si>
    <t>Столовые приборы Satoshi Премиум Ложка нерж. сталь 815-349 /3/</t>
  </si>
  <si>
    <t>79068</t>
  </si>
  <si>
    <t>Столовые приборы Satoshi Премиум Ложка чайная нерж. сталь 815-350 /3/</t>
  </si>
  <si>
    <t>77162</t>
  </si>
  <si>
    <t>Столовые приборы Satoshi Риф Вилка нерж. сталь 815-415 /12/</t>
  </si>
  <si>
    <t>77161</t>
  </si>
  <si>
    <t>Столовые приборы Satoshi Риф Ложка нерж. сталь 815-414 /12/</t>
  </si>
  <si>
    <t>77163</t>
  </si>
  <si>
    <t>Столовые приборы Satoshi Риф Ложка чайная нерж. сталь 815-416 /12/</t>
  </si>
  <si>
    <t>77101</t>
  </si>
  <si>
    <t>Столовые приборы Satoshi Эвора Вилки 6 пр блист. 815-340 /6/</t>
  </si>
  <si>
    <t>78935</t>
  </si>
  <si>
    <t>Столовые приборы Satoshi Эвора Ложки 6 пр блист. 815-341 /12/</t>
  </si>
  <si>
    <t>77103</t>
  </si>
  <si>
    <t>Столовые приборы Satoshi Эвора Ложки чайные 6 пр блист. 815-342 /12/</t>
  </si>
  <si>
    <t>79009</t>
  </si>
  <si>
    <t>Столовые приборы Vetta Бристоль Вилка 19,3 см 855-010 /24/</t>
  </si>
  <si>
    <t>77124</t>
  </si>
  <si>
    <t>Столовые приборы Vetta Бристоль Ложка 18,9 см 855-011 /24/</t>
  </si>
  <si>
    <t>77120</t>
  </si>
  <si>
    <t>Столовые приборы Vetta Бристоль Ложка чайная 13,7 см 855-012 /24/</t>
  </si>
  <si>
    <t>79024</t>
  </si>
  <si>
    <t>Столовые приборы Vetta Бристоль Ложки 18,9 см 6 пр 855-001 /2/</t>
  </si>
  <si>
    <t>77136</t>
  </si>
  <si>
    <t>Столовые приборы Vetta Бруно Вилка 815-359 /6/</t>
  </si>
  <si>
    <t>77137</t>
  </si>
  <si>
    <t>Столовые приборы Vetta Бруно Ложка 815-360 /6/</t>
  </si>
  <si>
    <t>77148</t>
  </si>
  <si>
    <t>Столовые приборы Vetta Бруно Ложка чайная 815-361 /12/</t>
  </si>
  <si>
    <t>77117</t>
  </si>
  <si>
    <t>Столовые приборы Vetta Йорк Вилка 815-106 /12/</t>
  </si>
  <si>
    <t>77134</t>
  </si>
  <si>
    <t>Столовые приборы Vetta Йорк Вилки 6 пр 815-102 /6/</t>
  </si>
  <si>
    <t>77102</t>
  </si>
  <si>
    <t>Столовые приборы Vetta Йорк Ложка 815-105 /12/</t>
  </si>
  <si>
    <t>77111</t>
  </si>
  <si>
    <t>Столовые приборы Vetta Йорк Ложка чайная 815-104 /12/</t>
  </si>
  <si>
    <t>77147</t>
  </si>
  <si>
    <t>Столовые приборы Vetta Йорк Ложки 6 пр 815-100 /6/</t>
  </si>
  <si>
    <t>77149</t>
  </si>
  <si>
    <t>Столовые приборы Vetta Йорк Ложки чайная 6 пр 815-098 /6/</t>
  </si>
  <si>
    <t>77126</t>
  </si>
  <si>
    <t>Столовые приборы Vetta Лотос Вилки 6 пр 858-008 /12/</t>
  </si>
  <si>
    <t>77125</t>
  </si>
  <si>
    <t>Столовые приборы Vetta Лотос Ложки 6 пр 858-007 /12/</t>
  </si>
  <si>
    <t>77140</t>
  </si>
  <si>
    <t>Столовые приборы Vetta Лотос Ложки чайные 6 пр 858-009 /12/</t>
  </si>
  <si>
    <t>77146</t>
  </si>
  <si>
    <t>Столовые приборы Vetta Луиза Вилка 815-163 /12/</t>
  </si>
  <si>
    <t>77114</t>
  </si>
  <si>
    <t>Столовые приборы Vetta Луиза Ложка 815-160 /12/</t>
  </si>
  <si>
    <t>77109</t>
  </si>
  <si>
    <t>Столовые приборы Vetta Луиза Ложка чайная 815-166 /12/</t>
  </si>
  <si>
    <t>77145</t>
  </si>
  <si>
    <t>Столовые приборы Vetta Марсель Вилки 6 пр. 815-113 /3/</t>
  </si>
  <si>
    <t>77100</t>
  </si>
  <si>
    <t>Столовые приборы Vetta Марсель Ложка 815-116 /12/</t>
  </si>
  <si>
    <t>77110</t>
  </si>
  <si>
    <t>Столовые приборы Vetta Марсель Ложка чайная 815-115 /12/</t>
  </si>
  <si>
    <t>77159</t>
  </si>
  <si>
    <t>Столовые приборы Vetta Марсель Ложки 6 пр. 815-111 /3/</t>
  </si>
  <si>
    <t>77127</t>
  </si>
  <si>
    <t>Столовые приборы Vetta Марсель Ложки чайные 6 пр блист. 815-109 /3/</t>
  </si>
  <si>
    <t>77129</t>
  </si>
  <si>
    <t>Столовые приборы Vetta Орлеан Вилки 6 пр 18,6 см 855-008 /2/</t>
  </si>
  <si>
    <t>77138</t>
  </si>
  <si>
    <t>Столовые приборы Vetta Орлеан Ложки 6 пр 18,3 см 855-007 /2/</t>
  </si>
  <si>
    <t>77130</t>
  </si>
  <si>
    <t>Столовые приборы Vetta Орлеан Ложки чайные 6 пр 13,6 см 855-009 /2/</t>
  </si>
  <si>
    <t>77115</t>
  </si>
  <si>
    <t>Столовые приборы Vetta Тренто Вилки 6 пр. 815-337 /6/</t>
  </si>
  <si>
    <t>77112</t>
  </si>
  <si>
    <t>Столовые приборы Vetta Тренто Ложки 6 пр. 815-338 /6/</t>
  </si>
  <si>
    <t>77105</t>
  </si>
  <si>
    <t>Столовые приборы Vetta Тренто Ложки чайные 6 пр 815-339 /6/</t>
  </si>
  <si>
    <t>772 Емкости для специй</t>
  </si>
  <si>
    <t>77050</t>
  </si>
  <si>
    <t>Емкость для специй Альтернатива с дозатором 0,3 л М6063 /34/</t>
  </si>
  <si>
    <t>77047</t>
  </si>
  <si>
    <t>Мельница д/специй Satoshi 17,5 см пластик 827-089 /36/</t>
  </si>
  <si>
    <t>77220</t>
  </si>
  <si>
    <t>Мельница д/специй Satoshi электрическая сталь. акрил. 22 см 827-087 /36/</t>
  </si>
  <si>
    <t>78548</t>
  </si>
  <si>
    <t>Мельница д/специй VETTA АВС пластик 4 цв 14*5см 827-081 /8/</t>
  </si>
  <si>
    <t>78928</t>
  </si>
  <si>
    <t>Мельница д/специй VETTA АВС пластик золотая 11,5 см 827-077 /6/</t>
  </si>
  <si>
    <t>78929</t>
  </si>
  <si>
    <t>Мельница д/специй VETTA АВС пластик серебряная 11,5 см 827-079 /6/</t>
  </si>
  <si>
    <t>77202</t>
  </si>
  <si>
    <t>Мельница д/специй VETTA акрил 16 см 827-027 /6/</t>
  </si>
  <si>
    <t>77203</t>
  </si>
  <si>
    <t>Мельница д/специй VETTA дерев. 14 см 827-019 /6/</t>
  </si>
  <si>
    <t>77204</t>
  </si>
  <si>
    <t>Мельница д/специй VETTA дерев. темная 14 см 827-034 /6/</t>
  </si>
  <si>
    <t>77201</t>
  </si>
  <si>
    <t>Мельница д/специй VETTA дерево 16 см 827-021 /6/</t>
  </si>
  <si>
    <t>78926</t>
  </si>
  <si>
    <t>Мельница д/специй VETTA дерево акрил 16 см 827-043 /6/</t>
  </si>
  <si>
    <t>78552</t>
  </si>
  <si>
    <t>Мельница д/специй VETTA стекло/пластик 13,5 см 827-085 /6/</t>
  </si>
  <si>
    <t>77221</t>
  </si>
  <si>
    <t>Мельница д/специй электрич. 20,5 см пластик акрил силикон 2 цв. 827-086 /48/</t>
  </si>
  <si>
    <t>77098</t>
  </si>
  <si>
    <t>Набор для специй 2 пр 80 мл 0063 /144/</t>
  </si>
  <si>
    <t>77097</t>
  </si>
  <si>
    <t>Набор для специй 2 пр 80 мл 4041 /96/</t>
  </si>
  <si>
    <t>77216</t>
  </si>
  <si>
    <t>Набор для специй Sugar&amp;Spice 3 пр Honey 0,2л 861-006 /18/</t>
  </si>
  <si>
    <t>78922</t>
  </si>
  <si>
    <t>Набор для специй VETTA мельн 14см + солон 13см акрил P3 5305SP 827-029 /6/</t>
  </si>
  <si>
    <t>78903</t>
  </si>
  <si>
    <t>Набор для специй VETTA мельн 14см + солон 13см дер 827-018 /6/</t>
  </si>
  <si>
    <t>77062</t>
  </si>
  <si>
    <t>Набор для специй на подставке Практик стекло, металл 828-146 /3/</t>
  </si>
  <si>
    <t>77099</t>
  </si>
  <si>
    <t>Солонка метал 8*4 см 04с1162-70 /24/</t>
  </si>
  <si>
    <t>77210</t>
  </si>
  <si>
    <t>Солонка стекло/метал 10,5*5,2см 828-235 /12/</t>
  </si>
  <si>
    <t>77200</t>
  </si>
  <si>
    <t>Солонка стекло/метал 10,8*5см 3 цв. 828-234 /12/</t>
  </si>
  <si>
    <t>77232</t>
  </si>
  <si>
    <t>Солонка стекло/метал 2пр на листе 1-1 H10 /144/</t>
  </si>
  <si>
    <t>77212</t>
  </si>
  <si>
    <t>Солонка стекло/метал 2пр на листе 1-2 Н10 /144/</t>
  </si>
  <si>
    <t>77244</t>
  </si>
  <si>
    <t>Солонка стекло/метал 2пр на листе 1-3 Н10 /144/</t>
  </si>
  <si>
    <t>77234</t>
  </si>
  <si>
    <t>Солонка стекло/метал 2пр на листе 1-4 H10 /144/</t>
  </si>
  <si>
    <t>77211</t>
  </si>
  <si>
    <t>Солонка стекло/метал 8,8*3,4см 828-265 /24/</t>
  </si>
  <si>
    <t>77207</t>
  </si>
  <si>
    <t>Солонка стекло/метал 80 мл /24/</t>
  </si>
  <si>
    <t>78594</t>
  </si>
  <si>
    <t>Солонка стекло/метал DOMINA 2пр 609-1СА2</t>
  </si>
  <si>
    <t>78563</t>
  </si>
  <si>
    <t>Солонка стекло/метал DOMINA 3пр 605 СА2</t>
  </si>
  <si>
    <t>21167</t>
  </si>
  <si>
    <t>Солонка стекло/метал DOMINA 4пр 606 СА2</t>
  </si>
  <si>
    <t>77222</t>
  </si>
  <si>
    <t>Солонка стекло/пласт 10136-2 Н-10 /24/</t>
  </si>
  <si>
    <t>77224</t>
  </si>
  <si>
    <t>Солонка стекло/пласт 16994-7 Н-10 /24/</t>
  </si>
  <si>
    <t>77228</t>
  </si>
  <si>
    <t>Солонка стекло/пласт 3*7,3см 828-209 /24/</t>
  </si>
  <si>
    <t>77215</t>
  </si>
  <si>
    <t>Солонка стекло/пласт Д5 см 861-346 /12/</t>
  </si>
  <si>
    <t>774 Сушилки для столовых приборов/подставки</t>
  </si>
  <si>
    <t>77409</t>
  </si>
  <si>
    <t>Лоток для столовых приборов Vetta 32,8*25*4 см 5 секц. 3 цв. 485-111 /5/</t>
  </si>
  <si>
    <t>77444</t>
  </si>
  <si>
    <t>Лоток для столовых приборов Vetta Кантри 33*19,5*5 см 4 секц. 485-048 /4/</t>
  </si>
  <si>
    <t>77442</t>
  </si>
  <si>
    <t>Лоток для столовых приборов Vetta Кантри 5 сек пластик арт.4845 485-050 /4/120/</t>
  </si>
  <si>
    <t>77431</t>
  </si>
  <si>
    <t>Лоток для столовых приборов Альтернатива белый М8516 /23/</t>
  </si>
  <si>
    <t>77429</t>
  </si>
  <si>
    <t>Лоток для столовых приборов Альтернатива Капелька лайм/св.желтый М7079 /30/</t>
  </si>
  <si>
    <t>77401</t>
  </si>
  <si>
    <t>Лоток для столовых приборов Альтернатива Капелька мих М4901 /30/</t>
  </si>
  <si>
    <t>77430</t>
  </si>
  <si>
    <t>Лоток для столовых приборов Альтернатива Капелька мрамор М7067 /30/</t>
  </si>
  <si>
    <t>77433</t>
  </si>
  <si>
    <t>Лоток для столовых приборов Альтернатива раздвижной белокрасный М6006 /6/</t>
  </si>
  <si>
    <t>77432</t>
  </si>
  <si>
    <t>Лоток для столовых приборов Альтернатива серый М8517 /23/</t>
  </si>
  <si>
    <t>77426</t>
  </si>
  <si>
    <t>Лоток для столовых приборов Виолет белый /30/</t>
  </si>
  <si>
    <t>77427</t>
  </si>
  <si>
    <t>Лоток для столовых приборов Виолет капучино /30/</t>
  </si>
  <si>
    <t>77428</t>
  </si>
  <si>
    <t>Лоток для столовых приборов Виолет латте /30/</t>
  </si>
  <si>
    <t>77472</t>
  </si>
  <si>
    <t>Лоток для столовых приборов Виолет широкий белый /20/</t>
  </si>
  <si>
    <t>77473</t>
  </si>
  <si>
    <t>Лоток для столовых приборов Виолет широкий латте /20/</t>
  </si>
  <si>
    <t>77474</t>
  </si>
  <si>
    <t>Лоток для столовых приборов Виолет широкий серый /20/</t>
  </si>
  <si>
    <t>77443</t>
  </si>
  <si>
    <t>Лоток для столовых приборов пластик Р2030 485-063 /10/20/</t>
  </si>
  <si>
    <t>77447</t>
  </si>
  <si>
    <t>Лоток для столовых приборов Полимербыт С164 /20/</t>
  </si>
  <si>
    <t>77448</t>
  </si>
  <si>
    <t>Лоток для столовых приборов Полимербыт С225 /25/</t>
  </si>
  <si>
    <t>77445</t>
  </si>
  <si>
    <t>Лоток для столовых приборов Полимербыт С28501 /10/</t>
  </si>
  <si>
    <t>77449</t>
  </si>
  <si>
    <t>Лоток для столовых приборов Полимербыт С606 /30/</t>
  </si>
  <si>
    <t>77420</t>
  </si>
  <si>
    <t>Органайзер для кухни Виолет Лофт 3-х секц белый /12/</t>
  </si>
  <si>
    <t>77469</t>
  </si>
  <si>
    <t>Органайзер для кухни Виолет Лофт 3-х секц латте /12/</t>
  </si>
  <si>
    <t>77460</t>
  </si>
  <si>
    <t>Органайзер для кухни Виолет Лофт 3-х секц слон. кость /12/</t>
  </si>
  <si>
    <t>77425</t>
  </si>
  <si>
    <t>Органайзер для кухни Виолет Лофт широкий 3-х секц белый /14/</t>
  </si>
  <si>
    <t>77471</t>
  </si>
  <si>
    <t>Органайзер для кухни Виолет Лофт широкий 3-х секц латте /14/</t>
  </si>
  <si>
    <t>77424</t>
  </si>
  <si>
    <t>Органайзер для кухни Виолет Лофт широкий 3-х секц слон. кость /14/</t>
  </si>
  <si>
    <t>77436</t>
  </si>
  <si>
    <t>Органайзер для кухни Виолет Лофт широкий навесной 3-х секц белый /18/</t>
  </si>
  <si>
    <t>77439</t>
  </si>
  <si>
    <t>Органайзер для кухни Виолет Лофт широкий навесной 3-х секц серый /18/</t>
  </si>
  <si>
    <t>79499</t>
  </si>
  <si>
    <t>Сушилка Альтернатива для стол/приборов Маки М2242 /20/</t>
  </si>
  <si>
    <t>77418</t>
  </si>
  <si>
    <t>Сушилка Альтернатива для стол/приборов Планета витаминов М7882 /22/</t>
  </si>
  <si>
    <t>77437</t>
  </si>
  <si>
    <t>Сушилка Альтернатива для стол/приборов Семь злаков М1303 /24/</t>
  </si>
  <si>
    <t>79406</t>
  </si>
  <si>
    <t>Сушилка Альтернатива для стол/приборов Сердце белый М6252 /24/</t>
  </si>
  <si>
    <t>79415</t>
  </si>
  <si>
    <t>Сушилка Альтернатива для стол/приборов Сердце св.желтый М6253 /24/</t>
  </si>
  <si>
    <t>77403</t>
  </si>
  <si>
    <t>Сушилка Альтернатива для стол/приборов Стиль белый М550 /20/</t>
  </si>
  <si>
    <t>77434</t>
  </si>
  <si>
    <t>Сушилка Альтернатива для стол/приборов Стиль св.бежевый М7612 /22/</t>
  </si>
  <si>
    <t>79488</t>
  </si>
  <si>
    <t>Сушилка Альтернатива для стол/приборов Флорель М2268 /20/</t>
  </si>
  <si>
    <t>79498</t>
  </si>
  <si>
    <t>Сушилка Альтернатива для стол/приборов Цветочный блюз М2267 /20/</t>
  </si>
  <si>
    <t>77462</t>
  </si>
  <si>
    <t>Сушилка Альтернатива для стол/приборов черный М6342 /16/</t>
  </si>
  <si>
    <t>77475</t>
  </si>
  <si>
    <t>Сушилка Виолет для стол/приборов Лофт латте /16/</t>
  </si>
  <si>
    <t>77476</t>
  </si>
  <si>
    <t>Сушилка Виолет для стол/приборов Лофт слон. кость /16/</t>
  </si>
  <si>
    <t>779 Формы кулинарные</t>
  </si>
  <si>
    <t>77909</t>
  </si>
  <si>
    <t>Лед многоразовый Дольки апельсина 15 шт в сетке 892-244 /48/</t>
  </si>
  <si>
    <t>78981</t>
  </si>
  <si>
    <t>Форма для лепки варенников 18 ячеек 25x25см МГ76-64 /5/25/</t>
  </si>
  <si>
    <t>77910</t>
  </si>
  <si>
    <t>Форма для лепки варенников алюмин. ФЭ-9-8 /20/</t>
  </si>
  <si>
    <t>77900</t>
  </si>
  <si>
    <t>Форма для лепки варенников Д7,5 см VL80-219 /12/</t>
  </si>
  <si>
    <t>77904</t>
  </si>
  <si>
    <t>Форма для лепки пельменей алюминиевая 24см арт.1169 884-418 /2/50/</t>
  </si>
  <si>
    <t>77907</t>
  </si>
  <si>
    <t>Форма для лепки пельменей и хинкали В118</t>
  </si>
  <si>
    <t>77911</t>
  </si>
  <si>
    <t>Форма для лепки пельменей пластмассовая Д25,5 см МГ76-56 /5/30/</t>
  </si>
  <si>
    <t>79515</t>
  </si>
  <si>
    <t>Форма для лепки пельменей пластмассовая Д270 М5553 /25/</t>
  </si>
  <si>
    <t>77901</t>
  </si>
  <si>
    <t>Форма для лепки равиоли металл/дерево ВА 1561 Р</t>
  </si>
  <si>
    <t>77928</t>
  </si>
  <si>
    <t>Форма для лепки чебуреков Д12 см VL80-220 /12/</t>
  </si>
  <si>
    <t>77927</t>
  </si>
  <si>
    <t>Форма для льда VL80-163 /12/</t>
  </si>
  <si>
    <t>77926</t>
  </si>
  <si>
    <t>Форма для льда Клубничка VL80-158 /12/</t>
  </si>
  <si>
    <t>78933</t>
  </si>
  <si>
    <t>Форма для льда пластик + силикон 21*14см, 2вида 892-186 /10/</t>
  </si>
  <si>
    <t>77915</t>
  </si>
  <si>
    <t>Форма для льда Полимербыт С537 /22/</t>
  </si>
  <si>
    <t>77913</t>
  </si>
  <si>
    <t>Форма для льда с крышкой клубника R2613A 892-012 /6/</t>
  </si>
  <si>
    <t>77908</t>
  </si>
  <si>
    <t>Форма для льда Соты 20*12 см 37 ячеек 3 цв. 891-294 /12/</t>
  </si>
  <si>
    <t>77925</t>
  </si>
  <si>
    <t>Форма для льда Шарики YM80-157 /12/</t>
  </si>
  <si>
    <t>79348</t>
  </si>
  <si>
    <t>Форма для салата с прессом Квадрат 8*4см нерж. 8613 /6/</t>
  </si>
  <si>
    <t>79532</t>
  </si>
  <si>
    <t>Форма для салата с прессом Кольцо 8*4см нерж. 8611 /6/</t>
  </si>
  <si>
    <t>78938</t>
  </si>
  <si>
    <t>Форма для салата с прессом круглая 8*8*4 см нерж. сталь 884-361 /3/</t>
  </si>
  <si>
    <t>79394</t>
  </si>
  <si>
    <t>Форма для салата с прессом Треугольник 8*4см нерж. 8612 /6/</t>
  </si>
  <si>
    <t>78940</t>
  </si>
  <si>
    <t>Форма кулинарная с прессом Квадрат 10*10*4 см /12/</t>
  </si>
  <si>
    <t>78950</t>
  </si>
  <si>
    <t>Форма кулинарная с прессом Квадрат 9,5*9,5*4,5 см /12/</t>
  </si>
  <si>
    <t>77932</t>
  </si>
  <si>
    <t>Форма кулинарная с прессом Круг 10*4 см AN8-2 /12/</t>
  </si>
  <si>
    <t>77921</t>
  </si>
  <si>
    <t>Форма кулинарная с прессом Круг 8*4,5 см AN8-1 /6/</t>
  </si>
  <si>
    <t>78949</t>
  </si>
  <si>
    <t>Форма кулинарная с прессом Круг 9,5*4,5 см /12/</t>
  </si>
  <si>
    <t>78944</t>
  </si>
  <si>
    <t>Форма кулинарная с прессом Сердце 8*9*4 см /12/</t>
  </si>
  <si>
    <t>77934</t>
  </si>
  <si>
    <t>Форма кулинарная с прессом Сердце 9*10*4 см AN8-16 /12/</t>
  </si>
  <si>
    <t>77922</t>
  </si>
  <si>
    <t>Формы для печенья 4,5, 6, 7 см 3шт AN8-19 /12/</t>
  </si>
  <si>
    <t>78919</t>
  </si>
  <si>
    <t>Формы для салата с прессом 4 пр. 9*4 см 865-019 /6/</t>
  </si>
  <si>
    <t>77918</t>
  </si>
  <si>
    <t>Формы для салата с прессом Восьмигранник д8 и д10 2 шт /240/</t>
  </si>
  <si>
    <t>77916</t>
  </si>
  <si>
    <t>Формы для салата с прессом Квадрат 8*8 и 10*10 2 шт</t>
  </si>
  <si>
    <t>77917</t>
  </si>
  <si>
    <t>Формы для салата с прессом Круг д8 и д10 2 шт AFY1818-1 /240/</t>
  </si>
  <si>
    <t>77936</t>
  </si>
  <si>
    <t>Формы кулинарные Фрукты 11*4 и 8*4 см 3 шт AN8-18 /12/</t>
  </si>
  <si>
    <t>77933</t>
  </si>
  <si>
    <t>Формы кулинарные Цветы 11*4 и 8*4 см 2 шт AN8-12 /12/</t>
  </si>
  <si>
    <t>782 Кухонные инструменты</t>
  </si>
  <si>
    <t>78218</t>
  </si>
  <si>
    <t>Венчик-взбивалка L17см D5см AN80-6 /12/</t>
  </si>
  <si>
    <t>78295</t>
  </si>
  <si>
    <t>Венчик-взбивалка L28 см DA50-103 /6/</t>
  </si>
  <si>
    <t>78203</t>
  </si>
  <si>
    <t>Венчик-взбивалка метал. 25см 884-401 884401 /10/</t>
  </si>
  <si>
    <t>78241</t>
  </si>
  <si>
    <t>Венчик-взбивалка метал. AAW6001 /20/</t>
  </si>
  <si>
    <t>78231</t>
  </si>
  <si>
    <t>Венчик-взбивалка метал. пружина ABY-010</t>
  </si>
  <si>
    <t>78279</t>
  </si>
  <si>
    <t>Венчик-взбивалка метал. спираль ABY-028</t>
  </si>
  <si>
    <t>78233</t>
  </si>
  <si>
    <t>Венчик-взбивалка нерж. 30 см /240/</t>
  </si>
  <si>
    <t>78296</t>
  </si>
  <si>
    <t>Венчик-взбивалка Ретро AN57-20 /12/</t>
  </si>
  <si>
    <t>78285</t>
  </si>
  <si>
    <t>Инструмент для размягчения мяса + молоток с ручкой 884-249 /2/72/</t>
  </si>
  <si>
    <t>78252</t>
  </si>
  <si>
    <t>Инструмент для размягчения мяса 8*5 см нерж. сталь полипроп 884-595 /12/</t>
  </si>
  <si>
    <t>78250</t>
  </si>
  <si>
    <t>Инструмент для размягчения мяса Mallony ручной 19*5 см 003617 /72/</t>
  </si>
  <si>
    <t>78274</t>
  </si>
  <si>
    <t>Лезвия для скребка для стеклокерамики 8 шт MS58-174 /12/</t>
  </si>
  <si>
    <t>78261</t>
  </si>
  <si>
    <t>Молоток д/кухни 20 см мет /120/</t>
  </si>
  <si>
    <t>78217</t>
  </si>
  <si>
    <t>Молоток д/кухни 21 см мет JM-4231-2 №1 /120/</t>
  </si>
  <si>
    <t>79364</t>
  </si>
  <si>
    <t>Молоток д/кухни 23 см 884-033 /5/</t>
  </si>
  <si>
    <t>78263</t>
  </si>
  <si>
    <t>Молоток д/кухни 23 см мет JM-4232 №2 /120/</t>
  </si>
  <si>
    <t>78265</t>
  </si>
  <si>
    <t>Молоток д/кухни 24 см мет BA-4233-3 №3 /100/</t>
  </si>
  <si>
    <t>78294</t>
  </si>
  <si>
    <t>Молоток д/кухни 25 см мет пластик ручка №4</t>
  </si>
  <si>
    <t>78293</t>
  </si>
  <si>
    <t>Молоток д/кухни 25 см мет пластик ручка №5</t>
  </si>
  <si>
    <t>78216</t>
  </si>
  <si>
    <t>Молоток д/кухни Satoshi Альфа прорез. 882-301 /6/</t>
  </si>
  <si>
    <t>78213</t>
  </si>
  <si>
    <t>Молоток д/кухни Webbr 21,5*5,5 см алюмин. /12/</t>
  </si>
  <si>
    <t>78264</t>
  </si>
  <si>
    <t>Молоток д/кухни Премьер 23,3*7,5 см нерж. сталь пластик 881-197 /3/</t>
  </si>
  <si>
    <t>78251</t>
  </si>
  <si>
    <t>Нож д/пиццы метал 16,5*6,5 см полипр. нерж. сталь 3 цв 884-318 /12/</t>
  </si>
  <si>
    <t>78204</t>
  </si>
  <si>
    <t>Орехокол 16 см пластмассовая ручка /36/</t>
  </si>
  <si>
    <t>78297</t>
  </si>
  <si>
    <t>Скребок для стеклокерамики MS8-177 /8/</t>
  </si>
  <si>
    <t>78220</t>
  </si>
  <si>
    <t>Скребок для стеклокерамики метал+пластик 14 см</t>
  </si>
  <si>
    <t>67184</t>
  </si>
  <si>
    <t>Скребок для стеклокерамики метал+пластик ТА-003 884-091 /12/</t>
  </si>
  <si>
    <t>78277</t>
  </si>
  <si>
    <t>Скребок для стеклокерамики Эконом MS58-170 /12/</t>
  </si>
  <si>
    <t>67191</t>
  </si>
  <si>
    <t>Скребок для стеклокерамики Эконом MS58-172 /12/</t>
  </si>
  <si>
    <t>79546</t>
  </si>
  <si>
    <t>Топор д/кухни большой 889-439 /5/</t>
  </si>
  <si>
    <t>78205</t>
  </si>
  <si>
    <t>Топор д/кухни для отбивания мяса металл 26 см JM 4231</t>
  </si>
  <si>
    <t>79545</t>
  </si>
  <si>
    <t>Топор д/кухни малый 889-316 /4/</t>
  </si>
  <si>
    <t>78256</t>
  </si>
  <si>
    <t>Топор д/кухни Мастер 23 см пласт. ручка 803-268 /12/</t>
  </si>
  <si>
    <t>78243</t>
  </si>
  <si>
    <t>Топор д/кухни металл 22 см 4229</t>
  </si>
  <si>
    <t>78210</t>
  </si>
  <si>
    <t>Топор-молоток д/кухни Satoshi Альфа нерж. сталь 882-265 /4/</t>
  </si>
  <si>
    <t>78209</t>
  </si>
  <si>
    <t>Топор-молоток д/кухни дерев. ручка большой 27 см ВА1458</t>
  </si>
  <si>
    <t>79539</t>
  </si>
  <si>
    <t>Топор-молоток д/кухни дерев. ручка малый 25 см ВА4588</t>
  </si>
  <si>
    <t>78270</t>
  </si>
  <si>
    <t>Щипцы для мяса 21 см AN50-44 /12/</t>
  </si>
  <si>
    <t>78288</t>
  </si>
  <si>
    <t>Щипцы для мяса и спагетти 22 см JH50-53 /6/</t>
  </si>
  <si>
    <t>78271</t>
  </si>
  <si>
    <t>Щипцы для пирожных 20 см AN50-45 /12/</t>
  </si>
  <si>
    <t>78287</t>
  </si>
  <si>
    <t>Щипцы для пирожных 23 см H50-52 /6/</t>
  </si>
  <si>
    <t>78240</t>
  </si>
  <si>
    <t>Щипцы для сахара Добросталь 560001 /20/</t>
  </si>
  <si>
    <t>78242</t>
  </si>
  <si>
    <t>Щипцы для спагетти Добросталь 570001 /20/</t>
  </si>
  <si>
    <t>78244</t>
  </si>
  <si>
    <t>Щипцы для хлеба Добросталь 580001 /20/</t>
  </si>
  <si>
    <t>78235</t>
  </si>
  <si>
    <t>Щипцы Добросталь 550001 /20/</t>
  </si>
  <si>
    <t>79671</t>
  </si>
  <si>
    <t>Щипцы кухонные 11 см нерж. АВ-3 /10/</t>
  </si>
  <si>
    <t>78289</t>
  </si>
  <si>
    <t>Щипцы кухонные 23 см 882-001 /6/</t>
  </si>
  <si>
    <t>78262</t>
  </si>
  <si>
    <t>Щипцы кухонные 24 см нерж. АВ-4 /12/</t>
  </si>
  <si>
    <t>79505</t>
  </si>
  <si>
    <t>Щипцы кухонные 25 см нейлон 884-103 /6/</t>
  </si>
  <si>
    <t>78282</t>
  </si>
  <si>
    <t>Щипцы кухонные 30 см 882-002 /6/</t>
  </si>
  <si>
    <t>78281</t>
  </si>
  <si>
    <t>Щипцы кухонные 30 см 882-003 /6/</t>
  </si>
  <si>
    <t>78215</t>
  </si>
  <si>
    <t>Щипцы кухонные By Collection промо нейлон 881-259 /6/</t>
  </si>
  <si>
    <t>78212</t>
  </si>
  <si>
    <t>Щипцы кухонные Satoshi нерж силикон 30см 884-427 /3/</t>
  </si>
  <si>
    <t>78245</t>
  </si>
  <si>
    <t>Щипцы кухонные нейлоновый черные 970070</t>
  </si>
  <si>
    <t>78272</t>
  </si>
  <si>
    <t>Щипцы универсальные 22 см JH50-54 /6/</t>
  </si>
  <si>
    <t>78269</t>
  </si>
  <si>
    <t>Щипцы универсальные 23,5 см AN50-43 /12/</t>
  </si>
  <si>
    <t>78268</t>
  </si>
  <si>
    <t>Щипцы-ложка для отжима чайных пакетиков AN11-66 /12/</t>
  </si>
  <si>
    <t>79666</t>
  </si>
  <si>
    <t>Щипцы-ложка кухонные нейлон нерж. сталь 884-087 /6/</t>
  </si>
  <si>
    <t>78286</t>
  </si>
  <si>
    <t>Щипцы-лопатка кухонные 25 см нейлон нерж. сталь 884-086 /12/</t>
  </si>
  <si>
    <t>78273</t>
  </si>
  <si>
    <t>Щипцы-шумовка Фритюр 29*9,5 см AN50-101 /12/</t>
  </si>
  <si>
    <t>783 Кухонне полотенца/фартуки</t>
  </si>
  <si>
    <t>78367</t>
  </si>
  <si>
    <t>Полотенца из микрофибры 2 шт 33x50 см 13365 /10/</t>
  </si>
  <si>
    <t>78368</t>
  </si>
  <si>
    <t>Полотенца кухонные Provance 2 шт хлопок 40*60см Гжель 420-003</t>
  </si>
  <si>
    <t>78370</t>
  </si>
  <si>
    <t>Полотенце кухонное 100% хлопок Provance зигзаг 50*68 см GC 434-050</t>
  </si>
  <si>
    <t>79883</t>
  </si>
  <si>
    <t>Полотенце кухонное вафельное с выш.рис. 40*60 2цв. 434-035</t>
  </si>
  <si>
    <t>78307</t>
  </si>
  <si>
    <t>Фартук виниловый с карманом 75*52 см LC22-66 /18/</t>
  </si>
  <si>
    <t>784 Инвентарь для декорирования выпечки</t>
  </si>
  <si>
    <t>78416</t>
  </si>
  <si>
    <t>Декоратор для выпечки 2 шт AN80-188 /6/</t>
  </si>
  <si>
    <t>78469</t>
  </si>
  <si>
    <t>Декоратор для крема 25 см 500 мл AN80-235 /12/</t>
  </si>
  <si>
    <t>78465</t>
  </si>
  <si>
    <t>Декоратор для крема 3 насадки AN80-187 /6/</t>
  </si>
  <si>
    <t>78470</t>
  </si>
  <si>
    <t>Декоратор для крема 30 см 900 мл AN80-236 /12/</t>
  </si>
  <si>
    <t>78408</t>
  </si>
  <si>
    <t>Декоратор для крема с 5-ю насадками AN 80-237 /12/</t>
  </si>
  <si>
    <t>78463</t>
  </si>
  <si>
    <t>Декоратор для крема с 6-ю насадками JH80-1 /12/</t>
  </si>
  <si>
    <t>78407</t>
  </si>
  <si>
    <t>Декоратор для крема с 8-ю насадками JH80-2 /12/</t>
  </si>
  <si>
    <t>78934</t>
  </si>
  <si>
    <t>Дозатор для жидкого теста 900мл пластик, метал 884-388 /48/</t>
  </si>
  <si>
    <t>78409</t>
  </si>
  <si>
    <t>Кондитерская насадка для эклеров и профитролей 7,5*1,8см DA8-168 /12/</t>
  </si>
  <si>
    <t>78426</t>
  </si>
  <si>
    <t>Кондитерская насадка для эклеров и профитролей 9,5*2,8 см DA8-169 /12/</t>
  </si>
  <si>
    <t>78452</t>
  </si>
  <si>
    <t>Кондитерская насадка Капкейк /12/</t>
  </si>
  <si>
    <t>78453</t>
  </si>
  <si>
    <t>Кондитерская насадка Русский тюльпан VL8-160 /12/</t>
  </si>
  <si>
    <t>78451</t>
  </si>
  <si>
    <t>Кондитерская насадка Снежинка /12/</t>
  </si>
  <si>
    <t>78455</t>
  </si>
  <si>
    <t>Кондитерские насадки 3 пр. DA8-162 /12/</t>
  </si>
  <si>
    <t>78457</t>
  </si>
  <si>
    <t>Кондитерские насадки 4 пр. DA8-164 /12/</t>
  </si>
  <si>
    <t>78458</t>
  </si>
  <si>
    <t>Кондитерские насадки 5 пр. DA8-166 /12/</t>
  </si>
  <si>
    <t>78462</t>
  </si>
  <si>
    <t>Кондитерские насадки Айсинг 4 пр. VL8-174 /6/</t>
  </si>
  <si>
    <t>78461</t>
  </si>
  <si>
    <t>Кондитерские насадки Айсинг 5 пр. VL8-172 /12/</t>
  </si>
  <si>
    <t>78428</t>
  </si>
  <si>
    <t>Кондитерские насадки Айсинг 9 пр. VL8-173 /12/</t>
  </si>
  <si>
    <t>78924</t>
  </si>
  <si>
    <t>Кондитерские насадки на шприц 6шт BGF Y92</t>
  </si>
  <si>
    <t>78459</t>
  </si>
  <si>
    <t>Кондитерские насадки с ершиком 6 пр. VL8-170 /6/</t>
  </si>
  <si>
    <t>78456</t>
  </si>
  <si>
    <t>Кондитерские насадки с мешком 14 пр DA8-163 /12/</t>
  </si>
  <si>
    <t>78454</t>
  </si>
  <si>
    <t>Кондитерские насадки с мешком 19 пр DA8-161 /6/</t>
  </si>
  <si>
    <t>78460</t>
  </si>
  <si>
    <t>Кондитерские насадки с ножницами Розы VL8-171 /12/</t>
  </si>
  <si>
    <t>78468</t>
  </si>
  <si>
    <t>Мешки кондитерские DH80-234 10 шт /12/</t>
  </si>
  <si>
    <t>78475</t>
  </si>
  <si>
    <t>Мешки кондитерские полиэтилен 34*23 100 шт</t>
  </si>
  <si>
    <t>78412</t>
  </si>
  <si>
    <t>Набор д/украшения торта пласт. Цветочки 3шт 8105</t>
  </si>
  <si>
    <t>78413</t>
  </si>
  <si>
    <t>Набор д/украшения торта пласт. Цветочки 3шт BAUA6111</t>
  </si>
  <si>
    <t>78466</t>
  </si>
  <si>
    <t>Печати фигурные для мастики и марцципана 9пр. DH80-198 /6/</t>
  </si>
  <si>
    <t>78930</t>
  </si>
  <si>
    <t>Ролик пресс для рырезания кружков из теста пластик 9*17 см 884-174 /12/</t>
  </si>
  <si>
    <t>78411</t>
  </si>
  <si>
    <t>Сито д/сахарн. пудры и какао Мини DA11-34 /12/</t>
  </si>
  <si>
    <t>78410</t>
  </si>
  <si>
    <t>Сито-кружка д/сахарн. пудры и какао DA11-39 /12/</t>
  </si>
  <si>
    <t>78429</t>
  </si>
  <si>
    <t>Топпер для украшения С днем рождения VL80-282 /12/</t>
  </si>
  <si>
    <t>78464</t>
  </si>
  <si>
    <t>Удалитель сердцевины для кексов 6*2,3 см GM80-18 /12/</t>
  </si>
  <si>
    <t>78471</t>
  </si>
  <si>
    <t>Шпатели кондитерские 12*8 см 3 шт VL80-246 /12/</t>
  </si>
  <si>
    <t>78400</t>
  </si>
  <si>
    <t>Шпатель кондитерский 15*10 см плоский 881-321 /300/</t>
  </si>
  <si>
    <t>78421</t>
  </si>
  <si>
    <t>Шпатель кондитерский 15*10 см ребристый 881-322 /300/</t>
  </si>
  <si>
    <t>78418</t>
  </si>
  <si>
    <t>Шпатель кондитерский 21 см для торта VL80-363 /12/</t>
  </si>
  <si>
    <t>78420</t>
  </si>
  <si>
    <t>Шпатель кондитерский 22 см для торта VL80-365 /12/</t>
  </si>
  <si>
    <t>78467</t>
  </si>
  <si>
    <t>Шпатель кондитерский 23 см AN80-199 /6/</t>
  </si>
  <si>
    <t>78417</t>
  </si>
  <si>
    <t>Шпатель кондитерский 23 см VL80-362 /12/</t>
  </si>
  <si>
    <t>78476</t>
  </si>
  <si>
    <t>Шпатель кондитерский 27 см AN80-247 /6/</t>
  </si>
  <si>
    <t>78472</t>
  </si>
  <si>
    <t>Шпатель кондитерский 32 см AN80-248 /6/</t>
  </si>
  <si>
    <t>78477</t>
  </si>
  <si>
    <t>Шпатель кондитерский 37 см AN80-249 /6/</t>
  </si>
  <si>
    <t>78404</t>
  </si>
  <si>
    <t>Шприц для торта Mallony 15*2,2 см /96/</t>
  </si>
  <si>
    <t>78424</t>
  </si>
  <si>
    <t>Шприц для торта с 3 насадками силиконовый AFY-R804 /360/</t>
  </si>
  <si>
    <t>78915</t>
  </si>
  <si>
    <t>Шприц для торта с 5 насадками 884-057 /6/</t>
  </si>
  <si>
    <t>79580</t>
  </si>
  <si>
    <t>Шприц для торта с 7 насадками 889-014 /6/</t>
  </si>
  <si>
    <t>78473</t>
  </si>
  <si>
    <t>Шприц для торта с 8 насадками пласт BER4643-D</t>
  </si>
  <si>
    <t>78432</t>
  </si>
  <si>
    <t>Шприц для торта с насадкими пластм. AUL-A1 /120/</t>
  </si>
  <si>
    <t>78415</t>
  </si>
  <si>
    <t>Шприц-мешок кондитерский 5 насадок 884-354 /4/</t>
  </si>
  <si>
    <t>78478</t>
  </si>
  <si>
    <t>Шприц-мешок кондитерский Satoshi Премьер 6 насадок 884-377 /3/</t>
  </si>
  <si>
    <t>79192</t>
  </si>
  <si>
    <t>Шприц-мешок кондитерский с насадками 2216</t>
  </si>
  <si>
    <t>79683</t>
  </si>
  <si>
    <t>Шприц-мешок кондитерский с насадками CAU-A3</t>
  </si>
  <si>
    <t>785 Дуршлаги/Сита /Фритюрницы</t>
  </si>
  <si>
    <t>78508</t>
  </si>
  <si>
    <t>Дуршлаг SATOSHI на ножке 24 см 812-079 /12/</t>
  </si>
  <si>
    <t>78517</t>
  </si>
  <si>
    <t>Дуршлаг VETTA на ножке Классика 20см 812-016 /4/</t>
  </si>
  <si>
    <t>78530</t>
  </si>
  <si>
    <t>Дуршлаг VETTA на ножке Классика 22см 812-017 /4/</t>
  </si>
  <si>
    <t>78531</t>
  </si>
  <si>
    <t>Дуршлаг VETTA на ножке Классика 24см 812-018 /4/</t>
  </si>
  <si>
    <t>78529</t>
  </si>
  <si>
    <t>Дуршлаг VETTA на ножке Классика 26см 812-019 /4/</t>
  </si>
  <si>
    <t>78514</t>
  </si>
  <si>
    <t>Дуршлаг VETTA на ножке Классика 28см 812-058 /4/</t>
  </si>
  <si>
    <t>78501</t>
  </si>
  <si>
    <t>Дуршлаг VETTA на ножке Эстин 22см нерж. сталь 812-086 /30/</t>
  </si>
  <si>
    <t>78566</t>
  </si>
  <si>
    <t>Дуршлаг VETTA на ножке Эстин 25см нерж. сталь 812-087 /30/</t>
  </si>
  <si>
    <t>78567</t>
  </si>
  <si>
    <t>Дуршлаг VETTA на ножке Эстин 28см нерж. сталь 812-088 /30/</t>
  </si>
  <si>
    <t>78511</t>
  </si>
  <si>
    <t>Дуршлаг VETTA с ручкой 22см нерж. сталь ALS1003-22 886-036 /5/</t>
  </si>
  <si>
    <t>78526</t>
  </si>
  <si>
    <t>Дуршлаг VETTA с ручкой 24см 812-012 /4/</t>
  </si>
  <si>
    <t>78545</t>
  </si>
  <si>
    <t>Дуршлаг VETTA с ручкой на ножке 24см 812-015 /4/</t>
  </si>
  <si>
    <t>78557</t>
  </si>
  <si>
    <t>Подставка для варки на пару Д13-23 см 822-198 /5/</t>
  </si>
  <si>
    <t>78502</t>
  </si>
  <si>
    <t>Подставка для варки на пару Д20 см нерж. сталь 822-058 /5/</t>
  </si>
  <si>
    <t>78515</t>
  </si>
  <si>
    <t>Сито Vetta Retro с ободком и ручкой 18,5 см двойная сеть 886-050 /5/</t>
  </si>
  <si>
    <t>78507</t>
  </si>
  <si>
    <t>Сито Vetta Retro с ободком и ручкой 18,5 см нерж. сталь 886-043 /5/</t>
  </si>
  <si>
    <t>78516</t>
  </si>
  <si>
    <t>Сито Vetta Retro с ободком и ручкой 21 см двойная сеть 886-051 /5/</t>
  </si>
  <si>
    <t>78512</t>
  </si>
  <si>
    <t>Сито Vetta Retro с ободком и ручкой 21 см нерж. сталь 886-044 /5/</t>
  </si>
  <si>
    <t>78509</t>
  </si>
  <si>
    <t>Сито Vetta Retro с ободком и ручкой 24 см нерж. сталь 886-045 /5/</t>
  </si>
  <si>
    <t>78584</t>
  </si>
  <si>
    <t>Сито Vetta с ободком и ручкой 10см 886-006 /12/</t>
  </si>
  <si>
    <t>78596</t>
  </si>
  <si>
    <t>Сито Vetta с ободком и ручкой 12см 886-007 /12/</t>
  </si>
  <si>
    <t>78445</t>
  </si>
  <si>
    <t>Сито Vetta с ободком и ручкой 16см 886-009 /12/</t>
  </si>
  <si>
    <t>78519</t>
  </si>
  <si>
    <t>Сито Vetta с ободком и ручкой 18см 886-010 /12/</t>
  </si>
  <si>
    <t>78597</t>
  </si>
  <si>
    <t>Сито Vetta с ободком и ручкой 22см 886-011 /12/</t>
  </si>
  <si>
    <t>78446</t>
  </si>
  <si>
    <t>Сито Vetta с ободком и ручкой 8см 886-005 /12/</t>
  </si>
  <si>
    <t>78569</t>
  </si>
  <si>
    <t>Сито для муки 19 см J11-35 /6/</t>
  </si>
  <si>
    <t>78549</t>
  </si>
  <si>
    <t>Сито для муки 20 см J11-36 /6/</t>
  </si>
  <si>
    <t>78518</t>
  </si>
  <si>
    <t>Сито квадрат 30*22 №11</t>
  </si>
  <si>
    <t>78505</t>
  </si>
  <si>
    <t>Сито на ножке 19 см нерж. сталь SF11-7 /6/</t>
  </si>
  <si>
    <t>78547</t>
  </si>
  <si>
    <t>Сито на ножке 22 см нерж. сталь SF11-8 /6/</t>
  </si>
  <si>
    <t>78504</t>
  </si>
  <si>
    <t>Сито на ножке 24 см нерж. сталь 886-046 /5/</t>
  </si>
  <si>
    <t>78506</t>
  </si>
  <si>
    <t>Сито на ножке 25 см нерж. сталь SF11-9 /6/</t>
  </si>
  <si>
    <t>78522</t>
  </si>
  <si>
    <t>Сито на ножке квадрат 20*15 №13</t>
  </si>
  <si>
    <t>78503</t>
  </si>
  <si>
    <t>Сито с ободком и ручкой 14см 886-062 /10/</t>
  </si>
  <si>
    <t>78550</t>
  </si>
  <si>
    <t>Сито с ободком и ручкой 16см 886-015 /6/</t>
  </si>
  <si>
    <t>78500</t>
  </si>
  <si>
    <t>Сито с ободком и ручкой 18см 886-016 /6/</t>
  </si>
  <si>
    <t>78591</t>
  </si>
  <si>
    <t>Сито с ободком и ручкой 20см 886-017 /10/</t>
  </si>
  <si>
    <t>78585</t>
  </si>
  <si>
    <t>Сито с ободком и ручкой 21см 886-063 /10/</t>
  </si>
  <si>
    <t>78578</t>
  </si>
  <si>
    <t>Сито с ободком и ручкой 7см 886-019 /12/</t>
  </si>
  <si>
    <t>78560</t>
  </si>
  <si>
    <t>Сито с ободком и ручкой 8см 886-061 /10/</t>
  </si>
  <si>
    <t>78559</t>
  </si>
  <si>
    <t>Сито с ободком и ручкой 9см 886-020 /6/</t>
  </si>
  <si>
    <t>78546</t>
  </si>
  <si>
    <t>Сито Эконом Д8 см MS11-80 /12/</t>
  </si>
  <si>
    <t>79553</t>
  </si>
  <si>
    <t>Сито-кружка для муки 884-005 /12/</t>
  </si>
  <si>
    <t>78532</t>
  </si>
  <si>
    <t>Сито-кружка для муки Domina CA-L357 300 г 9.5 см /12/</t>
  </si>
  <si>
    <t>78533</t>
  </si>
  <si>
    <t>Сито-кружка для муки нерж. сталь 450г CA-L358 /12/</t>
  </si>
  <si>
    <t>78510</t>
  </si>
  <si>
    <t>Фритюрница для кастрюли 20см 849-253 /10/</t>
  </si>
  <si>
    <t>786 Подставки под горячее/коврики силиконовые/Прихватки</t>
  </si>
  <si>
    <t>78632</t>
  </si>
  <si>
    <t>Коврик антипригарный для приготовления 25*33 см DH80-145 /12/</t>
  </si>
  <si>
    <t>78601</t>
  </si>
  <si>
    <t>Коврик антипригарный для приготовления 33*40 см тефлон 438-066 /10/</t>
  </si>
  <si>
    <t>78602</t>
  </si>
  <si>
    <t>Коврик антипригарный для приготовления 35*40 см в коробке 438-026 /2/</t>
  </si>
  <si>
    <t>78692</t>
  </si>
  <si>
    <t>Коврик антипригарный для приготовления 40*33 см NE80-142 /12/</t>
  </si>
  <si>
    <t>78686</t>
  </si>
  <si>
    <t>Коврик силиконовый для раскатки теста 50*40 см 3 цв 891-304 /6/</t>
  </si>
  <si>
    <t>78600</t>
  </si>
  <si>
    <t>Коврик силиконовый для раскатки теста 50*40см 891-101 /3/</t>
  </si>
  <si>
    <t>78691</t>
  </si>
  <si>
    <t>Коврик силиконовый для раскатки теста 58*48 см 856-114 /48/</t>
  </si>
  <si>
    <t>78685</t>
  </si>
  <si>
    <t>Коврик силиконовый для раскатки теста 891-082 /3/</t>
  </si>
  <si>
    <t>78607</t>
  </si>
  <si>
    <t>Коврик-сетка для духовки и барбекю 42*36 см NE80-143 /6/</t>
  </si>
  <si>
    <t>79797</t>
  </si>
  <si>
    <t>Набор д/кухни варежка+прихв.+полотенце хлопок 433-007</t>
  </si>
  <si>
    <t>78645</t>
  </si>
  <si>
    <t>Подставка п/горячее Farfalle кер.д15 см Сказка о щелкунчике-2 820-549 /48/</t>
  </si>
  <si>
    <t>78630</t>
  </si>
  <si>
    <t>Подставка п/горячее Space 18x28см VL48-73 /12/</t>
  </si>
  <si>
    <t>78622</t>
  </si>
  <si>
    <t>Подставка п/горячее бамбук Плитка 20*20см 884-500 /160/</t>
  </si>
  <si>
    <t>78616</t>
  </si>
  <si>
    <t>Подставка п/горячее керамика Бабочки LR 24549 /48/</t>
  </si>
  <si>
    <t>78646</t>
  </si>
  <si>
    <t>Подставка п/горячее керамика Букет LR 24554 /48/</t>
  </si>
  <si>
    <t>78619</t>
  </si>
  <si>
    <t>Подставка п/горячее керамика Розы LR 24550 /48/</t>
  </si>
  <si>
    <t>78693</t>
  </si>
  <si>
    <t>Подставка п/горячее керамика Фиалка LR 24548 /48/</t>
  </si>
  <si>
    <t>78608</t>
  </si>
  <si>
    <t>Подставка п/горячее керамика Цветок LR 24547 /48/</t>
  </si>
  <si>
    <t>78661</t>
  </si>
  <si>
    <t>Подставка п/горячее керамика Цветок LR 24552 /48/</t>
  </si>
  <si>
    <t>78662</t>
  </si>
  <si>
    <t>Подставка п/горячее керамика Цветок LR 24553 /48/</t>
  </si>
  <si>
    <t>78696</t>
  </si>
  <si>
    <t>Подставка п/горячее керамика/пробка Д178186-3</t>
  </si>
  <si>
    <t>78635</t>
  </si>
  <si>
    <t>Подставка п/горячее керамика/пробка Д178186-4</t>
  </si>
  <si>
    <t>78617</t>
  </si>
  <si>
    <t>Подставка п/горячее ПВХ 18*18 см Восточная мозаика</t>
  </si>
  <si>
    <t>78623</t>
  </si>
  <si>
    <t>Подставка п/горячее ПВХ 18*18 см Восточные узоры</t>
  </si>
  <si>
    <t>78625</t>
  </si>
  <si>
    <t>Подставка п/горячее ПВХ 18*18 см Восточный цветок</t>
  </si>
  <si>
    <t>78644</t>
  </si>
  <si>
    <t>Подставка п/горячее ПВХ Д20 см Восточная сказка</t>
  </si>
  <si>
    <t>78649</t>
  </si>
  <si>
    <t>Подставка п/горячее ПВХ Д20 см Восточный мотив</t>
  </si>
  <si>
    <t>78650</t>
  </si>
  <si>
    <t>Подставка п/горячее ПВХ Д20 см Восточный узор</t>
  </si>
  <si>
    <t>78648</t>
  </si>
  <si>
    <t>Подставка п/горячее силик. 1229 см 2 шт 884-429 /6/</t>
  </si>
  <si>
    <t>78629</t>
  </si>
  <si>
    <t>Подставка п/горячее силик. 16,4*20,7 см А2265 /96/</t>
  </si>
  <si>
    <t>78626</t>
  </si>
  <si>
    <t>Подставка п/горячее силик. 17,5*17,5 см*0,8см красн КС-459 /96/</t>
  </si>
  <si>
    <t>78641</t>
  </si>
  <si>
    <t>Подставка п/горячее силик. 19 см 2 шт 884-428 /6/</t>
  </si>
  <si>
    <t>79578</t>
  </si>
  <si>
    <t>Подставка п/горячее силик. VETTA д/противня 33*23*0,08 см HS-012С 891-033 /3/60/</t>
  </si>
  <si>
    <t>78603</t>
  </si>
  <si>
    <t>Подставка п/горячее силик. VETTA д/противня 38*28*0,1 см 891-045 /6/</t>
  </si>
  <si>
    <t>78627</t>
  </si>
  <si>
    <t>Подставка п/горячее силик. голубая Бабочка 16090 /144/</t>
  </si>
  <si>
    <t>78679</t>
  </si>
  <si>
    <t>Подставка п/горячее силик. Соты Д 18 см 4 цв 891-298 /12/</t>
  </si>
  <si>
    <t>78614</t>
  </si>
  <si>
    <t>Прихватка Leben 18*18см 100% хлопок 493-053</t>
  </si>
  <si>
    <t>78611</t>
  </si>
  <si>
    <t>Прихватка Provance Ассорти полиэстер 17*17 см 3 диз 93-085 /12/</t>
  </si>
  <si>
    <t>78674</t>
  </si>
  <si>
    <t>Прихватка Provance Кафе де пари полиэстер 17*17см 493-089 /12/</t>
  </si>
  <si>
    <t>78669</t>
  </si>
  <si>
    <t>Прихватка Provance Кухня хлопок 18*18см 434-069</t>
  </si>
  <si>
    <t>78606</t>
  </si>
  <si>
    <t>Прихватка Provance Эвкалипт полиэстер 17*17 см зеленый 493-004 /12/</t>
  </si>
  <si>
    <t>78615</t>
  </si>
  <si>
    <t>Прихватка Provance Эко полиэстер хлопок 18*18 см 493-128 /12/</t>
  </si>
  <si>
    <t>78390</t>
  </si>
  <si>
    <t>Прихватка Акварель Фото Графика 17*17см L22-64 /6/</t>
  </si>
  <si>
    <t>78637</t>
  </si>
  <si>
    <t>Прихватка Валентинка Сердце L22-5 /12/</t>
  </si>
  <si>
    <t>78684</t>
  </si>
  <si>
    <t>Прихватка Капкейк 18*15см полиэстер 6 диз 493-057</t>
  </si>
  <si>
    <t>78638</t>
  </si>
  <si>
    <t>Прихватка Лето мини 15*15 см L22-17 /12/</t>
  </si>
  <si>
    <t>78640</t>
  </si>
  <si>
    <t>Прихватка силиконовая Vetta термостойкая 3 цв. 891-032 /12/</t>
  </si>
  <si>
    <t>78633</t>
  </si>
  <si>
    <t>Прихватка термостйокая Satoshi Малибу капкейк силикон 884-457 /3/</t>
  </si>
  <si>
    <t>78666</t>
  </si>
  <si>
    <t>Прихватка Чашка 100% хлопок 15*15 см 493-099</t>
  </si>
  <si>
    <t>78667</t>
  </si>
  <si>
    <t>Прихватка-варежка 100% полиэстер 17*25 см 4 диз 493-094 /12/</t>
  </si>
  <si>
    <t>78642</t>
  </si>
  <si>
    <t>Прихватка-варежка Provance Корица 100% хлопок 20*20 см 2 цв 493-097 /12/</t>
  </si>
  <si>
    <t>78610</t>
  </si>
  <si>
    <t>Прихватка-варежка Provance Эвкалипт 17*27 см полиэстер 493-005 /12/</t>
  </si>
  <si>
    <t>78620</t>
  </si>
  <si>
    <t>Прихватка-варежка Provance Эко 16*28 см полиэстер хлопок 493-129 /12/</t>
  </si>
  <si>
    <t>787 Ножи набором кухонные/ножницы/ножеточки/держатели</t>
  </si>
  <si>
    <t>78745</t>
  </si>
  <si>
    <t>Магнитный держатель для ножей 32см</t>
  </si>
  <si>
    <t>78720</t>
  </si>
  <si>
    <t>Магнитный держатель для ножей 33см широкий 884-029 /5/</t>
  </si>
  <si>
    <t>78748</t>
  </si>
  <si>
    <t>Магнитный держатель для ножей 38см</t>
  </si>
  <si>
    <t>78756</t>
  </si>
  <si>
    <t>Магнитный держатель для ножей 50см</t>
  </si>
  <si>
    <t>78703</t>
  </si>
  <si>
    <t>Магнитный держатель для ножей 50см узкий 884-030 /5/</t>
  </si>
  <si>
    <t>78737</t>
  </si>
  <si>
    <t>Ножеточка Satoshi 3 уровня 838-033 /4/</t>
  </si>
  <si>
    <t>78736</t>
  </si>
  <si>
    <t>Ножеточка Ермак 5,3*5,2*1,3см керамика, полипропилен 070-022 /15/</t>
  </si>
  <si>
    <t>78718</t>
  </si>
  <si>
    <t>Ножеточка колесико 1324-К блист. 884-077 /25/</t>
  </si>
  <si>
    <t>78727</t>
  </si>
  <si>
    <t>Ножеточка на блистере 884-063 /6/</t>
  </si>
  <si>
    <t>78714</t>
  </si>
  <si>
    <t>Ножеточка на листе пласт. 4015 /12/</t>
  </si>
  <si>
    <t>78721</t>
  </si>
  <si>
    <t>Ножеточка на листе пласт. BN 4453 /12/</t>
  </si>
  <si>
    <t>78734</t>
  </si>
  <si>
    <t>Ножеточка на присоске 5*6см ADV2463A 889-028 /6/</t>
  </si>
  <si>
    <t>78733</t>
  </si>
  <si>
    <t>Ножеточка на присоске 6,5*6 см МТ76-27 /18/</t>
  </si>
  <si>
    <t>78738</t>
  </si>
  <si>
    <t>Ножеточка на присоске ABV3968 №28 /200/</t>
  </si>
  <si>
    <t>78708</t>
  </si>
  <si>
    <t>Ножеточка с бруском 5840 /12/</t>
  </si>
  <si>
    <t>78729</t>
  </si>
  <si>
    <t>Ножеточка с бруском BN5091-S /12/</t>
  </si>
  <si>
    <t>78709</t>
  </si>
  <si>
    <t>Ножеточка с бруском на листе BN5091 /12/</t>
  </si>
  <si>
    <t>78731</t>
  </si>
  <si>
    <t>Ножеточка универсальная для черновой и финальной заточки нерж. сталь полипр. 884-023 /2/</t>
  </si>
  <si>
    <t>78759</t>
  </si>
  <si>
    <t>Ножеточка универсальня Рыбка 13,5*6,5*2,5 вольфрамовая сталь полипроп. 884-092 /10/</t>
  </si>
  <si>
    <t>78705</t>
  </si>
  <si>
    <t>Ножеточка-мусат 30 см нерж. сталь 838-026 /4/</t>
  </si>
  <si>
    <t>78723</t>
  </si>
  <si>
    <t>Ножи д/кухни 6 пр. в дерев. подставке: ножи кух. 7,5см, 11,5см, 12см, 14см, ножницы 803-103 /3/</t>
  </si>
  <si>
    <t>78719</t>
  </si>
  <si>
    <t>Ножи д/кухни 7 пред на дерев. подставке 803-104 /3/</t>
  </si>
  <si>
    <t>78732</t>
  </si>
  <si>
    <t>Ножи д/кухни SATOSHI Алмаз 6 пред в магнитной коробке 803-087 /10/</t>
  </si>
  <si>
    <t>78704</t>
  </si>
  <si>
    <t>Ножи д/кухни SATOSHI Аррен 6 пред в магнитной коробке 803-282 /10/</t>
  </si>
  <si>
    <t>78725</t>
  </si>
  <si>
    <t>Ножницы кухонные By Collection промо 2 пред 881-262 /3/</t>
  </si>
  <si>
    <t>78730</t>
  </si>
  <si>
    <t>Ножницы кухонные Vetta 21 см с орехоколом 884-214 /4/</t>
  </si>
  <si>
    <t>78763</t>
  </si>
  <si>
    <t>Ножницы кухонные Vetta 21 см с орехоколом S110185 884-309 /6/</t>
  </si>
  <si>
    <t>78710</t>
  </si>
  <si>
    <t>Ножницы кухонные Vetta 21 см с орехоколом и открывашкой 884-213 /4/</t>
  </si>
  <si>
    <t>78758</t>
  </si>
  <si>
    <t>Ножницы кухонные Vetta 24 см для птицы 882-191 /4/</t>
  </si>
  <si>
    <t>78764</t>
  </si>
  <si>
    <t>Ножницы кухонные Vetta 25,4 см для птицы 884-337 /4/</t>
  </si>
  <si>
    <t>78753</t>
  </si>
  <si>
    <t>Подставка д/ножей Satoshi с полипроп. разделителями 11*22см круглая 838-027 /8/</t>
  </si>
  <si>
    <t>78742</t>
  </si>
  <si>
    <t>Подставка д/ножей Satoshi с полипроп. разделителями 9*9*14см круглая 838-022 /12/</t>
  </si>
  <si>
    <t>79281</t>
  </si>
  <si>
    <t>Приспособление для затачиван. ножей любого типа, метал. направляющая, присоска MATRIX /79104</t>
  </si>
  <si>
    <t>78728</t>
  </si>
  <si>
    <t>Устройство для затачивания ножниц и ножей Ермак 5,8*7,6*2,4 см 070-012 /5/</t>
  </si>
  <si>
    <t>78726</t>
  </si>
  <si>
    <t>Устройство для затачивания ножниц и ножей Ермак 9,2*3*1,3 см 070-011 /5/</t>
  </si>
  <si>
    <t>78701</t>
  </si>
  <si>
    <t>Устройство универсальное для заточки ножей MATRIX /79100</t>
  </si>
  <si>
    <t>78735</t>
  </si>
  <si>
    <t>Устройство универсальное для заточки ножей и ножниц Сибртех /79122</t>
  </si>
  <si>
    <t>78722</t>
  </si>
  <si>
    <t>Устройство универсальное для заточки ножей малое MATRIX /79101</t>
  </si>
  <si>
    <t>79548</t>
  </si>
  <si>
    <t>Устройство универсальное для заточки ножей на присоске MATRIX /79105</t>
  </si>
  <si>
    <t>788 Кухонные принадлежности пластик/силикон</t>
  </si>
  <si>
    <t>78846</t>
  </si>
  <si>
    <t>Кисточка и лопатка силикон 2 пр 3 цв 891-300 /12/</t>
  </si>
  <si>
    <t>78831</t>
  </si>
  <si>
    <t>Кисточка кондитерская 21,5 см AN80-13 /12/</t>
  </si>
  <si>
    <t>78859</t>
  </si>
  <si>
    <t>Кисточка пластик 18,5 см зеленая WM091-C /24/</t>
  </si>
  <si>
    <t>78864</t>
  </si>
  <si>
    <t>Кисточка пластик 28,8*8,2см красная WM091-C /96/</t>
  </si>
  <si>
    <t>78844</t>
  </si>
  <si>
    <t>Кисточка пластик Domina 20 см А006А /360/</t>
  </si>
  <si>
    <t>78833</t>
  </si>
  <si>
    <t>Кисточка силикон. 17 см AN80-87 /12/</t>
  </si>
  <si>
    <t>78800</t>
  </si>
  <si>
    <t>Кисточка силикон. 18 см AN80-75 /12/</t>
  </si>
  <si>
    <t>78888</t>
  </si>
  <si>
    <t>Кисточка силикон. VETTA HS-BR09 микс 3 цв 856-128 /24/</t>
  </si>
  <si>
    <t>79350</t>
  </si>
  <si>
    <t>Кисточка силикон. VETTA HS-BR09 микс 4 цв 891-037 /24/</t>
  </si>
  <si>
    <t>78894</t>
  </si>
  <si>
    <t>Кисточка силикон. VETTA Практик оранжевая HS-BR09 881-022 /6/</t>
  </si>
  <si>
    <t>78850</t>
  </si>
  <si>
    <t>Кисточка силикон. с контейнером 18,5 см 30 мл DH80-17 /6/</t>
  </si>
  <si>
    <t>78832</t>
  </si>
  <si>
    <t>Крышка для кружки силикон 10,5 см Бабочка 4 цв 891-290 /10/</t>
  </si>
  <si>
    <t>78843</t>
  </si>
  <si>
    <t>Крышка для кружки силикон Бантик VL80-102 /12/</t>
  </si>
  <si>
    <t>78841</t>
  </si>
  <si>
    <t>Крышка для кружки силикон Фруктовый ломтик VL80-101 /12/</t>
  </si>
  <si>
    <t>78825</t>
  </si>
  <si>
    <t>Кухонные прин. By Collection промо Венчик нейлон 881-261 /6/</t>
  </si>
  <si>
    <t>78808</t>
  </si>
  <si>
    <t>Кухонные прин. By Collection промо Ложка нейлон 881-256 /6/</t>
  </si>
  <si>
    <t>78810</t>
  </si>
  <si>
    <t>Кухонные прин. By Collection промо Лопатка нейлон 881-257 /6/</t>
  </si>
  <si>
    <t>78815</t>
  </si>
  <si>
    <t>Кухонные прин. By Collection промо Половник нейлон 881-258 /6/</t>
  </si>
  <si>
    <t>78818</t>
  </si>
  <si>
    <t>Кухонные прин. By Collection промо Шумовка нейлон 881-260 /6/</t>
  </si>
  <si>
    <t>78882</t>
  </si>
  <si>
    <t>Кухонные прин. Satoshi Алион Кисточка силикон 26 см 856-130 /12/</t>
  </si>
  <si>
    <t>78848</t>
  </si>
  <si>
    <t>Кухонные прин. Satoshi Алион Скалка силикон 9,5*5см 856-107 /2/</t>
  </si>
  <si>
    <t>78890</t>
  </si>
  <si>
    <t>Кухонные прин. Satoshi Ле Ман Лопатка с прорезями нейлон силикон 881-213 /3/</t>
  </si>
  <si>
    <t>78892</t>
  </si>
  <si>
    <t>Кухонные прин. Satoshi Ле Ман Шумовка с прорезями нейлон силикон 881-215 /3/</t>
  </si>
  <si>
    <t>79302</t>
  </si>
  <si>
    <t>Кухонные прин. Satoshi Малибу Венчик нейлон 884-454 /3/</t>
  </si>
  <si>
    <t>78817</t>
  </si>
  <si>
    <t>Кухонные прин. Satoshi Малибу Ложка силикон 3 цв 884-438 /3/</t>
  </si>
  <si>
    <t>78885</t>
  </si>
  <si>
    <t>Кухонные прин. Satoshi Малибу Ложка+лопатка нейлон 884-462 /3/</t>
  </si>
  <si>
    <t>78830</t>
  </si>
  <si>
    <t>Кухонные прин. Satoshi Малибу Лопатка силикон 3 цв 884-439 /3/</t>
  </si>
  <si>
    <t>78887</t>
  </si>
  <si>
    <t>Кухонные прин. Satoshi Малибу Лопатка-нож силикон 884-456 /3/</t>
  </si>
  <si>
    <t>78821</t>
  </si>
  <si>
    <t>Кухонные прин. Satoshi Малибу Лопатка+кисточка силикон 884-455 /3/</t>
  </si>
  <si>
    <t>78886</t>
  </si>
  <si>
    <t>Кухонные прин. Satoshi Малибу Половник+шумовка нейлон 884-461 /3/</t>
  </si>
  <si>
    <t>79054</t>
  </si>
  <si>
    <t>Кухонные прин. Satoshi Премьер Ложка нейлон ручка нерж. стать пластик 881-187 /3/</t>
  </si>
  <si>
    <t>78854</t>
  </si>
  <si>
    <t>Кухонные прин. Satoshi Премьер Лопатка с прорезями 881-185 /3/</t>
  </si>
  <si>
    <t>78857</t>
  </si>
  <si>
    <t>Кухонные прин. Satoshi Премьер Лопатка с прорезями широкая нейлон, нерж. сталь 881-190 /2/</t>
  </si>
  <si>
    <t>78855</t>
  </si>
  <si>
    <t>Кухонные прин. Satoshi Премьер Лопатка узкая силикон ручка нерж. сталь 881-192 /3/</t>
  </si>
  <si>
    <t>79323</t>
  </si>
  <si>
    <t>Кухонные прин. Satoshi Премьер Нож для пицы нерж. сталь пластик 881-198 /3/</t>
  </si>
  <si>
    <t>79335</t>
  </si>
  <si>
    <t>Кухонные прин. Satoshi Премьер Половник нерж. сталь ручка пластик 881-186 /3/</t>
  </si>
  <si>
    <t>78824</t>
  </si>
  <si>
    <t>Кухонные прин. Satoshi Премьер Шумовка нерж. сталь ручка пластик 881-188 /3/</t>
  </si>
  <si>
    <t>78897</t>
  </si>
  <si>
    <t>Кухонные прин. Satoshi Этьен Толкушка 881-218 /3/</t>
  </si>
  <si>
    <t>78898</t>
  </si>
  <si>
    <t>Кухонные прин. Satoshi Этьен Шумовка 881-219 /3/</t>
  </si>
  <si>
    <t>78877</t>
  </si>
  <si>
    <t>Кухонные прин. Vetta WH Венчик пластик 1013-15 881-248 /12/</t>
  </si>
  <si>
    <t>78862</t>
  </si>
  <si>
    <t>Кухонные прин. Vetta WH Ложка поварская пластик 1013-4 881-246 /12/</t>
  </si>
  <si>
    <t>78823</t>
  </si>
  <si>
    <t>Кухонные прин. Vetta WH Лопатка для блинов пластик 1013-17 881-250 /12/</t>
  </si>
  <si>
    <t>78822</t>
  </si>
  <si>
    <t>Кухонные прин. Vetta WH Лопатка пластик 1013-10 881-245 /12/</t>
  </si>
  <si>
    <t>78820</t>
  </si>
  <si>
    <t>Кухонные прин. Vetta WH Лопатка с прорезями пластик 1013-2 881-240 /12/</t>
  </si>
  <si>
    <t>79315</t>
  </si>
  <si>
    <t>Кухонные прин. Vetta WH Половник пластик 1013-8 881-244 /12/</t>
  </si>
  <si>
    <t>78840</t>
  </si>
  <si>
    <t>Кухонные прин. Vetta WH Толкушка пластик 1013-8 881-247 /12/</t>
  </si>
  <si>
    <t>78861</t>
  </si>
  <si>
    <t>Кухонные прин. Vetta WH Шумовка пластик 1013-4 881-242 /12/</t>
  </si>
  <si>
    <t>78884</t>
  </si>
  <si>
    <t>Кухонные прин. Vetta Аргенто Ложка поварская нерж. сталь нейлон 881-144 /6/</t>
  </si>
  <si>
    <t>78827</t>
  </si>
  <si>
    <t>Кухонные прин. Vetta Аргенто Лопатка с прорезями нерж. сталь нейлон 881-145 /6/</t>
  </si>
  <si>
    <t>78809</t>
  </si>
  <si>
    <t>Кухонные прин. Vetta Аргенто Половник нерж. сталь нейлон 881-141 /6/</t>
  </si>
  <si>
    <t>78881</t>
  </si>
  <si>
    <t>Кухонные прин. Vetta Аргенто Шумовка нерж. сталь нейлон 881-143 /6/</t>
  </si>
  <si>
    <t>78803</t>
  </si>
  <si>
    <t>Кухонные прин. Vetta Веросса Лопатка с прорезями нейлон ручка нерж. сталь 881-159 /6/</t>
  </si>
  <si>
    <t>77141</t>
  </si>
  <si>
    <t>Кухонные прин. Vetta Делиа Ложка нейлон 881-202 /6/</t>
  </si>
  <si>
    <t>77142</t>
  </si>
  <si>
    <t>Кухонные прин. Vetta Делиа Лопатка нейлон 881-203 /6/</t>
  </si>
  <si>
    <t>78804</t>
  </si>
  <si>
    <t>Кухонные прин. Vetta Делиа Половник нейлон 881-204 /6/</t>
  </si>
  <si>
    <t>78814</t>
  </si>
  <si>
    <t>Кухонные прин. Vetta Делиа Толкушка нейлон 881-205 /6/</t>
  </si>
  <si>
    <t>77144</t>
  </si>
  <si>
    <t>Кухонные прин. Vetta Делиа Шумовка нейлон 881-206 /6/</t>
  </si>
  <si>
    <t>78845</t>
  </si>
  <si>
    <t>Кухонные прин. Vetta Ярис Шумовка нерж. сталь нейлон 882-242 /6/</t>
  </si>
  <si>
    <t>78863</t>
  </si>
  <si>
    <t>Кухонные принадлежнности Vetta 6 прердетов пластм. 881-444 /2/</t>
  </si>
  <si>
    <t>79170</t>
  </si>
  <si>
    <t>Кухонные принадлежности 6 предметов пластм. 881-056 /5/</t>
  </si>
  <si>
    <t>78835</t>
  </si>
  <si>
    <t>Кухонные принадлежности 6 предметов Эко полипропилен. 881-319 /50/</t>
  </si>
  <si>
    <t>78899</t>
  </si>
  <si>
    <t>Ложка силикон ручка дерево 27,5 см</t>
  </si>
  <si>
    <t>78834</t>
  </si>
  <si>
    <t>Лопатка для блинов пластик DG146-14 /288/</t>
  </si>
  <si>
    <t>78870</t>
  </si>
  <si>
    <t>Лопатка для блинов Эконом 32 см VL50-70 /12/</t>
  </si>
  <si>
    <t>78806</t>
  </si>
  <si>
    <t>Лопатка для блинов Эконом AN50-69 /12/</t>
  </si>
  <si>
    <t>79326</t>
  </si>
  <si>
    <t>Лопатка полистирол. универсальный 26,5 см /12/</t>
  </si>
  <si>
    <t>78868</t>
  </si>
  <si>
    <t>Лопатка силикон. 25 см /90/</t>
  </si>
  <si>
    <t>78867</t>
  </si>
  <si>
    <t>Лопатка силикон. для пиццы нейлон ручка МВ 23143 /48/</t>
  </si>
  <si>
    <t>79362</t>
  </si>
  <si>
    <t>Лопатка-нож силикон. VETTA 27см HS9921 891-056 /4/</t>
  </si>
  <si>
    <t>79325</t>
  </si>
  <si>
    <t>Нож полистирол. универсальный 26,5 см /12/</t>
  </si>
  <si>
    <t>78816</t>
  </si>
  <si>
    <t>Подставки под ложку силикон 2 шт АКС055</t>
  </si>
  <si>
    <t>78826</t>
  </si>
  <si>
    <t>Половник пластмассовый ADU0607 /288/</t>
  </si>
  <si>
    <t>78872</t>
  </si>
  <si>
    <t>Половники мини 2 шт VL50-131 /12/</t>
  </si>
  <si>
    <t>78876</t>
  </si>
  <si>
    <t>Скалка 43 см 1363 /5/10/</t>
  </si>
  <si>
    <t>79786</t>
  </si>
  <si>
    <t>Скалка мини силикон пластик 23*4 см 4 цв. 891-324 /144/</t>
  </si>
  <si>
    <t>78883</t>
  </si>
  <si>
    <t>Скалка силик VETTA 36см HS-RP003 891-071 /2/</t>
  </si>
  <si>
    <t>78875</t>
  </si>
  <si>
    <t>Скалка фигурная Звездочки-сердечки 37*5 см DA80-273 /6/</t>
  </si>
  <si>
    <t>78847</t>
  </si>
  <si>
    <t>Скалка фигурная Сердечки 37*5 см DA80-270 /6/</t>
  </si>
  <si>
    <t>78819</t>
  </si>
  <si>
    <t>Скребок для антипригарной посуды DH58-165 /12/</t>
  </si>
  <si>
    <t>79333</t>
  </si>
  <si>
    <t>Толкушка Vetta Бродвей 881-112 /4/</t>
  </si>
  <si>
    <t>78805</t>
  </si>
  <si>
    <t>Толкушка метал. с дерев/пласт. ручкой 23*9 см 882-246 /6/</t>
  </si>
  <si>
    <t>78880</t>
  </si>
  <si>
    <t>Шумовка EH 31x11см 14106</t>
  </si>
  <si>
    <t>789 Формы для выпечки</t>
  </si>
  <si>
    <t>42456</t>
  </si>
  <si>
    <t>Крышка для одноразов. формы алюм/картон 5794 /100/</t>
  </si>
  <si>
    <t>78952</t>
  </si>
  <si>
    <t>Форма д/выпечки SATOSHI Валькур круглая разъемная угл. сталь 22*6,5 см антипр. покр. 849-173 /12/</t>
  </si>
  <si>
    <t>22811</t>
  </si>
  <si>
    <t>Форма д/выпечки SATOSHI для булочек 6 яч.18*26,5*3 см угл. сталь антипр. покр. мрамор 849-146 /24/</t>
  </si>
  <si>
    <t>22810</t>
  </si>
  <si>
    <t>Форма д/выпечки SATOSHI для хлеба 25*13*6 см угл. сталь антипр. покр. мрамор 849-145 /24/</t>
  </si>
  <si>
    <t>78908</t>
  </si>
  <si>
    <t>Форма д/выпечки SATOSHI для хлеба 26,5*12,5*6 см угл. сталь антипр. покр. мрамор 849-187 /24/</t>
  </si>
  <si>
    <t>22817</t>
  </si>
  <si>
    <t>Форма д/выпечки SATOSHI круглая 28*3,5 см угл. сталь антипр. покр. мрамор 849-143 /24/</t>
  </si>
  <si>
    <t>22860</t>
  </si>
  <si>
    <t>Форма д/выпечки SATOSHI круглая разьемная угл. сталь 24*6,8 см антипр. покр. мрамор 849-142 /12/</t>
  </si>
  <si>
    <t>78900</t>
  </si>
  <si>
    <t>Форма д/выпечки VETTA для пиццы перфорированная 33,5* 1,0 см алюмю а/п покр. 846-143 /2/24/</t>
  </si>
  <si>
    <t>79626</t>
  </si>
  <si>
    <t>Форма д/выпечки VETTA Круглая гофриров. 28*3 SL-1011 846-064 /48/</t>
  </si>
  <si>
    <t>78918</t>
  </si>
  <si>
    <t>Форма д/выпечки VETTA Круглая Каравай 23*11,5 см  SL-1032 846-070 /2/24/</t>
  </si>
  <si>
    <t>78905</t>
  </si>
  <si>
    <t>Форма д/выпечки VETTA Круглая Пирог 20,4 см SL-1027S 846-074 /24/</t>
  </si>
  <si>
    <t>78909</t>
  </si>
  <si>
    <t>Форма д/выпечки VETTA Круглая разъемная 24*7 см SL-4004 846-110 /2/12/</t>
  </si>
  <si>
    <t>22831</t>
  </si>
  <si>
    <t>Форма д/выпечки VETTA Круглая разъемная 26*7 см SL-4005 846-076 /2/12/</t>
  </si>
  <si>
    <t>78927</t>
  </si>
  <si>
    <t>Форма д/выпечки Д 24,5*6 см а/п покр. 846-366 /10/</t>
  </si>
  <si>
    <t>22826</t>
  </si>
  <si>
    <t>Форма д/выпечки Д 25,5*3,5 см угл. сталь золото 846-304 /2/</t>
  </si>
  <si>
    <t>78902</t>
  </si>
  <si>
    <t>Форма д/выпечки кекса Д 7 см 6 ячеек 0504 /48/</t>
  </si>
  <si>
    <t>78970</t>
  </si>
  <si>
    <t>Форма д/выпечки кекса и хлеба 26*11,5*7,5 см 846-365 /5/</t>
  </si>
  <si>
    <t>78963</t>
  </si>
  <si>
    <t>Форма д/выпечки Кружево 180 мм гофр. Вишня 60621844 /40/</t>
  </si>
  <si>
    <t>78964</t>
  </si>
  <si>
    <t>Форма д/выпечки Кружево 240 мм кругл. Вишня 60622414 /15/</t>
  </si>
  <si>
    <t>78965</t>
  </si>
  <si>
    <t>Форма д/выпечки Кружево 260 мм гофр. низкая Вишня 60622644 /36/</t>
  </si>
  <si>
    <t>78966</t>
  </si>
  <si>
    <t>Форма д/выпечки Кружево 260 мм кругл. Вишня 60622614 /10/</t>
  </si>
  <si>
    <t>78984</t>
  </si>
  <si>
    <t>Форма д/выпечки метал. 25*13 см 0508 /100/</t>
  </si>
  <si>
    <t>78906</t>
  </si>
  <si>
    <t>Форма д/выпечки разъемная 17,5*7,5 см DH8-59 /24/</t>
  </si>
  <si>
    <t>78959</t>
  </si>
  <si>
    <t>Форма д/выпечки разъемная 20*6,5 см 846-367 /2/24/</t>
  </si>
  <si>
    <t>78910</t>
  </si>
  <si>
    <t>Форма д/выпечки разъемная 22,5см DH8-60 /24/</t>
  </si>
  <si>
    <t>78911</t>
  </si>
  <si>
    <t>Форма д/выпечки разъемная 24,5*7,5 см DH8-61 /24/</t>
  </si>
  <si>
    <t>78916</t>
  </si>
  <si>
    <t>Форма д/выпечки разъемная для кексов и тортов 12 см 2 части DH8-66 /48/</t>
  </si>
  <si>
    <t>78914</t>
  </si>
  <si>
    <t>Форма д/выпечки разъемная для кексов и тортов 15,5 см 3 части DH8-65 /36/</t>
  </si>
  <si>
    <t>78939</t>
  </si>
  <si>
    <t>Форма д/выпечки разъемная Кулич Д11*5 см мет. /24/</t>
  </si>
  <si>
    <t>78988</t>
  </si>
  <si>
    <t>Форма д/выпечки разъемная Кулич Д12*10 см мет. /24/</t>
  </si>
  <si>
    <t>22870</t>
  </si>
  <si>
    <t>Форма д/выпечки разъемная Кулич Д13*14 см мет. /24/</t>
  </si>
  <si>
    <t>78912</t>
  </si>
  <si>
    <t>Форма д/выпечки разъемная Сердце 10,5*10,5 см DH8-63 /48/</t>
  </si>
  <si>
    <t>78967</t>
  </si>
  <si>
    <t>Форма д/выпечки Сатин 240 мм кругл. Синий 62241 /15/</t>
  </si>
  <si>
    <t>78968</t>
  </si>
  <si>
    <t>Форма д/выпечки Сатин 260 мм кругл. Синий 62261 /10/</t>
  </si>
  <si>
    <t>78951</t>
  </si>
  <si>
    <t>Форма д/выпечки хлеба 27,5*15*7 см прямоугольная 846-065 /2/24/</t>
  </si>
  <si>
    <t>42457</t>
  </si>
  <si>
    <t>Форма д/запекания одноразовая алюм 20*15*5 см /125/</t>
  </si>
  <si>
    <t>78917</t>
  </si>
  <si>
    <t>Форма д/пиццы SATOSHI Буко 32,5*1 см антипр. покр. мрамор 849-188 /10/</t>
  </si>
  <si>
    <t>790 Штопоры/открывашки</t>
  </si>
  <si>
    <t>79006</t>
  </si>
  <si>
    <t>Нож консервный Daniks нерж. сталь /50/</t>
  </si>
  <si>
    <t>79025</t>
  </si>
  <si>
    <t>Нож консервный Satoshi Витре нерж. сталь 882-293 /4/</t>
  </si>
  <si>
    <t>79036</t>
  </si>
  <si>
    <t>Нож консервный Satoshi Малибу 884-459 /3/</t>
  </si>
  <si>
    <t>79005</t>
  </si>
  <si>
    <t>Нож консервный метал. AFD-AO618A /144/</t>
  </si>
  <si>
    <t>79013</t>
  </si>
  <si>
    <t>Нож+открывашка консервный метал. вертолет AFD-CO1013 /240/</t>
  </si>
  <si>
    <t>79444</t>
  </si>
  <si>
    <t>Открывашка 884-010 /24/</t>
  </si>
  <si>
    <t>79067</t>
  </si>
  <si>
    <t>Открывашка AN13-28 /12/</t>
  </si>
  <si>
    <t>79091</t>
  </si>
  <si>
    <t>Открывашка Satoshi Альфа нерж. сталь 882-259 /6/</t>
  </si>
  <si>
    <t>79002</t>
  </si>
  <si>
    <t>Открывашка Satoshi Имари для бутылок 882-278 /12/</t>
  </si>
  <si>
    <t>79001</t>
  </si>
  <si>
    <t>Открывашка Satoshi Премьер 17,2*5,7 см многоф. нерж. сталь/пластик 881-201 /2/</t>
  </si>
  <si>
    <t>79008</t>
  </si>
  <si>
    <t>Открывашка Satoshi Премьер для бутылок 4 диз 884-380 /6/</t>
  </si>
  <si>
    <t>79019</t>
  </si>
  <si>
    <t>Открывашка Satoshi Эко нерж. сталь 882-393 /120/</t>
  </si>
  <si>
    <t>79064</t>
  </si>
  <si>
    <t>Открывашка Weber BE-5211</t>
  </si>
  <si>
    <t>79092</t>
  </si>
  <si>
    <t>Открывашка Weber BE-5290</t>
  </si>
  <si>
    <t>79021</t>
  </si>
  <si>
    <t>Открывашка Weber BE-5344 /24/</t>
  </si>
  <si>
    <t>79088</t>
  </si>
  <si>
    <t>Открывашка WF 8021 на блистере 882-231 /6/</t>
  </si>
  <si>
    <t>79011</t>
  </si>
  <si>
    <t>Открывашка бук арт.1521 883-346 /5/</t>
  </si>
  <si>
    <t>79018</t>
  </si>
  <si>
    <t>Открывашка деревян. ручка /10/</t>
  </si>
  <si>
    <t>79073</t>
  </si>
  <si>
    <t>Открывашка для банок VETTA Смарт 21*4,5*3,7 см метал пластик 2 цв. 884-335 /6/</t>
  </si>
  <si>
    <t>79065</t>
  </si>
  <si>
    <t>Открывашка для банок и бутылок 4в1 BG13-24 /6/</t>
  </si>
  <si>
    <t>79034</t>
  </si>
  <si>
    <t>Открывашка для бутылок MT13-203 /24/</t>
  </si>
  <si>
    <t>79026</t>
  </si>
  <si>
    <t>Открывашка для бутылок Эйфелева башня 10,5 см метал. 884-352 /4/</t>
  </si>
  <si>
    <t>79050</t>
  </si>
  <si>
    <t>Открывашка нерж. сталь L3702</t>
  </si>
  <si>
    <t>79053</t>
  </si>
  <si>
    <t>Открывашка пластм цветная ручка M-K03 /24/</t>
  </si>
  <si>
    <t>79076</t>
  </si>
  <si>
    <t>Открывашка Розалия 15,5 см метал 884-316 /12/</t>
  </si>
  <si>
    <t>79017</t>
  </si>
  <si>
    <t>Открывашка универсальная твист AN80-127 /6/</t>
  </si>
  <si>
    <t>79372</t>
  </si>
  <si>
    <t>Открывашка Штык пласт. ручка ВЕВ1040 884-060 /10/</t>
  </si>
  <si>
    <t>79039</t>
  </si>
  <si>
    <t>Открывашки VETTA 2шт на блистере 882-148 /144/</t>
  </si>
  <si>
    <t>79010</t>
  </si>
  <si>
    <t>Штопор SATOSHI Малибу официанта 884-451 /3/</t>
  </si>
  <si>
    <t>79004</t>
  </si>
  <si>
    <t>Штопор VETTA метал 882-108 /5/</t>
  </si>
  <si>
    <t>79007</t>
  </si>
  <si>
    <t>Штопор VETTA метал на блистере 882-286 /6/</t>
  </si>
  <si>
    <t>79030</t>
  </si>
  <si>
    <t>Штопор белый Z13-55 /6/</t>
  </si>
  <si>
    <t>79074</t>
  </si>
  <si>
    <t>Штопор Возьми с собой 7x5,5см (пласт) ГИ13-135 /12/</t>
  </si>
  <si>
    <t>79015</t>
  </si>
  <si>
    <t>Штопор Возьми с собой 7x5,5см (пласт) ГИ13-136 /12/</t>
  </si>
  <si>
    <t>79096</t>
  </si>
  <si>
    <t>Штопор для бутылок 13,8 см /240/</t>
  </si>
  <si>
    <t>79047</t>
  </si>
  <si>
    <t>Штопор красный (пласт/мет) Z13-46 /6/</t>
  </si>
  <si>
    <t>79075</t>
  </si>
  <si>
    <t>Штопор Любовь Z13-33 /12/</t>
  </si>
  <si>
    <t>79029</t>
  </si>
  <si>
    <t>Штопор метал. микс 847 884-917 /5/</t>
  </si>
  <si>
    <t>79055</t>
  </si>
  <si>
    <t>Штопор метал. пластик 15*5,5 см 205 884-097 /5/</t>
  </si>
  <si>
    <t>79041</t>
  </si>
  <si>
    <t>Штопор метал. пластик Классик 3 цв 884-045 /10/</t>
  </si>
  <si>
    <t>79038</t>
  </si>
  <si>
    <t>Штопор складной винтовой 884-195 /20/</t>
  </si>
  <si>
    <t>79022</t>
  </si>
  <si>
    <t>Штопор складной Мини VL13-202 /12/</t>
  </si>
  <si>
    <t>79000</t>
  </si>
  <si>
    <t>Штопор стальной двухступенчатый 985954</t>
  </si>
  <si>
    <t>79066</t>
  </si>
  <si>
    <t>Штопор-открывашка S-5238</t>
  </si>
  <si>
    <t>79032</t>
  </si>
  <si>
    <t>Штопор-открывашка VETTA 882-145 /6/</t>
  </si>
  <si>
    <t>79012</t>
  </si>
  <si>
    <t>Штопор-открывашка для консервных банок пластик метал. 3 цв 884-044 /10/</t>
  </si>
  <si>
    <t>79014</t>
  </si>
  <si>
    <t>Штопор-открывашка Многофункциональный DA13-32 /12/</t>
  </si>
  <si>
    <t>79090</t>
  </si>
  <si>
    <t>Штопор-открывашка с ножом металл 11*2 см 884-524 /30/</t>
  </si>
  <si>
    <t>791 Доски разделочные</t>
  </si>
  <si>
    <t>79188</t>
  </si>
  <si>
    <t>Доска разд. Satoshi Тропики 30*20*1,2 см пласт. 852-124 /36/</t>
  </si>
  <si>
    <t>79199</t>
  </si>
  <si>
    <t>Доска разд. Satoshi Тропики 37*23*1,2 см пласт. 852-125 /24/</t>
  </si>
  <si>
    <t>79129</t>
  </si>
  <si>
    <t>Доска разд. Satoshi Фрукты 37*23*1,2 см пласт. 852-127 /24/</t>
  </si>
  <si>
    <t>79119</t>
  </si>
  <si>
    <t>Доска разд. Sugar&amp;Spice Honey пластик 25*16 см темный камень 861-366 /20/</t>
  </si>
  <si>
    <t>79155</t>
  </si>
  <si>
    <t>Доска разд. Sugar&amp;Spice Honey пластик 29*20 см темный камень 861-367 /27/</t>
  </si>
  <si>
    <t>79160</t>
  </si>
  <si>
    <t>Доска разд. Vetta бамбук 30*20*0,9 см 851-123 /2/20/</t>
  </si>
  <si>
    <t>79179</t>
  </si>
  <si>
    <t>Доска разд. Vetta бамбук 38*25*1,0 см 851-179 /20/</t>
  </si>
  <si>
    <t>79121</t>
  </si>
  <si>
    <t>Доска разд. Vetta бамбук Гринвуд 23*15*1,0 см н-1553 851-133 /4/</t>
  </si>
  <si>
    <t>79109</t>
  </si>
  <si>
    <t>Доска разд. Vetta бамбук Гринвуд 30*20*1,0 см с сикон. 851-182 /30/</t>
  </si>
  <si>
    <t>79172</t>
  </si>
  <si>
    <t>Доска разд. Vetta бамбук Гринвуд Д26*0,9 см 851-180 /30/</t>
  </si>
  <si>
    <t>79158</t>
  </si>
  <si>
    <t>Доска разд. Vetta пластик 29,4*19,8см WН1072 852-238 /4/</t>
  </si>
  <si>
    <t>79162</t>
  </si>
  <si>
    <t>Доска разд. Vetta пластик 35,5*25 см 852-237 /4/</t>
  </si>
  <si>
    <t>79116</t>
  </si>
  <si>
    <t>Доска разд. Vetta пластик 37*23*1,2см Гранит с принтом 3 диз. 852-112 /3/</t>
  </si>
  <si>
    <t>79127</t>
  </si>
  <si>
    <t>Доска разд. Vetta пластик гибкая 37,1*29,4*0,23 3 цв 852-057 /4/</t>
  </si>
  <si>
    <t>79108</t>
  </si>
  <si>
    <t>Доска разд. Vetta пластик фигурная Перчик 37*26*0,3 см 852-031 /4/</t>
  </si>
  <si>
    <t>79148</t>
  </si>
  <si>
    <t>Доска разд. Vetta пластик фигурная Яблоко 26*25*0,3 см 852-028 /4/</t>
  </si>
  <si>
    <t>79136</t>
  </si>
  <si>
    <t>Доска разд. Vetta пластик фигурная Ягодка 23*20*0,3см 852-027 /4/</t>
  </si>
  <si>
    <t>79189</t>
  </si>
  <si>
    <t>Доска разд. Vetta полипропилен 20*30*1,2 см 4 диз 852-083 /3/36/</t>
  </si>
  <si>
    <t>79112</t>
  </si>
  <si>
    <t>Доска разд. Vetta полипропилен 33*17 см 852-032 /4/</t>
  </si>
  <si>
    <t>79107</t>
  </si>
  <si>
    <t>Доска разд. Vetta стеклянная Ароматная лавка 30*40*4см 853-194 /2/12/</t>
  </si>
  <si>
    <t>79115</t>
  </si>
  <si>
    <t>Доска разд. Vetta стеклянная Овощное ассорти 30*40*0,4см 853-206 /12/</t>
  </si>
  <si>
    <t>79184</t>
  </si>
  <si>
    <t>Доска разд. Vetta стеклянная Специи 20*30*4см 853-200 /12/</t>
  </si>
  <si>
    <t>79131</t>
  </si>
  <si>
    <t>Доска разд. Vetta стеклянная Томаты черри 20*30*0,4см 853-193 /4/24/</t>
  </si>
  <si>
    <t>79120</t>
  </si>
  <si>
    <t>Доска разд. Vetta стеклянная Цветы 30*30*0,4см 853-204 /12/</t>
  </si>
  <si>
    <t>79130</t>
  </si>
  <si>
    <t>Доска разд. Vetta стеклянная Ягодное ассорти 30*40*4см 21 диз 853-207 /12/</t>
  </si>
  <si>
    <t>79103</t>
  </si>
  <si>
    <t>Доска разд. Vetta стеклянная Ягодный микс 20*30*0,4 см 2 диз 853-205 /24/</t>
  </si>
  <si>
    <t>79111</t>
  </si>
  <si>
    <t>Доска разд. Альтернатива 248*175*2 мм гибкая бежевый М8444 /16/</t>
  </si>
  <si>
    <t>79152</t>
  </si>
  <si>
    <t>Доска разд. Альтернатива 248*175*2 мм гибкая розовый М8445 /16/</t>
  </si>
  <si>
    <t>79141</t>
  </si>
  <si>
    <t>Доска разд. Альтернатива 248*175*2 мм гибкая серый М8446 /16/</t>
  </si>
  <si>
    <t>79114</t>
  </si>
  <si>
    <t>Доска разд. Альтернатива 315*210-4 М5551 /25/</t>
  </si>
  <si>
    <t>79147</t>
  </si>
  <si>
    <t>Доска разд. Альтернатива 352*252*2 мм гибкая бежевый М8447 /16/</t>
  </si>
  <si>
    <t>79167</t>
  </si>
  <si>
    <t>Доска разд. Альтернатива 352*252*2 мм гибкая розовый М8448 /16/</t>
  </si>
  <si>
    <t>79132</t>
  </si>
  <si>
    <t>Доска разд. Альтернатива Планета витаминов 305*197-5 М1070 /25/</t>
  </si>
  <si>
    <t>79143</t>
  </si>
  <si>
    <t>Доска разд. Альтернатива Хозяюшка большая М443 /20/</t>
  </si>
  <si>
    <t>79142</t>
  </si>
  <si>
    <t>Доска разд. Альтернатива Хозяюшка М441 /25/</t>
  </si>
  <si>
    <t>79145</t>
  </si>
  <si>
    <t>Доска разд. Альтернатива Хозяюшка малая М440 /20/</t>
  </si>
  <si>
    <t>79144</t>
  </si>
  <si>
    <t>Доска разд. бамбуковая 22*16*1 см Жостово РД-00070</t>
  </si>
  <si>
    <t>79168</t>
  </si>
  <si>
    <t>Доска разд. береза 31*18*1,2 см 851-065 /6/</t>
  </si>
  <si>
    <t>79180</t>
  </si>
  <si>
    <t>Доска разд. бук с кровостоком 20*30*12мм 851-173 /20/</t>
  </si>
  <si>
    <t>79100</t>
  </si>
  <si>
    <t>Доска разд. бук с кровостоком Д24*12 мм 2480 851-176 /20/</t>
  </si>
  <si>
    <t>79182</t>
  </si>
  <si>
    <t>Доска разд. М-пластика 240*150 мм /18/</t>
  </si>
  <si>
    <t>79128</t>
  </si>
  <si>
    <t>Доска разд. Мерино фанера б/ручки 29*18,5*0,8 см</t>
  </si>
  <si>
    <t>79196</t>
  </si>
  <si>
    <t>Доска разд. пластик 24*17 см 3 цв 852-128 /10/60/</t>
  </si>
  <si>
    <t>79154</t>
  </si>
  <si>
    <t>Доска разд. пластик гибкая 29*21 см 3 цв 852-087 /3/</t>
  </si>
  <si>
    <t>79044</t>
  </si>
  <si>
    <t>Доска разд. пластик гибкая 29*21 см рыжий 852-129 /40/</t>
  </si>
  <si>
    <t>79164</t>
  </si>
  <si>
    <t>Доска разд. Полимербыт Vinkel 290*240*15 мм С808 /10/</t>
  </si>
  <si>
    <t>79177</t>
  </si>
  <si>
    <t>Доска разд. Полимербыт Vinkel Lightl 290*240*15 мм С80816 /10/</t>
  </si>
  <si>
    <t>79173</t>
  </si>
  <si>
    <t>Доска разд. Полимербыт гибкая  290*190 мм С804 /21/</t>
  </si>
  <si>
    <t>79191</t>
  </si>
  <si>
    <t>Доска разд. Полимербыт гибкая  350*240 мм С800 /21/</t>
  </si>
  <si>
    <t>79102</t>
  </si>
  <si>
    <t>Доска разд. ПЦ Delicato 35*17см Сливочный GR1880СЛ /60/</t>
  </si>
  <si>
    <t>79118</t>
  </si>
  <si>
    <t>Доска разд. ПЦ Delicato 35*25см Чери GR1881ЧР /30/</t>
  </si>
  <si>
    <t>79140</t>
  </si>
  <si>
    <t>Доска разд. ПЦ №1 Мандарин ПЦ1491МНД /50/</t>
  </si>
  <si>
    <t>79124</t>
  </si>
  <si>
    <t>Доска разд. ПЦ Slim ПЦ1496МИКС /90/</t>
  </si>
  <si>
    <t>79134</t>
  </si>
  <si>
    <t>Доска разд. ПЦ Люкс круг.мал Д27,5 мрамор ПЦ1498МР /55/</t>
  </si>
  <si>
    <t>79163</t>
  </si>
  <si>
    <t>Доска разд. ПЦ малая Мрамор ПЦ1490МР /140/</t>
  </si>
  <si>
    <t>79110</t>
  </si>
  <si>
    <t>Доска разд. Соло-2 дерево 30*18,5*0,8 851-059 /5/80/</t>
  </si>
  <si>
    <t>79169</t>
  </si>
  <si>
    <t>Доска разд. фанера 25815*0 4см 851-160 /5/</t>
  </si>
  <si>
    <t>79123</t>
  </si>
  <si>
    <t>Доски разд. Satoshi пластик гибкие 28*21 см 4 шт 852-119 /3/</t>
  </si>
  <si>
    <t>79153</t>
  </si>
  <si>
    <t>Доски разд. Satoshi пластик гибкие 35*25 и 30*20 см Мрамор 852-123 /48/</t>
  </si>
  <si>
    <t>79105</t>
  </si>
  <si>
    <t>Доски разд. Альтернатива гибкие бежевый М8467 /16/</t>
  </si>
  <si>
    <t>79106</t>
  </si>
  <si>
    <t>Доски разд. Альтернатива гибкие розовый М8468 /16/</t>
  </si>
  <si>
    <t>79156</t>
  </si>
  <si>
    <t>Доски разд. Альтернатива гибкие серый М8469 /16/</t>
  </si>
  <si>
    <t>79122</t>
  </si>
  <si>
    <t>Доски разд. полипропилен 4 шт 32,5*26,5 см 852-097 /10/</t>
  </si>
  <si>
    <t>79135</t>
  </si>
  <si>
    <t>Доски разд. полипропилен с антискольз. покр. 3 шт 30*21 34*25 38*29 см 852-093 /10/</t>
  </si>
  <si>
    <t>792 Ножи кухонные</t>
  </si>
  <si>
    <t>79292</t>
  </si>
  <si>
    <t>Нож SATOSHI кухонный Акита 11 см универсальный 803-034 /3/</t>
  </si>
  <si>
    <t>79200</t>
  </si>
  <si>
    <t>Нож SATOSHI кухонный Акита 15 см универсальный 803-031 /6/</t>
  </si>
  <si>
    <t>79298</t>
  </si>
  <si>
    <t>Нож SATOSHI кухонный Акита 20 см универсальный 803-030 /6/</t>
  </si>
  <si>
    <t>79290</t>
  </si>
  <si>
    <t>Нож SATOSHI кухонный Акита 20 см шеф 803-025 /6/</t>
  </si>
  <si>
    <t>79250</t>
  </si>
  <si>
    <t>Нож SATOSHI кухонный Акита 8 см овощной 803-035 /3/</t>
  </si>
  <si>
    <t>79255</t>
  </si>
  <si>
    <t>Нож SATOSHI кухонный Алмаз универсальный 12,7 см нерж. сталь с антиналипающим покрытием 803-078 /6/</t>
  </si>
  <si>
    <t>79257</t>
  </si>
  <si>
    <t>Нож SATOSHI кухонный Алмаз шеф 20 см нерж. сталь с антиналипающим покрытием 803-083 /6/</t>
  </si>
  <si>
    <t>79293</t>
  </si>
  <si>
    <t>Нож SATOSHI кухонный Карбон универсальный 12,7 см нерж. сталь с антиналипающим покрытием 803-071 /6/</t>
  </si>
  <si>
    <t>79246</t>
  </si>
  <si>
    <t>Нож SATOSHI кухонный Карбон шеф 17,5 см нерж. сталь с антиналипающим покрытием 803-074 /6/</t>
  </si>
  <si>
    <t>79272</t>
  </si>
  <si>
    <t>Нож SATOSHI кухонный Премьер универсальный 12,7см 803-259 /6/</t>
  </si>
  <si>
    <t>79286</t>
  </si>
  <si>
    <t>Нож SATOSHI кухонный Старк кухонный 20см кованный 803-036 /3/</t>
  </si>
  <si>
    <t>79287</t>
  </si>
  <si>
    <t>Нож SATOSHI кухонный Старк овощной 9см кованый 803-043 /3/</t>
  </si>
  <si>
    <t>79263</t>
  </si>
  <si>
    <t>Нож SATOSHI кухонный Старк универсальный 12,5см кованый 803-042 /3/</t>
  </si>
  <si>
    <t>79277</t>
  </si>
  <si>
    <t>Нож SATOSHI кухонный Фрей универсальный 17 см нерж. сталь с антиналипающим покрытием 803-293 /6/</t>
  </si>
  <si>
    <t>79248</t>
  </si>
  <si>
    <t>Нож Tramontina кухонный Dynamic 12,7 см для мяса 2 шт 871-562 /6/</t>
  </si>
  <si>
    <t>79221</t>
  </si>
  <si>
    <t>Нож Tramontina кухонный Dynamic 3" овощной 22310/003 871-320 /12/</t>
  </si>
  <si>
    <t>79858</t>
  </si>
  <si>
    <t>Нож Tramontina кухонный Dynamic 4" 2 шт 22311/204 871-561 /6/</t>
  </si>
  <si>
    <t>79216</t>
  </si>
  <si>
    <t>Нож Tramontina кухонный Dynamic 4" 22320/004 871-207 /12/</t>
  </si>
  <si>
    <t>79282</t>
  </si>
  <si>
    <t>Нож Tramontina кухонный Dynamic 5" 22313/005 871-099 /12/</t>
  </si>
  <si>
    <t>79217</t>
  </si>
  <si>
    <t>Нож Tramontina кухонный Dynamic 5" 22321/905 871-176 /12/</t>
  </si>
  <si>
    <t>79213</t>
  </si>
  <si>
    <t>Нож Tramontina кухонный Dynamic 5" для томатов 22327/005 871-542 /12/</t>
  </si>
  <si>
    <t>79218</t>
  </si>
  <si>
    <t>Нож Tramontina кухонный Dynamic 6" 22315/006 871-394 /12/</t>
  </si>
  <si>
    <t>79219</t>
  </si>
  <si>
    <t>Нож Tramontina кухонный Dynamic 6" 22318/006 871-379 /12/</t>
  </si>
  <si>
    <t>79231</t>
  </si>
  <si>
    <t>Нож Tramontina кухонный Dynamic 6" для мяса 22314/006 871-253 /12/</t>
  </si>
  <si>
    <t>79212</t>
  </si>
  <si>
    <t>Нож Tramontina кухонный Dynamic 8" для мяса 22316/008 871-254 /12/</t>
  </si>
  <si>
    <t>79215</t>
  </si>
  <si>
    <t>Нож Tramontina кухонный Dynamic 8" для хлеба 22317/008 871-255 /12/</t>
  </si>
  <si>
    <t>79204</t>
  </si>
  <si>
    <t>Нож Tramontina кухонный Dynamic топор кухонный 18 см 871-469 /12/</t>
  </si>
  <si>
    <t>79244</t>
  </si>
  <si>
    <t>Нож Tramontina кухонный Multicolor 12,7 см бл. 2 шт 871-567 /6/</t>
  </si>
  <si>
    <t>79819</t>
  </si>
  <si>
    <t>Нож Tramontina кухонный Multicolor 6" 871-200 /12/</t>
  </si>
  <si>
    <t>79818</t>
  </si>
  <si>
    <t>Нож Tramontina кухонный Multicolor для масла 3" 871-199 /12/</t>
  </si>
  <si>
    <t>79240</t>
  </si>
  <si>
    <t>Нож Tramontina кухонный Multicolor для мяса 12,7 см бл. 2 шт 871-563 /6/</t>
  </si>
  <si>
    <t>79256</t>
  </si>
  <si>
    <t>Нож Tramontina кухонный Multicolor для томатов 10 см бл. 2 шт 871-564 /6/</t>
  </si>
  <si>
    <t>79268</t>
  </si>
  <si>
    <t>Нож Tramontina кухонный Multicolor для томатов 12,7 см бл. 2 шт 871-565 /6/</t>
  </si>
  <si>
    <t>79820</t>
  </si>
  <si>
    <t>Нож Tramontina кухонный Multicolor для томатов 3" 871-212 /12/</t>
  </si>
  <si>
    <t>79201</t>
  </si>
  <si>
    <t>Нож Tramontina кухонный Multicolor для томатов 8 см бл. 2 шт 871-566 /6/</t>
  </si>
  <si>
    <t>79291</t>
  </si>
  <si>
    <t>Нож Tramontina кухонный Multicolor овощной 8 см бл. 2 шт 871-570 /6/</t>
  </si>
  <si>
    <t>79252</t>
  </si>
  <si>
    <t>Нож Tramontina кухонный Multicolor с зубц. 12,7 см бл. 2 шт 871-568 /6/</t>
  </si>
  <si>
    <t>79266</t>
  </si>
  <si>
    <t>Нож Tramontina кухонный Multicolor с зубц. 8 см бл. 2 шт 871-569 /6/</t>
  </si>
  <si>
    <t>79892</t>
  </si>
  <si>
    <t>Нож кухонный с антипр. покрытием в чехле 10см 3цв 835-041 /12/</t>
  </si>
  <si>
    <t>79296</t>
  </si>
  <si>
    <t>Нож Мастер кухонный 12,7 см пластиковая ручка 803-272 /12/</t>
  </si>
  <si>
    <t>79273</t>
  </si>
  <si>
    <t>Нож Мастер кухонный для томатов 12,7 см пластиковая ручка 803-271 /12/</t>
  </si>
  <si>
    <t>79294</t>
  </si>
  <si>
    <t>Нож Мастер кухонный универсальный 12,7 см пластиковая ручка 803-263 /12/</t>
  </si>
  <si>
    <t>79229</t>
  </si>
  <si>
    <t>Нож Мастер кухонный универсальный 15 см пластиковая ручка 803-264 /12/</t>
  </si>
  <si>
    <t>79274</t>
  </si>
  <si>
    <t>Нож Мастер кухонный универсальный 18 см пластиковая ручка 803-265 /12/</t>
  </si>
  <si>
    <t>79295</t>
  </si>
  <si>
    <t>Нож Мастер кухонный универсальный 20 см пластиковая ручка 803-266 /12/</t>
  </si>
  <si>
    <t>67134</t>
  </si>
  <si>
    <t>Нож с чехлом 18см нерж. сталь пластик 884-397 /12/</t>
  </si>
  <si>
    <t>79205</t>
  </si>
  <si>
    <t>Нож столовый /С</t>
  </si>
  <si>
    <t>793 Кухонные принадлежности</t>
  </si>
  <si>
    <t>79365</t>
  </si>
  <si>
    <t>Кисточки 2шт 20см 884-055 /12/</t>
  </si>
  <si>
    <t>79331</t>
  </si>
  <si>
    <t>Кухонные прин. Azon Fishing Черпак-шумовка Д9*43 см алюм. неопрен. ручка 127-003 /2/</t>
  </si>
  <si>
    <t>79340</t>
  </si>
  <si>
    <t>Кухонные прин. Satoshi Альфа Венчик нерж. сталь 882-253 /12/</t>
  </si>
  <si>
    <t>79320</t>
  </si>
  <si>
    <t>Кухонные прин. Satoshi Альфа Ложка нерж. сталь 882-254 /6/</t>
  </si>
  <si>
    <t>79311</t>
  </si>
  <si>
    <t>Кухонные прин. Satoshi Альфа Лопатка нерж. сталь 882-255 /6/</t>
  </si>
  <si>
    <t>79332</t>
  </si>
  <si>
    <t>Кухонные прин. Satoshi Альфа Нож для пиццы нерж. сталь 882-258 /6/</t>
  </si>
  <si>
    <t>79260</t>
  </si>
  <si>
    <t>Кухонные прин. Satoshi Альфа Половник глубокий нерж. сталь 882-262 /6/</t>
  </si>
  <si>
    <t>79354</t>
  </si>
  <si>
    <t>Кухонные прин. Satoshi Альфа Толкушка нерж. сталь 882-264 /6/</t>
  </si>
  <si>
    <t>79305</t>
  </si>
  <si>
    <t>Кухонные прин. Satoshi Альфа Шумовка нерж. сталь 882-266 /6/</t>
  </si>
  <si>
    <t>79314</t>
  </si>
  <si>
    <t>Кухонные прин. Satoshi Витре Лопатка нерж. сталь 882-291 /6/</t>
  </si>
  <si>
    <t>79355</t>
  </si>
  <si>
    <t>Кухонные прин. Satoshi Витре Половник глубокий нерж. сталь 882-294 /6/</t>
  </si>
  <si>
    <t>79341</t>
  </si>
  <si>
    <t>Кухонные прин. Satoshi Витре Ролик-нож для теста нерж. сталь 882-296 /4/</t>
  </si>
  <si>
    <t>79316</t>
  </si>
  <si>
    <t>Кухонные прин. Satoshi Витре Толкушка нерж. сталь 882-299 /4/</t>
  </si>
  <si>
    <t>79330</t>
  </si>
  <si>
    <t>Кухонные прин. Satoshi Имари Венчик нерж. сталь 882-267 /6/</t>
  </si>
  <si>
    <t>79344</t>
  </si>
  <si>
    <t>Кухонные прин. Satoshi Имари Ложка нерж. сталь 882-268 /6/</t>
  </si>
  <si>
    <t>79345</t>
  </si>
  <si>
    <t>Кухонные прин. Satoshi Имари Лопатка для торта нерж. сталь 882-276 /6/</t>
  </si>
  <si>
    <t>79356</t>
  </si>
  <si>
    <t>Кухонные прин. Satoshi Имари Лопатка нерж. сталь 882-269 /6/</t>
  </si>
  <si>
    <t>79370</t>
  </si>
  <si>
    <t>Кухонные прин. Satoshi Имари Нож конс. нерж. сталь 882-270 /6/</t>
  </si>
  <si>
    <t>79391</t>
  </si>
  <si>
    <t>Кухонные прин. Satoshi Имари Половник глубокий нерж. сталь 882-271 /6/</t>
  </si>
  <si>
    <t>79352</t>
  </si>
  <si>
    <t>Кухонные прин. Satoshi Имари Толкушка нерж. сталь 882-273 /6/</t>
  </si>
  <si>
    <t>79336</t>
  </si>
  <si>
    <t>Кухонные прин. Satoshi Имари Шумовка нерж. сталь 882-274 /6/</t>
  </si>
  <si>
    <t>79310</t>
  </si>
  <si>
    <t>Кухонные прин. Satoshi Эко Венчик нерж. сталь 882-387 /120/</t>
  </si>
  <si>
    <t>79301</t>
  </si>
  <si>
    <t>Кухонные прин. Satoshi Эко Лопатка нерж. сталь 882-386 /120/</t>
  </si>
  <si>
    <t>79317</t>
  </si>
  <si>
    <t>Кухонные прин. Satoshi Эко Нож для пиццы нерж. сталь 882-385 /120/</t>
  </si>
  <si>
    <t>79338</t>
  </si>
  <si>
    <t>Кухонные прин. Vetta Диана Ложка нерж. сталь 882-079 /12/</t>
  </si>
  <si>
    <t>79381</t>
  </si>
  <si>
    <t>Кухонные прин. Vetta Диана Лопатка для торта нерж. сталь 882-076 /12/</t>
  </si>
  <si>
    <t>79363</t>
  </si>
  <si>
    <t>Кухонные прин. Vetta Диана Лопатка малая нерж. сталь 882-089 /12/</t>
  </si>
  <si>
    <t>79379</t>
  </si>
  <si>
    <t>Кухонные прин. Vetta Диана Половник малый нерж. сталь 882-088 /12/</t>
  </si>
  <si>
    <t>79481</t>
  </si>
  <si>
    <t>Кухонные прин. Vetta Диана Половник нерж. сталь 882-077 /12/</t>
  </si>
  <si>
    <t>79328</t>
  </si>
  <si>
    <t>Кухонные прин. Vetta Ретро Толкушка 27,5*10 см нерж. сталь 882-219 /6/</t>
  </si>
  <si>
    <t>79366</t>
  </si>
  <si>
    <t>Ложка для мороженого 6 см метал 889-005 /5/</t>
  </si>
  <si>
    <t>79049</t>
  </si>
  <si>
    <t>Ложка-шумовка нерж. сталь 815-064 /12/</t>
  </si>
  <si>
    <t>79351</t>
  </si>
  <si>
    <t>Ложка-шумовка Ретро нерж. сталь DA57-19 /12/</t>
  </si>
  <si>
    <t>79384</t>
  </si>
  <si>
    <t>Ложка-шумовка Ретро хром. AN57-14 /12/</t>
  </si>
  <si>
    <t>79464</t>
  </si>
  <si>
    <t>Лопатка 32,3*8 см нерж. сталь WK279-7</t>
  </si>
  <si>
    <t>79373</t>
  </si>
  <si>
    <t>Лопатка для торта малая Уралочка нерж. сталь 630001</t>
  </si>
  <si>
    <t>79300</t>
  </si>
  <si>
    <t>Лопатка для торта нерж. сталь YS-25 /240/</t>
  </si>
  <si>
    <t>79349</t>
  </si>
  <si>
    <t>Лопатка для торта Славяна 24см 1,2мм нерж. сталь /30/</t>
  </si>
  <si>
    <t>79303</t>
  </si>
  <si>
    <t>Лопатка нерж. сталь ACM0269-2</t>
  </si>
  <si>
    <t>79309</t>
  </si>
  <si>
    <t>Лопатка пластик ручка нерж. сталь AHI-AB0131</t>
  </si>
  <si>
    <t>78869</t>
  </si>
  <si>
    <t>Лопатка с прорезями нерж. сталь МВ 29221 /72/</t>
  </si>
  <si>
    <t>79399</t>
  </si>
  <si>
    <t>Половник для блинов AN50-55 /12/</t>
  </si>
  <si>
    <t>78895</t>
  </si>
  <si>
    <t>Половник металлич. большой 250 мл SB-10</t>
  </si>
  <si>
    <t>79313</t>
  </si>
  <si>
    <t>Половник металлич. малый 150 мл SB-6</t>
  </si>
  <si>
    <t>79393</t>
  </si>
  <si>
    <t>Половник металлич. средний 200 мл SB-8</t>
  </si>
  <si>
    <t>79357</t>
  </si>
  <si>
    <t>Половник нерж. сталь ACM0269-3</t>
  </si>
  <si>
    <t>79361</t>
  </si>
  <si>
    <t>Толкушка нерж. сталь AAU6746</t>
  </si>
  <si>
    <t>79312</t>
  </si>
  <si>
    <t>Шумовка нерж. сталь АСМ0269-4</t>
  </si>
  <si>
    <t>794 Сушилки для посуды</t>
  </si>
  <si>
    <t>79487</t>
  </si>
  <si>
    <t>Мойка-сушилка Виолет в раковину белый /12/</t>
  </si>
  <si>
    <t>79540</t>
  </si>
  <si>
    <t>Мойка-сушилка Виолет в раковину голуб /12/</t>
  </si>
  <si>
    <t>79450</t>
  </si>
  <si>
    <t>Мойка-сушилка Виолет в раковину латте /12/</t>
  </si>
  <si>
    <t>79419</t>
  </si>
  <si>
    <t>Мойка-сушилка Виолет раздвижная белая /14/</t>
  </si>
  <si>
    <t>79459</t>
  </si>
  <si>
    <t>Мойка-сушилка Виолет раздвижная латте /14/</t>
  </si>
  <si>
    <t>79451</t>
  </si>
  <si>
    <t>Мойка-сушилка Виолет раздвижная серая /14/</t>
  </si>
  <si>
    <t>79472</t>
  </si>
  <si>
    <t>Сушилка для посуды Rosenberg 41,5*18*14см 6819 /6/</t>
  </si>
  <si>
    <t>79404</t>
  </si>
  <si>
    <t>Сушилка для посуды SAKURA АЕ-862С 680*355*440 485-001 /6/</t>
  </si>
  <si>
    <t>79422</t>
  </si>
  <si>
    <t>Сушилка для посуды Vetta 24*15*9,5 см метал. 485-088 /24/</t>
  </si>
  <si>
    <t>79411</t>
  </si>
  <si>
    <t>Сушилка для посуды Vetta 33,5*26,5*5 см пласт. 485-086 /48/</t>
  </si>
  <si>
    <t>79436</t>
  </si>
  <si>
    <t>Сушилка для посуды Vetta 39*36,5*14 см. 485-008 /12/</t>
  </si>
  <si>
    <t>79403</t>
  </si>
  <si>
    <t>Сушилка для посуды Vetta 40*18*11 см метал. пласт. 3 цв 485-021 /2/</t>
  </si>
  <si>
    <t>79456</t>
  </si>
  <si>
    <t>Сушилка для посуды Vetta 50*38 см пласт. с ковриком 485-106 /24/</t>
  </si>
  <si>
    <t>79428</t>
  </si>
  <si>
    <t>Сушилка для посуды Vetta на раковину 16*34,7-59,5 см нерж. сталь ABS 485-112 /48/</t>
  </si>
  <si>
    <t>79469</t>
  </si>
  <si>
    <t>Сушилка для посуды Vetta на раковину 37*18,5*8 см пластик 4 цв 411-027 /60/</t>
  </si>
  <si>
    <t>79424</t>
  </si>
  <si>
    <t>Сушилка для посуды Vetta на раковину 47*22 см нерж. сталь TPE 485-103 /60/</t>
  </si>
  <si>
    <t>79435</t>
  </si>
  <si>
    <t>Сушилка для посуды Vetta на раковину раздвиж. мин-34,5*20*6,5см макс-48*20*6,5см 485-131 2 цв. /3/</t>
  </si>
  <si>
    <t>79461</t>
  </si>
  <si>
    <t>Сушилка для посуды Альтернатива Антей М6178 /6/</t>
  </si>
  <si>
    <t>79418</t>
  </si>
  <si>
    <t>Сушилка для посуды Альтернатива Кружево бежев. М6284 /6/</t>
  </si>
  <si>
    <t>79460</t>
  </si>
  <si>
    <t>Сушилка для посуды Альтернатива Кружево белый М6283 /6/</t>
  </si>
  <si>
    <t>79468</t>
  </si>
  <si>
    <t>Сушилка для посуды Альтернатива М5631 /18/</t>
  </si>
  <si>
    <t>79421</t>
  </si>
  <si>
    <t>Сушилка для посуды Альтернатива Мечта хозяйки №3 М1174 /4/</t>
  </si>
  <si>
    <t>79445</t>
  </si>
  <si>
    <t>Сушилка для посуды Альтернатива со сливом белая М6242 /6/</t>
  </si>
  <si>
    <t>79479</t>
  </si>
  <si>
    <t>Сушилка для посуды Альтернатива угловая белый М8378 /6/</t>
  </si>
  <si>
    <t>79432</t>
  </si>
  <si>
    <t>Сушилка для посуды Виолет Mini белая /18/</t>
  </si>
  <si>
    <t>79402</t>
  </si>
  <si>
    <t>Сушилка для посуды Виолет Mini латте /18/</t>
  </si>
  <si>
    <t>79401</t>
  </si>
  <si>
    <t>Сушилка для посуды Виолет Mini сл кость /18/</t>
  </si>
  <si>
    <t>79491</t>
  </si>
  <si>
    <t>Сушилка для посуды Виолет Ротанг белая /18/</t>
  </si>
  <si>
    <t>79407</t>
  </si>
  <si>
    <t>Сушилка для посуды Виолет Ротанг корич /8/</t>
  </si>
  <si>
    <t>79497</t>
  </si>
  <si>
    <t>Сушилка для посуды Виолет Ротанг латте /8/</t>
  </si>
  <si>
    <t>79490</t>
  </si>
  <si>
    <t>Сушилка для посуды Виолет Ротанг сл кость /8/</t>
  </si>
  <si>
    <t>79493</t>
  </si>
  <si>
    <t>Сушилка для посуды настольная №2 белая AM 02 /4/</t>
  </si>
  <si>
    <t>79423</t>
  </si>
  <si>
    <t>Сушилка для посуды настольная ЕН хром 39*24,5*18,5см 14312 /12/</t>
  </si>
  <si>
    <t>79405</t>
  </si>
  <si>
    <t>Сушилка для посуды настольная ЕН хром 39*25*12см 14311 /4/</t>
  </si>
  <si>
    <t>79447</t>
  </si>
  <si>
    <t>Сушилка для посуды настольная метал 43*34*7,5см 005349 /12/</t>
  </si>
  <si>
    <t>79426</t>
  </si>
  <si>
    <t>Сушилка для посуды Пластик-Центр под.Лилия+суш.д/ст.прибв гголубая ПЦ1562ГЛП</t>
  </si>
  <si>
    <t>79414</t>
  </si>
  <si>
    <t>Сушилка для посуды Пластик-Центр поддоном Лилия беж-коричн/ПЦ1563БЖКЧ</t>
  </si>
  <si>
    <t>79453</t>
  </si>
  <si>
    <t>Сушилка-поддон для посуды Vetta 34*26 см пластик 485-085 /24/</t>
  </si>
  <si>
    <t>795 Кухонный инвентарь</t>
  </si>
  <si>
    <t>79531</t>
  </si>
  <si>
    <t>Ершик для банок двойной 38,5*4,5 см 441-123 /12/</t>
  </si>
  <si>
    <t>79482</t>
  </si>
  <si>
    <t>Ершик для бутылок 20,5 см 889-311 /12/360/</t>
  </si>
  <si>
    <t>79508</t>
  </si>
  <si>
    <t>Ершик для бутылок 21 см конус мет.пластик ТА-010 441-021 /20/</t>
  </si>
  <si>
    <t>79570</t>
  </si>
  <si>
    <t>Ершик для бутылок 21 см мет. пластик ТА-009 441-020 /20/</t>
  </si>
  <si>
    <t>79040</t>
  </si>
  <si>
    <t>Ершик для бутылок 27 см 889-309 /12/</t>
  </si>
  <si>
    <t>79538</t>
  </si>
  <si>
    <t>Ершик для бутылок 32К /600/</t>
  </si>
  <si>
    <t>79572</t>
  </si>
  <si>
    <t>Ершик для бутылок 35К /600/</t>
  </si>
  <si>
    <t>79541</t>
  </si>
  <si>
    <t>Ершик для бутылок Россия /100/</t>
  </si>
  <si>
    <t>79566</t>
  </si>
  <si>
    <t>Ершик для посуды 31*6 см пластик мет. 441-121 /12/</t>
  </si>
  <si>
    <t>79544</t>
  </si>
  <si>
    <t>Ершик для посуды и решеток барбекю 17,5*3,5 см пластик мет 441-120 /6/</t>
  </si>
  <si>
    <t>79585</t>
  </si>
  <si>
    <t>Кольцо для открывания банок силик VETTA 5,5*1,6 см 891-069 /6/</t>
  </si>
  <si>
    <t>79556</t>
  </si>
  <si>
    <t>Косточковыдавливатель AN53-49 /12/</t>
  </si>
  <si>
    <t>79543</t>
  </si>
  <si>
    <t>Косточковыдавливатель BED2784 /50/</t>
  </si>
  <si>
    <t>79516</t>
  </si>
  <si>
    <t>Косточковыдавливатель VETTA для вишни и черешни 843-017 /3/</t>
  </si>
  <si>
    <t>79525</t>
  </si>
  <si>
    <t>Косточковыдавливатель VETTA для вишни и черешни и винограда 843-018 /3/</t>
  </si>
  <si>
    <t>79582</t>
  </si>
  <si>
    <t>Лапшерезка Satoshi Витре нерж. сталь 22*6,5*3,5 см 882-289 /6/</t>
  </si>
  <si>
    <t>79562</t>
  </si>
  <si>
    <t>Ложка для меда 18 см VL50-93 /12/</t>
  </si>
  <si>
    <t>79573</t>
  </si>
  <si>
    <t>Пики декоративные Единороги цветные 12шт 528-297 /12/</t>
  </si>
  <si>
    <t>48937</t>
  </si>
  <si>
    <t>Пики декоративные Зонтики цветные 30шт 437-072 /24/</t>
  </si>
  <si>
    <t>79560</t>
  </si>
  <si>
    <t>Пики декоративные Скрипичный ключ Карты 35шт 80-85 мм 530-225 /24/</t>
  </si>
  <si>
    <t>79558</t>
  </si>
  <si>
    <t>Пики декоративные Цветочки Сердечко 35шт 85-90 мм 530-226 /24/</t>
  </si>
  <si>
    <t>79528</t>
  </si>
  <si>
    <t>Пресс для котлет Гамбургер VL80-26 /12/</t>
  </si>
  <si>
    <t>79318</t>
  </si>
  <si>
    <t>Ролик для нарезки теста/лапши металл SJ 005A /72/</t>
  </si>
  <si>
    <t>79439</t>
  </si>
  <si>
    <t>Ролик для теста Vetta Ретро 11,5 см 882-245 /6/</t>
  </si>
  <si>
    <t>79535</t>
  </si>
  <si>
    <t>Ролик фигурный для нарезки теста 12x20 см Сеточка 884-171 /10/</t>
  </si>
  <si>
    <t>79526</t>
  </si>
  <si>
    <t>Ручка-держатель д/сковороды метал/пластик КН2596</t>
  </si>
  <si>
    <t>79511</t>
  </si>
  <si>
    <t>Рыбочистка 15,5 см с дерев. ручкой 1283 883-101 /250/</t>
  </si>
  <si>
    <t>79586</t>
  </si>
  <si>
    <t>Рыбочистка на блистере ABY 316</t>
  </si>
  <si>
    <t>79527</t>
  </si>
  <si>
    <t>Рыбочистка Наше Ретро MT57-74 /20/</t>
  </si>
  <si>
    <t>79576</t>
  </si>
  <si>
    <t>Рыбочистка нерж. сталь 9 см пластм. ручка /40/</t>
  </si>
  <si>
    <t>79577</t>
  </si>
  <si>
    <t>Рыбочистка пластм. 20 см с контейнером зеленая</t>
  </si>
  <si>
    <t>79584</t>
  </si>
  <si>
    <t>Рыбочистка универс. BN126 /300/</t>
  </si>
  <si>
    <t>79524</t>
  </si>
  <si>
    <t>Рыбочистка универс. Ретро AN57-16 /12/</t>
  </si>
  <si>
    <t>79564</t>
  </si>
  <si>
    <t>Рыбочистка ФИШ-ка МТ53-114 /8/</t>
  </si>
  <si>
    <t>79502</t>
  </si>
  <si>
    <t>Сепаратор для яиц DA80-212 /12/</t>
  </si>
  <si>
    <t>79374</t>
  </si>
  <si>
    <t>Ситечко для чая 886-313 /50/</t>
  </si>
  <si>
    <t>79503</t>
  </si>
  <si>
    <t>Ситечко для чая на блистере L651</t>
  </si>
  <si>
    <t>79510</t>
  </si>
  <si>
    <t>Ситечко для чая на кружку металл 884-338 /6/</t>
  </si>
  <si>
    <t>79523</t>
  </si>
  <si>
    <t>Ситечко для чая Ретро AN57-15 /12/</t>
  </si>
  <si>
    <t>79537</t>
  </si>
  <si>
    <t>Ситечко для чая с ручкой 886-004 /25/</t>
  </si>
  <si>
    <t>79594</t>
  </si>
  <si>
    <t>Ситечко для чая Шарик AN11-54 /12/</t>
  </si>
  <si>
    <t>79353</t>
  </si>
  <si>
    <t>Ситечко для чая Яйцо малое 886-067 /10/</t>
  </si>
  <si>
    <t>79571</t>
  </si>
  <si>
    <t>Спрей для цитрусовых фруктов на подвесе пластик резина 884-402 /10/</t>
  </si>
  <si>
    <t>79589</t>
  </si>
  <si>
    <t>Таймер Mallony Груша 6,7*9,1 см /12/</t>
  </si>
  <si>
    <t>79547</t>
  </si>
  <si>
    <t>Таймер Mallony Яйцо 7*7,5 см /12/</t>
  </si>
  <si>
    <t>79514</t>
  </si>
  <si>
    <t>Трубочки для коктейля ЕН 15 шт. бумажные 13999 /20/</t>
  </si>
  <si>
    <t>79521</t>
  </si>
  <si>
    <t>Трубочки для коктейля ЕН с изгибом 40 шт. неон 13959 /240/</t>
  </si>
  <si>
    <t>79520</t>
  </si>
  <si>
    <t>Трубочки для коктейля ЕН с изгибом 40 шт. полосатая 13962 /240/</t>
  </si>
  <si>
    <t>79506</t>
  </si>
  <si>
    <t>Трубочки для коктейля СОЦ Слоник 50 шт белая /240/</t>
  </si>
  <si>
    <t>79533</t>
  </si>
  <si>
    <t>Трубочки для смузи ЕН 30 шт. прямые 14007 /200/</t>
  </si>
  <si>
    <t>79512</t>
  </si>
  <si>
    <t>Удалитель сердцевины для перца DA53-134 /12/</t>
  </si>
  <si>
    <t>79280</t>
  </si>
  <si>
    <t>Удалитель сердцевины из овощей метал. 12 см 884-100 /8/</t>
  </si>
  <si>
    <t>79588</t>
  </si>
  <si>
    <t>Удалитель сердцевины из яблок SATOSHI Альфа нерж. сталь 882-257 /6/</t>
  </si>
  <si>
    <t>79517</t>
  </si>
  <si>
    <t>Удалитель сердцевины из яблок SATOSHI Эко нерж. сталь 882-390 /120/</t>
  </si>
  <si>
    <t>79513</t>
  </si>
  <si>
    <t>Удалитель сердцевины из яблок YS-D02 /24/</t>
  </si>
  <si>
    <t>79590</t>
  </si>
  <si>
    <t>Удалитель хвостиков у клубники и томатов AN53-96 /12/</t>
  </si>
  <si>
    <t>796 Формы для выпечки силикон/бумажные/формы для печенья</t>
  </si>
  <si>
    <t>79603</t>
  </si>
  <si>
    <t>Украшение для выпечки Корона 50 шт /5/20/</t>
  </si>
  <si>
    <t>79649</t>
  </si>
  <si>
    <t>Форма д/выпечки силикон. SATOSHI Алион 23,8 *12,7*2,0 см для хлеба 856-108 /3/18/</t>
  </si>
  <si>
    <t>79650</t>
  </si>
  <si>
    <t>Форма д/выпечки силикон. SATOSHI Алион 28,8 *19,8*5,3 см 6 ячеек 856-109 /2/12/</t>
  </si>
  <si>
    <t>79684</t>
  </si>
  <si>
    <t>Форма д/выпечки силикон. SATOSHI Алион для маффинов 6 яч. 29*17,4*6 см 856-111 /3/24/</t>
  </si>
  <si>
    <t>79608</t>
  </si>
  <si>
    <t>Форма д/выпечки силикон. SATOSHI Д24 *5,5 см 856-110 /12/</t>
  </si>
  <si>
    <t>79656</t>
  </si>
  <si>
    <t>Форма д/выпечки силикон. SATOSHI Д24 5*4,7см с каркасом Круг 856-101 /48/</t>
  </si>
  <si>
    <t>79694</t>
  </si>
  <si>
    <t>Форма д/выпечки силикон. VETTA для булочек 24 яч. 36*24*2,2см HS-006С 4цв 891-004 /3/</t>
  </si>
  <si>
    <t>79698</t>
  </si>
  <si>
    <t>Форма д/выпечки силикон. VETTA для кексов гофр. 6 яч. 25,5*18*3,5 см 4 цв. 891-005 /3/</t>
  </si>
  <si>
    <t>79600</t>
  </si>
  <si>
    <t>Форма д/выпечки силикон. VETTA для кулича 14*15 см 4 цв. 891-072 /5/</t>
  </si>
  <si>
    <t>79635</t>
  </si>
  <si>
    <t>Форма д/выпечки силикон. VETTA Елочка 26,6*24,8*5см 4цв. 891-094 /48/</t>
  </si>
  <si>
    <t>79623</t>
  </si>
  <si>
    <t>Форма д/выпечки силикон. VETTA Круглая 25*5,5 см 3 цв. 856-125 /3/</t>
  </si>
  <si>
    <t>79673</t>
  </si>
  <si>
    <t>Форма д/выпечки силикон. VETTA Круглая 25*6см на мелалич. подставке 891-020 /4/</t>
  </si>
  <si>
    <t>79614</t>
  </si>
  <si>
    <t>Форма д/выпечки силикон. VETTA Новогодняя 6 яч. 25,7*17,6*3см 4цв. 891-095 /48/</t>
  </si>
  <si>
    <t>79633</t>
  </si>
  <si>
    <t>Форма д/выпечки силикон. VETTA Пронзенное сердце 4 яч. 17*17*2см 891-081 /2/</t>
  </si>
  <si>
    <t>79638</t>
  </si>
  <si>
    <t>Форма д/выпечки силикон. VETTA прямоугольная 22,5*12,5 см 3 цв. 856-126 /48/</t>
  </si>
  <si>
    <t>79619</t>
  </si>
  <si>
    <t>Форма д/выпечки силикон. VETTA Розы 6 яч. 28*18*3см HS-060 3цв. 891-007 /3/</t>
  </si>
  <si>
    <t>79618</t>
  </si>
  <si>
    <t>Форма д/выпечки силикон. VETTA Снежинки 12 яч. 33,5*24*3см HS-097А 4цв. 891-003</t>
  </si>
  <si>
    <t>79625</t>
  </si>
  <si>
    <t>Форма д/выпечки силикон. для оладий /120/</t>
  </si>
  <si>
    <t>79636</t>
  </si>
  <si>
    <t>Форма д/выпечки силикон. для оладий Д23 см 891-325 /144/</t>
  </si>
  <si>
    <t>79639</t>
  </si>
  <si>
    <t>Форма д/выпечки силикон. для оладий МВ 29419 /48/</t>
  </si>
  <si>
    <t>79628</t>
  </si>
  <si>
    <t>Форма д/выпечки силикон. для оладий Сердца /48/</t>
  </si>
  <si>
    <t>79682</t>
  </si>
  <si>
    <t>Форма д/выпечки силикон. круглая Д20*5,5 см 3 цв. 856-100 /4/</t>
  </si>
  <si>
    <t>79622</t>
  </si>
  <si>
    <t>Форма д/печенья Ассорти 24 яч. 40*22см DH80-229 /4/</t>
  </si>
  <si>
    <t>79634</t>
  </si>
  <si>
    <t>Форма для лепки пельменей Webber 20,5*2см ВЕ-0394 /60/</t>
  </si>
  <si>
    <t>79610</t>
  </si>
  <si>
    <t>Формочки д/выпечки бумажные Д7 см 50 шт VL80-275 /12/</t>
  </si>
  <si>
    <t>79654</t>
  </si>
  <si>
    <t>Формочки д/выпечки бумажные Д8 см 50 шт VL80-276 /12/</t>
  </si>
  <si>
    <t>79648</t>
  </si>
  <si>
    <t>Формочки д/выпечки бумажные для капкейков 120 шт 5*3*7 см 437-247 /6/</t>
  </si>
  <si>
    <t>79612</t>
  </si>
  <si>
    <t>Формочки д/выпечки бумажные Маффин-горошек 25 шт МТ8-96 /10/</t>
  </si>
  <si>
    <t>79621</t>
  </si>
  <si>
    <t>Формочки д/выпечки бумажные Мини-маффин 25 шт МТ8-97 /10/</t>
  </si>
  <si>
    <t>79601</t>
  </si>
  <si>
    <t>Формочки д/выпечки бумажные на листе 48 шт 2260-6</t>
  </si>
  <si>
    <t>79602</t>
  </si>
  <si>
    <t>Формочки д/выпечки бумажные на листе 48 шт 2260-7</t>
  </si>
  <si>
    <t>79604</t>
  </si>
  <si>
    <t>Формочки д/выпечки бумажные на листе 48 шт 2260-8</t>
  </si>
  <si>
    <t>79661</t>
  </si>
  <si>
    <t>Формочки д/выпечки силикон. SATOSHI Алион Кекс 9,5*4,4 см 6 шт 856-113 /2/</t>
  </si>
  <si>
    <t>79655</t>
  </si>
  <si>
    <t>Формочки д/выпечки силикон. VETTA Кекс 6,5*3,3 см 16 шт 4 цв. 891-025 /3/</t>
  </si>
  <si>
    <t>79637</t>
  </si>
  <si>
    <t>Формочки д/выпечки силикон. VETTA Кекс 7*3см 16 шт 891-068 /3/36/</t>
  </si>
  <si>
    <t>79606</t>
  </si>
  <si>
    <t>Формочки д/выпечки силикон. круглая 7*3,5см 5 шт 856-090 /10/</t>
  </si>
  <si>
    <t>79457</t>
  </si>
  <si>
    <t>Формочки д/печенья 2 шт Пирожное</t>
  </si>
  <si>
    <t>78946</t>
  </si>
  <si>
    <t>Формочки д/печенья 3 шт Весна 11*4 и 8*4 см /12/</t>
  </si>
  <si>
    <t>79187</t>
  </si>
  <si>
    <t>Формочки д/печенья 3 шт Принцесса 8-10 см нерж.</t>
  </si>
  <si>
    <t>79676</t>
  </si>
  <si>
    <t>Формочки д/печенья 4 шт нерж. сталь 884-339 /6/</t>
  </si>
  <si>
    <t>79613</t>
  </si>
  <si>
    <t>Формочки д/печенья 5 шт Звезда Д4-9,5 см MS8-88 /12/</t>
  </si>
  <si>
    <t>79611</t>
  </si>
  <si>
    <t>Формочки д/печенья 5 шт Сердце Д5-9 см MS8-87 /12/</t>
  </si>
  <si>
    <t>79607</t>
  </si>
  <si>
    <t>Формочки д/печенья 6 шт Круг Д5-10 см MS8-84 /12/</t>
  </si>
  <si>
    <t>79609</t>
  </si>
  <si>
    <t>Формочки д/печенья 6 шт Цветок Д3,5-9,5 см MS8-85 /12/</t>
  </si>
  <si>
    <t>79640</t>
  </si>
  <si>
    <t>Формочки д/печенья 9 шт 3,5*4,5 см Знаменательные даты DH80-227 /4/</t>
  </si>
  <si>
    <t>797 Изделия из дерева для кухни</t>
  </si>
  <si>
    <t>79741</t>
  </si>
  <si>
    <t>Кухонные принадлежности Greenwood бамбук 3 пр. цветные ручки 883-061 /5/</t>
  </si>
  <si>
    <t>79715</t>
  </si>
  <si>
    <t>Ложка деревянная Greenwood бамбук 883-058 /10/240/</t>
  </si>
  <si>
    <t>79712</t>
  </si>
  <si>
    <t>Ложка деревянная д/солений 43 см арт.4120 883-102 /150/</t>
  </si>
  <si>
    <t>79736</t>
  </si>
  <si>
    <t>Лопатка деревянная Domina бамбук 30 см КН-1 /100/</t>
  </si>
  <si>
    <t>79739</t>
  </si>
  <si>
    <t>Лопатка деревянная Domina бамбук 30 см КН-10</t>
  </si>
  <si>
    <t>79744</t>
  </si>
  <si>
    <t>Лопатка деревянная Domina бамбук 30 см КН-8</t>
  </si>
  <si>
    <t>79746</t>
  </si>
  <si>
    <t>Лопатка деревянная Domina бамбук 30 см Н-21</t>
  </si>
  <si>
    <t>79710</t>
  </si>
  <si>
    <t>Лопатка деревянная Greenwood бамбук 883-059 /10/240/</t>
  </si>
  <si>
    <t>79740</t>
  </si>
  <si>
    <t>Лопатка деревянная Greenwood бамбук с прорезями 883-060 /10/</t>
  </si>
  <si>
    <t>79724</t>
  </si>
  <si>
    <t>Лопатка деревянная бук 28*5 см арт.1265 883-075 /25/</t>
  </si>
  <si>
    <t>79701</t>
  </si>
  <si>
    <t>Лопатки деревянные Domina бамбук 3 шт в пакете /5/</t>
  </si>
  <si>
    <t>79792</t>
  </si>
  <si>
    <t>Скалка березовая 45*4,5 С1177 884-056 /6/36/</t>
  </si>
  <si>
    <t>79727</t>
  </si>
  <si>
    <t>Скалка деревянная 18 см Д5 AAY29-5L</t>
  </si>
  <si>
    <t>79734</t>
  </si>
  <si>
    <t>Скалка деревянная 24 см Д4 AAY42-4,5</t>
  </si>
  <si>
    <t>79742</t>
  </si>
  <si>
    <t>Скалка деревянная 24 см Д5 AAY42-4</t>
  </si>
  <si>
    <t>79747</t>
  </si>
  <si>
    <t>Скалка деревянная 30 см Д4 AAY42-3,5L</t>
  </si>
  <si>
    <t>79759</t>
  </si>
  <si>
    <t>Скалка деревянная 30 см Д5 /90/</t>
  </si>
  <si>
    <t>79718</t>
  </si>
  <si>
    <t>Скалка деревянная 30*3 сим 883-072 /4/56/</t>
  </si>
  <si>
    <t>79781</t>
  </si>
  <si>
    <t>Толкушка березовая 25*4,5 889-048 /5/</t>
  </si>
  <si>
    <t>798 Ножи кухонные керамические/овощечистки</t>
  </si>
  <si>
    <t>79861</t>
  </si>
  <si>
    <t>Нож пластик 2 в 1 красный 17 см /50/</t>
  </si>
  <si>
    <t>79860</t>
  </si>
  <si>
    <t>Овощечистка 12,5*6,5*0,7 3 цв. 884-328 /12/</t>
  </si>
  <si>
    <t>79876</t>
  </si>
  <si>
    <t>Овощечистка 14,8*1,8*8 см 4 цв. 884-326 /12/</t>
  </si>
  <si>
    <t>79864</t>
  </si>
  <si>
    <t>Овощечистка AN53-10 /24/</t>
  </si>
  <si>
    <t>79866</t>
  </si>
  <si>
    <t>Овощечистка AN53-11 /12/</t>
  </si>
  <si>
    <t>79868</t>
  </si>
  <si>
    <t>Овощечистка AN53-13 /12/</t>
  </si>
  <si>
    <t>79801</t>
  </si>
  <si>
    <t>Овощечистка SATOSHI Альфа нерж. сталь 882-260 /6/</t>
  </si>
  <si>
    <t>79825</t>
  </si>
  <si>
    <t>Овощечистка SATOSHI Премьер нерж.сталь пласт. 881-199 /3/</t>
  </si>
  <si>
    <t>79802</t>
  </si>
  <si>
    <t>Овощечистка SATOSHI Эко нерж. сталь 882-388 /120/</t>
  </si>
  <si>
    <t>79803</t>
  </si>
  <si>
    <t>Овощечистка SATOSHI Эко нерж. сталь 882-389 /120/</t>
  </si>
  <si>
    <t>79830</t>
  </si>
  <si>
    <t>Овощечистка Tramontina Utilita на блист. 872-140 /12/</t>
  </si>
  <si>
    <t>79874</t>
  </si>
  <si>
    <t>Овощечистка VETTA 2в1 пластик ручка 884-224 /12/</t>
  </si>
  <si>
    <t>79804</t>
  </si>
  <si>
    <t>Овощечистка VETTA Имари гориз. лезвие нерж. сталь 882-279 /6/</t>
  </si>
  <si>
    <t>79852</t>
  </si>
  <si>
    <t>Овощечистка керамическая SATOSHI DAITANI 803-148 /6/</t>
  </si>
  <si>
    <t>79870</t>
  </si>
  <si>
    <t>Овощечистка керамическая SATOSHI Катто гориз. 803-131 /6/</t>
  </si>
  <si>
    <t>79872</t>
  </si>
  <si>
    <t>Овощечистка керамическая SATOSHI Фудзи гориз. 803-247 /6/</t>
  </si>
  <si>
    <t>79871</t>
  </si>
  <si>
    <t>Овощечистка керамическая SATOSHI Ханкан верт. 803-146 /6/</t>
  </si>
  <si>
    <t>79851</t>
  </si>
  <si>
    <t>Овощечистка лакированная 71039 /150/</t>
  </si>
  <si>
    <t>79836</t>
  </si>
  <si>
    <t>Овощечистка нерж. сталь дерев. ручка 145 мм 003710 /50/</t>
  </si>
  <si>
    <t>79807</t>
  </si>
  <si>
    <t>Овощечистка пиллер МТ53-56 /8/</t>
  </si>
  <si>
    <t>79837</t>
  </si>
  <si>
    <t>Овощечистка пласт. Классика RE-552 /240/</t>
  </si>
  <si>
    <t>79873</t>
  </si>
  <si>
    <t>Овощечистка пласт. метал. 13,5*5,5 см 884-004 /12/</t>
  </si>
  <si>
    <t>79857</t>
  </si>
  <si>
    <t>Овощечистка пласт. метал. 15 см /12/</t>
  </si>
  <si>
    <t>79867</t>
  </si>
  <si>
    <t>Овощечистка пласт. метал. 15*6 см 882-503 /12/</t>
  </si>
  <si>
    <t>79833</t>
  </si>
  <si>
    <t>Овощечистка с двумя лезвиями DH53-6 /12/</t>
  </si>
  <si>
    <t>79207</t>
  </si>
  <si>
    <t>Овощечистка с дерев. ручкой Помощница</t>
  </si>
  <si>
    <t>79805</t>
  </si>
  <si>
    <t>Овощечистка с открывалкой и штопором AN53-130 /12/</t>
  </si>
  <si>
    <t>79810</t>
  </si>
  <si>
    <t>Овощечистка с щеткой нерж. сталь 882-403 /144/</t>
  </si>
  <si>
    <t>79862</t>
  </si>
  <si>
    <t>Овощечистка Эконом DH53-9 /12/</t>
  </si>
  <si>
    <t>79827</t>
  </si>
  <si>
    <t>Овощечистка-терка VL53-170 /12/</t>
  </si>
  <si>
    <t>79809</t>
  </si>
  <si>
    <t>Овощечистки 2 шт 15,5 см пласт. метал. 4 цв. 884-320 /10/</t>
  </si>
  <si>
    <t>799 Измельчители/мясорубки</t>
  </si>
  <si>
    <t>79901</t>
  </si>
  <si>
    <t>Кухонные прин. Satoshi Витре Венчик нерж. сталь 882-288 /6/</t>
  </si>
  <si>
    <t>79597</t>
  </si>
  <si>
    <t>Мясорубка алюминиевая VETTA А-6 889-049 /2/12/</t>
  </si>
  <si>
    <t>79936</t>
  </si>
  <si>
    <t>Мясорубка алюминиевая Казань 1МА-С1 /12/</t>
  </si>
  <si>
    <t>79518</t>
  </si>
  <si>
    <t>Нож для мясорубки крест 889-193 /20/</t>
  </si>
  <si>
    <t>79909</t>
  </si>
  <si>
    <t>Нож для мясорубки крест Mallony 4,7*4,7*0,7см /100/</t>
  </si>
  <si>
    <t>79995</t>
  </si>
  <si>
    <t>Нож+решетка для мясорубки метал. BJP4567A</t>
  </si>
  <si>
    <t>79959</t>
  </si>
  <si>
    <t>Овощерезка со смен. насадками 885-030 /6/</t>
  </si>
  <si>
    <t>79968</t>
  </si>
  <si>
    <t>Пресс для цитрусовых 22*7,5см пластик 8608 /6/</t>
  </si>
  <si>
    <t>79934</t>
  </si>
  <si>
    <t>Пресс для чеснока + орехокол алюм. сплав /200/</t>
  </si>
  <si>
    <t>79922</t>
  </si>
  <si>
    <t>Пресс для чеснока + орехокол алюм. сплав 18 см 884-924 /10/</t>
  </si>
  <si>
    <t>79975</t>
  </si>
  <si>
    <t>Пресс для чеснока 15,5 см метал. 884-317 /12/</t>
  </si>
  <si>
    <t>79910</t>
  </si>
  <si>
    <t>Пресс для чеснока 882-391 /6/</t>
  </si>
  <si>
    <t>79383</t>
  </si>
  <si>
    <t>Пресс для чеснока 884-009 /4/</t>
  </si>
  <si>
    <t>79913</t>
  </si>
  <si>
    <t>Пресс для чеснока Ivlev Chef Fusion 18,5 см пластик, нерж. сталь 882-314 /72/</t>
  </si>
  <si>
    <t>79322</t>
  </si>
  <si>
    <t>Пресс для чеснока Satoshi Альфа нерж. сталь 882-263 /6/</t>
  </si>
  <si>
    <t>79308</t>
  </si>
  <si>
    <t>Пресс для чеснока Satoshi Имари нерж. сталь 882-272 /6/</t>
  </si>
  <si>
    <t>79984</t>
  </si>
  <si>
    <t>Пресс для чеснока Satoshi Малибу 884-452 /3/</t>
  </si>
  <si>
    <t>79914</t>
  </si>
  <si>
    <t>Пресс для чеснока Satoshi Эко нерж. сталь 882-394 /120/</t>
  </si>
  <si>
    <t>79929</t>
  </si>
  <si>
    <t>Пресс для чеснока Vetta с косточковыдавливателем 882-147 /12/</t>
  </si>
  <si>
    <t>79931</t>
  </si>
  <si>
    <t>Пресс для чеснока Vetta с косточковыдавливателем большой 882-248 /3/</t>
  </si>
  <si>
    <t>79950</t>
  </si>
  <si>
    <t>Пресс для чеснока алюминевый 4226</t>
  </si>
  <si>
    <t>79949</t>
  </si>
  <si>
    <t>Пресс для чеснока Комби DA53-147 /12/</t>
  </si>
  <si>
    <t>79969</t>
  </si>
  <si>
    <t>Пресс для чеснока метал. цветн. 33307 /30/</t>
  </si>
  <si>
    <t>79951</t>
  </si>
  <si>
    <t>Пресс для чеснока на блист. BA-YS9C /120/</t>
  </si>
  <si>
    <t>79970</t>
  </si>
  <si>
    <t>Пресс для чеснока Премьер 20*4,5 см нерж. сталь пластик 881-200 /2/</t>
  </si>
  <si>
    <t>79932</t>
  </si>
  <si>
    <t>Пресс для чеснока Розалия 15,5см метал. 884-315 /12/</t>
  </si>
  <si>
    <t>79599</t>
  </si>
  <si>
    <t>Решетка для мясорубки 889-306 /20/</t>
  </si>
  <si>
    <t>79928</t>
  </si>
  <si>
    <t>Решетка для мясорубки мелкие отверстия Д5,3см 889-403 /20/</t>
  </si>
  <si>
    <t>79955</t>
  </si>
  <si>
    <t>Торторезка 32*13,5 см AN80-10 /12/</t>
  </si>
  <si>
    <t>79941</t>
  </si>
  <si>
    <t>Чеснокорезка пластик метал. 5*8 см 2 цв 865-023 /2/</t>
  </si>
  <si>
    <t>79953</t>
  </si>
  <si>
    <t>Яблокорезка Лидер нерж. JH35-31 /12/</t>
  </si>
  <si>
    <t>79904</t>
  </si>
  <si>
    <t>Яблокорезка Премьера нерж. M35-17 /6/</t>
  </si>
  <si>
    <t>79954</t>
  </si>
  <si>
    <t>Яблокорезка Ретро AN57-8 /12/</t>
  </si>
  <si>
    <t>79993</t>
  </si>
  <si>
    <t>Яйцерезка пластик JH53-15 /12/</t>
  </si>
  <si>
    <t>800-831 Пластик</t>
  </si>
  <si>
    <t>800 Ведра пластмассовые</t>
  </si>
  <si>
    <t>80024</t>
  </si>
  <si>
    <t>Ведро 13 л VED3</t>
  </si>
  <si>
    <t>80000</t>
  </si>
  <si>
    <t>Ведро 45*15*17 см прямоугольное 3 цв. 407-011 /3/</t>
  </si>
  <si>
    <t>80022</t>
  </si>
  <si>
    <t>Ведро Альтернатива 10л бежевый М8336 /10/</t>
  </si>
  <si>
    <t>80217</t>
  </si>
  <si>
    <t>Ведро Альтернатива 10л с отжиммом М1012 /8/</t>
  </si>
  <si>
    <t>80208</t>
  </si>
  <si>
    <t>Ведро Альтернатива 12л М8262 /10/</t>
  </si>
  <si>
    <t>80212</t>
  </si>
  <si>
    <t>Ведро Альтернатива 12л с крыш М8263 /10/</t>
  </si>
  <si>
    <t>80226</t>
  </si>
  <si>
    <t>Ведро Альтернатива 14л прямоугольное М1029 /10/</t>
  </si>
  <si>
    <t>80242</t>
  </si>
  <si>
    <t>Ведро Альтернатива Крепыш 10л К117 /10/</t>
  </si>
  <si>
    <t>80237</t>
  </si>
  <si>
    <t>Ведро Альтернатива Крепыш 10л с крышкой К343 /10/</t>
  </si>
  <si>
    <t>80205</t>
  </si>
  <si>
    <t>Ведро Альтернатива Крепыш 12л М520 /10/</t>
  </si>
  <si>
    <t>80260</t>
  </si>
  <si>
    <t>Ведро Альтернатива Крепыш 7л К342 /10/</t>
  </si>
  <si>
    <t>80224</t>
  </si>
  <si>
    <t>Ведро Альтернатива универс. 10л без крышки М007 /10/</t>
  </si>
  <si>
    <t>80219</t>
  </si>
  <si>
    <t>Ведро Альтернатива универс. 10л с крышкой М374 /10/</t>
  </si>
  <si>
    <t>80241</t>
  </si>
  <si>
    <t>Ведро Альтернатива Хозяюшка 10л М1212 /10/</t>
  </si>
  <si>
    <t>80204</t>
  </si>
  <si>
    <t>Ведро Альтернатива Хозяюшка 10л с крышкой М1213 /10/</t>
  </si>
  <si>
    <t>80015</t>
  </si>
  <si>
    <t>Ведро Альтернатива Хозяюшка 5л М1182 /10/</t>
  </si>
  <si>
    <t>80011</t>
  </si>
  <si>
    <t>Ведро Альтернатива Хозяюшка 5л с крышкой М1178 /10/</t>
  </si>
  <si>
    <t>80257</t>
  </si>
  <si>
    <t>Ведро Альтернатива Хозяюшка 7л М1205 /10/</t>
  </si>
  <si>
    <t>80255</t>
  </si>
  <si>
    <t>Ведро Альтернатива Хозяюшка 7л с крышкой М1204 /10/</t>
  </si>
  <si>
    <t>80203</t>
  </si>
  <si>
    <t>Ведро Альтернатива Эконом 10л М2057 /10/</t>
  </si>
  <si>
    <t>80200</t>
  </si>
  <si>
    <t>Ведро Альтернатива Эконом 12л М7733 /10/</t>
  </si>
  <si>
    <t>80049</t>
  </si>
  <si>
    <t>Ведро Альтернатива Эконом 16л прямоугольное М8587 /10/</t>
  </si>
  <si>
    <t>80210</t>
  </si>
  <si>
    <t>Ведро Альтернатива Эконом 5л М8547 /10/</t>
  </si>
  <si>
    <t>80220</t>
  </si>
  <si>
    <t>Ведро Альтернатива Эконом 7л М6308 /10/</t>
  </si>
  <si>
    <t>80014</t>
  </si>
  <si>
    <t>Ведро Ангара 10л /40/</t>
  </si>
  <si>
    <t>80012</t>
  </si>
  <si>
    <t>Ведро Ангара 7л /60/</t>
  </si>
  <si>
    <t>80010</t>
  </si>
  <si>
    <t>Ведро Ангара 8л /50/</t>
  </si>
  <si>
    <t>80039</t>
  </si>
  <si>
    <t>Ведро Виолет 10л Декор Мрамор /22/</t>
  </si>
  <si>
    <t>80040</t>
  </si>
  <si>
    <t>Ведро Виолет 10л Декор Синие маки /22/</t>
  </si>
  <si>
    <t>80028</t>
  </si>
  <si>
    <t>Ведро Виолет 10л латте /25/</t>
  </si>
  <si>
    <t>80088</t>
  </si>
  <si>
    <t>Ведро Виолет 10л мята /25/</t>
  </si>
  <si>
    <t>80033</t>
  </si>
  <si>
    <t>Ведро гибкое пластик. 14л 330x310мм 62-0-034</t>
  </si>
  <si>
    <t>80030</t>
  </si>
  <si>
    <t>Ведро гибкое пластик. 28л 315x350мм 62-0-038</t>
  </si>
  <si>
    <t>80008</t>
  </si>
  <si>
    <t>Ведро гибкое пластик. 40л 330x450мм 62-0-039</t>
  </si>
  <si>
    <t>80062</t>
  </si>
  <si>
    <t>Ведро ДМ 10л голубое</t>
  </si>
  <si>
    <t>80071</t>
  </si>
  <si>
    <t>Ведро ДМ 10л голубой перламутр</t>
  </si>
  <si>
    <t>80072</t>
  </si>
  <si>
    <t>Ведро ДМ 10л зеленое</t>
  </si>
  <si>
    <t>80064</t>
  </si>
  <si>
    <t>Ведро ДМ 10л зеленый перламутр</t>
  </si>
  <si>
    <t>80079</t>
  </si>
  <si>
    <t>Ведро ДМ 10л красное</t>
  </si>
  <si>
    <t>80080</t>
  </si>
  <si>
    <t>Ведро ДМ 10л мрамор</t>
  </si>
  <si>
    <t>80089</t>
  </si>
  <si>
    <t>Ведро ДМ 10л Рубиновый перламутр</t>
  </si>
  <si>
    <t>80002</t>
  </si>
  <si>
    <t>Ведро ДМ 5л зеленый перламутр</t>
  </si>
  <si>
    <t>80004</t>
  </si>
  <si>
    <t>Ведро ДМ 5л синее</t>
  </si>
  <si>
    <t>80037</t>
  </si>
  <si>
    <t>Ведро ДМ 7л голубое</t>
  </si>
  <si>
    <t>80066</t>
  </si>
  <si>
    <t>Ведро ДМ 7л голубой перламутр</t>
  </si>
  <si>
    <t>80006</t>
  </si>
  <si>
    <t>Ведро ДМ 7л синее</t>
  </si>
  <si>
    <t>80013</t>
  </si>
  <si>
    <t>Ведро Лукошко 5 л Р1004 407-028 /25/</t>
  </si>
  <si>
    <t>80086</t>
  </si>
  <si>
    <t>Ведро Новосибирск Фрукты 11 л /40/</t>
  </si>
  <si>
    <t>80097</t>
  </si>
  <si>
    <t>Ведро Новосибирск Фрукты 6 л /40/</t>
  </si>
  <si>
    <t>80029</t>
  </si>
  <si>
    <t>Ведро Новосибирск Фрукты 9 л /50/</t>
  </si>
  <si>
    <t>80087</t>
  </si>
  <si>
    <t>Ведро Новосибирск Хозяйственное 5 л /40/</t>
  </si>
  <si>
    <t>80036</t>
  </si>
  <si>
    <t>Ведро Платар 10л круглое</t>
  </si>
  <si>
    <t>80052</t>
  </si>
  <si>
    <t>Ведро Платар 12л круглое</t>
  </si>
  <si>
    <t>80020</t>
  </si>
  <si>
    <t>Ведро Платар 12л круглое с носиком (подойник)</t>
  </si>
  <si>
    <t>80021</t>
  </si>
  <si>
    <t>Ведро Платар 15л круглое</t>
  </si>
  <si>
    <t>80051</t>
  </si>
  <si>
    <t>Ведро Платар 15л прямоугольное</t>
  </si>
  <si>
    <t>80005</t>
  </si>
  <si>
    <t>Ведро Платар 3л круглое</t>
  </si>
  <si>
    <t>80016</t>
  </si>
  <si>
    <t>Ведро Платар 5л круглое</t>
  </si>
  <si>
    <t>80018</t>
  </si>
  <si>
    <t>Ведро Платар 7л круглое</t>
  </si>
  <si>
    <t>80078</t>
  </si>
  <si>
    <t>Ведро Полимербыт 11 л Цветы С14302 /10/</t>
  </si>
  <si>
    <t>80032</t>
  </si>
  <si>
    <t>Ведро Полимербыт 9 л Яблоки С14102 /10/</t>
  </si>
  <si>
    <t>801 Ведро-туалет/Туалет дачный</t>
  </si>
  <si>
    <t>80100</t>
  </si>
  <si>
    <t>Ведро-туалет Альтернатива 13л со съемной ручкой М6081 /10/</t>
  </si>
  <si>
    <t>80101</t>
  </si>
  <si>
    <t>Ведро-туалет Альтернатива 17л бежевый М1526 /10/</t>
  </si>
  <si>
    <t>82100</t>
  </si>
  <si>
    <t>Ведро-туалет Альтернатива 17л голубой М1320 /10/</t>
  </si>
  <si>
    <t>82107</t>
  </si>
  <si>
    <t>Ведро-туалет Альтернатива 17л коричневый М1319 /10/</t>
  </si>
  <si>
    <t>82175</t>
  </si>
  <si>
    <t>Ведро-туалет Альтернатива 17л Летний день М2328 /10/</t>
  </si>
  <si>
    <t>80103</t>
  </si>
  <si>
    <t>Ведро-туалет Альтернатива 17л Парма М2330 /10/</t>
  </si>
  <si>
    <t>80116</t>
  </si>
  <si>
    <t>Ведро-туалет Альтернатива 17л Плетенка М2329 /10/</t>
  </si>
  <si>
    <t>80106</t>
  </si>
  <si>
    <t>Ведро-туалет Альтернатива 17л со съемным горшком М3051 /5/</t>
  </si>
  <si>
    <t>80125</t>
  </si>
  <si>
    <t>Ведро-туалет Альтернатива 17л Эконом М6355 /10/</t>
  </si>
  <si>
    <t>80117</t>
  </si>
  <si>
    <t>Ведро-туалет Альтернатива 18л бежевый М1525 /10/</t>
  </si>
  <si>
    <t>81680</t>
  </si>
  <si>
    <t>Ведро-туалет Альтернатива 18л голубой М1316 /10/</t>
  </si>
  <si>
    <t>80102</t>
  </si>
  <si>
    <t>Ведро-туалет Альтернатива 18л коричный М7619 /10/</t>
  </si>
  <si>
    <t>82185</t>
  </si>
  <si>
    <t>Ведро-туалет мини с крышкой М3060 /5/</t>
  </si>
  <si>
    <t>82105</t>
  </si>
  <si>
    <t>Туалет дачный Альтернатива бежевый М6373 /5/</t>
  </si>
  <si>
    <t>82176</t>
  </si>
  <si>
    <t>Туалет дачный Альтернатива коричневый М1295 /5/</t>
  </si>
  <si>
    <t>80105</t>
  </si>
  <si>
    <t>Туалет дачный Альтернатива Летний день М3023 /5/</t>
  </si>
  <si>
    <t>80104</t>
  </si>
  <si>
    <t>Туалет дачный Альтернатива Парма М3026 /5/</t>
  </si>
  <si>
    <t>82189</t>
  </si>
  <si>
    <t>Туалет дачный Альтернатива Плетенка М3025 /5/</t>
  </si>
  <si>
    <t>82173</t>
  </si>
  <si>
    <t>Туалет дачный Альтернатива Эконом М6356 /5/</t>
  </si>
  <si>
    <t>803 Хлебницы</t>
  </si>
  <si>
    <t>80317</t>
  </si>
  <si>
    <t>Хлебница Альтернатива Горошек овал красно-бел М4149 /8/</t>
  </si>
  <si>
    <t>80329</t>
  </si>
  <si>
    <t>Хлебница Альтернатива Изобилие тонир. М6520 /6/</t>
  </si>
  <si>
    <t>80346</t>
  </si>
  <si>
    <t>Хлебница М-пластика Idea Кристал большая Желтый прозрачный М1186 /6/</t>
  </si>
  <si>
    <t>80348</t>
  </si>
  <si>
    <t>Хлебница М-пластика Idea Кристал большая Оранжевый прозрачный М1186 /6/</t>
  </si>
  <si>
    <t>80338</t>
  </si>
  <si>
    <t>Хлебница Пластик-Центр средняя красный ПЦ1670КР</t>
  </si>
  <si>
    <t>80326</t>
  </si>
  <si>
    <t>Хлебница Пластик-Центр средняя лимон ПЦ1670ЛМН</t>
  </si>
  <si>
    <t>804 Подносы</t>
  </si>
  <si>
    <t>80470</t>
  </si>
  <si>
    <t>Поднос Vetta Авокадо пластик 36*26*1,5 см 2 диз. 862-416 /36/</t>
  </si>
  <si>
    <t>80409</t>
  </si>
  <si>
    <t>Поднос Vetta Аромат кофе пластик 41*29*5*2 см 862-400 /24/</t>
  </si>
  <si>
    <t>80426</t>
  </si>
  <si>
    <t>Поднос Vetta Аромат кофе пластик овал 38,5*27*3 см 862-406 /24/</t>
  </si>
  <si>
    <t>80422</t>
  </si>
  <si>
    <t>Поднос Vetta Аромат чая пластик 35*25*3,8 см 2 диз 862-418 /36/</t>
  </si>
  <si>
    <t>80499</t>
  </si>
  <si>
    <t>Поднос Vetta Гриль пластик 35*25*3,8 см 862-397 /36/</t>
  </si>
  <si>
    <t>80457</t>
  </si>
  <si>
    <t>Поднос Vetta Декор пластик 39*27*4,3 см 2 диз. 862-424 /24/</t>
  </si>
  <si>
    <t>80471</t>
  </si>
  <si>
    <t>Поднос Vetta Завтрак пластик 39*27*4,3 см 2 диз. 862-417 /24/</t>
  </si>
  <si>
    <t>80473</t>
  </si>
  <si>
    <t>Поднос Vetta Паста пластик 41*29*5*2 см 862-415 /24/</t>
  </si>
  <si>
    <t>80454</t>
  </si>
  <si>
    <t>Поднос Vetta пластик круглый с антискользящим покрытием Д 27,5 см 2 диз. 36*26*1,5 см 862-392 /2/30/</t>
  </si>
  <si>
    <t>80468</t>
  </si>
  <si>
    <t>Поднос Vetta Сладкая история пластик 36*26*1,5 см 2 диз. 862-414 /36/</t>
  </si>
  <si>
    <t>80431</t>
  </si>
  <si>
    <t>Поднос Vetta Сольер пластик 36*26*1,5 см 2 диз. 862-423 /36/</t>
  </si>
  <si>
    <t>80474</t>
  </si>
  <si>
    <t>Поднос Vetta Цветочное ассорти пластик 38,5*27*3 см 2 диз.862-419 /24/</t>
  </si>
  <si>
    <t>80425</t>
  </si>
  <si>
    <t>Поднос Vetta Ягоды овал пластик 33*23,5*2,5 см 862-412 /36/</t>
  </si>
  <si>
    <t>80459</t>
  </si>
  <si>
    <t>Поднос Альтернатива для заморозки пельменей 360*250*30 М5230 /20/</t>
  </si>
  <si>
    <t>80483</t>
  </si>
  <si>
    <t>Поднос Альтернатива Изобилие 280*410*25 мм прозр.М6676 /20/</t>
  </si>
  <si>
    <t>80455</t>
  </si>
  <si>
    <t>Поднос Альтернатива Изобилие 280*410*25 мм тонир.М6514 /20/</t>
  </si>
  <si>
    <t>80495</t>
  </si>
  <si>
    <t>Поднос Альтернатива Изобилие кругл.305 мм прозр.М6399 /18/</t>
  </si>
  <si>
    <t>80402</t>
  </si>
  <si>
    <t>Поднос Альтернатива Изобилие кругл.305 мм тонир.М6403 /18/</t>
  </si>
  <si>
    <t>80410</t>
  </si>
  <si>
    <t>Поднос Альтернатива Изобилие кругл.350 мм прозр.М6684 /10/</t>
  </si>
  <si>
    <t>80437</t>
  </si>
  <si>
    <t>Поднос Альтернатива Изобилие кругл.505 мм тонир.М6613 /10/</t>
  </si>
  <si>
    <t>80476</t>
  </si>
  <si>
    <t>Поднос Альтернатива Ромнтика М2086 /10/20/</t>
  </si>
  <si>
    <t>80485</t>
  </si>
  <si>
    <t>Поднос Альтернатива столовый 355*470 коричн. М7568 /10/</t>
  </si>
  <si>
    <t>87037</t>
  </si>
  <si>
    <t>Поднос Альтернатива столовый 355*470 М211 /10/</t>
  </si>
  <si>
    <t>80423</t>
  </si>
  <si>
    <t>Поднос Альтернатива столовый 430*300 белый М8159 /10/</t>
  </si>
  <si>
    <t>80430</t>
  </si>
  <si>
    <t>Поднос Альтернатива столовый 430*300 М8191 /10/</t>
  </si>
  <si>
    <t>80424</t>
  </si>
  <si>
    <t>Поднос Альтернатива Чайная долина М3246 /16/</t>
  </si>
  <si>
    <t>80404</t>
  </si>
  <si>
    <t>Поднос меламин 34,2*24,5*2,5 см прямоугольный с ручками 4 дизайна 862-337 /4/40/</t>
  </si>
  <si>
    <t>80462</t>
  </si>
  <si>
    <t>Поднос меламин 39,2*27*2,5 см прямоугольный с ручками 4 дизайна 862-338 /3/24/</t>
  </si>
  <si>
    <t>80401</t>
  </si>
  <si>
    <t>Поднос пластик 27,5*2 см Бергамо круглый 2 диз. 862-427 /6/120/</t>
  </si>
  <si>
    <t>80463</t>
  </si>
  <si>
    <t>Поднос пластик 33,5*22 см Фантазия-1 4 диз 862-328 /8/</t>
  </si>
  <si>
    <t>80406</t>
  </si>
  <si>
    <t>Поднос пластик 39,5*26 см Перья 2 диз. 862-430 /60/</t>
  </si>
  <si>
    <t>80464</t>
  </si>
  <si>
    <t>Поднос пластик 39*25 см Фантазия-1 4диз 862-329 /3/60/</t>
  </si>
  <si>
    <t>80407</t>
  </si>
  <si>
    <t>Поднос пластик 40*28 см Цветочная соната с ручками 3 дизайна 862-209 /3/30/</t>
  </si>
  <si>
    <t>80448</t>
  </si>
  <si>
    <t>Поднос пластик 41,2x27x5см 4 диз 862-410 /36/</t>
  </si>
  <si>
    <t>80451</t>
  </si>
  <si>
    <t>Поднос пластик 43x30,5x2,4см цвета 862-409 /15/</t>
  </si>
  <si>
    <t>80403</t>
  </si>
  <si>
    <t>Поднос пластик Д27,5 см Мрамор с антискользящим покрытием 2 цв. 862-425 /2/</t>
  </si>
  <si>
    <t>80405</t>
  </si>
  <si>
    <t>Поднос пластик Д27,5 см Прованс 2 диз. 862-426 /6/</t>
  </si>
  <si>
    <t>80414</t>
  </si>
  <si>
    <t>Поднос пластик Д35,5 см с анискольз.покр.пластик 862-334 /3/24/</t>
  </si>
  <si>
    <t>80400</t>
  </si>
  <si>
    <t>Поднос пластик Полимербыт 430*268 мм декор С10101 /6/</t>
  </si>
  <si>
    <t>80419</t>
  </si>
  <si>
    <t>Поднос пластик Полимербыт 570*320 мм С120 /20/</t>
  </si>
  <si>
    <t>80421</t>
  </si>
  <si>
    <t>Поднос пластик Полимербыт Toile de Jouy мал.пудра С10114 /6/</t>
  </si>
  <si>
    <t>80436</t>
  </si>
  <si>
    <t>Поднос пластик прямоугольный с антисольз. покрыт. 35*25 см 2 диз. 862-391 /2/</t>
  </si>
  <si>
    <t>80460</t>
  </si>
  <si>
    <t>Поднос пластик Специи 39*27,4,3 см 862-394 /24/</t>
  </si>
  <si>
    <t>80488</t>
  </si>
  <si>
    <t>Поднос Пластик-Центр унив большой мрамор ПЦ1440МР /40/</t>
  </si>
  <si>
    <t>805 Вазоны/Кашпо/Ящики балконные</t>
  </si>
  <si>
    <t>80501</t>
  </si>
  <si>
    <t>Вазон Альтернатива Венеция 10л белый М3127 /10/</t>
  </si>
  <si>
    <t>80510</t>
  </si>
  <si>
    <t>Вазон Альтернатива Венеция 10л коричневый М3131 /10/</t>
  </si>
  <si>
    <t>80532</t>
  </si>
  <si>
    <t>Вазон Альтернатива Венеция 17л белый М3128 /5/</t>
  </si>
  <si>
    <t>80534</t>
  </si>
  <si>
    <t>Вазон Альтернатива Венеция 17л коричневый М3132 /6/</t>
  </si>
  <si>
    <t>80503</t>
  </si>
  <si>
    <t>Вазон Альтернатива Жасмин 12л белый М1391 /10/</t>
  </si>
  <si>
    <t>80536</t>
  </si>
  <si>
    <t>Вазон Альтернатива Жасмин 12л белый на высокой ножке М1390 /5/</t>
  </si>
  <si>
    <t>80504</t>
  </si>
  <si>
    <t>Вазон Альтернатива Жасмин 12л коричневый М1557 /10/</t>
  </si>
  <si>
    <t>80505</t>
  </si>
  <si>
    <t>Вазон Альтернатива Жасмин 6л белый М1394 /10/</t>
  </si>
  <si>
    <t>80556</t>
  </si>
  <si>
    <t>Вазон Альтернатива Жасмин 6л коричневый М1559 /18/</t>
  </si>
  <si>
    <t>80506</t>
  </si>
  <si>
    <t>Вазон Альтернатива Жасмин 9л белый М1395 /10/</t>
  </si>
  <si>
    <t>80507</t>
  </si>
  <si>
    <t>Вазон Альтернатива Жасмин 9л коричневый М1560 /10/</t>
  </si>
  <si>
    <t>80508</t>
  </si>
  <si>
    <t>Вазон Альтернатива Пальмира 10л белый М1398 /10/</t>
  </si>
  <si>
    <t>80538</t>
  </si>
  <si>
    <t>Вазон Альтернатива Пальмира 10л коричневый М1563 /10/</t>
  </si>
  <si>
    <t>80565</t>
  </si>
  <si>
    <t>Кашпо Альтернатива для орхидей Квадро 1,3л люкс прозрачное зеленое М7541 /32/</t>
  </si>
  <si>
    <t>80596</t>
  </si>
  <si>
    <t>Кашпо Альтернатива Дольче вита 1,0л с под. зелено-белое М3593 /28/</t>
  </si>
  <si>
    <t>80598</t>
  </si>
  <si>
    <t>Кашпо Альтернатива Дольче вита 2,0л с под. зелено-белое М3596 /28/</t>
  </si>
  <si>
    <t>80580</t>
  </si>
  <si>
    <t>Кашпо Альтернатива Лозанна 3л коричневое М7413 /16/</t>
  </si>
  <si>
    <t>80528</t>
  </si>
  <si>
    <t>Кашпо Альтернатива Лозанна 3л настенное белое М1513 /16/</t>
  </si>
  <si>
    <t>80511</t>
  </si>
  <si>
    <t>Кашпо Альтернатива Майя 1,5л с под. квадратное М6409 /30/</t>
  </si>
  <si>
    <t>80529</t>
  </si>
  <si>
    <t>Кашпо Альтернатива Майя 3,0л с под. квадратное М6410 /23/</t>
  </si>
  <si>
    <t>80530</t>
  </si>
  <si>
    <t>Кашпо Альтернатива Майя 4,5л с под. квадратное М6411 /20/24/</t>
  </si>
  <si>
    <t>80591</t>
  </si>
  <si>
    <t>Кашпо Альтернатива Плетенка 8,0л с под. сл.кость М2688 /20/</t>
  </si>
  <si>
    <t>80509</t>
  </si>
  <si>
    <t>Кашпо Альтернатива Ротанг 15л напольное малое белый М6857 /7/</t>
  </si>
  <si>
    <t>80512</t>
  </si>
  <si>
    <t>Кашпо Альтернатива Ротанг 15л напольное малое мокко М8851 /7/</t>
  </si>
  <si>
    <t>80513</t>
  </si>
  <si>
    <t>Кашпо Альтернатива Ротанг 15л напольное со вставкой малое белый М6825 /5/</t>
  </si>
  <si>
    <t>80514</t>
  </si>
  <si>
    <t>Кашпо Альтернатива Ротанг 15л напольное со вставкой малое мокко М8850 /5/</t>
  </si>
  <si>
    <t>80519</t>
  </si>
  <si>
    <t>Кашпо Альтернатива Скарлет 2,0л с под. бело-зеленое М6367 /24/</t>
  </si>
  <si>
    <t>80562</t>
  </si>
  <si>
    <t>Кашпо Альтернатива Скарлет 2,0л с под. сл.кость-коричневое М5884 /24/</t>
  </si>
  <si>
    <t>80544</t>
  </si>
  <si>
    <t>Кашпо Виолет Листопад 2,5л с под. квадратное темно-серое /22/</t>
  </si>
  <si>
    <t>80502</t>
  </si>
  <si>
    <t>Кашпо Виолет Миссони 1,2л с под. круглое латте /24/</t>
  </si>
  <si>
    <t>80545</t>
  </si>
  <si>
    <t>Кашпо Виолет Мрамор 1,3л с под. квадратное светло-серое /24/</t>
  </si>
  <si>
    <t>80550</t>
  </si>
  <si>
    <t>Кашпо Виолет Этника 2,2л с под. круглое светло-серое /20/</t>
  </si>
  <si>
    <t>806 Ковши/Кувшины</t>
  </si>
  <si>
    <t>80620</t>
  </si>
  <si>
    <t>Ковш 1,0л пласт. 5цв. 444-072 /10/</t>
  </si>
  <si>
    <t>80691</t>
  </si>
  <si>
    <t>Ковш Альтернатива 1,5л Русская банька со сливом М4014 /28/25/</t>
  </si>
  <si>
    <t>80639</t>
  </si>
  <si>
    <t>Ковш Альтернатива 1,5л Самолеты-дисней М3543 /25/</t>
  </si>
  <si>
    <t>81415</t>
  </si>
  <si>
    <t>Ковш Альтернатива 1,5л универсальный с мерными делениями М366 /20/</t>
  </si>
  <si>
    <t>80601</t>
  </si>
  <si>
    <t>Ковш Альтернатива 1л М1186 /24/</t>
  </si>
  <si>
    <t>80634</t>
  </si>
  <si>
    <t>Ковш Альтернатива 2,0л бежевый М8338 /25/</t>
  </si>
  <si>
    <t>80610</t>
  </si>
  <si>
    <t>Ковш Альтернатива 2,0л М053 /25/</t>
  </si>
  <si>
    <t>80625</t>
  </si>
  <si>
    <t>Ковш Альтернатива Котофей с крыш голуб М6476 /24/</t>
  </si>
  <si>
    <t>80603</t>
  </si>
  <si>
    <t>Ковш Альтернатива Плетенка 1,7л голубой М2672 /27/</t>
  </si>
  <si>
    <t>80605</t>
  </si>
  <si>
    <t>Ковш Альтернатива Плетенка 1,7л слонов кость М2670 /27/</t>
  </si>
  <si>
    <t>80611</t>
  </si>
  <si>
    <t>Ковш Альтернатива со сливом Эконом М6605 /25/</t>
  </si>
  <si>
    <t>80684</t>
  </si>
  <si>
    <t>Ковш детский Малышарики МИКС LA1133МИКС</t>
  </si>
  <si>
    <t>80637</t>
  </si>
  <si>
    <t>Ковш М-пластика Деко 1,0 л Стрелиция М1217 /15/</t>
  </si>
  <si>
    <t>84001</t>
  </si>
  <si>
    <t>Ковш Платар 1,5л д/холодной воды /20/</t>
  </si>
  <si>
    <t>80630</t>
  </si>
  <si>
    <t>Ковш Полимербыт 1.5 л С215 /45/</t>
  </si>
  <si>
    <t>80614</t>
  </si>
  <si>
    <t>Ковш Полимербыт 1.5 л С815 /28/</t>
  </si>
  <si>
    <t>80622</t>
  </si>
  <si>
    <t>Ковш Полимербыт Giraffix 1.5 л детский С81573 /9/</t>
  </si>
  <si>
    <t>80607</t>
  </si>
  <si>
    <t>Ковш Полимербыт Polly 1.5 л детский С81520 /9/</t>
  </si>
  <si>
    <t>80638</t>
  </si>
  <si>
    <t>Кувшин 1,2 л пластик без крышки 861-290 /16/</t>
  </si>
  <si>
    <t>80624</t>
  </si>
  <si>
    <t>Кувшин 2 л + 4 стакана 0,33 л пластик 2 цв 861-294 /8/</t>
  </si>
  <si>
    <t>80662</t>
  </si>
  <si>
    <t>Кувшин Альтернатива (Кумган) Восточные сказки 3л М1795 /10/</t>
  </si>
  <si>
    <t>80649</t>
  </si>
  <si>
    <t>Кувшин Альтернатива 2,5л со сливом М166 /15/</t>
  </si>
  <si>
    <t>80673</t>
  </si>
  <si>
    <t>Кувшин Альтернатива Версаль 2,0. М1944 /24/</t>
  </si>
  <si>
    <t>80680</t>
  </si>
  <si>
    <t>Кувшин Альтернатива Вишенки 2л М6633 /24/</t>
  </si>
  <si>
    <t>80671</t>
  </si>
  <si>
    <t>Кувшин Альтернатива Вкус лета 2,0 л М7561 /24/</t>
  </si>
  <si>
    <t>80651</t>
  </si>
  <si>
    <t>Кувшин Альтернатива Камелия 2,2л с/кр.Желтый М2523 /18/</t>
  </si>
  <si>
    <t>80653</t>
  </si>
  <si>
    <t>Кувшин Альтернатива Камелия 2,2л с/кр.Красный М2047 /18/</t>
  </si>
  <si>
    <t>81723</t>
  </si>
  <si>
    <t>Кувшин Альтернатива Молочник 0,5л М1666 /36/</t>
  </si>
  <si>
    <t>81724</t>
  </si>
  <si>
    <t>Кувшин Альтернатива Молочник 1л М1667 /24/</t>
  </si>
  <si>
    <t>80631</t>
  </si>
  <si>
    <t>Кувшин Альтернатива Нежность 2л М449 /10/</t>
  </si>
  <si>
    <t>80609</t>
  </si>
  <si>
    <t>Кувшин Виолет Акварель с декором 1л /36/</t>
  </si>
  <si>
    <t>80615</t>
  </si>
  <si>
    <t>Кувшин Виолет Синие маки с декором 1л /36/</t>
  </si>
  <si>
    <t>80636</t>
  </si>
  <si>
    <t>Кувшин Полимербыт 1.2 л с крышкой С148 /8/</t>
  </si>
  <si>
    <t>80643</t>
  </si>
  <si>
    <t>Кувшин Полимербыт Practic 2.0 л с крышкой С17502 /8/</t>
  </si>
  <si>
    <t>80632</t>
  </si>
  <si>
    <t>Кувшин Полимербыт Toile de Jouy 1.2 л с крышкой пудра С14897 /8/</t>
  </si>
  <si>
    <t>80645</t>
  </si>
  <si>
    <t>Кувшин Полимербыт Toile de Jouy 2.0 л с крышкой пудра С17597 /8/</t>
  </si>
  <si>
    <t>80604</t>
  </si>
  <si>
    <t>Кувшин Полимербыт Urban 1.2 л с крышкой С14863 /8/</t>
  </si>
  <si>
    <t>80655</t>
  </si>
  <si>
    <t>Кувшин-молочник Альтернатива 0,5л Горошек бело-красный М5129 /18/</t>
  </si>
  <si>
    <t>80656</t>
  </si>
  <si>
    <t>Кувшин-молочник Альтернатива 0,5л Горошек бело-синий М5130 /18/</t>
  </si>
  <si>
    <t>80650</t>
  </si>
  <si>
    <t>Кувшин-молочник Полимербыт С787 /40/</t>
  </si>
  <si>
    <t>80621</t>
  </si>
  <si>
    <t>Кувшин-подставка п/молочные пак.М-пластика Базовый М1216 /21/</t>
  </si>
  <si>
    <t>21830</t>
  </si>
  <si>
    <t>Набор для напитков ПЦ Фазенда кувшин 2л, 3стак. Лимон ПЦ1826ЛМН /24/</t>
  </si>
  <si>
    <t>807 Салатники/миски/чаши из пластика</t>
  </si>
  <si>
    <t>80712</t>
  </si>
  <si>
    <t>Миска Helsinki 1 л с крышкой 2 цв. 861-324 /10/20/</t>
  </si>
  <si>
    <t>80739</t>
  </si>
  <si>
    <t>Миска Helsinki 2 л с крышкой 2 цв. 861-325 /12/</t>
  </si>
  <si>
    <t>80745</t>
  </si>
  <si>
    <t>Миска Helsinki 3 л с крышкой 2 цв. 861-326 /10/</t>
  </si>
  <si>
    <t>80568</t>
  </si>
  <si>
    <t>Миска Vetta 2,0 л с крышкой 3 цв. 861-255 /5/20/</t>
  </si>
  <si>
    <t>80746</t>
  </si>
  <si>
    <t>Миска Васильки и бабочки 0,4л с крышкой пластик 861-392 /6/</t>
  </si>
  <si>
    <t>80767</t>
  </si>
  <si>
    <t>Миска Васильки и бабочки 0,7л с крышкой пластик 861-393 /9/</t>
  </si>
  <si>
    <t>80792</t>
  </si>
  <si>
    <t>Миска Васильки и бабочки 1,7л с крышкой пластик 861-394 /6/</t>
  </si>
  <si>
    <t>80755</t>
  </si>
  <si>
    <t>Миска пластиковая 20,3 см 2201 845-194 /50/</t>
  </si>
  <si>
    <t>80719</t>
  </si>
  <si>
    <t>Миска Полимербыт Laola 0,55 л С684 /22/</t>
  </si>
  <si>
    <t>80727</t>
  </si>
  <si>
    <t>Миска Полимербыт Laola 0,9 л С685 /12/</t>
  </si>
  <si>
    <t>80750</t>
  </si>
  <si>
    <t>Миска Полимербыт Laola 2,0 л С687 /20/</t>
  </si>
  <si>
    <t>80721</t>
  </si>
  <si>
    <t>Миска Полимербыт Альтер 0,8 л с С396 /17/</t>
  </si>
  <si>
    <t>80720</t>
  </si>
  <si>
    <t>Миска Полимербыт Альтер mix 0,5 л с С39595 /20/</t>
  </si>
  <si>
    <t>80751</t>
  </si>
  <si>
    <t>Миска Полимербыт уДачная 4,0 л С0832 /30/</t>
  </si>
  <si>
    <t>80715</t>
  </si>
  <si>
    <t>Миски пластик 1,2-2,1-3,2 л 3 штуки 861-296 /2/6/</t>
  </si>
  <si>
    <t>80696</t>
  </si>
  <si>
    <t>Салатник Brilliante 0,75л микс GR1831МИКС /16/</t>
  </si>
  <si>
    <t>80766</t>
  </si>
  <si>
    <t>Салатник Альтернатива Богема М390 /18/</t>
  </si>
  <si>
    <t>80782</t>
  </si>
  <si>
    <t>Салатник Альтернатива Валерия 0,7л прозрачный М5531 /18/</t>
  </si>
  <si>
    <t>80784</t>
  </si>
  <si>
    <t>Салатник Альтернатива Восторг 1,0л М1216 /25/</t>
  </si>
  <si>
    <t>80713</t>
  </si>
  <si>
    <t>Салатник Альтернатива Грация 1,5л белый М6338 /22/</t>
  </si>
  <si>
    <t>80797</t>
  </si>
  <si>
    <t>Салатник Альтернатива Меланж 0,5л Желтый М6020 /24/</t>
  </si>
  <si>
    <t>80785</t>
  </si>
  <si>
    <t>Салатник Альтернатива Мозаика Д265 Н140 сл.кость М5707 /15/</t>
  </si>
  <si>
    <t>81434</t>
  </si>
  <si>
    <t>Салатник Альтернатива Нежность 0,5л М740 /30/</t>
  </si>
  <si>
    <t>80716</t>
  </si>
  <si>
    <t>Салатник Альтернатива Овощное ассорти с крышкой М5624</t>
  </si>
  <si>
    <t>80705</t>
  </si>
  <si>
    <t>Салатник Альтернатива Эконом 1,2л М3982 /30/</t>
  </si>
  <si>
    <t>80701</t>
  </si>
  <si>
    <t>Салатник Полимербыт Duo Liht 0.7 л квадратный С34616 /10/</t>
  </si>
  <si>
    <t>84018</t>
  </si>
  <si>
    <t>Чаша Альтернатива 2,0 л М082 /50/</t>
  </si>
  <si>
    <t>80741</t>
  </si>
  <si>
    <t>Чаша Альтернатива 3,0 л М8085 /20/</t>
  </si>
  <si>
    <t>80722</t>
  </si>
  <si>
    <t>Чаша Альтернатива 3,0 л М8086 /25/</t>
  </si>
  <si>
    <t>80714</t>
  </si>
  <si>
    <t>Чаша Альтернатива 5,0 л М8087 /23/</t>
  </si>
  <si>
    <t>80704</t>
  </si>
  <si>
    <t>Чаша Альтернатива 5,0 л М8088 /23/</t>
  </si>
  <si>
    <t>80709</t>
  </si>
  <si>
    <t>Чаша Альтернатива Классик 2,0л бежевый М7666 /25/</t>
  </si>
  <si>
    <t>80730</t>
  </si>
  <si>
    <t>Чаша Альтернатива Классик 2,0л белый М7665 /25/</t>
  </si>
  <si>
    <t>80732</t>
  </si>
  <si>
    <t>Чаша Альтернатива Классик 2,0л розовый М7667 /25/</t>
  </si>
  <si>
    <t>80744</t>
  </si>
  <si>
    <t>Чаша Альтернатива Классик 3,0л бежевый М7669 /25/</t>
  </si>
  <si>
    <t>80711</t>
  </si>
  <si>
    <t>Чаша Альтернатива Классик 3,0л белый М7668 /25/</t>
  </si>
  <si>
    <t>80728</t>
  </si>
  <si>
    <t>Чаша Альтернатива Классик 3,0л розовый М7670 /25/</t>
  </si>
  <si>
    <t>80618</t>
  </si>
  <si>
    <t>Чаша Альтернатива Классик 4,0л бежевый М7672 /20/</t>
  </si>
  <si>
    <t>80793</t>
  </si>
  <si>
    <t>Чаша Альтернатива Классик 5,0л бежевый М7675 /17/</t>
  </si>
  <si>
    <t>80761</t>
  </si>
  <si>
    <t>Чаша Альтернатива Классик 5,0л белый М7674 /17/</t>
  </si>
  <si>
    <t>80731</t>
  </si>
  <si>
    <t>Чаша Альтернатива Классик 5,0л розовый М7676 /17/</t>
  </si>
  <si>
    <t>80724</t>
  </si>
  <si>
    <t>Чаша Альтернатива Конфетти 2л М2469 /35/</t>
  </si>
  <si>
    <t>80787</t>
  </si>
  <si>
    <t>Чаша Альтернатива Симфония 1,0л М2492 /30/</t>
  </si>
  <si>
    <t>80789</t>
  </si>
  <si>
    <t>Чаша Альтернатива Соблазн с кр.1,7л желтый М2324 /18/</t>
  </si>
  <si>
    <t>80791</t>
  </si>
  <si>
    <t>Чаша Альтернатива Соблазн с кр.1,7л красный М2323 /18/</t>
  </si>
  <si>
    <t>80779</t>
  </si>
  <si>
    <t>Чаша Альтернатива Стиль 3л голубая М8091 /20/</t>
  </si>
  <si>
    <t>80780</t>
  </si>
  <si>
    <t>Чаша Альтернатива Стиль 3л желтая М8092 /20/</t>
  </si>
  <si>
    <t>81454</t>
  </si>
  <si>
    <t>Чаша Альтернатива Стиль 3л М506 /20/</t>
  </si>
  <si>
    <t>80773</t>
  </si>
  <si>
    <t>Чаша Альтернатива Стиль 5л голубая М8093 /25/</t>
  </si>
  <si>
    <t>80778</t>
  </si>
  <si>
    <t>Чаша Альтернатива Стиль 5л желтая М8094 /25/</t>
  </si>
  <si>
    <t>80788</t>
  </si>
  <si>
    <t>Чаша Альтернатива Стиль 5л М511 /25/</t>
  </si>
  <si>
    <t>80771</t>
  </si>
  <si>
    <t>Чаша Альтернатива Стиль 7л голубая М8095 /15/</t>
  </si>
  <si>
    <t>80765</t>
  </si>
  <si>
    <t>Чаша Альтернатива Стиль 7л желтая М8096 /15/</t>
  </si>
  <si>
    <t>80763</t>
  </si>
  <si>
    <t>Чаша Альтернатива Стиль 7л зеленая М507 /15/</t>
  </si>
  <si>
    <t>80703</t>
  </si>
  <si>
    <t>Чаша Альтернатива Стиль 7л прозрачная М8554 /15/</t>
  </si>
  <si>
    <t>80790</t>
  </si>
  <si>
    <t>Чаша Альтернатива Эконом 1,0л М7777 /25/</t>
  </si>
  <si>
    <t>80796</t>
  </si>
  <si>
    <t>Чаша Альтернатива Эконом 2,0л М7741 /20/</t>
  </si>
  <si>
    <t>80798</t>
  </si>
  <si>
    <t>Чаша Альтернатива Эконом 3,0л М7742 /22/</t>
  </si>
  <si>
    <t>80799</t>
  </si>
  <si>
    <t>Чаша Альтернатива Эконом 5,0л М7743 /13/</t>
  </si>
  <si>
    <t>80783</t>
  </si>
  <si>
    <t>Чаша Виолет 2л с мерн делен голуб /24/</t>
  </si>
  <si>
    <t>80760</t>
  </si>
  <si>
    <t>Чаша Виолет 2л с мерн делен дымч /24/</t>
  </si>
  <si>
    <t>80759</t>
  </si>
  <si>
    <t>Чаша Виолет 2л с мерн делен прозр /24/</t>
  </si>
  <si>
    <t>80758</t>
  </si>
  <si>
    <t>Чаша Виолет 3л с мерн делен голуб /24/</t>
  </si>
  <si>
    <t>80747</t>
  </si>
  <si>
    <t>Чаша Виолет 3л с мерн делен дымч /24/</t>
  </si>
  <si>
    <t>80742</t>
  </si>
  <si>
    <t>Чаша Виолет 3л с мерн делен прозр /24/</t>
  </si>
  <si>
    <t>80738</t>
  </si>
  <si>
    <t>Чаша Виолет 4л с мерн делен голуб /24/</t>
  </si>
  <si>
    <t>80736</t>
  </si>
  <si>
    <t>Чаша Виолет 4л с мерн делен дымч /24/</t>
  </si>
  <si>
    <t>80729</t>
  </si>
  <si>
    <t>Чаша Виолет 4л с мерн делен прозр /24/</t>
  </si>
  <si>
    <t>80702</t>
  </si>
  <si>
    <t>Чаша для миксера пластик 2,6 л 2 цв. 861-260 /9/36/</t>
  </si>
  <si>
    <t>808 Контейнеры из пластика герметичные/Для СВЧ</t>
  </si>
  <si>
    <t>80890</t>
  </si>
  <si>
    <t>Емкости для СВЧ Альтернатива Смак Ягоды 0,5/0,7/1,0 л М2137 /28/</t>
  </si>
  <si>
    <t>80867</t>
  </si>
  <si>
    <t>Емкость для СВЧ Galaxy 2,0л квадрат. лимон ПЦ2218ЛМН</t>
  </si>
  <si>
    <t>80830</t>
  </si>
  <si>
    <t>Емкость для СВЧ Альтернатива 0,4 л квадрат М1623 /24/</t>
  </si>
  <si>
    <t>80873</t>
  </si>
  <si>
    <t>Емкость для СВЧ Альтернатива 0,65 л овальная М5611 /26/</t>
  </si>
  <si>
    <t>80831</t>
  </si>
  <si>
    <t>Емкость для СВЧ Альтернатива 0,7 л квадрат М1624 /30/</t>
  </si>
  <si>
    <t>80832</t>
  </si>
  <si>
    <t>Емкость для СВЧ Альтернатива 0,7 л круглая М1152 /14/</t>
  </si>
  <si>
    <t>80874</t>
  </si>
  <si>
    <t>Емкость для СВЧ Альтернатива 0,8л круглая М5510 /24/</t>
  </si>
  <si>
    <t>88032</t>
  </si>
  <si>
    <t>Емкость для СВЧ Альтернатива 0,8л М371 /24/</t>
  </si>
  <si>
    <t>80834</t>
  </si>
  <si>
    <t>Емкость для СВЧ Альтернатива 1,0 л квадрат М1627 /30/</t>
  </si>
  <si>
    <t>80877</t>
  </si>
  <si>
    <t>Емкость для СВЧ Альтернатива 1,0 л круглая М1185 /20/</t>
  </si>
  <si>
    <t>80875</t>
  </si>
  <si>
    <t>Емкость для СВЧ Альтернатива 1,0 л овальная М5675 /33/</t>
  </si>
  <si>
    <t>81843</t>
  </si>
  <si>
    <t>Емкость для СВЧ Альтернатива 1,2л  М407 /20/</t>
  </si>
  <si>
    <t>80833</t>
  </si>
  <si>
    <t>Емкость для СВЧ Альтернатива 1,5 л круглая М1166 /12/</t>
  </si>
  <si>
    <t>80896</t>
  </si>
  <si>
    <t>Емкость для СВЧ Альтернатива 1,5 л овальная М6862 /18/</t>
  </si>
  <si>
    <t>80878</t>
  </si>
  <si>
    <t>Емкость для СВЧ Альтернатива 2,0л М408 /18/</t>
  </si>
  <si>
    <t>80859</t>
  </si>
  <si>
    <t>Емкость для СВЧ Альтернатива Клубничка 0,8 л квадр. М3640 /32/</t>
  </si>
  <si>
    <t>80860</t>
  </si>
  <si>
    <t>Емкость для СВЧ Альтернатива Конфети 0,8 л квадр. М4404 /32/</t>
  </si>
  <si>
    <t>80864</t>
  </si>
  <si>
    <t>Емкость для СВЧ Альтернатива Овощное ассорти 0,8 л квадр. М4875 /32/</t>
  </si>
  <si>
    <t>80858</t>
  </si>
  <si>
    <t>Емкость для СВЧ Альтернатива Овощное ассорти 1,2 л квадр. М4876 /20/</t>
  </si>
  <si>
    <t>80865</t>
  </si>
  <si>
    <t>Емкость для СВЧ Альтернатива Овощное ассорти 2,0 л квадр. М4877 /25/</t>
  </si>
  <si>
    <t>80866</t>
  </si>
  <si>
    <t>Емкость для СВЧ Альтернатива Овощное ассорти 3,0 л прямоуг М4878 /24/</t>
  </si>
  <si>
    <t>80868</t>
  </si>
  <si>
    <t>Емкость для СВЧ Альтернатива Подводное царство 2,0 л квадр. М4394 /25/</t>
  </si>
  <si>
    <t>80801</t>
  </si>
  <si>
    <t>Емкость для СВЧ Альтернатива Прайм 0,5л прямоуг. М8500 /16/</t>
  </si>
  <si>
    <t>80869</t>
  </si>
  <si>
    <t>Емкость для СВЧ Альтернатива Прайм 1,0л прямоуг. М8501 /15/</t>
  </si>
  <si>
    <t>80802</t>
  </si>
  <si>
    <t>Емкость для СВЧ Альтернатива Смак Орхидеи 0,5л М2006 /26/</t>
  </si>
  <si>
    <t>80881</t>
  </si>
  <si>
    <t>Емкость для СВЧ Альтернатива Смак Орхидеи 0,7л М2007 /28/</t>
  </si>
  <si>
    <t>80804</t>
  </si>
  <si>
    <t>Емкость для СВЧ Альтернатива Смак Светло-желтый 0,5л М8518 /26/</t>
  </si>
  <si>
    <t>80808</t>
  </si>
  <si>
    <t>Емкость для СВЧ Альтернатива Смак Светло-желтый 0,7л М8526 /28/</t>
  </si>
  <si>
    <t>80809</t>
  </si>
  <si>
    <t>Емкость для СВЧ Альтернатива Смак Светло-желтый 1л М8528 /28/</t>
  </si>
  <si>
    <t>80880</t>
  </si>
  <si>
    <t>Емкость для СВЧ Альтернатива Смак Ягоды 0,5л М2012 /26/</t>
  </si>
  <si>
    <t>81887</t>
  </si>
  <si>
    <t>Емкость для СВЧ Альтернатива Смак Ягоды 0,7л М2013 /28/</t>
  </si>
  <si>
    <t>80856</t>
  </si>
  <si>
    <t>Емкость для СВЧ Альтернатива Смак Ягоды 1,0л М2014 /28/</t>
  </si>
  <si>
    <t>80889</t>
  </si>
  <si>
    <t>Емкость для СВЧ Альтернатива Фруктовое ассорти 2,0 л М3638 /25/</t>
  </si>
  <si>
    <t>80807</t>
  </si>
  <si>
    <t>Емкость для СВЧ Альтернатива Ягодный микс 0,8 л М4847 /32/</t>
  </si>
  <si>
    <t>80884</t>
  </si>
  <si>
    <t>Емкость для СВЧ Альтернатива Ягодный микс 1,2 л М4848 /20/</t>
  </si>
  <si>
    <t>80886</t>
  </si>
  <si>
    <t>Емкость для СВЧ Альтернатива Ягодный микс 3,0 л М4850 /24/</t>
  </si>
  <si>
    <t>80817</t>
  </si>
  <si>
    <t>Емкость для СВЧ с крышкой пластик квадратн. 2,1л 2 цвета 861-242 /20/80/</t>
  </si>
  <si>
    <t>80800</t>
  </si>
  <si>
    <t>Контейнер д/прод. Vetta вак. квадратн. с защелками 1,5 л 861-239 /17/</t>
  </si>
  <si>
    <t>80822</t>
  </si>
  <si>
    <t>Контейнер д/прод. Vetta вак. кругл. с крышкой 1,75 л 2 цвета 861-244 /19/</t>
  </si>
  <si>
    <t>80840</t>
  </si>
  <si>
    <t>Контейнер д/прод. Vetta пластик прямоугльный с защелками 2,5л 861-237 /2/14/</t>
  </si>
  <si>
    <t>80823</t>
  </si>
  <si>
    <t>Контейнер д/прод. Виолет 0,5 л герметичный прямоугольн дым 092051 /24/</t>
  </si>
  <si>
    <t>80853</t>
  </si>
  <si>
    <t>Контейнер д/прод. Виолет 0,5 л герметичный прямоугольн прозр 092050 /24/</t>
  </si>
  <si>
    <t>80885</t>
  </si>
  <si>
    <t>Контейнер д/прод. Виолет 0,8 л герметичный прямоугольн прозр 092080 /18/</t>
  </si>
  <si>
    <t>80920</t>
  </si>
  <si>
    <t>Контейнер д/прод. Виолет 2,1 л герметичный прямоугольн прозр 093210 /12/</t>
  </si>
  <si>
    <t>80803</t>
  </si>
  <si>
    <t>Контейнер д/прод. пластик квадратн. 2,1л 2 цв. 861-330 /24/</t>
  </si>
  <si>
    <t>80826</t>
  </si>
  <si>
    <t>Контейнер д/прод. Полимербыт Butterfly Light квадратн.герм.с защелками 1200 мл 861-190 /8/</t>
  </si>
  <si>
    <t>80844</t>
  </si>
  <si>
    <t>Контейнер д/прод. Полимербыт Butterfly Light прямоугольный 0,75л (156х112х58мм) 2 цв 861-188 /8/16/</t>
  </si>
  <si>
    <t>80825</t>
  </si>
  <si>
    <t>Контейнер д/прод. Полимербыт Butterfly прямоугольный 0,5л (156х112х58мм) 2 цв 861-187 /8/24/</t>
  </si>
  <si>
    <t>80838</t>
  </si>
  <si>
    <t>Контейнер д/прод. с защелками 0,9 л</t>
  </si>
  <si>
    <t>80843</t>
  </si>
  <si>
    <t>Контейнер д/прод. с защелками 1,1 л Антибактериальный 3-1А /40/</t>
  </si>
  <si>
    <t>80876</t>
  </si>
  <si>
    <t>Контейнер д/прод. с защелками 1,5 л /4/32/</t>
  </si>
  <si>
    <t>80946</t>
  </si>
  <si>
    <t>Контейнер д/прод. с защелками 2,0 л</t>
  </si>
  <si>
    <t>80882</t>
  </si>
  <si>
    <t>Контейнер д/прод. с защелками 2,2 л</t>
  </si>
  <si>
    <t>80847</t>
  </si>
  <si>
    <t>Контейнер д/прод. с защелками конусом 0,77 л GL-1-2</t>
  </si>
  <si>
    <t>80891</t>
  </si>
  <si>
    <t>Контейнер д/прод. с защелками конусом 1,4 л GL-2-2</t>
  </si>
  <si>
    <t>80837</t>
  </si>
  <si>
    <t>Контейнер д/прод. Спартак 1,5л прям. Чери BR4019ЧЕРИ /12/</t>
  </si>
  <si>
    <t>809 Контейнеры из пластика герметичные/Для СВЧ Виолет Полимербыт</t>
  </si>
  <si>
    <t>80939</t>
  </si>
  <si>
    <t>Контейнер д/прод. Полимербыт Каскад 1,0 л прямоугольн. С570 /46/</t>
  </si>
  <si>
    <t>80940</t>
  </si>
  <si>
    <t>Контейнер д/прод. Полимербыт Каскад 2,2 л прямоугольн. С590 /18/</t>
  </si>
  <si>
    <t>80921</t>
  </si>
  <si>
    <t>Контейнер д/прод. Полимербыт Экстра локLight L 2,4 л прямоугольный С67216 /10/</t>
  </si>
  <si>
    <t>80922</t>
  </si>
  <si>
    <t>Контейнер д/прод. Полимербыт Экстра локLight L 3,3 л прямоугольный С67316 /8/</t>
  </si>
  <si>
    <t>80913</t>
  </si>
  <si>
    <t>Контейнер д/прод. Полимербыт Экстра локLight M 2 л прямоугольный С67616 /12/</t>
  </si>
  <si>
    <t>80905</t>
  </si>
  <si>
    <t>Контейнер для СВЧ Push Виолет 1,9л голубой /9/</t>
  </si>
  <si>
    <t>80904</t>
  </si>
  <si>
    <t>Контейнер для СВЧ Push Виолет 1,9л мятный /9/</t>
  </si>
  <si>
    <t>80903</t>
  </si>
  <si>
    <t>Контейнер для СВЧ Push Виолет 1,9л сл кость /9/</t>
  </si>
  <si>
    <t>80917</t>
  </si>
  <si>
    <t>Контейнер для СВЧ Push Виолет с декор 0,4л мятный /16/</t>
  </si>
  <si>
    <t>80916</t>
  </si>
  <si>
    <t>Контейнер для СВЧ Push Виолет с декор 0,4л сл кость /16/</t>
  </si>
  <si>
    <t>80911</t>
  </si>
  <si>
    <t>Контейнер для СВЧ Push Виолет с декор 0,9л голубой /16/</t>
  </si>
  <si>
    <t>80910</t>
  </si>
  <si>
    <t>Контейнер для СВЧ Push Виолет с декор 0,9л мятный /16/</t>
  </si>
  <si>
    <t>80909</t>
  </si>
  <si>
    <t>Контейнер для СВЧ Push Виолет с декор 0,9л сл кость /16/</t>
  </si>
  <si>
    <t>80915</t>
  </si>
  <si>
    <t>Контейнер для СВЧ Push Виолет с декор Магнолия 0,4л /16/</t>
  </si>
  <si>
    <t>80907</t>
  </si>
  <si>
    <t>Контейнер для СВЧ Push Виолет с декор Магнолия 0,9л /16/</t>
  </si>
  <si>
    <t>80902</t>
  </si>
  <si>
    <t>Контейнер для СВЧ Push Виолет с декор Магнолия 1,9л /9/</t>
  </si>
  <si>
    <t>80901</t>
  </si>
  <si>
    <t>Контейнер для СВЧ Push Виолет с декор Флёр 1,9л /9/</t>
  </si>
  <si>
    <t>80912</t>
  </si>
  <si>
    <t>Контейнер для СВЧ Push Виолет с декор Фрэш 0,4л /16/</t>
  </si>
  <si>
    <t>80908</t>
  </si>
  <si>
    <t>Контейнер для СВЧ Push Виолет с декор Фрэш 0,9л /16/</t>
  </si>
  <si>
    <t>80900</t>
  </si>
  <si>
    <t>Контейнер для СВЧ Push Виолет с декор Фрэш 1,9л /9/</t>
  </si>
  <si>
    <t>80926</t>
  </si>
  <si>
    <t>Контейнер для СВЧ Виолет 1,2л белый /24/</t>
  </si>
  <si>
    <t>80952</t>
  </si>
  <si>
    <t>Контейнер для СВЧ Виолет 1,2л серый /24/</t>
  </si>
  <si>
    <t>80954</t>
  </si>
  <si>
    <t>Контейнер для СВЧ Виолет 2,4л белый /12/</t>
  </si>
  <si>
    <t>80956</t>
  </si>
  <si>
    <t>Контейнер для СВЧ Виолет 2,4л серый /12/</t>
  </si>
  <si>
    <t>80923</t>
  </si>
  <si>
    <t>Контейнер для СВЧ Полимербыт Classic 0,75 л прямоугольный С76162 /20/</t>
  </si>
  <si>
    <t>80924</t>
  </si>
  <si>
    <t>Контейнер для СВЧ Полимербыт Classic 1,1 л прямоугольный С76262 /36/</t>
  </si>
  <si>
    <t>80927</t>
  </si>
  <si>
    <t>Контейнер для СВЧ Полимербыт CliKc 0,7 л прямоугольный С97101 /16/</t>
  </si>
  <si>
    <t>80928</t>
  </si>
  <si>
    <t>Контейнер для СВЧ Полимербыт CliKc 0,9 л прямоугольный С97201 /12/</t>
  </si>
  <si>
    <t>80929</t>
  </si>
  <si>
    <t>Контейнер для СВЧ Полимербыт CliKc 1,5 л прямоугольный С97301 /24/</t>
  </si>
  <si>
    <t>80930</t>
  </si>
  <si>
    <t>Контейнер для СВЧ Полимербыт Practic 0,5 л прямоугольный /20/</t>
  </si>
  <si>
    <t>80934</t>
  </si>
  <si>
    <t>Контейнер для СВЧ Полимербыт Toile de Jouy 1,1 л прямоугольный пудра С76297 /36/</t>
  </si>
  <si>
    <t>80935</t>
  </si>
  <si>
    <t>Контейнер для СВЧ Полимербыт Toile de Jouy 1,8 л прямоугольный пудра С76397 /26/</t>
  </si>
  <si>
    <t>80938</t>
  </si>
  <si>
    <t>Контейнер для СВЧ Полимербыт Каскад 0,7 л прямоугольн. С540 /50/</t>
  </si>
  <si>
    <t>80936</t>
  </si>
  <si>
    <t>Контейнер для СВЧ Полимербыт Каскад Квадро 0,46 л С610 /40/36/</t>
  </si>
  <si>
    <t>80937</t>
  </si>
  <si>
    <t>Контейнер для СВЧ Полимербыт Каскад Квадро 1,0 л С670 /40/</t>
  </si>
  <si>
    <t>80941</t>
  </si>
  <si>
    <t>Контейнер для СВЧ Полимербыт Лайт 0,4 л прямоуг. С551 /52/</t>
  </si>
  <si>
    <t>80942</t>
  </si>
  <si>
    <t>Контейнер для СВЧ Полимербыт Лайт 0,46 л квадратн. С542 /90/</t>
  </si>
  <si>
    <t>80944</t>
  </si>
  <si>
    <t>Контейнер для СВЧ Полимербыт Лайт 0,9 л прямоуг. С552 /64/</t>
  </si>
  <si>
    <t>80943</t>
  </si>
  <si>
    <t>Контейнер для СВЧ Полимербыт Лайт 0,95 л квадратн. С541 /44/</t>
  </si>
  <si>
    <t>80945</t>
  </si>
  <si>
    <t>Контейнер для СВЧ Полимербыт Лайт 1,5 л квадратн. С543 /34/</t>
  </si>
  <si>
    <t>80947</t>
  </si>
  <si>
    <t>Контейнер для СВЧ Полимербыт Лайт 1,9 л прямоуг. С553 /30/</t>
  </si>
  <si>
    <t>80948</t>
  </si>
  <si>
    <t>Контейнер для СВЧ Полимербыт Лайт 2,5 мл квадратн. С544 /18/</t>
  </si>
  <si>
    <t>80949</t>
  </si>
  <si>
    <t>Контейнер для СВЧ Полимербыт Лайт 3,0 л прямоуг. С554 /26/</t>
  </si>
  <si>
    <t>80950</t>
  </si>
  <si>
    <t>Контейнер для СВЧ Полимербыт Лайт 4,0 л прямоуг. С559 /10/</t>
  </si>
  <si>
    <t>80951</t>
  </si>
  <si>
    <t>Контейнер для СВЧ Полимербыт Смайл 0,8 л кругл. с клапаном С521 /72/</t>
  </si>
  <si>
    <t>80953</t>
  </si>
  <si>
    <t>Контейнер для СВЧ Полимербыт Смайл 1,6 л кругл. с клапаном С522 /30/</t>
  </si>
  <si>
    <t>80955</t>
  </si>
  <si>
    <t>Контейнеры д/прод. Полимербыт Каскад 0,46/1,0 л прямоугольн. 2 шт С67002 /40/</t>
  </si>
  <si>
    <t>810 Канистры/Фляги</t>
  </si>
  <si>
    <t>81052</t>
  </si>
  <si>
    <t>Канистра Альтернатива 10л диам. горла 45мм М434 /6/</t>
  </si>
  <si>
    <t>81015</t>
  </si>
  <si>
    <t>Канистра Альтернатива 10л универсальная М122 /10/</t>
  </si>
  <si>
    <t>81024</t>
  </si>
  <si>
    <t>Канистра Альтернатива 13л М037 /6/</t>
  </si>
  <si>
    <t>81002</t>
  </si>
  <si>
    <t>Канистра Альтернатива 17л прямоуг. горл д35 М7412 /6/</t>
  </si>
  <si>
    <t>81066</t>
  </si>
  <si>
    <t>Канистра Альтернатива 20л М040 /6/</t>
  </si>
  <si>
    <t>81055</t>
  </si>
  <si>
    <t>Канистра Альтернатива 25л М859 /6/</t>
  </si>
  <si>
    <t>81056</t>
  </si>
  <si>
    <t>Канистра Альтернатива 30л М1764 /4/</t>
  </si>
  <si>
    <t>81040</t>
  </si>
  <si>
    <t>Канистра Альтернатива Бочонок 15л М972 /6/</t>
  </si>
  <si>
    <t>81047</t>
  </si>
  <si>
    <t>Канистра Альтернатива Бочонок 20л М971 /6/</t>
  </si>
  <si>
    <t>81049</t>
  </si>
  <si>
    <t>Канистра Альтернатива Бочонок 20л со сливом М1282 /4/</t>
  </si>
  <si>
    <t>81051</t>
  </si>
  <si>
    <t>Канистра Альтернатива Бочонок 25л М974 /4/</t>
  </si>
  <si>
    <t>81110</t>
  </si>
  <si>
    <t>Канистра Альтернатива Бочонок 50л с ручк. М1006 /2/</t>
  </si>
  <si>
    <t>81136</t>
  </si>
  <si>
    <t>Канистра Альтернатива Бочонок 75л с навесн. ручк. М1008 /2/</t>
  </si>
  <si>
    <t>81034</t>
  </si>
  <si>
    <t>Канистра Альтернатива Гарант 15л М6621 /6/</t>
  </si>
  <si>
    <t>81089</t>
  </si>
  <si>
    <t>Канистра Альтернатива Гарант 20л М6622 /6/</t>
  </si>
  <si>
    <t>81006</t>
  </si>
  <si>
    <t>Канистра Альтернатива Гарант 30л М6623 /6/</t>
  </si>
  <si>
    <t>81007</t>
  </si>
  <si>
    <t>Канистра Альтернатива Люкс-эконом 20л М8335 /6/</t>
  </si>
  <si>
    <t>81059</t>
  </si>
  <si>
    <t>Канистра Альтернатива с опорной стороной 10л М1772 /6/</t>
  </si>
  <si>
    <t>81000</t>
  </si>
  <si>
    <t>Канистра Альтернатива с опорной стороной 20л с краном М2352 /6/</t>
  </si>
  <si>
    <t>81026</t>
  </si>
  <si>
    <t>Канистра Альтернатива со сливом 10л М049 /6/</t>
  </si>
  <si>
    <t>81017</t>
  </si>
  <si>
    <t>Канистра Альтернатива со сливом 15л М427 /4/</t>
  </si>
  <si>
    <t>81010</t>
  </si>
  <si>
    <t>Канистра Альтернатива со сливом 22л М268 /4/</t>
  </si>
  <si>
    <t>81019</t>
  </si>
  <si>
    <t>Канистра Альтернатива со сливом 25л М565 /4/</t>
  </si>
  <si>
    <t>81067</t>
  </si>
  <si>
    <t>Канистра Альтернатива со сливом 28л М051 /4/</t>
  </si>
  <si>
    <t>81095</t>
  </si>
  <si>
    <t>Канистра Новосиб-к 10л 105</t>
  </si>
  <si>
    <t>81031</t>
  </si>
  <si>
    <t>Канистра Новосиб-к 10л КН 1-1-64 103 /9/</t>
  </si>
  <si>
    <t>81029</t>
  </si>
  <si>
    <t>Канистра Новосиб-к 10л КН 1-1-70 104 /12/</t>
  </si>
  <si>
    <t>81080</t>
  </si>
  <si>
    <t>Канистра Новосиб-к 20л КН 1-1-146 2006-ПЩ /4/</t>
  </si>
  <si>
    <t>81030</t>
  </si>
  <si>
    <t>Канистра Новосиб-к 20л КН 1-1-6 2003 /4/</t>
  </si>
  <si>
    <t>81004</t>
  </si>
  <si>
    <t>Канистра Новосиб-к 21,5 л КН 1-1-62 пищевая 2004-ПЩ /4/</t>
  </si>
  <si>
    <t>81035</t>
  </si>
  <si>
    <t>Канистра Новосиб-к 31,5л пищевая 3001 П</t>
  </si>
  <si>
    <t>81021</t>
  </si>
  <si>
    <t>Канистра Новосиб-к 3л КН 1-1-89 303 /12/</t>
  </si>
  <si>
    <t>81063</t>
  </si>
  <si>
    <t>Канистра Новосиб-к 4,5л 507</t>
  </si>
  <si>
    <t>81090</t>
  </si>
  <si>
    <t>Канистра Новосиб-к 4л КН 1-1-90 403 /12/</t>
  </si>
  <si>
    <t>81036</t>
  </si>
  <si>
    <t>Канистра Новосиб-к 50л 5001</t>
  </si>
  <si>
    <t>81099</t>
  </si>
  <si>
    <t>Канистра Новосиб-к 50л КН 1-1-179 5006</t>
  </si>
  <si>
    <t>81008</t>
  </si>
  <si>
    <t>Канистра Новосиб-к 5л К 1-1-82 502-Н /12/</t>
  </si>
  <si>
    <t>81088</t>
  </si>
  <si>
    <t>Канистра Новосиб-к 5л КНП-К2-167-ПЭНД 501 /10/</t>
  </si>
  <si>
    <t>81085</t>
  </si>
  <si>
    <t>Канистра- бидон Альтернатива 3л М149 /10/</t>
  </si>
  <si>
    <t>81025</t>
  </si>
  <si>
    <t>Канистра- бидон Альтернатива Онега 10л М8302 /10/</t>
  </si>
  <si>
    <t>81038</t>
  </si>
  <si>
    <t>Канистра- бидон Альтернатива Онега 3л М8300 /10/</t>
  </si>
  <si>
    <t>81098</t>
  </si>
  <si>
    <t>Канистра- бочка Альтернатива 10л М043 /10/</t>
  </si>
  <si>
    <t>81072</t>
  </si>
  <si>
    <t>Канистра- бочка Альтернатива 15л М044 /6/</t>
  </si>
  <si>
    <t>81077</t>
  </si>
  <si>
    <t>Канистра- бочка Альтернатива 20л М4657 /6/</t>
  </si>
  <si>
    <t>81074</t>
  </si>
  <si>
    <t>Канистра- бочка Альтернатива 20л прям. диам. горл. 215мм М459 /6/</t>
  </si>
  <si>
    <t>81068</t>
  </si>
  <si>
    <t>Канистра- бочка Альтернатива 25л М045 /6/</t>
  </si>
  <si>
    <t>81076</t>
  </si>
  <si>
    <t>Канистра- бочка Альтернатива 30л с навес. руч микс М8330 /4/</t>
  </si>
  <si>
    <t>81070</t>
  </si>
  <si>
    <t>Канистра- бочка Альтернатива 30л с навес. руч. 215мм М447 /4/</t>
  </si>
  <si>
    <t>81062</t>
  </si>
  <si>
    <t>Канистра- бочка Альтернатива 30л с навес. руч. горло 250мм М1144 /4/</t>
  </si>
  <si>
    <t>81057</t>
  </si>
  <si>
    <t>Канистра- бочка Альтернатива 35л горло 250мм М391 /4/</t>
  </si>
  <si>
    <t>81087</t>
  </si>
  <si>
    <t>Канистра- бочка Альтернатива 40л горло 250мм М162 /4/</t>
  </si>
  <si>
    <t>81018</t>
  </si>
  <si>
    <t>Канистра- бочка Альтернатива 40л М046 /4/</t>
  </si>
  <si>
    <t>81086</t>
  </si>
  <si>
    <t>Канистра- бочка Альтернатива 40л прям. горло 215мм М301 /4/</t>
  </si>
  <si>
    <t>81012</t>
  </si>
  <si>
    <t>Канистра- бочка Альтернатива 40л с навесн. ручк. 215мм М680 /4/</t>
  </si>
  <si>
    <t>81037</t>
  </si>
  <si>
    <t>Канистра- бочка Альтернатива 45 л диам. горл. 250мм М409 /4/</t>
  </si>
  <si>
    <t>81011</t>
  </si>
  <si>
    <t>Канистра- бочка Альтернатива 50л М048 /4/</t>
  </si>
  <si>
    <t>81064</t>
  </si>
  <si>
    <t>Канистра- бочка Альтернатива 50л прям. горло 215мм М297 /4/</t>
  </si>
  <si>
    <t>81020</t>
  </si>
  <si>
    <t>Канистра- бочка Альтернатива 50л с навесн. ручк. диам. горл. 215мм М548 /4/</t>
  </si>
  <si>
    <t>81033</t>
  </si>
  <si>
    <t>Канистра- бочка Альтернатива 60л прям. горло 215мм М295 /4/</t>
  </si>
  <si>
    <t>81082</t>
  </si>
  <si>
    <t>Канистра- бочка Альтернатива 90л прям. горло 215мм М412 /2/</t>
  </si>
  <si>
    <t>82050</t>
  </si>
  <si>
    <t>Канистра- бочка Альтернатива Байкал 20 л с навесн. ручк. М6225 /6/</t>
  </si>
  <si>
    <t>82052</t>
  </si>
  <si>
    <t>Канистра- бочка Альтернатива Байкал 30 л с навесн. ручк. М6226 /6/</t>
  </si>
  <si>
    <t>81078</t>
  </si>
  <si>
    <t>Канистра- бочка Альтернатива Байкал 40 л с навесн. ручк. М6377 /4/</t>
  </si>
  <si>
    <t>81091</t>
  </si>
  <si>
    <t>Канистра-бидон Альтернатива 8 л Парус  М7051 /10/</t>
  </si>
  <si>
    <t>81005</t>
  </si>
  <si>
    <t>Канистра-бутыль Альтернатива с ручкой 20л М267 /6/</t>
  </si>
  <si>
    <t>81094</t>
  </si>
  <si>
    <t>Канистра-умывальник Альтернатива 15л Парус М7144 /6/</t>
  </si>
  <si>
    <t>81061</t>
  </si>
  <si>
    <t>Канистра-умывальник Альтернатива 20л М667 /6/</t>
  </si>
  <si>
    <t>81054</t>
  </si>
  <si>
    <t>Кран для бака М1706 /10/</t>
  </si>
  <si>
    <t>81041</t>
  </si>
  <si>
    <t>Фляга Новосиб-к 110л окр. пищевая 1101</t>
  </si>
  <si>
    <t>81042</t>
  </si>
  <si>
    <t>Фляга Новосиб-к 20л 2002 /4/</t>
  </si>
  <si>
    <t>81044</t>
  </si>
  <si>
    <t>Фляга Новосиб-к 60л окр. 5004</t>
  </si>
  <si>
    <t>81045</t>
  </si>
  <si>
    <t>Фляга Новосиб-к 80л 8001</t>
  </si>
  <si>
    <t>811 Горшки для цветов Альтернатива</t>
  </si>
  <si>
    <t>81158</t>
  </si>
  <si>
    <t>Горшок д/цветов Альтернатива 0,5л с под. белый М5241 /30/</t>
  </si>
  <si>
    <t>81135</t>
  </si>
  <si>
    <t>Горшок д/цветов Альтернатива Афина 0,5л с под. белый М6477 /35/</t>
  </si>
  <si>
    <t>81148</t>
  </si>
  <si>
    <t>Горшок д/цветов Альтернатива Афина 0,5л с под. коричневый М6487 /35/</t>
  </si>
  <si>
    <t>81186</t>
  </si>
  <si>
    <t>Горшок д/цветов Альтернатива Афина 1,1л с под. белый М6478 /20/</t>
  </si>
  <si>
    <t>82507</t>
  </si>
  <si>
    <t>Горшок д/цветов Альтернатива Афина 2,2л с под. белый М6521 /22/</t>
  </si>
  <si>
    <t>81121</t>
  </si>
  <si>
    <t>Горшок д/цветов Альтернатива Афина 2,2л с под. коричневый М6522 /22/</t>
  </si>
  <si>
    <t>82509</t>
  </si>
  <si>
    <t>Горшок д/цветов Альтернатива Афина 3л с под. белый М6541 /24/</t>
  </si>
  <si>
    <t>82512</t>
  </si>
  <si>
    <t>Горшок д/цветов Альтернатива Афина 3л с под. коричневый М6542 /18/</t>
  </si>
  <si>
    <t>82513</t>
  </si>
  <si>
    <t>Горшок д/цветов Альтернатива Афина 5,5л с под. белый М6543 /12/</t>
  </si>
  <si>
    <t>81115</t>
  </si>
  <si>
    <t>Горшок д/цветов Альтернатива Афина 5,5л с под. коричневый М6544 /12/</t>
  </si>
  <si>
    <t>81106</t>
  </si>
  <si>
    <t>Горшок д/цветов Альтернатива Бочонок 1,5л с под. белый М6205 /24/</t>
  </si>
  <si>
    <t>81134</t>
  </si>
  <si>
    <t>Горшок д/цветов Альтернатива Валенсия 1,7л с под. бежево-коричневый М4602 /18/</t>
  </si>
  <si>
    <t>81138</t>
  </si>
  <si>
    <t>Горшок д/цветов Альтернатива Валенсия 1,7л с под. коричнево-слон.кость М4504 /18/</t>
  </si>
  <si>
    <t>81116</t>
  </si>
  <si>
    <t>Горшок д/цветов Альтернатива Валенсия 1,7л с под. медно-бежевый М4592 /18/</t>
  </si>
  <si>
    <t>81149</t>
  </si>
  <si>
    <t>Горшок д/цветов Альтернатива Валенсия 3,4л с под. бежево-коричневый М4600 /16/</t>
  </si>
  <si>
    <t>81161</t>
  </si>
  <si>
    <t>Горшок д/цветов Альтернатива Валенсия 3,4л с под. коричнево-слон.кость М4601 /16/</t>
  </si>
  <si>
    <t>81102</t>
  </si>
  <si>
    <t>Горшок д/цветов Альтернатива Валенсия 3,4л с под. медно-бежевый М4595 /16/</t>
  </si>
  <si>
    <t>81167</t>
  </si>
  <si>
    <t>Горшок д/цветов Альтернатива Виола 10л с под. белый М1347 /10/</t>
  </si>
  <si>
    <t>81142</t>
  </si>
  <si>
    <t>Горшок д/цветов Альтернатива Виола 10л с под. коричневый М1537 /10/</t>
  </si>
  <si>
    <t>81108</t>
  </si>
  <si>
    <t>Горшок д/цветов Альтернатива Виола 16л с под. белый М1348 /10/</t>
  </si>
  <si>
    <t>81117</t>
  </si>
  <si>
    <t>Горшок д/цветов Альтернатива Виола 16л с под. коричневый М1538 /10/</t>
  </si>
  <si>
    <t>81168</t>
  </si>
  <si>
    <t>Горшок д/цветов Альтернатива Виола 1л с под. белый М1529 /20/</t>
  </si>
  <si>
    <t>81169</t>
  </si>
  <si>
    <t>Горшок д/цветов Альтернатива Виола 1л с под. коричневый М1331 /20/</t>
  </si>
  <si>
    <t>81170</t>
  </si>
  <si>
    <t>Горшок д/цветов Альтернатива Виола 2л с под. белый М1335 /20/</t>
  </si>
  <si>
    <t>81123</t>
  </si>
  <si>
    <t>Горшок д/цветов Альтернатива Виола 2л с под. коричневый М1531 /25/</t>
  </si>
  <si>
    <t>81171</t>
  </si>
  <si>
    <t>Горшок д/цветов Альтернатива Виола 3,5л с под. белый М1339 /20/</t>
  </si>
  <si>
    <t>81128</t>
  </si>
  <si>
    <t>Горшок д/цветов Альтернатива Виола 3,5л с под. коричневый М1533 /20/</t>
  </si>
  <si>
    <t>81114</t>
  </si>
  <si>
    <t>Горшок д/цветов Альтернатива Виола 5л с под. белый М1343 /15/</t>
  </si>
  <si>
    <t>82515</t>
  </si>
  <si>
    <t>Горшок д/цветов Альтернатива Виола 5л с под. коричневый М1535 /15/</t>
  </si>
  <si>
    <t>81166</t>
  </si>
  <si>
    <t>Горшок д/цветов Альтернатива Восторг 1,5л с под. зеленый М1218 /24/</t>
  </si>
  <si>
    <t>81173</t>
  </si>
  <si>
    <t>Горшок д/цветов Альтернатива Восторг 1,5л с под. св.желтый М1229 /24/</t>
  </si>
  <si>
    <t>81185</t>
  </si>
  <si>
    <t>Горшок д/цветов Альтернатива Восторг 3,0л с под. бежево-св.желтый М1231 /24/</t>
  </si>
  <si>
    <t>81196</t>
  </si>
  <si>
    <t>Горшок д/цветов Альтернатива Восторг 3,0л с под. зеленый М1219 /24/</t>
  </si>
  <si>
    <t>81104</t>
  </si>
  <si>
    <t>Горшок д/цветов Альтернатива Гармония 0,7л с под. белый М1408 /30/</t>
  </si>
  <si>
    <t>81140</t>
  </si>
  <si>
    <t>Горшок д/цветов Альтернатива Гармония 0,7л с под. коричневый М1573 /30/</t>
  </si>
  <si>
    <t>82589</t>
  </si>
  <si>
    <t>Горшок д/цветов Альтернатива Гармония 1,5л с под. белый М1409 /30/</t>
  </si>
  <si>
    <t>81147</t>
  </si>
  <si>
    <t>Горшок д/цветов Альтернатива Гармония 1,5л с под. коричневый М1574 /30/</t>
  </si>
  <si>
    <t>81174</t>
  </si>
  <si>
    <t>Горшок д/цветов Альтернатива Гармония 2,5л с под. белый М1410 /30/</t>
  </si>
  <si>
    <t>81175</t>
  </si>
  <si>
    <t>Горшок д/цветов Альтернатива Гармония 2,5л с под. коричневый М1575 /30/</t>
  </si>
  <si>
    <t>81188</t>
  </si>
  <si>
    <t>Горшок д/цветов Альтернатива Гармония 4л белый М1411 /20/</t>
  </si>
  <si>
    <t>81107</t>
  </si>
  <si>
    <t>Горшок д/цветов Альтернатива д/орхидей 0,7л с под. М3125 /20/</t>
  </si>
  <si>
    <t>81113</t>
  </si>
  <si>
    <t>Горшок д/цветов Альтернатива д/орхидей 0,8л с под. прозрачный М5554 /20/</t>
  </si>
  <si>
    <t>81112</t>
  </si>
  <si>
    <t>Горшок д/цветов Альтернатива д/орхидей 1,2л с под. прозрачный М1603 /20/</t>
  </si>
  <si>
    <t>81159</t>
  </si>
  <si>
    <t>Горшок д/цветов Альтернатива д/орхидей 1,8л с под. прозрачный зеленый М1453 /30/</t>
  </si>
  <si>
    <t>81109</t>
  </si>
  <si>
    <t>Горшок д/цветов Альтернатива д/орхидей 2л с под. прозрачный М1605 /20/</t>
  </si>
  <si>
    <t>81129</t>
  </si>
  <si>
    <t>Горшок д/цветов Альтернатива д/орхидей Ванесса 1,8л с под. прозрачный М4978 /30/</t>
  </si>
  <si>
    <t>81162</t>
  </si>
  <si>
    <t>Горшок д/цветов Альтернатива д/орхидей Камелия 1,5л с под. желтый М2214 /30/</t>
  </si>
  <si>
    <t>81122</t>
  </si>
  <si>
    <t>Горшок д/цветов Альтернатива д/орхидей Камелия 1,5л с под. зеленый М2210 /24/</t>
  </si>
  <si>
    <t>81187</t>
  </si>
  <si>
    <t>Горшок д/цветов Альтернатива д/орхидей Камилла 1,2л с под. прозрачный М2799 /40/</t>
  </si>
  <si>
    <t>81192</t>
  </si>
  <si>
    <t>Горшок д/цветов Альтернатива Камелия 1,5л с под. зеленый М2207 /24/</t>
  </si>
  <si>
    <t>81194</t>
  </si>
  <si>
    <t>Горшок д/цветов Альтернатива Камелия 1л с под. фиолетовый М1963 /20/</t>
  </si>
  <si>
    <t>81144</t>
  </si>
  <si>
    <t>Горшок д/цветов Альтернатива Каролина Алые маки 1,8л с под. М4422 /18/</t>
  </si>
  <si>
    <t>81105</t>
  </si>
  <si>
    <t>Горшок д/цветов Альтернатива Каскад 07л белый М8067 /12/</t>
  </si>
  <si>
    <t>81124</t>
  </si>
  <si>
    <t>Горшок д/цветов Альтернатива Линель 2,7л двойной бежевый М8699 /10/</t>
  </si>
  <si>
    <t>81127</t>
  </si>
  <si>
    <t>Горшок д/цветов Альтернатива Линель 2,7л двойной белый М8698 /10/</t>
  </si>
  <si>
    <t>81131</t>
  </si>
  <si>
    <t>Горшок д/цветов Альтернатива Линель 2,7л двойной прозрачный М8401 /10/</t>
  </si>
  <si>
    <t>81176</t>
  </si>
  <si>
    <t>Горшок д/цветов Альтернатива Мадера 1,5л с под. белый М1417 /25/</t>
  </si>
  <si>
    <t>81165</t>
  </si>
  <si>
    <t>Горшок д/цветов Альтернатива Мадера 1,5л с под. коричневый М7428 /25/</t>
  </si>
  <si>
    <t>81120</t>
  </si>
  <si>
    <t>Горшок д/цветов Альтернатива Мадера 3,5л с под. медный М1516 /20/</t>
  </si>
  <si>
    <t>82574</t>
  </si>
  <si>
    <t>Горшок д/цветов Альтернатива Плетение 3л с под. квадратный М3674 /20/</t>
  </si>
  <si>
    <t>82575</t>
  </si>
  <si>
    <t>Горшок д/цветов Альтернатива Плетение 4,5л с под. квадратный М3675 /20/</t>
  </si>
  <si>
    <t>81178</t>
  </si>
  <si>
    <t>Горшок д/цветов Альтернатива Розалия 0,8л с под. белый М1521 /30/</t>
  </si>
  <si>
    <t>81125</t>
  </si>
  <si>
    <t>Горшок д/цветов Альтернатива Розалия 0,8л с под. коричневый М7425 /30/</t>
  </si>
  <si>
    <t>81180</t>
  </si>
  <si>
    <t>Горшок д/цветов Альтернатива Розалия 1,2л с под. белый М1424 /25/</t>
  </si>
  <si>
    <t>81119</t>
  </si>
  <si>
    <t>Горшок д/цветов Альтернатива Розалия 3,2л с под. белый М1523 /30/</t>
  </si>
  <si>
    <t>81100</t>
  </si>
  <si>
    <t>Горшок д/цветов Альтернатива Розалия 3,2л с под. коричневый М7427 /30/</t>
  </si>
  <si>
    <t>81141</t>
  </si>
  <si>
    <t>Горшок д/цветов Альтернатива Триумф 2,5л с под. белый М4965 /18/</t>
  </si>
  <si>
    <t>81273</t>
  </si>
  <si>
    <t>Горшок д/цветов Альтернатива Фантастика 1,5л с под. коричневый М2781 /25/</t>
  </si>
  <si>
    <t>812 Ванночки детские/приспособления для купания/санки-ледянки</t>
  </si>
  <si>
    <t>81205</t>
  </si>
  <si>
    <t>Ванна детская Альтернатива больш. Малышок розовая М1687 /5/</t>
  </si>
  <si>
    <t>81206</t>
  </si>
  <si>
    <t>Ванна детская Альтернатива больш. Малышок синяя М1685 /5/</t>
  </si>
  <si>
    <t>81236</t>
  </si>
  <si>
    <t>Ванна детская Альтернатива Карапуз голубая М3250 /5/</t>
  </si>
  <si>
    <t>81201</t>
  </si>
  <si>
    <t>Ванна детская Альтернатива Карапуз розов М3222 /5/</t>
  </si>
  <si>
    <t>81230</t>
  </si>
  <si>
    <t>Ванна детская Альтернатива Рыбки белый М6509 /5/</t>
  </si>
  <si>
    <t>81252</t>
  </si>
  <si>
    <t>Ванна детская Альтернатива Рыбки бирюзовая-голубая М6419 /5/</t>
  </si>
  <si>
    <t>81254</t>
  </si>
  <si>
    <t>Ванна детская Платар пласт.</t>
  </si>
  <si>
    <t>48950</t>
  </si>
  <si>
    <t>Санки детские без спинки Малыш-1</t>
  </si>
  <si>
    <t>81247</t>
  </si>
  <si>
    <t>Санки-ледянки Альтернатива М1269 /15/</t>
  </si>
  <si>
    <t>78052</t>
  </si>
  <si>
    <t>Санки-ледянки Краспластик Ледянка (2с) 69504 /10/</t>
  </si>
  <si>
    <t>81262</t>
  </si>
  <si>
    <t>Санки-ледянки Пластик-Центр детские Start голубой небесный LA3005BS /60/</t>
  </si>
  <si>
    <t>81258</t>
  </si>
  <si>
    <t>Санки-ледянки Пластик-Центр детские Start розовый LA3005RS /60/</t>
  </si>
  <si>
    <t>78513</t>
  </si>
  <si>
    <t>Санки-ледянки Платар</t>
  </si>
  <si>
    <t>81253</t>
  </si>
  <si>
    <t>Санки-ледянки Престиж с ремнем 33 см /40/</t>
  </si>
  <si>
    <t>81245</t>
  </si>
  <si>
    <t>Санки-ледянки Престиж Экстрим с пластм.ручками 58 см /20/</t>
  </si>
  <si>
    <t>81220</t>
  </si>
  <si>
    <t>Сиденье для купания альтернатива бирюзовый М6069 /8/</t>
  </si>
  <si>
    <t>81225</t>
  </si>
  <si>
    <t>Сиденье для купания альтернатива розовый М6067 /8/</t>
  </si>
  <si>
    <t>813 Контейнеры для мусора</t>
  </si>
  <si>
    <t>81375</t>
  </si>
  <si>
    <t>Контейнер д/мусора Vetta Ориджинал 12л небесный 407-052 /8/</t>
  </si>
  <si>
    <t>81383</t>
  </si>
  <si>
    <t>Контейнер д/мусора Альтернатива 10л Алые розы круглый М4778 /8/</t>
  </si>
  <si>
    <t>81389</t>
  </si>
  <si>
    <t>Контейнер д/мусора Альтернатива 10л Вязаное плетение белый М7487 /3/</t>
  </si>
  <si>
    <t>81359</t>
  </si>
  <si>
    <t>Контейнер д/мусора Альтернатива 10л Вязаное плетение-бежевый М7489 /3/</t>
  </si>
  <si>
    <t>81315</t>
  </si>
  <si>
    <t>Контейнер д/мусора Альтернатива 10л круглый М1138 /4/</t>
  </si>
  <si>
    <t>81385</t>
  </si>
  <si>
    <t>Контейнер д/мусора Альтернатива 10л Принцессы-Дисней М3474 /8/</t>
  </si>
  <si>
    <t>81336</t>
  </si>
  <si>
    <t>Контейнер д/мусора Альтернатива 10л с пед. голубой М1380</t>
  </si>
  <si>
    <t>81357</t>
  </si>
  <si>
    <t>Контейнер д/мусора Альтернатива 10л с пед. серый М1381 /2/</t>
  </si>
  <si>
    <t>81369</t>
  </si>
  <si>
    <t>Контейнер д/мусора Альтернатива 10л с пед. слон кость/беж М7993 /2/</t>
  </si>
  <si>
    <t>81386</t>
  </si>
  <si>
    <t>Контейнер д/мусора Альтернатива 10л Самолеты-Дисней М3475 /8/</t>
  </si>
  <si>
    <t>81316</t>
  </si>
  <si>
    <t>Контейнер д/мусора Альтернатива 12л овальный бежевый М1549 /6/</t>
  </si>
  <si>
    <t>81317</t>
  </si>
  <si>
    <t>Контейнер д/мусора Альтернатива 12л овальный голубой мрам. М1374 /6/</t>
  </si>
  <si>
    <t>81334</t>
  </si>
  <si>
    <t>Контейнер д/мусора Альтернатива 12л с педал. слон.кость М6805 /2/</t>
  </si>
  <si>
    <t>81349</t>
  </si>
  <si>
    <t>Контейнер д/мусора Альтернатива 18л с педалью бежевый М1287</t>
  </si>
  <si>
    <t>81308</t>
  </si>
  <si>
    <t>Контейнер д/мусора Альтернатива 18л с педалью голубой М7995</t>
  </si>
  <si>
    <t>81307</t>
  </si>
  <si>
    <t>Контейнер д/мусора Альтернатива 18л с педалью серо-бежевый М7994</t>
  </si>
  <si>
    <t>81321</t>
  </si>
  <si>
    <t>Контейнер д/мусора Альтернатива 8л овальный бежевый М1550 /5/</t>
  </si>
  <si>
    <t>81323</t>
  </si>
  <si>
    <t>Контейнер д/мусора Альтернатива 8л овальный голубой мрам. М1377 /5/</t>
  </si>
  <si>
    <t>81343</t>
  </si>
  <si>
    <t>Контейнер д/мусора Альтернатива 8л овальный сл.кость М4166 /5/</t>
  </si>
  <si>
    <t>81379</t>
  </si>
  <si>
    <t>Контейнер д/мусора Альтернатива Горошек бело-желтый 7л М4494 /6/</t>
  </si>
  <si>
    <t>81303</t>
  </si>
  <si>
    <t>Контейнер д/мусора Альтернатива Плетенка 12л с пед. белый М2347</t>
  </si>
  <si>
    <t>81390</t>
  </si>
  <si>
    <t>Контейнер д/мусора Альтернатива Плетенка 12л с пед. венге М7996</t>
  </si>
  <si>
    <t>81311</t>
  </si>
  <si>
    <t>Контейнер д/мусора Альтернатива Плетенка 12л с пед. слон кость М2048</t>
  </si>
  <si>
    <t>81354</t>
  </si>
  <si>
    <t>Контейнер д/мусора Альтернатива Плетенка 8л с кр. М1790 /5/</t>
  </si>
  <si>
    <t>81319</t>
  </si>
  <si>
    <t>Контейнер д/мусора Виолет 10л Tandem с подвиж. крышкой серый металлик/черный /8/</t>
  </si>
  <si>
    <t>81325</t>
  </si>
  <si>
    <t>Контейнер д/мусора Виолет 10л Tandem с подвиж. крышкой слон. кость/шоколад /8/</t>
  </si>
  <si>
    <t>81326</t>
  </si>
  <si>
    <t>Контейнер д/мусора Виолет 10л Tandem с подвиж. крышкой шоколад/слон. кость /8/</t>
  </si>
  <si>
    <t>81331</t>
  </si>
  <si>
    <t>Контейнер д/мусора Виолет 14л декор Акварель /14/</t>
  </si>
  <si>
    <t>81348</t>
  </si>
  <si>
    <t>Контейнер д/мусора Виолет 14л декор Кожа /14/</t>
  </si>
  <si>
    <t>81353</t>
  </si>
  <si>
    <t>Контейнер д/мусора Виолет 14л декор Мозаика /14/</t>
  </si>
  <si>
    <t>81384</t>
  </si>
  <si>
    <t>Контейнер д/мусора Виолет 14л декор Париж /14/</t>
  </si>
  <si>
    <t>81388</t>
  </si>
  <si>
    <t>Контейнер д/мусора Виолет 14л декор Сканди /14/</t>
  </si>
  <si>
    <t>81397</t>
  </si>
  <si>
    <t>Контейнер д/мусора Виолет 14л декор Элегант светлый /14/</t>
  </si>
  <si>
    <t>81300</t>
  </si>
  <si>
    <t>Контейнер д/мусора Виолет 14л латте-капучино /14/</t>
  </si>
  <si>
    <t>81365</t>
  </si>
  <si>
    <t>Контейнер д/мусора Виолет 4л декор Акварель /21/</t>
  </si>
  <si>
    <t>81366</t>
  </si>
  <si>
    <t>Контейнер д/мусора Виолет 4л декор Кожа /21/</t>
  </si>
  <si>
    <t>81340</t>
  </si>
  <si>
    <t>Контейнер д/мусора Виолет 4л декор Мозаика /21/</t>
  </si>
  <si>
    <t>81342</t>
  </si>
  <si>
    <t>Контейнер д/мусора Виолет 4л декор Париж /21/</t>
  </si>
  <si>
    <t>81374</t>
  </si>
  <si>
    <t>Контейнер д/мусора Виолет 4л декор Сканди /21/</t>
  </si>
  <si>
    <t>81329</t>
  </si>
  <si>
    <t>Контейнер д/мусора Виолет 4л декор Элегант светлый /21/</t>
  </si>
  <si>
    <t>81341</t>
  </si>
  <si>
    <t>Контейнер д/мусора Виолет 8л декор Акварель /9/</t>
  </si>
  <si>
    <t>81451</t>
  </si>
  <si>
    <t>Контейнер д/мусора Виолет 8л декор Париж /9/</t>
  </si>
  <si>
    <t>81333</t>
  </si>
  <si>
    <t>Контейнер д/мусора Виолет 8л латте-капучино /9/</t>
  </si>
  <si>
    <t>81346</t>
  </si>
  <si>
    <t>Контейнер д/мусора Виолет 8л серо-белый /9/</t>
  </si>
  <si>
    <t>81381</t>
  </si>
  <si>
    <t>Контейнер д/мусора ПЦ 12л Ориджинал Орхидеи круг SV4107ОР /8/</t>
  </si>
  <si>
    <t>81296</t>
  </si>
  <si>
    <t>Контейнер д/мусора ПЦ 12л Пейсли круг SV4127ПСЛ /8/</t>
  </si>
  <si>
    <t>81304</t>
  </si>
  <si>
    <t>Корзина д/бумаг Альтернатива 12л Сорренто белая М2052 /10/</t>
  </si>
  <si>
    <t>81352</t>
  </si>
  <si>
    <t>Корзина д/бумаг Альтернатива 12л Сорренто серая М2055 /10/</t>
  </si>
  <si>
    <t>81347</t>
  </si>
  <si>
    <t>Корзина д/бумаг Альтернатива 9л Матрица бежевый М8215 /8/</t>
  </si>
  <si>
    <t>81350</t>
  </si>
  <si>
    <t>Корзина д/бумаг Альтернатива 9л Матрица белый М8214 /8/</t>
  </si>
  <si>
    <t>81328</t>
  </si>
  <si>
    <t>Корзина д/бумаг Альтернатива 9л Матрица коричневый М8216 /8/</t>
  </si>
  <si>
    <t>81318</t>
  </si>
  <si>
    <t>Корзина д/бумаг Альтернатива 9л Эконом черный М8217 /8/</t>
  </si>
  <si>
    <t>81360</t>
  </si>
  <si>
    <t>Корзина д/бумаг Альтернатива св.бежевый М6982 /15/</t>
  </si>
  <si>
    <t>81228</t>
  </si>
  <si>
    <t>Корзина д/бумаг Полимербыт С919 /20/</t>
  </si>
  <si>
    <t>814 Посуда пластмассовая</t>
  </si>
  <si>
    <t>81419</t>
  </si>
  <si>
    <t>Блюдо д/выпечки Альтернатива с/кр М6368 /5/</t>
  </si>
  <si>
    <t>81481</t>
  </si>
  <si>
    <t>Блюдо Нежность с крышкой М1206 /4/</t>
  </si>
  <si>
    <t>81416</t>
  </si>
  <si>
    <t>Блюдо-подставка для яйца С ножками Д4,5 см DH80-180 /12/</t>
  </si>
  <si>
    <t>21358</t>
  </si>
  <si>
    <t>Ваза для фруктов Д25,5 см 3 цв 893-077 /6/</t>
  </si>
  <si>
    <t>81400</t>
  </si>
  <si>
    <t>Ваза для фруктов Семь злаков М779 /10/</t>
  </si>
  <si>
    <t>81421</t>
  </si>
  <si>
    <t>Конфетница Альтернатива Каприз 2-х яр. зеленая М6049</t>
  </si>
  <si>
    <t>81428</t>
  </si>
  <si>
    <t>Конфетница Альтернатива Каприз 2-х яр. красная М6048</t>
  </si>
  <si>
    <t>81658</t>
  </si>
  <si>
    <t>Кружка Альтернатива 300мл Турист М6510 /28/</t>
  </si>
  <si>
    <t>81655</t>
  </si>
  <si>
    <t>Кружка Альтернатива 350мл 44 Котенка М7653 /24/</t>
  </si>
  <si>
    <t>81469</t>
  </si>
  <si>
    <t>Кружка Альтернатива 350мл LOL Surprise М7629 /24/</t>
  </si>
  <si>
    <t>81468</t>
  </si>
  <si>
    <t>Кружка Альтернатива 350мл Эконом М6592 /25/</t>
  </si>
  <si>
    <t>81407</t>
  </si>
  <si>
    <t>Кружка Альтернатива Хозяюшка 1,5л М1664 /30/</t>
  </si>
  <si>
    <t>81496</t>
  </si>
  <si>
    <t>Менажница Альтернатива Купаж бело-желт. М6004 /15/</t>
  </si>
  <si>
    <t>81498</t>
  </si>
  <si>
    <t>Менажница Альтернатива Купаж бело-красн. М6002 /15/</t>
  </si>
  <si>
    <t>81404</t>
  </si>
  <si>
    <t>Стакан для напитков Альтернатива Волшебная страна 500 мл М8287 с/к и труб /30/</t>
  </si>
  <si>
    <t>81409</t>
  </si>
  <si>
    <t>Стакан для напитков Альтернатива Диназаврики 500 мл М8280 с/к и труб /30/</t>
  </si>
  <si>
    <t>81410</t>
  </si>
  <si>
    <t>Стакан для напитков Альтернатива Лунтик 500 мл с/к и трубочкой М8624 /30/</t>
  </si>
  <si>
    <t>81413</t>
  </si>
  <si>
    <t>Стакан для напитков Альтернатива Микс 250 мл М8227 /66/</t>
  </si>
  <si>
    <t>81438</t>
  </si>
  <si>
    <t>Стакан для напитков Альтернатива Розовый 350 мл М8440 /30/</t>
  </si>
  <si>
    <t>81412</t>
  </si>
  <si>
    <t>Стакан для напитков пластик. герметичный с крышкой 0,5 л 3 цв 861-278 /20/</t>
  </si>
  <si>
    <t>81472</t>
  </si>
  <si>
    <t>Стакан для напитков Полимербыт Trols 0,4 л С15035 /45/</t>
  </si>
  <si>
    <t>81480</t>
  </si>
  <si>
    <t>Сухарница Альтернатива Арабеска 1,7л с/кр белый-св. зелен М6499 /28/</t>
  </si>
  <si>
    <t>81444</t>
  </si>
  <si>
    <t>Сухарница Альтернатива Арабеска 1,7л с/кр св. корич-какао М6501 /16/</t>
  </si>
  <si>
    <t>81461</t>
  </si>
  <si>
    <t>Сухарница Альтернатива Кружево бело-красный М6037 /28/</t>
  </si>
  <si>
    <t>81493</t>
  </si>
  <si>
    <t>Сухарница Альтернатива Кружево слон.кость-коричневый М6036 /28/</t>
  </si>
  <si>
    <t>81429</t>
  </si>
  <si>
    <t>Сухарница Альтернатива овал средняя М288 /50/</t>
  </si>
  <si>
    <t>81445</t>
  </si>
  <si>
    <t>Сухарница Альтернатива Овальная большая М271 /50/</t>
  </si>
  <si>
    <t>81446</t>
  </si>
  <si>
    <t>Сухарница Альтернатива Овальная малая М274 /50/</t>
  </si>
  <si>
    <t>81403</t>
  </si>
  <si>
    <t>Сухарница Полимербыт большая 330*220*85 мм С325 /60/</t>
  </si>
  <si>
    <t>81405</t>
  </si>
  <si>
    <t>Сухарница Полимербыт малая 290*190*75 мм С324 /50/</t>
  </si>
  <si>
    <t>81425</t>
  </si>
  <si>
    <t>Тарелка Альтернатива малая д-185 мм М591 /30/</t>
  </si>
  <si>
    <t>81476</t>
  </si>
  <si>
    <t>Фруктовница Мелодия 2-х ярусная белый М6614 /20/</t>
  </si>
  <si>
    <t>81471</t>
  </si>
  <si>
    <t>Фруктовница Мелодия 2-х ярусная белый М6618 /22/</t>
  </si>
  <si>
    <t>81482</t>
  </si>
  <si>
    <t>Фруктовница Мелодия 2-х ярусная прозрач М6613 /20/</t>
  </si>
  <si>
    <t>81486</t>
  </si>
  <si>
    <t>Фруктовница Мелодия 2-х ярусная прозрач М6617 /22/</t>
  </si>
  <si>
    <t>81418</t>
  </si>
  <si>
    <t>Фруктовница Мелодия 2-х ярусная тонирован М6615 /20/</t>
  </si>
  <si>
    <t>81494</t>
  </si>
  <si>
    <t>Фруктовница Мелодия 2-х ярусная тонирован М6619 /22/</t>
  </si>
  <si>
    <t>21921</t>
  </si>
  <si>
    <t>Фруктовница Мелодия 3-х ярусная белый М6407 /10/</t>
  </si>
  <si>
    <t>21945</t>
  </si>
  <si>
    <t>Фруктовница Мелодия 3-х ярусная прозрач М6406 /17/</t>
  </si>
  <si>
    <t>21946</t>
  </si>
  <si>
    <t>Фруктовница Мелодия 3-х ярусная тонирован М6620 /17/</t>
  </si>
  <si>
    <t>815 Тазы Альтрнатива</t>
  </si>
  <si>
    <t>81573</t>
  </si>
  <si>
    <t>Таз Альтернатива 15л овальный М275 /10/</t>
  </si>
  <si>
    <t>81534</t>
  </si>
  <si>
    <t>Таз Альтернатива 18л М199 /10/</t>
  </si>
  <si>
    <t>81578</t>
  </si>
  <si>
    <t>Таз Альтернатива 22л М230 /10/</t>
  </si>
  <si>
    <t>81519</t>
  </si>
  <si>
    <t>Таз Альтернатива 25л овальный М381 /10/</t>
  </si>
  <si>
    <t>81521</t>
  </si>
  <si>
    <t>Таз Альтернатива 37,5л овальный М675 /5/</t>
  </si>
  <si>
    <t>81532</t>
  </si>
  <si>
    <t>Таз Альтернатива 7л М228 /10/</t>
  </si>
  <si>
    <t>81538</t>
  </si>
  <si>
    <t>Таз Альтернатива 7л с крышкой М333 /10/</t>
  </si>
  <si>
    <t>81592</t>
  </si>
  <si>
    <t>Таз Альтернатива Банный день 10л М2555 /10/</t>
  </si>
  <si>
    <t>81529</t>
  </si>
  <si>
    <t>Таз Альтернатива Колор 10л М2230 /10/</t>
  </si>
  <si>
    <t>81504</t>
  </si>
  <si>
    <t>Таз Альтернатива Колор 15л М2235 /10/</t>
  </si>
  <si>
    <t>81536</t>
  </si>
  <si>
    <t>Таз Альтернатива Колор 20л М2236 /10/</t>
  </si>
  <si>
    <t>81511</t>
  </si>
  <si>
    <t>Таз Альтернатива Крепыш 12л К349 /10/</t>
  </si>
  <si>
    <t>81530</t>
  </si>
  <si>
    <t>Таз Альтернатива Крепыш 15л К351 /10/</t>
  </si>
  <si>
    <t>81502</t>
  </si>
  <si>
    <t>Таз Альтернатива Крепыш 9л К347 /10/</t>
  </si>
  <si>
    <t>81577</t>
  </si>
  <si>
    <t>Таз Альтернатива Русская банька 10л М2554 /10/</t>
  </si>
  <si>
    <t>81513</t>
  </si>
  <si>
    <t>Таз Альтернатива Русская банька 15л М2557 /10/</t>
  </si>
  <si>
    <t>81515</t>
  </si>
  <si>
    <t>Таз Альтернатива Русская банька 20л М2560 /10/</t>
  </si>
  <si>
    <t>81524</t>
  </si>
  <si>
    <t>Таз Альтернатива Хозяюшка 10л для стирки М1183 /10/</t>
  </si>
  <si>
    <t>81508</t>
  </si>
  <si>
    <t>Таз Альтернатива Хозяюшка 10л М1293 /10/</t>
  </si>
  <si>
    <t>81509</t>
  </si>
  <si>
    <t>Таз Альтернатива Хозяюшка 10л с крышкой М1294 /10/</t>
  </si>
  <si>
    <t>81514</t>
  </si>
  <si>
    <t>Таз Альтернатива Хозяюшка 15л М1300 /10/</t>
  </si>
  <si>
    <t>81517</t>
  </si>
  <si>
    <t>Таз Альтернатива Хозяюшка 20л М1281 /10/</t>
  </si>
  <si>
    <t>81520</t>
  </si>
  <si>
    <t>Таз Альтернатива Хозяюшка 3л М1622 /20/</t>
  </si>
  <si>
    <t>81522</t>
  </si>
  <si>
    <t>Таз Альтернатива Хозяюшка 6л М1278 /10/</t>
  </si>
  <si>
    <t>81523</t>
  </si>
  <si>
    <t>Таз Альтернатива Хозяюшка 6л с крышкой М1279 /10/</t>
  </si>
  <si>
    <t>81512</t>
  </si>
  <si>
    <t>Таз Альтернатива Эконом 10л М8110 /10/</t>
  </si>
  <si>
    <t>81581</t>
  </si>
  <si>
    <t>Таз Альтернатива Эконом 12л М2058 /10/</t>
  </si>
  <si>
    <t>81571</t>
  </si>
  <si>
    <t>Таз Альтернатива Эконом 18л М6222 /10/</t>
  </si>
  <si>
    <t>81547</t>
  </si>
  <si>
    <t>Таз Альтернатива Эконом 30л овал М4052 /10/</t>
  </si>
  <si>
    <t>81551</t>
  </si>
  <si>
    <t>Таз Альтернатива Эконом 9л М2387 /10/</t>
  </si>
  <si>
    <t>816 Прочие пластмассовые изделия</t>
  </si>
  <si>
    <t>81676</t>
  </si>
  <si>
    <t>Ваза Альтернатива Хрусталь малая с/кр. прозрачная зеленая М5473 /16/</t>
  </si>
  <si>
    <t>81677</t>
  </si>
  <si>
    <t>Ваза Альтернатива Хрусталь малая с/кр. прозрачная зелено-белая М5474 /16/</t>
  </si>
  <si>
    <t>81678</t>
  </si>
  <si>
    <t>Ваза Альтернатива Хрусталь малая с/кр. прозрачная красная М5471 /16/</t>
  </si>
  <si>
    <t>81686</t>
  </si>
  <si>
    <t>Ваза Альтернатива Хрусталь малая с/кр. прозрачная сине-белая М5476 /16/</t>
  </si>
  <si>
    <t>81691</t>
  </si>
  <si>
    <t>Ваза Альтернатива Хрусталь малая с/кр. прозрачная синяя М5472 /16/</t>
  </si>
  <si>
    <t>81668</t>
  </si>
  <si>
    <t>Ваза для цветов Голубой прозрачный 112мм /18/</t>
  </si>
  <si>
    <t>81670</t>
  </si>
  <si>
    <t>Ваза для цветов Зеленый прозрачный 112мм /18/</t>
  </si>
  <si>
    <t>81671</t>
  </si>
  <si>
    <t>Ваза для цветов Малиновый прозрачный 112мм /18/</t>
  </si>
  <si>
    <t>81638</t>
  </si>
  <si>
    <t>Ваза для цветов под срезку Д-185 мм Н-310 мм белая М5350 /12/</t>
  </si>
  <si>
    <t>81644</t>
  </si>
  <si>
    <t>Ваза для цветов под срезку Д-185 мм Н-310 мм черная М5144 /12/</t>
  </si>
  <si>
    <t>81648</t>
  </si>
  <si>
    <t>Ваза для цветов под срезку Д-200 мм Н-425 мм белая М6432 /12/</t>
  </si>
  <si>
    <t>81681</t>
  </si>
  <si>
    <t>Ваза для цветов под срезку Д-200 мм Н-425 мм черная М6433 /12/</t>
  </si>
  <si>
    <t>81685</t>
  </si>
  <si>
    <t>Ваза для цветов под срезку Д-210мм Н-440 мм белая М5352 /5/</t>
  </si>
  <si>
    <t>81689</t>
  </si>
  <si>
    <t>Ваза для цветов под срезку Д-210мм Н-440 мм черная М5142 /5/</t>
  </si>
  <si>
    <t>81673</t>
  </si>
  <si>
    <t>Ваза для цветов под срезку Розы М2630 /12/</t>
  </si>
  <si>
    <t>81659</t>
  </si>
  <si>
    <t>Ваза для цветов под срезку с колышком Д129 мм Н320 мм белая М7550 /9/</t>
  </si>
  <si>
    <t>81615</t>
  </si>
  <si>
    <t>Ваза для цветов под срезку с колышком черный М5143 /12/</t>
  </si>
  <si>
    <t>81606</t>
  </si>
  <si>
    <t>Ваза для цветов прозрачный М1553 /24/</t>
  </si>
  <si>
    <t>81643</t>
  </si>
  <si>
    <t>Контейнер для лимона 8,5*9,5 см МП76-1 /6/60/</t>
  </si>
  <si>
    <t>81619</t>
  </si>
  <si>
    <t>Корзина для пакетов М4900 /15/</t>
  </si>
  <si>
    <t>81634</t>
  </si>
  <si>
    <t>Пылевыбивалка 600*525*5 мм М5603 /10/</t>
  </si>
  <si>
    <t>81635</t>
  </si>
  <si>
    <t>Пылевыбивалка М178 /20/</t>
  </si>
  <si>
    <t>817 Пластик для кухни</t>
  </si>
  <si>
    <t>81704</t>
  </si>
  <si>
    <t>Воронка Альтернатива 100мл М1275 /28/</t>
  </si>
  <si>
    <t>81794</t>
  </si>
  <si>
    <t>Воронка Альтернатива 125мл М1276 /20/</t>
  </si>
  <si>
    <t>81715</t>
  </si>
  <si>
    <t>Воронка Альтернатива комб. М203 /40/</t>
  </si>
  <si>
    <t>81714</t>
  </si>
  <si>
    <t>Воронка Альтернатива с широкой горл. М7330 /34/</t>
  </si>
  <si>
    <t>81774</t>
  </si>
  <si>
    <t>Воронка для банок Макси МГ76-87 /4/36/</t>
  </si>
  <si>
    <t>81717</t>
  </si>
  <si>
    <t>Воронка для банок Универсал 4 диаметра МГ76-86 /10/</t>
  </si>
  <si>
    <t>81742</t>
  </si>
  <si>
    <t>Воронка ЕН 110мм 15709 /50/</t>
  </si>
  <si>
    <t>81740</t>
  </si>
  <si>
    <t>Воронка ЕН с широкой горл. 155/65мм 15700 /50/</t>
  </si>
  <si>
    <t>81797</t>
  </si>
  <si>
    <t>Воронка широкое горл. Д14-6,5 см МГ76-59 /5/</t>
  </si>
  <si>
    <t>81737</t>
  </si>
  <si>
    <t>Воронка-сито Альтернатива Д90мм бежевый М8313 /25/</t>
  </si>
  <si>
    <t>81741</t>
  </si>
  <si>
    <t>Воронка-сито Альтернатива Д90мм белый М8715 /25/</t>
  </si>
  <si>
    <t>81729</t>
  </si>
  <si>
    <t>Воронка-сито Альтернатива Д90мм св.зеленый М8315 /25/</t>
  </si>
  <si>
    <t>81712</t>
  </si>
  <si>
    <t>Емкость д/специй Альтернатива Незабудка М1680 /35/</t>
  </si>
  <si>
    <t>81626</t>
  </si>
  <si>
    <t>Емкость для варенья Альтернатива 0,2 л М919 /30/</t>
  </si>
  <si>
    <t>81792</t>
  </si>
  <si>
    <t>Крышка п-эт. для СВЧ Альтернатива Смак д.250мм М1190 /20/</t>
  </si>
  <si>
    <t>81734</t>
  </si>
  <si>
    <t>Крышка п-эт. для СВЧ Виолет Д26 см с клап дымчатый /20/</t>
  </si>
  <si>
    <t>81766</t>
  </si>
  <si>
    <t>Крышка п-эт. для СВЧ Виолет Д26 см с клап прозр /20/</t>
  </si>
  <si>
    <t>81718</t>
  </si>
  <si>
    <t>Крышка п-эт. для СВЧ Д25,5 см 861-232 /31/</t>
  </si>
  <si>
    <t>81772</t>
  </si>
  <si>
    <t>Крышка п-эт. для СВЧ Д250мм /60/</t>
  </si>
  <si>
    <t>81773</t>
  </si>
  <si>
    <t>Крышка п-эт. для СВЧ Д290мм /60/</t>
  </si>
  <si>
    <t>81732</t>
  </si>
  <si>
    <t>Крышка п-эт. для СВЧ Полимербыт Д220 С227 /54/</t>
  </si>
  <si>
    <t>81736</t>
  </si>
  <si>
    <t>Крышка п-эт. для СВЧ Полимербыт Д235 С228 /60/</t>
  </si>
  <si>
    <t>81771</t>
  </si>
  <si>
    <t>Миски Vetta пластик с крышкой 3 шт 861-292 /13/</t>
  </si>
  <si>
    <t>81799</t>
  </si>
  <si>
    <t>Подставка под ложку пластик 26 см 3 диз 893-088 /6/</t>
  </si>
  <si>
    <t>81910</t>
  </si>
  <si>
    <t>Подставка под ложку пластик Альтернатива бежевый М7843 /50/</t>
  </si>
  <si>
    <t>81970</t>
  </si>
  <si>
    <t>Подставка под ложку пластик Альтернатива белый М7841 /50/</t>
  </si>
  <si>
    <t>81760</t>
  </si>
  <si>
    <t>Подставки для чайных пакетиков 1*7 см 4 шт МП76-2 /10/60/</t>
  </si>
  <si>
    <t>81738</t>
  </si>
  <si>
    <t>Салфетница Альтернатива Бристоль бежевый М6160 /2/36/</t>
  </si>
  <si>
    <t>81788</t>
  </si>
  <si>
    <t>Салфетница Альтернатива Бристоль белый М6159 /2/36/</t>
  </si>
  <si>
    <t>81782</t>
  </si>
  <si>
    <t>Салфетница Альтернатива Горошек бело-синий М3688 /25/</t>
  </si>
  <si>
    <t>81785</t>
  </si>
  <si>
    <t>Салфетница Альтернатива Горошек красно-белый М3686 /25/</t>
  </si>
  <si>
    <t>81744</t>
  </si>
  <si>
    <t>Салфетница Альтернатива М069 /60/</t>
  </si>
  <si>
    <t>81705</t>
  </si>
  <si>
    <t>Салфетница Альтернатива Эстетика бело-бежевый М8740 /24/</t>
  </si>
  <si>
    <t>81702</t>
  </si>
  <si>
    <t>Салфетница Лофт квадрат белый /16/</t>
  </si>
  <si>
    <t>81707</t>
  </si>
  <si>
    <t>Салфетница Лофт квадрат мокка /16/</t>
  </si>
  <si>
    <t>81710</t>
  </si>
  <si>
    <t>Салфетница Лофт квадрат шалфей /16/</t>
  </si>
  <si>
    <t>81770</t>
  </si>
  <si>
    <t>Сито-кружка для муки Vetta пластик 884-311 /6/36/</t>
  </si>
  <si>
    <t>81700</t>
  </si>
  <si>
    <t>Совок для сыпучих продуктов Альтернатива 0,5л М5790 /25/</t>
  </si>
  <si>
    <t>81720</t>
  </si>
  <si>
    <t>Совок для сыпучих продуктов Альтернатива 1л М435 /25/</t>
  </si>
  <si>
    <t>81748</t>
  </si>
  <si>
    <t>Совок для сыпучих продуктов Полимербыт 0,25л С519 /36/</t>
  </si>
  <si>
    <t>81768</t>
  </si>
  <si>
    <t>Совок для сыпучих продуктов Полимербыт 1,0л С291 /50/</t>
  </si>
  <si>
    <t>81750</t>
  </si>
  <si>
    <t>Соковыжималка Альтернатива д/лимона М1650 /18/</t>
  </si>
  <si>
    <t>81730</t>
  </si>
  <si>
    <t>Соковыжималка Альтернатива д/цитрусовых М380 /11/</t>
  </si>
  <si>
    <t>81747</t>
  </si>
  <si>
    <t>Тортница Альтернатива с защелками розовая М8551 /3/</t>
  </si>
  <si>
    <t>82471</t>
  </si>
  <si>
    <t>Тортница Альтернатива с защелками Светло-беж М7802 /3/</t>
  </si>
  <si>
    <t>82469</t>
  </si>
  <si>
    <t>Тортница Альтернатива с защелками Фиолетовая М7804 /3/</t>
  </si>
  <si>
    <t>818 Ёмкости для сыпучих продуктов</t>
  </si>
  <si>
    <t>81808</t>
  </si>
  <si>
    <t>Банка д/сыпучих продуктов 0,9л 861-145 /10/30/</t>
  </si>
  <si>
    <t>81815</t>
  </si>
  <si>
    <t>Банка д/сыпучих продуктов 2,4 л микс GR2229МИКС /18/</t>
  </si>
  <si>
    <t>81955</t>
  </si>
  <si>
    <t>Банка д/сыпучих продуктов Полимербыт 0,3л С574 /33/</t>
  </si>
  <si>
    <t>81874</t>
  </si>
  <si>
    <t>Банка д/сыпучих продуктов Полимербыт 1,2л квадратная С267 /30/</t>
  </si>
  <si>
    <t>81861</t>
  </si>
  <si>
    <t>Банка д/сыпучих продуктов Полимербыт 1,5 л овал С294 /24/</t>
  </si>
  <si>
    <t>81935</t>
  </si>
  <si>
    <t>Банка д/сыпучих продуктов Полимербыт Cubbo 2,2 л квадратн. с герм. кр. С26802 /24/</t>
  </si>
  <si>
    <t>81804</t>
  </si>
  <si>
    <t>Банка д/сыпучих продуктов Полимербыт Cubbo Light 0,6 л квадратн. С26616 /24/</t>
  </si>
  <si>
    <t>81902</t>
  </si>
  <si>
    <t>Банка д/сыпучих продуктов Полимербыт Cubbo Light 2,2 л квадратн. с герм. кр. С26816 /24/</t>
  </si>
  <si>
    <t>81809</t>
  </si>
  <si>
    <t>Банка д/сыпучих продуктов Полимербыт Люкс 1,1 л С641 /20/</t>
  </si>
  <si>
    <t>81879</t>
  </si>
  <si>
    <t>Банка д/сыпучих продуктов Полимербыт Люкс 1,7 л С642 /27/</t>
  </si>
  <si>
    <t>81937</t>
  </si>
  <si>
    <t>Банка д/сыпучих продуктов Полимербыт Люкс 2,3 л С643 /16/</t>
  </si>
  <si>
    <t>81947</t>
  </si>
  <si>
    <t>Банка д/сыпучих продуктов Полимербыт Премиум 0,6 л квадр. с герм. кр. С26602 /24/</t>
  </si>
  <si>
    <t>81836</t>
  </si>
  <si>
    <t>Банка д/сыпучих продуктов Полимербыт Премиум 1,2 л квадр. с герм. кр. С26702 /12/</t>
  </si>
  <si>
    <t>81832</t>
  </si>
  <si>
    <t>Банка д/сыпучих продуктов с дозатором 1,6л микс GR3611МИКС /46/</t>
  </si>
  <si>
    <t>81844</t>
  </si>
  <si>
    <t>Емкость Альтернатива Изюминка Люкс Космея 0,7 л М4913 /22/</t>
  </si>
  <si>
    <t>81821</t>
  </si>
  <si>
    <t>Емкость Альтернатива Маки 1,2 л Сахар с ложечкой М4828 /12/</t>
  </si>
  <si>
    <t>81881</t>
  </si>
  <si>
    <t>Емкость Альтернатива Маки 1,2 л Соль с ложечкой М4829 /12/</t>
  </si>
  <si>
    <t>81807</t>
  </si>
  <si>
    <t>Емкость Альтернатива Маки 1,2 л Чай с ложечкой М4827 /12/</t>
  </si>
  <si>
    <t>81838</t>
  </si>
  <si>
    <t>Емкость Альтернатива Нова 0,6 л прямоуг. М6305 /20/</t>
  </si>
  <si>
    <t>81831</t>
  </si>
  <si>
    <t>Емкость Альтернатива Плетенка 1,2 л Сахар с ложечкой М4831 /12/</t>
  </si>
  <si>
    <t>81850</t>
  </si>
  <si>
    <t>Емкость Альтернатива Тиффани 0,5 л бирюз М7915 /24/</t>
  </si>
  <si>
    <t>81852</t>
  </si>
  <si>
    <t>Емкость Альтернатива Тиффани 0,5 л серый М7916 /24/</t>
  </si>
  <si>
    <t>81856</t>
  </si>
  <si>
    <t>Емкость Альтернатива Тиффани 1,5 л бирюз М7917 /18/</t>
  </si>
  <si>
    <t>81854</t>
  </si>
  <si>
    <t>Емкость Альтернатива Тиффани 1,5 л серый М7918 /18/</t>
  </si>
  <si>
    <t>81885</t>
  </si>
  <si>
    <t>Емкость Альтернатива Уют 1,2 л Соль с ложечкой М4823 /12/</t>
  </si>
  <si>
    <t>82025</t>
  </si>
  <si>
    <t>Емкость Альтернатива Уют 1,2 л Чай с ложечкой М4821 /12/</t>
  </si>
  <si>
    <t>82030</t>
  </si>
  <si>
    <t>Емкость Альтернатива Флорель 1,2 л Сахар с ложечкой М4825 /12/</t>
  </si>
  <si>
    <t>82035</t>
  </si>
  <si>
    <t>Емкость Альтернатива Флорель 1,2 л Чай с ложечкой М4824 /12/</t>
  </si>
  <si>
    <t>81871</t>
  </si>
  <si>
    <t>Емкость Альтернатива Шале 1,2 л Сахар с ложечкой М7808 /12/</t>
  </si>
  <si>
    <t>81888</t>
  </si>
  <si>
    <t>Емкость Альтернатива Шале 1,2 л Соль с ложечкой М7809 /12/</t>
  </si>
  <si>
    <t>81802</t>
  </si>
  <si>
    <t>Емкость Ассорти 0,7л (для сыпучих) сахар М1715 /12/</t>
  </si>
  <si>
    <t>81872</t>
  </si>
  <si>
    <t>Емкость Ассорти 0,7л (для сыпучих) соль М1713 /12/</t>
  </si>
  <si>
    <t>81851</t>
  </si>
  <si>
    <t>Емкость Ассорти 0,7л (для сыпучих) чай М1714 /12/</t>
  </si>
  <si>
    <t>81848</t>
  </si>
  <si>
    <t>Емкость Ассорти 1,0л (для сыпучих) сахар М1718 /12/</t>
  </si>
  <si>
    <t>81641</t>
  </si>
  <si>
    <t>Емкость Ассорти 1,0л (для сыпучих) соль М1716 /12/</t>
  </si>
  <si>
    <t>81890</t>
  </si>
  <si>
    <t>Емкость Ассорти 1,0л (для сыпучих) чай М1717 /10/</t>
  </si>
  <si>
    <t>82737</t>
  </si>
  <si>
    <t>Емкость д/прод. 1,1л Fresco круглая Оливковая роща GR1894ОЛ /9/</t>
  </si>
  <si>
    <t>82739</t>
  </si>
  <si>
    <t>Емкость д/прод. 1,1л Fresco круглая Сливочный крем GR1894СЛ /9/</t>
  </si>
  <si>
    <t>81813</t>
  </si>
  <si>
    <t>Емкость д/прод. 1,1л Fresco круглая Сочный томат GR184ЧЕРИ /9/</t>
  </si>
  <si>
    <t>81858</t>
  </si>
  <si>
    <t>Емкость для сыпучих прод. Альтернатива 1,75л М1657 /12/</t>
  </si>
  <si>
    <t>81859</t>
  </si>
  <si>
    <t>Емкость для сыпучих прод. Альтернатива 2,4л М1681 /10/</t>
  </si>
  <si>
    <t>81806</t>
  </si>
  <si>
    <t>Емкость для сыпучих прод. Альтернатива 3,0 л Мозаика зеленая М5597 /12/</t>
  </si>
  <si>
    <t>82026</t>
  </si>
  <si>
    <t>Емкость для сыпучих прод. М-пластика 1,0 л квадр. Деко Орхидея М1225 /18/</t>
  </si>
  <si>
    <t>81869</t>
  </si>
  <si>
    <t>Емкость для сыпучих прод. Фиеста 1,2л М7997 /12/</t>
  </si>
  <si>
    <t>81630</t>
  </si>
  <si>
    <t>Емкость для сыпучих прод. Фиеста 1,2л с клап М8000 /12/</t>
  </si>
  <si>
    <t>81800</t>
  </si>
  <si>
    <t>Емкость для сыпучих прод. Фиеста 1,65л бежевый М8780 /8/</t>
  </si>
  <si>
    <t>81863</t>
  </si>
  <si>
    <t>Емкость для сыпучих прод. Фиеста 1,65л М7998 /8/</t>
  </si>
  <si>
    <t>81841</t>
  </si>
  <si>
    <t>Емкость для сыпучих прод. Фиеста 1,6л с клап М8001 /8/</t>
  </si>
  <si>
    <t>81853</t>
  </si>
  <si>
    <t>Емкость для сыпучих прод. Фиеста 2,7л бежевый М8779 /8/</t>
  </si>
  <si>
    <t>81624</t>
  </si>
  <si>
    <t>Емкость для сыпучих прод. Фиеста 2,7л М7999 /8/</t>
  </si>
  <si>
    <t>81763</t>
  </si>
  <si>
    <t>Емкость для сыпучих прод. Фиеста 2,7л с клапан М8002 /8/</t>
  </si>
  <si>
    <t>81811</t>
  </si>
  <si>
    <t>Контейнер д/прод. с крышкой Зайчата 420 мл пластик 829-142 /4/</t>
  </si>
  <si>
    <t>819 Совки для мусора</t>
  </si>
  <si>
    <t>81904</t>
  </si>
  <si>
    <t>Совок для мусора Альтернатива Классик бежевый М6987 /50/</t>
  </si>
  <si>
    <t>81967</t>
  </si>
  <si>
    <t>Совок для мусора Альтернатива Классик М1140 /50/</t>
  </si>
  <si>
    <t>81949</t>
  </si>
  <si>
    <t>Совок для мусора Альтернатива Классик синий М6985 /50/</t>
  </si>
  <si>
    <t>81973</t>
  </si>
  <si>
    <t>Совок для мусора Альтернатива Универсал М287 /50/</t>
  </si>
  <si>
    <t>81961</t>
  </si>
  <si>
    <t>Совок для мусора Альтернатива Эконом М6357 /50/</t>
  </si>
  <si>
    <t>82062</t>
  </si>
  <si>
    <t>Совок для мусора Декор Пейсли SV4094ПСЛ /30/</t>
  </si>
  <si>
    <t>81939</t>
  </si>
  <si>
    <t>Совок для мусора ДМ Петрович голубой перламутр /50/</t>
  </si>
  <si>
    <t>81944</t>
  </si>
  <si>
    <t>Совок для мусора+щетка VETTA полипропилен 2 диз. 445-358 /8/24/</t>
  </si>
  <si>
    <t>81914</t>
  </si>
  <si>
    <t>Совок для мусора+щетка VETTA Практик 2 цв. 445-365 /16/</t>
  </si>
  <si>
    <t>820 Баки/бочки</t>
  </si>
  <si>
    <t>82047</t>
  </si>
  <si>
    <t>Бак Альтернатива 100л квадр. для душевой М3271 /2/</t>
  </si>
  <si>
    <t>82017</t>
  </si>
  <si>
    <t>Бак Альтернатива 100л квадр. М1758 /2/</t>
  </si>
  <si>
    <t>82032</t>
  </si>
  <si>
    <t>Бак Альтернатива 100л универ. с кр. бежевый М3469 /3/</t>
  </si>
  <si>
    <t>82033</t>
  </si>
  <si>
    <t>Бак Альтернатива 100л универ. с кр. белый М6925 /3/</t>
  </si>
  <si>
    <t>82085</t>
  </si>
  <si>
    <t>Бак Альтернатива 100л универ. с кр. синий М3468 /3/</t>
  </si>
  <si>
    <t>82013</t>
  </si>
  <si>
    <t>Бак Альтернатива 150л квадр. для душевой серый М6463 /2/</t>
  </si>
  <si>
    <t>82008</t>
  </si>
  <si>
    <t>Бак Альтернатива 225л универсальн. с кр. синий М4670 /3/</t>
  </si>
  <si>
    <t>82029</t>
  </si>
  <si>
    <t>Бак Альтернатива 40л с крыш. М458 /6/</t>
  </si>
  <si>
    <t>82027</t>
  </si>
  <si>
    <t>Бак Альтернатива 60л с крыш. М457 /5/</t>
  </si>
  <si>
    <t>82036</t>
  </si>
  <si>
    <t>Бак Альтернатива 60л с крыш. эконом М8341 /5/</t>
  </si>
  <si>
    <t>82044</t>
  </si>
  <si>
    <t>Бак Альтернатива 75л универ с крышкой бежевый М3467 /5/</t>
  </si>
  <si>
    <t>82041</t>
  </si>
  <si>
    <t>Бак Альтернатива 75л универ с крышкой белый М6924 /5/</t>
  </si>
  <si>
    <t>82003</t>
  </si>
  <si>
    <t>Бак Альтернатива 75л универ с крышкой синий М3466 /5/</t>
  </si>
  <si>
    <t>82011</t>
  </si>
  <si>
    <t>Бак Новосибирск 100л хозяйственный /5/</t>
  </si>
  <si>
    <t>82066</t>
  </si>
  <si>
    <t>Бочка Новосиб-к БЧ1-2-66- 60л 6002с с ручками</t>
  </si>
  <si>
    <t>82005</t>
  </si>
  <si>
    <t>Бочка Новосиб-к БЧ1-3-112- 50л 5005-окр</t>
  </si>
  <si>
    <t>82015</t>
  </si>
  <si>
    <t>Бочка Новосиб-к БЧ1-3-116- 40л 4001-окр</t>
  </si>
  <si>
    <t>82068</t>
  </si>
  <si>
    <t>Бочка Новосиб-к БЧ1-3-67 120л 1202с</t>
  </si>
  <si>
    <t>82000</t>
  </si>
  <si>
    <t>Бочка Новосиб-к полиэтиленовая 227л синяя</t>
  </si>
  <si>
    <t>82004</t>
  </si>
  <si>
    <t>Бочка-бак Альтернатива 150л с/кр. универс. М8139 /2/</t>
  </si>
  <si>
    <t>82010</t>
  </si>
  <si>
    <t>Бочка-бак Альтернатива 250л б/кр. квадр. М1695 /3/</t>
  </si>
  <si>
    <t>82084</t>
  </si>
  <si>
    <t>Бочка-бак Альтернатива 250л с/кр. квадр. М1626 /3/</t>
  </si>
  <si>
    <t>82014</t>
  </si>
  <si>
    <t>Канистра- бочка Альтернатива 110л 215мм М410 /2/</t>
  </si>
  <si>
    <t>82043</t>
  </si>
  <si>
    <t>Канистра- бочка Альтернатива 120л Волна-эконом с нав. ручк. М8333 /2/</t>
  </si>
  <si>
    <t>82059</t>
  </si>
  <si>
    <t>Канистра- бочка Альтернатива 140л Волна с нав. ручк. М7143 /2/</t>
  </si>
  <si>
    <t>82075</t>
  </si>
  <si>
    <t>Канистра- бочка Альтернатива 170л 215мм М7411 /2/</t>
  </si>
  <si>
    <t>82019</t>
  </si>
  <si>
    <t>Канистра- бочка Альтернатива 30л Байкал-эконом с нав. ручк. М8326 /6/</t>
  </si>
  <si>
    <t>82020</t>
  </si>
  <si>
    <t>Канистра- бочка Альтернатива 50л Байкал-эконом с нав. ручк. М8327 /4/</t>
  </si>
  <si>
    <t>82049</t>
  </si>
  <si>
    <t>Канистра- бочка Альтернатива Волна 100л с навесными ручками М7141 /2/</t>
  </si>
  <si>
    <t>82037</t>
  </si>
  <si>
    <t>Канистра- бочка Альтернатива Волна 120л с навесными ручками М7142 /2/</t>
  </si>
  <si>
    <t>821 Предметы из пластика для туалета</t>
  </si>
  <si>
    <t>90242</t>
  </si>
  <si>
    <t>Держатель для зубных щеток на присосках Классика 2 3 цв 478-049 /6/</t>
  </si>
  <si>
    <t>82110</t>
  </si>
  <si>
    <t>Держатель для зубных щеток на присоске 2 шт DA34-76 /12/</t>
  </si>
  <si>
    <t>82135</t>
  </si>
  <si>
    <t>Держатель для зубных щеток на присоске 2 шт DA34-77 /12/</t>
  </si>
  <si>
    <t>97309</t>
  </si>
  <si>
    <t>Держатель для зубных щеток на присоске в виде божьей коровки пластик 4 цв 478-059 /6/</t>
  </si>
  <si>
    <t>82116</t>
  </si>
  <si>
    <t>Дорожный набор Альтернатива М1112 /15/</t>
  </si>
  <si>
    <t>82167</t>
  </si>
  <si>
    <t>Дорожный набор мыльница+футляр СК76-6 /8/</t>
  </si>
  <si>
    <t>82140</t>
  </si>
  <si>
    <t>Дорожный набор Полимербыт С195 /30/</t>
  </si>
  <si>
    <t>82102</t>
  </si>
  <si>
    <t>Контейнер навесной Полимербыт на присоске С169 /36/</t>
  </si>
  <si>
    <t>82104</t>
  </si>
  <si>
    <t>Мыльница QLUX пластик белая 478-148 /36/</t>
  </si>
  <si>
    <t>82144</t>
  </si>
  <si>
    <t>Мыльница RUNIS пластик 10*7*3,5см 6-135 463-683 /17/</t>
  </si>
  <si>
    <t>82153</t>
  </si>
  <si>
    <t>Мыльница Vetta Бриллиант пластик наст. самокл. 2 цв 478-110 /10/</t>
  </si>
  <si>
    <t>82130</t>
  </si>
  <si>
    <t>Мыльница Vetta Ромбо пластик 13,5*9,5*3,5 см 2 цв 463-909 /6/</t>
  </si>
  <si>
    <t>82194</t>
  </si>
  <si>
    <t>Мыльница Альтернатива Аква на присосках М6001 /25/</t>
  </si>
  <si>
    <t>82141</t>
  </si>
  <si>
    <t>Мыльница Альтернатива Бамбук белый М8061 /30/</t>
  </si>
  <si>
    <t>82150</t>
  </si>
  <si>
    <t>Мыльница Альтернатива Вязаное плетение бежевый М6899 /30/</t>
  </si>
  <si>
    <t>82151</t>
  </si>
  <si>
    <t>Мыльница Альтернатива Вязаное плетение белый М6887 /30/</t>
  </si>
  <si>
    <t>81650</t>
  </si>
  <si>
    <t>Мыльница Альтернатива Дорожная Фигурная М916 /30/</t>
  </si>
  <si>
    <t>82136</t>
  </si>
  <si>
    <t>Мыльница Альтернатива Кристалл изумрудный М8307 /30/</t>
  </si>
  <si>
    <t>82159</t>
  </si>
  <si>
    <t>Мыльница Альтернатива Кристалл прозрач М6794 /30/</t>
  </si>
  <si>
    <t>82160</t>
  </si>
  <si>
    <t>Мыльница Альтернатива Кристалл синий М6765 /30/</t>
  </si>
  <si>
    <t>82162</t>
  </si>
  <si>
    <t>Мыльница Альтернатива Кристалл тониров. М6793 /30/</t>
  </si>
  <si>
    <t>82178</t>
  </si>
  <si>
    <t>Мыльница Альтернатива Кристалл черный М7764 /30/</t>
  </si>
  <si>
    <t>81666</t>
  </si>
  <si>
    <t>Мыльница Альтернатива на ванну Стиль М973 /25/</t>
  </si>
  <si>
    <t>82119</t>
  </si>
  <si>
    <t>Мыльница Альтернатива с решеткой М377 /30/</t>
  </si>
  <si>
    <t>82180</t>
  </si>
  <si>
    <t>Мыльница Альтернатива со сливом белый М6771 /40/</t>
  </si>
  <si>
    <t>82181</t>
  </si>
  <si>
    <t>Мыльница Альтернатива со сливом прозрачная М6675 /35/</t>
  </si>
  <si>
    <t>81656</t>
  </si>
  <si>
    <t>Мыльница Альтернатива Стиль М514 /35/</t>
  </si>
  <si>
    <t>82195</t>
  </si>
  <si>
    <t>Мыльница Альтернатива Эконом с реш. М6655 /30/</t>
  </si>
  <si>
    <t>82109</t>
  </si>
  <si>
    <t>Мыльница дорожная ДМ голубая /100/</t>
  </si>
  <si>
    <t>82264</t>
  </si>
  <si>
    <t>Мыльница дорожная ДМ желтая /100/</t>
  </si>
  <si>
    <t>82268</t>
  </si>
  <si>
    <t>Мыльница дорожная ДМ зеленая /100/</t>
  </si>
  <si>
    <t>82285</t>
  </si>
  <si>
    <t>Мыльница дорожная ДМ розовая /100/</t>
  </si>
  <si>
    <t>82286</t>
  </si>
  <si>
    <t>Мыльница дорожная ДМ розовый металлик /100/</t>
  </si>
  <si>
    <t>82288</t>
  </si>
  <si>
    <t>Мыльница дорожная ДМ салатовая /100/</t>
  </si>
  <si>
    <t>82126</t>
  </si>
  <si>
    <t>Мыльница Классика 13,10*2,5см ПП 3 цв 463-661 /12/</t>
  </si>
  <si>
    <t>82190</t>
  </si>
  <si>
    <t>Мыльница на подставке DH34-9 /6/</t>
  </si>
  <si>
    <t>82197</t>
  </si>
  <si>
    <t>Мыльница на присосках BG34-157 /6/</t>
  </si>
  <si>
    <t>82127</t>
  </si>
  <si>
    <t>Мыльница на присосках Бабочка VL34-215 /12/</t>
  </si>
  <si>
    <t>82143</t>
  </si>
  <si>
    <t>Мыльница на присосках Волна VL34-214 /12/</t>
  </si>
  <si>
    <t>82122</t>
  </si>
  <si>
    <t>Мыльница на присосках Морские жители 13*9 см 76.32 МТ34-133 /12/</t>
  </si>
  <si>
    <t>82134</t>
  </si>
  <si>
    <t>Мыльница настольная горный хрусталь 463-202 /24/</t>
  </si>
  <si>
    <t>82168</t>
  </si>
  <si>
    <t>Мыльница настольная дымчатый кварц 463-203 /24/</t>
  </si>
  <si>
    <t>82171</t>
  </si>
  <si>
    <t>Мыльница настольная изумрудный агат 463-204 /24/</t>
  </si>
  <si>
    <t>82199</t>
  </si>
  <si>
    <t>Мыльница овальная пластик 12,3*9*2,6 см 2цв 463-883</t>
  </si>
  <si>
    <t>82163</t>
  </si>
  <si>
    <t>Мыльница овальная пластик 12*8*5 см 3 цв 463-557 /10/</t>
  </si>
  <si>
    <t>82148</t>
  </si>
  <si>
    <t>Мыльница Полимербыт дорожная С080 /75/</t>
  </si>
  <si>
    <t>82114</t>
  </si>
  <si>
    <t>Мыльница Полимербыт дорожная С265 /75/</t>
  </si>
  <si>
    <t>82165</t>
  </si>
  <si>
    <t>Мыльница Полимербыт закрытая С232 /63/</t>
  </si>
  <si>
    <t>82170</t>
  </si>
  <si>
    <t>Мыльница Полимербыт навесная С863 /24/</t>
  </si>
  <si>
    <t>82177</t>
  </si>
  <si>
    <t>Мыльница Полимербыт настольная С233 /91/</t>
  </si>
  <si>
    <t>82205</t>
  </si>
  <si>
    <t>Мыльница Полимербыт настольная С778 /100/</t>
  </si>
  <si>
    <t>82232</t>
  </si>
  <si>
    <t>Мыльница Полимербыт настольная С861 /34/</t>
  </si>
  <si>
    <t>82111</t>
  </si>
  <si>
    <t>Мыльница Полимербыт С417 /70/</t>
  </si>
  <si>
    <t>82138</t>
  </si>
  <si>
    <t>Мыльница с поддоном пластик 11,5*76*2,7 см 3 цв 463-224 /12/</t>
  </si>
  <si>
    <t>90443</t>
  </si>
  <si>
    <t>Подставка д/зубных щеток MQ-R131АП Классика серебро</t>
  </si>
  <si>
    <t>90449</t>
  </si>
  <si>
    <t>Подставка д/зубных щеток MQ11-R77АП Антик</t>
  </si>
  <si>
    <t>82188</t>
  </si>
  <si>
    <t>Подставка д/зубных щеток Альтернатива 0,37 л белый М8211 /24/</t>
  </si>
  <si>
    <t>82108</t>
  </si>
  <si>
    <t>Подставка д/зубных щеток Альтернатива Бамбук белый М8055 /18/</t>
  </si>
  <si>
    <t>82172</t>
  </si>
  <si>
    <t>Подставка д/зубных щеток Альтернатива Вязаное плетение бежевый М6876 /18/</t>
  </si>
  <si>
    <t>82117</t>
  </si>
  <si>
    <t>Подставка д/зубных щеток Альтернатива Вязаное плетение белый М7120 /18/</t>
  </si>
  <si>
    <t>82158</t>
  </si>
  <si>
    <t>Подставка д/зубных щеток Альтернатива Кристалл изумрудный М8308 /22/</t>
  </si>
  <si>
    <t>82198</t>
  </si>
  <si>
    <t>Подставка д/зубных щеток Альтернатива Кристалл прозрачный М6818 /22/</t>
  </si>
  <si>
    <t>82169</t>
  </si>
  <si>
    <t>Подставка д/зубных щеток Альтернатива Кристалл синий М6819 /22/</t>
  </si>
  <si>
    <t>82142</t>
  </si>
  <si>
    <t>Подставка д/зубных щеток Альтернатива Кристалл тонированный М6764 /22/</t>
  </si>
  <si>
    <t>82113</t>
  </si>
  <si>
    <t>Подставка д/зубных щеток Альтернатива Плетенка белый М2534 /20/</t>
  </si>
  <si>
    <t>81657</t>
  </si>
  <si>
    <t>Подставка д/зубных щеток Альтернатива Плетенка голубой М2533 /16/20/</t>
  </si>
  <si>
    <t>81682</t>
  </si>
  <si>
    <t>Подставка д/зубных щеток Альтернатива Плетенка Слоновая кость М2535 /20/</t>
  </si>
  <si>
    <t>81640</t>
  </si>
  <si>
    <t>Подставка д/зубных щеток Альтернатива Фантазия М1155 /27/</t>
  </si>
  <si>
    <t>82244</t>
  </si>
  <si>
    <t>Подставка д/зубных щеток М-пластика Вязание Белый ротанг М2240 /16/</t>
  </si>
  <si>
    <t>82156</t>
  </si>
  <si>
    <t>Подставка д/зубных щеток Полимербыт Reef без разделителя С15901 /20/</t>
  </si>
  <si>
    <t>82146</t>
  </si>
  <si>
    <t>Подставка для губки TL34-163 /12/72/</t>
  </si>
  <si>
    <t>82137</t>
  </si>
  <si>
    <t>Подставка для губки TL34-164 /15/150/</t>
  </si>
  <si>
    <t>82196</t>
  </si>
  <si>
    <t>Подставка для умыв. принадлежностей TL34-145 /12/72/</t>
  </si>
  <si>
    <t>82118</t>
  </si>
  <si>
    <t>Подставка для умыв. принадлежностей на присосках TL34-138 /12/</t>
  </si>
  <si>
    <t>82128</t>
  </si>
  <si>
    <t>Подставка для умыв. принадлежностей на присосках TL34-139 /12/</t>
  </si>
  <si>
    <t>82124</t>
  </si>
  <si>
    <t>Подставка для умыв. принадлежностей на присосках TL34-142 /6/</t>
  </si>
  <si>
    <t>82152</t>
  </si>
  <si>
    <t>Подставка для умыв. принадлежностей на присосках TL34-148 /6/</t>
  </si>
  <si>
    <t>82155</t>
  </si>
  <si>
    <t>Подставка для умыв. принадлежностей на присосках Морские жители 76.33 МT34-134 /8/</t>
  </si>
  <si>
    <t>90450</t>
  </si>
  <si>
    <t>Стакан д/зубных щеток MQ11-R77АС Антик</t>
  </si>
  <si>
    <t>82174</t>
  </si>
  <si>
    <t>Стакан д/зубных щеток горный хрусталь 463-205 /20/</t>
  </si>
  <si>
    <t>82182</t>
  </si>
  <si>
    <t>Стакан д/зубных щеток дымчатый кварц 463-206 /20/</t>
  </si>
  <si>
    <t>82123</t>
  </si>
  <si>
    <t>Стакан д/зубных щеток и пасты 7,5*7,5*11,7 см пластик 2 цв. 463-177 /24/</t>
  </si>
  <si>
    <t>82166</t>
  </si>
  <si>
    <t>Стакан д/зубных щеток и пасты VL34-169 /6/</t>
  </si>
  <si>
    <t>82183</t>
  </si>
  <si>
    <t>Стакан д/зубных щеток изумрудный агат 463-207 /20/</t>
  </si>
  <si>
    <t>82241</t>
  </si>
  <si>
    <t>Стакан д/зубных щеток М-пластика Вязание Белый ротанг М2237 /16/</t>
  </si>
  <si>
    <t>82299</t>
  </si>
  <si>
    <t>Стакан д/зубных щеток на присоске 7*10 см 3 цв. 463-921 /6/</t>
  </si>
  <si>
    <t>82186</t>
  </si>
  <si>
    <t>Стакан д/зубных щеток самоклеящийся 11,5*8*9,5 см 3 цв 478-098 /120/</t>
  </si>
  <si>
    <t>82115</t>
  </si>
  <si>
    <t>Футляр д/зубной щетки Альтернатива М1028 /66/</t>
  </si>
  <si>
    <t>82121</t>
  </si>
  <si>
    <t>Футляр д/зубной щетки ЕН 20*2*3см 16028 /160/</t>
  </si>
  <si>
    <t>822 Полки навесные из пластика</t>
  </si>
  <si>
    <t>90100</t>
  </si>
  <si>
    <t>Полка д/ванной Альтернатива 3-х ярусная М299 /10/</t>
  </si>
  <si>
    <t>82220</t>
  </si>
  <si>
    <t>Полка д/ванной Альтернатива Аква белая М7731 /8/</t>
  </si>
  <si>
    <t>82203</t>
  </si>
  <si>
    <t>Полка д/ванной Альтернатива белая М5632 /10/15/</t>
  </si>
  <si>
    <t>82228</t>
  </si>
  <si>
    <t>Полка д/ванной Альтернатива на скотче белая М8531 /12/</t>
  </si>
  <si>
    <t>82230</t>
  </si>
  <si>
    <t>Полка д/ванной Альтернатива Орхидея М3213 /4/</t>
  </si>
  <si>
    <t>82202</t>
  </si>
  <si>
    <t>Полка д/ванной Альтернатива синяя М5633 /10/15/</t>
  </si>
  <si>
    <t>82211</t>
  </si>
  <si>
    <t>Полка д/ванной Альтернатива угловая М3153 /4/</t>
  </si>
  <si>
    <t>82287</t>
  </si>
  <si>
    <t>Полка д/ванной Альтернатива угловая синяя М3156 /4/</t>
  </si>
  <si>
    <t>82255</t>
  </si>
  <si>
    <t>Полка д/ванной Альтернатива угловая Трансформер 250*180*580 мм М6848 /12/</t>
  </si>
  <si>
    <t>82224</t>
  </si>
  <si>
    <t>Полка д/ванной йогуртовая ПЦ1684ЙО /23/</t>
  </si>
  <si>
    <t>82201</t>
  </si>
  <si>
    <t>Полка д/ванной комн. голубой пастельный BQ1680ГЛП</t>
  </si>
  <si>
    <t>82218</t>
  </si>
  <si>
    <t>Полка д/ванной комн. йогуртовый BQ1680ЙО</t>
  </si>
  <si>
    <t>90119</t>
  </si>
  <si>
    <t>Полка д/ванной комн. М1794 /14/</t>
  </si>
  <si>
    <t>82210</t>
  </si>
  <si>
    <t>Полка д/ванной навесная универсальная пластик 4 кр. 27,4*14*19,5 см белая 478-101 /16/</t>
  </si>
  <si>
    <t>82216</t>
  </si>
  <si>
    <t>Полка д/кухни Vetta многофункц. 35*13,5*11 см с 4-мя крючками 481-072 /40/</t>
  </si>
  <si>
    <t>82292</t>
  </si>
  <si>
    <t>Полочка д/ванной пластм. на присосках Романтика 23*10,5*5 см 3 цв. 463-918 /6/</t>
  </si>
  <si>
    <t>82206</t>
  </si>
  <si>
    <t>Полочка д/ванной пластм. на присосках Романтика 25,5*18,5*3 см 3 цв 463-915 /6/</t>
  </si>
  <si>
    <t>82295</t>
  </si>
  <si>
    <t>Полочка д/ванной пластм. на присосках Романтика 26*7*8,5 см 3 цв. 463-920 /6/</t>
  </si>
  <si>
    <t>823 Тазы прочие</t>
  </si>
  <si>
    <t>82328</t>
  </si>
  <si>
    <t>Таз Виолет круглый 10 литров латте /25/</t>
  </si>
  <si>
    <t>82307</t>
  </si>
  <si>
    <t>Таз Виолет круглый 10 литров мята /25/</t>
  </si>
  <si>
    <t>82350</t>
  </si>
  <si>
    <t>Таз Виолет круглый 10 литров с декором Акварель /18/</t>
  </si>
  <si>
    <t>82348</t>
  </si>
  <si>
    <t>Таз Виолет круглый 10 литров с декором Букет /18/</t>
  </si>
  <si>
    <t>82347</t>
  </si>
  <si>
    <t>Таз Виолет круглый 10 литров с декором Винтаж /18/</t>
  </si>
  <si>
    <t>82338</t>
  </si>
  <si>
    <t>Таз Виолет круглый 10 литров с декором Мозаика /18//</t>
  </si>
  <si>
    <t>82397</t>
  </si>
  <si>
    <t>Таз Виолет круглый 10 литров с декором Нежность /18/</t>
  </si>
  <si>
    <t>82371</t>
  </si>
  <si>
    <t>Таз Виолет круглый 10 литров с декором Синие маки /18/</t>
  </si>
  <si>
    <t>82357</t>
  </si>
  <si>
    <t>Таз Виолет круглый 10 литров с декором Чайная роза /18/</t>
  </si>
  <si>
    <t>82343</t>
  </si>
  <si>
    <t>Таз ДМ 10л голубой</t>
  </si>
  <si>
    <t>82326</t>
  </si>
  <si>
    <t>Таз ДМ 10л красный</t>
  </si>
  <si>
    <t>82332</t>
  </si>
  <si>
    <t>Таз ДМ 10л розовый</t>
  </si>
  <si>
    <t>82340</t>
  </si>
  <si>
    <t>Таз ДМ 8л розовый</t>
  </si>
  <si>
    <t>82341</t>
  </si>
  <si>
    <t>Таз ДМ 8л салатовый</t>
  </si>
  <si>
    <t>82344</t>
  </si>
  <si>
    <t>Таз ДМ 8л синий</t>
  </si>
  <si>
    <t>81593</t>
  </si>
  <si>
    <t>Таз Новосиб-к 15л /20/</t>
  </si>
  <si>
    <t>82302</t>
  </si>
  <si>
    <t>Таз Новосиб-к Ангара квадратный 5л /40/</t>
  </si>
  <si>
    <t>82316</t>
  </si>
  <si>
    <t>Таз Новосиб-к Ангара квадратный 7л /30/</t>
  </si>
  <si>
    <t>82364</t>
  </si>
  <si>
    <t>Таз Новосиб-к Ангара круглый 17л /15/</t>
  </si>
  <si>
    <t>82354</t>
  </si>
  <si>
    <t>Таз Новосиб-к Ангара круглый 25л /15/</t>
  </si>
  <si>
    <t>82345</t>
  </si>
  <si>
    <t>Таз Новосиб-к Фрукты 12 л /30/</t>
  </si>
  <si>
    <t>82365</t>
  </si>
  <si>
    <t>Таз Новосиб-к Фрукты 6 л /50/</t>
  </si>
  <si>
    <t>82346</t>
  </si>
  <si>
    <t>Таз Новосиб-к Фрукты 8 л /30/</t>
  </si>
  <si>
    <t>89003</t>
  </si>
  <si>
    <t>Таз Новосиб-к ярусный 15,5л /20/</t>
  </si>
  <si>
    <t>82394</t>
  </si>
  <si>
    <t>Таз Новосиб-к ярусный 27л /20/</t>
  </si>
  <si>
    <t>82359</t>
  </si>
  <si>
    <t>Таз пластмассовый круглый 12 л 10 цв. 444-064</t>
  </si>
  <si>
    <t>81544</t>
  </si>
  <si>
    <t>Таз Платар 10л с ручками</t>
  </si>
  <si>
    <t>81554</t>
  </si>
  <si>
    <t>Таз Платар 12л с ручками</t>
  </si>
  <si>
    <t>82306</t>
  </si>
  <si>
    <t>Таз Платар 15л с ручками</t>
  </si>
  <si>
    <t>81642</t>
  </si>
  <si>
    <t>Таз Платар 20л с ручками</t>
  </si>
  <si>
    <t>81651</t>
  </si>
  <si>
    <t>Таз Платар 25л круглый с ручками</t>
  </si>
  <si>
    <t>82308</t>
  </si>
  <si>
    <t>Таз Платар 25л овальный с ручками</t>
  </si>
  <si>
    <t>81653</t>
  </si>
  <si>
    <t>Таз Платар 30л овальный с ручками</t>
  </si>
  <si>
    <t>81654</t>
  </si>
  <si>
    <t>Таз Платар 35л со стиральной доской</t>
  </si>
  <si>
    <t>81555</t>
  </si>
  <si>
    <t>Таз Платар 7л с ручками</t>
  </si>
  <si>
    <t>82389</t>
  </si>
  <si>
    <t>Таз Полимербыт 20 л овал с ручками С081 /8/</t>
  </si>
  <si>
    <t>82385</t>
  </si>
  <si>
    <t>Таз Полимербыт 30 л овал с ручками С966 /6/</t>
  </si>
  <si>
    <t>82391</t>
  </si>
  <si>
    <t>Таз Полимербыт 6 л квадратный С124/32/</t>
  </si>
  <si>
    <t>82363</t>
  </si>
  <si>
    <t>Таз Полимербыт 6,5 л кругл. С082 /36/</t>
  </si>
  <si>
    <t>82393</t>
  </si>
  <si>
    <t>Таз Полимербыт 9 л квадратный С200 /25/</t>
  </si>
  <si>
    <t>82305</t>
  </si>
  <si>
    <t>Таз Полимербыт Люкс 11 л кругл. С407/10/</t>
  </si>
  <si>
    <t>82380</t>
  </si>
  <si>
    <t>Таз Полимербыт Люкс 20 л кругл. С408/10/</t>
  </si>
  <si>
    <t>82331</t>
  </si>
  <si>
    <t>Таз Полимербыт Люкс 30 л кругл. С409 /8/</t>
  </si>
  <si>
    <t>81542</t>
  </si>
  <si>
    <t>Таз-миска Платар 2л</t>
  </si>
  <si>
    <t>82337</t>
  </si>
  <si>
    <t>Таз-миска Платар 3л</t>
  </si>
  <si>
    <t>82339</t>
  </si>
  <si>
    <t>Таз-миска Платар 5л</t>
  </si>
  <si>
    <t>824 Ланч-боксы/Емкости для продуктов набором</t>
  </si>
  <si>
    <t>78590</t>
  </si>
  <si>
    <t>Емкости для специй Альтернатива Мозаика Маки на подставке М4528 /9/</t>
  </si>
  <si>
    <t>82407</t>
  </si>
  <si>
    <t>Емкости для сыпучих прод. Альтернатива 0,7 л на полке Ассорти М1179 /9/</t>
  </si>
  <si>
    <t>88079</t>
  </si>
  <si>
    <t>Емкости для сыпучих прод. Альтернатива 1,0 л на полке Ассорти М1180 /9/</t>
  </si>
  <si>
    <t>82414</t>
  </si>
  <si>
    <t>Емкости для сыпучих прод. Альтернатива 1,2 л на подставе Маки М4725 /9/</t>
  </si>
  <si>
    <t>81985</t>
  </si>
  <si>
    <t>Емкости для сыпучих прод. Альтернатива 1,2 л на подставе Плетенка М4726 /9/</t>
  </si>
  <si>
    <t>82489</t>
  </si>
  <si>
    <t>Емкости для сыпучих прод. Альтернатива 1,2 л на подставе Пронто М7797 /9/</t>
  </si>
  <si>
    <t>82409</t>
  </si>
  <si>
    <t>Емкости для сыпучих прод. Альтернатива 1,2 л на подставе Уют М4723 /9/</t>
  </si>
  <si>
    <t>81860</t>
  </si>
  <si>
    <t>Емкости для сыпучих прод. Альтернатива 1,2 л на подставе Флорель М4724 /9/</t>
  </si>
  <si>
    <t>82410</t>
  </si>
  <si>
    <t>Емкости для сыпучих прод. Альтернатива 1,2 л на подставе Шале М4820 /9/</t>
  </si>
  <si>
    <t>82404</t>
  </si>
  <si>
    <t>Емкость для продуктов М-пластика со вставкой Стрелиция М1459 /10/</t>
  </si>
  <si>
    <t>82448</t>
  </si>
  <si>
    <t>Контейнер для завтрака Полимербыт 0,75 л Polly С55020 /30/</t>
  </si>
  <si>
    <t>82431</t>
  </si>
  <si>
    <t>Контейнер для завтрака Полимербыт 0,75 л Как приручить дракона С55047 /30/</t>
  </si>
  <si>
    <t>82403</t>
  </si>
  <si>
    <t>Контейнер для завтрака Полимербыт 0,75 л Миньоны С58465 /15/</t>
  </si>
  <si>
    <t>82405</t>
  </si>
  <si>
    <t>Ланч-Бокс ''Fresco'' Лимон GR1874ЛМН /8/</t>
  </si>
  <si>
    <t>81829</t>
  </si>
  <si>
    <t>Ланч-Бокс ''Fresco'' Сливочный GR1874СЛ /9/</t>
  </si>
  <si>
    <t>81899</t>
  </si>
  <si>
    <t>Ланч-Бокс ''Galaxy'' 0,9л лайм ПЦ2396ЛМ /36/</t>
  </si>
  <si>
    <t>81857</t>
  </si>
  <si>
    <t>Ланч-Бокс ''Mini'' Свинка Пеппа 0,45л голубой LA1055ГЛ /60/</t>
  </si>
  <si>
    <t>82479</t>
  </si>
  <si>
    <t>Ланч-Бокс Зайчата 16,5*12см квадрат +тарелка+ложка-вилка 829-143 /2/</t>
  </si>
  <si>
    <t>82439</t>
  </si>
  <si>
    <t>Ланч-Бокс Сердечко Зайчата 13,5*16см +тарелка+ложка-вилка 829-144 /2/</t>
  </si>
  <si>
    <t>82400</t>
  </si>
  <si>
    <t>Трапезница М-пластика 2-х ярусная 100*160*165 мм Базовый М1458 /26/</t>
  </si>
  <si>
    <t>825 Горшки для цветов Альтернатива Лея Лозанна Эконом</t>
  </si>
  <si>
    <t>82545</t>
  </si>
  <si>
    <t>Горшок д/цветов Альтернатива Лея 2,2л автополив бежевый М7937 /20/</t>
  </si>
  <si>
    <t>82558</t>
  </si>
  <si>
    <t>Горшок д/цветов Альтернатива Лея 2,2л автополив белый М7928 /20/</t>
  </si>
  <si>
    <t>82585</t>
  </si>
  <si>
    <t>Горшок д/цветов Альтернатива Лея 2,2л автополив голубой М7931 /12/</t>
  </si>
  <si>
    <t>82586</t>
  </si>
  <si>
    <t>Горшок д/цветов Альтернатива Лея 2,2л автополив проз фиол. М8128 /20/</t>
  </si>
  <si>
    <t>82562</t>
  </si>
  <si>
    <t>Горшок д/цветов Альтернатива Лея 2,2л автополив прозрачный зеленый М8129 /20/</t>
  </si>
  <si>
    <t>82565</t>
  </si>
  <si>
    <t>Горшок д/цветов Альтернатива Лея 2,2л автополив св. зеленый М8267 /20/</t>
  </si>
  <si>
    <t>82578</t>
  </si>
  <si>
    <t>Горшок д/цветов Альтернатива Лея 3,6л автополив бежевый М7938 /12/</t>
  </si>
  <si>
    <t>82579</t>
  </si>
  <si>
    <t>Горшок д/цветов Альтернатива Лея 3,6л автополив белый М7929 /12/</t>
  </si>
  <si>
    <t>82510</t>
  </si>
  <si>
    <t>Горшок д/цветов Альтернатива Лея 3,6л автополив св. зеленый М8268 /20/</t>
  </si>
  <si>
    <t>82580</t>
  </si>
  <si>
    <t>Горшок д/цветов Альтернатива Лея 3,6л автополив серый М7935 /12/</t>
  </si>
  <si>
    <t>82581</t>
  </si>
  <si>
    <t>Горшок д/цветов Альтернатива Лея 5,0л автополив бежевый М7939 /12/</t>
  </si>
  <si>
    <t>82511</t>
  </si>
  <si>
    <t>Горшок д/цветов Альтернатива Лея 5,0л автополив зеленый М8269 /8/</t>
  </si>
  <si>
    <t>82583</t>
  </si>
  <si>
    <t>Горшок д/цветов Альтернатива Лея 5,0л автополив серый М7936 /12/</t>
  </si>
  <si>
    <t>82516</t>
  </si>
  <si>
    <t>Горшок д/цветов Альтернатива Лозанна 1,5л с под. белый М1610 /30/</t>
  </si>
  <si>
    <t>82543</t>
  </si>
  <si>
    <t>Горшок д/цветов Альтернатива Лозанна 11л с под. белый М1611 /30/</t>
  </si>
  <si>
    <t>82564</t>
  </si>
  <si>
    <t>Горшок д/цветов Альтернатива Лозанна 17л с под. белый М1612 /10/</t>
  </si>
  <si>
    <t>82566</t>
  </si>
  <si>
    <t>Горшок д/цветов Альтернатива Лозанна 3л с под. белый М1614 /30/</t>
  </si>
  <si>
    <t>82568</t>
  </si>
  <si>
    <t>Горшок д/цветов Альтернатива Лозанна 3л с под. квадратный белый М1615 /30/</t>
  </si>
  <si>
    <t>82577</t>
  </si>
  <si>
    <t>Горшок д/цветов Альтернатива Лозанна 3л с под. коричневый М7419 /30/</t>
  </si>
  <si>
    <t>82570</t>
  </si>
  <si>
    <t>Горшок д/цветов Альтернатива Лозанна 7л с под. белый М1468 /30/</t>
  </si>
  <si>
    <t>82572</t>
  </si>
  <si>
    <t>Горшок д/цветов Альтернатива Лозанна 8л с под. квадратный белый М1470 /30/</t>
  </si>
  <si>
    <t>82519</t>
  </si>
  <si>
    <t>Горшок д/цветов Альтернатива Эконом 1,0л с под. коричневый М6600 /28/</t>
  </si>
  <si>
    <t>82500</t>
  </si>
  <si>
    <t>Горшок д/цветов Альтернатива Эконом 10л с под. белый М7257 /18/</t>
  </si>
  <si>
    <t>82504</t>
  </si>
  <si>
    <t>Горшок д/цветов Альтернатива Эконом 2л с под. белый М7254 /30/</t>
  </si>
  <si>
    <t>82521</t>
  </si>
  <si>
    <t>Горшок д/цветов Альтернатива Эконом 2л с под. коричневый М6601 /30/</t>
  </si>
  <si>
    <t>82523</t>
  </si>
  <si>
    <t>Горшок д/цветов Альтернатива Эконом 3л с под. белый М7255 /30/</t>
  </si>
  <si>
    <t>82522</t>
  </si>
  <si>
    <t>Горшок д/цветов Альтернатива Эконом 3л с под. коричневый М6602 /30/</t>
  </si>
  <si>
    <t>826 Горшки для цветов</t>
  </si>
  <si>
    <t>82675</t>
  </si>
  <si>
    <t>Горшок д/цветов ДМ 10 см 0,5 л с поддоном терракот /30/</t>
  </si>
  <si>
    <t>82635</t>
  </si>
  <si>
    <t>Горшок д/цветов Платар 0,7 л с поддоном</t>
  </si>
  <si>
    <t>82695</t>
  </si>
  <si>
    <t>Горшок д/цветов Платар 1,0 л с поддоном</t>
  </si>
  <si>
    <t>82605</t>
  </si>
  <si>
    <t>Горшок д/цветов Платар 1,5 л с поддоном</t>
  </si>
  <si>
    <t>82680</t>
  </si>
  <si>
    <t>Горшок д/цветов Платар 10,0 л с поддоном</t>
  </si>
  <si>
    <t>82662</t>
  </si>
  <si>
    <t>Горшок д/цветов Платар 2,5 л с поддоном</t>
  </si>
  <si>
    <t>82663</t>
  </si>
  <si>
    <t>Горшок д/цветов Платар 3,5 л с поддоном</t>
  </si>
  <si>
    <t>82664</t>
  </si>
  <si>
    <t>Горшок д/цветов Платар 4,5 л с поддоном</t>
  </si>
  <si>
    <t>82661</t>
  </si>
  <si>
    <t>Горшок д/цветов Платар 6,0 л с поддоном</t>
  </si>
  <si>
    <t>82693</t>
  </si>
  <si>
    <t>Горшок д/цветов ПЦ Ajur 4,0 л Молочный шоколад ING6192МШОК /12/</t>
  </si>
  <si>
    <t>82685</t>
  </si>
  <si>
    <t>Горшок д/цветов ПЦ д/орхидей Д190 №3 Голубой прозрачный ING48019ГЛПР /40/</t>
  </si>
  <si>
    <t>82691</t>
  </si>
  <si>
    <t>Горшок д/цветов ПЦ д/орхидей Д190 №3 Малиновый прозрачный ING48019МЛПР /40/</t>
  </si>
  <si>
    <t>82649</t>
  </si>
  <si>
    <t>Горшок д/цветов ПЦ Крит Гранат Д200 3,6л прикорневой полив ING46020ГРНД /12/</t>
  </si>
  <si>
    <t>82697</t>
  </si>
  <si>
    <t>Горшок д/цветов ПЦ Фиджи Д160 1,6л  Английская роза ING1553АНГР</t>
  </si>
  <si>
    <t>82696</t>
  </si>
  <si>
    <t>Горшок д/цветов ПЦ Фиджи Д160 1,6л металлик бронза ING1553МТБР /16/</t>
  </si>
  <si>
    <t>827 Емкости из ПЭТ для продуктов</t>
  </si>
  <si>
    <t>82741</t>
  </si>
  <si>
    <t>Банка ПЭТ Альтернатива 0,5л М6223 /21/</t>
  </si>
  <si>
    <t>82747</t>
  </si>
  <si>
    <t>Банка ПЭТ Альтернатива 0,7л М6224 /21/</t>
  </si>
  <si>
    <t>82714</t>
  </si>
  <si>
    <t>Банка ПЭТ Альтернатива 1,0л М470 /12/</t>
  </si>
  <si>
    <t>82749</t>
  </si>
  <si>
    <t>Банка ПЭТ Альтернатива 1,5л М490 /12/</t>
  </si>
  <si>
    <t>82715</t>
  </si>
  <si>
    <t>Банка ПЭТ Альтернатива 2,0л М472 /12/</t>
  </si>
  <si>
    <t>82719</t>
  </si>
  <si>
    <t>Банка ПЭТ Альтернатива 3,0л М956 /10/</t>
  </si>
  <si>
    <t>82700</t>
  </si>
  <si>
    <t>Банка ПЭТ Альтернатива Боченок 1,0 л М947 /12/</t>
  </si>
  <si>
    <t>82768</t>
  </si>
  <si>
    <t>Банка ПЭТ Альтернатива Боченок 2,0 л М690 /12/</t>
  </si>
  <si>
    <t>82711</t>
  </si>
  <si>
    <t>Банка ПЭТ Альтернатива Медовая 0,5 л М965 /21/</t>
  </si>
  <si>
    <t>82713</t>
  </si>
  <si>
    <t>Банка ПЭТ Альтернатива Медовая 0,7 л М966 /21/</t>
  </si>
  <si>
    <t>82757</t>
  </si>
  <si>
    <t>Банка ПЭТ Альтернатива прямоугольная 3,0л М6608/10/</t>
  </si>
  <si>
    <t>82750</t>
  </si>
  <si>
    <t>Банка ПЭТ Альтернатива со сьемной ручкой 10,0 л М3055 /8/</t>
  </si>
  <si>
    <t>81001</t>
  </si>
  <si>
    <t>Банка ПЭТ Альтернатива со сьемной ручкой 3,0 л М493 /10/</t>
  </si>
  <si>
    <t>82710</t>
  </si>
  <si>
    <t>Банка ПЭТ Альтернатива со сьемной ручкой 5,0 л М494 /10/</t>
  </si>
  <si>
    <t>82735</t>
  </si>
  <si>
    <t>Банка ПЭТ Альтернатива Фаворит 0,7 л М6596 /20/</t>
  </si>
  <si>
    <t>82738</t>
  </si>
  <si>
    <t>Банка ПЭТ Альтернатива Фаворит 1,5 л М6597 /12/</t>
  </si>
  <si>
    <t>82753</t>
  </si>
  <si>
    <t>Банка ПЭТ Альтернатива Фаворит 2,2 л М6371 /12/</t>
  </si>
  <si>
    <t>82740</t>
  </si>
  <si>
    <t>Бидон ПЭТ Альтернатива Боченок 2,0л М688 /12/</t>
  </si>
  <si>
    <t>81093</t>
  </si>
  <si>
    <t>Бидон ПЭТ Альтернатива Боченок 5,0л М670 /10/</t>
  </si>
  <si>
    <t>82706</t>
  </si>
  <si>
    <t>Бидон ПЭТ Альтернатива крышка с ручкой 1,0л М469 /12/</t>
  </si>
  <si>
    <t>82731</t>
  </si>
  <si>
    <t>Бидон ПЭТ Альтернатива крышка с ручкой 1,5л М467 /12/</t>
  </si>
  <si>
    <t>82746</t>
  </si>
  <si>
    <t>Бидон ПЭТ Альтернатива крышка с ручкой 10,0л М3056 /8/</t>
  </si>
  <si>
    <t>82754</t>
  </si>
  <si>
    <t>Бидон ПЭТ Альтернатива крышка с ручкой 2,0л М461 /12/</t>
  </si>
  <si>
    <t>82748</t>
  </si>
  <si>
    <t>Бидон ПЭТ Альтернатива крышка с ручкой 3,0л М462 /12/</t>
  </si>
  <si>
    <t>82777</t>
  </si>
  <si>
    <t>Бидон ПЭТ Альтернатива крышка с ручкой 5,0л М464 /10/</t>
  </si>
  <si>
    <t>82704</t>
  </si>
  <si>
    <t>Бидон ПЭТ Альтернатива прямоугольный 3,0л М463 /10/</t>
  </si>
  <si>
    <t>82762</t>
  </si>
  <si>
    <t>Емкость ПЭТ Альтернатива с ручкой 1,0 М894 /12/</t>
  </si>
  <si>
    <t>82701</t>
  </si>
  <si>
    <t>Емкость ПЭТ Альтернатива с ручкой 1,5 М896 /12/</t>
  </si>
  <si>
    <t>82743</t>
  </si>
  <si>
    <t>Емкость ПЭТ Альтернатива с ручкой 2,0 М897 /12/</t>
  </si>
  <si>
    <t>82716</t>
  </si>
  <si>
    <t>Емкость ПЭТ Альтернатива с ручкой 3,0 М957 /10/</t>
  </si>
  <si>
    <t>82767</t>
  </si>
  <si>
    <t>Емкость ПЭТ Альтернатива с ручкой 5,0 М955 /10/</t>
  </si>
  <si>
    <t>82755</t>
  </si>
  <si>
    <t>Емкость ПЭТ Альтернатива универсальная 1 л с ручкой М468 /12/</t>
  </si>
  <si>
    <t>82709</t>
  </si>
  <si>
    <t>Емкость ПЭТ Альтернатива универсальная 1,5 л М466 /12/</t>
  </si>
  <si>
    <t>82744</t>
  </si>
  <si>
    <t>Емкость ПЭТ Альтернатива универсальная 10 л М3057 /8/</t>
  </si>
  <si>
    <t>82782</t>
  </si>
  <si>
    <t>Емкость ПЭТ Альтернатива универсальная 2,0 л М330 /12/</t>
  </si>
  <si>
    <t>82781</t>
  </si>
  <si>
    <t>Емкость ПЭТ Альтернатива универсальная 3,0 л М328 /10/</t>
  </si>
  <si>
    <t>82756</t>
  </si>
  <si>
    <t>Емкость ПЭТ Альтернатива универсальная 3,0 л прямоуг. М329 /10/</t>
  </si>
  <si>
    <t>82712</t>
  </si>
  <si>
    <t>Емкость ПЭТ Альтернатива универсальная 5 л М326 /10/</t>
  </si>
  <si>
    <t>828 Товары дя детей</t>
  </si>
  <si>
    <t>82927</t>
  </si>
  <si>
    <t>Ведро детское Альтернатива 1,5л 44 котенка М7641 /30/</t>
  </si>
  <si>
    <t>82848</t>
  </si>
  <si>
    <t>Горшок детский Альтернатива Кроха с крышкой розовый М6863 /7/10/</t>
  </si>
  <si>
    <t>82849</t>
  </si>
  <si>
    <t>Горшок детский Альтернатива Кроха с крышкой св.бирюзовый М6927 /7/10/</t>
  </si>
  <si>
    <t>82823</t>
  </si>
  <si>
    <t>Горшок детский Альтернатива Малышок с крышкой голубой М1324 /10/</t>
  </si>
  <si>
    <t>81212</t>
  </si>
  <si>
    <t>Горшок детский Альтернатива Малышок с крышкой М1527 /10/</t>
  </si>
  <si>
    <t>81255</t>
  </si>
  <si>
    <t>Горшок детский Платар с крышкой /25/</t>
  </si>
  <si>
    <t>82853</t>
  </si>
  <si>
    <t>Горшок детский Полимербыт Giraffix с крышкой С11873 /12/</t>
  </si>
  <si>
    <t>82852</t>
  </si>
  <si>
    <t>Горшок детский Полимербыт Giraffix С17373 /30/</t>
  </si>
  <si>
    <t>82851</t>
  </si>
  <si>
    <t>Горшок-стульчик детский Альтернатива 44 котенка М7642 /6/</t>
  </si>
  <si>
    <t>82827</t>
  </si>
  <si>
    <t>Горшок-стульчик детский Альтернатива голубой М1326 /6/</t>
  </si>
  <si>
    <t>82801</t>
  </si>
  <si>
    <t>Горшок-стульчик детский Альтернатива Лунтик М8607 /6/</t>
  </si>
  <si>
    <t>82809</t>
  </si>
  <si>
    <t>Горшок-стульчик детский Альтернатива св.фиолетов. М1327 /6/</t>
  </si>
  <si>
    <t>82813</t>
  </si>
  <si>
    <t>Горшок-стульчик детский Альтернатива Щенячий патруль д/мал М8145 /6/</t>
  </si>
  <si>
    <t>82949</t>
  </si>
  <si>
    <t>Лопатка детская Start 85 см голубой небесный LA3907BS /20/</t>
  </si>
  <si>
    <t>82950</t>
  </si>
  <si>
    <t>Лопатка детская Start 85 см зеленый LA3907GR /20/</t>
  </si>
  <si>
    <t>82925</t>
  </si>
  <si>
    <t>Лопатка детская Альтернатива 540 мсм желто-оранжевый М8290 /14/</t>
  </si>
  <si>
    <t>82929</t>
  </si>
  <si>
    <t>Набор детский для игры с песком №5 М2110 /12/</t>
  </si>
  <si>
    <t>82926</t>
  </si>
  <si>
    <t>Набор детский для игры с песком №5 М6254 /28/</t>
  </si>
  <si>
    <t>829 Контейнеры для продуктов</t>
  </si>
  <si>
    <t>82904</t>
  </si>
  <si>
    <t>Емкость Альтернатива Лайт 1,5 л универсальная бежевая М8784 /24/</t>
  </si>
  <si>
    <t>81834</t>
  </si>
  <si>
    <t>Емкость Альтернатива Лайт 1,5 л универсальная М5544 /24/</t>
  </si>
  <si>
    <t>82910</t>
  </si>
  <si>
    <t>Емкость Альтернатива Лайт 2,0 л универсальная бежевая М8786 /16/</t>
  </si>
  <si>
    <t>81817</t>
  </si>
  <si>
    <t>Емкость Альтернатива Лайт 2,0 л универсальная М5543 /16/</t>
  </si>
  <si>
    <t>81880</t>
  </si>
  <si>
    <t>Емкость Альтернатива Лайт 3,0 л универсальная М5542 /24/</t>
  </si>
  <si>
    <t>81855</t>
  </si>
  <si>
    <t>Емкость Ассорти 2,0л Мечта хозяйки М1255 /22/</t>
  </si>
  <si>
    <t>81942</t>
  </si>
  <si>
    <t>Емкость для продуктов М-пластика Практик 0,8 л Салатовый М1462 /26/</t>
  </si>
  <si>
    <t>81622</t>
  </si>
  <si>
    <t>Контейнер Fitness д/прод 1,7 л прямоугольный /24/</t>
  </si>
  <si>
    <t>40194</t>
  </si>
  <si>
    <t>Контейнер Альтернатива 1,7 л Престиж Ягоды универс М2195 /16/</t>
  </si>
  <si>
    <t>81801</t>
  </si>
  <si>
    <t>Контейнер Альтернатива д/заморозки 1,0 л М8510 /15/</t>
  </si>
  <si>
    <t>81816</t>
  </si>
  <si>
    <t>Контейнер Альтернатива д/заморозки 1,7 л М8511 /18/</t>
  </si>
  <si>
    <t>81819</t>
  </si>
  <si>
    <t>Контейнер Альтернатива д/заморозки 2,0 л М3494 /18/</t>
  </si>
  <si>
    <t>81846</t>
  </si>
  <si>
    <t>Контейнер Виолет д/прод Fresco 0,25л прямоуг  Бриз /24/</t>
  </si>
  <si>
    <t>81835</t>
  </si>
  <si>
    <t>Контейнер Виолет д/прод Fresco 0,25л прямоуг Лаванда /24/</t>
  </si>
  <si>
    <t>81833</t>
  </si>
  <si>
    <t>Контейнер Виолет д/прод Fresco 0,5л прямоуг Бриз /24/</t>
  </si>
  <si>
    <t>81820</t>
  </si>
  <si>
    <t>Контейнер Виолет д/прод Fresco 0,5л прямоуг Лаванда /24/</t>
  </si>
  <si>
    <t>81865</t>
  </si>
  <si>
    <t>Контейнер Виолет д/прод Fresco 1л прямоуг Лаванда /15/</t>
  </si>
  <si>
    <t>81616</t>
  </si>
  <si>
    <t>Контейнер Виолет д/прод А-Ля Париж 0,5л прямоуг /30/</t>
  </si>
  <si>
    <t>81611</t>
  </si>
  <si>
    <t>Контейнер Виолет д/прод Герберы 1,1л прямоуг /20/</t>
  </si>
  <si>
    <t>81646</t>
  </si>
  <si>
    <t>Контейнер Виолет д/прод Герберы 1,6л прямоуг /16/</t>
  </si>
  <si>
    <t>81894</t>
  </si>
  <si>
    <t>Контейнер Виолет д/прод Герберы 2,1л прямоуг /12/</t>
  </si>
  <si>
    <t>81898</t>
  </si>
  <si>
    <t>Контейнер Виолет д/прод Колибри 0,5л прямоуг /30/</t>
  </si>
  <si>
    <t>82905</t>
  </si>
  <si>
    <t>Контейнер Виолет д/прод Колибри 0,8л прямоуг /18/</t>
  </si>
  <si>
    <t>81649</t>
  </si>
  <si>
    <t>Контейнер Виолет д/прод Колибри 1,1л прямоуг /20/</t>
  </si>
  <si>
    <t>81632</t>
  </si>
  <si>
    <t>Контейнер Виолет д/прод Колибри 1,6л прямоуг /16/</t>
  </si>
  <si>
    <t>81893</t>
  </si>
  <si>
    <t>Контейнер Виолет д/прод Колибри 2,1л прямоуг /12/</t>
  </si>
  <si>
    <t>81647</t>
  </si>
  <si>
    <t>Контейнер Виолет д/прод Мята 1,1л прямоуг /20/</t>
  </si>
  <si>
    <t>81618</t>
  </si>
  <si>
    <t>Контейнер Виолет д/прод Мята 1,6л прямоуг /16/</t>
  </si>
  <si>
    <t>81867</t>
  </si>
  <si>
    <t>Контейнер Виолет д/прод Мята 2,1л прямоуг /12/</t>
  </si>
  <si>
    <t>81886</t>
  </si>
  <si>
    <t>Контейнер д/прод. с крышкой Веселая семейка 800 мл полипропилен 829-197 /96/</t>
  </si>
  <si>
    <t>82907</t>
  </si>
  <si>
    <t>Контейнер Полимербыт д/прод Toile de Jouy 0,4 л пудра С77114 /24/</t>
  </si>
  <si>
    <t>82912</t>
  </si>
  <si>
    <t>Контейнер Полимербыт д/прод Toile de Jouy 0,9 л пудра С77214 /12/</t>
  </si>
  <si>
    <t>82931</t>
  </si>
  <si>
    <t>Контейнер Полимербыт д/прод Toile de Jouy 1,65 л пудра С77314 /12/</t>
  </si>
  <si>
    <t>82938</t>
  </si>
  <si>
    <t>Контейнер Полимербыт д/прод Английская зима 1,9 л кругл. С51742 /12/</t>
  </si>
  <si>
    <t>82936</t>
  </si>
  <si>
    <t>Контейнеры для продуктов пласт. 0,33 л 3 шт 3 цв 861-287 /16/</t>
  </si>
  <si>
    <t>82937</t>
  </si>
  <si>
    <t>Контейнеры для продуктов пласт. 1,0 л 1,6 л 2 шт 861-312 /18/</t>
  </si>
  <si>
    <t>81814</t>
  </si>
  <si>
    <t>Контейнеры для продуктов пласт. круглые 3 цв 893-109 /4/</t>
  </si>
  <si>
    <t>830 Масленки/Сахарницы</t>
  </si>
  <si>
    <t>83068</t>
  </si>
  <si>
    <t>Масленка Vetta пластик 17*9*6,5 см 3 цв. 861-252 /10/</t>
  </si>
  <si>
    <t>83047</t>
  </si>
  <si>
    <t>Масленка Альтернатива Лакомка М1765 /19/</t>
  </si>
  <si>
    <t>83036</t>
  </si>
  <si>
    <t>Масленка Альтернатива Мозаика бело-красная М5569 /20/</t>
  </si>
  <si>
    <t>83039</t>
  </si>
  <si>
    <t>Масленка Альтернатива Мозаика бело-прозрачная М5571 /20/</t>
  </si>
  <si>
    <t>81735</t>
  </si>
  <si>
    <t>Масленка Альтернатива Смак М384 /18/</t>
  </si>
  <si>
    <t>81756</t>
  </si>
  <si>
    <t>Масленка Альтернатива Смак Эконом М3946 /30/</t>
  </si>
  <si>
    <t>83038</t>
  </si>
  <si>
    <t>Масленка Полимербыт 0,75 л С238 /38/</t>
  </si>
  <si>
    <t>83046</t>
  </si>
  <si>
    <t>Масленка Полимербыт 0,75 л С338 /42/</t>
  </si>
  <si>
    <t>83012</t>
  </si>
  <si>
    <t>Масленка Полимербыт 0,75 л С789 /16/</t>
  </si>
  <si>
    <t>81722</t>
  </si>
  <si>
    <t>Сахарница Альтернатива Богема с крышкой М389 /15/</t>
  </si>
  <si>
    <t>81739</t>
  </si>
  <si>
    <t>Сахарница Альтернатива Виктория 0,5 л с крышкой М4285 /16/</t>
  </si>
  <si>
    <t>81733</t>
  </si>
  <si>
    <t>Сахарница Альтернатива Виктория 0,5 л с крышкой фиолет. М4290 /16/</t>
  </si>
  <si>
    <t>81745</t>
  </si>
  <si>
    <t>Сахарница Альтернатива Восторг М1214 /26/</t>
  </si>
  <si>
    <t>81905</t>
  </si>
  <si>
    <t>Сахарница Альтернатива Горошек 0,5 л с крышкой бело-зеленая М2748 /24/</t>
  </si>
  <si>
    <t>83058</t>
  </si>
  <si>
    <t>Сахарница Альтернатива Джелли 0,39л с/лож бежевый М8296 /12/</t>
  </si>
  <si>
    <t>83064</t>
  </si>
  <si>
    <t>Сахарница Альтернатива Джелли 0,39л с/лож белый М8295 /12/</t>
  </si>
  <si>
    <t>81787</t>
  </si>
  <si>
    <t>Сахарница Альтернатива Меланж с/к 0,5 бежевый М7047 /24/</t>
  </si>
  <si>
    <t>81726</t>
  </si>
  <si>
    <t>Сахарница Альтернатива Меланж с/к 0,5 бирюзовый М6025 /24/</t>
  </si>
  <si>
    <t>81778</t>
  </si>
  <si>
    <t>Сахарница Альтернатива Меланж с/к 0,5 желтый М6026 /24/</t>
  </si>
  <si>
    <t>81790</t>
  </si>
  <si>
    <t>Сахарница Альтернатива Меланж с/к 0,5 красный М6028 /24/</t>
  </si>
  <si>
    <t>81701</t>
  </si>
  <si>
    <t>Сахарница Альтернатива Меланж с/к 0,5 розовый М7083 /24/</t>
  </si>
  <si>
    <t>81746</t>
  </si>
  <si>
    <t>Сахарница Альтернатива Сластена с дозатором М1699 М1699 /32/</t>
  </si>
  <si>
    <t>81708</t>
  </si>
  <si>
    <t>Сахарница Альтернатива Сластена с дозатором св. бежевый М7577 /32/</t>
  </si>
  <si>
    <t>83070</t>
  </si>
  <si>
    <t>Сахарница Альтернатива Шарм 0,35л с/к белый М7339 /16/</t>
  </si>
  <si>
    <t>81728</t>
  </si>
  <si>
    <t>Сахарница Альтернатива Шарм 0,35л с/к прозрачный М7333 /16/</t>
  </si>
  <si>
    <t>83072</t>
  </si>
  <si>
    <t>Сахарница Альтернатива Шарм 0,35л с/к тонированный М7334 /16/</t>
  </si>
  <si>
    <t>83034</t>
  </si>
  <si>
    <t>Сахарница М-пластика Вязание 0,45 л Чайная роза М1197 /20/</t>
  </si>
  <si>
    <t>831 Веники/совки с ручкой</t>
  </si>
  <si>
    <t>81919</t>
  </si>
  <si>
    <t>Веник Альтернатива жесткий М862 /24/</t>
  </si>
  <si>
    <t>81900</t>
  </si>
  <si>
    <t>Веник Альтернатива Комфорт-люкс жесткий с черенком М1267 /22/</t>
  </si>
  <si>
    <t>83113</t>
  </si>
  <si>
    <t>Веник Альтернатива мини жесткий М2172 /42/</t>
  </si>
  <si>
    <t>83124</t>
  </si>
  <si>
    <t>Веник Альтернатива Танго жесткий синий М7306 /12/</t>
  </si>
  <si>
    <t>83102</t>
  </si>
  <si>
    <t>Комплект Комфорт №1 мягкий синий-серый М6977 /10/</t>
  </si>
  <si>
    <t>83108</t>
  </si>
  <si>
    <t>Комплект Комфорт №1 совок+веник жесткий М1191 /10/</t>
  </si>
  <si>
    <t>83122</t>
  </si>
  <si>
    <t>Комплект Комфорт №2 совок+веник мягкий М1171 /10/</t>
  </si>
  <si>
    <t>83101</t>
  </si>
  <si>
    <t>Комплект совок+веник пластик мет. 445-391 /12/</t>
  </si>
  <si>
    <t>83111</t>
  </si>
  <si>
    <t>Совок для мусора с черенком М1022 /22/</t>
  </si>
  <si>
    <t>832 Дуршлаки/мерные емкости из пластика</t>
  </si>
  <si>
    <t>83202</t>
  </si>
  <si>
    <t>Дуршлаг Альтернатива для промывания крупы бежевый М8199 /8/12/</t>
  </si>
  <si>
    <t>83218</t>
  </si>
  <si>
    <t>Дуршлаг Альтернатива для промывания крупы белый М8160 /8/12/</t>
  </si>
  <si>
    <t>83284</t>
  </si>
  <si>
    <t>Дуршлаг Альтернатива Мария на кастрюлю 1,9 л М5965 /25/</t>
  </si>
  <si>
    <t>83285</t>
  </si>
  <si>
    <t>Дуршлаг Альтернатива с раздвижным дном 3,0 л М5964 /16/</t>
  </si>
  <si>
    <t>83220</t>
  </si>
  <si>
    <t>Дуршлаг Альтернатива с ручкой 3л М597 /14/</t>
  </si>
  <si>
    <t>83227</t>
  </si>
  <si>
    <t>Дуршлаг Альтернатива с чашей 3л М592 /10/</t>
  </si>
  <si>
    <t>83212</t>
  </si>
  <si>
    <t>Дуршлаг Д28,5 см высота 13 см БМ76-226 /20/</t>
  </si>
  <si>
    <t>83203</t>
  </si>
  <si>
    <t>Дуршлаг с чашей Дабл 1,2л VL11-121 /12/</t>
  </si>
  <si>
    <t>83205</t>
  </si>
  <si>
    <t>Дуршлаг-фруктомойка Альтернатива М1154 /17/</t>
  </si>
  <si>
    <t>83209</t>
  </si>
  <si>
    <t>Дуршлаг-фруктомойка Альтернатива Райский сад 350 мм белый М6212 /25/</t>
  </si>
  <si>
    <t>83208</t>
  </si>
  <si>
    <t>Емкость мерная 1,5л 035 892-067 /15/</t>
  </si>
  <si>
    <t>80694</t>
  </si>
  <si>
    <t>Емкость мерная 1л Cristallo микс ПЦ3066МИКС</t>
  </si>
  <si>
    <t>83210</t>
  </si>
  <si>
    <t>Емкость мерная 1л МТ76-77 /6/36/</t>
  </si>
  <si>
    <t>80682</t>
  </si>
  <si>
    <t>Емкость мерная 1л пластик 861-114 /5/120/</t>
  </si>
  <si>
    <t>83254</t>
  </si>
  <si>
    <t>Емкость мерная EH 250мл 15458 /50/</t>
  </si>
  <si>
    <t>81467</t>
  </si>
  <si>
    <t>Емкость мерная Альтернатива 1,0л М323 /15/</t>
  </si>
  <si>
    <t>83253</t>
  </si>
  <si>
    <t>Емкость мерная Альтернатива 2,5л прозр. М6772 /12/</t>
  </si>
  <si>
    <t>83201</t>
  </si>
  <si>
    <t>Емкость мерная Полимербыт 1,0 л пластик С116 /36/</t>
  </si>
  <si>
    <t>83255</t>
  </si>
  <si>
    <t>Ложки мерные 5 шт 5 цв VL80-244 /12/</t>
  </si>
  <si>
    <t>83290</t>
  </si>
  <si>
    <t>Ложки мерные 6 шт AN80-245 /6/</t>
  </si>
  <si>
    <t>80659</t>
  </si>
  <si>
    <t>Ложки мерные Малибу 884-440 /3/</t>
  </si>
  <si>
    <t>83206</t>
  </si>
  <si>
    <t>Ложки мерные Ягодный десерт 4 шт + сепаратор для яиц VL80-298 /12/</t>
  </si>
  <si>
    <t>833-850 Бытовая химия</t>
  </si>
  <si>
    <t>833 Жидкие гвозди</t>
  </si>
  <si>
    <t>83318</t>
  </si>
  <si>
    <t>Жидкие гвозди Hauser для панелей и молдингов №910 260мл /12/ хранение до+5</t>
  </si>
  <si>
    <t>83309</t>
  </si>
  <si>
    <t>Жидкие гвозди Hauser для пенополистиропа 310гр белый</t>
  </si>
  <si>
    <t>83331</t>
  </si>
  <si>
    <t>Жидкие гвозди Hauser сверхпрочный №901 260мл /12/</t>
  </si>
  <si>
    <t>83311</t>
  </si>
  <si>
    <t>Жидкие гвозди Hauser универсальные 285гр. прозрачный /12/</t>
  </si>
  <si>
    <t>83333</t>
  </si>
  <si>
    <t>Жидкие гвозди Hauser универсальные №601 260мл /12/</t>
  </si>
  <si>
    <t>83325</t>
  </si>
  <si>
    <t>Жидкие гвозди Hauser универсальные ЭКО №604 260мл /12/ хранение до+5</t>
  </si>
  <si>
    <t>83346</t>
  </si>
  <si>
    <t>Жидкие гвозди Hauser универсальные180гр. белый</t>
  </si>
  <si>
    <t>83347</t>
  </si>
  <si>
    <t>Жидкие гвозди Hauser универсальные180гр. прозрачный /12/ хранение до+5</t>
  </si>
  <si>
    <t>83344</t>
  </si>
  <si>
    <t>Жидкие гвозди TYTAN Professional Classic fix 100мл прозрачный в шоу-боксе /10/</t>
  </si>
  <si>
    <t>83300</t>
  </si>
  <si>
    <t>Жидкие гвозди TYTAN Professional Classic fix 310мл прозрачный /12/</t>
  </si>
  <si>
    <t>83323</t>
  </si>
  <si>
    <t>Жидкие гвозди TYTAN Professional Heavy duty бежеый 310мл /12/</t>
  </si>
  <si>
    <t>83334</t>
  </si>
  <si>
    <t>Жидкие гвозди TYTAN Professional Hydro fix 150мл хранение до+5 /12/</t>
  </si>
  <si>
    <t>83303</t>
  </si>
  <si>
    <t>Жидкие гвозди TYTAN Professional Hydro fix проз. 310мл хранение до+5 /12/</t>
  </si>
  <si>
    <t>83341</t>
  </si>
  <si>
    <t>Жидкие гвозди TYTAN Professional декор экспресс 210г /12/ хранение до +5</t>
  </si>
  <si>
    <t>83337</t>
  </si>
  <si>
    <t>Жидкие гвозди TYTAN Professional декор экспресс 310мл /12/ хранение до +5</t>
  </si>
  <si>
    <t>83320</t>
  </si>
  <si>
    <t>Жидкие гвозди TYTAN Professional для ванных комнат №915 белый 440г хранение до +5 /12/</t>
  </si>
  <si>
    <t>83336</t>
  </si>
  <si>
    <t>Жидкие гвозди TYTAN Professional для зеркал 310мл /12/</t>
  </si>
  <si>
    <t>83321</t>
  </si>
  <si>
    <t>Жидкие гвозди TYTAN Professional для зеркал №930 бежевый 380г /12/</t>
  </si>
  <si>
    <t>83332</t>
  </si>
  <si>
    <t>Жидкие гвозди TYTAN Professional керамика и камень 310мл хранение до +5 /12/</t>
  </si>
  <si>
    <t>83327</t>
  </si>
  <si>
    <t>Жидкие гвозди TYTAN Professional панели и молдинги 310мл /12/</t>
  </si>
  <si>
    <t>83324</t>
  </si>
  <si>
    <t>Жидкие гвозди TYTAN Professional сверхпрочные №901 бежевый 390г /12/</t>
  </si>
  <si>
    <t>83319</t>
  </si>
  <si>
    <t>Жидкие гвозди TYTAN Professional строительный для панелей молдингов №910 белый 440г/12/хранение до+5</t>
  </si>
  <si>
    <t>83314</t>
  </si>
  <si>
    <t>Жидкие гвозди TYTAN Professional универсальные №601 бежевый 405г /12/</t>
  </si>
  <si>
    <t>83329</t>
  </si>
  <si>
    <t>Жидкие гвозди TYTAN Professional универсальный Эко №604 белый 440г хранение до+5 /12/</t>
  </si>
  <si>
    <t>83302</t>
  </si>
  <si>
    <t>Жидкие гвозди ULTIMA 306, для всех видов работ, 360 г /12/</t>
  </si>
  <si>
    <t>83350</t>
  </si>
  <si>
    <t>Жидкие гвозди- герметик TYTAN Professional Fix2 Elastic 290г., белый /12/ хранение до+5</t>
  </si>
  <si>
    <t>83357</t>
  </si>
  <si>
    <t>Жидкие гвозди- герметик TYTAN Professional PROГЕРОЙ 290мл, белый /12/</t>
  </si>
  <si>
    <t>83301</t>
  </si>
  <si>
    <t>Жидкие гвозди- герметик TYTAN Professional PU Express Fix 290г /12/ хранение до+5</t>
  </si>
  <si>
    <t>834 Холодная сварка</t>
  </si>
  <si>
    <t>83406</t>
  </si>
  <si>
    <t>Холодная сварка TYTAN Professional для напольных покрытий из ПВХ и пластика 100г /18/</t>
  </si>
  <si>
    <t>835 Колеры</t>
  </si>
  <si>
    <t>83552</t>
  </si>
  <si>
    <t>Паста колеровочная Farbitex универсальная аметист 0,1л /6/</t>
  </si>
  <si>
    <t>83556</t>
  </si>
  <si>
    <t>Паста колеровочная Farbitex универсальная зеленый 0,1л /6/</t>
  </si>
  <si>
    <t>83558</t>
  </si>
  <si>
    <t>Паста колеровочная Farbitex универсальная коралл 0,1л /6/</t>
  </si>
  <si>
    <t>83561</t>
  </si>
  <si>
    <t>Паста колеровочная Farbitex универсальная лаванда 0,1л /6/</t>
  </si>
  <si>
    <t>83560</t>
  </si>
  <si>
    <t>Паста колеровочная Farbitex универсальная лазурь 0,1л /6/</t>
  </si>
  <si>
    <t>83562</t>
  </si>
  <si>
    <t>Паста колеровочная Farbitex универсальная лайм 0,1л /6/</t>
  </si>
  <si>
    <t>83563</t>
  </si>
  <si>
    <t>Паста колеровочная Farbitex универсальная лимонный 0,1л /6/</t>
  </si>
  <si>
    <t>83564</t>
  </si>
  <si>
    <t>Паста колеровочная Farbitex универсальная мандариновый 0,1л /6/</t>
  </si>
  <si>
    <t>83565</t>
  </si>
  <si>
    <t>Паста колеровочная Farbitex универсальная медный 0,1л /6/</t>
  </si>
  <si>
    <t>83575</t>
  </si>
  <si>
    <t>Паста колеровочная Farbitex универсальная нефрит 0,1л /6/</t>
  </si>
  <si>
    <t>83568</t>
  </si>
  <si>
    <t>Паста колеровочная Farbitex универсальная розовый 0,1л /6/</t>
  </si>
  <si>
    <t>83569</t>
  </si>
  <si>
    <t>Паста колеровочная Farbitex универсальная рубин 0,1л /6/</t>
  </si>
  <si>
    <t>83572</t>
  </si>
  <si>
    <t>Паста колеровочная Farbitex универсальная ярко-желтый 0,1л /6/</t>
  </si>
  <si>
    <t>836 Клеи обойные</t>
  </si>
  <si>
    <t>83623</t>
  </si>
  <si>
    <t>Клей обойный Мастер Кляйн виниловый 2*250гр /30/</t>
  </si>
  <si>
    <t>72141</t>
  </si>
  <si>
    <t>Клей обойный Экон Виниловый 200гр /24/</t>
  </si>
  <si>
    <t>82909</t>
  </si>
  <si>
    <t>Клей обойный Экон Универсальный 200гр /24/</t>
  </si>
  <si>
    <t>72142</t>
  </si>
  <si>
    <t>Клей обойный Экон Флизелиновый 200гр /12/</t>
  </si>
  <si>
    <t>837 Эмали FARBITEX/прочие</t>
  </si>
  <si>
    <t>82467</t>
  </si>
  <si>
    <t>Эмаль FARBITEX ПФ-115 0,9кг алк. голубая /14/</t>
  </si>
  <si>
    <t>83740</t>
  </si>
  <si>
    <t>Эмаль FARBITEX ПФ-115 0,9кг алк. морская волна /14/</t>
  </si>
  <si>
    <t>83721</t>
  </si>
  <si>
    <t>Эмаль FARBITEX ПФ-115 1,9кг алк. желтая (Фарбен) /6/</t>
  </si>
  <si>
    <t>83770</t>
  </si>
  <si>
    <t>Эмаль Лакра ПФ-115 0,9кг алк. белая /10/</t>
  </si>
  <si>
    <t>83783</t>
  </si>
  <si>
    <t>Эмаль Лакра ПФ-115 1,0кг алк. белая матовая /10/</t>
  </si>
  <si>
    <t>83777</t>
  </si>
  <si>
    <t>Эмаль Лакра ПФ-115 1,9кг алк. белая /3/</t>
  </si>
  <si>
    <t>83792</t>
  </si>
  <si>
    <t>Эмаль Лакра ПФ-115 2,0кг алк. белая матовая /3/</t>
  </si>
  <si>
    <t>83781</t>
  </si>
  <si>
    <t>Эмаль Лакра ПФ-115 2,8кг алк. белая /3/</t>
  </si>
  <si>
    <t>83796</t>
  </si>
  <si>
    <t>Эмаль Лакра ПФ-115 3,0кг алк. белая матовая /3/</t>
  </si>
  <si>
    <t>83791</t>
  </si>
  <si>
    <t>Эмаль Лакра ПФ-266 2,0кг желто-коричневая /3/</t>
  </si>
  <si>
    <t>83795</t>
  </si>
  <si>
    <t>Эмаль Лакра ПФ-266 2,0кг золотисто-коричневая /3/</t>
  </si>
  <si>
    <t>83789</t>
  </si>
  <si>
    <t>Эмаль Лакра ПФ-266 2,0кг красно-коричневая /3/</t>
  </si>
  <si>
    <t>83790</t>
  </si>
  <si>
    <t>Эмаль термостойкая TERMO PROFI до 400С, белая, 0,5л стекло/0,6кг /6/</t>
  </si>
  <si>
    <t>83797</t>
  </si>
  <si>
    <t>Эмаль термостойкая TERMO PROFI до 650С, серебристо-серая, 0,5кг /6/</t>
  </si>
  <si>
    <t>83793</t>
  </si>
  <si>
    <t>Эмаль термостойкая TERMO PROFI до 650С, черная, 0,5кг /6/</t>
  </si>
  <si>
    <t>838 Герметики</t>
  </si>
  <si>
    <t>83821</t>
  </si>
  <si>
    <t>Анкер химический TYTAN Professional универсальный EVI-165 /5/</t>
  </si>
  <si>
    <t>83822</t>
  </si>
  <si>
    <t>Анкер химический TYTAN Professional универсальный EVI-300 /5/</t>
  </si>
  <si>
    <t>83851</t>
  </si>
  <si>
    <t>Герметик Hauser ACRI акриловый белый 260 мл /24/</t>
  </si>
  <si>
    <t>83818</t>
  </si>
  <si>
    <t>Герметик Hauser UNI силиконовый универсальный белый 260 мл /24/</t>
  </si>
  <si>
    <t>83849</t>
  </si>
  <si>
    <t>Герметик Hauser UNI силиконовый универсальный прозр. 260 мл /24/</t>
  </si>
  <si>
    <t>83863</t>
  </si>
  <si>
    <t>Герметик PROFFLEX силикон санитарный прозрачный 260мл /12/</t>
  </si>
  <si>
    <t>83865</t>
  </si>
  <si>
    <t>Герметик PROFFLEX силикон универсальный белый 260мл /12/</t>
  </si>
  <si>
    <t>83864</t>
  </si>
  <si>
    <t>Герметик PROFFLEX силикон универсальный прозрач. 260мл /12/</t>
  </si>
  <si>
    <t>83847</t>
  </si>
  <si>
    <t>Герметик TYTAN Professional PROГЕРОЙ универсальный белый 280мл /12/</t>
  </si>
  <si>
    <t>83840</t>
  </si>
  <si>
    <t>Герметик TYTAN Professional PROГЕРОЙ универсальный бесцветн. 280мл /12/</t>
  </si>
  <si>
    <t>83817</t>
  </si>
  <si>
    <t>Герметик TYTAN Professional PU 40 полиуретановый серый 310мл /12/</t>
  </si>
  <si>
    <t>83895</t>
  </si>
  <si>
    <t>Герметик TYTAN Professional акриловый Наружный Паропроницаемый 7кг</t>
  </si>
  <si>
    <t>83889</t>
  </si>
  <si>
    <t>Герметик TYTAN Professional битумно-каучуковый для кровли черный 310мл /12/</t>
  </si>
  <si>
    <t>83857</t>
  </si>
  <si>
    <t>Герметик TYTAN Professional битумный для кровли черный 310мл /12/</t>
  </si>
  <si>
    <t>83825</t>
  </si>
  <si>
    <t>Герметик TYTAN Professional для каминов черный 280мл /12/</t>
  </si>
  <si>
    <t>83893</t>
  </si>
  <si>
    <t>Герметик TYTAN Professional каучуковый для кровли коричневый 310мл /12/</t>
  </si>
  <si>
    <t>83890</t>
  </si>
  <si>
    <t>Герметик TYTAN Professional каучуковый для кровли красный 310мл /12/</t>
  </si>
  <si>
    <t>83891</t>
  </si>
  <si>
    <t>Герметик TYTAN Professional каучуковый для кровли черный 310мл /12/</t>
  </si>
  <si>
    <t>83845</t>
  </si>
  <si>
    <t>Герметик TYTAN Professional силикон высокотемпературный красный 280мл /12/</t>
  </si>
  <si>
    <t>83881</t>
  </si>
  <si>
    <t>Герметик TYTAN Professional силикон санитарн. белый 280мл /12/</t>
  </si>
  <si>
    <t>83858</t>
  </si>
  <si>
    <t>Герметик TYTAN Professional силикон санитарн. белый 85мл /12/</t>
  </si>
  <si>
    <t>83884</t>
  </si>
  <si>
    <t>Герметик TYTAN Professional силикон санитарн. бесцветный 280мл /12/</t>
  </si>
  <si>
    <t>83859</t>
  </si>
  <si>
    <t>Герметик TYTAN Professional силикон санитарн. бесцветный 85мл /12/</t>
  </si>
  <si>
    <t>83806</t>
  </si>
  <si>
    <t>Герметик TYTAN Professional силикон универсальный белый 85мл /12/</t>
  </si>
  <si>
    <t>83886</t>
  </si>
  <si>
    <t>Герметик TYTAN Professional силикон универсальный бесцветн. 280мл /12/</t>
  </si>
  <si>
    <t>83808</t>
  </si>
  <si>
    <t>Герметик TYTAN Professional силикон универсальный бесцветн. 85мл /12/</t>
  </si>
  <si>
    <t>83866</t>
  </si>
  <si>
    <t>Герметик TYTAN Professional силиконовый нейтральный для кровли и водостоков коричневый 310мл /12/</t>
  </si>
  <si>
    <t>83856</t>
  </si>
  <si>
    <t>Герметик Ultima в блистере силиконовый санитарный белый 80 мл /12/</t>
  </si>
  <si>
    <t>83841</t>
  </si>
  <si>
    <t>Герметик Ultima в блистере силиконовый универсальный белый 80 мл /12/</t>
  </si>
  <si>
    <t>83842</t>
  </si>
  <si>
    <t>Герметик Ultima в блистере силиконовый универсальный бесцветный 80 мл /12/</t>
  </si>
  <si>
    <t>83826</t>
  </si>
  <si>
    <t>Герметик Ремонт на 100% U силиконовый универсальный белый 260 мл /24/</t>
  </si>
  <si>
    <t>83896</t>
  </si>
  <si>
    <t>Очиститель TYTAN Professional TL-40C универсальный 400мл /12/</t>
  </si>
  <si>
    <t>839 Пена монтажная</t>
  </si>
  <si>
    <t>83961</t>
  </si>
  <si>
    <t>Клей-пена д/кладки газобетона и керамических блоков POLYNOR THERMO BLOCK /12/</t>
  </si>
  <si>
    <t>83955</t>
  </si>
  <si>
    <t>Клей-пена д/кладки газобетона и керамических блоков TYTAN EURO 870мл/12/</t>
  </si>
  <si>
    <t>83968</t>
  </si>
  <si>
    <t>Клей-пена д/теплоизоляции POLYNOR FIXO /12/</t>
  </si>
  <si>
    <t>83924</t>
  </si>
  <si>
    <t>Клей-пена универсальный PROFFIX 100 850мл (900г) /12/</t>
  </si>
  <si>
    <t>83971</t>
  </si>
  <si>
    <t>Клей-пена универсальный REALIST FIX PRO всесезонная 870 мл /12/</t>
  </si>
  <si>
    <t>83959</t>
  </si>
  <si>
    <t>Клей-пена универсальный TYTAN Быстрый 60 СЕКУНД GUN 750 мл /12/</t>
  </si>
  <si>
    <t>83922</t>
  </si>
  <si>
    <t>Напыляемый утеплитель POLYNOR ППУ</t>
  </si>
  <si>
    <t>83952</t>
  </si>
  <si>
    <t>Напыляемый утеплитель PROFFLEX t-FLEX</t>
  </si>
  <si>
    <t>83960</t>
  </si>
  <si>
    <t>Очиститель для затвердевшей пены HAUSER 420г /12/</t>
  </si>
  <si>
    <t>83981</t>
  </si>
  <si>
    <t>Очиститель для затвердевшей пены PROFFLEX Hard 420мл /12/</t>
  </si>
  <si>
    <t>83996</t>
  </si>
  <si>
    <t>Очиститель для затвердевшей пены TYTAN Professional 300мл /6/</t>
  </si>
  <si>
    <t>83901</t>
  </si>
  <si>
    <t>Очиститель пены HAUSER 260мл 360г /12/</t>
  </si>
  <si>
    <t>83912</t>
  </si>
  <si>
    <t>Очиститель пены POLYNOR 500мл, 420г /12/</t>
  </si>
  <si>
    <t>83916</t>
  </si>
  <si>
    <t>Очиститель пены REALIST 500мл (410г) /12/</t>
  </si>
  <si>
    <t>82154</t>
  </si>
  <si>
    <t>Очиститель пены TYTAN ECO 500мл /12/</t>
  </si>
  <si>
    <t>83929</t>
  </si>
  <si>
    <t>Пена монтажная бытов. Hauser BASE всесезонная 400мл /12/</t>
  </si>
  <si>
    <t>83978</t>
  </si>
  <si>
    <t>Пена монтажная бытов. PROFFLEX 350 SIMPLE</t>
  </si>
  <si>
    <t>83991</t>
  </si>
  <si>
    <t>Пена монтажная бытов. PROFFLEX 500 STANDARD 750мл (508г) /12/</t>
  </si>
  <si>
    <t>83979</t>
  </si>
  <si>
    <t>Пена монтажная бытов. PROFFLEX 750 MAXI 750мл (750г) /12/</t>
  </si>
  <si>
    <t>83903</t>
  </si>
  <si>
    <t>Пена монтажная бытов. TYTAN STD BASE 750мл Эрго /12/</t>
  </si>
  <si>
    <t>83935</t>
  </si>
  <si>
    <t>Пена монтажная бытов. TYTAN для окон и дверей всесезонная 750мл /12/672/</t>
  </si>
  <si>
    <t>83950</t>
  </si>
  <si>
    <t>Пена монтажная бытов. TYTAN САНТЕХBRO всесезонная 500мл /12/</t>
  </si>
  <si>
    <t>83925</t>
  </si>
  <si>
    <t>Пена монтажная проф. POLYNOR Premium foam 65+ зимняя (-20С) 850мл (900г) /12/</t>
  </si>
  <si>
    <t>83953</t>
  </si>
  <si>
    <t>Пена монтажная проф. POLYNOR TOP 70 EXPRESS FOAM всесезонная /12/</t>
  </si>
  <si>
    <t>83951</t>
  </si>
  <si>
    <t>Пена монтажная проф. PROFFLEX FireBlock 65 огнестойкая 850мл (900г) /12/</t>
  </si>
  <si>
    <t>83914</t>
  </si>
  <si>
    <t>Пена монтажная проф. PROFFLEX PRO 350 SIMPLE</t>
  </si>
  <si>
    <t>83986</t>
  </si>
  <si>
    <t>Пена монтажная проф. PROFFLEX PRO Gold 65 850мл (920г) /12/</t>
  </si>
  <si>
    <t>83956</t>
  </si>
  <si>
    <t>Пена монтажная проф. PROFFLEX SPECIAL 65 (Low Expansion) 800мл (900г) /12/</t>
  </si>
  <si>
    <t>83987</t>
  </si>
  <si>
    <t>Пена монтажная проф. PROFFLEX STORM Gun 70 850мл (1040г) /12/</t>
  </si>
  <si>
    <t>83976</t>
  </si>
  <si>
    <t>Пена монтажная проф. PROFFLEX STORM Gun 70 зимняя (-18С) 850мл (1040г) /12/</t>
  </si>
  <si>
    <t>83977</t>
  </si>
  <si>
    <t>Пена монтажная проф. PROFFLEX Universal 60 всесезоная 850мл (820г) /12/</t>
  </si>
  <si>
    <t>83920</t>
  </si>
  <si>
    <t>Пена монтажная проф. PROFFLEX Золотой монтажник 65л всесесезоная 750мл (770г) /12/</t>
  </si>
  <si>
    <t>83907</t>
  </si>
  <si>
    <t>Пена монтажная проф. REALIST PRO 65 Green зимняя (-18С) 850мл (800г) /12/</t>
  </si>
  <si>
    <t>83931</t>
  </si>
  <si>
    <t>Пена монтажная проф. REALIST PRO 70 Orange зимняя (-18С) 850мл (920г) /12/</t>
  </si>
  <si>
    <t>83936</t>
  </si>
  <si>
    <t>Пена монтажная проф. REALIST PRO 80 Red 890мл (1020г) /12/</t>
  </si>
  <si>
    <t>83913</t>
  </si>
  <si>
    <t>Пена монтажная проф. REALIST PRO огнестойкая 870мл (900г) /12/</t>
  </si>
  <si>
    <t>83967</t>
  </si>
  <si>
    <t>Пена монтажная проф. TYTAN 65 UNI 750мл. /12/672/</t>
  </si>
  <si>
    <t>83984</t>
  </si>
  <si>
    <t>Пена монтажная проф. TYTAN 65 UNI зимняя 750мл. /12/672/</t>
  </si>
  <si>
    <t>82145</t>
  </si>
  <si>
    <t>Пена монтажная проф. TYTAN 65 зимняя (-20С) 750мл. /12/672/</t>
  </si>
  <si>
    <t>83944</t>
  </si>
  <si>
    <t>Пена монтажная проф. TYTAN 70 Professional 870мл. /12/840/</t>
  </si>
  <si>
    <t>83947</t>
  </si>
  <si>
    <t>Пена монтажная проф. TYTAN 70 Professional зимняя (-18C) 870мл. /12/672/</t>
  </si>
  <si>
    <t>83972</t>
  </si>
  <si>
    <t>Пена монтажная проф. TYTAN 70 ULTRA FAST 870мл. /12/672/</t>
  </si>
  <si>
    <t>82131</t>
  </si>
  <si>
    <t>Пена монтажная проф. TYTAN GUN 750мл. /12/</t>
  </si>
  <si>
    <t>83909</t>
  </si>
  <si>
    <t>Пена монтажная проф. TYTAN LowEx 60 750мл. /12/</t>
  </si>
  <si>
    <t>840 Клеи</t>
  </si>
  <si>
    <t>84047</t>
  </si>
  <si>
    <t>Клей Cosmofen Plus HV 200гр прозрачный /30/</t>
  </si>
  <si>
    <t>82313</t>
  </si>
  <si>
    <t>Клей Cosmofen Plus Wеib 200гр белый /30/</t>
  </si>
  <si>
    <t>84096</t>
  </si>
  <si>
    <t>Клей Ultima эпоксидный Poxifast двухкомпон. 60г блистер /48/</t>
  </si>
  <si>
    <t>84055</t>
  </si>
  <si>
    <t>Клей для потолочного покрытия Мастер 0,2л /30/</t>
  </si>
  <si>
    <t>84028</t>
  </si>
  <si>
    <t>Клей для потолочного покрытия Мастер 0,5л /24/</t>
  </si>
  <si>
    <t>85927</t>
  </si>
  <si>
    <t>Клей Крепость супер туба 3 гр /288/</t>
  </si>
  <si>
    <t>84064</t>
  </si>
  <si>
    <t>Клей Момент Гель в ш/б 125мл /6/</t>
  </si>
  <si>
    <t>84000</t>
  </si>
  <si>
    <t>Клей Момент Гель в ш/б 30мл /10/</t>
  </si>
  <si>
    <t>72080</t>
  </si>
  <si>
    <t>Клей Момент Кристалл в ш/б 125мл /6/</t>
  </si>
  <si>
    <t>84093</t>
  </si>
  <si>
    <t>Клей Момент Кристалл в ш/б 30мл /10/</t>
  </si>
  <si>
    <t>84094</t>
  </si>
  <si>
    <t>Клей Момент Марафон в ш/б 30мл /10/</t>
  </si>
  <si>
    <t>84017</t>
  </si>
  <si>
    <t>Клей Момент Особопрочный 88 750мл /6/16263</t>
  </si>
  <si>
    <t>82358</t>
  </si>
  <si>
    <t>Клей Момент Особопрочный 88 в ш/б 125мл /6/</t>
  </si>
  <si>
    <t>84063</t>
  </si>
  <si>
    <t>Клей Момент Пластик в ш/б 30мл /10/</t>
  </si>
  <si>
    <t>72144</t>
  </si>
  <si>
    <t>Клей Момент Столяр 125г /9/</t>
  </si>
  <si>
    <t>72109</t>
  </si>
  <si>
    <t>Клей Момент Столяр 750г /9/</t>
  </si>
  <si>
    <t>72124</t>
  </si>
  <si>
    <t>Клей Момент Супер 3г на мультикарте /12/</t>
  </si>
  <si>
    <t>84048</t>
  </si>
  <si>
    <t>Клей Момент Супер Водостойкий 3г /12/</t>
  </si>
  <si>
    <t>84029</t>
  </si>
  <si>
    <t>Клей Момент Супер Высокопрочный 3г /12/</t>
  </si>
  <si>
    <t>84005</t>
  </si>
  <si>
    <t>Клей Момент Супер гель 3г на мультикарте /12/</t>
  </si>
  <si>
    <t>72149</t>
  </si>
  <si>
    <t>Клей Момент Эпокси Супер (эпоксидный) 2х6мл /10/</t>
  </si>
  <si>
    <t>84052</t>
  </si>
  <si>
    <t>Клей Момент Эпокси Супер (эпоксидный) шприц 6мл /48/06667</t>
  </si>
  <si>
    <t>82334</t>
  </si>
  <si>
    <t>Клей Момент Эпокси Супер Формула 5 (эпоксидный) шприц 14мл /24/40406</t>
  </si>
  <si>
    <t>84092</t>
  </si>
  <si>
    <t>Клей Момент-1 750мл /6/</t>
  </si>
  <si>
    <t>82368</t>
  </si>
  <si>
    <t>Клей Момент-1 в ш/б 125мл /6/</t>
  </si>
  <si>
    <t>82367</t>
  </si>
  <si>
    <t>Клей Момент-1 в ш/б 30мл /10/</t>
  </si>
  <si>
    <t>72116</t>
  </si>
  <si>
    <t>Клей Момент-1 в ш/б 50мл /8/</t>
  </si>
  <si>
    <t>84053</t>
  </si>
  <si>
    <t>Клей моментальный универсальный инд.упак. 3г бл 669-161 /24/288/</t>
  </si>
  <si>
    <t>84016</t>
  </si>
  <si>
    <t>Клей ПВА 40/45г в пласт.бут.526-538 /50/</t>
  </si>
  <si>
    <t>84058</t>
  </si>
  <si>
    <t>Клей ПВА FARBITEX стандарт 2,3кг /6/</t>
  </si>
  <si>
    <t>84061</t>
  </si>
  <si>
    <t>Клей ПВА Tytan Professional D3 для древесины 1,75 л /6/</t>
  </si>
  <si>
    <t>84008</t>
  </si>
  <si>
    <t>Клей ПВА Ultima Мастер 0,9кг /12/</t>
  </si>
  <si>
    <t>84062</t>
  </si>
  <si>
    <t>Клей ПВА Ultima Столяр 0,25кг /28/</t>
  </si>
  <si>
    <t>84069</t>
  </si>
  <si>
    <t>Клей ПВА Ultima Столяр 0,9кг /12/</t>
  </si>
  <si>
    <t>84023</t>
  </si>
  <si>
    <t>Клей ПВА Контакт 40мл 0615 /24/</t>
  </si>
  <si>
    <t>84025</t>
  </si>
  <si>
    <t>Клей ПВА Контакт 60мл блистер 0613 /24/</t>
  </si>
  <si>
    <t>84037</t>
  </si>
  <si>
    <t>Клей ПВА Луч 65 г Супер 586-033 /55/</t>
  </si>
  <si>
    <t>84088</t>
  </si>
  <si>
    <t>Клей ПВА сверхсильный 0,45л СГ /12/</t>
  </si>
  <si>
    <t>84027</t>
  </si>
  <si>
    <t>Клей ПВА сверхсильный 0,9л СГ /6/</t>
  </si>
  <si>
    <t>84089</t>
  </si>
  <si>
    <t>Клей ПВА строительный 0,45л СГ /12</t>
  </si>
  <si>
    <t>84024</t>
  </si>
  <si>
    <t>Клей ПВА строительный 0,9л СГ /6/</t>
  </si>
  <si>
    <t>84090</t>
  </si>
  <si>
    <t>Клей ПВА универсальный 0,45л СГ /12/</t>
  </si>
  <si>
    <t>84026</t>
  </si>
  <si>
    <t>Клей ПВА универсальный 0,9л СГ /6/</t>
  </si>
  <si>
    <t>84082</t>
  </si>
  <si>
    <t>Клей Рокот гель прозр.1 г на карте 469-224 /12/480/</t>
  </si>
  <si>
    <t>84087</t>
  </si>
  <si>
    <t>Клей Рокот гель прозр.3 г на карте 469-223 /12/480/</t>
  </si>
  <si>
    <t>84081</t>
  </si>
  <si>
    <t>Клей Рокот моментальный универсальный прозр. 3 г на карте 469-221 /12/480/</t>
  </si>
  <si>
    <t>84013</t>
  </si>
  <si>
    <t>Клей Склейкин Моментальный 20 г универсальный /12/</t>
  </si>
  <si>
    <t>84010</t>
  </si>
  <si>
    <t>Клей Склейкин Моментальный 3BL-1 /50/</t>
  </si>
  <si>
    <t>84014</t>
  </si>
  <si>
    <t>Клей Склейкин Моментальный 3BL-12 /12/</t>
  </si>
  <si>
    <t>82374</t>
  </si>
  <si>
    <t>Клей термо MATRIX 11мм L-200мм для клеевого пистолета 12шт.белый/930733</t>
  </si>
  <si>
    <t>82376</t>
  </si>
  <si>
    <t>Клей термо MATRIX 11мм L-200мм для клеевого пистолета 12шт.желтый/930732</t>
  </si>
  <si>
    <t>84003</t>
  </si>
  <si>
    <t>Клей термо MATRIX 11мм L-200мм для клеевого пистолета 12шт.прозрач./930730</t>
  </si>
  <si>
    <t>82381</t>
  </si>
  <si>
    <t>Клей термо MATRIX 11мм L-200мм для клеевого пистолета 6шт.белый/930723</t>
  </si>
  <si>
    <t>84085</t>
  </si>
  <si>
    <t>Клей термо MATRIX 11мм L-200мм для клеевого пистолета 6шт.желтый/930722</t>
  </si>
  <si>
    <t>82378</t>
  </si>
  <si>
    <t>Клей термо MATRIX 11мм L-200мм для клеевого пистолета 6шт.прозрач./930720</t>
  </si>
  <si>
    <t>72050</t>
  </si>
  <si>
    <t>Клей термо MATRIX 11мм L-300мм для клеевого пистолета 33шт. /930705</t>
  </si>
  <si>
    <t>84083</t>
  </si>
  <si>
    <t>Клей термо MATRIX 11мм L-300мм для клеевого пистолета 34шт. прозрач. /930741</t>
  </si>
  <si>
    <t>84002</t>
  </si>
  <si>
    <t>Клей термо MATRIX 7мм L-150мм для клеевого пистолета 6шт.прозрач./930710</t>
  </si>
  <si>
    <t>84009</t>
  </si>
  <si>
    <t>Клей термо Д-11 мм L 120 см 4 шт силикон</t>
  </si>
  <si>
    <t>84021</t>
  </si>
  <si>
    <t>Клей цианоакрилатный (COSMO CA 12) SILFIX 606 20 гр /200/</t>
  </si>
  <si>
    <t>84036</t>
  </si>
  <si>
    <t>Клей цианоакрилатный (COSMO CA 12) Tytan professional 20 гр /36/</t>
  </si>
  <si>
    <t>82383</t>
  </si>
  <si>
    <t>Клей цианоакрилатный Cosmofen CA 12 20 гр /20/200/</t>
  </si>
  <si>
    <t>84004</t>
  </si>
  <si>
    <t>Клей-гель Склейкин Моментальный 3BL-1 /50/</t>
  </si>
  <si>
    <t>84015</t>
  </si>
  <si>
    <t>Клей-гель Склейкин Моментальный 3BL-12 /12/</t>
  </si>
  <si>
    <t>84091</t>
  </si>
  <si>
    <t>Клей-герметик TYTAN Professional для окон ПВХ 180гр. белый /32/</t>
  </si>
  <si>
    <t>84098</t>
  </si>
  <si>
    <t>Средство для удаления клея, наклеек, скотча 210 мл 634-035 /12/</t>
  </si>
  <si>
    <t>841 Лаки/Олифа</t>
  </si>
  <si>
    <t>82729</t>
  </si>
  <si>
    <t>Кузбасслак БТ-577 0,45л пэт. СГ /12/</t>
  </si>
  <si>
    <t>84107</t>
  </si>
  <si>
    <t>Кузбасслак БТ-577 0,5л ст2 СГ /12/</t>
  </si>
  <si>
    <t>82730</t>
  </si>
  <si>
    <t>Кузбасслак БТ-577 0,9л пэт. СГ /6/</t>
  </si>
  <si>
    <t>84170</t>
  </si>
  <si>
    <t>Лак КО-85 термостойкий 0,5л (250 градусов С) СГ /12/</t>
  </si>
  <si>
    <t>73076</t>
  </si>
  <si>
    <t>Лак НЦ-218 0,9л пэт. СГ /6/</t>
  </si>
  <si>
    <t>84191</t>
  </si>
  <si>
    <t>Лак НЦ-218 фас. 0,5л стекло СГ /12/</t>
  </si>
  <si>
    <t>82751</t>
  </si>
  <si>
    <t>Лак паркетный акрил. шелк-глянц 3,0л Тициана (Фарбен) /4/</t>
  </si>
  <si>
    <t>84105</t>
  </si>
  <si>
    <t>Лак ПФ-170 фас. 0,45л пэт. СГ /12/</t>
  </si>
  <si>
    <t>84177</t>
  </si>
  <si>
    <t>Лак ПФ-283 б/цв 0,45л пласт. СГ /12/</t>
  </si>
  <si>
    <t>84124</t>
  </si>
  <si>
    <t>Лак ХВ-784 Бесцветный 0,5л СГ /12/</t>
  </si>
  <si>
    <t>84246</t>
  </si>
  <si>
    <t>Масло льняное натуральное 0,9 СГ /6/</t>
  </si>
  <si>
    <t>73057</t>
  </si>
  <si>
    <t>Олифа Ансол-НП 0,45л пэт. СГ /12/</t>
  </si>
  <si>
    <t>84129</t>
  </si>
  <si>
    <t>Олифа Ансол-НП 0,4л пэт. Акула /12/</t>
  </si>
  <si>
    <t>84186</t>
  </si>
  <si>
    <t>Олифа Ансол-НП 0,9л пэт. Акула /6/</t>
  </si>
  <si>
    <t>84108</t>
  </si>
  <si>
    <t>Олифа Ансол-НП 0,9л пэт. СГ /6/</t>
  </si>
  <si>
    <t>84198</t>
  </si>
  <si>
    <t>Олифа Ансол-НП 5л пэт. Акула /12/</t>
  </si>
  <si>
    <t>73139</t>
  </si>
  <si>
    <t>Олифа Оксоль-ПВ 0,45л пэт. СГ /12/</t>
  </si>
  <si>
    <t>73059</t>
  </si>
  <si>
    <t>Олифа Оксоль-ПВ 0,9л пл. СГ /6/</t>
  </si>
  <si>
    <t>843 Эмали Olecolor</t>
  </si>
  <si>
    <t>82544</t>
  </si>
  <si>
    <t>Эмаль OLECOLOR ДЛЯ БЕТОННЫХ ПОЛОВ 2,7кг алкидно-уретановая, белая /6/</t>
  </si>
  <si>
    <t>82434</t>
  </si>
  <si>
    <t>Эмаль OLECOLOR НЦ-132П 0,7кг нитро голубая (Фарбен) /12/</t>
  </si>
  <si>
    <t>84312</t>
  </si>
  <si>
    <t>Эмаль OLECOLOR НЦ-132П 1,7кг нитро зеленая (Фарбен) /6/</t>
  </si>
  <si>
    <t>82427</t>
  </si>
  <si>
    <t>Эмаль OLECOLOR ПФ-115 0,5кг алк. синяя (Фарбен) /8/</t>
  </si>
  <si>
    <t>73070</t>
  </si>
  <si>
    <t>Эмаль OLECOLOR ПФ-115 0,8кг алк. бирюзовая (Фарбен) /14/</t>
  </si>
  <si>
    <t>73127</t>
  </si>
  <si>
    <t>Эмаль OLECOLOR ПФ-115 0,8кг алк. вишневая (Фарбен) /14/</t>
  </si>
  <si>
    <t>82419</t>
  </si>
  <si>
    <t>Эмаль OLECOLOR ПФ-115 0,8кг алк. голубая (Фарбен) /14/</t>
  </si>
  <si>
    <t>84316</t>
  </si>
  <si>
    <t>Эмаль OLECOLOR ПФ-115 0,8кг алк. желтая (Фарбен) /14/</t>
  </si>
  <si>
    <t>73062</t>
  </si>
  <si>
    <t>Эмаль OLECOLOR ПФ-115 0,8кг алк. зел. яблоко (Фарбен) /14/</t>
  </si>
  <si>
    <t>82477</t>
  </si>
  <si>
    <t>Эмаль OLECOLOR ПФ-115 0,8кг алк. кремовая (Фарбен) /8/</t>
  </si>
  <si>
    <t>84320</t>
  </si>
  <si>
    <t>Эмаль OLECOLOR ПФ-115 0,8кг алк. морская волна(Фарбен) /14/</t>
  </si>
  <si>
    <t>84323</t>
  </si>
  <si>
    <t>Эмаль OLECOLOR ПФ-115 0,8кг алк. розовый (Фарбен) /14/</t>
  </si>
  <si>
    <t>84325</t>
  </si>
  <si>
    <t>Эмаль OLECOLOR ПФ-115 0,8кг алк. светло-фиолетовый (Фарбен) /14/</t>
  </si>
  <si>
    <t>82428</t>
  </si>
  <si>
    <t>Эмаль OLECOLOR ПФ-115 0,8кг алк. синяя (Фарбен) /14/</t>
  </si>
  <si>
    <t>84314</t>
  </si>
  <si>
    <t>Эмаль OLECOLOR ПФ-115 0,9кг алк. белая д/окон и дверей (Фарбен) /14/</t>
  </si>
  <si>
    <t>82441</t>
  </si>
  <si>
    <t>Эмаль OLECOLOR ПФ-115 1,8кг алк. бирюзовая (Фарбен) /6/</t>
  </si>
  <si>
    <t>82465</t>
  </si>
  <si>
    <t>Эмаль OLECOLOR ПФ-115 1,8кг алк. вишневая (Фарбен) /6/</t>
  </si>
  <si>
    <t>82468</t>
  </si>
  <si>
    <t>Эмаль OLECOLOR ПФ-115 1,8кг алк. голубая (Фарбен) /6/</t>
  </si>
  <si>
    <t>84317</t>
  </si>
  <si>
    <t>Эмаль OLECOLOR ПФ-115 1,8кг алк. желтая (Фарбен) /6/</t>
  </si>
  <si>
    <t>82499</t>
  </si>
  <si>
    <t>Эмаль OLECOLOR ПФ-115 1,8кг алк. зел. яблоко (Фарбен) /6/</t>
  </si>
  <si>
    <t>04359</t>
  </si>
  <si>
    <t>Эмаль OLECOLOR ПФ-115 1,8кг алк. зеленая (Фарбен) /6/</t>
  </si>
  <si>
    <t>82475</t>
  </si>
  <si>
    <t>Эмаль OLECOLOR ПФ-115 1,8кг алк. красная (Фарбен) /6/</t>
  </si>
  <si>
    <t>84321</t>
  </si>
  <si>
    <t>Эмаль OLECOLOR ПФ-115 1,8кг алк. морская волна (Фарбен) /6/</t>
  </si>
  <si>
    <t>84324</t>
  </si>
  <si>
    <t>Эмаль OLECOLOR ПФ-115 1,8кг алк. розовый (Фарбен) /6/</t>
  </si>
  <si>
    <t>73113</t>
  </si>
  <si>
    <t>Эмаль OLECOLOR ПФ-115 2,7кг алк. бирюзовая (Фарбен) /6/</t>
  </si>
  <si>
    <t>84315</t>
  </si>
  <si>
    <t>Эмаль OLECOLOR ПФ-115 2,7кг алк. голубая (Фарбен) /6/</t>
  </si>
  <si>
    <t>84318</t>
  </si>
  <si>
    <t>Эмаль OLECOLOR ПФ-115 2,7кг алк. желтая (Фарбен) /6/</t>
  </si>
  <si>
    <t>82482</t>
  </si>
  <si>
    <t>Эмаль OLECOLOR ПФ-115 2,7кг алк. салатная (Фарбен) /6/</t>
  </si>
  <si>
    <t>82493</t>
  </si>
  <si>
    <t>Эмаль OLECOLOR ПФ-266 0,9кг алк. красно- коричневая (Фарбен) /14/</t>
  </si>
  <si>
    <t>82540</t>
  </si>
  <si>
    <t>Эмаль OLECOLOR ПФ-266 1,9кг алк. золотистая (Фарбен) /6/</t>
  </si>
  <si>
    <t>82494</t>
  </si>
  <si>
    <t>Эмаль OLECOLOR ПФ-266 1,9кг алк. красно- коричневая (Фарбен) /6/</t>
  </si>
  <si>
    <t>82463</t>
  </si>
  <si>
    <t>Эмаль OLECOLOR ПФ-266 2,7кг алк. желто- коричневая (Фарбен) /6/</t>
  </si>
  <si>
    <t>82541</t>
  </si>
  <si>
    <t>Эмаль OLECOLOR ПФ-266 2,7кг алк. золотистая (Фарбен) /6/</t>
  </si>
  <si>
    <t>844 Химия для пайки</t>
  </si>
  <si>
    <t>84403</t>
  </si>
  <si>
    <t>Канифоль сосновая, банка 100 гр., ГОСТ 19113-84 Сибртех /913342</t>
  </si>
  <si>
    <t>84404</t>
  </si>
  <si>
    <t>Канифоль сосновая, банка 20 гр., ГОСТ 19113-84 Сибртех /913343</t>
  </si>
  <si>
    <t>84447</t>
  </si>
  <si>
    <t>Паста ГОИ 8 гр 422-015 /10/</t>
  </si>
  <si>
    <t>61617</t>
  </si>
  <si>
    <t>Паста паяльная Спарта 10г /913345</t>
  </si>
  <si>
    <t>84427</t>
  </si>
  <si>
    <t>Паста паяльная Спарта 15г /913355</t>
  </si>
  <si>
    <t>845 Краски аэрозольные</t>
  </si>
  <si>
    <t>73115</t>
  </si>
  <si>
    <t>Краска KIM TEC аэрозоль желтая /12/</t>
  </si>
  <si>
    <t>73099</t>
  </si>
  <si>
    <t>Краска KIM TEC аэрозоль металлик, латунь-медь /12/</t>
  </si>
  <si>
    <t>73170</t>
  </si>
  <si>
    <t>Краска KIM TEC аэрозоль флуоресцент., желтая /12/</t>
  </si>
  <si>
    <t>84500</t>
  </si>
  <si>
    <t>Краска TYTAN Proffessional Art аэрозоль, бежевая 400мл /12/</t>
  </si>
  <si>
    <t>84535</t>
  </si>
  <si>
    <t>Краска TYTAN Proffessional Art аэрозоль, белая, глянец 9003 /12/</t>
  </si>
  <si>
    <t>84525</t>
  </si>
  <si>
    <t>Краска TYTAN Proffessional Art аэрозоль, белая, матовая 9003M /12/</t>
  </si>
  <si>
    <t>84544</t>
  </si>
  <si>
    <t>Краска TYTAN Proffessional Art аэрозоль, грунт, серый 7031 /12/</t>
  </si>
  <si>
    <t>84552</t>
  </si>
  <si>
    <t>Краска TYTAN Proffessional Art аэрозоль, желтая 1018 /12/</t>
  </si>
  <si>
    <t>84547</t>
  </si>
  <si>
    <t>Краска TYTAN Proffessional Art аэрозоль, золотая, матовая 260М /12/</t>
  </si>
  <si>
    <t>84558</t>
  </si>
  <si>
    <t>Краска TYTAN Proffessional Art аэрозоль, золотой металлик /12/</t>
  </si>
  <si>
    <t>84542</t>
  </si>
  <si>
    <t>Краска TYTAN Proffessional Art аэрозоль, красная 3020 /12/</t>
  </si>
  <si>
    <t>84556</t>
  </si>
  <si>
    <t>Краска TYTAN Proffessional Art аэрозоль, красное вино 3005 /12/</t>
  </si>
  <si>
    <t>84557</t>
  </si>
  <si>
    <t>Краска TYTAN Proffessional Art аэрозоль, лак, бесцвет.глянец 400мл /12/</t>
  </si>
  <si>
    <t>84503</t>
  </si>
  <si>
    <t>Краска TYTAN Proffessional Art аэрозоль, лак, бесцвет.матовая 400мл /12/</t>
  </si>
  <si>
    <t>84534</t>
  </si>
  <si>
    <t>Краска TYTAN Proffessional Art аэрозоль, металлик 9006 /12/</t>
  </si>
  <si>
    <t>84545</t>
  </si>
  <si>
    <t>Краска TYTAN Proffessional Art аэрозоль, серая 7015 /12/</t>
  </si>
  <si>
    <t>84553</t>
  </si>
  <si>
    <t>Краска TYTAN Proffessional Art аэрозоль, синяя 5010 /12/</t>
  </si>
  <si>
    <t>84554</t>
  </si>
  <si>
    <t>Краска TYTAN Proffessional Art аэрозоль, темно-зеленая 6005 /12/</t>
  </si>
  <si>
    <t>84510</t>
  </si>
  <si>
    <t>Краска TYTAN Proffessional Art аэрозоль, ультрамарин 400мл /12/</t>
  </si>
  <si>
    <t>84527</t>
  </si>
  <si>
    <t>Краска TYTAN Proffessional Art аэрозоль, хром 400мл /12/</t>
  </si>
  <si>
    <t>84546</t>
  </si>
  <si>
    <t>Краска TYTAN Proffessional Art аэрозоль, черная, глянец 9005 /12/</t>
  </si>
  <si>
    <t>84579</t>
  </si>
  <si>
    <t>Краска TYTAN Proffessional Art аэрозоль, черная, матовая 9004 /12/</t>
  </si>
  <si>
    <t>84571</t>
  </si>
  <si>
    <t>Краска Ultima аэрозоль для металлочерепицы, зеленый мох RAL 6005 /12/</t>
  </si>
  <si>
    <t>84569</t>
  </si>
  <si>
    <t>Краска Ultima аэрозоль для металлочерепицы, красное вино RAL 3005 /12/</t>
  </si>
  <si>
    <t>84502</t>
  </si>
  <si>
    <t>Краска Ultima аэрозоль, белая матовая, RAL 9003 /12/</t>
  </si>
  <si>
    <t>84537</t>
  </si>
  <si>
    <t>Краска Ultima аэрозоль, вишневая, RAL 3003 /12/</t>
  </si>
  <si>
    <t>84530</t>
  </si>
  <si>
    <t>Краска Ultima аэрозоль, голубая, RAL 5012 /12/</t>
  </si>
  <si>
    <t>84529</t>
  </si>
  <si>
    <t>Краска Ultima аэрозоль, желтя, RAL 1018 /12/</t>
  </si>
  <si>
    <t>84538</t>
  </si>
  <si>
    <t>Краска Ultima аэрозоль, зеленый мох, RAL 6005 /12/</t>
  </si>
  <si>
    <t>84541</t>
  </si>
  <si>
    <t>Краска Ultima аэрозоль, красное вино, RAL 3005 /12/</t>
  </si>
  <si>
    <t>84505</t>
  </si>
  <si>
    <t>Краска Ultima аэрозоль, серебряная металлик, металл.эффектом /12/</t>
  </si>
  <si>
    <t>84564</t>
  </si>
  <si>
    <t>Краска Ultima аэрозоль, слоновая кость, RAL 1015 /12/</t>
  </si>
  <si>
    <t>84506</t>
  </si>
  <si>
    <t>Краска Ultima аэрозоль, темно красная, RAL 3011 /12/</t>
  </si>
  <si>
    <t>84507</t>
  </si>
  <si>
    <t>Краска Ultima аэрозоль, черная матовая, RAL 9005 /12/</t>
  </si>
  <si>
    <t>84539</t>
  </si>
  <si>
    <t>Краска Ultima аэрозоль, шоколадно-коричневая, RAL 8017 /12/</t>
  </si>
  <si>
    <t>846 Краски/Шпаклевки</t>
  </si>
  <si>
    <t>84648</t>
  </si>
  <si>
    <t>Воск мягкий TYTAN Professional 7,5г белый цв.50</t>
  </si>
  <si>
    <t>84665</t>
  </si>
  <si>
    <t>Воск мягкий TYTAN Professional 7,5г бук цв.42</t>
  </si>
  <si>
    <t>84651</t>
  </si>
  <si>
    <t>Воск мягкий TYTAN Professional 7,5г махагон цв.62</t>
  </si>
  <si>
    <t>84666</t>
  </si>
  <si>
    <t>Воск мягкий TYTAN Professional 7,5г натуральный дуб цв.02</t>
  </si>
  <si>
    <t>84650</t>
  </si>
  <si>
    <t>Воск мягкий TYTAN Professional 7,5г светлый орех цв.55</t>
  </si>
  <si>
    <t>84641</t>
  </si>
  <si>
    <t>Воск мягкий TYTAN Professional 7,5г серый камень цв.102</t>
  </si>
  <si>
    <t>84667</t>
  </si>
  <si>
    <t>Воск мягкий TYTAN Professional 7,5г сосна цв.05</t>
  </si>
  <si>
    <t>84618</t>
  </si>
  <si>
    <t>Известь гашеная 1,2кг банка</t>
  </si>
  <si>
    <t>84670</t>
  </si>
  <si>
    <t>Известь гашеная 1,5кг /20/</t>
  </si>
  <si>
    <t>84699</t>
  </si>
  <si>
    <t>Известь гашеная 2,5кг банка</t>
  </si>
  <si>
    <t>84657</t>
  </si>
  <si>
    <t>Краска Лакра моющаяся 3,0кг белоснежная</t>
  </si>
  <si>
    <t>847 Растворители/морилка</t>
  </si>
  <si>
    <t>73005</t>
  </si>
  <si>
    <t>Аммиачная вода 0,5л стекло СГ /12/</t>
  </si>
  <si>
    <t>84758</t>
  </si>
  <si>
    <t>Ацетон 0,45л ПНД Акула /12/</t>
  </si>
  <si>
    <t>84717</t>
  </si>
  <si>
    <t>Ацетон 0,45л пэт./бутылка СГ /12/</t>
  </si>
  <si>
    <t>73003</t>
  </si>
  <si>
    <t>Ацетон 0,5л ст/бутылка СГ /12/</t>
  </si>
  <si>
    <t>84784</t>
  </si>
  <si>
    <t>Ацетон 0,9л ПНД Акула /6/</t>
  </si>
  <si>
    <t>84769</t>
  </si>
  <si>
    <t>Ацетон 0,9л пэт./бутылка СГ /6/</t>
  </si>
  <si>
    <t>84764</t>
  </si>
  <si>
    <t>Ацетон 10л канистра СГ</t>
  </si>
  <si>
    <t>84749</t>
  </si>
  <si>
    <t>Ацетон 10л ПНД Акула /6/</t>
  </si>
  <si>
    <t>84719</t>
  </si>
  <si>
    <t>Ацетон 2л пэт. СГ</t>
  </si>
  <si>
    <t>84728</t>
  </si>
  <si>
    <t>Ацетон 3л пэт./канистра СГ</t>
  </si>
  <si>
    <t>84736</t>
  </si>
  <si>
    <t>Ацетон 5л ПНД Акула /6/</t>
  </si>
  <si>
    <t>84741</t>
  </si>
  <si>
    <t>Бензин "Галоша" 0,45 л Акула /12/</t>
  </si>
  <si>
    <t>73149</t>
  </si>
  <si>
    <t>Бензин "Галоша" 0,45л пэт. СГ /12/</t>
  </si>
  <si>
    <t>84783</t>
  </si>
  <si>
    <t>Бензин "Галоша" 0,9 л Акула /6/</t>
  </si>
  <si>
    <t>73069</t>
  </si>
  <si>
    <t>Бензин "Галоша" 0,9л пэт. СГ /6/</t>
  </si>
  <si>
    <t>84707</t>
  </si>
  <si>
    <t>Бензин "Галоша" 5л Акула /12/</t>
  </si>
  <si>
    <t>84772</t>
  </si>
  <si>
    <t>Жидкое стекло 0,5л ст/бутылка СГ /12/</t>
  </si>
  <si>
    <t>84763</t>
  </si>
  <si>
    <t>Керосин 0,4л ПНД Акула /12/</t>
  </si>
  <si>
    <t>84714</t>
  </si>
  <si>
    <t>Керосин 0,9л ПНД Акула /6/</t>
  </si>
  <si>
    <t>84757</t>
  </si>
  <si>
    <t>Керосин 5л ПНД Акула /12/</t>
  </si>
  <si>
    <t>73064</t>
  </si>
  <si>
    <t>Керосин ТС-1 универсальный 0,45л СГ /12/</t>
  </si>
  <si>
    <t>73056</t>
  </si>
  <si>
    <t>Керосин ТС-1 универсальный 0,9л СГ /6/</t>
  </si>
  <si>
    <t>84780</t>
  </si>
  <si>
    <t>Керосин ТС-1 универсальный 1,5л СГ /6/</t>
  </si>
  <si>
    <t>84754</t>
  </si>
  <si>
    <t>Морилка NEW Вишня спирт 0,45 пэт /12/</t>
  </si>
  <si>
    <t>84737</t>
  </si>
  <si>
    <t>Морилка NEW Калужница спирт 0,45 /12/</t>
  </si>
  <si>
    <t>84731</t>
  </si>
  <si>
    <t>Морилка NEW Каштан спирт 0,45 /12/</t>
  </si>
  <si>
    <t>84751</t>
  </si>
  <si>
    <t>Морилка NEW Клубника спирт 0,45 /12/</t>
  </si>
  <si>
    <t>84791</t>
  </si>
  <si>
    <t>Морилка NEW Красное дерево спирт 0,45 пэт /12/</t>
  </si>
  <si>
    <t>84743</t>
  </si>
  <si>
    <t>Морилка NEW Малина спирт 0,45 пэт /12/</t>
  </si>
  <si>
    <t>84735</t>
  </si>
  <si>
    <t>Морилка NEW Махагон спирт 0,45 пэт /12/</t>
  </si>
  <si>
    <t>84721</t>
  </si>
  <si>
    <t>Морилка NEW Орегон спирт 0,45 /12/</t>
  </si>
  <si>
    <t>84738</t>
  </si>
  <si>
    <t>Морилка NEW Тик спирт 0,45 /12/</t>
  </si>
  <si>
    <t>84733</t>
  </si>
  <si>
    <t>Морилка NEW Эбеновое дерево спирт 0,45 /12/</t>
  </si>
  <si>
    <t>84729</t>
  </si>
  <si>
    <t>Морилка деревозащ.FARBITEX водная калужница 0,5л /20/</t>
  </si>
  <si>
    <t>84821</t>
  </si>
  <si>
    <t>Морилка деревозащ.FARBITEX водная тик 0,5л /20/</t>
  </si>
  <si>
    <t>84747</t>
  </si>
  <si>
    <t>Нейтрализатор ржавчины 0,45л СГ /12/</t>
  </si>
  <si>
    <t>84752</t>
  </si>
  <si>
    <t>Нейтрализатор ржавчины 0,4л Акула /12/</t>
  </si>
  <si>
    <t>84760</t>
  </si>
  <si>
    <t>Нейтрализатор ржавчины Farbitex эконом 0,5л /25/</t>
  </si>
  <si>
    <t>84759</t>
  </si>
  <si>
    <t>Нейтрализатор ржавчины Farbitex эконом 1,0л /20/</t>
  </si>
  <si>
    <t>84832</t>
  </si>
  <si>
    <t>Нейтрализатор ржавчины с триггером 0,45л СГ /12/</t>
  </si>
  <si>
    <t>84739</t>
  </si>
  <si>
    <t>Обезжириватель 0,45л с триггером СГ /12/</t>
  </si>
  <si>
    <t>84827</t>
  </si>
  <si>
    <t>Обезжириватель 0,45л СГ /12/</t>
  </si>
  <si>
    <t>84745</t>
  </si>
  <si>
    <t>Обезжириватель 0,9л с триггером СГ /6/</t>
  </si>
  <si>
    <t>84776</t>
  </si>
  <si>
    <t>Обезжириватель 0,9л СГ /6/</t>
  </si>
  <si>
    <t>84712</t>
  </si>
  <si>
    <t>Очиститель для ПВХ TYTAN EUROWINDOW №10 950 мл /12/</t>
  </si>
  <si>
    <t>84718</t>
  </si>
  <si>
    <t>Очиститель для ПВХ TYTAN EUROWINDOW №20 950 мл /12/</t>
  </si>
  <si>
    <t>84710</t>
  </si>
  <si>
    <t>Очиститель для ПВХ TYTAN EUROWINDOW №5 950 мл /12/</t>
  </si>
  <si>
    <t>82702</t>
  </si>
  <si>
    <t>Разбавитель маслян.красок 0,45л пласт СГ /12/</t>
  </si>
  <si>
    <t>82703</t>
  </si>
  <si>
    <t>Разбавитель маслян.красок 0,9л пласт СГ /6/</t>
  </si>
  <si>
    <t>84806</t>
  </si>
  <si>
    <t>Растворитель 645 0,4л ТУ Акула /12/</t>
  </si>
  <si>
    <t>84807</t>
  </si>
  <si>
    <t>Растворитель 645 0,9л ТУ Акула /12/</t>
  </si>
  <si>
    <t>84715</t>
  </si>
  <si>
    <t>Растворитель 646  0,4л FARBITEX ФР128000 /25/</t>
  </si>
  <si>
    <t>73157</t>
  </si>
  <si>
    <t>Растворитель 646 0,45л ГОСТ СГ /12/</t>
  </si>
  <si>
    <t>84742</t>
  </si>
  <si>
    <t>Растворитель 646 0,5л ГОСТ ст/бутылка СГ /12/</t>
  </si>
  <si>
    <t>84829</t>
  </si>
  <si>
    <t>Растворитель 646 0,9л ГОСТ СГ /6/</t>
  </si>
  <si>
    <t>84713</t>
  </si>
  <si>
    <t>Растворитель 647 0,5л стекло /12/</t>
  </si>
  <si>
    <t>81609</t>
  </si>
  <si>
    <t>Растворитель 648 0,5л стекло СГ /12/</t>
  </si>
  <si>
    <t>73137</t>
  </si>
  <si>
    <t>Растворитель 650 0,5л стекло СГ /12/</t>
  </si>
  <si>
    <t>84734</t>
  </si>
  <si>
    <t>Растворитель Р-12 0,45л Акула /12/</t>
  </si>
  <si>
    <t>84766</t>
  </si>
  <si>
    <t>Растворитель Р-12 0,9л Акула /6/</t>
  </si>
  <si>
    <t>84811</t>
  </si>
  <si>
    <t>Растворитель Р-4 0,4л Акула /12/</t>
  </si>
  <si>
    <t>84812</t>
  </si>
  <si>
    <t>Растворитель Р-4 0,9л Акула /6/</t>
  </si>
  <si>
    <t>73124</t>
  </si>
  <si>
    <t>Серебрянка МС-177 0,45л пл. СГ /12/</t>
  </si>
  <si>
    <t>84833</t>
  </si>
  <si>
    <t>Серебрянка МС-177 0,9л пл. СГ /6/</t>
  </si>
  <si>
    <t>84744</t>
  </si>
  <si>
    <t>Скипидар сульфатный 0,45л пласт СГ /12/</t>
  </si>
  <si>
    <t>84722</t>
  </si>
  <si>
    <t>Скипидар сульфатный 0,9л пласт СГ /6/</t>
  </si>
  <si>
    <t>84785</t>
  </si>
  <si>
    <t>Смывка краски универсальная СК-У 0,5л стекло СГ /12/</t>
  </si>
  <si>
    <t>84750</t>
  </si>
  <si>
    <t>Сольвент нефтяной 0,45л плас. СГ /12/</t>
  </si>
  <si>
    <t>82424</t>
  </si>
  <si>
    <t>Сольвент нефтяной 0,9л плас. СГ /6/</t>
  </si>
  <si>
    <t>84723</t>
  </si>
  <si>
    <t>Уайт-Спирит 0,4 л Акула ТУ /12/</t>
  </si>
  <si>
    <t>73027</t>
  </si>
  <si>
    <t>Уайт-Спирит 0,45л пэт/флакон СГ /12/</t>
  </si>
  <si>
    <t>84703</t>
  </si>
  <si>
    <t>Уайт-Спирит 0,5л стекло СГ /12/</t>
  </si>
  <si>
    <t>84724</t>
  </si>
  <si>
    <t>Уайт-Спирит 0,9 л Акула ТУ /6/</t>
  </si>
  <si>
    <t>73143</t>
  </si>
  <si>
    <t>Уайт-Спирит 0,9л пэт/флакон СГ /6/</t>
  </si>
  <si>
    <t>84814</t>
  </si>
  <si>
    <t>Уайт-Спирит 10л Акула ТУ /6/</t>
  </si>
  <si>
    <t>84770</t>
  </si>
  <si>
    <t>Уайт-Спирит 2,7 л СГ /4/</t>
  </si>
  <si>
    <t>84702</t>
  </si>
  <si>
    <t>Уайт-Спирит 5л Акула ТУ /6/</t>
  </si>
  <si>
    <t>848 Бытовая химия прочее</t>
  </si>
  <si>
    <t>84810</t>
  </si>
  <si>
    <t>Стеклоомывающая жидкость Rain 4л Perfect Зима -20С</t>
  </si>
  <si>
    <t>82800</t>
  </si>
  <si>
    <t>Фосфат (Пакет 200гр.)</t>
  </si>
  <si>
    <t>849 Грунтовки</t>
  </si>
  <si>
    <t>82672</t>
  </si>
  <si>
    <t>Грунт ГФ-021 OLECOLOR алкид. серый 25.0кг</t>
  </si>
  <si>
    <t>84913</t>
  </si>
  <si>
    <t>Грунт ГФ-021 OLECOLOR алкид. серый 3,3кг /6/</t>
  </si>
  <si>
    <t>84944</t>
  </si>
  <si>
    <t>Грунт-эмаль по ржавчине OLECOLOR 0,9кг голубой /14/</t>
  </si>
  <si>
    <t>84973</t>
  </si>
  <si>
    <t>Грунт-эмаль по ржавчине OLECOLOR 0,9кг желтый /14/</t>
  </si>
  <si>
    <t>84936</t>
  </si>
  <si>
    <t>Грунт-эмаль по ржавчине OLECOLOR 0,9кг зеленый /14/</t>
  </si>
  <si>
    <t>84945</t>
  </si>
  <si>
    <t>Грунт-эмаль по ржавчине OLECOLOR 2,0кг голубой /6/</t>
  </si>
  <si>
    <t>04309</t>
  </si>
  <si>
    <t>Грунт-эмаль по ржавчине OLECOLOR 2,0кг желтый /6/</t>
  </si>
  <si>
    <t>82617</t>
  </si>
  <si>
    <t>Грунтовка (Антиплесень) универс для люб. поверх. 10,0кг FARBITEX ПРОФИ /4/</t>
  </si>
  <si>
    <t>84949</t>
  </si>
  <si>
    <t>Грунтовка акриловая по старой краске 1,0кг OLECOLOR (Фарбен) /6/</t>
  </si>
  <si>
    <t>84958</t>
  </si>
  <si>
    <t>Сурик железный МА-15 1,1кг ж/б СГ /6/</t>
  </si>
  <si>
    <t>850 Свечи</t>
  </si>
  <si>
    <t>85002</t>
  </si>
  <si>
    <t>Свеча в форме елочки, парафин, 6,5*7,5*9,2 см 2цв. 396-986 /2/</t>
  </si>
  <si>
    <t>83059</t>
  </si>
  <si>
    <t>Свеча для торта Капитан Весельчак цифры 0 506-188 /12/</t>
  </si>
  <si>
    <t>85044</t>
  </si>
  <si>
    <t>Свеча для торта Капитан Весельчак цифры 0-9 506-192 /24/</t>
  </si>
  <si>
    <t>52108</t>
  </si>
  <si>
    <t>Свеча хоз. 15,5 см Д2 см 39г 422-003 /32/96/</t>
  </si>
  <si>
    <t>85043</t>
  </si>
  <si>
    <t>Свеча хоз. 16,5*1,8 см время горения более 5 часов 508-619 /40/</t>
  </si>
  <si>
    <t>83005</t>
  </si>
  <si>
    <t>Свеча хоз. 40гр 17,5 см Омск 422-004 /72/</t>
  </si>
  <si>
    <t>83035</t>
  </si>
  <si>
    <t>Свеча чайная в гильзе 9 гр белая /45/</t>
  </si>
  <si>
    <t>85006</t>
  </si>
  <si>
    <t>Свечи в форме курочек, парафин, 5*3,8 см 3 шт 4 дз. 527-003 /4/</t>
  </si>
  <si>
    <t>83040</t>
  </si>
  <si>
    <t>Свечи для торта 4 шт 10 см парафин 437-232 /24/</t>
  </si>
  <si>
    <t>85046</t>
  </si>
  <si>
    <t>Свечи для торта EH "С Днем Рождения" 6см 13353 /50/</t>
  </si>
  <si>
    <t>85030</t>
  </si>
  <si>
    <t>Свечи для торта Веселый роджер С днем рождения 889-020 /12/</t>
  </si>
  <si>
    <t>85039</t>
  </si>
  <si>
    <t>Свечи для торта Капитан Весельчак 12шт с подставками 2 цв 506-189 /24/</t>
  </si>
  <si>
    <t>85048</t>
  </si>
  <si>
    <t>Свечи для торта с подставками 8 шт MC5-1 /48/</t>
  </si>
  <si>
    <t>85034</t>
  </si>
  <si>
    <t>Свечи для торта Цифра 10 шт 13*8 см 533-008 /12/</t>
  </si>
  <si>
    <t>83016</t>
  </si>
  <si>
    <t>Свечи для торта Цифры с ромашками</t>
  </si>
  <si>
    <t>83027</t>
  </si>
  <si>
    <t>Свечи для торта Цифры с ромашками 9</t>
  </si>
  <si>
    <t>85000</t>
  </si>
  <si>
    <t>Свечи хоз. 36гр 18 см 2шт /50/</t>
  </si>
  <si>
    <t>85080</t>
  </si>
  <si>
    <t>Свечи хоз. 40гр 17,5 см Омск 4 шт 422-001 /55/</t>
  </si>
  <si>
    <t>85045</t>
  </si>
  <si>
    <t>Свечи чайные EH 10шт белые 13355 /40/</t>
  </si>
  <si>
    <t>83049</t>
  </si>
  <si>
    <t>Свечи чайные La Decor 10 шт парафин 508-537 /12/</t>
  </si>
  <si>
    <t>85041</t>
  </si>
  <si>
    <t>Свечи чайные La Decor 6 шт парафин 5 ароматов 508-621 /20/</t>
  </si>
  <si>
    <t>851 Смазки/средства розжига</t>
  </si>
  <si>
    <t>85158</t>
  </si>
  <si>
    <t>Бензин для зажигалок RUNIS 133мл /96/</t>
  </si>
  <si>
    <t>85190</t>
  </si>
  <si>
    <t>Газ для зажигалок BRUNO 320 мл 422-034 /3/6/</t>
  </si>
  <si>
    <t>83105</t>
  </si>
  <si>
    <t>Газ для зажигалок Runis с насадками 140мл 422-007 /6/36/</t>
  </si>
  <si>
    <t>85127</t>
  </si>
  <si>
    <t>Жидкость д/розжига BBQ time 1 л /12/</t>
  </si>
  <si>
    <t>85143</t>
  </si>
  <si>
    <t>Жидкость д/розжига Rain 250 мл для гриля и барбекю /41/</t>
  </si>
  <si>
    <t>85149</t>
  </si>
  <si>
    <t>Жидкость д/розжига Rain 500 мл для гриля и барбекю /20/</t>
  </si>
  <si>
    <t>85194</t>
  </si>
  <si>
    <t>Жидкость д/розжига Royalgrill 0,22л /24/</t>
  </si>
  <si>
    <t>85195</t>
  </si>
  <si>
    <t>Жидкость д/розжига Royalgrill 0,5л /24/</t>
  </si>
  <si>
    <t>85196</t>
  </si>
  <si>
    <t>Жидкость д/розжига Royalgrill 1л /12/</t>
  </si>
  <si>
    <t>85201</t>
  </si>
  <si>
    <t>Жидкость д/розжига с колпачком флип-топ 0,45л СГ /12/</t>
  </si>
  <si>
    <t>85107</t>
  </si>
  <si>
    <t>Жидкость д/розжига с колпачком флип-топ 0,4л Акула /12/</t>
  </si>
  <si>
    <t>85101</t>
  </si>
  <si>
    <t>Жидкость д/розжига с колпачком флип-топ 0,9л Акула /12</t>
  </si>
  <si>
    <t>85231</t>
  </si>
  <si>
    <t>Жидкость д/розжига с колпачком флип-топ 0,9л СГ /12</t>
  </si>
  <si>
    <t>85199</t>
  </si>
  <si>
    <t>Зажигалка Wisen WP15 турбо HC 5 арт.15020 101-048 /25/</t>
  </si>
  <si>
    <t>85175</t>
  </si>
  <si>
    <t>Зажигалка кремниевая CL-06(05) прозрачная /50/</t>
  </si>
  <si>
    <t>85133</t>
  </si>
  <si>
    <t>Зажигалка кремниевая FlameClab М-03 /50/</t>
  </si>
  <si>
    <t>85134</t>
  </si>
  <si>
    <t>Зажигалка кремниевая FlameClab М-05 /50/</t>
  </si>
  <si>
    <t>85144</t>
  </si>
  <si>
    <t>Зажигалка кремниевая FOXlite FX-24 прозрач /50/</t>
  </si>
  <si>
    <t>85178</t>
  </si>
  <si>
    <t>Зажигалка кремниевая Ognivo-lighter Баунти 521993 /50/</t>
  </si>
  <si>
    <t>85185</t>
  </si>
  <si>
    <t>Зажигалка кремниевая Ognivo-lighter Плетение 521995 /50/</t>
  </si>
  <si>
    <t>85181</t>
  </si>
  <si>
    <t>Зажигалка кремниевая Ognivo-lighter Путешествие 521992 /50/</t>
  </si>
  <si>
    <t>85189</t>
  </si>
  <si>
    <t>Зажигалка кремниевая Ognivo-lighter пять цветов 521990 /50/</t>
  </si>
  <si>
    <t>85186</t>
  </si>
  <si>
    <t>Зажигалка кремниевая Ognivo-lighter Российская символика 521994 /50/</t>
  </si>
  <si>
    <t>85187</t>
  </si>
  <si>
    <t>Зажигалка кремниевая Ognivo-lighter Тропик 521997 /50/</t>
  </si>
  <si>
    <t>85184</t>
  </si>
  <si>
    <t>Зажигалка кремниевая Ognivo-lighter Турецкий огурец 521996 /50/</t>
  </si>
  <si>
    <t>85173</t>
  </si>
  <si>
    <t>Зажигалка кремниевая Ognivo-lighter Футбол 521991 /50/</t>
  </si>
  <si>
    <t>83183</t>
  </si>
  <si>
    <t>Зажигалка кремниевая Oney прозр 101-042 /50/</t>
  </si>
  <si>
    <t>85193</t>
  </si>
  <si>
    <t>Зажигалка кремниевая Ермак 5 цв. 101-052 /50/</t>
  </si>
  <si>
    <t>85104</t>
  </si>
  <si>
    <t>Зажигалка пьезо City-1 01 (04) черный в рез и золотом /50/</t>
  </si>
  <si>
    <t>85197</t>
  </si>
  <si>
    <t>Зажигалка пьезо CL-012 P-02 5 цветов 17704 101-043 /50/</t>
  </si>
  <si>
    <t>85170</t>
  </si>
  <si>
    <t>Зажигалка пьезо Oney PF-01 с фонарем /50/</t>
  </si>
  <si>
    <t>85164</t>
  </si>
  <si>
    <t>Зажигалка пьезо Profit PL-214 т/п Девочки /50/</t>
  </si>
  <si>
    <t>85166</t>
  </si>
  <si>
    <t>Зажигалка пьезо Profit PL-214 т/п Деньги /50/</t>
  </si>
  <si>
    <t>85167</t>
  </si>
  <si>
    <t>Зажигалка пьезо Profit PL-214 т/п флаг России /50/</t>
  </si>
  <si>
    <t>85112</t>
  </si>
  <si>
    <t>Зажигалка пьезо Profit PL-335 т/п Дым 526091 /50/</t>
  </si>
  <si>
    <t>83189</t>
  </si>
  <si>
    <t>Зажигалка пьезо С2-10208 13см 2цв 442-026 /6/</t>
  </si>
  <si>
    <t>85176</t>
  </si>
  <si>
    <t>Зажигалка пьезо Ф64 Цветные /50/</t>
  </si>
  <si>
    <t>85179</t>
  </si>
  <si>
    <t>Зажигалка турбо Oney TA-03(03) камуфляж 526445 /50/</t>
  </si>
  <si>
    <t>85171</t>
  </si>
  <si>
    <t>Зажигалка турбо Oney TA-09(03) Девушки /50/</t>
  </si>
  <si>
    <t>85152</t>
  </si>
  <si>
    <t>Зажигалка турбо Oney TA-10 Fashion 46924 /50/</t>
  </si>
  <si>
    <t>85174</t>
  </si>
  <si>
    <t>Зажигалка турбо Oney TA-11В Россия /50/</t>
  </si>
  <si>
    <t>85156</t>
  </si>
  <si>
    <t>Масло бытовое RUNIS 100мл /55/</t>
  </si>
  <si>
    <t>85183</t>
  </si>
  <si>
    <t>Масло бытовое RUNIS 125мл круглое 422-043 /20/</t>
  </si>
  <si>
    <t>85116</t>
  </si>
  <si>
    <t>Масло бытовое для машин 100мл 474-248 /20/</t>
  </si>
  <si>
    <t>85117</t>
  </si>
  <si>
    <t>Смазка NEW GALAXY проникающая Мастер-ключ, аэрозоль 210мл 727-049 /9/</t>
  </si>
  <si>
    <t>85100</t>
  </si>
  <si>
    <t>Смазка NEW GALAXY силиконовая флакон 50 мл 727-053 /24/</t>
  </si>
  <si>
    <t>85147</t>
  </si>
  <si>
    <t>Смазка TYTAN Professional TL-40 универсальная 150мл /24/</t>
  </si>
  <si>
    <t>85182</t>
  </si>
  <si>
    <t>Смазка TYTAN Professional TL-40S 150мл /12/</t>
  </si>
  <si>
    <t>85122</t>
  </si>
  <si>
    <t>Смазка ЕРМАК силиконовая 210мл аэрозоль 669-135 /9/</t>
  </si>
  <si>
    <t>83100</t>
  </si>
  <si>
    <t>Смазка силиконовая FORPLAST для монтажа пластиковых труб 250г, 200мл, туба /32/</t>
  </si>
  <si>
    <t>85129</t>
  </si>
  <si>
    <t>Смазка силиконовая SILICOT 10г стик пакет универсальная /100/</t>
  </si>
  <si>
    <t>85161</t>
  </si>
  <si>
    <t>Смазка силиконовая SILICOT 30г туба в шоу боксе</t>
  </si>
  <si>
    <t>85198</t>
  </si>
  <si>
    <t>Спички бытовые 7,5*6,5*5,1 см осина блок 10шт 101-047 /100/</t>
  </si>
  <si>
    <t>85118</t>
  </si>
  <si>
    <t>Спички бытовые ГОСТ /10/1000/</t>
  </si>
  <si>
    <t>85108</t>
  </si>
  <si>
    <t>Сухое горючее Runis 150 г 10 таблеток /30/</t>
  </si>
  <si>
    <t>85165</t>
  </si>
  <si>
    <t>Сухое горючее Runis 80 г 5 таблеток /60/</t>
  </si>
  <si>
    <t>852 Огнебиозащита, антисептики, грунтовки, защита древесины.</t>
  </si>
  <si>
    <t>85263</t>
  </si>
  <si>
    <t>Антиплесень 0,9л СГ /6/</t>
  </si>
  <si>
    <t>85264</t>
  </si>
  <si>
    <t>Антиплесень 2,7л СГ /4/</t>
  </si>
  <si>
    <t>85203</t>
  </si>
  <si>
    <t>Антисептик Медный купорос пак 100г /100/</t>
  </si>
  <si>
    <t>50331</t>
  </si>
  <si>
    <t>Антисептик Медный купорос пак 50г /100/</t>
  </si>
  <si>
    <t>85206</t>
  </si>
  <si>
    <t>Антисептик ФН-0,9л без запаха для внутр. работ СГ /6/</t>
  </si>
  <si>
    <t>83270</t>
  </si>
  <si>
    <t>Антисептик ФН-10л без запаха для внутр. работ СГ</t>
  </si>
  <si>
    <t>83269</t>
  </si>
  <si>
    <t>Антисептик ФН-5,0л без запаха для внутр. работ СГ</t>
  </si>
  <si>
    <t>83277</t>
  </si>
  <si>
    <t>Грунтовка универсал 0,9л СГ /6/</t>
  </si>
  <si>
    <t>83279</t>
  </si>
  <si>
    <t>Грунтовка универсал 10л СГ</t>
  </si>
  <si>
    <t>83278</t>
  </si>
  <si>
    <t>Грунтовка универсал 2,7л СГ /4/</t>
  </si>
  <si>
    <t>85230</t>
  </si>
  <si>
    <t>Грунтовка универсал 5л СГ</t>
  </si>
  <si>
    <t>85265</t>
  </si>
  <si>
    <t>Жидкое стекло 0,9л ПНД СГ /6/</t>
  </si>
  <si>
    <t>83272</t>
  </si>
  <si>
    <t>Огнебиозащитный состав профессион. ПП5л/6кг</t>
  </si>
  <si>
    <t>83276</t>
  </si>
  <si>
    <t>Пропитка для полка саун без запаха 0,45л СГ /12/</t>
  </si>
  <si>
    <t>855-860 Химические препараты для борьбы с вредителями</t>
  </si>
  <si>
    <t>856 От тараканов муравьев клопов блох</t>
  </si>
  <si>
    <t>85623</t>
  </si>
  <si>
    <t>Аэрозоль Чистый дом от летающ. и ползающих 150мл дв/распыл /24/</t>
  </si>
  <si>
    <t>85669</t>
  </si>
  <si>
    <t>Аэрозоль Чистый дом супер универсал 400мл усиленного действия /4/24/</t>
  </si>
  <si>
    <t>85658</t>
  </si>
  <si>
    <t>Аэрозоль Чистый дом универсал 400мл дв./распылен. /24/</t>
  </si>
  <si>
    <t>85610</t>
  </si>
  <si>
    <t>Аэрозоль Чистый дом универсал 600мл дв./распылен. /24/</t>
  </si>
  <si>
    <t>85673</t>
  </si>
  <si>
    <t>Гель Nadzor от тараканов 20 мл шприц /33/</t>
  </si>
  <si>
    <t>85606</t>
  </si>
  <si>
    <t>Гель Nadzor от тараканов 75 гр /6/24/</t>
  </si>
  <si>
    <t>85666</t>
  </si>
  <si>
    <t>Гель Домовой от тараканов муравьев 30 г Прошка шприц /50/</t>
  </si>
  <si>
    <t>85664</t>
  </si>
  <si>
    <t>Гель Домовой от тараканов муравьев 30 г тройной удар шприц /80/</t>
  </si>
  <si>
    <t>84188</t>
  </si>
  <si>
    <t>Гель Дохлокс от муравьев 1 шт (Азурит) /48/</t>
  </si>
  <si>
    <t>85698</t>
  </si>
  <si>
    <t>Гель Дохлокс от тараканов 20 мл /48/</t>
  </si>
  <si>
    <t>85668</t>
  </si>
  <si>
    <t>Гель Дохлокс от тараканов, муровьев, мух, блох и др. 40 мл (пакет-саше) /10/</t>
  </si>
  <si>
    <t>82293</t>
  </si>
  <si>
    <t>Гель Чистый дом 35 мл от садов/домашн муравьев и тараканов туба /40/</t>
  </si>
  <si>
    <t>85671</t>
  </si>
  <si>
    <t>Гель Чистый дом от тараканов муравьев 20 мл /45/</t>
  </si>
  <si>
    <t>85678</t>
  </si>
  <si>
    <t>Гель Чистый дом от тараканов муравьев 50 мл усиленного действия /40/</t>
  </si>
  <si>
    <t>85660</t>
  </si>
  <si>
    <t>Дихлофос Арнест Нео+ 190 мл от насекомых /8/48/</t>
  </si>
  <si>
    <t>85697</t>
  </si>
  <si>
    <t>Дихлофос Варан 200 мл Антиклоп б/запаха Сибиар /24/</t>
  </si>
  <si>
    <t>85675</t>
  </si>
  <si>
    <t>Дихлофос Варан А 180мл универсальный (керосин) /24/</t>
  </si>
  <si>
    <t>84136</t>
  </si>
  <si>
    <t>Дихлофос Варан А 200мл универсальный эконом /24/</t>
  </si>
  <si>
    <t>85645</t>
  </si>
  <si>
    <t>Дихлофос Варан А 440мл от всех насекомых /12/</t>
  </si>
  <si>
    <t>85681</t>
  </si>
  <si>
    <t>Дихлофос Варан Форте 145 мл универсальный от ползующих зеленый /24/</t>
  </si>
  <si>
    <t>85679</t>
  </si>
  <si>
    <t>Дихлофос Варан Форте 190 мл универсальный б/запаха зеленый /24/</t>
  </si>
  <si>
    <t>85612</t>
  </si>
  <si>
    <t>Дихлофос Варан Форте 680 мл универсальный б/запаха зеленый /12/</t>
  </si>
  <si>
    <t>85641</t>
  </si>
  <si>
    <t>Дихлофос Варан Экстра 190 мл универсальный от летающих синий /24/</t>
  </si>
  <si>
    <t>85622</t>
  </si>
  <si>
    <t>Дихлофос Варан Экстра 345 мл универсальный от летающих синий /12/</t>
  </si>
  <si>
    <t>85635</t>
  </si>
  <si>
    <t>Дихлофос Варан Экстра 680 мл универсальный б/запаха синий /12/</t>
  </si>
  <si>
    <t>85648</t>
  </si>
  <si>
    <t>Дихлофос Мистер Вольт 200 мл универсальный /24/</t>
  </si>
  <si>
    <t>85692</t>
  </si>
  <si>
    <t>Дуст Чистый дом от муравьев 350гр туба /12/</t>
  </si>
  <si>
    <t>82269</t>
  </si>
  <si>
    <t>Дуст Чистый дом от тараканов 50гр Дезар /100/</t>
  </si>
  <si>
    <t>85603</t>
  </si>
  <si>
    <t>Жидкость Муратокс 1 мл в ампулах от муравьев клопов блох цв.пакет /200/</t>
  </si>
  <si>
    <t>77025</t>
  </si>
  <si>
    <t>Карбофос 30 гр Грин Бэлт /200/</t>
  </si>
  <si>
    <t>84103</t>
  </si>
  <si>
    <t>Карбофос 60 гр Грин Бэлт /100/</t>
  </si>
  <si>
    <t>85674</t>
  </si>
  <si>
    <t>Ловушка от муравьёв Чистый дом усиленного действия 6 шт /50/</t>
  </si>
  <si>
    <t>85626</t>
  </si>
  <si>
    <t>Ловушка от тараканов Дохлокс Premium 6шт Оборона /12/24/</t>
  </si>
  <si>
    <t>85657</t>
  </si>
  <si>
    <t>Ловушка от тараканов Тайга /30/60/</t>
  </si>
  <si>
    <t>85676</t>
  </si>
  <si>
    <t>Ловушка от тараканов Чистый дом 6 дисков /50/</t>
  </si>
  <si>
    <t>85670</t>
  </si>
  <si>
    <t>Ловушка от тараканов Чистый дом усиленного действия 6 дисков /50/</t>
  </si>
  <si>
    <t>82260</t>
  </si>
  <si>
    <t>Мелок от тараканов Машенька Серебро 20гр /200/</t>
  </si>
  <si>
    <t>82261</t>
  </si>
  <si>
    <t>Мелок от тараканов Чистый дом 20гр /250/</t>
  </si>
  <si>
    <t>85637</t>
  </si>
  <si>
    <t>Порошок Веста 555 от садовых и домашних муравьев 30гр /Т3021</t>
  </si>
  <si>
    <t>85685</t>
  </si>
  <si>
    <t>Порошок Грин Белт Муравьин от муравьев 50 гр /50/</t>
  </si>
  <si>
    <t>85651</t>
  </si>
  <si>
    <t>Порошок Супер фас от клопов блох тараканов 10 гр /100/</t>
  </si>
  <si>
    <t>857 От моли</t>
  </si>
  <si>
    <t>85720</t>
  </si>
  <si>
    <t>Антимоль Армоль аэрозоль 140 мл /6/48/</t>
  </si>
  <si>
    <t>85721</t>
  </si>
  <si>
    <t>Антимоль Дохлокс сгинь Отравный мешочек /24/</t>
  </si>
  <si>
    <t>85723</t>
  </si>
  <si>
    <t>Антимоль Чистый дом пластина подвесная с маслом Лаванды /50/</t>
  </si>
  <si>
    <t>85713</t>
  </si>
  <si>
    <t>Антимоль Чистый дом пластины с маслом Лаванды /50/</t>
  </si>
  <si>
    <t>82280</t>
  </si>
  <si>
    <t>Антимоль Чистый дом шарики 40гр экстра /250/</t>
  </si>
  <si>
    <t>85704</t>
  </si>
  <si>
    <t>Аэрозоль Молемор Варан от моли 180 мл запах лаванды /24/</t>
  </si>
  <si>
    <t>85718</t>
  </si>
  <si>
    <t>Аэрозоль Чистый дом 150 мл от моли дв/распыл /72/</t>
  </si>
  <si>
    <t>82259</t>
  </si>
  <si>
    <t>Аэрозоль Чистый дом 150 мл от моли и кожееда /72/</t>
  </si>
  <si>
    <t>85722</t>
  </si>
  <si>
    <t>Лента Чистый дом липкая от пищевой моли /100/</t>
  </si>
  <si>
    <t>858 От комаров/мух</t>
  </si>
  <si>
    <t>85833</t>
  </si>
  <si>
    <t>Антикомар Рефтамид 145 мл /24/</t>
  </si>
  <si>
    <t>85851</t>
  </si>
  <si>
    <t>Аэрозоль Nettrix Intensive от клещей комаров 150 мл /24/</t>
  </si>
  <si>
    <t>85852</t>
  </si>
  <si>
    <t>Аэрозоль Nettrix Intensive от комаров мошек мокрецов 150 мл /24/</t>
  </si>
  <si>
    <t>85846</t>
  </si>
  <si>
    <t>Аэрозоль Nettrix детский от комаров 100 мл  /24/</t>
  </si>
  <si>
    <t>85848</t>
  </si>
  <si>
    <t>Аэрозоль Nettrix от клещей комаров 150 мл /24/</t>
  </si>
  <si>
    <t>85849</t>
  </si>
  <si>
    <t>Аэрозоль Nettrix от комаров мошек мокрецов 150 мл /24/</t>
  </si>
  <si>
    <t>85822</t>
  </si>
  <si>
    <t>Аэрозоль-клей от насекомых 400 мл /12/</t>
  </si>
  <si>
    <t>85835</t>
  </si>
  <si>
    <t>Аэрозоль-репеллент Рефтамид от комаров мошек клещей Экстрим 150 мл Усиленный черный /24/</t>
  </si>
  <si>
    <t>84225</t>
  </si>
  <si>
    <t>Жидкость от комаров Форс гард детская ромашка /42/</t>
  </si>
  <si>
    <t>85800</t>
  </si>
  <si>
    <t>Лента от мух Арнест 4шт /20/40/</t>
  </si>
  <si>
    <t>85801</t>
  </si>
  <si>
    <t>Лента от мух и насекомых Nadzor 4шт /20/</t>
  </si>
  <si>
    <t>85855</t>
  </si>
  <si>
    <t>Лента от мух и насекомых Варан (красный) /100/</t>
  </si>
  <si>
    <t>85859</t>
  </si>
  <si>
    <t>Лента от мух и насекомых Чистый дом /120/</t>
  </si>
  <si>
    <t>85839</t>
  </si>
  <si>
    <t>Лента от мух с аттрактантом Чистый дом 4 шт /40/</t>
  </si>
  <si>
    <t>82283</t>
  </si>
  <si>
    <t>Пластины антикомариные Комарофф Стандарт Лимон 10 шт</t>
  </si>
  <si>
    <t>84206</t>
  </si>
  <si>
    <t>Пластины от комаров Argus 10 шт зеленые 12 часов без запаха 159-077</t>
  </si>
  <si>
    <t>85843</t>
  </si>
  <si>
    <t>Пластины от комаров д/детей Чистый дом ромашка 10 шт /200/</t>
  </si>
  <si>
    <t>85823</t>
  </si>
  <si>
    <t>Пластины от комаров Чистый дом без запаха 10шт /200/</t>
  </si>
  <si>
    <t>85838</t>
  </si>
  <si>
    <t>Свеча от комаров с маслом цитронеллы Чистый дом Летнее настроение /12/</t>
  </si>
  <si>
    <t>85816</t>
  </si>
  <si>
    <t>Спирали от комаров Капут 10 шт /60/</t>
  </si>
  <si>
    <t>85836</t>
  </si>
  <si>
    <t>Спирали от комаров Рефтамид 10 шт /10/</t>
  </si>
  <si>
    <t>85862</t>
  </si>
  <si>
    <t>Спирали от комаров Тайга древесные 10 шт /10/</t>
  </si>
  <si>
    <t>85821</t>
  </si>
  <si>
    <t>Спирали от комаров Чистый дом 10 шт /50/</t>
  </si>
  <si>
    <t>85853</t>
  </si>
  <si>
    <t>Спрей Nettrix Intensive от комаров мошек мокрецов 100 мл /48/</t>
  </si>
  <si>
    <t>85850</t>
  </si>
  <si>
    <t>Спрей Nettrix от комаров мошек мокрецов 100 мл /48/</t>
  </si>
  <si>
    <t>85812</t>
  </si>
  <si>
    <t>Спрей Тайга от комаров репеллентный 100 мл /40/</t>
  </si>
  <si>
    <t>85854</t>
  </si>
  <si>
    <t>Спрей Тайга от комаров репеллентный 100 мл детский от 2-х лет /12/</t>
  </si>
  <si>
    <t>85837</t>
  </si>
  <si>
    <t>Спрей Тайга от комаров репеллентный 125 мл /28/</t>
  </si>
  <si>
    <t>84251</t>
  </si>
  <si>
    <t>Спрей Чистый дом 400 мл от мух ос /24/</t>
  </si>
  <si>
    <t>85802</t>
  </si>
  <si>
    <t>Фумигатор эл. Nadzor универсальный /20/</t>
  </si>
  <si>
    <t>84204</t>
  </si>
  <si>
    <t>Фумигатор+жидкость Чистый дом 45 ночей от комаров /15/</t>
  </si>
  <si>
    <t>859 От грызунов</t>
  </si>
  <si>
    <t>85932</t>
  </si>
  <si>
    <t>Гранулы от грызунов Чистый дом 125 гр Орех /50/</t>
  </si>
  <si>
    <t>85929</t>
  </si>
  <si>
    <t>Гранулы от грызунов Чистый дом 125 гр Сыр /50/</t>
  </si>
  <si>
    <t>82231</t>
  </si>
  <si>
    <t>Гранулы от грызунов Чистый дом 50 гр /100/</t>
  </si>
  <si>
    <t>85922</t>
  </si>
  <si>
    <t>Гранулы от грызунов Чистый дом Зоокумарин Супер 200 гр /50/</t>
  </si>
  <si>
    <t>84128</t>
  </si>
  <si>
    <t>Зерновая приманка от грызунов Домовой 40 гр п/пакет</t>
  </si>
  <si>
    <t>85971</t>
  </si>
  <si>
    <t>Зерновая приманка от грызунов Фазенда 400 гр п/пакет /25/</t>
  </si>
  <si>
    <t>84140</t>
  </si>
  <si>
    <t>Зерновая приманка от грызунов Чистый дом 100 гр /50/</t>
  </si>
  <si>
    <t>85972</t>
  </si>
  <si>
    <t>Зерновая приманка от грызунов Чистый дом 200 гр /50/</t>
  </si>
  <si>
    <t>82222</t>
  </si>
  <si>
    <t>Клеевая ловушка от грызунов Чистый дом 40 гр /50/</t>
  </si>
  <si>
    <t>84135</t>
  </si>
  <si>
    <t>Клей от грызунов Чистый дом 130 гр туба /24/</t>
  </si>
  <si>
    <t>85905</t>
  </si>
  <si>
    <t>Клей от грызунов Чистый дом 60 гр туба /50/</t>
  </si>
  <si>
    <t>85926</t>
  </si>
  <si>
    <t>Перманганат калия 10 гр /100/</t>
  </si>
  <si>
    <t>85931</t>
  </si>
  <si>
    <t>Средство от кротов Биогрядка 100 гр /50/</t>
  </si>
  <si>
    <t>85974</t>
  </si>
  <si>
    <t>Тесто-брикет от грызунов Дохлокс Сгинь 100 гр Крысиный яд /25/</t>
  </si>
  <si>
    <t>85904</t>
  </si>
  <si>
    <t>Тесто-брикет от грызунов Чистый дом 100 гр п/п 03-030 /50/</t>
  </si>
  <si>
    <t>85916</t>
  </si>
  <si>
    <t>Тесто-брикет от грызунов Чистый дом 200 гр п/п /50/</t>
  </si>
  <si>
    <t>85901</t>
  </si>
  <si>
    <t>Шашка Фас серная Климат 300 гр /40/</t>
  </si>
  <si>
    <t>860 От клещей</t>
  </si>
  <si>
    <t>86025</t>
  </si>
  <si>
    <t>Антиклещ комаров блох №1 150мл 961-013 /12/</t>
  </si>
  <si>
    <t>86024</t>
  </si>
  <si>
    <t>Антиклещ мошка комар Рефтамид Максимум 147 мл /24/</t>
  </si>
  <si>
    <t>86021</t>
  </si>
  <si>
    <t>Спрей от клещей GO OUT 125 мл 159-082 /24/</t>
  </si>
  <si>
    <t>86014</t>
  </si>
  <si>
    <t>Средство от клещей для обработки территории 10 мл /120/</t>
  </si>
  <si>
    <t>86013</t>
  </si>
  <si>
    <t>Средство от клещей для обработки территории 100 мл /48/</t>
  </si>
  <si>
    <t>900-999 Сантехника</t>
  </si>
  <si>
    <t>900 Занавески для ванной</t>
  </si>
  <si>
    <t>90083</t>
  </si>
  <si>
    <t>Занавеска д/ван. 180*180 981-1 /100/</t>
  </si>
  <si>
    <t>90085</t>
  </si>
  <si>
    <t>Занавеска д/ван. 180*180 981-12 /72/</t>
  </si>
  <si>
    <t>90086</t>
  </si>
  <si>
    <t>Занавеска д/ван. 180*180 981-2 /72/</t>
  </si>
  <si>
    <t>90081</t>
  </si>
  <si>
    <t>Занавеска д/ван. 180*180 981-3 /72/</t>
  </si>
  <si>
    <t>90082</t>
  </si>
  <si>
    <t>Занавеска д/ван. 180*180 981-4 /120/</t>
  </si>
  <si>
    <t>90087</t>
  </si>
  <si>
    <t>Занавеска д/ван. 180*180 981-5 /72/</t>
  </si>
  <si>
    <t>90088</t>
  </si>
  <si>
    <t>Занавеска д/ван. 180*180 981-6 /72/</t>
  </si>
  <si>
    <t>90089</t>
  </si>
  <si>
    <t>Занавеска д/ван. 180*180 981-7 /72/</t>
  </si>
  <si>
    <t>90090</t>
  </si>
  <si>
    <t>Занавеска д/ван. 180*180 981-8 /72/</t>
  </si>
  <si>
    <t>90012</t>
  </si>
  <si>
    <t>Занавеска д/ван. 180*180 №11</t>
  </si>
  <si>
    <t>90017</t>
  </si>
  <si>
    <t>Занавеска д/ван. 180*180 однот. XT-850-1 белая</t>
  </si>
  <si>
    <t>99570</t>
  </si>
  <si>
    <t>Занавеска д/ван. 180*180 однот. XT-850-2 розовая</t>
  </si>
  <si>
    <t>90016</t>
  </si>
  <si>
    <t>Занавеска д/ван. 180*180 однот. XT-850-3 зеленая</t>
  </si>
  <si>
    <t>90018</t>
  </si>
  <si>
    <t>Занавеска д/ван. 180*180 однот. XT-850-4 голубая</t>
  </si>
  <si>
    <t>90091</t>
  </si>
  <si>
    <t>Занавеска д/ван. 180*180 полиэстер 981-11 /72/</t>
  </si>
  <si>
    <t>90092</t>
  </si>
  <si>
    <t>Занавеска д/ван. 180*180 полиэстер 981-9 /72/</t>
  </si>
  <si>
    <t>90095</t>
  </si>
  <si>
    <t>Занавеска д/ван. 180*180 полиэстер mix 54643 /72/</t>
  </si>
  <si>
    <t>90096</t>
  </si>
  <si>
    <t>Занавеска д/ван. 180*180 полиэстер mix 54646 /72/</t>
  </si>
  <si>
    <t>90028</t>
  </si>
  <si>
    <t>Занавеска д/ван. 180*180 полиэт Вилина однотон. 6671 /40/</t>
  </si>
  <si>
    <t>90004</t>
  </si>
  <si>
    <t>Занавеска д/ван. BY 180*200 см Эквилиб мрамор 3 цв 461-557 /3/</t>
  </si>
  <si>
    <t>90015</t>
  </si>
  <si>
    <t>Занавеска д/ван. EH 3D 180*180 см белая 14097 /48/</t>
  </si>
  <si>
    <t>90032</t>
  </si>
  <si>
    <t>Занавеска д/ван. EH 3D 180*180 см зеленая 14099 /48/</t>
  </si>
  <si>
    <t>90029</t>
  </si>
  <si>
    <t>Занавеска д/ван. EH 3D 180*180 см синяя 14098 /48/</t>
  </si>
  <si>
    <t>90030</t>
  </si>
  <si>
    <t>Занавеска д/ван. EH Антик розовый сатин 180*180 4247 /5/</t>
  </si>
  <si>
    <t>96600</t>
  </si>
  <si>
    <t>Занавеска д/ван. EH Афины серый 180*180 8839 /5/</t>
  </si>
  <si>
    <t>90097</t>
  </si>
  <si>
    <t>Занавеска д/ван. EH Голубая мечта 180*180 7914 /5/</t>
  </si>
  <si>
    <t>99585</t>
  </si>
  <si>
    <t>Занавеска д/ван. EH Елисейские поля 180*180 8836 /5/</t>
  </si>
  <si>
    <t>99506</t>
  </si>
  <si>
    <t>Занавеска д/ван. EH Киты и черепахи 180*180 4833 /5/</t>
  </si>
  <si>
    <t>90013</t>
  </si>
  <si>
    <t>Занавеска д/ван. EH МИКС 180*180 ПВД 12173 /10/</t>
  </si>
  <si>
    <t>90008</t>
  </si>
  <si>
    <t>Занавеска д/ван. EH Морской берег 180*200 15571 /48/</t>
  </si>
  <si>
    <t>90065</t>
  </si>
  <si>
    <t>Занавеска д/ван. EH Подводный мир песочный 180*180 4252 /5/</t>
  </si>
  <si>
    <t>90056</t>
  </si>
  <si>
    <t>Занавеска д/ван. EH Розовая сказка сатин 180*180 8837 /5/</t>
  </si>
  <si>
    <t>91327</t>
  </si>
  <si>
    <t>Занавеска д/ван. PEVA 180*180 3D 4 цв. /24/</t>
  </si>
  <si>
    <t>99529</t>
  </si>
  <si>
    <t>Занавеска д/ван. PEVA 180*180 5 цв 461-043 /3/</t>
  </si>
  <si>
    <t>99517</t>
  </si>
  <si>
    <t>Занавеска д/ван. PEVA 180*180 кольц. 4 цв. 04.37 /24/</t>
  </si>
  <si>
    <t>91308</t>
  </si>
  <si>
    <t>Занавеска д/ван. PRIME №С02 полиэстер 180*180 синяя</t>
  </si>
  <si>
    <t>90011</t>
  </si>
  <si>
    <t>Занавеска д/ван. VETTA 170*180 см с пропиткой Амаретто 4 диз 461-544 /48/</t>
  </si>
  <si>
    <t>91379</t>
  </si>
  <si>
    <t>Занавеска д/ван. VETTA винил 177*180 см Мэринелла 461-169 /2/</t>
  </si>
  <si>
    <t>91396</t>
  </si>
  <si>
    <t>Занавеска д/ван. VETTA винил 180*180 см 12 колец 3D 2 диз 461-502 /4/</t>
  </si>
  <si>
    <t>91346</t>
  </si>
  <si>
    <t>Занавеска д/ван. VETTA винил 180*180 см 12 колец с рис. цветов 2 диз 461-504 /4/</t>
  </si>
  <si>
    <t>90027</t>
  </si>
  <si>
    <t>Занавеска д/ван. VETTA винил 180*180 см 3D 12 колец Венеция 4 диз 461-533 /4/</t>
  </si>
  <si>
    <t>91457</t>
  </si>
  <si>
    <t>Занавеска д/ван. VETTA винил 180*180 см 3D 12 колец полоски синий 461-470 /4/</t>
  </si>
  <si>
    <t>99564</t>
  </si>
  <si>
    <t>Занавеска д/ван. VETTA винил 180*200 см 2 диз. 461-319 /2/</t>
  </si>
  <si>
    <t>90060</t>
  </si>
  <si>
    <t>Занавеска д/ван. VETTA Пева 180*180 см Dream and Love 461-600 /6/</t>
  </si>
  <si>
    <t>90019</t>
  </si>
  <si>
    <t>Занавеска д/ван. VETTA Пева 180*180 см Барселона 4 диз. 461-529 /72/</t>
  </si>
  <si>
    <t>90059</t>
  </si>
  <si>
    <t>Занавеска д/ван. VETTA Пева 180*180 см Веер 461-597 /12/</t>
  </si>
  <si>
    <t>91366</t>
  </si>
  <si>
    <t>Занавеска д/ван. VETTA Пева 180*180 см Вертикаль 4 диз. 461-524 /72/</t>
  </si>
  <si>
    <t>90022</t>
  </si>
  <si>
    <t>Занавеска д/ван. VETTA Пева 180*180 см Геометрия 461-033 /24/</t>
  </si>
  <si>
    <t>90093</t>
  </si>
  <si>
    <t>Занавеска д/ван. VETTA Пева 180*180 см Геометрия 461-041 /24/</t>
  </si>
  <si>
    <t>90042</t>
  </si>
  <si>
    <t>Занавеска д/ван. VETTA Пева 180*180 см Геометрия с принтом 4 диз. 461-515 /4/</t>
  </si>
  <si>
    <t>90080</t>
  </si>
  <si>
    <t>Занавеска д/ван. VETTA Пева 180*180 см Деграде 461-599 /6/</t>
  </si>
  <si>
    <t>90024</t>
  </si>
  <si>
    <t>Занавеска д/ван. VETTA Пева 180*180 см Килимаджаро 4 диз. 461-539 /4/</t>
  </si>
  <si>
    <t>90044</t>
  </si>
  <si>
    <t>Занавеска д/ван. VETTA Пева 180*180 см Круги 4 диз. 461-516 /4/</t>
  </si>
  <si>
    <t>90014</t>
  </si>
  <si>
    <t>Занавеска д/ван. VETTA Пева 180*180 см Круги на воде 3 цв. 461-313 /2/</t>
  </si>
  <si>
    <t>99519</t>
  </si>
  <si>
    <t>Занавеска д/ван. VETTA Пева 180*180 см Легкость 3 диз 461-476 /10/</t>
  </si>
  <si>
    <t>90009</t>
  </si>
  <si>
    <t>Занавеска д/ван. VETTA Пева 180*180 см Листья 461-025 /24/</t>
  </si>
  <si>
    <t>90031</t>
  </si>
  <si>
    <t>Занавеска д/ван. VETTA Пева 180*180 см Листья 461-027 /24/</t>
  </si>
  <si>
    <t>90077</t>
  </si>
  <si>
    <t>Занавеска д/ван. VETTA Пева 180*180 см Листья 461-031 /24/</t>
  </si>
  <si>
    <t>90075</t>
  </si>
  <si>
    <t>Занавеска д/ван. VETTA Пева 180*180 см Листья 461-039 /24/</t>
  </si>
  <si>
    <t>96601</t>
  </si>
  <si>
    <t>Занавеска д/ван. VETTA Пева 180*180 см Листья 461-045 /24/</t>
  </si>
  <si>
    <t>90094</t>
  </si>
  <si>
    <t>Занавеска д/ван. VETTA Пева 180*180 см Лондария 4 диз. 461-527 /72/</t>
  </si>
  <si>
    <t>99528</t>
  </si>
  <si>
    <t>Занавеска д/ван. VETTA Пева 180*180 см Марсельеза 4 диз. 461-042 /48/</t>
  </si>
  <si>
    <t>91314</t>
  </si>
  <si>
    <t>Занавеска д/ван. VETTA Пева 180*180 см однотонная 4 цв. 461-512 /4/</t>
  </si>
  <si>
    <t>90033</t>
  </si>
  <si>
    <t>Занавеска д/ван. VETTA Пева 180*180 см Парусник бежевый 461-573 /40/</t>
  </si>
  <si>
    <t>90066</t>
  </si>
  <si>
    <t>Занавеска д/ван. VETTA Пева 180*180 см Парусник бело-синий 461-572 /40/</t>
  </si>
  <si>
    <t>90040</t>
  </si>
  <si>
    <t>Занавеска д/ван. VETTA Пева 180*180 см Перышко 461-596 /12/</t>
  </si>
  <si>
    <t>90067</t>
  </si>
  <si>
    <t>Занавеска д/ван. VETTA Пева 180*180 см Подводный мир 461-574 /40/</t>
  </si>
  <si>
    <t>90070</t>
  </si>
  <si>
    <t>Занавеска д/ван. VETTA Пева 180*180 см Полосы 461-024 /24/</t>
  </si>
  <si>
    <t>90038</t>
  </si>
  <si>
    <t>Занавеска д/ван. VETTA Пева 180*180 см Ракушки голубой 461-576 /40/</t>
  </si>
  <si>
    <t>91367</t>
  </si>
  <si>
    <t>Занавеска д/ван. VETTA Пева 180*180 см с декоративными кольцами 180-180 3 диз. 461-526 /52/</t>
  </si>
  <si>
    <t>91312</t>
  </si>
  <si>
    <t>Занавеска д/ван. VETTA Пева 180*180 см с магнитами 3 цв. 461-523 /72/</t>
  </si>
  <si>
    <t>90052</t>
  </si>
  <si>
    <t>Занавеска д/ван. VETTA Пева 180*180 см с магнитами бирюзовая 461-592 /2/</t>
  </si>
  <si>
    <t>90084</t>
  </si>
  <si>
    <t>Занавеска д/ван. VETTA Пева 180*180 см с магнитами пудрово-розовая 461-593 /2/</t>
  </si>
  <si>
    <t>90023</t>
  </si>
  <si>
    <t>Занавеска д/ван. VETTA Пева 180*180 см Сканди 4 диз. 461-538 /4/</t>
  </si>
  <si>
    <t>90021</t>
  </si>
  <si>
    <t>Занавеска д/ван. VETTA Пева 180*180 см Твист 4 диз. 461-537 /4/</t>
  </si>
  <si>
    <t>90074</t>
  </si>
  <si>
    <t>Занавеска д/ван. VETTA Пева 180*180 см Узоры на стекле 461-587 /2/</t>
  </si>
  <si>
    <t>90007</t>
  </si>
  <si>
    <t>Занавеска д/ван. VETTA Пева 180*180 см Флора и фауна 4 диз. 461-514 /4/</t>
  </si>
  <si>
    <t>90073</t>
  </si>
  <si>
    <t>Занавеска д/ван. VETTA Пева 180*180 см Цветущие пионы 461-585 /2/</t>
  </si>
  <si>
    <t>90001</t>
  </si>
  <si>
    <t>Занавеска д/ван. VETTA Пева 180*180 см Цветущий сад 4 диз. 461-525 /72/</t>
  </si>
  <si>
    <t>90045</t>
  </si>
  <si>
    <t>Занавеска д/ван. VETTA Пева 180*180 см Цветущий сад 461-586 /2/</t>
  </si>
  <si>
    <t>90026</t>
  </si>
  <si>
    <t>Занавеска д/ван. VETTA Пева 180*180 см Цветы 461-029 /24/</t>
  </si>
  <si>
    <t>90072</t>
  </si>
  <si>
    <t>Занавеска д/ван. VETTA Пева 180*180 см Цветы 461-034 /24/</t>
  </si>
  <si>
    <t>90099</t>
  </si>
  <si>
    <t>Занавеска д/ван. VETTA Пева 180*180 см Цветы 461-035 /24/</t>
  </si>
  <si>
    <t>90098</t>
  </si>
  <si>
    <t>Занавеска д/ван. VETTA Пева 180*180 см Эллегия 4 диз. 461-598 /6/</t>
  </si>
  <si>
    <t>90039</t>
  </si>
  <si>
    <t>Занавеска д/ван. VETTA Пева 180*180 см Энимал 461-020 /24/</t>
  </si>
  <si>
    <t>90051</t>
  </si>
  <si>
    <t>Занавеска д/ван. VETTA Пева 180*180 см Энимал 461-021 /24/</t>
  </si>
  <si>
    <t>91344</t>
  </si>
  <si>
    <t>Занавеска д/ван. VETTA Пева 180*180 см Яркий однотон 3 цв. В-02 461-392 /2/</t>
  </si>
  <si>
    <t>90078</t>
  </si>
  <si>
    <t>Занавеска д/ван. VETTA Пева 180*200 см Маренго 2 диз. 461-327 /2/</t>
  </si>
  <si>
    <t>90053</t>
  </si>
  <si>
    <t>Занавеска д/ван. VETTA Пева 180*200 см Миранда 461-595 /12/</t>
  </si>
  <si>
    <t>99568</t>
  </si>
  <si>
    <t>Занавеска д/ван. VETTA Пева 180*200 см однотонная 3 цв. 461-325 /3/</t>
  </si>
  <si>
    <t>90002</t>
  </si>
  <si>
    <t>Занавеска д/ван. VETTA Пева 180*200 см Этнографика 3 диз 461-324 /2/</t>
  </si>
  <si>
    <t>90010</t>
  </si>
  <si>
    <t>Занавеска д/ван. VETTA Пева 200*200 см Эстель 4 диз. 461-558 /4/</t>
  </si>
  <si>
    <t>99560</t>
  </si>
  <si>
    <t>Занавеска д/ван. VETTA полиэстер 170*180 см Зеленые просторы однот. 461-053 /2/</t>
  </si>
  <si>
    <t>91302</t>
  </si>
  <si>
    <t>Занавеска д/ван. VETTA полиэстер 180*180 см Баба-яга 2 диз 461-507 /24/</t>
  </si>
  <si>
    <t>99551</t>
  </si>
  <si>
    <t>Занавеска д/ван. VETTA полиэстер 180*180 см Горошек 461-069 /5/</t>
  </si>
  <si>
    <t>91251</t>
  </si>
  <si>
    <t>Занавеска д/ван. VETTA полиэстер 180*180 см Классика 4 цв 461-505 /24/</t>
  </si>
  <si>
    <t>91343</t>
  </si>
  <si>
    <t>Занавеска д/ван. VETTA полиэстер 180*180 см Коралы 4 диз 461-510 /4/</t>
  </si>
  <si>
    <t>90061</t>
  </si>
  <si>
    <t>Занавеска д/ван. VETTA полиэстер 180*180 см Летиция 4 диз. 461-559 /24/</t>
  </si>
  <si>
    <t>91368</t>
  </si>
  <si>
    <t>Занавеска д/ван. VETTA полиэстер 180*180 см однотонная беж. 461-451 /2/24/</t>
  </si>
  <si>
    <t>90034</t>
  </si>
  <si>
    <t>Занавеска д/ван. VETTA полиэстер 180*180 см Фактура 4 диз. 461-555 /4/</t>
  </si>
  <si>
    <t>90069</t>
  </si>
  <si>
    <t>Занавеска д/ван. VETTA полиэстер 180*180 см Франко 4 диз 461-534 /4/</t>
  </si>
  <si>
    <t>91459</t>
  </si>
  <si>
    <t>Занавеска д/ван. VETTA полиэстер 180*180см с утяж Кремль фотопечать 461-478 /24/</t>
  </si>
  <si>
    <t>90035</t>
  </si>
  <si>
    <t>Занавеска д/ван. VETTA полиэстер 180*210 см Фабула 4 диз. 461-556 /4/</t>
  </si>
  <si>
    <t>90071</t>
  </si>
  <si>
    <t>Занавеска д/ван. VETTA полиэстер 200*200 см XL 4 цв. 461-536 /4/</t>
  </si>
  <si>
    <t>90079</t>
  </si>
  <si>
    <t>Занавеска д/ван. ZALEL полиэстер 170*200 см эконом /50/</t>
  </si>
  <si>
    <t>90062</t>
  </si>
  <si>
    <t>Занавеска д/ван. ZALEL полиэстер 180*180 см 3D EVA с кольцами /24/</t>
  </si>
  <si>
    <t>90054</t>
  </si>
  <si>
    <t>Занавеска д/ван. ZALEL полиэстер 180*180 см 3D PVA /35/</t>
  </si>
  <si>
    <t>90049</t>
  </si>
  <si>
    <t>Занавеска д/ван. ZALEL полиэстер 180*180 см эконом Peva с кольцами /24/</t>
  </si>
  <si>
    <t>90046</t>
  </si>
  <si>
    <t>Занавеска д/ван. ZALEL полиэстер 180*180/200 см с кольцами /35/</t>
  </si>
  <si>
    <t>90063</t>
  </si>
  <si>
    <t>Занавеска д/ван. ZALEL полиэстер 180*200 см детская фотопринт /35/</t>
  </si>
  <si>
    <t>90047</t>
  </si>
  <si>
    <t>Занавеска д/ван. ZALEL полиэстер 180*200 см Фотопринт с кольцами /35/</t>
  </si>
  <si>
    <t>90041</t>
  </si>
  <si>
    <t>Занавеска д/ван. винил 180*180 см BD34-53 /6/</t>
  </si>
  <si>
    <t>99508</t>
  </si>
  <si>
    <t>Занавеска д/ван. ЕВА 180*180см 3D квадраты 04.40 /24/</t>
  </si>
  <si>
    <t>99521</t>
  </si>
  <si>
    <t>Занавеска д/ван. ЕВА 180*180см 3D кольца /24/</t>
  </si>
  <si>
    <t>99518</t>
  </si>
  <si>
    <t>Занавеска д/ван. ЕВА 180*180см 3D круг кольца /24/</t>
  </si>
  <si>
    <t>99536</t>
  </si>
  <si>
    <t>Кольца для занавесок 12 шт пластик 6*4 см прозрачные/белые 463-986 /300/</t>
  </si>
  <si>
    <t>902 АНИ гофросифоны</t>
  </si>
  <si>
    <t>90704</t>
  </si>
  <si>
    <t>Гофросифон Ани G104 1 1/2*40 /60/</t>
  </si>
  <si>
    <t>90746</t>
  </si>
  <si>
    <t>Гофросифон Ани G105 1 1/2*50 /60/</t>
  </si>
  <si>
    <t>90745</t>
  </si>
  <si>
    <t>Гофросифон Ани G106 1 1/2* 40-50 /60/</t>
  </si>
  <si>
    <t>90765</t>
  </si>
  <si>
    <t>Гофросифон Ани G108 1 1/2*40*50 отв.стир. /50/</t>
  </si>
  <si>
    <t>90716</t>
  </si>
  <si>
    <t>Гофросифон Ани G114 удл.1 1/2*40 /50/</t>
  </si>
  <si>
    <t>90721</t>
  </si>
  <si>
    <t>Гофросифон Ани G115 удл.1 1/2*50 /50/</t>
  </si>
  <si>
    <t>90717</t>
  </si>
  <si>
    <t>Гофросифон Ани G116 удл.1 1/2*40/50 /50/</t>
  </si>
  <si>
    <t>90766</t>
  </si>
  <si>
    <t>Гофросифон Ани G118 удл.1 1/2*40/50 отв.стир. /40/</t>
  </si>
  <si>
    <t>90747</t>
  </si>
  <si>
    <t>Гофросифон Ани G204 1 1/4*40 /60/</t>
  </si>
  <si>
    <t>90714</t>
  </si>
  <si>
    <t>Гофросифон Ани G205 1 1/4*50 /60/</t>
  </si>
  <si>
    <t>90748</t>
  </si>
  <si>
    <t>Гофросифон Ани G206 1 1/4*40/50 /60/</t>
  </si>
  <si>
    <t>90841</t>
  </si>
  <si>
    <t>Гофросифон Ани G207 1 1/4*32/40 /60/</t>
  </si>
  <si>
    <t>90731</t>
  </si>
  <si>
    <t>Гофросифон Ани G214 удл.1 1/4*40 /50/</t>
  </si>
  <si>
    <t>90722</t>
  </si>
  <si>
    <t>Гофросифон Ани G215 удл.1 1/4*50 /50/</t>
  </si>
  <si>
    <t>90791</t>
  </si>
  <si>
    <t>Гофросифон Ани G216 удл.1 1/4*40/50 /50/</t>
  </si>
  <si>
    <t>90842</t>
  </si>
  <si>
    <t>Гофросифон Ани G217 удл.1 1/4*32/40 удл. /50/</t>
  </si>
  <si>
    <t>90730</t>
  </si>
  <si>
    <t>Гофросифон Ани G716 1 1/2-40*50 930 удлин /50/</t>
  </si>
  <si>
    <t>903 Подводка для воды</t>
  </si>
  <si>
    <t>90399</t>
  </si>
  <si>
    <t>Подводка Valfex д/ел.С 1.2 м М10*18 М10*35 пара /40/</t>
  </si>
  <si>
    <t>90130</t>
  </si>
  <si>
    <t>Подводка Valfex д/ел.С 2.0 м М10*18 М10*35 пара /50/25/</t>
  </si>
  <si>
    <t>90332</t>
  </si>
  <si>
    <t>Подводка Valfex С 0,5м. г/ш /10/150/</t>
  </si>
  <si>
    <t>90334</t>
  </si>
  <si>
    <t>Подводка Valfex С 0,6м. г/ш /10/150/</t>
  </si>
  <si>
    <t>90386</t>
  </si>
  <si>
    <t>Подводка Valfex С 1,0м. г/г /10/100/</t>
  </si>
  <si>
    <t>90339</t>
  </si>
  <si>
    <t>Подводка Valfex С 1,2м. г/ш /10/80/</t>
  </si>
  <si>
    <t>90305</t>
  </si>
  <si>
    <t>Подводка Valfex С 1,8м. г/г /10/50/</t>
  </si>
  <si>
    <t>90394</t>
  </si>
  <si>
    <t>Подводка Valfex С 3,0м. г/г /10/</t>
  </si>
  <si>
    <t>90346</t>
  </si>
  <si>
    <t>Подводка Valfex С 3,0м. г/ш /10/30/</t>
  </si>
  <si>
    <t>90327</t>
  </si>
  <si>
    <t>Подводка Valfex С 3,5м. г/г /10/30/</t>
  </si>
  <si>
    <t>90349</t>
  </si>
  <si>
    <t>Подводка Valfex С 3,5м. г/ш /10/30/</t>
  </si>
  <si>
    <t>90328</t>
  </si>
  <si>
    <t>Подводка Valfex С 4,0м. г/г /10/20/</t>
  </si>
  <si>
    <t>90353</t>
  </si>
  <si>
    <t>Подводка Valfex С 4,0м. г/ш /10/20/</t>
  </si>
  <si>
    <t>90404</t>
  </si>
  <si>
    <t>Подводка Аквалайн д/ел. С М10*18 короткий штуцер 0.3м /10/</t>
  </si>
  <si>
    <t>90419</t>
  </si>
  <si>
    <t>Подводка Аквалайн д/ел. С М10*18 короткий штуцер 0.4м /10/</t>
  </si>
  <si>
    <t>90337</t>
  </si>
  <si>
    <t>Подводка Аквалайн д/ел.1.2м Л М10*18 М10*35 пара /50/</t>
  </si>
  <si>
    <t>90309</t>
  </si>
  <si>
    <t>Подводка Аквалайн д/ел.С 0.3 м М10*18 М10*35 пара /50/</t>
  </si>
  <si>
    <t>90359</t>
  </si>
  <si>
    <t>Подводка Аквалайн д/ел.С 0.4 м М10*18 М10*35 пара /50/</t>
  </si>
  <si>
    <t>90311</t>
  </si>
  <si>
    <t>Подводка Аквалайн д/ел.С 0.5 м М10*18 М10*35 пара /50/</t>
  </si>
  <si>
    <t>90320</t>
  </si>
  <si>
    <t>Подводка Аквалайн д/ел.С 0.6 м М10*18 М10*35 пара /50/</t>
  </si>
  <si>
    <t>90387</t>
  </si>
  <si>
    <t>Подводка Аквалайн д/ел.С 0.8 м М10*18 М10*35 пара /25/</t>
  </si>
  <si>
    <t>90388</t>
  </si>
  <si>
    <t>Подводка Аквалайн д/ел.С 1.0 м М10*18 М10*35 пара /25/</t>
  </si>
  <si>
    <t>90382</t>
  </si>
  <si>
    <t>Подводка Аквалайн д/ел.С 1.2 м М10*18 М10*35 пара /25/</t>
  </si>
  <si>
    <t>90367</t>
  </si>
  <si>
    <t>Подводка Аквалайн д/ел.С 1.5 м М10*18 М10*35 пара /25/</t>
  </si>
  <si>
    <t>90003</t>
  </si>
  <si>
    <t>Подводка Аквалайн д/ел.С 2.0 м М10*18 М10*35 пара /25/</t>
  </si>
  <si>
    <t>90360</t>
  </si>
  <si>
    <t>Подводка Аквалайн д/ел.с ПВХ покр. 0.6 м М10*18 М10*35 пара /90/</t>
  </si>
  <si>
    <t>90362</t>
  </si>
  <si>
    <t>Подводка Аквалайн д/ел.с ПВХ покр. 0.8 м М10*18 М10*35 пара /70/</t>
  </si>
  <si>
    <t>90301</t>
  </si>
  <si>
    <t>Подводка Аквалайн д/ел.с ПВХ покр. 1.0 м М10*18 М10*35 пара /70/</t>
  </si>
  <si>
    <t>90344</t>
  </si>
  <si>
    <t>Подводка Аквалайн Л 0,3м. г/г /10/</t>
  </si>
  <si>
    <t>90409</t>
  </si>
  <si>
    <t>Подводка Аквалайн Л 1,8м. г/ш /10/</t>
  </si>
  <si>
    <t>90307</t>
  </si>
  <si>
    <t>Подводка Аквалайн С 0,2м. г/г /10/</t>
  </si>
  <si>
    <t>90370</t>
  </si>
  <si>
    <t>Подводка Аквалайн С 0,2м. г/ш /10/</t>
  </si>
  <si>
    <t>90333</t>
  </si>
  <si>
    <t>Подводка Аквалайн С 0,3м. г/г /10/100/</t>
  </si>
  <si>
    <t>90365</t>
  </si>
  <si>
    <t>Подводка Аквалайн С 0,3м. г/ш /10/100/</t>
  </si>
  <si>
    <t>90308</t>
  </si>
  <si>
    <t>Подводка Аквалайн С 0,4м. г/г /10/100/</t>
  </si>
  <si>
    <t>90317</t>
  </si>
  <si>
    <t>Подводка Аквалайн С 0,4м. г/ш /10/100/</t>
  </si>
  <si>
    <t>90335</t>
  </si>
  <si>
    <t>Подводка Аквалайн С 0,5м. г/г /10/100/</t>
  </si>
  <si>
    <t>90318</t>
  </si>
  <si>
    <t>Подводка Аквалайн С 0,5м. г/ш /10/100/</t>
  </si>
  <si>
    <t>90352</t>
  </si>
  <si>
    <t>Подводка Аквалайн С 0,6м. г/г /10/100/</t>
  </si>
  <si>
    <t>90321</t>
  </si>
  <si>
    <t>Подводка Аквалайн С 0,6м. г/ш /10/100/</t>
  </si>
  <si>
    <t>90343</t>
  </si>
  <si>
    <t>Подводка Аквалайн С 0,8м. г/г /10/50/</t>
  </si>
  <si>
    <t>90322</t>
  </si>
  <si>
    <t>Подводка Аквалайн С 0,8м. г/ш /10/50/</t>
  </si>
  <si>
    <t>90397</t>
  </si>
  <si>
    <t>Подводка Аквалайн С 1,0м. г/г /10/50/</t>
  </si>
  <si>
    <t>90324</t>
  </si>
  <si>
    <t>Подводка Аквалайн С 1,0м. г/ш /10/50/</t>
  </si>
  <si>
    <t>90316</t>
  </si>
  <si>
    <t>Подводка Аквалайн С 1,2м. г/г /10/50/</t>
  </si>
  <si>
    <t>90336</t>
  </si>
  <si>
    <t>Подводка Аквалайн С 1,2м. г/ш /10/50/</t>
  </si>
  <si>
    <t>90377</t>
  </si>
  <si>
    <t>Подводка Аквалайн С 1,5м. г/г /10/50/</t>
  </si>
  <si>
    <t>90345</t>
  </si>
  <si>
    <t>Подводка Аквалайн С 1,5м. г/ш /10/50/</t>
  </si>
  <si>
    <t>90356</t>
  </si>
  <si>
    <t>Подводка Аквалайн С 1,8м. г/г /10/50/</t>
  </si>
  <si>
    <t>90358</t>
  </si>
  <si>
    <t>Подводка Аквалайн С 1,8м. г/ш /10/50/</t>
  </si>
  <si>
    <t>90310</t>
  </si>
  <si>
    <t>Подводка Аквалайн С 2,0м. г/г /10/50/</t>
  </si>
  <si>
    <t>90361</t>
  </si>
  <si>
    <t>Подводка Аквалайн С 2,0м. г/ш /10/50/</t>
  </si>
  <si>
    <t>90398</t>
  </si>
  <si>
    <t>Подводка Аквалайн С 2,5м. г/г /10/40/</t>
  </si>
  <si>
    <t>90366</t>
  </si>
  <si>
    <t>Подводка Аквалайн С 2,5м. г/ш /10/40/</t>
  </si>
  <si>
    <t>90373</t>
  </si>
  <si>
    <t>Подводка Аквалайн С 3,0м. г/г /10/30/</t>
  </si>
  <si>
    <t>90374</t>
  </si>
  <si>
    <t>Подводка Аквалайн С 3,0м. г/ш /10/30/</t>
  </si>
  <si>
    <t>90303</t>
  </si>
  <si>
    <t>Подводка Аквалайн С 3,5м. г/г /10/30/</t>
  </si>
  <si>
    <t>90375</t>
  </si>
  <si>
    <t>Подводка Аквалайн С 3,5м. г/ш /10/30/</t>
  </si>
  <si>
    <t>90300</t>
  </si>
  <si>
    <t>Подводка Аквалайн С 4,0м. г/г /10/20/</t>
  </si>
  <si>
    <t>90390</t>
  </si>
  <si>
    <t>Подводка Аквалайн С 4,0м. г/ш /10/20/</t>
  </si>
  <si>
    <t>90314</t>
  </si>
  <si>
    <t>Подводка д/в 1" г/г 0,8 м Гигант угловая /30/</t>
  </si>
  <si>
    <t>90325</t>
  </si>
  <si>
    <t>Подводка д/в 1" г/г 1,0 м Гигант угловая /30/</t>
  </si>
  <si>
    <t>90330</t>
  </si>
  <si>
    <t>Подводка д/в 1" г/ш 0,5 м Гигант угловая /50/</t>
  </si>
  <si>
    <t>90331</t>
  </si>
  <si>
    <t>Подводка д/в 1" г/ш 0,6 м Гигант угловая /40/</t>
  </si>
  <si>
    <t>90338</t>
  </si>
  <si>
    <t>Подводка д/в 1" г/ш 0,8 м Гигант угловая /30/</t>
  </si>
  <si>
    <t>90340</t>
  </si>
  <si>
    <t>Подводка д/в 1" г/ш 1,0 м Гигант угловая /30/</t>
  </si>
  <si>
    <t>90329</t>
  </si>
  <si>
    <t>Подводка д/в 1/2" г/ш 0,8 м Гигант /5/60/</t>
  </si>
  <si>
    <t>90304</t>
  </si>
  <si>
    <t>Подводка д/в 1/2" г/ш 1,0 м Гигант /5/60/</t>
  </si>
  <si>
    <t>90326</t>
  </si>
  <si>
    <t>Подводка д/в 1/2" г/ш 1,2 м  Гигант /5/60/</t>
  </si>
  <si>
    <t>90376</t>
  </si>
  <si>
    <t>Подводка д/в 1/2" г/ш 1,5 м Гигант</t>
  </si>
  <si>
    <t>90302</t>
  </si>
  <si>
    <t>Подводка д/в 3/4" г/г 0,6 м Гигант /5/100/</t>
  </si>
  <si>
    <t>90313</t>
  </si>
  <si>
    <t>Подводка д/в 3/4" г/г 0,8 м Гигант /5/60/</t>
  </si>
  <si>
    <t>90323</t>
  </si>
  <si>
    <t>Подводка д/в 3/4" г/г 1,0 м Гигант /5/60/</t>
  </si>
  <si>
    <t>90357</t>
  </si>
  <si>
    <t>Подводка д/в 3/4" г/ш 0,6 м Гигант /5/</t>
  </si>
  <si>
    <t>90350</t>
  </si>
  <si>
    <t>Подводка д/в 3/4" г/ш 0,8м Гигант /5/60/</t>
  </si>
  <si>
    <t>90341</t>
  </si>
  <si>
    <t>Подводка д/в 3/4" г/ш 1,0 м Гигант /5/60/</t>
  </si>
  <si>
    <t>904 АНИ обвязки</t>
  </si>
  <si>
    <t>90699</t>
  </si>
  <si>
    <t>Обвязка д/в Ани EC155S д/в клик-клак рег.с вып. и перел /15/</t>
  </si>
  <si>
    <t>90609</t>
  </si>
  <si>
    <t>Обвязка д/в Ани EC255 д/в клик-клак рег.с вып. и перел.г/т 375*40*50 /15/</t>
  </si>
  <si>
    <t>90403</t>
  </si>
  <si>
    <t>Обвязка д/в Ани EC255S кл-кл,регулир.с вып.и переливом с г/т 375*40*50 (сетка) /15/</t>
  </si>
  <si>
    <t>90614</t>
  </si>
  <si>
    <t>Обвязка д/в Ани Варяг С6150 с пл. вып. /35/</t>
  </si>
  <si>
    <t>90743</t>
  </si>
  <si>
    <t>Обвязка д/в Ани Варяг С6155 с пл. вып. с г/тр. 40х50 /30/</t>
  </si>
  <si>
    <t>90691</t>
  </si>
  <si>
    <t>Обвязка д/в Ани Варяг С6250 регул. /35/</t>
  </si>
  <si>
    <t>90738</t>
  </si>
  <si>
    <t>Обвязка д/в Ани Варяг С6255 регул.с пл. вып.с гиб т. 40*50 /25/</t>
  </si>
  <si>
    <t>90615</t>
  </si>
  <si>
    <t>Обвязка д/в Ани Е050 1 1/2*40 с вып.и перел.плоск. /35/</t>
  </si>
  <si>
    <t>90686</t>
  </si>
  <si>
    <t>Обвязка д/в Ани Е051 1 1/2*40 с вып.и перел.плоск.с г/тр.45 40*50 /30/</t>
  </si>
  <si>
    <t>90759</t>
  </si>
  <si>
    <t>Обвязка д/в Ани Е055 1 1/2*40 с вып.и перел.плоск.с г/тр.40*50 /30/</t>
  </si>
  <si>
    <t>90687</t>
  </si>
  <si>
    <t>Обвязка д/в Ани Е100 1 1/2 /30/</t>
  </si>
  <si>
    <t>90681</t>
  </si>
  <si>
    <t>Обвязка д/в Ани Е150 1 1/2 с вып.и перел. /35/</t>
  </si>
  <si>
    <t>90990</t>
  </si>
  <si>
    <t>Обвязка д/в Ани Е151 1 1/2 с вып.и перел.с перех. тр.40*50 /30/</t>
  </si>
  <si>
    <t>90771</t>
  </si>
  <si>
    <t>Обвязка д/в Ани Е155 1 1/2 с вып.и перел.с гиб тр.40*50 /30/</t>
  </si>
  <si>
    <t>90718</t>
  </si>
  <si>
    <t>Обвязка д/в Ани Е250 1 1/2 с вып.и перел.пов.рег. /35/</t>
  </si>
  <si>
    <t>90742</t>
  </si>
  <si>
    <t>Обвязка д/в Ани Е251 11/2 с вып.и перел.пов.рег. /30/</t>
  </si>
  <si>
    <t>90772</t>
  </si>
  <si>
    <t>Обвязка д/в Ани Е255 1 1/2 с вып. и пер. повор.рег.с г/тр.40*50 /30/</t>
  </si>
  <si>
    <t>90680</t>
  </si>
  <si>
    <t>Обвязка д/в Ани Е655 Бриг 1 1/2 с вып. и пер. с г/тр.40*50 /25/</t>
  </si>
  <si>
    <t>90603</t>
  </si>
  <si>
    <t>Обвязка д/в Ани ЕМ311 1 1/2" с переливом и прямоточным сифоном мет.ручк.тр.40/50 /15/</t>
  </si>
  <si>
    <t>90698</t>
  </si>
  <si>
    <t>Обвязка д/в Ани ЕМ313 1 1/2" с переливом и прямоточным сифоном 1020мм мет.р.полуавт.тр.45 /15/</t>
  </si>
  <si>
    <t>90685</t>
  </si>
  <si>
    <t>Обвязка д/в Ани ЕМ321 1 1/2" с переливом и  регулир.сифоном мет.ручк.тр.полуавт.40/50 /15/</t>
  </si>
  <si>
    <t>90750</t>
  </si>
  <si>
    <t>Обвязка д/в Ани ЕМ411 1 1/2" с переливом и прямоточным сифоном пл.ручк.тр. полуавт.40-50/15/</t>
  </si>
  <si>
    <t>905 АНИ выпуски/переливы/сифоны для душевого поддона</t>
  </si>
  <si>
    <t>90671</t>
  </si>
  <si>
    <t>Адаптерное кольцо Ани N420SR1 с кругл.верт.переливом 22мм /15/</t>
  </si>
  <si>
    <t>90512</t>
  </si>
  <si>
    <t>Адаптерное кольцо Ани N420SR2 с кругл.верт.переливом 27мм /15/</t>
  </si>
  <si>
    <t>90805</t>
  </si>
  <si>
    <t>Выпуск Ани 1 1/2 нерж. сетк и пробкой М105 /50/</t>
  </si>
  <si>
    <t>90920</t>
  </si>
  <si>
    <t>Выпуск Ани 1 1/2 нерж. сетк М100 /50/</t>
  </si>
  <si>
    <t>90739</t>
  </si>
  <si>
    <t>Выпуск Ани 1 1/2*40 нерж. сетка, цепочка и пробка М106 /50/</t>
  </si>
  <si>
    <t>90957</t>
  </si>
  <si>
    <t>Выпуск Ани 1 1/4 нерж. сетк М200 /50/</t>
  </si>
  <si>
    <t>90912</t>
  </si>
  <si>
    <t>Выпуск Ани 1 1/4'  с нерж. сеткой и пробкой М205 /50/</t>
  </si>
  <si>
    <t>90917</t>
  </si>
  <si>
    <t>Выпуск Ани 3 1/2 нерж. сетк М250 /25/</t>
  </si>
  <si>
    <t>90601</t>
  </si>
  <si>
    <t>Перелив Ани 1 1/2 с прямоугольн.корпусом N105 /15/</t>
  </si>
  <si>
    <t>90658</t>
  </si>
  <si>
    <t>Перелив Ани для мойки N105S 1 1/2" с прямоуг.верт.корп. /15/</t>
  </si>
  <si>
    <t>90679</t>
  </si>
  <si>
    <t>Перелив Ани для мойки N305 3 1/2'  с прямоуг.верт.корп., жесткий /20/</t>
  </si>
  <si>
    <t>90604</t>
  </si>
  <si>
    <t>Перелив Ани для мойки N305S 3 1/2" с прямоуг.верт.корп. /20/</t>
  </si>
  <si>
    <t>90975</t>
  </si>
  <si>
    <t>Перелив Ани для мойки N320 3 1/2" с кругл.верт.корп. /10/</t>
  </si>
  <si>
    <t>90635</t>
  </si>
  <si>
    <t>Перелив Ани для мойки N320S 3 1/2" с кругл.верт.корп. /10/</t>
  </si>
  <si>
    <t>90501</t>
  </si>
  <si>
    <t>Решетка для выпуска Ани Д115*40 мм нерж. сетк М305 /30/</t>
  </si>
  <si>
    <t>90652</t>
  </si>
  <si>
    <t>Сифон Ани для душевого поддона E411C 1 1/2**50 хром /10/</t>
  </si>
  <si>
    <t>90651</t>
  </si>
  <si>
    <t>Сифон Ани для душевого поддона Е010 плоский 1 1/2*/50/</t>
  </si>
  <si>
    <t>90974</t>
  </si>
  <si>
    <t>Сифон Ани для душевого поддона Е015 плоский 1 1/2*40 40*50 /40/</t>
  </si>
  <si>
    <t>90617</t>
  </si>
  <si>
    <t>Сифон Ани для душевого поддона Е110 1 1/2*40 /70/</t>
  </si>
  <si>
    <t>90811</t>
  </si>
  <si>
    <t>Сифон Ани для душевого поддона Е115 1 1/2*40 с г. тр 40*50 /45/</t>
  </si>
  <si>
    <t>90610</t>
  </si>
  <si>
    <t>Сифон Ани для душевого поддона Е210 1 1/2* 40 регулируемый /60/</t>
  </si>
  <si>
    <t>90503</t>
  </si>
  <si>
    <t>Сифон Ани для душевого поддона Е215 регулир. 1 1/2"*40 с г/т 40х50 /40/</t>
  </si>
  <si>
    <t>90502</t>
  </si>
  <si>
    <t>Сифон Ани для душевого поддона Е325C 1 1/2*90 h65 с г. тр 375 40*50 /8/</t>
  </si>
  <si>
    <t>90840</t>
  </si>
  <si>
    <t>Сифон Ани для душевого поддона Е350C 1 1/2* 90 h53мм хром /10/</t>
  </si>
  <si>
    <t>90602</t>
  </si>
  <si>
    <t>Сифон Ани для душевого поддона Е410CL клик-клак 1 1/2**50 хром /12/</t>
  </si>
  <si>
    <t>90688</t>
  </si>
  <si>
    <t>Сифон Ани для душевого поддона Е411CL клик-клак 1 1/2**50 с п/т 45 град хром /10/</t>
  </si>
  <si>
    <t>90509</t>
  </si>
  <si>
    <t>Сифон Ани для душевого поддона Е415CL клик-клак 1 1/2**50  с гиб/тр.375*40/50 хром /8/</t>
  </si>
  <si>
    <t>90646</t>
  </si>
  <si>
    <t>Сифон для писуара Ани U1016 32х40/50 с трубой /15/</t>
  </si>
  <si>
    <t>906 АНИ гибкие колена</t>
  </si>
  <si>
    <t>90600</t>
  </si>
  <si>
    <t>Гибкое колено K105 Ани 1 1/2*50 /100/</t>
  </si>
  <si>
    <t>90762</t>
  </si>
  <si>
    <t>Гибкое колено К106 Ани 1 1/2*40/50 /100/</t>
  </si>
  <si>
    <t>90761</t>
  </si>
  <si>
    <t>Гибкое колено К114 Ани 1 1/2*40 удлиненная /60/</t>
  </si>
  <si>
    <t>90726</t>
  </si>
  <si>
    <t>Гибкое колено К115 Ани 1 1/2*50 удлиненная /60/</t>
  </si>
  <si>
    <t>90763</t>
  </si>
  <si>
    <t>Гибкое колено К116 Ани 1 1/2*40/50 удлиненная /60/</t>
  </si>
  <si>
    <t>90835</t>
  </si>
  <si>
    <t>Гибкое колено К203 Ани 1 1/4*32 /100/</t>
  </si>
  <si>
    <t>90760</t>
  </si>
  <si>
    <t>Гибкое колено К204 Ани 1 1/4*40 /100/</t>
  </si>
  <si>
    <t>90725</t>
  </si>
  <si>
    <t>Гибкое колено К205 Ани 1 1/4*50 /100/</t>
  </si>
  <si>
    <t>90711</t>
  </si>
  <si>
    <t>Гибкое колено К206 Ани 1 1/4*40/50 /100/</t>
  </si>
  <si>
    <t>90712</t>
  </si>
  <si>
    <t>Гибкое колено К213 Ани 1 1/4*32 удлиненная /160/</t>
  </si>
  <si>
    <t>90702</t>
  </si>
  <si>
    <t>Гибкое колено К214 Ани 1 1/4*40 удлиненная /60/</t>
  </si>
  <si>
    <t>90786</t>
  </si>
  <si>
    <t>Гибкое колено К215 Ани 1 1/4*50 удлиненная /60/</t>
  </si>
  <si>
    <t>90754</t>
  </si>
  <si>
    <t>Гибкое колено К216 Ани 1 1/4*40/50 удлиненная /60/</t>
  </si>
  <si>
    <t>90695</t>
  </si>
  <si>
    <t>Гибкое колено К217 Ани 1 1/4*32/40 удлиненная /60/</t>
  </si>
  <si>
    <t>90696</t>
  </si>
  <si>
    <t>Гибкое колено К304 Ани 32*40 /100/</t>
  </si>
  <si>
    <t>90798</t>
  </si>
  <si>
    <t>Гибкое колено К306 Ани 32*40*50 /100/</t>
  </si>
  <si>
    <t>90697</t>
  </si>
  <si>
    <t>Гибкое колено К307 Ани 32*32/40 /100/</t>
  </si>
  <si>
    <t>90720</t>
  </si>
  <si>
    <t>Гибкое колено К404 Ани 40*40 /100/</t>
  </si>
  <si>
    <t>90701</t>
  </si>
  <si>
    <t>Гибкое колено К405 Ани 40*50 /100/</t>
  </si>
  <si>
    <t>90764</t>
  </si>
  <si>
    <t>Гибкое колено К406 Ани 40*40/50 /100/</t>
  </si>
  <si>
    <t>90684</t>
  </si>
  <si>
    <t>Гибкое колено К407 Ани 40*32/40 /100/</t>
  </si>
  <si>
    <t>90616</t>
  </si>
  <si>
    <t>Гибкое колено К435 Ани 375*40*50 /200/</t>
  </si>
  <si>
    <t>907 АНИ сифоны</t>
  </si>
  <si>
    <t>90639</t>
  </si>
  <si>
    <t>Сифон Ани BRB3004 1 1/4*32 с прямой трубой 32*32 хром,цилиндрич. /6/</t>
  </si>
  <si>
    <t>90643</t>
  </si>
  <si>
    <t>Сифон Ани BRB3504 1 1/4*32 с прямой трубой 32*32 хром,прямоугольн. /6/</t>
  </si>
  <si>
    <t>90773</t>
  </si>
  <si>
    <t>Сифон Ани C0100 1 1/2*40 /50/</t>
  </si>
  <si>
    <t>90634</t>
  </si>
  <si>
    <t>Сифон Ани C0104 1 1/2*40 с прямой трубой 40*40 /35/</t>
  </si>
  <si>
    <t>90751</t>
  </si>
  <si>
    <t>Сифон Ани C0105 1 1/2*40 с гибк.трубой 40*40 /35/</t>
  </si>
  <si>
    <t>90755</t>
  </si>
  <si>
    <t>Сифон Ани C0110 1 1/2*40 с гибк.трубой 40*50 сетка 70мм /35/</t>
  </si>
  <si>
    <t>90741</t>
  </si>
  <si>
    <t>Сифон Ани C0115 1 1/2*40 с гибк тр.40*40/50 /30/</t>
  </si>
  <si>
    <t>90638</t>
  </si>
  <si>
    <t>Сифон Ани C0120 1 1/2*40 без выпуска /50/</t>
  </si>
  <si>
    <t>90814</t>
  </si>
  <si>
    <t>Сифон Ани C0125 1 1/2*40 без выпуска СМА с гиб.тр. 40*40 /35/</t>
  </si>
  <si>
    <t>90989</t>
  </si>
  <si>
    <t>Сифон Ани C0140 1 1/2*40 с переливом д/мойки /30/</t>
  </si>
  <si>
    <t>90641</t>
  </si>
  <si>
    <t>Сифон Ани C0300 1 1/2*40 с отводом СМА с гиб.тр. 40*40 /45/</t>
  </si>
  <si>
    <t>90719</t>
  </si>
  <si>
    <t>Сифон Ани C0305 1 1/2*40 с отводом СМА с гиб.тр. 40*40 /30/</t>
  </si>
  <si>
    <t>90708</t>
  </si>
  <si>
    <t>Сифон Ани C0310 1 1/2*40 с отводом СМА с гиб.тр. 40*50 /30/</t>
  </si>
  <si>
    <t>90707</t>
  </si>
  <si>
    <t>Сифон Ани C0315 1 1/2*40 с отводом СМА с гиб.тр. 40*40/50 /30/</t>
  </si>
  <si>
    <t>90645</t>
  </si>
  <si>
    <t>Сифон Ани C0500 1 1/2*40 лит.вып. /50/</t>
  </si>
  <si>
    <t>90713</t>
  </si>
  <si>
    <t>Сифон Ани C0505 1 1/2*40 с г/тр 40*40 лит.вып. /35/</t>
  </si>
  <si>
    <t>90757</t>
  </si>
  <si>
    <t>Сифон Ани C0510 1 1/2*40 лит.вып.с гибк.труб.40*50 /35/</t>
  </si>
  <si>
    <t>90705</t>
  </si>
  <si>
    <t>Сифон Ани C0515 1 1/2*40 с г/тр 40*40/50 лит.вып. /30/</t>
  </si>
  <si>
    <t>90653</t>
  </si>
  <si>
    <t>Сифон Ани C1000 1 1/4*40 лит.вып. /45/</t>
  </si>
  <si>
    <t>90839</t>
  </si>
  <si>
    <t>Сифон Ани C1005 1 1/4*40 с гибк.трубой 40*40 /30/</t>
  </si>
  <si>
    <t>90774</t>
  </si>
  <si>
    <t>Сифон Ани C1010 1 1/4*40 с гибк.трубой 40*50 /30/</t>
  </si>
  <si>
    <t>90934</t>
  </si>
  <si>
    <t>Сифон Ани C1015 1 1/4*40 с гибк.трубой 40*40/50 /30/</t>
  </si>
  <si>
    <t>90661</t>
  </si>
  <si>
    <t>Сифон Ани C1020 1 1/4*40 без выпуска /50/</t>
  </si>
  <si>
    <t>90662</t>
  </si>
  <si>
    <t>Сифон Ани C1300 1 1/4*40 с отв. СМА /45/</t>
  </si>
  <si>
    <t>90723</t>
  </si>
  <si>
    <t>Сифон Ани C1305 1 1/4*40 с отв. СМА гибк.трубой 40*40 /30/</t>
  </si>
  <si>
    <t>90724</t>
  </si>
  <si>
    <t>Сифон Ани C1315 1 1/4*40 с отв. СМА гибк.трубой 40*40*50 /30/</t>
  </si>
  <si>
    <t>90665</t>
  </si>
  <si>
    <t>Сифон Ани C2000 1 1/4*40 лит.вып. /50/</t>
  </si>
  <si>
    <t>90943</t>
  </si>
  <si>
    <t>Сифон Ани C2010 1 1/4*40 лит.вып.с гибк.труб.40*50 /30/</t>
  </si>
  <si>
    <t>90945</t>
  </si>
  <si>
    <t>Сифон Ани C2015 1 1/4*40 лит.вып.с гибк.труб.40*40/50 /30/</t>
  </si>
  <si>
    <t>90784</t>
  </si>
  <si>
    <t>Сифон Ани D0105 1 1/2*40 прям.с гибк.труб.40*40 /35/</t>
  </si>
  <si>
    <t>90796</t>
  </si>
  <si>
    <t>Сифон Ани D0110 1 1/2*40 прям.с гибк.труб.40*50 /35/</t>
  </si>
  <si>
    <t>90790</t>
  </si>
  <si>
    <t>Сифон Ани D0115 1 1/2*40 прям.с гибк.труб.40*40/50 /30/</t>
  </si>
  <si>
    <t>90938</t>
  </si>
  <si>
    <t>Сифон Ани D0505 1 1/2*40 лит.вып.прям.с гибк.труб.40*40 /35/</t>
  </si>
  <si>
    <t>90793</t>
  </si>
  <si>
    <t>Сифон Ани D0510 1 1/2*40 лит.вып.прям.с гибк.труб.40*50 /35/</t>
  </si>
  <si>
    <t>90794</t>
  </si>
  <si>
    <t>Сифон Ани D0515 1 1/2*40 лит.вып.прям.с гибк.труб.40*40/50 /35/</t>
  </si>
  <si>
    <t>90677</t>
  </si>
  <si>
    <t>Сифон Ани D1000 1 1/2*40 прямот.с отв.СМА без г.тр. /40/</t>
  </si>
  <si>
    <t>90939</t>
  </si>
  <si>
    <t>Сифон Ани D1005 1 1/2*40 прямот.с отв.СМА с г.тр.40*40 /30/</t>
  </si>
  <si>
    <t>90968</t>
  </si>
  <si>
    <t>Сифон Ани D1010 1 1/2*40 прямот.с отв.СМА с г.тр.40*50 /30/</t>
  </si>
  <si>
    <t>90970</t>
  </si>
  <si>
    <t>Сифон Ани D1015 1 1/2*40 прямот.с отв.СМА с г.тр.40*40/50 /30/</t>
  </si>
  <si>
    <t>90769</t>
  </si>
  <si>
    <t>Сифон Ани D1020 1 1/2*40 прямот.с отв.СМА без выпуска /45/</t>
  </si>
  <si>
    <t>90678</t>
  </si>
  <si>
    <t>Сифон Ани D2005 1 1/2*40 лит.вып. прямот. с отв.СМА с г.тр.40*40 /30/</t>
  </si>
  <si>
    <t>90775</t>
  </si>
  <si>
    <t>Сифон Ани D2010 1 1/2*40 лит.вып. прямот. с отв.СМА с г.тр.40*50 /30/</t>
  </si>
  <si>
    <t>90700</t>
  </si>
  <si>
    <t>Сифон Ани D2015 1 1/2*40 лит.вып. прямот. с отв.СМА с г.тр.40*40/50 /30/</t>
  </si>
  <si>
    <t>90795</t>
  </si>
  <si>
    <t>Сифон Ани DR0115 1 1/2*40 с г/тр 40*40/50 прямоточный с разрывом струи /25/</t>
  </si>
  <si>
    <t>90807</t>
  </si>
  <si>
    <t>Сифон Ани В1010 1 1/4*32 гибк.трубой 32*40 /30/</t>
  </si>
  <si>
    <t>90752</t>
  </si>
  <si>
    <t>Сифон Ани В1015 1 1/4*32 гибк.трубой 32*32*40 /30/</t>
  </si>
  <si>
    <t>90785</t>
  </si>
  <si>
    <t>Сифон Ани В1020 1 1/4*32 без вып /50/</t>
  </si>
  <si>
    <t>908 АНИ Сифоны Грот Варяг Юнг</t>
  </si>
  <si>
    <t>90710</t>
  </si>
  <si>
    <t>Сифон Ани Варяг C5000 1 1/2*40 с пл.вып.без гиб.трубы /55/</t>
  </si>
  <si>
    <t>90768</t>
  </si>
  <si>
    <t>Сифон Ани Варяг C5005 1 1/2*40 с пл.вып.с гибк.трубой 40*40 /35/</t>
  </si>
  <si>
    <t>90948</t>
  </si>
  <si>
    <t>Сифон Ани Варяг C5010 1 1/2*40 с пл.вып.с гибк.трубой 40*50 /35/</t>
  </si>
  <si>
    <t>90740</t>
  </si>
  <si>
    <t>Сифон Ани Варяг C5015 1 1/4*40 с пл.вып.с гибк.трубой 40*40/50 /25/</t>
  </si>
  <si>
    <t>90672</t>
  </si>
  <si>
    <t>Сифон Ани Варяг C5500 1 1/2*40 с пл.вып.без гиб.трубы /50/</t>
  </si>
  <si>
    <t>90802</t>
  </si>
  <si>
    <t>Сифон Ани Варяг C5510 1 1/2*40 с пл.вып. гиб.труб 40*50 /35/</t>
  </si>
  <si>
    <t>90729</t>
  </si>
  <si>
    <t>Сифон Ани Грот A0100 1 1/2*40 /40/</t>
  </si>
  <si>
    <t>90735</t>
  </si>
  <si>
    <t>Сифон Ани Грот A0105 1 1/2*40 с г/тр 40*40 /30/</t>
  </si>
  <si>
    <t>90737</t>
  </si>
  <si>
    <t>Сифон Ани Грот A0110 1 1/2*40 с г/тр 40*50 /30/</t>
  </si>
  <si>
    <t>90732</t>
  </si>
  <si>
    <t>Сифон Ани Грот A0115 1 1/2*40 с г/тр 40*40/50 /25/</t>
  </si>
  <si>
    <t>90804</t>
  </si>
  <si>
    <t>Сифон Ани Грот A0120 1 1/2*40 без выпуска /45/</t>
  </si>
  <si>
    <t>90780</t>
  </si>
  <si>
    <t>Сифон Ани Грот A0140 1 1/2*40 с переливом мойки /30/</t>
  </si>
  <si>
    <t>90812</t>
  </si>
  <si>
    <t>Сифон Ани Грот A0140S 1 1/2*40 с переливом мойки /30/</t>
  </si>
  <si>
    <t>90659</t>
  </si>
  <si>
    <t>Сифон Ани Грот A0142 3 1/2*40 с круглым переливом регул. /10/</t>
  </si>
  <si>
    <t>90818</t>
  </si>
  <si>
    <t>Сифон Ани Грот A0142S 3 1/2*40 с отв. СМА с круглым переливом регул. /10/</t>
  </si>
  <si>
    <t>90727</t>
  </si>
  <si>
    <t>Сифон Ани Грот A0145 3 1/2*40 с жестким переливом д/мойки /10/</t>
  </si>
  <si>
    <t>90728</t>
  </si>
  <si>
    <t>Сифон Ани Грот A0145S 3 1/2*40 с гибким переливом д/мойки /10/</t>
  </si>
  <si>
    <t>90703</t>
  </si>
  <si>
    <t>Сифон Ани Грот A0146 3 1/2*40 с 2 отв. с/м с переливом д/мойки, жесткий /10/</t>
  </si>
  <si>
    <t>90753</t>
  </si>
  <si>
    <t>Сифон Ани Грот A0150 3 1/2*40 /30/</t>
  </si>
  <si>
    <t>90613</t>
  </si>
  <si>
    <t>Сифон Ани Грот A0500 1 1/2*40 /40/</t>
  </si>
  <si>
    <t>90736</t>
  </si>
  <si>
    <t>Сифон Ани Грот A0505 1 1/2*40 с г/тр 40*40 лит.вып. /30/</t>
  </si>
  <si>
    <t>90715</t>
  </si>
  <si>
    <t>Сифон Ани Грот A0510 1 1/2*40 с г/тр 40*50 лит.вып. /30/</t>
  </si>
  <si>
    <t>90733</t>
  </si>
  <si>
    <t>Сифон Ани Грот A0515 1 1/2*40 с г/тр 40*40/50 лит.вып. /25/</t>
  </si>
  <si>
    <t>90618</t>
  </si>
  <si>
    <t>Сифон Ани Грот A1000 1 1/2*40 с отв. СМА /35/</t>
  </si>
  <si>
    <t>90799</t>
  </si>
  <si>
    <t>Сифон Ани Грот A1015 1 1/2*40 с отв. СМА с г/т 40*40/50 /25/</t>
  </si>
  <si>
    <t>90819</t>
  </si>
  <si>
    <t>Сифон Ани Грот A1020 1 1/2*40 с отв. СМА без выпуска /40/</t>
  </si>
  <si>
    <t>90619</t>
  </si>
  <si>
    <t>Сифон Ани Грот A1030 1 1/2*40 с отв. СМА без вып. с г/тр.40*50 /30/</t>
  </si>
  <si>
    <t>90781</t>
  </si>
  <si>
    <t>Сифон Ани Грот A1040 1 1/2" х 40 с отв. СМА с переливом /30/</t>
  </si>
  <si>
    <t>90782</t>
  </si>
  <si>
    <t>Сифон Ани Грот A1042S 3 1/2" х 40 с отв. СМА с переливом /30/</t>
  </si>
  <si>
    <t>90815</t>
  </si>
  <si>
    <t>Сифон Ани Грот A1100 1 1/2" х 40 с 2отв. стир.маш. /35/</t>
  </si>
  <si>
    <t>90778</t>
  </si>
  <si>
    <t>Сифон Ани Грот A1110 1 1/2*40 с 2отв. СМА с г/т 40*50 /25/</t>
  </si>
  <si>
    <t>90620</t>
  </si>
  <si>
    <t>Сифон Ани Грот A2000 1 1/2*40 с отв.д/стир. /35/</t>
  </si>
  <si>
    <t>90758</t>
  </si>
  <si>
    <t>Сифон Ани Грот A2005 1 1/2*40 с отв.д/стир. 40*40 /25/</t>
  </si>
  <si>
    <t>90629</t>
  </si>
  <si>
    <t>Сифон Ани Грот A7020 1 1/2*40 двойной одноур.смещен.б/в /20/</t>
  </si>
  <si>
    <t>90776</t>
  </si>
  <si>
    <t>Сифон Ани Грот А2010 1 1/2*40 лит.вып.с отв. СМА с г/тр 40*40 /25/</t>
  </si>
  <si>
    <t>90777</t>
  </si>
  <si>
    <t>Сифон Ани Грот А2015 1 1/2*40 лит.вып. с отвод СМА с г/тр 40*50 /25/</t>
  </si>
  <si>
    <t>90625</t>
  </si>
  <si>
    <t>Сифон Ани Грот А3000 1 1/2*40 двойной /20/</t>
  </si>
  <si>
    <t>90770</t>
  </si>
  <si>
    <t>Сифон Ани Грот А3500 1 1/2*40 двойной с отв. СМА /20/</t>
  </si>
  <si>
    <t>90627</t>
  </si>
  <si>
    <t>Сифон Ани Грот А4000 1 1/2*40 двойной с отв. СМА разноур. /15/</t>
  </si>
  <si>
    <t>90806</t>
  </si>
  <si>
    <t>Сифон Ани Грот А5000 1 1/2*40 смещенный /20/</t>
  </si>
  <si>
    <t>90822</t>
  </si>
  <si>
    <t>Сифон Ани Юнг BM1000 1 1/4*32 /20/</t>
  </si>
  <si>
    <t>90824</t>
  </si>
  <si>
    <t>Сифон Ани Юнг BM1003 1 1/4*32 с прям.трубой 32*200 /15/</t>
  </si>
  <si>
    <t>90826</t>
  </si>
  <si>
    <t>Сифон Ани Юнг BM1005 1 1/4*32 с гиб. трубой 32*32 /15/</t>
  </si>
  <si>
    <t>90827</t>
  </si>
  <si>
    <t>Сифон Ани Юнг BM1010 1 1/4*32 с гиб. трубой 32*40 /15/</t>
  </si>
  <si>
    <t>90830</t>
  </si>
  <si>
    <t>Сифон Ани Юнг BM1015 1 1/4*32 с гиб.трубой 32*32/40 /15/</t>
  </si>
  <si>
    <t>90829</t>
  </si>
  <si>
    <t>Сифон Ани Юнг BM1020 1 1/4*32 без вып. /25/</t>
  </si>
  <si>
    <t>90834</t>
  </si>
  <si>
    <t>Сифон Ани Юнг BM1300 1 1/4*32 с отв.СМА /20/</t>
  </si>
  <si>
    <t>90836</t>
  </si>
  <si>
    <t>Сифон Ани Юнг BM1315 1 1/4*32 с отв. СМА с г/тр 32*32/40 /15/</t>
  </si>
  <si>
    <t>90838</t>
  </si>
  <si>
    <t>Сифон Ани Юнг BM1316 1 1/4*32 с г/тр 32*40/50 /15/</t>
  </si>
  <si>
    <t>909 Отводы/Выпуски/Сливы</t>
  </si>
  <si>
    <t>90937</t>
  </si>
  <si>
    <t>Винт для выпуска сифона М660 М6-60 /50/</t>
  </si>
  <si>
    <t>90949</t>
  </si>
  <si>
    <t>Винт для выпуска сифона М670 М6-70 /50/</t>
  </si>
  <si>
    <t>90998</t>
  </si>
  <si>
    <t>Винт для выпуска сифона М685 М6-85 /50/</t>
  </si>
  <si>
    <t>90986</t>
  </si>
  <si>
    <t>Гайка накидная Ани 1 1/4 d32мм М432 /25/</t>
  </si>
  <si>
    <t>90987</t>
  </si>
  <si>
    <t>Гайка накидная Ани 1" М425 /50/</t>
  </si>
  <si>
    <t>90965</t>
  </si>
  <si>
    <t>Манжета д/унитаза АНИ W0210 прямая /60/</t>
  </si>
  <si>
    <t>90915</t>
  </si>
  <si>
    <t>Манжета д/унитаза АНИ W0220 эксцентрик 20мм жест. /48/</t>
  </si>
  <si>
    <t>90911</t>
  </si>
  <si>
    <t>Манжета д/унитаза АНИ W0410 эксцентрик 25мм /50/</t>
  </si>
  <si>
    <t>90914</t>
  </si>
  <si>
    <t>Манжета д/унитаза АНИ W0420 эксцентрик 40мм жест. /40/</t>
  </si>
  <si>
    <t>90988</t>
  </si>
  <si>
    <t>Отвод д/стиральной м Ани М110 1 1/2" *1 1/2 /40/</t>
  </si>
  <si>
    <t>90980</t>
  </si>
  <si>
    <t>Отвод д/стиральной м Ани М120 1 1/2" 32 /40/</t>
  </si>
  <si>
    <t>90918</t>
  </si>
  <si>
    <t>Отвод д/стиральной м Ани М140 1 1/2" 40 /35/</t>
  </si>
  <si>
    <t>90981</t>
  </si>
  <si>
    <t>Отвод д/стиральной м Ани М160 40мм /6/</t>
  </si>
  <si>
    <t>90926</t>
  </si>
  <si>
    <t>Отвод д/стиральной м Ани М220 1 1/4" 32 /40/</t>
  </si>
  <si>
    <t>90958</t>
  </si>
  <si>
    <t>Розетка для фановой трубы 110мм W9900 /10/</t>
  </si>
  <si>
    <t>91178</t>
  </si>
  <si>
    <t>Сифон ВИР д/двухместной мойки(нерж)</t>
  </si>
  <si>
    <t>90910</t>
  </si>
  <si>
    <t>Слив для унитаза Ани гофр.230-500мм К828 /20/</t>
  </si>
  <si>
    <t>90919</t>
  </si>
  <si>
    <t>Слив для унитаза Ани гофр.230-500мм К828R с выпуском 110 мм /20/</t>
  </si>
  <si>
    <t>90927</t>
  </si>
  <si>
    <t>Слив для унитаза Ани гофр.300-400 К821 /25/</t>
  </si>
  <si>
    <t>90908</t>
  </si>
  <si>
    <t>Слив для унитаза Ани гофр.300-400 К821R /25/</t>
  </si>
  <si>
    <t>90997</t>
  </si>
  <si>
    <t>Слив для унитаза Ани К518 с черн.греб. /12/</t>
  </si>
  <si>
    <t>90959</t>
  </si>
  <si>
    <t>Слив для унитаза Ани К721R гофр.110 мм 295-750 /15/</t>
  </si>
  <si>
    <t>90960</t>
  </si>
  <si>
    <t>Слив для унитаза Ани К722R гофр.110 мм 90* 320-750 /15/</t>
  </si>
  <si>
    <t>90961</t>
  </si>
  <si>
    <t>Слив для унитаза Ани К729R гофр.90* 320-750 /15/</t>
  </si>
  <si>
    <t>90996</t>
  </si>
  <si>
    <t>Слив для унитаза Ани К738R гофр.110 мм 350-950 /14/</t>
  </si>
  <si>
    <t>90993</t>
  </si>
  <si>
    <t>Слив для унитаза Ани К739R гофр.90* 350-950 /15/</t>
  </si>
  <si>
    <t>90995</t>
  </si>
  <si>
    <t>Слив для унитаза Ани К928 гофр. с мет.спир. Д110 /20/</t>
  </si>
  <si>
    <t>90983</t>
  </si>
  <si>
    <t>Фановая труба Ани W1218 110-14* /45/</t>
  </si>
  <si>
    <t>90925</t>
  </si>
  <si>
    <t>Фановая труба Ани W1220 250 /20/</t>
  </si>
  <si>
    <t>90964</t>
  </si>
  <si>
    <t>Фановая труба Ани W1225 250*15 /20/</t>
  </si>
  <si>
    <t>90933</t>
  </si>
  <si>
    <t>Фановая труба Ани W1228 110*14 короткая /45/</t>
  </si>
  <si>
    <t>90944</t>
  </si>
  <si>
    <t>Фановая труба Ани W2220 110*22,5 град /32/</t>
  </si>
  <si>
    <t>90984</t>
  </si>
  <si>
    <t>Фановая труба Ани W2228 110-22,5* короткая /44/</t>
  </si>
  <si>
    <t>90947</t>
  </si>
  <si>
    <t>Фановая труба Ани W4220 110-45* /30/</t>
  </si>
  <si>
    <t>90985</t>
  </si>
  <si>
    <t>Фановая труба Ани W4228 110-45* короткая /35/</t>
  </si>
  <si>
    <t>90929</t>
  </si>
  <si>
    <t>Фановая труба Ани W9220 110-90* /15/</t>
  </si>
  <si>
    <t>910-911 Водопровод</t>
  </si>
  <si>
    <t>910 Водопровод металлопластик</t>
  </si>
  <si>
    <t>91045</t>
  </si>
  <si>
    <t>Калибратор 16-32</t>
  </si>
  <si>
    <t>91052</t>
  </si>
  <si>
    <t>Коллектор м.пл LTM 3/4*3/4*16*2 FM</t>
  </si>
  <si>
    <t>91060</t>
  </si>
  <si>
    <t>Коллектор м.пл LTM 3/4*3/4*16*3 FM</t>
  </si>
  <si>
    <t>91061</t>
  </si>
  <si>
    <t>Коллектор м.пл LTM 3/4*3/4*16*4 FM</t>
  </si>
  <si>
    <t>91095</t>
  </si>
  <si>
    <t>Коллектор м.пл LTM евроконус с шар. кранами 3/4*3/4*16*2 FM /2/30/</t>
  </si>
  <si>
    <t>91096</t>
  </si>
  <si>
    <t>Коллектор м.пл LTM евроконус с шар. кранами 3/4*3/4*16*3 FM /2/20/</t>
  </si>
  <si>
    <t>91097</t>
  </si>
  <si>
    <t>Коллектор м.пл LTM евроконус с шар. кранами 3/4*3/4*16*4 FM /15/</t>
  </si>
  <si>
    <t>91080</t>
  </si>
  <si>
    <t>Коллектор м.пл LTM резьбовой 3/4*3/4*1/2*2 FM /2/60/</t>
  </si>
  <si>
    <t>91079</t>
  </si>
  <si>
    <t>Коллектор м.пл LTM резьбовой 3/4*3/4*1/2*3 FM /2/50/</t>
  </si>
  <si>
    <t>91067</t>
  </si>
  <si>
    <t>Коллектор м.пл LTM резьбовой 3/4*3/4*1/2*4 FM /4/40/</t>
  </si>
  <si>
    <t>91000</t>
  </si>
  <si>
    <t>Коллектор м.пл LTM резьбовой с шар. кранами 3/4*3/4*1/2*2 FM /2/30/</t>
  </si>
  <si>
    <t>91001</t>
  </si>
  <si>
    <t>Коллектор м.пл LTM резьбовой с шар. кранами 3/4*3/4*1/2*3 FM /2/20/</t>
  </si>
  <si>
    <t>91082</t>
  </si>
  <si>
    <t>Коллектор м.пл LTM резьбовой с шар. кранами 3/4*3/4*1/2*4 FM /15/</t>
  </si>
  <si>
    <t>ИЗМ68699</t>
  </si>
  <si>
    <t>Коллектор с краном 1"*16-2 way (синий / красный) /40/</t>
  </si>
  <si>
    <t>ИЗМ68700</t>
  </si>
  <si>
    <t>Коллектор с краном 1"*16-3 way (синий / красный) /24/</t>
  </si>
  <si>
    <t>ИЗМ68701</t>
  </si>
  <si>
    <t>Коллектор с краном 1"*16-4 way (синий / красный) /24/</t>
  </si>
  <si>
    <t>ИЗМ68702</t>
  </si>
  <si>
    <t>Коллектор с краном 1"*20-2 way (синий + красный) /32/</t>
  </si>
  <si>
    <t>ИЗМ68703</t>
  </si>
  <si>
    <t>Коллектор с краном 1"*20-3 way (синий + красный) /20/</t>
  </si>
  <si>
    <t>ИЗМ68704</t>
  </si>
  <si>
    <t>Коллектор с краном 1"*20-4 way (синий + красный) /16/</t>
  </si>
  <si>
    <t>91092</t>
  </si>
  <si>
    <t>Кран шаров.AQL угловой 1/2ш*1/2ш с цангой и отражателем /10/100/</t>
  </si>
  <si>
    <t>91034</t>
  </si>
  <si>
    <t>Кран шаров.для металлопластиковых труб 16*1/2 ц-г бабочка /10/100/</t>
  </si>
  <si>
    <t>91036</t>
  </si>
  <si>
    <t>Кран шаров.для металлопластиковых труб 16*1/2 ц-ш бабочка /10/100/</t>
  </si>
  <si>
    <t>91030</t>
  </si>
  <si>
    <t>Кран шаров.для металлопластиковых труб 16*16 ц-ц бабочка /10/100/</t>
  </si>
  <si>
    <t>91099</t>
  </si>
  <si>
    <t>Кран шаров.для металлопластиковых труб 16*20 ц-ц бабочка /10/100/</t>
  </si>
  <si>
    <t>91037</t>
  </si>
  <si>
    <t>Кран шаров.для металлопластиковых труб 20*1/2 ц-г бабочка /10/100/</t>
  </si>
  <si>
    <t>91081</t>
  </si>
  <si>
    <t>Кран шаров.для металлопластиковых труб 20*1/2 ц-ш бабочка /10/100/</t>
  </si>
  <si>
    <t>91004</t>
  </si>
  <si>
    <t>Кран шаров.для металлопластиковых труб 20*20 ц-ц бабочка /10/100/</t>
  </si>
  <si>
    <t>91006</t>
  </si>
  <si>
    <t>Кран шаров.для металлопластиковых труб 20*3/4 ц-г бабочка /10/100/</t>
  </si>
  <si>
    <t>ИЗМ62729</t>
  </si>
  <si>
    <t>Крепление STS для коллектора 1" /45/</t>
  </si>
  <si>
    <t>ИЗМ68229</t>
  </si>
  <si>
    <t>Крепление STS для коллектора 3/4 /45/</t>
  </si>
  <si>
    <t>91017</t>
  </si>
  <si>
    <t>Крестовина м.пл LTM 16*16*16*16*2,0 ц-ц-ц-ц /10/60/</t>
  </si>
  <si>
    <t>91043</t>
  </si>
  <si>
    <t>Крестовина м.пл LTM 16*20*16*20*2,0 ц-ц-ц-ц /10/</t>
  </si>
  <si>
    <t>91018</t>
  </si>
  <si>
    <t>Крестовина м.пл LTM 20*20*20*20*2,0 ц-ц-ц-ц /10/</t>
  </si>
  <si>
    <t>91098</t>
  </si>
  <si>
    <t>Кронштейн для коллектора 3/4 (2шт) /8/</t>
  </si>
  <si>
    <t>91058</t>
  </si>
  <si>
    <t>Ножницы для резки изделий из ПВХ GROSS D 42мм ,порош. покрас/78424</t>
  </si>
  <si>
    <t>91047</t>
  </si>
  <si>
    <t>Ножницы для резки изделий из ПВХ MATRIX /784105</t>
  </si>
  <si>
    <t>91007</t>
  </si>
  <si>
    <t>Ножницы для резки изделий из пластика Sparta 180мм диаметр до 42мм/78400</t>
  </si>
  <si>
    <t>01839</t>
  </si>
  <si>
    <t>Ножницы для резки изделий из пластика СИБРТЕХ 42мм порош. покрас/78404</t>
  </si>
  <si>
    <t>91028</t>
  </si>
  <si>
    <t>Патрубок м.пл LTM 1/2*16*2,0 г/ц /10/180/</t>
  </si>
  <si>
    <t>91025</t>
  </si>
  <si>
    <t>Патрубок м.пл LTM 1/2*20*2,0 г/ц /10/120/</t>
  </si>
  <si>
    <t>91077</t>
  </si>
  <si>
    <t>Патрубок м.пл LTM 16*16*2,0 ц/ц /10/160/</t>
  </si>
  <si>
    <t>91048</t>
  </si>
  <si>
    <t>Патрубок м.пл LTM 16*20*2,0 ц/ц /10/120/</t>
  </si>
  <si>
    <t>91035</t>
  </si>
  <si>
    <t>Патрубок м.пл LTM 20*20*2,0 ц/ц /10/120/</t>
  </si>
  <si>
    <t>91039</t>
  </si>
  <si>
    <t>Патрубок м.пл LTM 3/4*16*2,0 г/ц /10/170/</t>
  </si>
  <si>
    <t>91078</t>
  </si>
  <si>
    <t>Патрубок м.пл LTM 3/4*16*2,0 ш/ц /10/180/</t>
  </si>
  <si>
    <t>91033</t>
  </si>
  <si>
    <t>Патрубок м.пл LTM 3/4*20*2,0 г/ц /10/120/</t>
  </si>
  <si>
    <t>91027</t>
  </si>
  <si>
    <t>Патрубок м.пл LTM 3/4*20*2,0 ш/ц /10/120/</t>
  </si>
  <si>
    <t>91065</t>
  </si>
  <si>
    <t>Пружина внутренняя д/гибки металлопласт. труб Д20</t>
  </si>
  <si>
    <t>91005</t>
  </si>
  <si>
    <t>Тройник м.пл LTM 16*1/2*16*2,0 ц-г-ц /10/80/</t>
  </si>
  <si>
    <t>91050</t>
  </si>
  <si>
    <t>Тройник м.пл LTM 16*1/2*16*2,0 ц-г-ц с настенным креплением /40/</t>
  </si>
  <si>
    <t>91010</t>
  </si>
  <si>
    <t>Тройник м.пл LTM 16*1/2*16*2,0 ц-ш-ц /10/100/</t>
  </si>
  <si>
    <t>91086</t>
  </si>
  <si>
    <t>Тройник м.пл LTM 16*16*16*2,0 ц-ц-ц /10/80/</t>
  </si>
  <si>
    <t>91002</t>
  </si>
  <si>
    <t>Тройник м.пл LTM 16*3/4*16*2,0 ц-г-ц /10/60/</t>
  </si>
  <si>
    <t>91011</t>
  </si>
  <si>
    <t>Тройник м.пл LTM 16*3/4*16*2,0 ц-ш-ц /10/70/</t>
  </si>
  <si>
    <t>91071</t>
  </si>
  <si>
    <t>Тройник м.пл LTM 20*1/2*20*2,0 ц-ш-ц /10/60/</t>
  </si>
  <si>
    <t>91056</t>
  </si>
  <si>
    <t>Тройник м.пл LTM 20*20*20*2,0 ц-ц-ц /10/50/</t>
  </si>
  <si>
    <t>91020</t>
  </si>
  <si>
    <t>Уголок м.пл LTM 1/2*16*2,0 г-ц /10/150/</t>
  </si>
  <si>
    <t>91014</t>
  </si>
  <si>
    <t>Уголок м.пл LTM 1/2*16*2,0 г-ц с настенным креплен. /10/80/</t>
  </si>
  <si>
    <t>91019</t>
  </si>
  <si>
    <t>Уголок м.пл LTM 1/2*20 г-ц с настенным креплен. /10/</t>
  </si>
  <si>
    <t>91041</t>
  </si>
  <si>
    <t>Уголок м.пл LTM 1/2*20*2,0 г-ц /10/100/</t>
  </si>
  <si>
    <t>91046</t>
  </si>
  <si>
    <t>Уголок м.пл LTM 1/2*20*2,0 ш-ц /10/100/</t>
  </si>
  <si>
    <t>91042</t>
  </si>
  <si>
    <t>Уголок м.пл LTM 16*16*2,0 ц-ц /10/120/</t>
  </si>
  <si>
    <t>91038</t>
  </si>
  <si>
    <t>Уголок м.пл LTM 16*20*2,0 ц-ц /10/100/</t>
  </si>
  <si>
    <t>91055</t>
  </si>
  <si>
    <t>Уголок м.пл LTM 20*20*2,0 ц-ц /10/80/</t>
  </si>
  <si>
    <t>93408</t>
  </si>
  <si>
    <t>Уголок м.пл LTM 3/4*16 г-ц /10/120/</t>
  </si>
  <si>
    <t>91051</t>
  </si>
  <si>
    <t>Уголок м.пл LTM 3/4*16 г-ц с настенным креплен. /10/</t>
  </si>
  <si>
    <t>91015</t>
  </si>
  <si>
    <t>Уголок м.пл LTM 3/4*16*2,0 ш-ц /10/120/</t>
  </si>
  <si>
    <t>91053</t>
  </si>
  <si>
    <t>Уголок м.пл LTM 3/4*20 г-ц /10/100/</t>
  </si>
  <si>
    <t>91021</t>
  </si>
  <si>
    <t>Уголок м.пл LTM 3/4*20 г-ц с настенным креплен. /10/</t>
  </si>
  <si>
    <t>91029</t>
  </si>
  <si>
    <t>Фиксатор для трубы Д16</t>
  </si>
  <si>
    <t>911 Водопровод полипропилен</t>
  </si>
  <si>
    <t>91124</t>
  </si>
  <si>
    <t>Американка PP-R внутр.рез Д20* 1/2 /25/200/</t>
  </si>
  <si>
    <t>91129</t>
  </si>
  <si>
    <t>Американка PP-R внутр.рез Д25* 3/4 /25/</t>
  </si>
  <si>
    <t>91113</t>
  </si>
  <si>
    <t>Американка PP-R нар.рез Д20* 1/2 /25/175/</t>
  </si>
  <si>
    <t>91189</t>
  </si>
  <si>
    <t>Американка PP-R нар.рез Д20* 3/4 /25/175/</t>
  </si>
  <si>
    <t>91173</t>
  </si>
  <si>
    <t>Американка PP-R нар.рез Д25* 3/4 /5/</t>
  </si>
  <si>
    <t>91250</t>
  </si>
  <si>
    <t>Американка угловая PP-R наружн. рез Д20 *1/2 /25/200/</t>
  </si>
  <si>
    <t>91153</t>
  </si>
  <si>
    <t>Бурт под американку Д20 белый</t>
  </si>
  <si>
    <t>91182</t>
  </si>
  <si>
    <t>Бурт под американку Д25 белый</t>
  </si>
  <si>
    <t>91181</t>
  </si>
  <si>
    <t>Вентиль PP-R Д20 45*г-г /10/30/</t>
  </si>
  <si>
    <t>91157</t>
  </si>
  <si>
    <t>Вентиль PP-R Д20 г-г /10/</t>
  </si>
  <si>
    <t>91159</t>
  </si>
  <si>
    <t>Заглушка PP-R Д20 /100/</t>
  </si>
  <si>
    <t>91114</t>
  </si>
  <si>
    <t>Заглушка PP-R Д25</t>
  </si>
  <si>
    <t>91188</t>
  </si>
  <si>
    <t>Заглушка PP-R Д40</t>
  </si>
  <si>
    <t>91177</t>
  </si>
  <si>
    <t>Заглушка резьбовая PP-R Д20*1/2М /100/</t>
  </si>
  <si>
    <t>91191</t>
  </si>
  <si>
    <t>Зачистка для армированных труб PP-R 20-25</t>
  </si>
  <si>
    <t>91192</t>
  </si>
  <si>
    <t>Компенсатор Омега 20 /30/</t>
  </si>
  <si>
    <t>91183</t>
  </si>
  <si>
    <t>Компенсатор Омега 25</t>
  </si>
  <si>
    <t>91155</t>
  </si>
  <si>
    <t>Кран шаров. PP-R Д20 /15/60/</t>
  </si>
  <si>
    <t>91184</t>
  </si>
  <si>
    <t>Кран шаров. PP-R Д25</t>
  </si>
  <si>
    <t>91300</t>
  </si>
  <si>
    <t>Кран шаров. для радиатора прямой 20*1/2 /10/</t>
  </si>
  <si>
    <t>91301</t>
  </si>
  <si>
    <t>Кран шаров. комбинир. ВР 20*1/2 /15/</t>
  </si>
  <si>
    <t>91242</t>
  </si>
  <si>
    <t>Кран шаров. комбинир. НР 20*1/2 /15/</t>
  </si>
  <si>
    <t>91304</t>
  </si>
  <si>
    <t>Кран шаров. комбинир. НР 25*3/4 /10/</t>
  </si>
  <si>
    <t>91303</t>
  </si>
  <si>
    <t>Кран шаров. полнопроходной с одност. разъемным соед. 20*3/4 /10/</t>
  </si>
  <si>
    <t>91126</t>
  </si>
  <si>
    <t>Крепление-клипса для труб PP-R 20-22 /200/800/</t>
  </si>
  <si>
    <t>91202</t>
  </si>
  <si>
    <t>Крепление-клипса для труб PP-R 20-22 c защелкой /200/800/</t>
  </si>
  <si>
    <t>91131</t>
  </si>
  <si>
    <t>Крепление-клипса для труб PP-R 20-22 двойная /150/600/</t>
  </si>
  <si>
    <t>91112</t>
  </si>
  <si>
    <t>Крепление-клипса для труб PP-R 25 двойная</t>
  </si>
  <si>
    <t>91133</t>
  </si>
  <si>
    <t>Крепление-клипса для труб PP-R 25-27 /125/500/</t>
  </si>
  <si>
    <t>99905</t>
  </si>
  <si>
    <t>Крепление-клипса для труб PP-R 25-27 c защелкой /80/</t>
  </si>
  <si>
    <t>91198</t>
  </si>
  <si>
    <t>Крестовина 2-х пл PP-R Д32*20*20*32 /20/100/</t>
  </si>
  <si>
    <t>91122</t>
  </si>
  <si>
    <t>Крестовина PP-R Д20 /50/200/</t>
  </si>
  <si>
    <t>91127</t>
  </si>
  <si>
    <t>Муфта зажимная внутр. 1/2 ДУ15 Дн 19,7-21,8</t>
  </si>
  <si>
    <t>91146</t>
  </si>
  <si>
    <t>Муфта зажимная внутр. 3/4 ДУ20 Дн 24,6-27,3</t>
  </si>
  <si>
    <t>91107</t>
  </si>
  <si>
    <t>Муфта зажимная наруж. 1/2 ДУ15 Дн 19,7-21,8</t>
  </si>
  <si>
    <t>91109</t>
  </si>
  <si>
    <t>Муфта зажимная наруж. 3/4 ДУ20 Дн 24,6-27,3</t>
  </si>
  <si>
    <t>91249</t>
  </si>
  <si>
    <t>Муфта комбинированная PP-R для соед.труб Д20*16 /20/200/</t>
  </si>
  <si>
    <t>91119</t>
  </si>
  <si>
    <t>Муфта комбинированная внутр.рез.PP-R Д20*1/2 /30/150/</t>
  </si>
  <si>
    <t>91103</t>
  </si>
  <si>
    <t>Муфта комбинированная внутр.рез.PP-R Д20*3/4</t>
  </si>
  <si>
    <t>91187</t>
  </si>
  <si>
    <t>Муфта комбинированная внутр.рез.PP-R Д25*1/2 /25/100/</t>
  </si>
  <si>
    <t>91134</t>
  </si>
  <si>
    <t>Муфта комбинированная внутр.рез.PP-R Д25*3/4 /25/100/</t>
  </si>
  <si>
    <t>91171</t>
  </si>
  <si>
    <t>Муфта комбинированная нар.рез.PP-R Д20*1/2 /30/150/</t>
  </si>
  <si>
    <t>91151</t>
  </si>
  <si>
    <t>Муфта комбинированная нар.рез.PP-R Д20*3/4 /25/100/</t>
  </si>
  <si>
    <t>91186</t>
  </si>
  <si>
    <t>Муфта комбинированная нар.рез.PP-R Д25*1/2 /25/100/</t>
  </si>
  <si>
    <t>91248</t>
  </si>
  <si>
    <t>Муфта комбинированная нар.рез.PP-R Д25*3/4 /25/100/</t>
  </si>
  <si>
    <t>91104</t>
  </si>
  <si>
    <t>Муфта комбинированная с накидной гайкой PP-RД20*1/2F /30/150/</t>
  </si>
  <si>
    <t>91111</t>
  </si>
  <si>
    <t>Муфта соединительная PP-R Д20 /125/500/</t>
  </si>
  <si>
    <t>91132</t>
  </si>
  <si>
    <t>Муфта соединительная PP-R Д25 /75/300/</t>
  </si>
  <si>
    <t>91167</t>
  </si>
  <si>
    <t>Муфта соединительная переходная PP-R Д25*20 /100/</t>
  </si>
  <si>
    <t>91161</t>
  </si>
  <si>
    <t>Муфта соединительная переходная PP-R Д32*20 /50/</t>
  </si>
  <si>
    <t>91197</t>
  </si>
  <si>
    <t>Настенный комплект 25*1/2 PP-R 6987</t>
  </si>
  <si>
    <t>91106</t>
  </si>
  <si>
    <t>Настенный комплект внутр.рез.20*1/2 PP-R /20/</t>
  </si>
  <si>
    <t>91196</t>
  </si>
  <si>
    <t>Настенный комплект нар.рез.20*1/2 PP-R /20/</t>
  </si>
  <si>
    <t>91100</t>
  </si>
  <si>
    <t>Обводное колено PP-R Д20 /35/140/</t>
  </si>
  <si>
    <t>91193</t>
  </si>
  <si>
    <t>Обводное колено PP-R Д20 короткое /50/200/</t>
  </si>
  <si>
    <t>91069</t>
  </si>
  <si>
    <t>Обводное колено PP-R Д25 /100/</t>
  </si>
  <si>
    <t>99911</t>
  </si>
  <si>
    <t>Обводное колено PP-R Д32 с муфтами /10/40/</t>
  </si>
  <si>
    <t>91190</t>
  </si>
  <si>
    <t>Соединение для водосчетчиков PP-R Д20*1/2</t>
  </si>
  <si>
    <t>91125</t>
  </si>
  <si>
    <t>Тройник PP-R Д20 /50/250/</t>
  </si>
  <si>
    <t>91120</t>
  </si>
  <si>
    <t>Тройник PP-R Д25 /30/150/</t>
  </si>
  <si>
    <t>91140</t>
  </si>
  <si>
    <t>Тройник комб.вн.рез.PP-R Д20*1*Д20</t>
  </si>
  <si>
    <t>91135</t>
  </si>
  <si>
    <t>Тройник комб.вн.рез.PP-R Д20*1/2*20 /25/100/</t>
  </si>
  <si>
    <t>91142</t>
  </si>
  <si>
    <t>Тройник комб.вн.рез.PP-R Д20*1/2*20 с накидной гайкой /20/200/</t>
  </si>
  <si>
    <t>91139</t>
  </si>
  <si>
    <t>Тройник комб.вн.рез.PP-R Д20*3/4*20</t>
  </si>
  <si>
    <t>91152</t>
  </si>
  <si>
    <t>Тройник комб.вн.рез.PP-R Д20*3/4*20 с накидной гайкой /25/</t>
  </si>
  <si>
    <t>91141</t>
  </si>
  <si>
    <t>Тройник комб.вн.рез.PP-R Д25*3/4*25 /15/45/</t>
  </si>
  <si>
    <t>91068</t>
  </si>
  <si>
    <t>Тройник комб.нар.рез.PP-R Д20*1/2*20 /25/100/</t>
  </si>
  <si>
    <t>91195</t>
  </si>
  <si>
    <t>Тройник комб.нар.рез.PP-R Д20*3/4*20</t>
  </si>
  <si>
    <t>91194</t>
  </si>
  <si>
    <t>Тройник переходной PP-R Д20*25*20 /25/200/</t>
  </si>
  <si>
    <t>91123</t>
  </si>
  <si>
    <t>Тройник переходной PP-R Д25*25*20 /50/</t>
  </si>
  <si>
    <t>91185</t>
  </si>
  <si>
    <t>Труба SDR Д20*1,9*4м PN10 хол. и гор. воды белая /140/</t>
  </si>
  <si>
    <t>91170</t>
  </si>
  <si>
    <t>Труба SDR Д20*2,8*4м PN20 армированная стекловолокном белая /140/</t>
  </si>
  <si>
    <t>91115</t>
  </si>
  <si>
    <t>Труба SDR Д20*3,4*2м PN20 хол. и гор. воды белая /70/</t>
  </si>
  <si>
    <t>91241</t>
  </si>
  <si>
    <t>Труба SDR Д20*3,4*2м PN25 армированная алюминием белая /70/</t>
  </si>
  <si>
    <t>91179</t>
  </si>
  <si>
    <t>Труба SDR Д20*3,4*2м PN25 армированная стекловолокном белая /140/</t>
  </si>
  <si>
    <t>91166</t>
  </si>
  <si>
    <t>Труба SDR Д20*3,4*4м PN20 хол. и гор. воды белая /140/</t>
  </si>
  <si>
    <t>91164</t>
  </si>
  <si>
    <t>Труба SDR Д20*3,4*4м PN25 армированная алюминием белая /140/</t>
  </si>
  <si>
    <t>91156</t>
  </si>
  <si>
    <t>Труба SDR Д20*3,4*4м PN25 армированная стекловолокном белая /140/</t>
  </si>
  <si>
    <t>91162</t>
  </si>
  <si>
    <t>Труба SDR Д25*2,3*4м PN10 хол. и гор. воды белая /100/</t>
  </si>
  <si>
    <t>91137</t>
  </si>
  <si>
    <t>Труба SDR Д25*3,5*2м PN20 армированная стекловолокном белая /50/</t>
  </si>
  <si>
    <t>91160</t>
  </si>
  <si>
    <t>Труба SDR Д25*4,2*2м PN20 хол. и гор. воды белая /50/</t>
  </si>
  <si>
    <t>91247</t>
  </si>
  <si>
    <t>Труба SDR Д25*4,2*2м PN25 армированная алюминием белая /50/</t>
  </si>
  <si>
    <t>91176</t>
  </si>
  <si>
    <t>Труба SDR Д25*4,2*2м PN25 армированная стекловолокном белая /50/</t>
  </si>
  <si>
    <t>91147</t>
  </si>
  <si>
    <t>Труба SDR Д25*4,2*4м PN20 хол. и гор. воды белая /100/</t>
  </si>
  <si>
    <t>91144</t>
  </si>
  <si>
    <t>Труба SDR Д25*4,2*4м PN25 армированная алюминием белая /100/</t>
  </si>
  <si>
    <t>91238</t>
  </si>
  <si>
    <t>Уголок PP-R Д20-25 90гр вн-нар /50/200/</t>
  </si>
  <si>
    <t>91130</t>
  </si>
  <si>
    <t>Уголок PP-R Д20-45гр /100/400/</t>
  </si>
  <si>
    <t>91105</t>
  </si>
  <si>
    <t>Уголок PP-R Д20-90гр /100/400/</t>
  </si>
  <si>
    <t>91148</t>
  </si>
  <si>
    <t>Уголок PP-R Д20-90гр вн-нар /100/</t>
  </si>
  <si>
    <t>91102</t>
  </si>
  <si>
    <t>Уголок PP-R Д25 F-М /100/</t>
  </si>
  <si>
    <t>91199</t>
  </si>
  <si>
    <t>Уголок PP-R Д25-45гр /50/300/</t>
  </si>
  <si>
    <t>91118</t>
  </si>
  <si>
    <t>Уголок PP-R Д25-90гр /50/200/</t>
  </si>
  <si>
    <t>91145</t>
  </si>
  <si>
    <t>Уголок комб.вн.р.PP-R Д20*1/2 /20/80/</t>
  </si>
  <si>
    <t>91117</t>
  </si>
  <si>
    <t>Уголок комб.вн.р.PP-R Д20*1/2 с креплением /20/80/</t>
  </si>
  <si>
    <t>91108</t>
  </si>
  <si>
    <t>Уголок комб.вн.р.PP-R Д20*3/4 /20/80/</t>
  </si>
  <si>
    <t>91128</t>
  </si>
  <si>
    <t>Уголок комб.вн.р.PP-R Д20*3/4 с накидной гайкой/25/</t>
  </si>
  <si>
    <t>91175</t>
  </si>
  <si>
    <t>Уголок комб.вн.р.PP-R Д25*1/2</t>
  </si>
  <si>
    <t>91174</t>
  </si>
  <si>
    <t>Уголок комб.вн.р.PP-R Д25*3/4 /20/80/</t>
  </si>
  <si>
    <t>91116</t>
  </si>
  <si>
    <t>Уголок комб.вн.р.PP-R Д25*3/4 с креплением</t>
  </si>
  <si>
    <t>91163</t>
  </si>
  <si>
    <t>Уголок комб.нар.р.PP-R Д20*1/2 /25/125/</t>
  </si>
  <si>
    <t>91136</t>
  </si>
  <si>
    <t>Уголок комб.нар.р.PP-R Д20*1/2 с креплением</t>
  </si>
  <si>
    <t>91150</t>
  </si>
  <si>
    <t>Уголок комб.нар.р.PP-R Д25*1/2 /15/90/</t>
  </si>
  <si>
    <t>91138</t>
  </si>
  <si>
    <t>Уголок комб.нар.р.PP-R Д25*3/4 /15/75/</t>
  </si>
  <si>
    <t>91158</t>
  </si>
  <si>
    <t>Фильтр PP-R Д20 муфта-муфта /20/80/</t>
  </si>
  <si>
    <t>912 Приборы учета и комплектующие</t>
  </si>
  <si>
    <t>91206</t>
  </si>
  <si>
    <t>Счетчик для воды Норма СВКМ-15У универсальный комплект с муфтой, с обр. клап. /10/</t>
  </si>
  <si>
    <t>914-920 Комплектующие для смесителей</t>
  </si>
  <si>
    <t>914 Маховички</t>
  </si>
  <si>
    <t>91411</t>
  </si>
  <si>
    <t>Маховик 8*20 шл металл Globo 565-105 пара /20/</t>
  </si>
  <si>
    <t>91407</t>
  </si>
  <si>
    <t>Маховик 8*24 шл металл 1шт.</t>
  </si>
  <si>
    <t>91727</t>
  </si>
  <si>
    <t>Маховик 8*24 шл металл Disco 20 H9831 565-873 пара /20/200/</t>
  </si>
  <si>
    <t>91755</t>
  </si>
  <si>
    <t>Маховик 8*24 шл металл Globo 03 Н9861 565-398 пара /20/200/</t>
  </si>
  <si>
    <t>91412</t>
  </si>
  <si>
    <t>Маховик 8*24 шл металл Globo 565-102 пара /20/</t>
  </si>
  <si>
    <t>91406</t>
  </si>
  <si>
    <t>Маховик 8*24 шл металл Krest к/б 3/8 565-028 пара /20/</t>
  </si>
  <si>
    <t>91717</t>
  </si>
  <si>
    <t>Маховик 8*24 шл металл Luna 66 565-122 пара /20/200/</t>
  </si>
  <si>
    <t>91764</t>
  </si>
  <si>
    <t>Маховик 8*24 шл металл Maria 22 Н9826 565-400 пара /20/200/</t>
  </si>
  <si>
    <t>91724</t>
  </si>
  <si>
    <t>Маховик 8*24 шл металл Maria mini 24 Н9860 565-403 пара /20/200/</t>
  </si>
  <si>
    <t>91408</t>
  </si>
  <si>
    <t>Маховик квадрат метализ Глобо пара HD03(861) 565-003 /20/</t>
  </si>
  <si>
    <t>91400</t>
  </si>
  <si>
    <t>Ручка для шарового смесителя Д35 565-107 /160/</t>
  </si>
  <si>
    <t>915 Шланги для душа/Комплекты для душа</t>
  </si>
  <si>
    <t>91554</t>
  </si>
  <si>
    <t>Стойка д/душа (штанга,шланг 150 см ,лейка-1 реж.) 546-050 /40/</t>
  </si>
  <si>
    <t>91550</t>
  </si>
  <si>
    <t>Стойка д/душа Rain лейка 5 реж шланг 150 см бл. мыльница 547-071 /36/</t>
  </si>
  <si>
    <t>91502</t>
  </si>
  <si>
    <t>Стойка д/душа Rain с плоскими крепл. 60 см хром 547-067 /28/</t>
  </si>
  <si>
    <t>91545</t>
  </si>
  <si>
    <t>Стойка д/душа СоюзКран 66см нерж. сталь 547-068 /40/</t>
  </si>
  <si>
    <t>91576</t>
  </si>
  <si>
    <t>Стойка д/душа СоюзКран мыльница хром S04-002 /2/50/</t>
  </si>
  <si>
    <t>91590</t>
  </si>
  <si>
    <t>Шланг д/душа 1,5м 1/2имп.-1/2имп. ПВХ сталь вн. 569-018 /10/100/</t>
  </si>
  <si>
    <t>91574</t>
  </si>
  <si>
    <t>Шланг д/душа 1,5м имп.-имп. 2 замка /50/</t>
  </si>
  <si>
    <t>91549</t>
  </si>
  <si>
    <t>Шланг д/душа 1,5м имп.-имп. 2 замка /60/</t>
  </si>
  <si>
    <t>91508</t>
  </si>
  <si>
    <t>Шланг д/душа 1,5м рус.-рус. 2 замка /50/</t>
  </si>
  <si>
    <t>91565</t>
  </si>
  <si>
    <t>Шланг д/душа 1,75м имп.-имп. 2 замка /50/</t>
  </si>
  <si>
    <t>91566</t>
  </si>
  <si>
    <t>Шланг д/душа 1,75м рус.-рус. 2 замка /50/</t>
  </si>
  <si>
    <t>91556</t>
  </si>
  <si>
    <t>Шланг д/душа 2,0м имп. 1/2-М22 сталь 569-024 /5/100/</t>
  </si>
  <si>
    <t>91529</t>
  </si>
  <si>
    <t>Шланг д/душа 2,0м имп.-имп. 1/2-1/2 569-023 /5/</t>
  </si>
  <si>
    <t>91568</t>
  </si>
  <si>
    <t>Шланг д/душа 2,0м имп.-имп. 2 замка /50/</t>
  </si>
  <si>
    <t>91569</t>
  </si>
  <si>
    <t>Шланг д/душа 2,0м рус.-имп. 2 замка /50/</t>
  </si>
  <si>
    <t>91570</t>
  </si>
  <si>
    <t>Шланг д/душа 2,0м рус.-рус. 2 замка /50/</t>
  </si>
  <si>
    <t>91586</t>
  </si>
  <si>
    <t>Шланг д/душа Lemen R09 имп.-имп. 1,5м /50/</t>
  </si>
  <si>
    <t>91591</t>
  </si>
  <si>
    <t>Шланг д/душа Lemen R11-2 имп.-имп. 2,0м</t>
  </si>
  <si>
    <t>91538</t>
  </si>
  <si>
    <t>Шланг д/душа Lemen R118 рус.-рус. 1,5м</t>
  </si>
  <si>
    <t>91527</t>
  </si>
  <si>
    <t>Шланг д/душа Lemen R11A имп.-рус. 1,5м</t>
  </si>
  <si>
    <t>91563</t>
  </si>
  <si>
    <t>Шланг д/душа Lemen R20 с выдвигающимся изливом</t>
  </si>
  <si>
    <t>91594</t>
  </si>
  <si>
    <t>Шланг д/душа Lemen R22 EPDM нерж. оплетка 1,5м</t>
  </si>
  <si>
    <t>91573</t>
  </si>
  <si>
    <t>Шланг д/душа Rain 1,5м 1/2имп.-1/2имп. антитвист 569-035 /5/50/</t>
  </si>
  <si>
    <t>91540</t>
  </si>
  <si>
    <t>Шланг д/душа Rain 1,5м 1/2имп.-1/2имп. ПВХ лат. сереб.-белый 569-036 /5/50/</t>
  </si>
  <si>
    <t>91510</t>
  </si>
  <si>
    <t>Шланг д/душа Rain 1,5м 1/2имп.-1/2имп. ПВХ латунь антитвист черный 569-037 /50/</t>
  </si>
  <si>
    <t>91598</t>
  </si>
  <si>
    <t>Шланг д/душа Rain 1,5м 1/2имп.-1/2имп. пластик 569-026 /5/50/</t>
  </si>
  <si>
    <t>91572</t>
  </si>
  <si>
    <t>Шланг д/душа Rain 1,5м имп.-имп. система антитвист 569-033 /5/</t>
  </si>
  <si>
    <t>91465</t>
  </si>
  <si>
    <t>Шланг д/душа Rain раздвиж. 1,5-2,0м 1/2Имп-1/2Имп сталь 569-025 /5/50/</t>
  </si>
  <si>
    <t>91575</t>
  </si>
  <si>
    <t>Шланг д/душа SonWelle 1,5м 1/2имп.-1/2имп. сталь латунь ERDM 569-019</t>
  </si>
  <si>
    <t>91546</t>
  </si>
  <si>
    <t>Шланг д/душа Аквалайн L150 имп.-имп. конус /50/</t>
  </si>
  <si>
    <t>91503</t>
  </si>
  <si>
    <t>Шланг д/душа Аквалайн L150 имп.-имп. конус ПВХ /50/</t>
  </si>
  <si>
    <t>91642</t>
  </si>
  <si>
    <t>Шланг д/душа Аквалайн L150 рус.-имп. конус/50/</t>
  </si>
  <si>
    <t>91535</t>
  </si>
  <si>
    <t>Шланг д/душа Аквалайн L150 рус.-рус. /50/</t>
  </si>
  <si>
    <t>91589</t>
  </si>
  <si>
    <t>Шланг д/душа Аквалайн L175 имп.-имп. конус /50/</t>
  </si>
  <si>
    <t>91505</t>
  </si>
  <si>
    <t>Шланг д/душа Аквалайн L200 имп.-имп. конус /50/</t>
  </si>
  <si>
    <t>91534</t>
  </si>
  <si>
    <t>Шланг д/душа в блистере 1,5м имп.-имп. 2 замка /50/</t>
  </si>
  <si>
    <t>91522</t>
  </si>
  <si>
    <t>Шланг д/душа в блистере 1,5м рус.-имп. 2 замка /50/</t>
  </si>
  <si>
    <t>91524</t>
  </si>
  <si>
    <t>Шланг д/душа в блистере 1,5м рус.-рус. 2 замка /40/</t>
  </si>
  <si>
    <t>91526</t>
  </si>
  <si>
    <t>Шланг д/душа в блистере 1,75м имп.-имп. 2 замка /50/</t>
  </si>
  <si>
    <t>91532</t>
  </si>
  <si>
    <t>Шланг д/душа в блистере 1,75м рус.-имп. 2 замка /50/</t>
  </si>
  <si>
    <t>91543</t>
  </si>
  <si>
    <t>Шланг д/душа в блистере 1,75м рус.-рус. 2 замка /50/</t>
  </si>
  <si>
    <t>91533</t>
  </si>
  <si>
    <t>Шланг д/душа в блистере 2,0м имп.-имп. 2 замка /50/</t>
  </si>
  <si>
    <t>91537</t>
  </si>
  <si>
    <t>Шланг д/душа в блистере 2,0м рус.-имп. 2 замка /50/</t>
  </si>
  <si>
    <t>91519</t>
  </si>
  <si>
    <t>Шланг д/душа в блистере 2,0м рус.-рус. 2 замка /50/</t>
  </si>
  <si>
    <t>91530</t>
  </si>
  <si>
    <t>Шланг д/душа в блистере с удлинением 1,5м-2,0м имп.-имп. /50/</t>
  </si>
  <si>
    <t>91592</t>
  </si>
  <si>
    <t>Шланг д/душа в блистере с удлинением 1,5м-2,0м рус.-имп. /50/</t>
  </si>
  <si>
    <t>91593</t>
  </si>
  <si>
    <t>Шланг д/душа в блистере с удлинением 1,5м-2,0м рус.-рус. /50/</t>
  </si>
  <si>
    <t>91673</t>
  </si>
  <si>
    <t>Шланг д/душа Казань рус.-рус. металлич. Се90 ШГ2 (528)</t>
  </si>
  <si>
    <t>91676</t>
  </si>
  <si>
    <t>Шланг д/душа мет. VIR №08 1/2*M22 латунь</t>
  </si>
  <si>
    <t>91776</t>
  </si>
  <si>
    <t>Шланг д/душа мет. VIR №09 1/2*M22 Conus</t>
  </si>
  <si>
    <t>91632</t>
  </si>
  <si>
    <t>Шланг д/душа мет. VIR №11 M22*M22 латунь</t>
  </si>
  <si>
    <t>91558</t>
  </si>
  <si>
    <t>Шланг д/душа Нева L150 имп.конус-имп. /50/</t>
  </si>
  <si>
    <t>91528</t>
  </si>
  <si>
    <t>Шланг д/душа Нева L150 имп.конус-рус. /50/</t>
  </si>
  <si>
    <t>91547</t>
  </si>
  <si>
    <t>Шланг д/душа Нева L150 рус.-рус. /50/</t>
  </si>
  <si>
    <t>91654</t>
  </si>
  <si>
    <t>Шланг д/душа Пермь 1,5м рус.-рус. №1</t>
  </si>
  <si>
    <t>91552</t>
  </si>
  <si>
    <t>Шланг д/душа раздвижной SPL1,5-2,0м 1/2имп.-рус. блист.</t>
  </si>
  <si>
    <t>91506</t>
  </si>
  <si>
    <t>Шланг д/душа СоюзКран 1,5м 1/2имп.-1/2имп. сталь 569-028 /5/50/</t>
  </si>
  <si>
    <t>91551</t>
  </si>
  <si>
    <t>Шланг д/душа СоюзКран 1,5м имп.-имп. сталь S7 569-029 /5/100/</t>
  </si>
  <si>
    <t>91507</t>
  </si>
  <si>
    <t>Шланг д/душа СоюзКран 1,5м имп.-М22 сталь пластик ПВХ  569-020 /5/</t>
  </si>
  <si>
    <t>91548</t>
  </si>
  <si>
    <t>Шланг д/душа СоюзКран раздвижной 1,0-1,2м имп.-имп. сталь пластик ПВХ 569-038 /100/</t>
  </si>
  <si>
    <t>91514</t>
  </si>
  <si>
    <t>Шланг д/душа+лейка Rain 1 реж. 150см пластик 546-048 /5/</t>
  </si>
  <si>
    <t>91553</t>
  </si>
  <si>
    <t>Шланг д/душа+лейка Rain 3 реж. 110см держатель шланг ПВХ антитвист 545-070 /30/</t>
  </si>
  <si>
    <t>91585</t>
  </si>
  <si>
    <t>Шланг д/душа+лейка Rain 5 реж. 150см 552-001 /2/30/</t>
  </si>
  <si>
    <t>91588</t>
  </si>
  <si>
    <t>Шланг д/душа+лейка Rain 5 реж. 150см овальная 552-003 /2/30/</t>
  </si>
  <si>
    <t>91511</t>
  </si>
  <si>
    <t>Шланг д/душа+лейка RODGER с кронштейном на блистере ХВМ-1143S /25/</t>
  </si>
  <si>
    <t>91536</t>
  </si>
  <si>
    <t>Шланг д/душа+лейка RODGER с кронштейном на блистере ХВМ-1305S /25/</t>
  </si>
  <si>
    <t>91581</t>
  </si>
  <si>
    <t>Шланг д/душа+лейка СоюзКран 3 реж 150см блистер S03-008 /2/30/</t>
  </si>
  <si>
    <t>91501</t>
  </si>
  <si>
    <t>Шланг д/душа+лейка СоюзКран 3 реж 150см хром кедр S03-005 /30/</t>
  </si>
  <si>
    <t>916 Узлы излива</t>
  </si>
  <si>
    <t>91619</t>
  </si>
  <si>
    <t>Узел излива д/ванн LEMEN F30 плоский 30 см /10/</t>
  </si>
  <si>
    <t>91628</t>
  </si>
  <si>
    <t>Узел излива д/ванн LEMEN S25 изогнутый /10/</t>
  </si>
  <si>
    <t>91699</t>
  </si>
  <si>
    <t>Узел излива д/ванн LEMEN S40 изогнутый /10/</t>
  </si>
  <si>
    <t>91653</t>
  </si>
  <si>
    <t>Узел излива д/ванн LEMEN S50 изогнутый /10/</t>
  </si>
  <si>
    <t>91615</t>
  </si>
  <si>
    <t>Узел излива д/ванн круглый с аэрат. 24см G8</t>
  </si>
  <si>
    <t>91600</t>
  </si>
  <si>
    <t>Узел излива д/ванн круглый с аэрат. 30см 3/4" имп /100/</t>
  </si>
  <si>
    <t>91623</t>
  </si>
  <si>
    <t>Узел излива д/ванн круглый с аэрат. 30см 3/4" имп 565-041 /10/100/</t>
  </si>
  <si>
    <t>91635</t>
  </si>
  <si>
    <t>Узел излива д/ванн круглый с аэрат. 33см 3/4" рус. 0400 /100/</t>
  </si>
  <si>
    <t>91631</t>
  </si>
  <si>
    <t>Узел излива д/ванн круглый с аэрат. 35см 3/4" имп 0185 /100/</t>
  </si>
  <si>
    <t>91648</t>
  </si>
  <si>
    <t>Узел излива д/ванн плоский L-250 3/4</t>
  </si>
  <si>
    <t>91617</t>
  </si>
  <si>
    <t>Узел излива д/ванн плоский L-350 3/4 565-101 /5/</t>
  </si>
  <si>
    <t>91695</t>
  </si>
  <si>
    <t>Узел излива д/ванн плоский L-400 3/4</t>
  </si>
  <si>
    <t>91601</t>
  </si>
  <si>
    <t>Узел излива д/ванн плоский L-400 3/4 565-013 /5/</t>
  </si>
  <si>
    <t>91678</t>
  </si>
  <si>
    <t>Узел излива д/ванн плоский L-500 3/4</t>
  </si>
  <si>
    <t>91675</t>
  </si>
  <si>
    <t>Узел излива д/ванн плоский S-250 3/4</t>
  </si>
  <si>
    <t>91694</t>
  </si>
  <si>
    <t>Узел излива д/ванн плоский S-300 3/4 6384 565-006 /10/</t>
  </si>
  <si>
    <t>91686</t>
  </si>
  <si>
    <t>Узел излива д/ванн плоский S-350 3/4 6385</t>
  </si>
  <si>
    <t>91639</t>
  </si>
  <si>
    <t>Узел излива д/ванн плоский S-400 3/4 565-011 /10/</t>
  </si>
  <si>
    <t>91660</t>
  </si>
  <si>
    <t>Узел излива д/ванн плоский S-450 3/4</t>
  </si>
  <si>
    <t>91655</t>
  </si>
  <si>
    <t>Узел излива д/ванн плоский S-500 3/4 6386</t>
  </si>
  <si>
    <t>91688</t>
  </si>
  <si>
    <t>Узел излива д/кухни LEMEN C02 /8/80/</t>
  </si>
  <si>
    <t>91656</t>
  </si>
  <si>
    <t>Узел излива д/кухни LEMEN N19-2 аэратор двигающийся /100/</t>
  </si>
  <si>
    <t>91649</t>
  </si>
  <si>
    <t>Узел излива д/кухни LEMEN N24 гайка 3/4 /8/80/</t>
  </si>
  <si>
    <t>91661</t>
  </si>
  <si>
    <t>Узел излива д/кухни LEMEN гибкий N19-1 с аэратор. /100/</t>
  </si>
  <si>
    <t>91630</t>
  </si>
  <si>
    <t>Узел излива д/кухни LEMEN гибкий R9 красн /60/</t>
  </si>
  <si>
    <t>91624</t>
  </si>
  <si>
    <t>Узел излива д/кухни LEMEN гибкий Y9 желтый /60/</t>
  </si>
  <si>
    <t>91651</t>
  </si>
  <si>
    <t>Узел излива д/кухни LEMEN гибкий О9 оранж /60/</t>
  </si>
  <si>
    <t>91606</t>
  </si>
  <si>
    <t>Узел излива д/кухни Rain нерж. сталь 24см 565-042 /10/</t>
  </si>
  <si>
    <t>91629</t>
  </si>
  <si>
    <t>Узел излива д/кухни Г-образн 0208</t>
  </si>
  <si>
    <t>91602</t>
  </si>
  <si>
    <t>Узел излива д/кухни Г-образн DK-742 49734</t>
  </si>
  <si>
    <t>91690</t>
  </si>
  <si>
    <t>Узел излива д/кухни Г-образн G8 0206 /5/</t>
  </si>
  <si>
    <t>91605</t>
  </si>
  <si>
    <t>Узел излива д/кухни гибкий сталь EPDM 565-096 /5/50/</t>
  </si>
  <si>
    <t>91689</t>
  </si>
  <si>
    <t>Узел излива д/кухни гибкий сталь Potato P67-03 /40/</t>
  </si>
  <si>
    <t>91644</t>
  </si>
  <si>
    <t>Узел излива д/кухни ИМП с U-образный 23 см</t>
  </si>
  <si>
    <t>91611</t>
  </si>
  <si>
    <t>Узел излива д/кухни ИМП с U-образный KM-DK-740 Утка 06385</t>
  </si>
  <si>
    <t>91625</t>
  </si>
  <si>
    <t>Узел излива д/кухни ИМП с аэратором 0559</t>
  </si>
  <si>
    <t>91684</t>
  </si>
  <si>
    <t>Узел излива д/кухни ИМП с аэратором гнущийся</t>
  </si>
  <si>
    <t>91643</t>
  </si>
  <si>
    <t>Узел излива д/кухни РУС с аэратором 0401</t>
  </si>
  <si>
    <t>91620</t>
  </si>
  <si>
    <t>Узел излива д/кухни с аэратором 2 полож. 0180 /20/</t>
  </si>
  <si>
    <t>91616</t>
  </si>
  <si>
    <t>Узел излива д/кухни с режимным аэратором 45 см хром /50/</t>
  </si>
  <si>
    <t>91667</t>
  </si>
  <si>
    <t>Узел излива д/кухни с режимным аэратором мал</t>
  </si>
  <si>
    <t>91683</t>
  </si>
  <si>
    <t>Узел излива д/кухни с режимным аэратором черный /50/</t>
  </si>
  <si>
    <t>917 Кран-буксы/Картриджы</t>
  </si>
  <si>
    <t>91749</t>
  </si>
  <si>
    <t>Картридж д/смес. aQuaDv D35 на ножке 0013 /20/</t>
  </si>
  <si>
    <t>91738</t>
  </si>
  <si>
    <t>Картридж д/смес. D40 575-787 /10/100/</t>
  </si>
  <si>
    <t>91725</t>
  </si>
  <si>
    <t>Картридж д/смес. D40 мм /300/</t>
  </si>
  <si>
    <t>91794</t>
  </si>
  <si>
    <t>Картридж д/смес. Y40 Ле Мен /20/200/</t>
  </si>
  <si>
    <t>91740</t>
  </si>
  <si>
    <t>Картридж д/смес. Y40-2 Ле Мен WANHAI /10/</t>
  </si>
  <si>
    <t>91765</t>
  </si>
  <si>
    <t>Картридж д/смес. Y40-9 Ле Мен на ножках /50/</t>
  </si>
  <si>
    <t>91781</t>
  </si>
  <si>
    <t>Картридж д/смес. Д40 2051 /20/200/</t>
  </si>
  <si>
    <t>91735</t>
  </si>
  <si>
    <t>Картридж д/смес. Д40 с ножками 2053 /200/</t>
  </si>
  <si>
    <t>91714</t>
  </si>
  <si>
    <t>Кран-букса 1/2" кер. 15шл PF двойная нить /100/400/</t>
  </si>
  <si>
    <t>91756</t>
  </si>
  <si>
    <t>Кран-букса 1/2" кер. 20шл Accoona А450-4 /50/500/</t>
  </si>
  <si>
    <t>91715</t>
  </si>
  <si>
    <t>Кран-букса 1/2" кер. 20шл №18 /25/</t>
  </si>
  <si>
    <t>91732</t>
  </si>
  <si>
    <t>Кран-букса 1/2" кер. 20шл PF двойная нить /100/400/</t>
  </si>
  <si>
    <t>91778</t>
  </si>
  <si>
    <t>Кран-букса 1/2" кер. 20шл Violett 575-189 /10/500/</t>
  </si>
  <si>
    <t>91705</t>
  </si>
  <si>
    <t>Кран-букса 1/2" кер. 20шл Violett 575-190 /10/500/</t>
  </si>
  <si>
    <t>91703</t>
  </si>
  <si>
    <t>Кран-букса 1/2" кер. 24шл 575-067 /10/125/</t>
  </si>
  <si>
    <t>91720</t>
  </si>
  <si>
    <t>Кран-букса 1/2" кер. 24шл LeMen YK04 /10/50/</t>
  </si>
  <si>
    <t>91731</t>
  </si>
  <si>
    <t>Кран-букса 1/2" кер. 24шл PF двойная нить /100/400/</t>
  </si>
  <si>
    <t>91785</t>
  </si>
  <si>
    <t>Кран-букса 1/2" кер. 24шл под крест 575-068 /10/500/</t>
  </si>
  <si>
    <t>91709</t>
  </si>
  <si>
    <t>Кран-букса 1/2" кер. квадрат 575-011 /10/500/</t>
  </si>
  <si>
    <t>91706</t>
  </si>
  <si>
    <t>Кран-букса 1/2" кер. квадрат Rain (12,09,04) 575-001 /10/125/</t>
  </si>
  <si>
    <t>91701</t>
  </si>
  <si>
    <t>Кран-букса 1/2" кер. квадрат Rain 500 (03,16) 575-002 /10/125/</t>
  </si>
  <si>
    <t>91736</t>
  </si>
  <si>
    <t>Кран-букса 1/2" кер. квадрат под крест 575-012 /10/500/</t>
  </si>
  <si>
    <t>91753</t>
  </si>
  <si>
    <t>Кран-букса кер. Самара 0399 575-853 /100/</t>
  </si>
  <si>
    <t>91770</t>
  </si>
  <si>
    <t>Кран-букса М18*1 кер. квадрат LeMen YK05 /10/50/</t>
  </si>
  <si>
    <t>91610</t>
  </si>
  <si>
    <t>Кран-букса М18*1 рез. квадрат SPL 575-860 /10/400/</t>
  </si>
  <si>
    <t>91996</t>
  </si>
  <si>
    <t>Кран-букса М18*1 Сумы NEW под крест /25/</t>
  </si>
  <si>
    <t>91783</t>
  </si>
  <si>
    <t>Кран-букса с маховиком 1/2" кер. квадрат Крест мет</t>
  </si>
  <si>
    <t>91772</t>
  </si>
  <si>
    <t>Кран-букса с маховиком 1/2" кер. квадрат Крест пл.</t>
  </si>
  <si>
    <t>91771</t>
  </si>
  <si>
    <t>Кран-букса с маховиком 1/2" кер. квадрат Мария мет</t>
  </si>
  <si>
    <t>91773</t>
  </si>
  <si>
    <t>Кран-букса с маховиком 1/2" кер. квадрат Мария пл.</t>
  </si>
  <si>
    <t>91711</t>
  </si>
  <si>
    <t>Кран-букса с маховиком Lemen LY32 пара /100/</t>
  </si>
  <si>
    <t>91798</t>
  </si>
  <si>
    <t>Кран-букса с маховиком Lemen LY64 крест пара /100/</t>
  </si>
  <si>
    <t>91737</t>
  </si>
  <si>
    <t>Кран-букса с маховиком Lemen LY65 крест пара /100/</t>
  </si>
  <si>
    <t>91792</t>
  </si>
  <si>
    <t>Кран-букса с маховиком кер. ГВ180 Глобо пара /100/</t>
  </si>
  <si>
    <t>91760</t>
  </si>
  <si>
    <t>Кран-букса с маховиком кер. ГВ180 Супер пара /100/</t>
  </si>
  <si>
    <t>91757</t>
  </si>
  <si>
    <t>Кран-букса с маховиком кер. ГВ180 Эрика пара /100/</t>
  </si>
  <si>
    <t>91774</t>
  </si>
  <si>
    <t>Кран-букса с маховиком М18*1 кер. квадрат Крест мет</t>
  </si>
  <si>
    <t>91779</t>
  </si>
  <si>
    <t>Кран-букса с маховиком М18*1 кер. квадрат Крест пл.</t>
  </si>
  <si>
    <t>91777</t>
  </si>
  <si>
    <t>Кран-букса с маховиком М18*1 кер. квадрат Мария мет</t>
  </si>
  <si>
    <t>92041</t>
  </si>
  <si>
    <t>Кран-букса с маховиком М18*1 кер. квадрат Мария пл /100/</t>
  </si>
  <si>
    <t>91787</t>
  </si>
  <si>
    <t>Кран-букса с маховиком М18*1 рез. Мария пара /100/</t>
  </si>
  <si>
    <t>91721</t>
  </si>
  <si>
    <t>Кран-букса с маховиком червячная Днепропетровск 0405 пара</t>
  </si>
  <si>
    <t>90076</t>
  </si>
  <si>
    <t>Кран-букса Суммы 0406</t>
  </si>
  <si>
    <t>91719</t>
  </si>
  <si>
    <t>Кран-букса червячная Днепропетровск 0403</t>
  </si>
  <si>
    <t>91782</t>
  </si>
  <si>
    <t>Кран-букса червячная Днепропетровск 0404 удлиненная.</t>
  </si>
  <si>
    <t>918 Лейки для смесителей</t>
  </si>
  <si>
    <t>94560</t>
  </si>
  <si>
    <t>Лейка гигиеническая LEMEN G5101 с шлангом  Н/10/</t>
  </si>
  <si>
    <t>91812</t>
  </si>
  <si>
    <t>Лейка гигиеническая LEMEN P32 /100/</t>
  </si>
  <si>
    <t>91818</t>
  </si>
  <si>
    <t>Лейка гигиеническая SonWelle с держателем 582-042 /5/100/</t>
  </si>
  <si>
    <t>91806</t>
  </si>
  <si>
    <t>Лейка д/биде P38-2 с держателем /50/</t>
  </si>
  <si>
    <t>91804</t>
  </si>
  <si>
    <t>Лейка д/душа 1 реж. 04101 /200/</t>
  </si>
  <si>
    <t>91856</t>
  </si>
  <si>
    <t>Лейка д/душа 5 реж. 04103 /50/</t>
  </si>
  <si>
    <t>91889</t>
  </si>
  <si>
    <t>Лейка д/душа COВRA 1/2 имп. 0475</t>
  </si>
  <si>
    <t>91885</t>
  </si>
  <si>
    <t>Лейка д/душа LEMEN P02 5-реж /50/</t>
  </si>
  <si>
    <t>91896</t>
  </si>
  <si>
    <t>Лейка д/душа LEMEN P02A /50/</t>
  </si>
  <si>
    <t>91897</t>
  </si>
  <si>
    <t>Лейка д/душа LEMEN P03-1</t>
  </si>
  <si>
    <t>91956</t>
  </si>
  <si>
    <t>Лейка д/душа LEMEN P04 /50/</t>
  </si>
  <si>
    <t>91704</t>
  </si>
  <si>
    <t>Лейка д/душа LEMEN P05 1-реж /100/</t>
  </si>
  <si>
    <t>91869</t>
  </si>
  <si>
    <t>Лейка д/душа LEMEN P06 3-реж</t>
  </si>
  <si>
    <t>92011</t>
  </si>
  <si>
    <t>Лейка д/душа LEMEN P07 8-реж</t>
  </si>
  <si>
    <t>91953</t>
  </si>
  <si>
    <t>Лейка д/душа LEMEN P09</t>
  </si>
  <si>
    <t>91949</t>
  </si>
  <si>
    <t>Лейка д/душа LEMEN P50 1-реж /50/</t>
  </si>
  <si>
    <t>91879</t>
  </si>
  <si>
    <t>Лейка д/душа LEMEN P65 1-реж /50/</t>
  </si>
  <si>
    <t>91870</t>
  </si>
  <si>
    <t>Лейка д/душа LEMEN P66 1-реж Л531 /50/</t>
  </si>
  <si>
    <t>91881</t>
  </si>
  <si>
    <t>Лейка д/душа LEMEN P72 3-реж /50/</t>
  </si>
  <si>
    <t>91878</t>
  </si>
  <si>
    <t>Лейка д/душа LEMEN P74 3-реж /50/</t>
  </si>
  <si>
    <t>91986</t>
  </si>
  <si>
    <t>Лейка д/душа LEMEN P77 3-реж /50/</t>
  </si>
  <si>
    <t>91895</t>
  </si>
  <si>
    <t>Лейка д/душа LEMEN P80 /50/</t>
  </si>
  <si>
    <t>91814</t>
  </si>
  <si>
    <t>Лейка д/душа LEMEN P81 3-реж</t>
  </si>
  <si>
    <t>91859</t>
  </si>
  <si>
    <t>Лейка д/душа LEMEN P82 /50/</t>
  </si>
  <si>
    <t>91840</t>
  </si>
  <si>
    <t>Лейка д/душа LEMEN P83 /50/</t>
  </si>
  <si>
    <t>91867</t>
  </si>
  <si>
    <t>Лейка д/душа LEMEN P89</t>
  </si>
  <si>
    <t>91833</t>
  </si>
  <si>
    <t>Лейка д/душа LEMEN P90L /50/</t>
  </si>
  <si>
    <t>91838</t>
  </si>
  <si>
    <t>Лейка д/душа PF 1/2 SH 610 Ромба имп 2960</t>
  </si>
  <si>
    <t>91817</t>
  </si>
  <si>
    <t>Лейка д/душа PF 1/2 SH 618 DS 31 Кит 12579</t>
  </si>
  <si>
    <t>91801</t>
  </si>
  <si>
    <t>Лейка д/душа PF 1/2 SH 619 DS32 Танго</t>
  </si>
  <si>
    <t>91813</t>
  </si>
  <si>
    <t>Лейка д/душа Potato P04-7 белая /100/</t>
  </si>
  <si>
    <t>91861</t>
  </si>
  <si>
    <t>Лейка д/душа Rain 1 реж. 102мм хром 582-049 /100/</t>
  </si>
  <si>
    <t>91863</t>
  </si>
  <si>
    <t>Лейка д/душа Rain 1 реж. 110мм черная 582-050 /100/</t>
  </si>
  <si>
    <t>91888</t>
  </si>
  <si>
    <t>Лейка д/душа Rain 1 реж. водосберегающая 60*50 см хром 582-051 /50/</t>
  </si>
  <si>
    <t>91891</t>
  </si>
  <si>
    <t>Лейка д/душа Rain 1 реж. водосберегающая 80 см хром 582-054 /150/</t>
  </si>
  <si>
    <t>91868</t>
  </si>
  <si>
    <t>Лейка д/душа Rain 3 реж. 114мм хром 546-034 /5/100/</t>
  </si>
  <si>
    <t>91898</t>
  </si>
  <si>
    <t>Лейка д/душа Rain 3 реж. 120мм хром белый 582-052 /100/</t>
  </si>
  <si>
    <t>91835</t>
  </si>
  <si>
    <t>Лейка д/душа Rain 5 реж. 100мм хром 546-049 /5/50/</t>
  </si>
  <si>
    <t>91899</t>
  </si>
  <si>
    <t>Лейка д/душа Rain 5 реж. 120мм 582-043 /5/25/</t>
  </si>
  <si>
    <t>91807</t>
  </si>
  <si>
    <t>Лейка д/душа Rain 5 реж. 95мм 582-037 /5/100/</t>
  </si>
  <si>
    <t>91825</t>
  </si>
  <si>
    <t>Лейка д/душа массажная 3 реж. Л 508</t>
  </si>
  <si>
    <t>91810</t>
  </si>
  <si>
    <t>Лейка д/душа массажная 3 реж. Л 511 Мерседес большая</t>
  </si>
  <si>
    <t>91834</t>
  </si>
  <si>
    <t>Лейка д/душа массажная 3 реж. Л 521 мерседес</t>
  </si>
  <si>
    <t>91832</t>
  </si>
  <si>
    <t>Лейка д/душа массажная 5 реж. SВX-1305С 3735</t>
  </si>
  <si>
    <t>91802</t>
  </si>
  <si>
    <t>Лейка д/душа массажная 5 реж. Л 535 имп. круглая большая</t>
  </si>
  <si>
    <t>91853</t>
  </si>
  <si>
    <t>Лейка д/душа массажная 5 реж. Л 537 имп.</t>
  </si>
  <si>
    <t>91877</t>
  </si>
  <si>
    <t>Лейка д/душа массажная 7 реж. PF 1/2 SH 614</t>
  </si>
  <si>
    <t>91886</t>
  </si>
  <si>
    <t>Лейка д/душа массажная Л 531 P66 прямоугольная А-1179</t>
  </si>
  <si>
    <t>91848</t>
  </si>
  <si>
    <t>Лейка д/душа СоюзКран 1 реж. 100 мм серебро DF3885 хедр 582-021 /5/50/</t>
  </si>
  <si>
    <t>91892</t>
  </si>
  <si>
    <t>Лейка д/душа СоюзКран 1 реж. 80 мм хром 582-055 /50/</t>
  </si>
  <si>
    <t>91844</t>
  </si>
  <si>
    <t>Лейка д/душа СоюзКран 1 реж. 95мм DF3883N 582-019 /5/</t>
  </si>
  <si>
    <t>91841</t>
  </si>
  <si>
    <t>Лейка д/душа СоюзКран 1 реж. С-121 хедр 582-014 /5/150/</t>
  </si>
  <si>
    <t>91894</t>
  </si>
  <si>
    <t>Лейка д/душа СоюзКран 3 реж. 100мм DF2873В хедр 582-016 /5/100/</t>
  </si>
  <si>
    <t>91872</t>
  </si>
  <si>
    <t>Лейка д/душа СоюзКран 3 реж. 65мм 582-025 /5/50/</t>
  </si>
  <si>
    <t>91875</t>
  </si>
  <si>
    <t>Лейка д/душа СоюзКран 3 реж. 80мм 582-027 /5/50/</t>
  </si>
  <si>
    <t>91890</t>
  </si>
  <si>
    <t>Лейка д/душа СоюзКран 3 реж. 80мм хром 582-053 /50/</t>
  </si>
  <si>
    <t>91851</t>
  </si>
  <si>
    <t>Лейка д/душа СоюзКран 3 реж. 85мм хедр 582-041 /5/50/</t>
  </si>
  <si>
    <t>91849</t>
  </si>
  <si>
    <t>Лейка д/душа СоюзКран 3 реж. DF2835 хедр 582-024 /5/25/</t>
  </si>
  <si>
    <t>91843</t>
  </si>
  <si>
    <t>Лейка д/душа СоюзКран 3 реж. DF2836 хедр 582-018 /5/50/</t>
  </si>
  <si>
    <t>91842</t>
  </si>
  <si>
    <t>Лейка д/душа СоюзКран 3 реж. DF2837B хедр 582-017 /5/80/</t>
  </si>
  <si>
    <t>91862</t>
  </si>
  <si>
    <t>Лейка д/душа СоюзКран С-157 хедр 582-010 /10/100/</t>
  </si>
  <si>
    <t>91809</t>
  </si>
  <si>
    <t>Лейка для летнего душа пластик</t>
  </si>
  <si>
    <t>919 Комплектующие для смесителей прочие</t>
  </si>
  <si>
    <t>91930</t>
  </si>
  <si>
    <t>Гайка д/картриджа aQuaDv прижимная нерж. сталь 0052 /10/</t>
  </si>
  <si>
    <t>91977</t>
  </si>
  <si>
    <t>Гайка д/смесителя 3/4 задняя /1000/</t>
  </si>
  <si>
    <t>91928</t>
  </si>
  <si>
    <t>Гайка д/смесителя aQuaDv Корона 0065 /1000/</t>
  </si>
  <si>
    <t>91922</t>
  </si>
  <si>
    <t>Гайка д/смесителя aQuaDv цинк 0060 /1000/</t>
  </si>
  <si>
    <t>91626</t>
  </si>
  <si>
    <t>Гайка д/смесителя LEMEN W03 (втулка) для крепления гайки 3/4 к смесителю</t>
  </si>
  <si>
    <t>91696</t>
  </si>
  <si>
    <t>Гайка д/смесителя излива М22*1,5 цинк /1000/</t>
  </si>
  <si>
    <t>91645</t>
  </si>
  <si>
    <t>Крепление д/елочки (2 шпильки +резин. прокладка)</t>
  </si>
  <si>
    <t>91909</t>
  </si>
  <si>
    <t>Крепление д/елочки (2 шпильки-резин. прокладка) 3989</t>
  </si>
  <si>
    <t>91972</t>
  </si>
  <si>
    <t>Кронштейн д/лейки Lemen J26 пластик малый овал</t>
  </si>
  <si>
    <t>91998</t>
  </si>
  <si>
    <t>Кронштейн д/лейки Lemen J27 пластик малый трапеция</t>
  </si>
  <si>
    <t>91993</t>
  </si>
  <si>
    <t>Кронштейн д/лейки Lemen J29 пластик</t>
  </si>
  <si>
    <t>91937</t>
  </si>
  <si>
    <t>Кронштейн д/лейки Lemen J30 металл</t>
  </si>
  <si>
    <t>91991</t>
  </si>
  <si>
    <t>Кронштейн д/лейки S3001 565-066 /10/</t>
  </si>
  <si>
    <t>91929</t>
  </si>
  <si>
    <t>Кронштейн д/лейки S3004 пластик 565-063 /10/400/</t>
  </si>
  <si>
    <t>91946</t>
  </si>
  <si>
    <t>Кронштейн д/лейки настенный 571-002 /450/</t>
  </si>
  <si>
    <t>91944</t>
  </si>
  <si>
    <t>Кронштейн д/лейки настенный вакуумный на присоске 571-001 /200/</t>
  </si>
  <si>
    <t>91952</t>
  </si>
  <si>
    <t>Кронштейн д/лейки настенный самокл. 571-003 /200/</t>
  </si>
  <si>
    <t>91900</t>
  </si>
  <si>
    <t>Переключатель д/душа (дивертор-картридж) 0832 /50/</t>
  </si>
  <si>
    <t>91954</t>
  </si>
  <si>
    <t>Переключатель д/душа (дивертор) силумин 565-019 /10/100/</t>
  </si>
  <si>
    <t>91971</t>
  </si>
  <si>
    <t>Переключатель д/душа (дивертор) шаровой 565-090 /10/100/</t>
  </si>
  <si>
    <t>91924</t>
  </si>
  <si>
    <t>Переключатель д/душа (дивертор) шток 6957</t>
  </si>
  <si>
    <t>91966</t>
  </si>
  <si>
    <t>Переключатель д/душа (картридж) 5006 /125/</t>
  </si>
  <si>
    <t>91955</t>
  </si>
  <si>
    <t>Переключатель д/душа (картридж) P51-3 /100/</t>
  </si>
  <si>
    <t>91915</t>
  </si>
  <si>
    <t>Переключатель д/душа LEMEN (картридж) Y25 /10/</t>
  </si>
  <si>
    <t>91941</t>
  </si>
  <si>
    <t>Переключатель д/душа LEMEN (картридж) YK07-1 /10/</t>
  </si>
  <si>
    <t>91960</t>
  </si>
  <si>
    <t>Переключатель д/душа LEMEN (картридж) YK07-2 /10/</t>
  </si>
  <si>
    <t>91964</t>
  </si>
  <si>
    <t>Переключатель д/душа LEMEN (картридж) YK07-3 /10/</t>
  </si>
  <si>
    <t>91978</t>
  </si>
  <si>
    <t>Переключатель д/душа LEMEN W07-4 /10/</t>
  </si>
  <si>
    <t>91143</t>
  </si>
  <si>
    <t>Переключатель д/душа LEMEN W07-5 /100/</t>
  </si>
  <si>
    <t>91901</t>
  </si>
  <si>
    <t>Переключатель д/душа LEMEN Y22-1 Д25 /10/</t>
  </si>
  <si>
    <t>90905</t>
  </si>
  <si>
    <t>Шайба Г17-02</t>
  </si>
  <si>
    <t>91992</t>
  </si>
  <si>
    <t>Эксцентрик д/смес. LEMEN W04-1 /10/</t>
  </si>
  <si>
    <t>91913</t>
  </si>
  <si>
    <t>Эксцентрик д/смес. LEMEN W04-3 /10/</t>
  </si>
  <si>
    <t>91918</t>
  </si>
  <si>
    <t>Эксцентрик д/смес. с отраж. экон. 40G пара</t>
  </si>
  <si>
    <t>91969</t>
  </si>
  <si>
    <t>Эксцентрики д/смес. с отраж. LEMEN W04-4 2шт /10/</t>
  </si>
  <si>
    <t>920 Аэраторы для смесителей</t>
  </si>
  <si>
    <t>91659</t>
  </si>
  <si>
    <t>Аэратор д/смесителя 6*2,2 см VL34-189 /12/144/</t>
  </si>
  <si>
    <t>92010</t>
  </si>
  <si>
    <t>Аэратор д/смесителя 6*3,8 см VL34-192 /12/</t>
  </si>
  <si>
    <t>92035</t>
  </si>
  <si>
    <t>Аэратор д/смесителя Accoona внутр. резьба М22 с регулир. расхода воды А464-5</t>
  </si>
  <si>
    <t>92038</t>
  </si>
  <si>
    <t>Аэратор д/смесителя Accoona внутр. резьба М22 старт-стоп д/экономия воды А464-7</t>
  </si>
  <si>
    <t>92031</t>
  </si>
  <si>
    <t>Аэратор д/смесителя Accoona наруж. резьба М24 с регулир. расхода воды А464-4</t>
  </si>
  <si>
    <t>92036</t>
  </si>
  <si>
    <t>Аэратор д/смесителя Accoona наруж. резьба М24 старт-стоп д/экономия воды А464-6</t>
  </si>
  <si>
    <t>92026</t>
  </si>
  <si>
    <t>Аэратор д/смесителя LEMEN W06-2 наружн. резьба /20/</t>
  </si>
  <si>
    <t>91662</t>
  </si>
  <si>
    <t>Аэратор д/смесителя LEMEN W06-3 внут. резьба /20/</t>
  </si>
  <si>
    <t>91604</t>
  </si>
  <si>
    <t>Аэратор д/смесителя PF внутренняя резьба М22*1 /45/</t>
  </si>
  <si>
    <t>92007</t>
  </si>
  <si>
    <t>Аэратор д/смесителя PF наружная резьба М22-1 /20/</t>
  </si>
  <si>
    <t>92022</t>
  </si>
  <si>
    <t>Аэратор д/смесителя внутренняя рузьба латунь 565-099 /20/</t>
  </si>
  <si>
    <t>92049</t>
  </si>
  <si>
    <t>Аэратор д/смесителя внутренняя рузьба мет. для кр. излива</t>
  </si>
  <si>
    <t>92001</t>
  </si>
  <si>
    <t>Аэратор д/смесителя гибкий Polato T48-1 /10/</t>
  </si>
  <si>
    <t>92005</t>
  </si>
  <si>
    <t>Аэратор д/смесителя гибкий Polato T48-2 /100/</t>
  </si>
  <si>
    <t>92016</t>
  </si>
  <si>
    <t>Аэратор д/смесителя для круглого излива мет. пластиковый рассекатель /20/</t>
  </si>
  <si>
    <t>92040</t>
  </si>
  <si>
    <t>Аэратор д/смесителя для круглого излива пластик F02ABS /40/</t>
  </si>
  <si>
    <t>92018</t>
  </si>
  <si>
    <t>Аэратор д/смесителя для плоского излива пластик F01ABS /40/</t>
  </si>
  <si>
    <t>92020</t>
  </si>
  <si>
    <t>Аэратор д/смесителя М24*1 хром мет. 565-454 /20/</t>
  </si>
  <si>
    <t>92000</t>
  </si>
  <si>
    <t>Аэратор д/смесителя на шланге поворотн, нерж. сталь 565-089 /5/50/</t>
  </si>
  <si>
    <t>92050</t>
  </si>
  <si>
    <t>Аэратор д/смесителя наружная рузьба мет. для плоск. излива</t>
  </si>
  <si>
    <t>92012</t>
  </si>
  <si>
    <t>Аэратор д/смесителя насадка поворотная 8206 /10/</t>
  </si>
  <si>
    <t>92023</t>
  </si>
  <si>
    <t>Аэратор д/смесителя насадка поворотная 9205-12 /300/</t>
  </si>
  <si>
    <t>92002</t>
  </si>
  <si>
    <t>Аэратор д/смесителя поворотный с регулировкой давл. эконом. расхода воды 565-071 /5/</t>
  </si>
  <si>
    <t>91663</t>
  </si>
  <si>
    <t>Аэратор д/смесителя светодиодная VL34-190 /12/144/</t>
  </si>
  <si>
    <t>92009</t>
  </si>
  <si>
    <t>Аэратор-удлинитель д/смесителя 14,5*3,3 см VL34-197 /12/</t>
  </si>
  <si>
    <t>920-928 Вентили/Краны и комплектующие</t>
  </si>
  <si>
    <t>921 Краны шаровые STI</t>
  </si>
  <si>
    <t>92129</t>
  </si>
  <si>
    <t>Кран шар.STI 20 фильтр/12/</t>
  </si>
  <si>
    <t>92122</t>
  </si>
  <si>
    <t>Кран шар.STI мини 20 г/г баб.латунь</t>
  </si>
  <si>
    <t>922 Краны шаровые /Обратный клапан</t>
  </si>
  <si>
    <t>92201</t>
  </si>
  <si>
    <t>Воздухоотводчик автоматический AQL 1 левый /20/120/</t>
  </si>
  <si>
    <t>ИЗМ43451</t>
  </si>
  <si>
    <t>Кран AQUATECHNIC 3/4" Г/Г с фильтром бабочка/60/</t>
  </si>
  <si>
    <t>ИЗМ35517</t>
  </si>
  <si>
    <t>Кран AQUATECHNIC 3/4" Г/Ш бабочка/8/80/</t>
  </si>
  <si>
    <t>ИЗМ43453</t>
  </si>
  <si>
    <t>Кран AQUATECHNIC 3/4" Г/Ш с фильтром ручка/10/</t>
  </si>
  <si>
    <t>ИЗМ68275</t>
  </si>
  <si>
    <t>Кран AQUATECHNIC 3/4" Г/Ш угловой ручка /60/</t>
  </si>
  <si>
    <t>ИЗМ64408</t>
  </si>
  <si>
    <t>Кран RR-366C 3/4" американка углов. /10/60/</t>
  </si>
  <si>
    <t>92241</t>
  </si>
  <si>
    <t>Кран шаров.Basic 3/4 г-г американка угловой бабочка /10/</t>
  </si>
  <si>
    <t>92211</t>
  </si>
  <si>
    <t>Кран шаров.Basic 3/4 г-г бабочка /12/</t>
  </si>
  <si>
    <t>92226</t>
  </si>
  <si>
    <t>Кран шаров.Basic 3/4 г-ш бабочка /12/</t>
  </si>
  <si>
    <t>92248</t>
  </si>
  <si>
    <t>Кран шаров.Valtec 3/4 г-г ручка с фильтром /6/</t>
  </si>
  <si>
    <t>92307</t>
  </si>
  <si>
    <t>Кран- блок 1/2 угловой DD122 LUXOR</t>
  </si>
  <si>
    <t>92209</t>
  </si>
  <si>
    <t>Обратный клапан 1/2 латунь AQL /20/200/</t>
  </si>
  <si>
    <t>92212</t>
  </si>
  <si>
    <t>Обратный клапан 1/2 пласт AQL /15/150/</t>
  </si>
  <si>
    <t>92111</t>
  </si>
  <si>
    <t>Обратный клапан с сеткой 1 1/2" /4/40/</t>
  </si>
  <si>
    <t>92112</t>
  </si>
  <si>
    <t>Обратный клапан с сеткой 1 1/4" /6/60/</t>
  </si>
  <si>
    <t>92106</t>
  </si>
  <si>
    <t>Обратный клапан с сеткой 1" /10/80/</t>
  </si>
  <si>
    <t>92113</t>
  </si>
  <si>
    <t>Обратный клапан с сеткой 1/2" /20/120/</t>
  </si>
  <si>
    <t>92114</t>
  </si>
  <si>
    <t>Обратный клапан с сеткой 3/4" /10/80/</t>
  </si>
  <si>
    <t>92830</t>
  </si>
  <si>
    <t>Фланец 32-16 атм.</t>
  </si>
  <si>
    <t>923 Вентили/Вентильные головки</t>
  </si>
  <si>
    <t>92003</t>
  </si>
  <si>
    <t>Вентиль ДУ15 15Б3р 1/2" /25/</t>
  </si>
  <si>
    <t>92025</t>
  </si>
  <si>
    <t>Вентиль ДУ20 15Б3р 3/4" /20/</t>
  </si>
  <si>
    <t>92055</t>
  </si>
  <si>
    <t>Вентиль ДУ32 15Б1П Бологое вода-пар</t>
  </si>
  <si>
    <t>92024</t>
  </si>
  <si>
    <t>Вентиль ДУ40 латунь</t>
  </si>
  <si>
    <t>92300</t>
  </si>
  <si>
    <t>Вентиль ДУ50 запорный Бологое 15Б1П латунь (до  200град.) /10/</t>
  </si>
  <si>
    <t>92060</t>
  </si>
  <si>
    <t>Вентиль угловой 1/2 с накид. гайкой</t>
  </si>
  <si>
    <t>92039</t>
  </si>
  <si>
    <t>Вентиль угловой 1/2 с накид. гайкой SER222</t>
  </si>
  <si>
    <t>92056</t>
  </si>
  <si>
    <t>Вентиль угловой 3/4 с накид. гайкой</t>
  </si>
  <si>
    <t>92028</t>
  </si>
  <si>
    <t>Вентиль чуг.ДУ-32 фланц.15кч 19п</t>
  </si>
  <si>
    <t>92081</t>
  </si>
  <si>
    <t>Вентиль чуг.ДУ-40 15кч 18п Россия</t>
  </si>
  <si>
    <t>92158</t>
  </si>
  <si>
    <t>Вентиль чуг.ДУ-40 фланц.15кч 19п</t>
  </si>
  <si>
    <t>924 Краны AQL</t>
  </si>
  <si>
    <t>92402</t>
  </si>
  <si>
    <t>Кран шаров.AQL 1/2 г-г бабочка /10/120/</t>
  </si>
  <si>
    <t>92422</t>
  </si>
  <si>
    <t>Кран шаров.AQL 1/2 г-г бабочка с косым фильтром /10/100/</t>
  </si>
  <si>
    <t>92207</t>
  </si>
  <si>
    <t>Кран шаров.AQL 1/2 г-г мини хром /20/200/</t>
  </si>
  <si>
    <t>92412</t>
  </si>
  <si>
    <t>Кран шаров.AQL 1/2 г-г ручка /10/120/</t>
  </si>
  <si>
    <t>92413</t>
  </si>
  <si>
    <t>Кран шаров.AQL 1/2 г-г ручка с косым фильтром /10/100/</t>
  </si>
  <si>
    <t>92411</t>
  </si>
  <si>
    <t>Кран шаров.AQL 1/2 г-ш бабочка /10/120/</t>
  </si>
  <si>
    <t>92243</t>
  </si>
  <si>
    <t>Кран шаров.AQL 1/2 г-ш бабочка со сгоном /10/100/</t>
  </si>
  <si>
    <t>92408</t>
  </si>
  <si>
    <t>Кран шаров.AQL 1/2 г-ш бабочка угловой со сгоном /10/100/</t>
  </si>
  <si>
    <t>92227</t>
  </si>
  <si>
    <t>Кран шаров.AQL 1/2 г-ш ручка /10/120/</t>
  </si>
  <si>
    <t>92406</t>
  </si>
  <si>
    <t>Кран шаров.AQL 1/2 г-ш ручка со сгоном /10/100/</t>
  </si>
  <si>
    <t>92404</t>
  </si>
  <si>
    <t>Кран шаров.AQL 1/2 ш-ш бабочка /10/120/</t>
  </si>
  <si>
    <t>92417</t>
  </si>
  <si>
    <t>Кран шаров.AQL 1/2 ш-ш ручка /10/120/</t>
  </si>
  <si>
    <t>92403</t>
  </si>
  <si>
    <t>Кран шаров.AQL 3/4 г-г бабочка /10/</t>
  </si>
  <si>
    <t>92240</t>
  </si>
  <si>
    <t>Кран шаров.AQL 3/4 г-г бабочка с косым фильтром /5/50/</t>
  </si>
  <si>
    <t>92418</t>
  </si>
  <si>
    <t>Кран шаров.AQL 3/4 г-г ручка /10/100/</t>
  </si>
  <si>
    <t>92242</t>
  </si>
  <si>
    <t>Кран шаров.AQL 3/4 г-г ручка с косым фильтром /5/50/</t>
  </si>
  <si>
    <t>92238</t>
  </si>
  <si>
    <t>Кран шаров.AQL 3/4 г-ш бабочка /10/100/</t>
  </si>
  <si>
    <t>92281</t>
  </si>
  <si>
    <t>Кран шаров.AQL 3/4 г-ш бабочка со сгоном /5/60/</t>
  </si>
  <si>
    <t>92247</t>
  </si>
  <si>
    <t>Кран шаров.AQL 3/4 г-ш бабочка угловой со сгоном /6/48/</t>
  </si>
  <si>
    <t>92228</t>
  </si>
  <si>
    <t>Кран шаров.AQL 3/4 г-ш ручка /10/100/</t>
  </si>
  <si>
    <t>92245</t>
  </si>
  <si>
    <t>Кран шаров.AQL 3/4 г-ш ручка со сгоном /5/50/</t>
  </si>
  <si>
    <t>92249</t>
  </si>
  <si>
    <t>Кран шаров.AQL 3/4 г-ш ручка угловой со сгоном /8/48/</t>
  </si>
  <si>
    <t>92400</t>
  </si>
  <si>
    <t>Кран шаров.AQL 3/4 ш-ш ручка /10/100/</t>
  </si>
  <si>
    <t>925 Краны Водоразборные</t>
  </si>
  <si>
    <t>92524</t>
  </si>
  <si>
    <t>Кран водоразборный Fresso кор. изл. 1/2 цинк 554-034 /3/120/</t>
  </si>
  <si>
    <t>92525</t>
  </si>
  <si>
    <t>Кран водоразборный Fresso кор. изл. вентиль 1/2 латунь 554-086 /5/160/</t>
  </si>
  <si>
    <t>92523</t>
  </si>
  <si>
    <t>Кран водоразборный Fresso кор. изл. ручка бел.пласт 1/2 554-088 /5/100/</t>
  </si>
  <si>
    <t>92528</t>
  </si>
  <si>
    <t>Кран водоразборный Fresso кор. изл. с аэратором 1/2 цинк 554-039 /3/120/</t>
  </si>
  <si>
    <t>92527</t>
  </si>
  <si>
    <t>Кран водоразборный Fresso кор. изл. со штуцером 1/2 цинк 554-037 /3/120/</t>
  </si>
  <si>
    <t>92902</t>
  </si>
  <si>
    <t>Кран водоразборный двойной д/см 1/2*3/4 Ремер 250</t>
  </si>
  <si>
    <t>92505</t>
  </si>
  <si>
    <t>Кран водоразборный К05-1</t>
  </si>
  <si>
    <t>92522</t>
  </si>
  <si>
    <t>Кран водоразборный К20 с выход.на носик и для шланга</t>
  </si>
  <si>
    <t>92514</t>
  </si>
  <si>
    <t>Кран водоразборный К35</t>
  </si>
  <si>
    <t>92504</t>
  </si>
  <si>
    <t>Кран водоразборный пласт. 1/2 /20/</t>
  </si>
  <si>
    <t>92520</t>
  </si>
  <si>
    <t>Кран водоразборный пласт. 1/2 крест 8033 /400/</t>
  </si>
  <si>
    <t>92526</t>
  </si>
  <si>
    <t>Кран водоразборный пласт. 1/2 с гайкой и прокладкой</t>
  </si>
  <si>
    <t>92415</t>
  </si>
  <si>
    <t>Кран шаров.AQL 1/2 водоразборный под шланг бабочка /10/100/</t>
  </si>
  <si>
    <t>92416</t>
  </si>
  <si>
    <t>Кран шаров.AQL 1/2 водоразборный под шланг ручка /10/100/</t>
  </si>
  <si>
    <t>92503</t>
  </si>
  <si>
    <t>Кран шаров.AQL 1/2 водоразборный под шланг ручка ЭКО /20/</t>
  </si>
  <si>
    <t>92407</t>
  </si>
  <si>
    <t>Кран шаров.AQL 3/4 водоразборный под шланг бабочка /10/80/</t>
  </si>
  <si>
    <t>92420</t>
  </si>
  <si>
    <t>Кран шаров.AQL 3/4 водоразборный под шланг ручка  /5/40/</t>
  </si>
  <si>
    <t>92513</t>
  </si>
  <si>
    <t>Кран шаров.AQL 3/4 водоразборный под шланг ручка ЭКО /10/</t>
  </si>
  <si>
    <t>92507</t>
  </si>
  <si>
    <t>Кран шаровый под приварку DANFOSS ДУ25 PN40 JIP25WW</t>
  </si>
  <si>
    <t>926 Краны Valfex</t>
  </si>
  <si>
    <t>92601</t>
  </si>
  <si>
    <t>Кран шаров. Valfex Premium 1/2 г-г ручка бабочка лат. ник. 11Б27фт1М /20/80/</t>
  </si>
  <si>
    <t>92618</t>
  </si>
  <si>
    <t>Кран шаров. Valfex Premium 1/2 г-г ручка рычаг лат. ник. 11Б27фт1М /14/56/</t>
  </si>
  <si>
    <t>92619</t>
  </si>
  <si>
    <t>Кран шаров. Valfex Premium 1/2 г-г с накид. гайкой ручка бабочка лат. ник. 11Б27фт1М /14/56/</t>
  </si>
  <si>
    <t>92615</t>
  </si>
  <si>
    <t>Кран шаров. Valfex Premium 1/2 г-г с фильтром ручка бабочка лат. ник. 11Б27фт1М /12/48/</t>
  </si>
  <si>
    <t>92600</t>
  </si>
  <si>
    <t>Кран шаров. Valfex Premium 1/2 г-г угловой с накид. гайкой ручка бабочка лат. ник. 11Б27фт1М /12/48/</t>
  </si>
  <si>
    <t>92613</t>
  </si>
  <si>
    <t>Кран шаров. Valfex Premium 1/2 г-ш с американкой ручка бабочка лат. ник. 11Б27фт1М /14/56/</t>
  </si>
  <si>
    <t>92605</t>
  </si>
  <si>
    <t>Кран шаров. Valfex Premium 1/2 г-ш с американкой угловой ручка бабочка лат. ник. 11Б27фт1М /12/48/</t>
  </si>
  <si>
    <t>92602</t>
  </si>
  <si>
    <t>Кран шаров. Valfex Premium 1/2 ш-ш ручка бабочка лат. ник. 11Б27фт1М /18/72/</t>
  </si>
  <si>
    <t>92611</t>
  </si>
  <si>
    <t>Кран шаров. Valfex Premium 3/4 г-г ручка бабочка лат. ник. 11Б27фт1М /10/40/</t>
  </si>
  <si>
    <t>92610</t>
  </si>
  <si>
    <t>Кран шаров. Valfex Premium 3/4 г-г ручка рычаг лат. ник. 11Б27фт1М /12/48/</t>
  </si>
  <si>
    <t>92620</t>
  </si>
  <si>
    <t>Кран шаров. Valfex Premium 3/4 г-г с накид. гайкой ручка бабочка лат. ник. 11Б27фт1М /10/40/</t>
  </si>
  <si>
    <t>92616</t>
  </si>
  <si>
    <t>Кран шаров. Valfex Premium 3/4 г-ш ручка рычаг лат. ник. 11Б27фт1М /10/40/</t>
  </si>
  <si>
    <t>92614</t>
  </si>
  <si>
    <t>Кран шаров. Valfex Premium 3/4 г-ш с американкой ручка бабочка лат. ник. 11Б27фт1М /10/40/</t>
  </si>
  <si>
    <t>92607</t>
  </si>
  <si>
    <t>Кран шаров. Valfex Premium 3/4 г-ш с американкой угловой ручка бабочка лат. ник. 11Б27фт1М /10/40/</t>
  </si>
  <si>
    <t>92612</t>
  </si>
  <si>
    <t>Кран шаров. Бугатти 3/4 бабочка г-ш 307 /14/</t>
  </si>
  <si>
    <t>927 Краны шаровые GIACOMINI</t>
  </si>
  <si>
    <t>92200</t>
  </si>
  <si>
    <t>Кран шар. GIACOMINI R251D прямой 1 1/4" бабочка г/г /5/</t>
  </si>
  <si>
    <t>92294</t>
  </si>
  <si>
    <t>Кран шар. GIACOMINI R253D прямой 1 1/4" бабочка ш/ш</t>
  </si>
  <si>
    <t>92291</t>
  </si>
  <si>
    <t>Кран шар. GIACOMINI R253DL прямой 1" ручка ш/ш /3/</t>
  </si>
  <si>
    <t>92290</t>
  </si>
  <si>
    <t>Кран шар. GIACOMINI R253DL прямой 3/4" ручка ш/ш /5/</t>
  </si>
  <si>
    <t>92317</t>
  </si>
  <si>
    <t>Кран шар. GIACOMINI полнопроход R781 угл. 3/4" бабочка-желт, г/ш /5/</t>
  </si>
  <si>
    <t>92205</t>
  </si>
  <si>
    <t>Кран шар. GIACOMINI полнопроход R789 американка угл. 3/4*3/4" баб. /5/</t>
  </si>
  <si>
    <t>92210</t>
  </si>
  <si>
    <t>Кран шар. GIACOMINI полнопроход R850 прямой 3/4" ручка г/г</t>
  </si>
  <si>
    <t>92311</t>
  </si>
  <si>
    <t>Кран шар. GIACOMINI полнопроход R911 прямой 1" бабочка г/г /5/</t>
  </si>
  <si>
    <t>92310</t>
  </si>
  <si>
    <t>Кран шар. GIACOMINI полнопроход R911 прямой 3/4" бабочка г/г /5/</t>
  </si>
  <si>
    <t>92314</t>
  </si>
  <si>
    <t>Кран шар. GIACOMINI полнопроход R914 прямой 3/4" бабочка г/ш /5/</t>
  </si>
  <si>
    <t>92273</t>
  </si>
  <si>
    <t>Кран шар. GIACOMINI полнопроход R919 американка пр. 1"*1" баб. /50/</t>
  </si>
  <si>
    <t>928 Фильтры</t>
  </si>
  <si>
    <t>92812</t>
  </si>
  <si>
    <t>Фильтр AQL 1/2 лат г/г /20/</t>
  </si>
  <si>
    <t>92832</t>
  </si>
  <si>
    <t>Фильтр AQL 1/2 лат г/ш /10/</t>
  </si>
  <si>
    <t>92806</t>
  </si>
  <si>
    <t>Фильтр AQL 1/2 лат ш/ш /20/</t>
  </si>
  <si>
    <t>92239</t>
  </si>
  <si>
    <t>Фильтр Y образный с отверстием под пломбу Ду 15  554-132</t>
  </si>
  <si>
    <t>929 Установка стиральных машин</t>
  </si>
  <si>
    <t>92997</t>
  </si>
  <si>
    <t>Вентиль стир.маш. Aqualink 3-ход.1/2г*1/2ш*3/4ш /10/100/</t>
  </si>
  <si>
    <t>92910</t>
  </si>
  <si>
    <t>Врезка ДУ-1/2*1/2*1/2 Valfex /10/</t>
  </si>
  <si>
    <t>92988</t>
  </si>
  <si>
    <t>Врезка ДУ-15*15 Тула</t>
  </si>
  <si>
    <t>92901</t>
  </si>
  <si>
    <t>Врезка ДУ-20*15 Тула</t>
  </si>
  <si>
    <t>92929</t>
  </si>
  <si>
    <t>Заглушка для отвода сифона под стир машину</t>
  </si>
  <si>
    <t>92936</t>
  </si>
  <si>
    <t>Кран стир.маш. 3-ход. шар. 1/2ш*1/2г*3/4ш 554-446 /5/200/</t>
  </si>
  <si>
    <t>92938</t>
  </si>
  <si>
    <t>Кран стир.маш. SER 3/4 3-х ход. Т-тип 3673</t>
  </si>
  <si>
    <t>92250</t>
  </si>
  <si>
    <t>Кран шаров.AQL трехпроходной 1/2*3/4*1/2 г-ш-ш бабочка /10/100/</t>
  </si>
  <si>
    <t>92964</t>
  </si>
  <si>
    <t>Кран шаров.AQL угловой 1/2ш*1/2ш с удлин. резьб. и отражателем /10/100/</t>
  </si>
  <si>
    <t>92994</t>
  </si>
  <si>
    <t>Кран шаров.AQL угловой 1/2ш*3/4ш с обратн. клапан. и отражателем /10/100/</t>
  </si>
  <si>
    <t>92935</t>
  </si>
  <si>
    <t>Кран шаров.AQL угловой 1/2ш*3/4ш с отражателем /10/120/</t>
  </si>
  <si>
    <t>92905</t>
  </si>
  <si>
    <t>Кран шаров.Valfex трехпроходной 3/4*3/4*3/4 г-г-г /6/30/</t>
  </si>
  <si>
    <t>92981</t>
  </si>
  <si>
    <t>Наконечник для сливного шланга ВИР 442 /120/</t>
  </si>
  <si>
    <t>ИЗМ69157</t>
  </si>
  <si>
    <t>Отвод хомут латунный Тула ДУ-20/100/</t>
  </si>
  <si>
    <t>92952</t>
  </si>
  <si>
    <t>Прокладки под ножки Vetta для стиральных машин и холодильников 4шт 416-075 /12/</t>
  </si>
  <si>
    <t>92954</t>
  </si>
  <si>
    <t>Прокладки под ножки Vetta для стиральных машин и холодильников мягкие 4шт 639-010 /6/</t>
  </si>
  <si>
    <t>92904</t>
  </si>
  <si>
    <t>Прокладки под ножки для стиральных машин 4шт 26812 /4/</t>
  </si>
  <si>
    <t>92926</t>
  </si>
  <si>
    <t>Прокладки под ножки для стиральных машин и холодильников бел. Д6 см 4шт МТ76-135 /15/45/</t>
  </si>
  <si>
    <t>92922</t>
  </si>
  <si>
    <t>Прокладки под ножки для стиральных машин и холодильников прозр. 6*6 см 4шт МТ76-34 /15/</t>
  </si>
  <si>
    <t>92925</t>
  </si>
  <si>
    <t>Прокладки под ножки для стиральных машин и холодильников прозр. Д6 см 4шт МТ76-134 /15/</t>
  </si>
  <si>
    <t>92908</t>
  </si>
  <si>
    <t>Прокладки под ножки для стиральных машин и холодильников серые квадрат. 4 шт ПТ76-144 /15/</t>
  </si>
  <si>
    <t>92909</t>
  </si>
  <si>
    <t>Прокладки под ножки для стиральных машин и холодильников черные квадрат. 4 шт ПТ76-145 /15/</t>
  </si>
  <si>
    <t>92907</t>
  </si>
  <si>
    <t>Прокладки под ножки для стиральных машин и холодильников черные кругл. 4 шт ПТ76-142 /15/</t>
  </si>
  <si>
    <t>930-932 Канализация</t>
  </si>
  <si>
    <t>930 Канализация наружная</t>
  </si>
  <si>
    <t>93003</t>
  </si>
  <si>
    <t>Заглушка наружная Д110 /250/</t>
  </si>
  <si>
    <t>93031</t>
  </si>
  <si>
    <t>Крестовина наружная Д110-110-110 45* /14/</t>
  </si>
  <si>
    <t>93041</t>
  </si>
  <si>
    <t>Крестовина наружная Д110-110-110 87,5* /15/</t>
  </si>
  <si>
    <t>93036</t>
  </si>
  <si>
    <t>Муфта наруж Д110 непроходная /60/</t>
  </si>
  <si>
    <t>93282</t>
  </si>
  <si>
    <t>Муфта наруж Д110 проходная /90/</t>
  </si>
  <si>
    <t>93179</t>
  </si>
  <si>
    <t>Обратный клапан Д110 наружн. канализационный</t>
  </si>
  <si>
    <t>93055</t>
  </si>
  <si>
    <t>Отвод наруж Д110 угол 15* /60/</t>
  </si>
  <si>
    <t>93086</t>
  </si>
  <si>
    <t>Отвод наруж Д110 угол 30* /60/</t>
  </si>
  <si>
    <t>93038</t>
  </si>
  <si>
    <t>Отвод наруж Д110 угол 45 /50/</t>
  </si>
  <si>
    <t>93272</t>
  </si>
  <si>
    <t>Отвод наруж Д110 угол 67,5*/45/</t>
  </si>
  <si>
    <t>93039</t>
  </si>
  <si>
    <t>Отвод наруж Д110 угол 87 /35/</t>
  </si>
  <si>
    <t>93001</t>
  </si>
  <si>
    <t>Патрубок наружн. канализация Д110/160 /40/</t>
  </si>
  <si>
    <t>93057</t>
  </si>
  <si>
    <t>Тройник наруж Д110/110 45* РР /18/</t>
  </si>
  <si>
    <t>93087</t>
  </si>
  <si>
    <t>Тройник наруж Д110/110 87,5* /24/</t>
  </si>
  <si>
    <t>93042</t>
  </si>
  <si>
    <t>Труба наружная Д110 0.5м /30/</t>
  </si>
  <si>
    <t>93264</t>
  </si>
  <si>
    <t>Труба наружная Д110 1.0м /10/</t>
  </si>
  <si>
    <t>93013</t>
  </si>
  <si>
    <t>Труба наружная Д110 2.0м /10/</t>
  </si>
  <si>
    <t>93081</t>
  </si>
  <si>
    <t>Труба наружная Д110 3.0м /10/</t>
  </si>
  <si>
    <t>93082</t>
  </si>
  <si>
    <t>Труба наружная Д110 4.0м /10/</t>
  </si>
  <si>
    <t>931 Канализация фитинги</t>
  </si>
  <si>
    <t>93149</t>
  </si>
  <si>
    <t>Вакуумный клапан (аэратор) Д110</t>
  </si>
  <si>
    <t>93155</t>
  </si>
  <si>
    <t>Вакуумный клапан (аэратор) Д50 /25/</t>
  </si>
  <si>
    <t>93164</t>
  </si>
  <si>
    <t>Заглушка Д110 /15/250/</t>
  </si>
  <si>
    <t>93044</t>
  </si>
  <si>
    <t>Заглушка Д32 /120/</t>
  </si>
  <si>
    <t>93113</t>
  </si>
  <si>
    <t>Заглушка Д40 /80/</t>
  </si>
  <si>
    <t>93132</t>
  </si>
  <si>
    <t>Заглушка Д50 /50/1000/</t>
  </si>
  <si>
    <t>93158</t>
  </si>
  <si>
    <t>Зонт вентиляционный Д 110</t>
  </si>
  <si>
    <t>85055</t>
  </si>
  <si>
    <t>Зонт вентиляционный Д 50 РР</t>
  </si>
  <si>
    <t>93136</t>
  </si>
  <si>
    <t>Крепеж Д110 /40/</t>
  </si>
  <si>
    <t>93187</t>
  </si>
  <si>
    <t>Крепеж Д40-42 /50/</t>
  </si>
  <si>
    <t>93135</t>
  </si>
  <si>
    <t>Крепеж Д50 /40/1000/</t>
  </si>
  <si>
    <t>93133</t>
  </si>
  <si>
    <t>Крестовина Д 50-50-50 45* РР /100/</t>
  </si>
  <si>
    <t>93129</t>
  </si>
  <si>
    <t>Крестовина Д 50-50-50 87* /120/</t>
  </si>
  <si>
    <t>85049</t>
  </si>
  <si>
    <t>Крестовина Д110-110-110 45* /14/</t>
  </si>
  <si>
    <t>93151</t>
  </si>
  <si>
    <t>Крестовина Д110-110-110 87,5* /15/</t>
  </si>
  <si>
    <t>93120</t>
  </si>
  <si>
    <t>Крестовина Д110-110-50 87* /16/</t>
  </si>
  <si>
    <t>85056</t>
  </si>
  <si>
    <t>Крестовина Д110-50-50 45* /30/</t>
  </si>
  <si>
    <t>93139</t>
  </si>
  <si>
    <t>Крестовина Д110-50-50 87* /35/</t>
  </si>
  <si>
    <t>93106</t>
  </si>
  <si>
    <t>Крестовина двухплоскостная Д110-110-110 87* /18/</t>
  </si>
  <si>
    <t>93101</t>
  </si>
  <si>
    <t>Крестовина двухплоскостная Д110-110-50 87* лев. /25/</t>
  </si>
  <si>
    <t>93255</t>
  </si>
  <si>
    <t>Крестовина двухплоскостная Д110-110-50 87* прав. /25/</t>
  </si>
  <si>
    <t>93176</t>
  </si>
  <si>
    <t>Муфта Д 32 проходная /30/</t>
  </si>
  <si>
    <t>85081</t>
  </si>
  <si>
    <t>Муфта Д 40 проходная /20/</t>
  </si>
  <si>
    <t>93045</t>
  </si>
  <si>
    <t>Муфта Д 50 гибкая /60/</t>
  </si>
  <si>
    <t>93108</t>
  </si>
  <si>
    <t>Муфта Д 50 непроходная /350/</t>
  </si>
  <si>
    <t>93147</t>
  </si>
  <si>
    <t>Муфта Д 50 проходная /45/</t>
  </si>
  <si>
    <t>93134</t>
  </si>
  <si>
    <t>Муфта Д110 непроходная /60/</t>
  </si>
  <si>
    <t>93144</t>
  </si>
  <si>
    <t>Муфта Д110 проходная /60/</t>
  </si>
  <si>
    <t>93167</t>
  </si>
  <si>
    <t>Обратный клапан Д110 канализационный /2/</t>
  </si>
  <si>
    <t>93180</t>
  </si>
  <si>
    <t>Отвод Д 32 угол 45* /30/300/</t>
  </si>
  <si>
    <t>93182</t>
  </si>
  <si>
    <t>Отвод Д 32 угол 87,5* /30/300/</t>
  </si>
  <si>
    <t>93142</t>
  </si>
  <si>
    <t>Отвод Д 40 угол 45* /20/420/</t>
  </si>
  <si>
    <t>93107</t>
  </si>
  <si>
    <t>Отвод Д 40 угол 87,5* /15/330/</t>
  </si>
  <si>
    <t>93085</t>
  </si>
  <si>
    <t>Отвод Д 50 поворотный универсальный /250/</t>
  </si>
  <si>
    <t>85128</t>
  </si>
  <si>
    <t>Отвод Д 50 угол 15* /350/</t>
  </si>
  <si>
    <t>93130</t>
  </si>
  <si>
    <t>Отвод Д 50 угол 30* /350/</t>
  </si>
  <si>
    <t>93152</t>
  </si>
  <si>
    <t>Отвод Д 50 угол 45* /260/</t>
  </si>
  <si>
    <t>93111</t>
  </si>
  <si>
    <t>Отвод Д 50 угол 67,5* /300/</t>
  </si>
  <si>
    <t>93105</t>
  </si>
  <si>
    <t>Отвод Д 50 угол 87,5* /220/</t>
  </si>
  <si>
    <t>93195</t>
  </si>
  <si>
    <t>Отвод Д110 45*с выходом на Д50 Л /30/</t>
  </si>
  <si>
    <t>93166</t>
  </si>
  <si>
    <t>Отвод Д110 45*с выходом на Д50 лев.+прав. /30/</t>
  </si>
  <si>
    <t>93002</t>
  </si>
  <si>
    <t>Отвод Д110 45*с выходом на Д50 ПР /50/</t>
  </si>
  <si>
    <t>93040</t>
  </si>
  <si>
    <t>Отвод Д110 поворотный универсальный /30/</t>
  </si>
  <si>
    <t>93100</t>
  </si>
  <si>
    <t>Отвод Д110 с выходом на Д50 Л /30/</t>
  </si>
  <si>
    <t>93192</t>
  </si>
  <si>
    <t>Отвод Д110 с выходом на Д50 лев.+прав. /25/</t>
  </si>
  <si>
    <t>93242</t>
  </si>
  <si>
    <t>Отвод Д110 с выходом на Д50 Прав. /30/</t>
  </si>
  <si>
    <t>93245</t>
  </si>
  <si>
    <t>Отвод Д110 с выходом на Д50 прямой-тыл /30/</t>
  </si>
  <si>
    <t>93145</t>
  </si>
  <si>
    <t>Отвод Д110 с выходом на Д50 фронтальный-вверх /30/</t>
  </si>
  <si>
    <t>93178</t>
  </si>
  <si>
    <t>Отвод Д110 угол 15* /60/</t>
  </si>
  <si>
    <t>93115</t>
  </si>
  <si>
    <t>Отвод Д110 угол 30* /60/</t>
  </si>
  <si>
    <t>93110</t>
  </si>
  <si>
    <t>Отвод Д110 угол 45* /50/</t>
  </si>
  <si>
    <t>93165</t>
  </si>
  <si>
    <t>Отвод Д110 угол 67,5* /45/</t>
  </si>
  <si>
    <t>93177</t>
  </si>
  <si>
    <t>Отвод Д110 угол 87,5* /34/</t>
  </si>
  <si>
    <t>93193</t>
  </si>
  <si>
    <t>Патрубок Д 32-40 перех. эксц. /20/400/</t>
  </si>
  <si>
    <t>93194</t>
  </si>
  <si>
    <t>Патрубок Д 32-50 перех. эксц. /20/400/</t>
  </si>
  <si>
    <t>93046</t>
  </si>
  <si>
    <t>Патрубок Д 50 гофр. гибкий 30 см /25/</t>
  </si>
  <si>
    <t>93156</t>
  </si>
  <si>
    <t>Патрубок Д 50 гофр. гибкий 40 см /25/</t>
  </si>
  <si>
    <t>93119</t>
  </si>
  <si>
    <t>Патрубок Д 50 компенсацинный /150/</t>
  </si>
  <si>
    <t>93154</t>
  </si>
  <si>
    <t>Патрубок Д 50-40 перех. эксцентр. /15/360/</t>
  </si>
  <si>
    <t>93181</t>
  </si>
  <si>
    <t>Патрубок Д 50-75 переход на чугун соостный с манжетой /200/</t>
  </si>
  <si>
    <t>93127</t>
  </si>
  <si>
    <t>Патрубок Д110 компенсац /35/</t>
  </si>
  <si>
    <t>93199</t>
  </si>
  <si>
    <t>Патрубок Д110-124 перех. на чугун без манжеты /60/</t>
  </si>
  <si>
    <t>93168</t>
  </si>
  <si>
    <t>Патрубок Д110-124 перех. на чугун с манжетой /60/</t>
  </si>
  <si>
    <t>93009</t>
  </si>
  <si>
    <t>Патрубок Д110-50 3-40* ругулируемый /140/</t>
  </si>
  <si>
    <t>93128</t>
  </si>
  <si>
    <t>Патрубок Д110-50 перех. эксцентр. /130/</t>
  </si>
  <si>
    <t>93185</t>
  </si>
  <si>
    <t>Патрубок Д110-75 перех. эксцентр. /165/</t>
  </si>
  <si>
    <t>93010</t>
  </si>
  <si>
    <t>Патрубок Д75-50 перех. эксцентр. короткий /400/</t>
  </si>
  <si>
    <t>93112</t>
  </si>
  <si>
    <t>Ревизия Д110/РР /25/</t>
  </si>
  <si>
    <t>93171</t>
  </si>
  <si>
    <t>Ревизия Д50 /180/</t>
  </si>
  <si>
    <t>93183</t>
  </si>
  <si>
    <t>Сифон Д110 45* /10/</t>
  </si>
  <si>
    <t>93240</t>
  </si>
  <si>
    <t>Тройник Д 32/32 45* /15/120/</t>
  </si>
  <si>
    <t>93197</t>
  </si>
  <si>
    <t>Тройник Д 32/32 87,5* /15/120/</t>
  </si>
  <si>
    <t>93150</t>
  </si>
  <si>
    <t>Тройник Д 40/40 45* /8/200/</t>
  </si>
  <si>
    <t>93157</t>
  </si>
  <si>
    <t>Тройник Д 40/40 87,5* /10/190/</t>
  </si>
  <si>
    <t>93114</t>
  </si>
  <si>
    <t>Тройник Д 50/40 45* /7/140/</t>
  </si>
  <si>
    <t>93118</t>
  </si>
  <si>
    <t>Тройник Д 50/40 87,5* /140/</t>
  </si>
  <si>
    <t>93122</t>
  </si>
  <si>
    <t>Тройник Д 50/50 45* /140/</t>
  </si>
  <si>
    <t>93153</t>
  </si>
  <si>
    <t>Тройник Д 50/50 87,5* /170/</t>
  </si>
  <si>
    <t>93169</t>
  </si>
  <si>
    <t>Тройник Д110/110 45* /18/</t>
  </si>
  <si>
    <t>93186</t>
  </si>
  <si>
    <t>Тройник Д110/110 87,5* /24/</t>
  </si>
  <si>
    <t>93137</t>
  </si>
  <si>
    <t>Тройник Д110/50 45* /50/</t>
  </si>
  <si>
    <t>93174</t>
  </si>
  <si>
    <t>Тройник Д110/50 87* /40/</t>
  </si>
  <si>
    <t>93006</t>
  </si>
  <si>
    <t>Тройник регулируемый Д 110/110 53-81* /15/</t>
  </si>
  <si>
    <t>93005</t>
  </si>
  <si>
    <t>Тройник регулируемый Д 110/50 45-88* /35/</t>
  </si>
  <si>
    <t>93004</t>
  </si>
  <si>
    <t>Тройник регулируемый Д 50/50 45-88* /130/</t>
  </si>
  <si>
    <t>932 Канализационные трубы</t>
  </si>
  <si>
    <t>93239</t>
  </si>
  <si>
    <t>Труба Д 32*1,8 0.15 м /500/</t>
  </si>
  <si>
    <t>93191</t>
  </si>
  <si>
    <t>Труба Д 32*1,8 0.25 м /340/</t>
  </si>
  <si>
    <t>93198</t>
  </si>
  <si>
    <t>Труба Д 32*1,8 0.5 м /210/</t>
  </si>
  <si>
    <t>93189</t>
  </si>
  <si>
    <t>Труба Д 32*1,8 0.75 м /6/</t>
  </si>
  <si>
    <t>93217</t>
  </si>
  <si>
    <t>Труба Д 32*1,8 1.0 м /6/</t>
  </si>
  <si>
    <t>93234</t>
  </si>
  <si>
    <t>Труба Д 32*1,8 1.5 м /6/</t>
  </si>
  <si>
    <t>93235</t>
  </si>
  <si>
    <t>Труба Д 32*1,8 2.0 м /6/</t>
  </si>
  <si>
    <t>93007</t>
  </si>
  <si>
    <t>Труба Д 32*1,8 3.0 м /6/</t>
  </si>
  <si>
    <t>93162</t>
  </si>
  <si>
    <t>Труба Д 40*1,8 0.15 м /300/</t>
  </si>
  <si>
    <t>93148</t>
  </si>
  <si>
    <t>Труба Д 40*1,8 0.25 м /200/</t>
  </si>
  <si>
    <t>93141</t>
  </si>
  <si>
    <t>Труба Д 40*1,8 0.5 м /120/</t>
  </si>
  <si>
    <t>93104</t>
  </si>
  <si>
    <t>Труба Д 40*1,8 0.75 м /6/</t>
  </si>
  <si>
    <t>93143</t>
  </si>
  <si>
    <t>Труба Д 40*1,8 1.0 м /6/</t>
  </si>
  <si>
    <t>93257</t>
  </si>
  <si>
    <t>Труба Д 40*1,8 1.5 м /6/</t>
  </si>
  <si>
    <t>93188</t>
  </si>
  <si>
    <t>Труба Д 40*1,8 2.0 м /6/</t>
  </si>
  <si>
    <t>93227</t>
  </si>
  <si>
    <t>Труба Д 40*1,8 3.0 м /6/</t>
  </si>
  <si>
    <t>93223</t>
  </si>
  <si>
    <t>Труба Д 50*1,5 Оптима 0.15 м /80/</t>
  </si>
  <si>
    <t>93207</t>
  </si>
  <si>
    <t>Труба Д 50*1,5 Оптима 0.25 м /80/</t>
  </si>
  <si>
    <t>90101</t>
  </si>
  <si>
    <t>Труба Д 50*1,5 Оптима 0.5 м /80/</t>
  </si>
  <si>
    <t>93209</t>
  </si>
  <si>
    <t>Труба Д 50*1,5 Оптима 0.75 м /10/</t>
  </si>
  <si>
    <t>93210</t>
  </si>
  <si>
    <t>Труба Д 50*1,5 Оптима 1,5 м /10/</t>
  </si>
  <si>
    <t>93229</t>
  </si>
  <si>
    <t>Труба Д 50*1,5 Оптима 1.0 м /10/</t>
  </si>
  <si>
    <t>93218</t>
  </si>
  <si>
    <t>Труба Д 50*1,5 Оптима 2.0 м /10/</t>
  </si>
  <si>
    <t>93214</t>
  </si>
  <si>
    <t>Труба Д 50*1,5 Оптима 3.0 м /10/</t>
  </si>
  <si>
    <t>93173</t>
  </si>
  <si>
    <t>Труба Д 50*1,8 0.15 м /180/</t>
  </si>
  <si>
    <t>93243</t>
  </si>
  <si>
    <t>Труба Д 50*1,8 0.25 м /150/</t>
  </si>
  <si>
    <t>93140</t>
  </si>
  <si>
    <t>Труба Д 50*1,8 0.5 м /80/</t>
  </si>
  <si>
    <t>93103</t>
  </si>
  <si>
    <t>Труба Д 50*1,8 0.75 м /10/</t>
  </si>
  <si>
    <t>93146</t>
  </si>
  <si>
    <t>Труба Д 50*1,8 1.0 м /10/</t>
  </si>
  <si>
    <t>93190</t>
  </si>
  <si>
    <t>Труба Д 50*1,8 1.5 м /10/</t>
  </si>
  <si>
    <t>93161</t>
  </si>
  <si>
    <t>Труба Д 50*1,8 2.0 м /10/</t>
  </si>
  <si>
    <t>93200</t>
  </si>
  <si>
    <t>Труба Д 50*1,8 3.0 м /10/</t>
  </si>
  <si>
    <t>93212</t>
  </si>
  <si>
    <t>Труба Д110*2,2 Оптима 0.15 м /60/</t>
  </si>
  <si>
    <t>93230</t>
  </si>
  <si>
    <t>Труба Д110*2,2 Оптима 0.25 м /50/</t>
  </si>
  <si>
    <t>93211</t>
  </si>
  <si>
    <t>Труба Д110*2,2 Оптима 0.5 м /30/</t>
  </si>
  <si>
    <t>93220</t>
  </si>
  <si>
    <t>Труба Д110*2,2 Оптима 0.75 м /20/</t>
  </si>
  <si>
    <t>93208</t>
  </si>
  <si>
    <t>Труба Д110*2,2 Оптима 1.0 м /10/</t>
  </si>
  <si>
    <t>93213</t>
  </si>
  <si>
    <t>Труба Д110*2,2 Оптима 1.5 м /10/</t>
  </si>
  <si>
    <t>93237</t>
  </si>
  <si>
    <t>Труба Д110*2,2 Оптима 2.0 м /10/</t>
  </si>
  <si>
    <t>93238</t>
  </si>
  <si>
    <t>Труба Д110*2,2 Оптима 3.0 м /10/</t>
  </si>
  <si>
    <t>93126</t>
  </si>
  <si>
    <t>Труба Д110*2,7 0.15 м /60/</t>
  </si>
  <si>
    <t>93184</t>
  </si>
  <si>
    <t>Труба Д110*2,7 0.25 м /50/</t>
  </si>
  <si>
    <t>93163</t>
  </si>
  <si>
    <t>Труба Д110*2,7 0.5 м /30/</t>
  </si>
  <si>
    <t>93123</t>
  </si>
  <si>
    <t>Труба Д110*2,7 0.75 м /20/</t>
  </si>
  <si>
    <t>93159</t>
  </si>
  <si>
    <t>Труба Д110*2,7 1.0 м /10/</t>
  </si>
  <si>
    <t>93138</t>
  </si>
  <si>
    <t>Труба Д110*2,7 1.5 м /10/</t>
  </si>
  <si>
    <t>93160</t>
  </si>
  <si>
    <t>Труба Д110*2,7 2.0 м /10/</t>
  </si>
  <si>
    <t>93196</t>
  </si>
  <si>
    <t>Труба Д110*2,7 3.0 м /10/</t>
  </si>
  <si>
    <t>93241</t>
  </si>
  <si>
    <t>Труба Д75*1,9 0.5 м /10/</t>
  </si>
  <si>
    <t>933 Коврики/решотки для раковины</t>
  </si>
  <si>
    <t>93305</t>
  </si>
  <si>
    <t>Коврик д/раковины 29*26 см DH38-12 /6/</t>
  </si>
  <si>
    <t>93339</t>
  </si>
  <si>
    <t>Коврик д/раковины 29*29 см МГ76-116 /5/</t>
  </si>
  <si>
    <t>97779</t>
  </si>
  <si>
    <t>Коврик д/раковины 30*26 см Цветы 3 цв. 462-297 /12/</t>
  </si>
  <si>
    <t>93306</t>
  </si>
  <si>
    <t>Коврик д/раковины 31*24 см VL38-14 /6/</t>
  </si>
  <si>
    <t>93338</t>
  </si>
  <si>
    <t>Коврик д/раковины Д28 см МГ76-115 /5/</t>
  </si>
  <si>
    <t>93307</t>
  </si>
  <si>
    <t>Коврик д/раковины Д28 см Паутинка круг. VL38-72 /12/</t>
  </si>
  <si>
    <t>93314</t>
  </si>
  <si>
    <t>Коврик д/раковины Д28 см ПВХ 411-022 /5/</t>
  </si>
  <si>
    <t>93310</t>
  </si>
  <si>
    <t>Коврик д/раковины Д28 см Яркий 403-090 /6/</t>
  </si>
  <si>
    <t>93313</t>
  </si>
  <si>
    <t>Коврик д/раковины Д29 см Ажурный МГ76-57 /5/</t>
  </si>
  <si>
    <t>93308</t>
  </si>
  <si>
    <t>Коврик д/раковины Д29 см Кружево круг. VL38-73 /12/</t>
  </si>
  <si>
    <t>93337</t>
  </si>
  <si>
    <t>Коврик д/раковины Д30 см круг YJ38-11 /8/</t>
  </si>
  <si>
    <t>93329</t>
  </si>
  <si>
    <t>Коврик д/раковины круглая с яблоками 462-090 /12/</t>
  </si>
  <si>
    <t>93327</t>
  </si>
  <si>
    <t>Коврик д/раковины противоск. 27*27 см Кругляш 444-177 /12/</t>
  </si>
  <si>
    <t>70609</t>
  </si>
  <si>
    <t>Коврик д/раковины противоск. 31*26 см Камни 462-299 /12/</t>
  </si>
  <si>
    <t>70612</t>
  </si>
  <si>
    <t>Коврик д/раковины противоск. Д29 см Паутинка 4 цв 411-010 /12/</t>
  </si>
  <si>
    <t>70611</t>
  </si>
  <si>
    <t>Коврик д/раковины противоск. Д29 см ПВХ 411-014 /10/</t>
  </si>
  <si>
    <t>81637</t>
  </si>
  <si>
    <t>Решетка для раковины Альтернатива Весна М6043 /25/</t>
  </si>
  <si>
    <t>93316</t>
  </si>
  <si>
    <t>Решетка для раковины Полимербыт Д290 мм С113 /20/</t>
  </si>
  <si>
    <t>93315</t>
  </si>
  <si>
    <t>Решетка для раковины Полимербыт С214 /55/</t>
  </si>
  <si>
    <t>93318</t>
  </si>
  <si>
    <t>Решетка для раковины Полимербыт универсальная С114 /50/</t>
  </si>
  <si>
    <t>93319</t>
  </si>
  <si>
    <t>Решетка для раковины Полимербыт универсальная С216 /50/</t>
  </si>
  <si>
    <t>934 Комплектующие для санфаянса</t>
  </si>
  <si>
    <t>93431</t>
  </si>
  <si>
    <t>Гофра верхнего слива с раструбом 3650 /30/</t>
  </si>
  <si>
    <t>93455</t>
  </si>
  <si>
    <t>Гофра верхнего слива черная б/раструба 3651</t>
  </si>
  <si>
    <t>93447</t>
  </si>
  <si>
    <t>Заглушка д/бачка металлик.</t>
  </si>
  <si>
    <t>93443</t>
  </si>
  <si>
    <t>Заглушка д/тюльпана хром</t>
  </si>
  <si>
    <t>93412</t>
  </si>
  <si>
    <t>Крепление "костыль" RR755 /200/</t>
  </si>
  <si>
    <t>48859</t>
  </si>
  <si>
    <t>Крепление "костыль" для водонагрев. и бойлеров 8-85 /200/</t>
  </si>
  <si>
    <t>48872</t>
  </si>
  <si>
    <t>Крепление "костыль" для водонагрев. и бойлеров стандарт 10*90 /200/</t>
  </si>
  <si>
    <t>93419</t>
  </si>
  <si>
    <t>Крепление д/раковины улуч. шпилька /150/</t>
  </si>
  <si>
    <t>93549</t>
  </si>
  <si>
    <t>Крепление д/тюльпана оцинк. 3565</t>
  </si>
  <si>
    <t>93462</t>
  </si>
  <si>
    <t>Крепление д/унитаза к полу хром 2248</t>
  </si>
  <si>
    <t>93464</t>
  </si>
  <si>
    <t>Крепление д/унитаза к полу Элит-золото 2240</t>
  </si>
  <si>
    <t>93465</t>
  </si>
  <si>
    <t>Крепление д/унитаза к полу Элит-хром 1599</t>
  </si>
  <si>
    <t>93435</t>
  </si>
  <si>
    <t>Крепление д/унитаза оцинкованное 3570 /50/</t>
  </si>
  <si>
    <t>93403</t>
  </si>
  <si>
    <t>Крепление д/унитаза Эконом 3566 /100/</t>
  </si>
  <si>
    <t>91307</t>
  </si>
  <si>
    <t>Кронштейн д/кол. горизон. слива</t>
  </si>
  <si>
    <t>93473</t>
  </si>
  <si>
    <t>Кронштейн д/умыв. 24 см полипропилен (пара) 0716</t>
  </si>
  <si>
    <t>93446</t>
  </si>
  <si>
    <t>Облицовка перелива хром</t>
  </si>
  <si>
    <t>93453</t>
  </si>
  <si>
    <t>Поплавок сантехнический для клапана впуска</t>
  </si>
  <si>
    <t>93404</t>
  </si>
  <si>
    <t>Фильтр для раковины 411-034 /60/</t>
  </si>
  <si>
    <t>93433</t>
  </si>
  <si>
    <t>Фильтр для раковины Vetta 2,5*11(6,5) см силикон, пластик 411-030 /6/</t>
  </si>
  <si>
    <t>48905</t>
  </si>
  <si>
    <t>Фильтр для раковины Альтернатива Ромашка М1225 /50/</t>
  </si>
  <si>
    <t>93495</t>
  </si>
  <si>
    <t>Фильтр для раковины Д7 см J34-125 /15/</t>
  </si>
  <si>
    <t>93407</t>
  </si>
  <si>
    <t>Фильтр для раковины Д7 см Н1,2 см VL34-36 /12/</t>
  </si>
  <si>
    <t>93448</t>
  </si>
  <si>
    <t>Фильтр для раковины Д9 см Н1,7 см VL34-37 /12/</t>
  </si>
  <si>
    <t>93405</t>
  </si>
  <si>
    <t>Фильтр для раковины ЕН Ромашка 9,5см 15694 /48/</t>
  </si>
  <si>
    <t>93411</t>
  </si>
  <si>
    <t>Фильтр для раковины М226 /50/</t>
  </si>
  <si>
    <t>93424</t>
  </si>
  <si>
    <t>Фильтр для раковины Пастель VL34-177 /12/</t>
  </si>
  <si>
    <t>93496</t>
  </si>
  <si>
    <t>Фильтр для раковины Сфера Д11 см МГ76-63 /10/</t>
  </si>
  <si>
    <t>93402</t>
  </si>
  <si>
    <t>Фильтр-сетка для ванны улавливатель волос Пастель VL34-130 /12/</t>
  </si>
  <si>
    <t>93438</t>
  </si>
  <si>
    <t>Фильтр-сетка для ванны улавливатель волос Цветок VL34-132 /12/</t>
  </si>
  <si>
    <t>93467</t>
  </si>
  <si>
    <t>Фильтр-сетка для ванны улавливатель для волос Д5,5 см VL34-98 /12/</t>
  </si>
  <si>
    <t>93461</t>
  </si>
  <si>
    <t>Фильтр-сетка для раковины + пробка 889-038 /12/</t>
  </si>
  <si>
    <t>93445</t>
  </si>
  <si>
    <t>Фильтр-сетка для раковины 2 шт 6см 7,4см BAW6154H 889-036 /12/</t>
  </si>
  <si>
    <t>93406</t>
  </si>
  <si>
    <t>Фильтр-сетка для раковины 2 шт 6см 8см BDF6076-K 889-045 /10/</t>
  </si>
  <si>
    <t>93425</t>
  </si>
  <si>
    <t>Фильтр-сетка для раковины 889-412 /50/</t>
  </si>
  <si>
    <t>93400</t>
  </si>
  <si>
    <t>Фильтр-сетка для раковины RR 696 /1000/</t>
  </si>
  <si>
    <t>93460</t>
  </si>
  <si>
    <t>Фильтр-сетка для раковины Д6 см 4140 /6000/</t>
  </si>
  <si>
    <t>935 Хомуты</t>
  </si>
  <si>
    <t>93520</t>
  </si>
  <si>
    <t>Хомут Norma нерж.сталь, винт 60-80мм /50/</t>
  </si>
  <si>
    <t>93534</t>
  </si>
  <si>
    <t>Хомут Norma нерж.сталь, винт 80-100мм /50/</t>
  </si>
  <si>
    <t>93568</t>
  </si>
  <si>
    <t>Хомут TITAN нерж.сталь, винт 16-25мм /100/</t>
  </si>
  <si>
    <t>93519</t>
  </si>
  <si>
    <t>Хомут TITAN нерж.сталь, винт 16-27мм /100/</t>
  </si>
  <si>
    <t>93502</t>
  </si>
  <si>
    <t>Хомут TITAN нерж.сталь, винт 170-190мм /50/</t>
  </si>
  <si>
    <t>93526</t>
  </si>
  <si>
    <t>Хомут TITAN нерж.сталь, винт 38-76мм /50/</t>
  </si>
  <si>
    <t>93521</t>
  </si>
  <si>
    <t>Хомут TITAN нерж.сталь, винт 60-80мм /50/</t>
  </si>
  <si>
    <t>93522</t>
  </si>
  <si>
    <t>Хомут TITAN нерж.сталь, винт 70-90мм /50/</t>
  </si>
  <si>
    <t>93523</t>
  </si>
  <si>
    <t>Хомут TITAN нерж.сталь, винт 80-100мм /50/</t>
  </si>
  <si>
    <t>93531</t>
  </si>
  <si>
    <t>Хомут TITAN нерж.сталь, винт-барашек 30-45мм /80/</t>
  </si>
  <si>
    <t>93518</t>
  </si>
  <si>
    <t>Хомут для трубы 1 1/2" (40-45) комплект /120/</t>
  </si>
  <si>
    <t>93593</t>
  </si>
  <si>
    <t>Хомут для трубы 1 1/4  (38-43) комплект /140/</t>
  </si>
  <si>
    <t>93508</t>
  </si>
  <si>
    <t>Хомут для трубы 1" (31-38 ;32-36) комплект /120/</t>
  </si>
  <si>
    <t>93511</t>
  </si>
  <si>
    <t>Хомут для трубы 1/2" (20-24) комплект /230/</t>
  </si>
  <si>
    <t>93515</t>
  </si>
  <si>
    <t>Хомут для трубы 2 1/2" (73-80) комплект /100/</t>
  </si>
  <si>
    <t>93517</t>
  </si>
  <si>
    <t>Хомут для трубы 2" (58-64)</t>
  </si>
  <si>
    <t>93541</t>
  </si>
  <si>
    <t>Хомут для трубы 3" (87-94) комплект /75/</t>
  </si>
  <si>
    <t>93512</t>
  </si>
  <si>
    <t>Хомут для трубы 3/4 RR642 без прокладки /200/</t>
  </si>
  <si>
    <t>93514</t>
  </si>
  <si>
    <t>Хомут для трубы 3/4"(25-29) комплект /100/</t>
  </si>
  <si>
    <t>93543</t>
  </si>
  <si>
    <t>Хомут для трубы 4" (106-111) комплект /60/</t>
  </si>
  <si>
    <t>93583</t>
  </si>
  <si>
    <t>Хомут ремонтный 1/2" /10/</t>
  </si>
  <si>
    <t>93584</t>
  </si>
  <si>
    <t>Хомут ремонтный 3/4" /100/</t>
  </si>
  <si>
    <t>5521</t>
  </si>
  <si>
    <t>Хомут силовой стальной "NORMA" 130-140</t>
  </si>
  <si>
    <t>936 Прокладки упаковкой</t>
  </si>
  <si>
    <t>93658</t>
  </si>
  <si>
    <t>Затвор для керам. кран-буксы 50 пар /6000/</t>
  </si>
  <si>
    <t>93678</t>
  </si>
  <si>
    <t>Затвор для керам. кран-буксы с рез. вставкой 50шт (Самара) /4000/</t>
  </si>
  <si>
    <t>93617</t>
  </si>
  <si>
    <t>Прокладка Ани М020* на сифон плоская под гайку 1 1/4" 10 шт /3/</t>
  </si>
  <si>
    <t>93507</t>
  </si>
  <si>
    <t>Прокладка Ани М022* на сифон плоская под гайку 1 1/2" 10шт /3/</t>
  </si>
  <si>
    <t>93641</t>
  </si>
  <si>
    <t>Прокладка Ани М025* коническая 25мм 10шт /3/</t>
  </si>
  <si>
    <t>93609</t>
  </si>
  <si>
    <t>Прокладка Ани М032* коническая 32мм 10 шт /3/</t>
  </si>
  <si>
    <t>93621</t>
  </si>
  <si>
    <t>Прокладка Ани М040* коническая 40мм 10шт /3/</t>
  </si>
  <si>
    <t>93657</t>
  </si>
  <si>
    <t>Прокладка Ани М065* плоская под горлов. 65*48*2мм 10шт /3/</t>
  </si>
  <si>
    <t>93625</t>
  </si>
  <si>
    <t>Прокладка Ани М085* ребристая под горловину 3 1/2 10шт /3/</t>
  </si>
  <si>
    <t>93692</t>
  </si>
  <si>
    <t>Прокладка Ани М090* на сифон 1 1/2*40 10 шт /3/</t>
  </si>
  <si>
    <t>93688</t>
  </si>
  <si>
    <t>Прокладка Ани М095* на сифон Грот 10 шт /3/</t>
  </si>
  <si>
    <t>93887</t>
  </si>
  <si>
    <t>Прокладка д/излива Полумесяц (Импорт) 20*14*3 100шт</t>
  </si>
  <si>
    <t>93684</t>
  </si>
  <si>
    <t>Прокладка д/излива Полумесяц (отеч) 18*12*3 100шт</t>
  </si>
  <si>
    <t>93790</t>
  </si>
  <si>
    <t>Прокладка д/кран-букс Таблетка резинов. имп. 100шт</t>
  </si>
  <si>
    <t>93633</t>
  </si>
  <si>
    <t>Прокладка д/кран-букс Таблетка резинов. отеч. 100шт</t>
  </si>
  <si>
    <t>93602</t>
  </si>
  <si>
    <t>Прокладка д/кран-букс Таблетка резинов. отеч. 50 шт</t>
  </si>
  <si>
    <t>93674</t>
  </si>
  <si>
    <t>Прокладка д/кран-букс Таблетка силикон. имп. 100шт</t>
  </si>
  <si>
    <t>93616</t>
  </si>
  <si>
    <t>Прокладка д/кран-букс Таблетка силикон. отеч. 100шт</t>
  </si>
  <si>
    <t>93603</t>
  </si>
  <si>
    <t>Прокладка паранитовая 1 1/2 54*42 радиаторная 100шт</t>
  </si>
  <si>
    <t>93604</t>
  </si>
  <si>
    <t>Прокладка паранитовая 1 1/4 100шт</t>
  </si>
  <si>
    <t>91525</t>
  </si>
  <si>
    <t>Прокладка паранитовая 1" 100шт</t>
  </si>
  <si>
    <t>93636</t>
  </si>
  <si>
    <t>Прокладка паранитовая 1/2 100шт</t>
  </si>
  <si>
    <t>93618</t>
  </si>
  <si>
    <t>Прокладка паранитовая 3/4 100шт</t>
  </si>
  <si>
    <t>93610</t>
  </si>
  <si>
    <t>Прокладка резина 1 1/2" 100шт</t>
  </si>
  <si>
    <t>93623</t>
  </si>
  <si>
    <t>Прокладка резина 1 1/4" для алюминиев. радиаторы 100шт</t>
  </si>
  <si>
    <t>93640</t>
  </si>
  <si>
    <t>Прокладка резина 1" 100шт</t>
  </si>
  <si>
    <t>93601</t>
  </si>
  <si>
    <t>Прокладка резина 1/2" 100шт 0509</t>
  </si>
  <si>
    <t>93614</t>
  </si>
  <si>
    <t>Прокладка резина 1/2" с нержавеющей сеткой 100шт 4047</t>
  </si>
  <si>
    <t>93660</t>
  </si>
  <si>
    <t>Прокладка резина 3/4" 100шт 0508</t>
  </si>
  <si>
    <t>93622</t>
  </si>
  <si>
    <t>Прокладка резина 3/4" с нержавеющей сеткой 100шт 4048</t>
  </si>
  <si>
    <t>93627</t>
  </si>
  <si>
    <t>Прокладка резина 3/8" 100шт</t>
  </si>
  <si>
    <t>93619</t>
  </si>
  <si>
    <t>Прокладка силикон 1" 100шт 7780</t>
  </si>
  <si>
    <t>93642</t>
  </si>
  <si>
    <t>Прокладка силикон 1"1/4* 100шт 778078</t>
  </si>
  <si>
    <t>93711</t>
  </si>
  <si>
    <t>Прокладка силикон 1/2* 100шт 7779</t>
  </si>
  <si>
    <t>93653</t>
  </si>
  <si>
    <t>Прокладка силикон 3/4 100шт 7778</t>
  </si>
  <si>
    <t>93638</t>
  </si>
  <si>
    <t>Прокладка фторопласт 1" 100шт</t>
  </si>
  <si>
    <t>93632</t>
  </si>
  <si>
    <t>Прокладка фторопласт 1/2 100шт</t>
  </si>
  <si>
    <t>93607</t>
  </si>
  <si>
    <t>Прокладка фторопласт 3/4 100шт</t>
  </si>
  <si>
    <t>93686</t>
  </si>
  <si>
    <t>Прокладка-кольцо Д06 50шт /20/</t>
  </si>
  <si>
    <t>93665</t>
  </si>
  <si>
    <t>Прокладка-кольцо Д08 50шт</t>
  </si>
  <si>
    <t>93615</t>
  </si>
  <si>
    <t>Прокладка-кольцо Д12 рус. излив. 50шт /20/</t>
  </si>
  <si>
    <t>93606</t>
  </si>
  <si>
    <t>Прокладка-кольцо Д14 имп. излив. 100шт /20/</t>
  </si>
  <si>
    <t>93628</t>
  </si>
  <si>
    <t>Прокладка-кольцо Д14 имп. излив. 50шт</t>
  </si>
  <si>
    <t>93639</t>
  </si>
  <si>
    <t>Прокладка-кольцо на м/п фитинг д-16 100 шт</t>
  </si>
  <si>
    <t>937 Мойки</t>
  </si>
  <si>
    <t>93712</t>
  </si>
  <si>
    <t>Мойка нержавеющ.Турция 50*40 0,4мм /25/</t>
  </si>
  <si>
    <t>93728</t>
  </si>
  <si>
    <t>Мойка нержавеющ.Турция 50*50 0,4мм 5002 /20/</t>
  </si>
  <si>
    <t>93750</t>
  </si>
  <si>
    <t>Мойка нержавеющ.Турция 50*60 0,4мм 5003</t>
  </si>
  <si>
    <t>93723</t>
  </si>
  <si>
    <t>Мойка нержавеющ.Турция 50*60 0,4мм левая /20/</t>
  </si>
  <si>
    <t>93713</t>
  </si>
  <si>
    <t>Мойка нержавеющ.Турция 50*60 0,4мм правая</t>
  </si>
  <si>
    <t>93767</t>
  </si>
  <si>
    <t>Мойка нержавеющ.Турция 50*80 0,4мм левая /20/</t>
  </si>
  <si>
    <t>93708</t>
  </si>
  <si>
    <t>Мойка нержавеющ.Турция 50*80 0,4мм правая</t>
  </si>
  <si>
    <t>93775</t>
  </si>
  <si>
    <t>Мойка нержавеющ.Турция 60*60 0,4мм левая /20/</t>
  </si>
  <si>
    <t>93760</t>
  </si>
  <si>
    <t>Мойка нержавеющ.Турция 60*60 0,4мм правая /20/</t>
  </si>
  <si>
    <t>93702</t>
  </si>
  <si>
    <t>Мойка нержавеющ.Турция 60*80 0,4мм правая /20/</t>
  </si>
  <si>
    <t>93706</t>
  </si>
  <si>
    <t>Мойка нержавеющ.Турция D49 врезная круглая 0,6 мм /20/</t>
  </si>
  <si>
    <t>93749</t>
  </si>
  <si>
    <t>Мойка пластмассовая 1551 40*50 /15/</t>
  </si>
  <si>
    <t>938 Сварочные аппараты для ПП труб</t>
  </si>
  <si>
    <t>93822</t>
  </si>
  <si>
    <t>Сварочный аппарат д/PPR Aqualink 20-32мм 500 Вт А-04 /10/</t>
  </si>
  <si>
    <t>93819</t>
  </si>
  <si>
    <t>Сварочный аппарат д/PPR Aqualink 20-32мм 600 Вт А-03 /10/</t>
  </si>
  <si>
    <t>93802</t>
  </si>
  <si>
    <t>Сварочный аппарат д/PPR Aqualink 20-32мм 800 Вт /10/</t>
  </si>
  <si>
    <t>91172</t>
  </si>
  <si>
    <t>Сварочный аппарат д/PPR Denzel DWP-750, 750Вт, 4насад, до 300град.,20-40мм/94203</t>
  </si>
  <si>
    <t>91149</t>
  </si>
  <si>
    <t>Сварочный аппарат д/PPR WELDER GI-KC110 2000Вт 3 нас.</t>
  </si>
  <si>
    <t>61118</t>
  </si>
  <si>
    <t>Сварочный аппарат д/PPR WESTER DWM 1000, 800Вт, 6 насадок</t>
  </si>
  <si>
    <t>91154</t>
  </si>
  <si>
    <t>Сварочный аппарат д/PPR ДИОЛД АСПТ-1, 800Вт</t>
  </si>
  <si>
    <t>939-948 Смесители</t>
  </si>
  <si>
    <t>939 Смесители прочие</t>
  </si>
  <si>
    <t>93935</t>
  </si>
  <si>
    <t>Водонагреватель эл. проточный Atlanta ATH-7422 3000 Вт инд. /8/</t>
  </si>
  <si>
    <t>94117</t>
  </si>
  <si>
    <t>Водонагреватель эл. проточный Lemen LA9803 /10/</t>
  </si>
  <si>
    <t>94820</t>
  </si>
  <si>
    <t>Смеситель Frap тюльпан кр. бук 1/2 кер, изл. кор., шпилька, ручка вентельн. F1026</t>
  </si>
  <si>
    <t>94105</t>
  </si>
  <si>
    <t>Смеситель Fresso д/м D35 изл. кор. низ., гайка, ручка рычаг 553-056 /12/</t>
  </si>
  <si>
    <t>94119</t>
  </si>
  <si>
    <t>Смеситель Klabb д/м D40 изл. кор. повор., шпилька, ручка рычаг 566-048 /10/</t>
  </si>
  <si>
    <t>94122</t>
  </si>
  <si>
    <t>Смеситель Klabb тюльпан кр. бук. 1/2 кер., изл. кор., шпилька, ручка вентельн. 566-386 /10/</t>
  </si>
  <si>
    <t>94853</t>
  </si>
  <si>
    <t>Смеситель LEDEME тюльпан изл. кор., гайка, ручка рычаг L1082</t>
  </si>
  <si>
    <t>93903</t>
  </si>
  <si>
    <t>Смеситель Аркон д/биде изл. кор., шпилька, ручка крестообр. ДС-71-008</t>
  </si>
  <si>
    <t>93905</t>
  </si>
  <si>
    <t>Смеситель Аркон д/в кр. бук. кер., изл. кор., ручка крестообр. ДС-31-008</t>
  </si>
  <si>
    <t>93985</t>
  </si>
  <si>
    <t>Смеситель Аркон тюльпан D40 изл кор. высок., гайка, ручка рычаг КС-12-004</t>
  </si>
  <si>
    <t>93954</t>
  </si>
  <si>
    <t>Смеситель Аркон тюльпан D40 изл. корт., гайка, ручка рычаг КС-11-005</t>
  </si>
  <si>
    <t>93943</t>
  </si>
  <si>
    <t>Смеситель Аркон тюльпан кр. бук кер., изл. кор., шпилька, ручка вентельн. ДС-11-003</t>
  </si>
  <si>
    <t>93987</t>
  </si>
  <si>
    <t>Смеситель Аркон тюльпан КС-12-005</t>
  </si>
  <si>
    <t>93944</t>
  </si>
  <si>
    <t>Смеситель д/м SAS D40 изл. дл. низ., ручка рычаг 1105(H607) 2513</t>
  </si>
  <si>
    <t>93957</t>
  </si>
  <si>
    <t>Смеситель д/м SAS D40 изл. дл. низ., ручка рычаг 1105(H730) 2515</t>
  </si>
  <si>
    <t>93927</t>
  </si>
  <si>
    <t>Смеситель д/м SAS кр. бук. 1/2 кер., изл. кор. высок., ручка крестообр. 7005-1(Н506) GROSS роз 2558</t>
  </si>
  <si>
    <t>93970</t>
  </si>
  <si>
    <t>Смеситель д/м кр. бук. 1/2 изл. кор. высок., гайка, ручка крестообр., пласт. бел. 554-110 /5/50/</t>
  </si>
  <si>
    <t>94247</t>
  </si>
  <si>
    <t>Смеситель Казань д/м кр. бук 1/2 кер., изл. кор. высок., гайка, ручка вентельн. 733 Елочка /20/</t>
  </si>
  <si>
    <t>94222</t>
  </si>
  <si>
    <t>Смеситель Казань д/м кр. бук. 1/2, изл. кор. высок., гайка, ручка вентельн. КСМ-53 /20/</t>
  </si>
  <si>
    <t>94854</t>
  </si>
  <si>
    <t>Смеситель Матрикс тюльпан D40 изл. кор., ручка рычаг 37160</t>
  </si>
  <si>
    <t>93967</t>
  </si>
  <si>
    <t>Смеситель СоюзКран д/в D35 изл. дл. кр., ручка рычаг 566-383 /2/10/</t>
  </si>
  <si>
    <t>93900</t>
  </si>
  <si>
    <t>Смеситель СоюзКран д/в D35 изл. дл. пл., ручка рычаг 567-020 /10/</t>
  </si>
  <si>
    <t>94140</t>
  </si>
  <si>
    <t>Смеситель СоюзКран д/в D35 изл. дл. пр., ручка рычаг 553-065 /10/</t>
  </si>
  <si>
    <t>93933</t>
  </si>
  <si>
    <t>Смеситель СоюзКран д/в D35 изл. дл. пр., ручка рычаг 567-084 /10/</t>
  </si>
  <si>
    <t>93922</t>
  </si>
  <si>
    <t>Смеситель СоюзКран д/в D35 изл. дл. пр., ручка рычаг 567-100 /10/</t>
  </si>
  <si>
    <t>93923</t>
  </si>
  <si>
    <t>Смеситель СоюзКран д/в D35 изл. дл. пр., ручка рычаг 567-101 /10/</t>
  </si>
  <si>
    <t>93971</t>
  </si>
  <si>
    <t>Смеситель СоюзКран д/в D35 изл. дл. пр., ручка рычаг 567-108 /10/</t>
  </si>
  <si>
    <t>93990</t>
  </si>
  <si>
    <t>Смеситель СоюзКран д/в D35 изл. дл. пр., ручка рычаг черный 567-039 /10/</t>
  </si>
  <si>
    <t>93926</t>
  </si>
  <si>
    <t>Смеситель СоюзКран д/в D35 изл. дл. пр., ручка рычаг черный 567-104 /10/</t>
  </si>
  <si>
    <t>93984</t>
  </si>
  <si>
    <t>Смеситель СоюзКран д/в D35 изл. дл. пр., ручка рычаг, с душем, белый 567-118 /10/</t>
  </si>
  <si>
    <t>93929</t>
  </si>
  <si>
    <t>Смеситель СоюзКран д/в D35 изл. кор., ручка рычаг 567-082 /10/</t>
  </si>
  <si>
    <t>93946</t>
  </si>
  <si>
    <t>Смеситель СоюзКран д/в D35 изл. кор., ручка рычаг 567-095 /12/</t>
  </si>
  <si>
    <t>93998</t>
  </si>
  <si>
    <t>Смеситель СоюзКран д/в D35 изл. кор., ручка рычаг 567-102 /10/</t>
  </si>
  <si>
    <t>93977</t>
  </si>
  <si>
    <t>Смеситель СоюзКран д/в D35 изл. кор., ручка рычаг, с душем, белый 567-119 /10/</t>
  </si>
  <si>
    <t>93913</t>
  </si>
  <si>
    <t>Смеситель СоюзКран д/в D40 изл. дл. пл., ручка рычаг 566-169 /10/</t>
  </si>
  <si>
    <t>93917</t>
  </si>
  <si>
    <t>Смеситель СоюзКран д/в D40 изл. дл. пл., ручка рычаг 566-392 /10/</t>
  </si>
  <si>
    <t>93911</t>
  </si>
  <si>
    <t>Смеситель СоюзКран д/в D40 изл. дл. пл., ручка рычаг 567-028 /10/</t>
  </si>
  <si>
    <t>93912</t>
  </si>
  <si>
    <t>Смеситель СоюзКран д/в D40 изл. дл. пл., ручка рычаг 567-029 /10/</t>
  </si>
  <si>
    <t>93952</t>
  </si>
  <si>
    <t>Смеситель СоюзКран д/в D40 изл. дл. пр., ручка рычаг 567-094 /8/</t>
  </si>
  <si>
    <t>93918</t>
  </si>
  <si>
    <t>Смеситель СоюзКран д/в D40 изл. дл. пр., ручка рычаг 567-099 /10/</t>
  </si>
  <si>
    <t>93945</t>
  </si>
  <si>
    <t>Смеситель СоюзКран д/в кр. бук. 1/2 кер., изл. дл. кр., ручка вентельн. 566-234 /10/</t>
  </si>
  <si>
    <t>93904</t>
  </si>
  <si>
    <t>Смеситель СоюзКран д/в кр. бук. 1/2 кер., изл. дл. кр., ручка вентельн. 567-046 /10/</t>
  </si>
  <si>
    <t>93982</t>
  </si>
  <si>
    <t>Смеситель СоюзКран д/в кр. бук. 1/2 кер., изл. дл. кр., ручка вентельн. 567-129 /10/</t>
  </si>
  <si>
    <t>93989</t>
  </si>
  <si>
    <t>Смеситель СоюзКран д/в кр. бук. 1/2 кер., изл. дл. кр., ручка вентельн. 567-130 /10/</t>
  </si>
  <si>
    <t>93920</t>
  </si>
  <si>
    <t>Смеситель СоюзКран д/в кр. бук. 1/2 кер., изл. дл. кр., ручка крестообр. 566-236 /2/10/</t>
  </si>
  <si>
    <t>93965</t>
  </si>
  <si>
    <t>Смеситель СоюзКран д/в кр. бук. 1/2 кер., изл. дл. пр., ручка крестообр. 567-002 /10/</t>
  </si>
  <si>
    <t>93963</t>
  </si>
  <si>
    <t>Смеситель СоюзКран д/в кр. бук. 1/2 кер., изл. дл. пр., ручка крестообр. 567-107 /10/</t>
  </si>
  <si>
    <t>93955</t>
  </si>
  <si>
    <t>Смеситель СоюзКран д/д D35 эксцентр., ручка рычаг, настен. 567-096 /12/</t>
  </si>
  <si>
    <t>93931</t>
  </si>
  <si>
    <t>Смеситель СоюзКран д/д D40 эксцентр., ручка рычаг, настен. 567-106 /10/</t>
  </si>
  <si>
    <t>93907</t>
  </si>
  <si>
    <t>Смеситель СоюзКран д/м D35 изл. гибк. высок., гайка, ручка рычаг 567-090 /10/</t>
  </si>
  <si>
    <t>93942</t>
  </si>
  <si>
    <t>Смеситель СоюзКран д/м D35 изл. гибк. высок., гайка, ручка рычаг 567-109 /10/</t>
  </si>
  <si>
    <t>93995</t>
  </si>
  <si>
    <t>Смеситель СоюзКран д/м D35 изл. гибк. высок., гайка, ручка рычаг серый 567-139 /10/</t>
  </si>
  <si>
    <t>93993</t>
  </si>
  <si>
    <t>Смеситель СоюзКран д/м D35 изл. гибк. высок., гайка, ручка рычаг черный 567-138 /10/</t>
  </si>
  <si>
    <t>93979</t>
  </si>
  <si>
    <t>Смеситель СоюзКран д/м D35 изл. гибк. высок., гайка, ручка рычаг, графит 567-126 /10/</t>
  </si>
  <si>
    <t>93958</t>
  </si>
  <si>
    <t>Смеситель СоюзКран д/м D35 изл. дл. выдвиж. шпилька, ручка рычаг 567-054 /10/</t>
  </si>
  <si>
    <t>93915</t>
  </si>
  <si>
    <t>Смеситель СоюзКран д/м D35 изл. дл. выдвиж., гайка, ручка рычаг 567-093 /10/</t>
  </si>
  <si>
    <t>93980</t>
  </si>
  <si>
    <t>Смеситель СоюзКран д/м D35 изл. дл. выдвиж., гайка, ручка рычаг, графит 567-127 /10/</t>
  </si>
  <si>
    <t>93991</t>
  </si>
  <si>
    <t>Смеситель СоюзКран д/м D35 изл. дл. выдвиж., шпилька, ручка рычаг 567-135 /10/</t>
  </si>
  <si>
    <t>93999</t>
  </si>
  <si>
    <t>Смеситель СоюзКран д/м D35 изл. дл. высок., гайка, ручка рычаг графит 567-125 /10/</t>
  </si>
  <si>
    <t>93908</t>
  </si>
  <si>
    <t>Смеситель СоюзКран д/м D35 изл. дл. повор., гайка, ручка рычаг 567-091 /10/</t>
  </si>
  <si>
    <t>93910</t>
  </si>
  <si>
    <t>Смеситель СоюзКран д/м D35 изл. дл. повор., гайка, ручка рычаг 567-092 /10/</t>
  </si>
  <si>
    <t>93974</t>
  </si>
  <si>
    <t>Смеситель СоюзКран д/м D35 изл. кор. высок., гайка, ручка рычаг, с фильтром 567-110 /10/</t>
  </si>
  <si>
    <t>93948</t>
  </si>
  <si>
    <t>Смеситель СоюзКран д/м D35 изл. кор. высок., шпилька, ручка рычаг 567-050 /10/</t>
  </si>
  <si>
    <t>93956</t>
  </si>
  <si>
    <t>Смеситель СоюзКран д/м D35 изл. кор. высок., шпилька, ручка рычаг 567-056 /10/</t>
  </si>
  <si>
    <t>93950</t>
  </si>
  <si>
    <t>Смеситель СоюзКран д/м D35 изл. кор. высок., шпилька, ручка рычаг 567-075 /10/</t>
  </si>
  <si>
    <t>93953</t>
  </si>
  <si>
    <t>Смеситель СоюзКран д/м D35 изл. кор. низ., шпилька, ручка рычаг 567-051 /10/</t>
  </si>
  <si>
    <t>93947</t>
  </si>
  <si>
    <t>Смеситель СоюзКран д/м D35 изл. кор. низ., шпилька, ручка рычаг 567-062 /10/</t>
  </si>
  <si>
    <t>93996</t>
  </si>
  <si>
    <t>Смеситель СоюзКран д/м D35 изл. кор. повор., гайка, ручка рычаг 567-140 /10/</t>
  </si>
  <si>
    <t>93925</t>
  </si>
  <si>
    <t>Смеситель СоюзКран д/м D35 изл. кор. повор., шпилька, ручка рычаг 567-061 /10/</t>
  </si>
  <si>
    <t>93983</t>
  </si>
  <si>
    <t>Смеситель СоюзКран д/м D35 изл. кор. повор., шпилька, ручка рычаг 567-112 /10/</t>
  </si>
  <si>
    <t>93997</t>
  </si>
  <si>
    <t>Смеситель СоюзКран д/м D35 изл. кор. повор., шпилька, ручка рычаг 567-141 /10/</t>
  </si>
  <si>
    <t>93949</t>
  </si>
  <si>
    <t>Смеситель СоюзКран д/м D35 изл. повор. силикон., шпилька, ручка рычаг серый 567-114 /10/</t>
  </si>
  <si>
    <t>93973</t>
  </si>
  <si>
    <t>Смеситель СоюзКран д/м D35 ручка рычаг хром цинк 567-087 /10/</t>
  </si>
  <si>
    <t>93939</t>
  </si>
  <si>
    <t>Смеситель СоюзКран д/м D40 изл. гибк. высок., гайка, ручка рычаг 566-388 /10/</t>
  </si>
  <si>
    <t>93988</t>
  </si>
  <si>
    <t>Смеситель СоюзКран д/м D40 изл. гибк. высок., гайка, ручка рычаг черный 567-113 /10/</t>
  </si>
  <si>
    <t>93966</t>
  </si>
  <si>
    <t>Смеситель СоюзКран д/м D40 изл. гибк. высок., шпилька, ручка рычаг 567-079 /10/</t>
  </si>
  <si>
    <t>94137</t>
  </si>
  <si>
    <t>Смеситель СоюзКран д/м D40 изл. кор. высок., гайка, ручка рычаг 566-389 /10/</t>
  </si>
  <si>
    <t>93968</t>
  </si>
  <si>
    <t>Смеситель СоюзКран д/м D40 изл. кор. высок., шпилька, ручка рычаг 566-390 /10/</t>
  </si>
  <si>
    <t>93934</t>
  </si>
  <si>
    <t>Смеситель СоюзКран д/м D40 изл. кор. низ., гайка, ручка рычаг 567-097 /10/</t>
  </si>
  <si>
    <t>94114</t>
  </si>
  <si>
    <t>Смеситель СоюзКран д/м D40 изл. кор. низ., шпилька, ручка рычаг 566-005 /10/</t>
  </si>
  <si>
    <t>93914</t>
  </si>
  <si>
    <t>Смеситель СоюзКран д/м D40 изл. кор. низ., шпилька, ручка рычаг 567-058 /10/</t>
  </si>
  <si>
    <t>94134</t>
  </si>
  <si>
    <t>Смеситель СоюзКран д/м D40 изл. кор. повор., шпилька, ручка рычаг 566-170 /10/</t>
  </si>
  <si>
    <t>94121</t>
  </si>
  <si>
    <t>Смеситель СоюзКран д/м D40 изл. кор., шпилька, ручка рычаг 566-168 /10/</t>
  </si>
  <si>
    <t>93972</t>
  </si>
  <si>
    <t>Смеситель СоюзКран д/м D40 изл. поворотн. ручка рычаг 566-385 /10/</t>
  </si>
  <si>
    <t>93932</t>
  </si>
  <si>
    <t>Смеситель СоюзКран д/м кр. бук. 1/2 кер, изл. кор. повор. шпилька, ручка крестообр. беж.567-111 /20/</t>
  </si>
  <si>
    <t>93951</t>
  </si>
  <si>
    <t>Смеситель СоюзКран д/м кр. бук. 1/2 кер., изл. гибк. высок., гайка, ручка крестооб. 567-131 /10/</t>
  </si>
  <si>
    <t>93978</t>
  </si>
  <si>
    <t>Смеситель СоюзКран д/м кр. бук. 1/2 кер., изл. гибк. высок., шпилька, ручка вентельн. 567-123 /10/</t>
  </si>
  <si>
    <t>93986</t>
  </si>
  <si>
    <t>Смеситель СоюзКран д/м кр. бук. 1/2 кер., изл. гибк. высок., шпилька, ручка крестооб. 567-117 /20/</t>
  </si>
  <si>
    <t>93992</t>
  </si>
  <si>
    <t>Смеситель СоюзКран д/м кр. бук. 1/2 кер., изл. кор. высок., шпилька, ручка вентельн. 566-010 /10/</t>
  </si>
  <si>
    <t>93962</t>
  </si>
  <si>
    <t>Смеситель СоюзКран д/м кр. бук. 1/2 кер., изл. кор. кр., ручка крестообр., настен. 567-064 /20/</t>
  </si>
  <si>
    <t>93959</t>
  </si>
  <si>
    <t>Смеситель СоюзКран д/м кр. бук. 1/2 кер., изл. кор. повор., гайка, ручка вентельн. 567-071 /10/</t>
  </si>
  <si>
    <t>93975</t>
  </si>
  <si>
    <t>Смеситель СоюзКран д/м кр. бук. 1/2 кер., изл. кор. повор., шпилька, ручка вентельн. 567-115 /10/</t>
  </si>
  <si>
    <t>93960</t>
  </si>
  <si>
    <t>Смеситель СоюзКран д/м кр. бук. 1/2 кер., изл. кор. повор., шпилька, ручка крестобр. 567-063 /5/10/</t>
  </si>
  <si>
    <t>93994</t>
  </si>
  <si>
    <t>Смеситель СоюзКран д/м кр. бук. 1/2 кер., изл. кор. повор., шпилька, ручка крестообр. 566-057 /20/</t>
  </si>
  <si>
    <t>94118</t>
  </si>
  <si>
    <t>Смеситель СоюзКран д/м кр. бук. 1/2 кер., изл. кор. повор., шпилька, ручка крестообр. 566-391 /10/</t>
  </si>
  <si>
    <t>93964</t>
  </si>
  <si>
    <t>Смеситель СоюзКран д/м кр. бук. 3/8 кер., изл. кор., шпилька, ручка вентельн. 567-065 /10/</t>
  </si>
  <si>
    <t>93937</t>
  </si>
  <si>
    <t>Смеситель СоюзКран д/м кр. бук. 3/8 кер., изл. кор., шпилька, ручка вентельн. 567-068 /10/</t>
  </si>
  <si>
    <t>93936</t>
  </si>
  <si>
    <t>Смеситель СоюзКран моно кр. бук. 1/2 кер., изл. дл., гайка, ручка вентельн., моно 567-048 /10/20/</t>
  </si>
  <si>
    <t>93938</t>
  </si>
  <si>
    <t>Смеситель СоюзКран тюльпан D35 изл. кор., гайка, ручка рычаг 567-098 /10/</t>
  </si>
  <si>
    <t>93930</t>
  </si>
  <si>
    <t>Смеситель СоюзКран тюльпан D35 изл. кор., гайка, ручка рычаг черный 567-105 /10/</t>
  </si>
  <si>
    <t>93928</t>
  </si>
  <si>
    <t>Смеситель СоюзКран тюльпан D35 изл. кор., шпилька, ручка рычаг 567-018 /10/</t>
  </si>
  <si>
    <t>93906</t>
  </si>
  <si>
    <t>Смеситель СоюзКран тюльпан D35 изл. кор., шпилька, ручка рычаг 567-081 /10/</t>
  </si>
  <si>
    <t>93981</t>
  </si>
  <si>
    <t>Смеситель СоюзКран тюльпан D35 изл. кор., шпилька, ручка рычаг 567-128 /10/</t>
  </si>
  <si>
    <t>93941</t>
  </si>
  <si>
    <t>Смеситель СоюзКран тюльпан D40 изл. кор., шпилька, ручка рычаг 566-087 /10/</t>
  </si>
  <si>
    <t>94164</t>
  </si>
  <si>
    <t>Смеситель СоюзКран тюльпан D40 изл. кор., шпилька, ручка рычаг 566-323 /10/</t>
  </si>
  <si>
    <t>93976</t>
  </si>
  <si>
    <t>Смеситель СоюзКран тюльпан кр. бук. 1/2 кер.,  изл. кор., шпилька, ручка крестообр. 567-116 /10/</t>
  </si>
  <si>
    <t>94370</t>
  </si>
  <si>
    <t>Смеситель Тула д/м СМ-18М Даймонд керамика</t>
  </si>
  <si>
    <t>940 Смесители Rain</t>
  </si>
  <si>
    <t>94037</t>
  </si>
  <si>
    <t>Смеситель Rain Авантюрин д/в D35 изл. дл. пр., ручка рычаг 561-312 /10/</t>
  </si>
  <si>
    <t>94021</t>
  </si>
  <si>
    <t>Смеситель Rain Аквамарин д/м D35 изл. высок. выдвиж. гайка ручка рычаг 561-289 /5/</t>
  </si>
  <si>
    <t>94023</t>
  </si>
  <si>
    <t>Смеситель Rain Аквамарин д/м D35 изл. высок. выдвиж., гайка, ручка рычаг, сатин 561-291 /5/</t>
  </si>
  <si>
    <t>94022</t>
  </si>
  <si>
    <t>Смеситель Rain Аквамарин д/м D35 изл. высок. выдвиж., гайка, ручка рычаг, хром 561-290 /5/</t>
  </si>
  <si>
    <t>94020</t>
  </si>
  <si>
    <t>Смеситель Rain Аквамарин д/м D35 изл. гибк., гайка, ручка рычаг 561-288 /5/</t>
  </si>
  <si>
    <t>94026</t>
  </si>
  <si>
    <t>Смеситель Rain Аквамарин д/м D35 изл. дл. высок., гайка, ручка рычаг, с фильтром 561-292 /5/</t>
  </si>
  <si>
    <t>94041</t>
  </si>
  <si>
    <t>Смеситель Rain Алия д/в кр. бук. 1/2 кер., изл. кор., ручка крестообр. 561-277 /10/</t>
  </si>
  <si>
    <t>94628</t>
  </si>
  <si>
    <t>Смеситель Rain Алмаз д/в D35 изл. дл. пр., ручка рычаг 561-250 /10/</t>
  </si>
  <si>
    <t>94607</t>
  </si>
  <si>
    <t>Смеситель Rain Алмаз д/в D35 изл. кор., ручка рычаг 561-249 /10/</t>
  </si>
  <si>
    <t>94004</t>
  </si>
  <si>
    <t>Смеситель Rain Алмаз д/м D35 изл. дл. высок., гайка, ручка рычаг, белый 561-251 /10/</t>
  </si>
  <si>
    <t>94048</t>
  </si>
  <si>
    <t>Смеситель Rain Алмаз д/м D35 изл. кор. высок., гайка, ручка рычаг 561-323 /10/</t>
  </si>
  <si>
    <t>94054</t>
  </si>
  <si>
    <t>Смеситель Rain Алмаз д/м D35 изл. кор. высок., гайка, ручка рычаг, черный 561-322 /10/</t>
  </si>
  <si>
    <t>94095</t>
  </si>
  <si>
    <t>Смеситель Rain Алмаз д/м D35 изл. кор. низ., гайка, ручка рычаг 561-252 /10/</t>
  </si>
  <si>
    <t>94008</t>
  </si>
  <si>
    <t>Смеситель Rain Алмаз тюльпан D35 изл. кор., гайка, ручка рычаг 561-271 /10/</t>
  </si>
  <si>
    <t>94014</t>
  </si>
  <si>
    <t>Смеситель Rain Атриа д/в D40 изл. дл. пл., ручка рычаг 561-278 /10/</t>
  </si>
  <si>
    <t>94024</t>
  </si>
  <si>
    <t>Смеситель Rain Атриа д/м D35 изл. кор. высок., гайка, ручка рычаг 561-280 /10/</t>
  </si>
  <si>
    <t>94025</t>
  </si>
  <si>
    <t>Смеситель Rain Вега д/м D40 изл. низ. выдвиж., гайка, ручка рычаг 561-281 /10/</t>
  </si>
  <si>
    <t>94009</t>
  </si>
  <si>
    <t>Смеситель Rain Венера д/в кр. бук.1/2 кер.изл. дл.ручка крестообр. 561-279 /10/</t>
  </si>
  <si>
    <t>94016</t>
  </si>
  <si>
    <t>Смеситель Rain Венера д/м кр. бук. 1/2 кер. изл. кор. высок. шпилька, ручка крестообр. 561-286 /10/</t>
  </si>
  <si>
    <t>94051</t>
  </si>
  <si>
    <t>Смеситель Rain Веста д/м D35 изл. кор. высок. шпилька ручка рычаг черный 561-283 /10/</t>
  </si>
  <si>
    <t>94049</t>
  </si>
  <si>
    <t>Смеситель Rain Веста д/м D35 изл. кор. высок., шпилька, ручка рычаг, белый 561-282 /10/</t>
  </si>
  <si>
    <t>94029</t>
  </si>
  <si>
    <t>Смеситель Rain Гранат д/в D35 изл. дл. пр., ручка рычаг 561-306 /10/</t>
  </si>
  <si>
    <t>94064</t>
  </si>
  <si>
    <t>Смеситель Rain Гранат д/в D35 изл. дл. пр., ручка рычаг 561-331 /10/</t>
  </si>
  <si>
    <t>94019</t>
  </si>
  <si>
    <t>Смеситель Rain Гранат д/в D35 изл. кор., ручка рычаг 561-317 /10/</t>
  </si>
  <si>
    <t>94040</t>
  </si>
  <si>
    <t>Смеситель Rain Гранат д/м D35 изл. дл. пл., гайка, ручка рычаг 561-315 /10/</t>
  </si>
  <si>
    <t>94060</t>
  </si>
  <si>
    <t>Смеситель Rain Гранат д/м D35 изл. кор. низ., шпилька, ручка рычаг 561-328 /10/</t>
  </si>
  <si>
    <t>94046</t>
  </si>
  <si>
    <t>Смеситель Rain Гранат тюльпан D35 изл. кор., гайка, ручка рычаг 561-319 /10/</t>
  </si>
  <si>
    <t>94050</t>
  </si>
  <si>
    <t>Смеситель Rain Гранат тюльпан D35 изл. кор., шпилька, ручка рычаг 561-324 /10/</t>
  </si>
  <si>
    <t>94668</t>
  </si>
  <si>
    <t>Смеситель Rain д/в 501-03 короткий литой нос керам.1/2 561-214 /12/</t>
  </si>
  <si>
    <t>94614</t>
  </si>
  <si>
    <t>Смеситель Rain д/м D40 4000 Г-обр с бок ручк. 561-069 /10/</t>
  </si>
  <si>
    <t>94633</t>
  </si>
  <si>
    <t>Смеситель Rain д/м кр. бук. 1/2 кер. 1039 Gold хром 561-198 /10/</t>
  </si>
  <si>
    <t>94030</t>
  </si>
  <si>
    <t>Смеситель Rain д/м кр. бук. 1/2 кер. 506-03 561-483 /12/</t>
  </si>
  <si>
    <t>94006</t>
  </si>
  <si>
    <t>Смеситель Rain Кварц д/в кр. бук. 1/2 кер. изл. дл. кр.ручка вентельн. 561-262 /10/</t>
  </si>
  <si>
    <t>94056</t>
  </si>
  <si>
    <t>Смеситель Rain Кварц д/м кр. бук. 1/2 кер. изл. кор. высок., гайка, ручка вентельн. 561-326 /10/</t>
  </si>
  <si>
    <t>94059</t>
  </si>
  <si>
    <t>Смеситель Rain Кварц д/м кр. бук. 1/2 кер. изл. кор. высок., гайка, ручка вентельн. 561-327 /10/</t>
  </si>
  <si>
    <t>94641</t>
  </si>
  <si>
    <t>Смеситель Rain Коралл д/в D40 изл. дл. пл., ручка рычаг 561-263 /10/</t>
  </si>
  <si>
    <t>94034</t>
  </si>
  <si>
    <t>Смеситель Rain Кремний д/в D35 изл. дл. пр., ручка рычаг 561-309 /10/</t>
  </si>
  <si>
    <t>94028</t>
  </si>
  <si>
    <t>Смеситель Rain Лазурит д/в D35 изл. дл. пр., ручка рычаг 561-321 /10/</t>
  </si>
  <si>
    <t>94002</t>
  </si>
  <si>
    <t>Смеситель Rain Лазурит д/м D35 изл. кор. высок., гайка, ручка рычаг 561-243 /10/</t>
  </si>
  <si>
    <t>94042</t>
  </si>
  <si>
    <t>Смеситель Rain Малахит д/в D35 изл. кор., ручка рычаг 561-295 /10/</t>
  </si>
  <si>
    <t>94027</t>
  </si>
  <si>
    <t>Смеситель Rain Малахит д/м D35 изл. кор. высок., гайка, ручка рычаг 561-294 /10/</t>
  </si>
  <si>
    <t>94032</t>
  </si>
  <si>
    <t>Смеситель Rain Мира д/в D35 изл. дл. изог. ручка рычаг 561-307 /10/</t>
  </si>
  <si>
    <t>94033</t>
  </si>
  <si>
    <t>Смеситель Rain Мира д/в D35 изл. дл. кр., ручка рычаг 561-308 /10/</t>
  </si>
  <si>
    <t>94058</t>
  </si>
  <si>
    <t>Смеситель Rain Мира д/м D40 изл. кор. низ., гайка, ручка рычаг 561-285 /10/</t>
  </si>
  <si>
    <t>94018</t>
  </si>
  <si>
    <t>Смеситель Rain Нефрит д/в кр. бук. 1/2 кер., изл. дл. кр., ручка крестообр. 561-260 /10/</t>
  </si>
  <si>
    <t>94035</t>
  </si>
  <si>
    <t>Смеситель Rain Нефрит д/в кр. бук. 1/2 кер., изл. дл. пр., ручка крестообр. 561-310 /10/</t>
  </si>
  <si>
    <t>94096</t>
  </si>
  <si>
    <t>Смеситель Rain Нефрит д/м кр. бук. 1/2 кер., изл. кор. высок., гайка, ручка крестообр. 561-261 /10/</t>
  </si>
  <si>
    <t>94099</t>
  </si>
  <si>
    <t>Смеситель Rain Нефрит д/м кр. бук. 1/2 кер., изл. кор. высок., гайка, ручка крестообр. 561-267 /10/</t>
  </si>
  <si>
    <t>94039</t>
  </si>
  <si>
    <t>Смеситель Rain Нефрит д/м кр. бук. 1/2 кер., изл. кор. высок., гайка, ручка крестообр. 561-314 /10/</t>
  </si>
  <si>
    <t>94088</t>
  </si>
  <si>
    <t>Смеситель Rain Нефрит тюльпан кр. бук. 1/2 кер., изл. кор., шпилька, ручка крестообр. 561-258 /10/</t>
  </si>
  <si>
    <t>94063</t>
  </si>
  <si>
    <t>Смеситель Rain Нефрит тюльпан кр. бук. 1/2 кер., изл. кор., шпилька, ручка крестообр. 561-272 /10/</t>
  </si>
  <si>
    <t>94061</t>
  </si>
  <si>
    <t>Смеситель Rain Нефрит тюльпан кр. бук. 1/2 кер., изл. кор., шпилька, ручка крестообр. 561-329 /10/</t>
  </si>
  <si>
    <t>94038</t>
  </si>
  <si>
    <t>Смеситель Rain Обсидиан д/в D35 изл. дл. пр., ручка рычаг 561-313 /10/</t>
  </si>
  <si>
    <t>94055</t>
  </si>
  <si>
    <t>Смеситель Rain Оникс д/в D35 изл. кор., эксцентр., ручка рычаг настен. с душем 561-316 /10/</t>
  </si>
  <si>
    <t>94094</t>
  </si>
  <si>
    <t>Смеситель Rain Оникс д/м D35 изл. кор. высок., гайка, ручка рычаг 561-241 /10/</t>
  </si>
  <si>
    <t>94044</t>
  </si>
  <si>
    <t>Смеситель Rain Оникс тюльпан D35 изл. кор., гайка, ручка рычаг 561-273 /10/</t>
  </si>
  <si>
    <t>94062</t>
  </si>
  <si>
    <t>Смеситель Rain Опал д/в D35 изл. дл. пр., ручка рычаг 561-330 /10/</t>
  </si>
  <si>
    <t>94043</t>
  </si>
  <si>
    <t>Смеситель Rain Опал тюльпан D35 изл. кор., гайка, ручка рычаг 561-296 /10/</t>
  </si>
  <si>
    <t>94011</t>
  </si>
  <si>
    <t>Смеситель Rain Платина д/м D40 изл. кор, низ., гайка, ручка рычаг 561-300 /10/</t>
  </si>
  <si>
    <t>94001</t>
  </si>
  <si>
    <t>Смеситель Rain Сапфир д/в D35 изл. дл. пр., ручка рычаг 561-238 /10/</t>
  </si>
  <si>
    <t>94091</t>
  </si>
  <si>
    <t>Смеситель Rain Сапфир д/м D35 изл. кор. высок., гайка, ручка рычаг 561-235 /10/</t>
  </si>
  <si>
    <t>94092</t>
  </si>
  <si>
    <t>Смеситель Rain Сапфир д/м D35 изл. кор. низ., гайка, ручка рычаг 561-236 /10/</t>
  </si>
  <si>
    <t>94047</t>
  </si>
  <si>
    <t>Смеситель Rain Сапфир тюльпан D35 изл. кор., гайка, ручка рычаг 561-274 /10/</t>
  </si>
  <si>
    <t>94602</t>
  </si>
  <si>
    <t>Смеситель Rain Топаз д/в D35 изл. кор., ручка рычаг 561-231 /10/</t>
  </si>
  <si>
    <t>94031</t>
  </si>
  <si>
    <t>Смеситель Rain Топаз тюльпан D35, изл. кор., шпилька, ручка рычаг 561-320 /10/</t>
  </si>
  <si>
    <t>94036</t>
  </si>
  <si>
    <t>Смеситель Rain Уран д/в кр. бук. 1/2 кер., изл. дл. пр., ручка вентельн. 561-311 /10/</t>
  </si>
  <si>
    <t>94067</t>
  </si>
  <si>
    <t>Смеситель Rain Уран д/в кр. бук. 1/2 кер., изл. дл. пр., эксцентр., ручка вентельн. 561-004 /10/</t>
  </si>
  <si>
    <t>94000</t>
  </si>
  <si>
    <t>Смеситель Rain Фианит д/м кр. бук. 1/2 кер., изл. дл. высок., гайка, ручка вентельн. 561-254 /10/</t>
  </si>
  <si>
    <t>94013</t>
  </si>
  <si>
    <t>Смеситель Rain Янтарь д/м D40 изл. кор. высок., гайка, ручка рычаг 561-301 /10/</t>
  </si>
  <si>
    <t>94015</t>
  </si>
  <si>
    <t>Смеситель Rain Янтарь д/м D40 изл. кор. низ., гайка, ручка рычаг 561-304 /10/</t>
  </si>
  <si>
    <t>941 Смесители aQuaDv</t>
  </si>
  <si>
    <t>94112</t>
  </si>
  <si>
    <t>Смеситель aQuaDv д/в 201-04 кер. кр/букс. дл. изл. /10/</t>
  </si>
  <si>
    <t>94159</t>
  </si>
  <si>
    <t>Смеситель aQuaDv д/в 202-02 кер. кр/букс. дл. изл. шар. перекл /10/</t>
  </si>
  <si>
    <t>94176</t>
  </si>
  <si>
    <t>Смеситель aQuaDv д/в 203-01 40 мм дл. изл. 30 см шланг + лейка 1 реж. /10/</t>
  </si>
  <si>
    <t>94181</t>
  </si>
  <si>
    <t>Смеситель aQuaDv д/в 203-02 40 мм дл. изл. 30 см шланг + лейка 1 реж. /10/</t>
  </si>
  <si>
    <t>94133</t>
  </si>
  <si>
    <t>Смеситель aQuaDv д/в 310-01 40 мм шланг + лейка 1 реж. /10/</t>
  </si>
  <si>
    <t>94171</t>
  </si>
  <si>
    <t>Смеситель aQuaDv д/в 320-01 40 мм кор. изл. ручка рычаг /10/</t>
  </si>
  <si>
    <t>94172</t>
  </si>
  <si>
    <t>Смеситель aQuaDv д/в 600-01L 40 мм дл. изл. 35 см /10/</t>
  </si>
  <si>
    <t>94143</t>
  </si>
  <si>
    <t>Смеситель aQuaDv д/в 600-02L 40 мм дл. изл. 35 см /10/</t>
  </si>
  <si>
    <t>94173</t>
  </si>
  <si>
    <t>Смеситель aQuaDv д/в 600-02S 40 мм дл. изл. 35 см /10/</t>
  </si>
  <si>
    <t>94185</t>
  </si>
  <si>
    <t>Смеситель aQuaDv д/в 600-354 D35 изл. 35 см, шланг + лейка 1 реж. /10/</t>
  </si>
  <si>
    <t>94191</t>
  </si>
  <si>
    <t>Смеситель aQuaDv д/в 700-01 40 изл. 35 см, шланг + лейка 3 реж. /10/</t>
  </si>
  <si>
    <t>94187</t>
  </si>
  <si>
    <t>Смеситель aQuaDv д/в 700-02 40 изл. 35 см, шланг + лейка 3 реж. /10/</t>
  </si>
  <si>
    <t>94147</t>
  </si>
  <si>
    <t>Смеситель aQuaDv д/в 710-02 40 мм дл. изл. 35 см перекл. /10/</t>
  </si>
  <si>
    <t>94186</t>
  </si>
  <si>
    <t>Смеситель aQuaDv д/в 800-01 40 мм дл. изл. 35 см в корп. перекл. /10/</t>
  </si>
  <si>
    <t>94146</t>
  </si>
  <si>
    <t>Смеситель aQuaDv д/в 800-03 40 мм дл. изл. 35 см в корп. перекл. /10/</t>
  </si>
  <si>
    <t>94190</t>
  </si>
  <si>
    <t>Смеситель aQuaDv д/в Brass 202-01 кер. кр/букс. дл. изл. шар. перекл Л /10/</t>
  </si>
  <si>
    <t>94123</t>
  </si>
  <si>
    <t>Смеситель aQuaDv д/в Brass 800-03 D35 изл. 35 см в корп. перекл. /10/</t>
  </si>
  <si>
    <t>94102</t>
  </si>
  <si>
    <t>Смеситель aQuaDv д/м 002-05+02 кер. кр/букс. шпилька б/у /50/</t>
  </si>
  <si>
    <t>94154</t>
  </si>
  <si>
    <t>Смеситель aQuaDv д/м 004-01 1/2 кер. кр/букс. изл. 22 см шпилька /10/</t>
  </si>
  <si>
    <t>94155</t>
  </si>
  <si>
    <t>Смеситель aQuaDv д/м 004-011 1/2 кер. кр/букс. изл. 22 см шпилька /10/</t>
  </si>
  <si>
    <t>94108</t>
  </si>
  <si>
    <t>Смеситель aQuaDv д/м 005-01 кер. кр/букс. гайка изл. 22 см /10/</t>
  </si>
  <si>
    <t>94158</t>
  </si>
  <si>
    <t>Смеситель aQuaDv д/м 006-01 кер. кр/букс. шпилька гибкий изл. /10/</t>
  </si>
  <si>
    <t>94160</t>
  </si>
  <si>
    <t>Смеситель aQuaDv д/м 006-02 кер. кр/букс. шпилька гибкий изл. /10/</t>
  </si>
  <si>
    <t>94115</t>
  </si>
  <si>
    <t>Смеситель aQuaDv д/м 008 кер. кр/букс. шпилька /10/</t>
  </si>
  <si>
    <t>94128</t>
  </si>
  <si>
    <t>Смеситель aQuaDv д/м 040-03 40 мм шпилька изл. 25 см /10/</t>
  </si>
  <si>
    <t>94199</t>
  </si>
  <si>
    <t>Смеситель aQuaDv д/м 040-351 35 мм шпилька изл. 25 см /20/</t>
  </si>
  <si>
    <t>94151</t>
  </si>
  <si>
    <t>Смеситель aQuaDv д/м 042-351 35 мм шпилька изл. 15 см /10/</t>
  </si>
  <si>
    <t>94182</t>
  </si>
  <si>
    <t>Смеситель aQuaDv д/м 042-352 40 мм гайка изл. 25 см /10/</t>
  </si>
  <si>
    <t>94169</t>
  </si>
  <si>
    <t>Смеситель aQuaDv д/м 043-352 40 мм гайка изл. 15 см /10/</t>
  </si>
  <si>
    <t>94109</t>
  </si>
  <si>
    <t>Смеситель aQuaDv д/м 067 кер. кр/букс. гайка изл. гибкий /10/</t>
  </si>
  <si>
    <t>94150</t>
  </si>
  <si>
    <t>Смеситель aQuaDv д/м 411 кер. кр/букс. шпилька изл. сикон белый /10/</t>
  </si>
  <si>
    <t>94178</t>
  </si>
  <si>
    <t>Смеситель aQuaDv д/м 416 40 мм шпилька изл. сикон белый /10/</t>
  </si>
  <si>
    <t>94167</t>
  </si>
  <si>
    <t>Смеситель aQuaDv д/м 500-01 бок. 40 мм шпилька изл. /10/</t>
  </si>
  <si>
    <t>94136</t>
  </si>
  <si>
    <t>Смеситель aQuaDv д/м 500-02 бок. 40 мм шпилька изл. /10/</t>
  </si>
  <si>
    <t>94138</t>
  </si>
  <si>
    <t>Смеситель aQuaDv д/м 501-01 бок. 40 мм гайка изл. /10/</t>
  </si>
  <si>
    <t>94189</t>
  </si>
  <si>
    <t>Смеситель aQuaDv д/м 501-352 бок. 40 мм гайка изл. кор. пластик /10/</t>
  </si>
  <si>
    <t>94170</t>
  </si>
  <si>
    <t>Смеситель aQuaDv д/м 502-02 бок. 40 мм гайка изл. гибкий /10/</t>
  </si>
  <si>
    <t>94141</t>
  </si>
  <si>
    <t>Смеситель aQuaDv д/м 502-03 бок. 40 мм гайка изл. гибкий /10/</t>
  </si>
  <si>
    <t>94195</t>
  </si>
  <si>
    <t>Смеситель aQuaDv д/м 502-05 бок. 40 мм гайка изл. гибкий /10/</t>
  </si>
  <si>
    <t>94192</t>
  </si>
  <si>
    <t>Смеситель aQuaDv д/м 502-351 бок. 35 мм гайка изл. гибкий пластик /10/</t>
  </si>
  <si>
    <t>94188</t>
  </si>
  <si>
    <t>Смеситель aQuaDv д/м 502-352 бок. 40 мм гайка изл. гибкий пластик /10/</t>
  </si>
  <si>
    <t>94196</t>
  </si>
  <si>
    <t>Смеситель aQuaDv д/м 502-353 бок. 40 мм гайка изл. гибкий пластик /10/</t>
  </si>
  <si>
    <t>94111</t>
  </si>
  <si>
    <t>Смеситель aQuaDv д/м 502-354 бок. 35 мм гайка изл. гибкий пластик /10/</t>
  </si>
  <si>
    <t>94180</t>
  </si>
  <si>
    <t>Смеситель aQuaDv д/м 520-02 40 мм гайка изл. вытяжной бронза /10/</t>
  </si>
  <si>
    <t>94194</t>
  </si>
  <si>
    <t>Смеситель aQuaDv д/м Brass 003-02 кер. кр/букс. гайка б/упаковки /50/</t>
  </si>
  <si>
    <t>94107</t>
  </si>
  <si>
    <t>Смеситель aQuaDv д/м Brass 066 кер. кр/букс. гайка изл. гибкий /10/</t>
  </si>
  <si>
    <t>94183</t>
  </si>
  <si>
    <t>Смеситель aQuaDv д/м Brass 502-01 бок. 40 мм гайка изл. гибкий Л /10/</t>
  </si>
  <si>
    <t>94184</t>
  </si>
  <si>
    <t>Смеситель aQuaDv д/м Brass 502-02 бок. 40 мм гайка изл. гибкий Л /10/</t>
  </si>
  <si>
    <t>94132</t>
  </si>
  <si>
    <t>Смеситель aQuaDv д/м хирург. 400-02 40 мм шпилька изл. 18 см /10/</t>
  </si>
  <si>
    <t>94100</t>
  </si>
  <si>
    <t>Смеситель aQuaDv моно 001-02 кер. кр/букс. гайка /2/50/</t>
  </si>
  <si>
    <t>942 Смесители LEMEN д/мойки с гибким изливом</t>
  </si>
  <si>
    <t>94421</t>
  </si>
  <si>
    <t>Смеситель Lemen д/м G99303 Д35 гайка Н /10/</t>
  </si>
  <si>
    <t>94467</t>
  </si>
  <si>
    <t>Смеситель Lemen д/м G99303-G9 Д35 гиб излив гайка зеленый Н /10/</t>
  </si>
  <si>
    <t>94237</t>
  </si>
  <si>
    <t>Смеситель Lemen д/м G99303-O9 Д35 гиб излив гайка оранжевый Н /10/</t>
  </si>
  <si>
    <t>94469</t>
  </si>
  <si>
    <t>Смеситель Lemen д/м G99303-С9 Д35 гиб излив гайка синий Н /10/</t>
  </si>
  <si>
    <t>94253</t>
  </si>
  <si>
    <t>Смеситель Lemen д/м LA9009 D35 гиб.изл.нерж.сталь гайка Н /10/</t>
  </si>
  <si>
    <t>94260</t>
  </si>
  <si>
    <t>Смеситель Lemen д/м LA9021C D35 гиб.изл.нерж.сталь гайка синий Л /10/</t>
  </si>
  <si>
    <t>94243</t>
  </si>
  <si>
    <t>Смеситель Lemen д/м LA9021E D35 гиб.изл.нерж.сталь гайка черный Л /10/</t>
  </si>
  <si>
    <t>94252</t>
  </si>
  <si>
    <t>Смеситель Lemen д/м LA9021G D35 гиб.изл.нерж.сталь гайка зеленый Л /10/</t>
  </si>
  <si>
    <t>94273</t>
  </si>
  <si>
    <t>Смеситель Lemen д/м LA9021H D35 гиб.изл.нерж.сталь гайка серый Л /10/</t>
  </si>
  <si>
    <t>94238</t>
  </si>
  <si>
    <t>Смеситель Lemen д/м LA9021M D35 гиб.изл.нерж.сталь гайка бежевый Л /10/</t>
  </si>
  <si>
    <t>94266</t>
  </si>
  <si>
    <t>Смеситель Lemen д/м LA9021O D35 гиб.изл.нерж.сталь гайка оранжевый Л /10/</t>
  </si>
  <si>
    <t>94256</t>
  </si>
  <si>
    <t>Смеситель Lemen д/м LA9021R D35 гиб.изл.нерж.сталь гайка красный Л /10/</t>
  </si>
  <si>
    <t>94242</t>
  </si>
  <si>
    <t>Смеситель Lemen д/м LA9021W D35 гиб.изл.нерж.сталь гайка белый Л /10/</t>
  </si>
  <si>
    <t>94267</t>
  </si>
  <si>
    <t>Смеситель Lemen д/м LB-91404-N19 Д40 бок.гибк.изл.гайка С /10/</t>
  </si>
  <si>
    <t>94250</t>
  </si>
  <si>
    <t>Смеситель Lemen д/м LB-91421-N19 Д40 бок.гибк.изл. гайка С /10/</t>
  </si>
  <si>
    <t>94241</t>
  </si>
  <si>
    <t>Смеситель Lemen д/м LB-91428-G9 Д40 гиб.изл.гайка зеленый С /10/</t>
  </si>
  <si>
    <t>94236</t>
  </si>
  <si>
    <t>Смеситель Lemen д/м LB-91428-N19 Д40 гиб.изл.гайка С /10/</t>
  </si>
  <si>
    <t>94205</t>
  </si>
  <si>
    <t>Смеситель Lemen д/м LB-91428-W9 Д40 гиб.изл.гайка белый С /10/</t>
  </si>
  <si>
    <t>94268</t>
  </si>
  <si>
    <t>Смеситель Lemen д/м LB-91428-С9 Д40 гиб.изл.гайка синий С /10/</t>
  </si>
  <si>
    <t>94224</t>
  </si>
  <si>
    <t>Смеситель Lemen д/м LB-91477-M8 Д40 гиб.изл. толс.гайка бежевый H /10/</t>
  </si>
  <si>
    <t>94254</t>
  </si>
  <si>
    <t>Смеситель Lemen д/м LB-91477-W9 Д40 с гиб.изл. толс.гайка белый С /10/</t>
  </si>
  <si>
    <t>94219</t>
  </si>
  <si>
    <t>Смеситель Lemen д/м LB-91477-Н9 Д40 с гиб.изл. толс.гайка серый С /10/</t>
  </si>
  <si>
    <t>94210</t>
  </si>
  <si>
    <t>Смеситель Lemen д/м LB-91477-О9 Д40 с гиб.изл. толс.гайка оранжевый С /10/</t>
  </si>
  <si>
    <t>94223</t>
  </si>
  <si>
    <t>Смеситель Lemen д/м LB-91482-W9 Д40 гиб.изл. толс.гайка белый С /10/</t>
  </si>
  <si>
    <t>94225</t>
  </si>
  <si>
    <t>Смеситель Lemen д/м LB-91482-Е9 Д40 гиб.изл. толс.гайка черный С /10/</t>
  </si>
  <si>
    <t>94227</t>
  </si>
  <si>
    <t>Смеситель Lemen д/м LB-91482-Н9 Д40 гиб.изл. толс.гайка серый С /10/</t>
  </si>
  <si>
    <t>94233</t>
  </si>
  <si>
    <t>Смеситель Lemen д/м LB-91482-О9 Д40 гиб.изл. толс.гайка оранжевый C /10/</t>
  </si>
  <si>
    <t>94282</t>
  </si>
  <si>
    <t>Смеситель Lemen д/м LB-9930-G9 Д35 с гиб.изл. гайка зеленый С /10/</t>
  </si>
  <si>
    <t>94790</t>
  </si>
  <si>
    <t>Смеситель Lemen д/м LB91177-G9 Д40 бок.картридж гайка высок.корп. зеленый Л /10/</t>
  </si>
  <si>
    <t>94745</t>
  </si>
  <si>
    <t>Смеситель Lemen д/м LB91177-R9 Д40 бок.картридж гайка высок.корп. красный Л /10/</t>
  </si>
  <si>
    <t>94213</t>
  </si>
  <si>
    <t>Смеситель Lemen д/м LB91177-W9 Д40 бок.гайка высок.корп. белый Л /10/</t>
  </si>
  <si>
    <t>94270</t>
  </si>
  <si>
    <t>Смеситель Lemen д/м LB91177-Y9 Д40 бок.картридж гайка высок.корп. желтый Л /10/</t>
  </si>
  <si>
    <t>94269</t>
  </si>
  <si>
    <t>Смеситель Lemen д/м LB91177-Е9 Д40 бок.картридж гайка высок.корп. черный Л /10/</t>
  </si>
  <si>
    <t>94216</t>
  </si>
  <si>
    <t>Смеситель Lemen д/м LB91177-Н9 Д40 бок.картридж гайка высок.корп. серый Л /10/</t>
  </si>
  <si>
    <t>94795</t>
  </si>
  <si>
    <t>Смеситель Lemen д/м LB91177-О9 Д40 бок.картридж гайка высок.корп. оранжевый Л /10/</t>
  </si>
  <si>
    <t>94280</t>
  </si>
  <si>
    <t>Смеситель Lemen д/м LB91177-Р9 Д40 бок.картридж гайка высок.корп. розовый Л /10/</t>
  </si>
  <si>
    <t>94259</t>
  </si>
  <si>
    <t>Смеситель Lemen д/м LB91177-С9 Д40 бок.картридж гайка высок.корп. синий Л /10/</t>
  </si>
  <si>
    <t>94251</t>
  </si>
  <si>
    <t>Смеситель Lemen д/м LB91403-N19 Д40 бок.гибк.изл. гайка Л /10/</t>
  </si>
  <si>
    <t>94239</t>
  </si>
  <si>
    <t>Смеситель Lemen д/м LC-91313-N19 D35 боковой.гибк.изл. крепеж-гайка С /10/</t>
  </si>
  <si>
    <t>94283</t>
  </si>
  <si>
    <t>Смеситель Lemen д/м LC-91313-W9 D35 боковой.гибк.изл. креп.гайка белый С /10/</t>
  </si>
  <si>
    <t>94244</t>
  </si>
  <si>
    <t>Смеситель Lemen д/м LC-91315-N19 D35 боковой гибк. излив. С /10/</t>
  </si>
  <si>
    <t>94240</t>
  </si>
  <si>
    <t>Смеситель Lemen д/м LC-91317-N19 D35 боковой.гибк.изл. крепеж-гайка С /10/</t>
  </si>
  <si>
    <t>94281</t>
  </si>
  <si>
    <t>Смеситель Lemen д/м LC-9930-E9 Д35 с гиб.изл. гайка черный С /10/</t>
  </si>
  <si>
    <t>94530</t>
  </si>
  <si>
    <t>Смеситель Lemen д/м LD-91234C-N19 кр.бук.1/2"с гиб.изл. тонк.гайка синий С /10/</t>
  </si>
  <si>
    <t>94527</t>
  </si>
  <si>
    <t>Смеситель Lemen д/м LD-91234G-N19 кр.бук.1/2"с гиб.изл. тонк.гайка зеленый С /10/</t>
  </si>
  <si>
    <t>94279</t>
  </si>
  <si>
    <t>Смеситель Lemen д/м LD-91234W-N19 кр.бук.1/2"с гиб.изл. тонк.гайка белый С /10/</t>
  </si>
  <si>
    <t>94277</t>
  </si>
  <si>
    <t>Смеситель Lemen д/м LD-91234Y-N19 кр.бук.1/2"с гиб.изл. тонк.гайка желтый С /10/</t>
  </si>
  <si>
    <t>94208</t>
  </si>
  <si>
    <t>Смеситель Lemen д/м LD-91265-G9 кр.бук.1/2"эконом с гиб.изл. мах.крест зеленый С /10/</t>
  </si>
  <si>
    <t>94288</t>
  </si>
  <si>
    <t>Смеситель Lemen д/м LD-91265-H9 кр.бук.1/2"эконом с гиб.изл. мах.крест серый С /10/</t>
  </si>
  <si>
    <t>94211</t>
  </si>
  <si>
    <t>Смеситель Lemen д/м LD-91265-N19 кр.бук.1/2"гибк излив кер.на гайке С /10/</t>
  </si>
  <si>
    <t>94275</t>
  </si>
  <si>
    <t>Смеситель Lemen д/м LD-91265-P9 кр.бук.1/2"эконом с гиб.изл. мах.крест розовый С /10/</t>
  </si>
  <si>
    <t>94272</t>
  </si>
  <si>
    <t>Смеситель Lemen д/м LD-91265-R9 кр.бук.1/2"эконом с гиб.изл. мах.крест красный С /10/</t>
  </si>
  <si>
    <t>94207</t>
  </si>
  <si>
    <t>Смеситель Lemen д/м LD-91265-W9 кр.бук.1/2"эконом с гиб.изл. мах.крест белый С /10/</t>
  </si>
  <si>
    <t>94276</t>
  </si>
  <si>
    <t>Смеситель Lemen д/м LD-91265-О9 кр.бук.1/2"эконом с гиб.изл. мах.крест оранжевый С /10/</t>
  </si>
  <si>
    <t>94206</t>
  </si>
  <si>
    <t>Смеситель Lemen д/м LD-91265-С9 кр.бук.1/2"эконом с гиб.изл. мах.крест синий С /10/</t>
  </si>
  <si>
    <t>94274</t>
  </si>
  <si>
    <t>Смеситель Lemen д/м LD-91634R-N19 кр.бук.1/2"эконом с гиб.изл. мах.крест красный /10/</t>
  </si>
  <si>
    <t>94450</t>
  </si>
  <si>
    <t>Смеситель Lemen д/м LD-91634Y-N19 кр.бук.1/2"эконом с гиб.изл. мах.крест желтый /10/</t>
  </si>
  <si>
    <t>94271</t>
  </si>
  <si>
    <t>Смеситель Lemen д/м LD-91634С-N19 кр.бук.1/2"эконом с гиб.изл. мах.крест синий /10/</t>
  </si>
  <si>
    <t>94447</t>
  </si>
  <si>
    <t>Смеситель Lemen д/м LD91664-N19 кр.бук.1/2"габк.излив крест кер. на гайке Л /10/</t>
  </si>
  <si>
    <t>943 Смесители LEMEN д/мойки серии LС LA  S</t>
  </si>
  <si>
    <t>94322</t>
  </si>
  <si>
    <t>Смеситель Lemen д/м LA-1070 D35 гайка С /10/</t>
  </si>
  <si>
    <t>94336</t>
  </si>
  <si>
    <t>Смеситель Lemen д/м LA-9131M D35 гайка молочный С /10/</t>
  </si>
  <si>
    <t>94319</t>
  </si>
  <si>
    <t>Смеситель Lemen д/м LA1043Z D35 цв.золото. Л /10/</t>
  </si>
  <si>
    <t>94344</t>
  </si>
  <si>
    <t>Смеситель Lemen д/м LA6113 D35 нерж.сталь.гайка Л /10/</t>
  </si>
  <si>
    <t>94324</t>
  </si>
  <si>
    <t>Смеситель Lemen д/м LA6160 D35 нерж.сталь.гайка Н /10/</t>
  </si>
  <si>
    <t>94312</t>
  </si>
  <si>
    <t>Смеситель Lemen д/м LA9001 D35 нерж.сталь.гайка Н /10/</t>
  </si>
  <si>
    <t>94325</t>
  </si>
  <si>
    <t>Смеситель Lemen д/м LA9002 D35 высокий изл.гайка Н /10/</t>
  </si>
  <si>
    <t>94200</t>
  </si>
  <si>
    <t>Смеситель Lemen д/м LA9002EF D35 высок..изл. гайка сатин черный Н /10/</t>
  </si>
  <si>
    <t>94355</t>
  </si>
  <si>
    <t>Смеситель Lemen д/м LA9006C D35 гиб.изл.нерж.сталь.гайка синий Н /10/</t>
  </si>
  <si>
    <t>94352</t>
  </si>
  <si>
    <t>Смеситель Lemen д/м LA9006E D35 гиб.изл.нерж.сталь.гайка черный Н /10/</t>
  </si>
  <si>
    <t>94333</t>
  </si>
  <si>
    <t>Смеситель Lemen д/м LA9006G D35 гиб.изл.нерж.сталь.гайка зеленый Н /10/</t>
  </si>
  <si>
    <t>94335</t>
  </si>
  <si>
    <t>Смеситель Lemen д/м LA9006H D35 гиб.изл.нерж.сталь.гайка серый Н /10/</t>
  </si>
  <si>
    <t>94314</t>
  </si>
  <si>
    <t>Смеситель Lemen д/м LA9006M D35 гиб.изл.нерж.сталь.гайка бежевый Н /10/</t>
  </si>
  <si>
    <t>94354</t>
  </si>
  <si>
    <t>Смеситель Lemen д/м LA9006R D35 гиб.изл.нерж.сталь.гайка красный Н /10/</t>
  </si>
  <si>
    <t>94353</t>
  </si>
  <si>
    <t>Смеситель Lemen д/м LA9006W D35 гиб.изл.нерж.сталь.гайка белый Н /10/</t>
  </si>
  <si>
    <t>94326</t>
  </si>
  <si>
    <t>Смеситель Lemen д/м LA9011 D35 нерж.сталь.гайка Н /10/</t>
  </si>
  <si>
    <t>94315</t>
  </si>
  <si>
    <t>Смеситель Lemen д/м LA9112EF D35 бок.гайка черный Л /10/</t>
  </si>
  <si>
    <t>94328</t>
  </si>
  <si>
    <t>Смеситель Lemen д/м LA9113 D35 гайка Л /10/</t>
  </si>
  <si>
    <t>94356</t>
  </si>
  <si>
    <t>Смеситель Lemen д/м LA9165 D35 гайка с двумя аэраторами под фильтр Л /10/</t>
  </si>
  <si>
    <t>94357</t>
  </si>
  <si>
    <t>Смеситель Lemen д/м LA9165Q D35 гайка с двумя аэраторами под фильтр бронзовый Л /10/</t>
  </si>
  <si>
    <t>94343</t>
  </si>
  <si>
    <t>Смеситель Lemen д/м LC-1325Р Д35 гайка пурпур/хром С /10/</t>
  </si>
  <si>
    <t>94300</t>
  </si>
  <si>
    <t>Смеситель Lemen д/м LC-6301 Д35 длин. изл шилька С /10/</t>
  </si>
  <si>
    <t>94313</t>
  </si>
  <si>
    <t>Смеситель Lemen д/м LC-6301В Д35 кор изл шилька С /10/</t>
  </si>
  <si>
    <t>94798</t>
  </si>
  <si>
    <t>Смеситель Lemen д/м LC-6311 Д35 длин. изл шилька С /10/</t>
  </si>
  <si>
    <t>94559</t>
  </si>
  <si>
    <t>Смеситель Lemen д/м LC-6311В Д35 кор. изл шилька Л /10/</t>
  </si>
  <si>
    <t>94345</t>
  </si>
  <si>
    <t>Смеситель Lemen д/м LC-6313P картридж 35 толст.гайка розовый С /10/</t>
  </si>
  <si>
    <t>94346</t>
  </si>
  <si>
    <t>Смеситель Lemen д/м LC-6313W картридж 35 гайка белый С /10/</t>
  </si>
  <si>
    <t>94307</t>
  </si>
  <si>
    <t>Смеситель Lemen д/м LC-91306 боковой D35 кр. крепеж-гайка С /10/</t>
  </si>
  <si>
    <t>94304</t>
  </si>
  <si>
    <t>Смеситель Lemen д/м LC-91307 боковой D35 кр. крепеж-гайка С /10/</t>
  </si>
  <si>
    <t>94311</t>
  </si>
  <si>
    <t>Смеситель Lemen д/м LC-91308 боковой D35 кр. крепеж-гайка С /10/</t>
  </si>
  <si>
    <t>94305</t>
  </si>
  <si>
    <t>Смеситель Lemen д/м LC-91313 боковой D35 кр. крепеж-гайка С /10/</t>
  </si>
  <si>
    <t>94308</t>
  </si>
  <si>
    <t>Смеситель Lemen д/м LC-91315 боковой D35 кр. крепеж-гайка С /10/</t>
  </si>
  <si>
    <t>94309</t>
  </si>
  <si>
    <t>Смеситель Lemen д/м LC-91317 боковой D35 кр. крепеж-гайка С /10/</t>
  </si>
  <si>
    <t>94347</t>
  </si>
  <si>
    <t>Смеситель Lemen д/м LC-9313W Д35 бок.картридж белый С /10/</t>
  </si>
  <si>
    <t>94728</t>
  </si>
  <si>
    <t>Смеситель Lemen д/м LC0308 д35 с выдвижной лейкой кр.шпилька Л /10/</t>
  </si>
  <si>
    <t>94755</t>
  </si>
  <si>
    <t>Смеситель Lemen д/м LC6305 Д35 длин. изл шилька Л /10/</t>
  </si>
  <si>
    <t>94301</t>
  </si>
  <si>
    <t>Смеситель Lemen д/м LC6306 Д35 длин. изл шилька Л /10/</t>
  </si>
  <si>
    <t>94874</t>
  </si>
  <si>
    <t>Смеситель Lemen д/м LC6307 Д35 длин. изл шилька Л /10/</t>
  </si>
  <si>
    <t>95051</t>
  </si>
  <si>
    <t>Смеситель Lemen д/м LC6308 Д35 длин. изл шилька Л /10/</t>
  </si>
  <si>
    <t>94792</t>
  </si>
  <si>
    <t>Смеситель Lemen д/м LC9307 D35 боковой кр. крепеж-шпилька Л /10/</t>
  </si>
  <si>
    <t>94317</t>
  </si>
  <si>
    <t>Смеситель Lemen д/м LC9336 д35 бок.картридж. гайка Л /10/</t>
  </si>
  <si>
    <t>94340</t>
  </si>
  <si>
    <t>Смеситель Lemen д/м S81502W боковой D35 шпилька белый П /10/</t>
  </si>
  <si>
    <t>94341</t>
  </si>
  <si>
    <t>Смеситель Lemen д/м S87504 D35 боковой гайка хром П /10/</t>
  </si>
  <si>
    <t>94348</t>
  </si>
  <si>
    <t>Смеситель Lemen д/м S90600W D35 гайка белый П /10/</t>
  </si>
  <si>
    <t>94350</t>
  </si>
  <si>
    <t>Смеситель Lemen д/м S91503W боковой D35 шпилька белый П /10/</t>
  </si>
  <si>
    <t>94351</t>
  </si>
  <si>
    <t>Смеситель Lemen д/м S91601W D35 гайка крест белый П /10/</t>
  </si>
  <si>
    <t>944 Смесители LEMEN д/мойки серии LD G</t>
  </si>
  <si>
    <t>94432</t>
  </si>
  <si>
    <t>Смеситель Lemen д/м G65306 Д35 дл.изл.гайка Н /10/</t>
  </si>
  <si>
    <t>94433</t>
  </si>
  <si>
    <t>Смеситель Lemen д/м G65306В Д35 кор.изл.гайка Н /10/</t>
  </si>
  <si>
    <t>94787</t>
  </si>
  <si>
    <t>Смеситель Lemen д/м G93211 кр./бук.1/2 бок.сатин гайка нерж. Н /10/</t>
  </si>
  <si>
    <t>94475</t>
  </si>
  <si>
    <t>Смеситель Lemen д/м G93302 Д35 гайка сатин Н /10/</t>
  </si>
  <si>
    <t>94423</t>
  </si>
  <si>
    <t>Смеситель Lemen д/м G93306 Д35 (нерж.сталь,гайка)</t>
  </si>
  <si>
    <t>94460</t>
  </si>
  <si>
    <t>Смеситель Lemen д/м G97304 Д35 гайка сатин Н /10/</t>
  </si>
  <si>
    <t>94478</t>
  </si>
  <si>
    <t>Смеситель Lemen д/м LD-9109 эконом кер.шпилька крест С /20/</t>
  </si>
  <si>
    <t>94417</t>
  </si>
  <si>
    <t>Смеситель Lemen д/м LD-9110 эконом кер.шпилька треуг С /20/</t>
  </si>
  <si>
    <t>94442</t>
  </si>
  <si>
    <t>Смеситель Lemen д/м LD-91109 эконом мах.крест креп.гайка С /2/10/</t>
  </si>
  <si>
    <t>94457</t>
  </si>
  <si>
    <t>Смеситель Lemen д/м LD-91109-2 кер излив G19 мах.крест креп гайка С /20/</t>
  </si>
  <si>
    <t>94586</t>
  </si>
  <si>
    <t>Смеситель Lemen д/м LD-9111 эконом кер.шпилька кругл С /10/</t>
  </si>
  <si>
    <t>94440</t>
  </si>
  <si>
    <t>Смеситель Lemen д/м LD-91110 кер. на гайке С /10/</t>
  </si>
  <si>
    <t>94404</t>
  </si>
  <si>
    <t>Смеситель Lemen д/м LD-9111A эконом кер.шпилька крест С /10/</t>
  </si>
  <si>
    <t>94486</t>
  </si>
  <si>
    <t>Смеситель Lemen д/м LD-91151 Крест кер. на гайке С /10/</t>
  </si>
  <si>
    <t>94412</t>
  </si>
  <si>
    <t>Смеситель Lemen д/м LD-91153 эконом кер. на гайке крест С /10/</t>
  </si>
  <si>
    <t>94589</t>
  </si>
  <si>
    <t>Смеситель Lemen д/м LD-9120 эконом кер.шпилька С /10/</t>
  </si>
  <si>
    <t>94446</t>
  </si>
  <si>
    <t>Смеситель Lemen д/м LD-91257 кр.бук.1/2" кер. на гайке крест /10/</t>
  </si>
  <si>
    <t>94458</t>
  </si>
  <si>
    <t>Смеситель Lemen д/м LD-91264 кр.бук.1/2" кер. на гайке крест С /10/</t>
  </si>
  <si>
    <t>94449</t>
  </si>
  <si>
    <t>Смеситель Lemen д/м LD-91267  кр.бук.1/2" гайка С /10/</t>
  </si>
  <si>
    <t>94592</t>
  </si>
  <si>
    <t>Смеситель Lemen д/м LD-9131 эконом кер.шпилька крест С /10/</t>
  </si>
  <si>
    <t>94409</t>
  </si>
  <si>
    <t>Смеситель Lemen д/м LD-9132 эконом кер.шпилька С /10/</t>
  </si>
  <si>
    <t>94414</t>
  </si>
  <si>
    <t>Смеситель Lemen д/м LD-9134 эконом кер. шпилька крест С /10/</t>
  </si>
  <si>
    <t>94429</t>
  </si>
  <si>
    <t>Смеситель Lemen д/м LD-91557C кр.бук.1/2" эконом керам.мах.крест голубой С /10/</t>
  </si>
  <si>
    <t>94427</t>
  </si>
  <si>
    <t>Смеситель Lemen д/м LD-91557R кр.бук.1/2"эконом керам.мах.крест красный С /10/</t>
  </si>
  <si>
    <t>94476</t>
  </si>
  <si>
    <t>Смеситель Lemen д/м LD-91557W кр.бук.1/2"керам мах гайка белый С /10/</t>
  </si>
  <si>
    <t>94422</t>
  </si>
  <si>
    <t>Смеситель Lemen д/м LD-91634G кр.бук.1/2"эконом мах.крест зеленый С /10/</t>
  </si>
  <si>
    <t>94416</t>
  </si>
  <si>
    <t>Смеситель Lemen д/м LD-91634С кр.бук.1/2"эконом мах.крест синий С /10/</t>
  </si>
  <si>
    <t>94471</t>
  </si>
  <si>
    <t>Смеситель Lemen д/м LD-91764 кр.бук.1/2"крест кер. креп.гайка С /10/</t>
  </si>
  <si>
    <t>94472</t>
  </si>
  <si>
    <t>Смеситель Lemen д/м LD-91765E кр.бук.1/2"кер.крест черн.гайка С /10/</t>
  </si>
  <si>
    <t>94437</t>
  </si>
  <si>
    <t>Смеситель Lemen д/м LD-91765W кр.бук.1/2"кер.крест бел.гайка С /10/</t>
  </si>
  <si>
    <t>94487</t>
  </si>
  <si>
    <t>Смеситель Lemen д/м LD-91765М кр.бук.1/2"кер. креп.гайка крест молочн гайка С /10/</t>
  </si>
  <si>
    <t>94872</t>
  </si>
  <si>
    <t>Смеситель Lemen д/м LD-91865E кр.бук.1/2"кер.крест кайка синий С /10/</t>
  </si>
  <si>
    <t>94462</t>
  </si>
  <si>
    <t>Смеситель Lemen д/м LD-91865W кр.бук.1/2"кер.крест гайка белый С /10/</t>
  </si>
  <si>
    <t>94434</t>
  </si>
  <si>
    <t>Смеситель Lemen д/м LD-9557G кр.бук.1/2"мах.гайка зеленый С /10/</t>
  </si>
  <si>
    <t>94484</t>
  </si>
  <si>
    <t>Смеситель Lemen д/м LD-9557W кр.бук.1/2"кер мах.гайка белый С /10/</t>
  </si>
  <si>
    <t>94444</t>
  </si>
  <si>
    <t>Смеситель Lemen д/м LD-9557Y кр.бук.1/2"мах.гайка желтый С /10/</t>
  </si>
  <si>
    <t>94495</t>
  </si>
  <si>
    <t>Смеситель Lemen д/м LD-9557Е кр.бук.1/2"мах.гайка черный С /10/</t>
  </si>
  <si>
    <t>94473</t>
  </si>
  <si>
    <t>Смеситель Lemen д/м LD-9565 кр.бук.1/2"кер. на гайке С /10/</t>
  </si>
  <si>
    <t>94425</t>
  </si>
  <si>
    <t>Смеситель Lemen д/м LD-9571 кр.бук.1/2"кер. на гайке С /10/</t>
  </si>
  <si>
    <t>94480</t>
  </si>
  <si>
    <t>Смеситель Lemen д/м LD-9851 кр.бук.1/2"кер.крест кр.гайка С /10/</t>
  </si>
  <si>
    <t>94463</t>
  </si>
  <si>
    <t>Смеситель Lemen д/м LD-9950 кр.бук.1/2"кер.крест кр.гайка С /10/</t>
  </si>
  <si>
    <t>94402</t>
  </si>
  <si>
    <t>Смеситель Lemen д/м LD-9950-N24 кр.бук.1/2"кер.крест толст.кр.излив толст.гайка С /10/</t>
  </si>
  <si>
    <t>94660</t>
  </si>
  <si>
    <t>Смеситель Lemen д/м LD9164Q кр.бук.1/2"кер.крест шпилька бронза Л /10/</t>
  </si>
  <si>
    <t>94410</t>
  </si>
  <si>
    <t>Смеситель Lemen д/м LD91651-С03 кр.бук.1/2"крест кер. креп.гайка Л /10/</t>
  </si>
  <si>
    <t>94461</t>
  </si>
  <si>
    <t>Смеситель Lemen д/м LD91664-N24 кр.бук.1/2"кер.крест кр.толстая гайка высок. изл. Л /10/</t>
  </si>
  <si>
    <t>94401</t>
  </si>
  <si>
    <t>Смеситель Lemen д/м LD91664-С05 кр.бук.1/2"крест кер. на гайке Л /10/</t>
  </si>
  <si>
    <t>945 Смесители LEMEN тюльпан/ настенные/для душа</t>
  </si>
  <si>
    <t>94538</t>
  </si>
  <si>
    <t>Смеситель Lemen д/душа LB7401 D40 матов. Л /10/</t>
  </si>
  <si>
    <t>94523</t>
  </si>
  <si>
    <t>Смеситель Lemen д/душа LB7403 D40 Л /10/</t>
  </si>
  <si>
    <t>94497</t>
  </si>
  <si>
    <t>Смеситель Lemen д/душа LB7421 D40 Л /10/</t>
  </si>
  <si>
    <t>94518</t>
  </si>
  <si>
    <t>Смеситель Lemen д/душа LC-7313P картридж 35 розовый С /10/</t>
  </si>
  <si>
    <t>94507</t>
  </si>
  <si>
    <t>Смеситель Lemen д/душа LC-7313W картридж 35 белый С /10/</t>
  </si>
  <si>
    <t>94525</t>
  </si>
  <si>
    <t>Смеситель Lemen д/душа LD-7164 кер.крест С /10/</t>
  </si>
  <si>
    <t>94533</t>
  </si>
  <si>
    <t>Смеситель Lemen д/душа LD-7165E кер.крест черный С /10/</t>
  </si>
  <si>
    <t>94566</t>
  </si>
  <si>
    <t>Смеситель Lemen д/душа S73503W D35 белый П /10/</t>
  </si>
  <si>
    <t>94503</t>
  </si>
  <si>
    <t>Смеситель Lemen для биде LS4001E шланг лейка черный Л /10/</t>
  </si>
  <si>
    <t>94537</t>
  </si>
  <si>
    <t>Смеситель Lemen для биде LS4001Q шланг лейка бронзовый Л /10/</t>
  </si>
  <si>
    <t>94573</t>
  </si>
  <si>
    <t>Смеситель Lemen для биде LS4003E шланг лейка черный Л /10/</t>
  </si>
  <si>
    <t>94574</t>
  </si>
  <si>
    <t>Смеситель Lemen для биде LS4004Q шланг лейка бронзовый Л /10/</t>
  </si>
  <si>
    <t>94563</t>
  </si>
  <si>
    <t>Смеситель Lemen моно LA9012 D35 гайка Н /10/</t>
  </si>
  <si>
    <t>94569</t>
  </si>
  <si>
    <t>Смеситель Lemen моно LD-1206 моно кер. ручка С /10/</t>
  </si>
  <si>
    <t>94571</t>
  </si>
  <si>
    <t>Смеситель Lemen моно S11551W крепеж-пласт,гайка белый /10/</t>
  </si>
  <si>
    <t>94529</t>
  </si>
  <si>
    <t>Смеситель Lemen настенный LD-4164 кер.крест нижний изл. С /10/</t>
  </si>
  <si>
    <t>94553</t>
  </si>
  <si>
    <t>Смеситель Lemen настенный LD-4165 кер.крест нижний изл. С /10/</t>
  </si>
  <si>
    <t>94330</t>
  </si>
  <si>
    <t>Смеситель Lemen настенный S41601W ниж излив пластик белый П /10/</t>
  </si>
  <si>
    <t>94513</t>
  </si>
  <si>
    <t>Смеситель Lemen тюльпан G-13301 35 мм гайка НС /10/</t>
  </si>
  <si>
    <t>94637</t>
  </si>
  <si>
    <t>Смеситель Lemen тюльпан LA-1100 D35 шпилька С /10/</t>
  </si>
  <si>
    <t>94512</t>
  </si>
  <si>
    <t>Смеситель Lemen тюльпан LA-9131E D35 гайка черный С /10/</t>
  </si>
  <si>
    <t>94584</t>
  </si>
  <si>
    <t>Смеситель Lemen тюльпан LA-9131H D35 гайка белый С /10/</t>
  </si>
  <si>
    <t>94334</t>
  </si>
  <si>
    <t>Смеситель Lemen тюльпан LA-9131L D35 гайка никель С /10/</t>
  </si>
  <si>
    <t>94578</t>
  </si>
  <si>
    <t>Смеситель Lemen тюльпан LA-9161 бок.ручка гайка люкс серия С /10/</t>
  </si>
  <si>
    <t>94506</t>
  </si>
  <si>
    <t>Смеситель Lemen тюльпан LA-9207-1 бок.ручка гайка С /10/</t>
  </si>
  <si>
    <t>94522</t>
  </si>
  <si>
    <t>Смеситель Lemen тюльпан LA1061E Д35 гайка черный нерж.ст Н /10/</t>
  </si>
  <si>
    <t>94320</t>
  </si>
  <si>
    <t>Смеситель Lemen тюльпан LA1063 D35 нерж.сталь.гайка Y /10/</t>
  </si>
  <si>
    <t>94321</t>
  </si>
  <si>
    <t>Смеситель Lemen тюльпан LA1064 D35 нерж.сталь.гайка Н /10/</t>
  </si>
  <si>
    <t>94702</t>
  </si>
  <si>
    <t>Смеситель Lemen тюльпан LA6107 D35 гибкий излив Л /10/</t>
  </si>
  <si>
    <t>94510</t>
  </si>
  <si>
    <t>Смеситель Lemen тюльпан LB-1401 D40 кр. шпилька С /10/</t>
  </si>
  <si>
    <t>94524</t>
  </si>
  <si>
    <t>Смеситель Lemen тюльпан LB-1404 D40 кр. шпилька Л /10/</t>
  </si>
  <si>
    <t>94549</t>
  </si>
  <si>
    <t>Смеситель Lemen тюльпан LB-1418 D40 кр. шпилька С /10/</t>
  </si>
  <si>
    <t>94550</t>
  </si>
  <si>
    <t>Смеситель Lemen тюльпан LB-1421 D40 кр. шпилька С /10/</t>
  </si>
  <si>
    <t>94552</t>
  </si>
  <si>
    <t>Смеситель Lemen тюльпан LB-1422 D40 кр. шпилька С /10/</t>
  </si>
  <si>
    <t>94567</t>
  </si>
  <si>
    <t>Смеситель Lemen тюльпан LB-16767 D35 кр.шпилька нерж. C /10/</t>
  </si>
  <si>
    <t>94562</t>
  </si>
  <si>
    <t>Смеситель Lemen тюльпан LC-1313 Д35 мм гайка С /10/</t>
  </si>
  <si>
    <t>94514</t>
  </si>
  <si>
    <t>Смеситель Lemen тюльпан LC-1313E Д35 гайка черный С /10/</t>
  </si>
  <si>
    <t>94765</t>
  </si>
  <si>
    <t>Смеситель Lemen тюльпан LC-1313P Д35 гайка розовый С /10/</t>
  </si>
  <si>
    <t>94511</t>
  </si>
  <si>
    <t>Смеситель Lemen тюльпан LC-1313W Д35 гайка белый/хром С /10/</t>
  </si>
  <si>
    <t>94516</t>
  </si>
  <si>
    <t>Смеситель Lemen тюльпан LC-1317 Д35 гайка С /10/</t>
  </si>
  <si>
    <t>94545</t>
  </si>
  <si>
    <t>Смеситель Lemen тюльпан LC-1329 Д35 гайка С /10/</t>
  </si>
  <si>
    <t>94583</t>
  </si>
  <si>
    <t>Смеситель Lemen тюльпан LC6308B Д35 кор. излив шпилька Л /10/</t>
  </si>
  <si>
    <t>94557</t>
  </si>
  <si>
    <t>Смеситель Lemen тюльпан LD-1150 кер.крест С /10/</t>
  </si>
  <si>
    <t>94505</t>
  </si>
  <si>
    <t>Смеситель Lemen тюльпан LD-1151 кер.крест шпилька С /10/</t>
  </si>
  <si>
    <t>94599</t>
  </si>
  <si>
    <t>Смеситель Lemen тюльпан LD-1164 кер.крест(хром) кркп.шпилька Л /10/</t>
  </si>
  <si>
    <t>94580</t>
  </si>
  <si>
    <t>Смеситель Lemen тюльпан LD-1164L кер.крест(никель) Л /10/</t>
  </si>
  <si>
    <t>94528</t>
  </si>
  <si>
    <t>Смеситель Lemen тюльпан LD-1165 кр.бук.1/2"шпилька.цинк С /10/</t>
  </si>
  <si>
    <t>94540</t>
  </si>
  <si>
    <t>Смеситель Lemen тюльпан LD-1165E кр.бук.1/2" эконом мах.крест шпилька черный хр. /10/</t>
  </si>
  <si>
    <t>94534</t>
  </si>
  <si>
    <t>Смеситель Lemen тюльпан LD-1165W кр.бук.1/2" эконом мах.крест шпилька белый хр. /10/</t>
  </si>
  <si>
    <t>94531</t>
  </si>
  <si>
    <t>Смеситель Lemen тюльпан LD-19293 шпилька.цинк С /10/</t>
  </si>
  <si>
    <t>94535</t>
  </si>
  <si>
    <t>Смеситель Lemen тюльпан LD-19363 кер.крест Л /10/</t>
  </si>
  <si>
    <t>94870</t>
  </si>
  <si>
    <t>Смеситель Lemen тюльпан LD-98556 кер.крест Дельфин</t>
  </si>
  <si>
    <t>94577</t>
  </si>
  <si>
    <t>Смеситель Lemen тюльпан LD1164Q кер.крест шпилька бронза Л /10/</t>
  </si>
  <si>
    <t>94831</t>
  </si>
  <si>
    <t>Смеситель Lemen тюльпан LD1174 кер.кругл.шпилька Л /10/</t>
  </si>
  <si>
    <t>94556</t>
  </si>
  <si>
    <t>Смеситель Lemen тюльпан LС-1305 D35 шпилька С /10/</t>
  </si>
  <si>
    <t>94769</t>
  </si>
  <si>
    <t>Смеситель Lemen тюльпан LС-1306 D35 шпилька С /10/</t>
  </si>
  <si>
    <t>94570</t>
  </si>
  <si>
    <t>Смеситель Lemen тюльпан R11107E Д35 гайка С /10/</t>
  </si>
  <si>
    <t>94555</t>
  </si>
  <si>
    <t>Смеситель Lemen тюльпан R11107W Д35 гайка С /10/</t>
  </si>
  <si>
    <t>94551</t>
  </si>
  <si>
    <t>Смеситель Lemen тюльпан S13501 D35 гайка хром Пласт /10/</t>
  </si>
  <si>
    <t>94337</t>
  </si>
  <si>
    <t>Смеситель Lemen тюльпан S13502 D35 шпилька хром П /10/</t>
  </si>
  <si>
    <t>94558</t>
  </si>
  <si>
    <t>Смеситель Lemen тюльпан S13503W D35 белый пласт /10/</t>
  </si>
  <si>
    <t>946 Смесители LEMEN д/ванны серии LB LC</t>
  </si>
  <si>
    <t>94658</t>
  </si>
  <si>
    <t>Смеситель Lemen д/в LB-2067 Д35 длинный изл.перекл.в корпусе.картридж С /10/</t>
  </si>
  <si>
    <t>94645</t>
  </si>
  <si>
    <t>Смеситель Lemen д/в LB-2228 D40 длинный изл.перекл.в корпусе.картридж С /10/</t>
  </si>
  <si>
    <t>94609</t>
  </si>
  <si>
    <t>Смеситель Lemen д/в LB-2277 D40 длинный изл.перекл.в корпусе.картридж С /10/</t>
  </si>
  <si>
    <t>94610</t>
  </si>
  <si>
    <t>Смеситель Lemen д/в LB-2282 D40 длинный изл.перекл.в корпусе.картридж С /10/</t>
  </si>
  <si>
    <t>94666</t>
  </si>
  <si>
    <t>Смеситель Lemen д/в LB-2418 D40 длин.нос пов.перекл.душа С /10/</t>
  </si>
  <si>
    <t>94498</t>
  </si>
  <si>
    <t>Смеситель Lemen д/в LB-2421 D40 длин.нос пов.перекл.душа С /10/</t>
  </si>
  <si>
    <t>94627</t>
  </si>
  <si>
    <t>Смеситель Lemen д/в LB-2468 D40 длин.нос пов.перекл.душа С /10/</t>
  </si>
  <si>
    <t>94647</t>
  </si>
  <si>
    <t>Смеситель Lemen д/в LB-2504 D40 длин.нос перекл.душа в корпусе С /10/</t>
  </si>
  <si>
    <t>94638</t>
  </si>
  <si>
    <t>Смеситель Lemen д/в LB-2521 D40 длин.нос перекл.душа в корпусе С /10/</t>
  </si>
  <si>
    <t>94881</t>
  </si>
  <si>
    <t>Смеситель Lemen д/в LB-2522 D40 длин.нос перекл.душа в корпусе С /10/</t>
  </si>
  <si>
    <t>94653</t>
  </si>
  <si>
    <t>Смеситель Lemen д/в LB-2524 D40 длинный изл.перекл.в корпусе.картридж С /10/</t>
  </si>
  <si>
    <t>94649</t>
  </si>
  <si>
    <t>Смеситель Lemen д/в LB-2568 D40 длинный изл.перекл.в корпусе.кранбукса, картридж С /10/</t>
  </si>
  <si>
    <t>94603</t>
  </si>
  <si>
    <t>Смеситель Lemen д/в LB-2577 D40 длин.нос перекл.душа в корпусе С /10/</t>
  </si>
  <si>
    <t>94626</t>
  </si>
  <si>
    <t>Смеситель Lemen д/в LB-2677 D40 длин.нос перекл.душа в корпусе С /10/</t>
  </si>
  <si>
    <t>94623</t>
  </si>
  <si>
    <t>Смеситель Lemen д/в LB-3422 D40 кор.нос С /10/</t>
  </si>
  <si>
    <t>94613</t>
  </si>
  <si>
    <t>Смеситель Lemen д/в LB2401 D40 длин.нос пов.перекл.душа Л /10/</t>
  </si>
  <si>
    <t>94654</t>
  </si>
  <si>
    <t>Смеситель Lemen д/в LB2402 D40 длин.нос пов.перекл.душа Л /10/</t>
  </si>
  <si>
    <t>94665</t>
  </si>
  <si>
    <t>Смеситель Lemen д/в LB2403 D40 длин.нос пов.перекл.душа Л /10/</t>
  </si>
  <si>
    <t>94624</t>
  </si>
  <si>
    <t>Смеситель Lemen д/в LB2416 D40 длин.нос пов.перекл.душа Л /10/</t>
  </si>
  <si>
    <t>94883</t>
  </si>
  <si>
    <t>Смеситель Lemen д/в LB2445 D40 длин.нос перекл.душа повор. Л /10/</t>
  </si>
  <si>
    <t>94667</t>
  </si>
  <si>
    <t>Смеситель Lemen д/в LB2518 D40 длин.нос перекл.душа в корпусе Л /10/</t>
  </si>
  <si>
    <t>94611</t>
  </si>
  <si>
    <t>Смеситель Lemen д/в LC-2201 Д35 длинный изл.перекл.в корпусе С /10/</t>
  </si>
  <si>
    <t>94608</t>
  </si>
  <si>
    <t>Смеситель Lemen д/в LC-2206 Д35 длинный изл.перекл.в корпусе С /10/</t>
  </si>
  <si>
    <t>94605</t>
  </si>
  <si>
    <t>Смеситель Lemen д/в LC-2211 Д35 длинный изл.перекл.в корпусе С /10/</t>
  </si>
  <si>
    <t>94615</t>
  </si>
  <si>
    <t>Смеситель Lemen д/в LC-2213E длинный изл. картридж 35 перекл.в корпусе черный C /10/</t>
  </si>
  <si>
    <t>94640</t>
  </si>
  <si>
    <t>Смеситель Lemen д/в LC-2213P длинный изл. картридж 35 перекл.в корпусе. розовый C /10/</t>
  </si>
  <si>
    <t>94635</t>
  </si>
  <si>
    <t>Смеситель Lemen д/в LC-2213W длинный изл. картридж 35 перекл.в корпусе белый C /10/</t>
  </si>
  <si>
    <t>94669</t>
  </si>
  <si>
    <t>Смеситель Lemen д/в LC-2217 Д35 длинный изл.перекл.в корпусе С /10/</t>
  </si>
  <si>
    <t>94656</t>
  </si>
  <si>
    <t>Смеситель Lemen д/в LC-2230 Д35 длинный изл. картридж.перекл.в корпусе С /10/</t>
  </si>
  <si>
    <t>94622</t>
  </si>
  <si>
    <t>Смеситель Lemen д/в LC-2311 Д35 длинный изл.перекл.в корпусе С /10/</t>
  </si>
  <si>
    <t>94657</t>
  </si>
  <si>
    <t>Смеситель Lemen д/в LC-2330W D35 длинный изл.перекл.поворот. белый C /10/</t>
  </si>
  <si>
    <t>94459</t>
  </si>
  <si>
    <t>Смеситель Lemen д/в LC2305 Д35 длинный изл.перекл.в корпусе Л /10/</t>
  </si>
  <si>
    <t>94456</t>
  </si>
  <si>
    <t>Смеситель Lemen д/в LC2307 Д35 длинный изл.перекл.в корпусе Л /10/</t>
  </si>
  <si>
    <t>94652</t>
  </si>
  <si>
    <t>Смеситель Lemen д/в LC2308 Д35 длинный изл.перекл.в корпусе Л /10/</t>
  </si>
  <si>
    <t>947 Смесители LEMEN д/мойки серии LB</t>
  </si>
  <si>
    <t>94721</t>
  </si>
  <si>
    <t>Смеситель Lemen д/м LB-0402 Д40 шпилька с выдвижной лейкой С /10/</t>
  </si>
  <si>
    <t>94748</t>
  </si>
  <si>
    <t>Смеситель Lemen д/м LB-0403 Д40 с выдвижной лейкой петл. C /20/</t>
  </si>
  <si>
    <t>94725</t>
  </si>
  <si>
    <t>Смеситель Lemen д/м LB-0466 Д40 с выдвижной лейкой петл. C /20/</t>
  </si>
  <si>
    <t>94732</t>
  </si>
  <si>
    <t>Смеситель Lemen д/м LB-61401M Д40 дл.изл.картридж гайка молочный С /10/</t>
  </si>
  <si>
    <t>94517</t>
  </si>
  <si>
    <t>Смеситель Lemen д/м LB-61401Е Д40 кор. нос креп.гайка черный С /10/</t>
  </si>
  <si>
    <t>94767</t>
  </si>
  <si>
    <t>Смеситель Lemen д/м LB-61404 Д40 кр.гайка С /10/</t>
  </si>
  <si>
    <t>94785</t>
  </si>
  <si>
    <t>Смеситель Lemen д/м LB-61421 Д40 длин. нос креп.гайка С /10/</t>
  </si>
  <si>
    <t>94762</t>
  </si>
  <si>
    <t>Смеситель Lemen д/м LB-61421В Д40 гайка кор.изл С /10/</t>
  </si>
  <si>
    <t>94779</t>
  </si>
  <si>
    <t>Смеситель Lemen д/м LB-61422В Д40 креп.гайка С /10/</t>
  </si>
  <si>
    <t>94726</t>
  </si>
  <si>
    <t>Смеситель Lemen д/м LB-61477 Д40 гайка С /10/</t>
  </si>
  <si>
    <t>94729</t>
  </si>
  <si>
    <t>Смеситель Lemen д/м LB-61477B Д40 кор. нос креп.гайка /10/</t>
  </si>
  <si>
    <t>94710</t>
  </si>
  <si>
    <t>Смеситель Lemen д/м LB-61477Е Д40 черный С /10/</t>
  </si>
  <si>
    <t>94707</t>
  </si>
  <si>
    <t>Смеситель Lemen д/м LB-61477М Д40 дл.излив гайка молочный C /10/</t>
  </si>
  <si>
    <t>94780</t>
  </si>
  <si>
    <t>Смеситель Lemen д/м LB-6421 Д40 длин.нос шпилька С /10/</t>
  </si>
  <si>
    <t>94772</t>
  </si>
  <si>
    <t>Смеситель Lemen д/м LB-6421В Д40 кор.изл шпилька С /10/</t>
  </si>
  <si>
    <t>94876</t>
  </si>
  <si>
    <t>Смеситель Lemen д/м LB-6422 Д40 длин.излив шпилька С /10/</t>
  </si>
  <si>
    <t>94778</t>
  </si>
  <si>
    <t>Смеситель Lemen д/м LB-6422В Д40 кор.изл шпилька С /10/</t>
  </si>
  <si>
    <t>94681</t>
  </si>
  <si>
    <t>Смеситель Lemen д/м LB-6468 Д40 шпилька С /10/</t>
  </si>
  <si>
    <t>94791</t>
  </si>
  <si>
    <t>Смеситель Lemen д/м LB-91101Е Д40 боковой кр.гайка. черный С /10/</t>
  </si>
  <si>
    <t>94773</t>
  </si>
  <si>
    <t>Смеситель Lemen д/м LB-91101М Д40 боковой кр.гайка молочный С /10/</t>
  </si>
  <si>
    <t>94564</t>
  </si>
  <si>
    <t>Смеситель Lemen д/м LB-91101Н Д40 боковой  кр.гайка серый С /10/</t>
  </si>
  <si>
    <t>94715</t>
  </si>
  <si>
    <t>Смеситель Lemen д/м LB-91177 Д40 бок. высок.изл. гайка С /10/</t>
  </si>
  <si>
    <t>94714</t>
  </si>
  <si>
    <t>Смеситель Lemen д/м LB-91177Q Д40 бок.гайка высок.корп. бронзовый С /10/</t>
  </si>
  <si>
    <t>94720</t>
  </si>
  <si>
    <t>Смеситель Lemen д/м LB-91177Е Д40 бок.гайка высок.корп. черный С /10/</t>
  </si>
  <si>
    <t>94746</t>
  </si>
  <si>
    <t>Смеситель Lemen д/м LB-91177М Д40 бок.гайка высок.корп. молочный С /10/</t>
  </si>
  <si>
    <t>94774</t>
  </si>
  <si>
    <t>Смеситель Lemen д/м LB-91177Н Д40 бок.гайка высок.корп. серый С /10/</t>
  </si>
  <si>
    <t>94727</t>
  </si>
  <si>
    <t>Смеситель Lemen д/м LB-91402 D40 бок.кр,гайка С /10/</t>
  </si>
  <si>
    <t>94789</t>
  </si>
  <si>
    <t>Смеситель Lemen д/м LB-91403 D40 бок.кр,гайка С /10/</t>
  </si>
  <si>
    <t>94793</t>
  </si>
  <si>
    <t>Смеситель Lemen д/м LB-91403-N24 D40 бок.кр,гайка С /10/</t>
  </si>
  <si>
    <t>94709</t>
  </si>
  <si>
    <t>Смеситель Lemen д/м LB-91404 D40 бок.кр,гайка С /10/</t>
  </si>
  <si>
    <t>94786</t>
  </si>
  <si>
    <t>Смеситель Lemen д/м LB-91421 D40 бок.кр,гайка С /10/</t>
  </si>
  <si>
    <t>94799</t>
  </si>
  <si>
    <t>Смеситель Lemen д/м LB-91422 D40 бок.кр,гайка С /10/</t>
  </si>
  <si>
    <t>94716</t>
  </si>
  <si>
    <t>Смеситель Lemen д/м LB-91428 D40 бок.кр,гайка С /10/</t>
  </si>
  <si>
    <t>94763</t>
  </si>
  <si>
    <t>Смеситель Lemen д/м LB-91453 D40 бок.кр,гайка С /10/</t>
  </si>
  <si>
    <t>94777</t>
  </si>
  <si>
    <t>Смеситель Lemen д/м LB-91468 D40 бок.кр,гайка С /10/</t>
  </si>
  <si>
    <t>94761</t>
  </si>
  <si>
    <t>Смеситель Lemen д/м LB-91468-N19 Д40 гайка Л /10/</t>
  </si>
  <si>
    <t>94722</t>
  </si>
  <si>
    <t>Смеситель Lemen д/м LB-91477 бок.картридж 40 гайка С /10/</t>
  </si>
  <si>
    <t>94740</t>
  </si>
  <si>
    <t>Смеситель Lemen д/м LB-91477-N24 Д40 бок. гайка высок.корп. С /10/</t>
  </si>
  <si>
    <t>94739</t>
  </si>
  <si>
    <t>Смеситель Lemen д/м LB-91477M Д40 бок. гайка высок.корп. молочный С /10/</t>
  </si>
  <si>
    <t>94759</t>
  </si>
  <si>
    <t>Смеситель Lemen д/м LB-91477Е Д40 бок. гайка высок.корп. черный С /10/</t>
  </si>
  <si>
    <t>94703</t>
  </si>
  <si>
    <t>Смеситель Lemen д/м LB-91477Н Д40 бок.гайка высок.корп. серый С /10/</t>
  </si>
  <si>
    <t>94731</t>
  </si>
  <si>
    <t>Смеситель Lemen д/м LB-91482 Д40 изл. толс.гайка С /10/</t>
  </si>
  <si>
    <t>94706</t>
  </si>
  <si>
    <t>Смеситель Lemen д/м LB-91482-N24 Д40 изл. толс.гайка С /10/</t>
  </si>
  <si>
    <t>94754</t>
  </si>
  <si>
    <t>Смеситель Lemen д/м LB-91482E D40 бок.кр,гайка черный С /10/</t>
  </si>
  <si>
    <t>94758</t>
  </si>
  <si>
    <t>Смеситель Lemen д/м LB-91482M D40 бок.кр,гайка бежевый С /10/</t>
  </si>
  <si>
    <t>94760</t>
  </si>
  <si>
    <t>Смеситель Lemen д/м LB-91482Q D40 бок.кр,гайка бронзовый С /10/</t>
  </si>
  <si>
    <t>94784</t>
  </si>
  <si>
    <t>Смеситель Lemen д/м LB-9403 Д40 бок. шпилька С /10/</t>
  </si>
  <si>
    <t>94509</t>
  </si>
  <si>
    <t>Смеситель Lemen д/м LB61401 Д40 креп.гайка Л /10/</t>
  </si>
  <si>
    <t>94749</t>
  </si>
  <si>
    <t>Смеситель Lemen д/м LB61401B Д40 кор.изливкреп.гайка Л /10/</t>
  </si>
  <si>
    <t>94717</t>
  </si>
  <si>
    <t>Смеситель Lemen д/м LB61402 Д40 длин нос креп.гайка Л /10/</t>
  </si>
  <si>
    <t>94519</t>
  </si>
  <si>
    <t>Смеситель Lemen д/м LB61403 Д40 длин нос креп.гайка Л /10/</t>
  </si>
  <si>
    <t>94520</t>
  </si>
  <si>
    <t>Смеситель Lemen д/м LB61403В Д40 кор.излив креп.гайка Л /10/</t>
  </si>
  <si>
    <t>94824</t>
  </si>
  <si>
    <t>Смеситель Lemen д/м LB61417 Д40 хируг. ручка. гайка Л /10/</t>
  </si>
  <si>
    <t>94766</t>
  </si>
  <si>
    <t>Смеситель Lemen д/м LB61417B Д40 хируг. ручка. гайка Л /10/</t>
  </si>
  <si>
    <t>94713</t>
  </si>
  <si>
    <t>Смеситель Lemen д/м LB61424 Д40 длсный.излив гайка Л /10/</t>
  </si>
  <si>
    <t>94711</t>
  </si>
  <si>
    <t>Смеситель Lemen д/м LB61424В Д40 кор.излив гайка Л /10/</t>
  </si>
  <si>
    <t>94744</t>
  </si>
  <si>
    <t>Смеситель Lemen д/м LB61477 Д40 креп.гайка Л /10/</t>
  </si>
  <si>
    <t>94730</t>
  </si>
  <si>
    <t>Смеситель Lemen д/м LB6402 шпилька Д40 мм Л /10/</t>
  </si>
  <si>
    <t>94764</t>
  </si>
  <si>
    <t>Смеситель Lemen д/м LB6402B Д40 мм кор.изл. шпилька Л /10/</t>
  </si>
  <si>
    <t>95061</t>
  </si>
  <si>
    <t>Смеситель Lemen д/м LB6403 Д40 длин.изл.шпилька Л /10/</t>
  </si>
  <si>
    <t>95060</t>
  </si>
  <si>
    <t>Смеситель Lemen д/м LB6404 петля (40) длин.нос щпилька Л /10/</t>
  </si>
  <si>
    <t>94878</t>
  </si>
  <si>
    <t>Смеситель Lemen д/м LB6418 Д40 длин.нос Л /10/</t>
  </si>
  <si>
    <t>94743</t>
  </si>
  <si>
    <t>Смеситель Lemen д/м LB6418B шпилька. Д40 мм Л /10/</t>
  </si>
  <si>
    <t>94723</t>
  </si>
  <si>
    <t>Смеситель Lemen д/м LB90101 боковой D40 кр. шпилька. Л /10/</t>
  </si>
  <si>
    <t>94752</t>
  </si>
  <si>
    <t>Смеситель Lemen д/м LB90101Е боковой D40 кр. шпилька. черный Л /10/</t>
  </si>
  <si>
    <t>94788</t>
  </si>
  <si>
    <t>Смеситель Lemen д/м LB91101 боковой D40 кр. гайка Л /10/</t>
  </si>
  <si>
    <t>94708</t>
  </si>
  <si>
    <t>Смеситель Lemen д/м LB91177 Д40 бок. высок.изл. гайка Л /10/</t>
  </si>
  <si>
    <t>94741</t>
  </si>
  <si>
    <t>Смеситель Lemen д/м LB91402 D40 бок.кр,гайка Л /10/</t>
  </si>
  <si>
    <t>94776</t>
  </si>
  <si>
    <t>Смеситель Lemen д/м LB91416 D40 бок.кр,гайка Л /10/</t>
  </si>
  <si>
    <t>94742</t>
  </si>
  <si>
    <t>Смеситель Lemen д/м LB91418 D40 бок.кр,гайка Л /10/</t>
  </si>
  <si>
    <t>94747</t>
  </si>
  <si>
    <t>Смеситель Lemen д/м LB91420 D40 бок.кр,гайка Л /10/</t>
  </si>
  <si>
    <t>94700</t>
  </si>
  <si>
    <t>Смеситель Lemen д/м LB91424 D40 бок.кр,гайка Л /10/</t>
  </si>
  <si>
    <t>948 Смесители LEMEN д/ванны</t>
  </si>
  <si>
    <t>94813</t>
  </si>
  <si>
    <t>Смеситель Lemen д/в G22304 Д35 длинный изл.перекл-картриджнерж.ст Н /10/</t>
  </si>
  <si>
    <t>94822</t>
  </si>
  <si>
    <t>Смеситель Lemen д/в G22306 Д35 длинный изл.перекл-картриджнерж.ст Н /10/</t>
  </si>
  <si>
    <t>94803</t>
  </si>
  <si>
    <t>Смеситель Lemen д/в LD-20251 кр.бук.1/2"длинный кр.изл.перекл.в корпусе.крест С /10/</t>
  </si>
  <si>
    <t>94825</t>
  </si>
  <si>
    <t>Смеситель Lemen д/в LD-20265 кр.бук.1/2"длинный изл.перекл.в корпусе.крест С /10/</t>
  </si>
  <si>
    <t>94836</t>
  </si>
  <si>
    <t>Смеситель Lemen д/в LD-20271 кр.бук.1/2"длинный изл.перекл.в корпусе.крест С /10/</t>
  </si>
  <si>
    <t>94891</t>
  </si>
  <si>
    <t>Смеситель Lemen д/в LD-20564 кр.бук.1/2"длинный изл.перекл.в корпусе.крест С /10/</t>
  </si>
  <si>
    <t>94801</t>
  </si>
  <si>
    <t>Смеситель Lemen д/в LD-20564H кр.бук.1/2"длинный изл.кр.люксперекл.в корпусе.крест С /10/</t>
  </si>
  <si>
    <t>94431</t>
  </si>
  <si>
    <t>Смеситель Lemen д/в LD-20567 кр.бук.1/2"длинный кр.изл.перекл.в корпусе.крест С /10/</t>
  </si>
  <si>
    <t>94884</t>
  </si>
  <si>
    <t>Смеситель Lemen д/в LD-20571 кр.бук.1/2"длинный изл.перекл.в корпусе.крест С /10/</t>
  </si>
  <si>
    <t>94804</t>
  </si>
  <si>
    <t>Смеситель Lemen д/в LD-20964F кр.бук.1/2"длинный плоск.изл.перекл.в корпусе.крест С /10/</t>
  </si>
  <si>
    <t>94894</t>
  </si>
  <si>
    <t>Смеситель Lemen д/в LD-20969 кр.бук.1/2"длинный толст.кр.изл.перекл.Н24 в корпусе.звезд. С /10/</t>
  </si>
  <si>
    <t>94855</t>
  </si>
  <si>
    <t>Смеситель Lemen д/в LD-20969F кр.бук.1/2"длинный толст.кр.изл.перекл. в корпусе.звезд. С /10/</t>
  </si>
  <si>
    <t>94816</t>
  </si>
  <si>
    <t>Смеситель Lemen д/в LD-22464 кр.бук.1/2"длинный изл.перекл.в корпусе.крест С /10/</t>
  </si>
  <si>
    <t>94833</t>
  </si>
  <si>
    <t>Смеситель Lemen д/в LD-22465 кр.бук.1/2"длинный изл.перекл.в корпусе.крест С /10/</t>
  </si>
  <si>
    <t>94826</t>
  </si>
  <si>
    <t>Смеситель Lemen д/в LD-22471 кр.бук.1/2"длинный изл.перекл.в корпусе.крест С /10/</t>
  </si>
  <si>
    <t>94859</t>
  </si>
  <si>
    <t>Смеситель Lemen д/в LD-2734Y кр.бук.1/2"длин.кругл.нос кер.крест желтый /10/</t>
  </si>
  <si>
    <t>94807</t>
  </si>
  <si>
    <t>Смеситель Lemen д/в LD-2734С кр.бук.1/2"длин.кругл.нос кер.крест синий С /10/</t>
  </si>
  <si>
    <t>94815</t>
  </si>
  <si>
    <t>Смеситель Lemen д/в LD-2751 кр.бук.1/2"длинный изл.перекл.в корпусе.картридж С /10/</t>
  </si>
  <si>
    <t>94882</t>
  </si>
  <si>
    <t>Смеситель Lemen д/в LD-2757 кр.бук.1/2"длинный изл.перекл.в корпусе.картридж С /10/</t>
  </si>
  <si>
    <t>94812</t>
  </si>
  <si>
    <t>Смеситель Lemen д/в LD-2757G кр.бук.1/2"длинный изл.перекл.в корпусе.крест зеленый C /10/</t>
  </si>
  <si>
    <t>94821</t>
  </si>
  <si>
    <t>Смеситель Lemen д/в LD-2757R кр.бук.1/2"длинный изл.перекл.в корпусе.крест красный C /10/</t>
  </si>
  <si>
    <t>94823</t>
  </si>
  <si>
    <t>Смеситель Lemen д/в LD-2757W кр.бук.1/2"длинный изл.перекл.в корпусе.крест белый C /10/</t>
  </si>
  <si>
    <t>94811</t>
  </si>
  <si>
    <t>Смеситель Lemen д/в LD-2757Y кр.бук.1/2" длинный изл.перекл.в корпусе.крест желтый C /10/</t>
  </si>
  <si>
    <t>94865</t>
  </si>
  <si>
    <t>Смеситель Lemen д/в LD-2757Е кр.бук.1/2"длинный изл.перекл.в корпусе.крест черный C /10/</t>
  </si>
  <si>
    <t>94828</t>
  </si>
  <si>
    <t>Смеситель Lemen д/в LD-2757С кр.бук.1/2"длинный изл.перекл.в корпусе.крест синий C /10/</t>
  </si>
  <si>
    <t>94885</t>
  </si>
  <si>
    <t>Смеситель Lemen д/в LD-2765 кр.бук.1/2"длинный изл.перекл.в корпусе.картридж С /10/</t>
  </si>
  <si>
    <t>94809</t>
  </si>
  <si>
    <t>Смеситель Lemen д/в LD20751 кр.бук.1/2"длинный кр.изл.перекл.в корпусе.крест Л /10/</t>
  </si>
  <si>
    <t>94857</t>
  </si>
  <si>
    <t>Смеситель Lemen д/в LD20765 кр.бук.1/2"длинный кр.изл.перекл.в корпусе.крест Л /10/</t>
  </si>
  <si>
    <t>94862</t>
  </si>
  <si>
    <t>Смеситель Lemen д/в LD22164 кр.бук.1/2"длинный кр.изл.перекл.в корпусе.крест Л /10/</t>
  </si>
  <si>
    <t>94849</t>
  </si>
  <si>
    <t>Смеситель Lemen д/в LD22164F кр.бук.1/2"длинный прям. изл.шар.перекл. крест Л /10/</t>
  </si>
  <si>
    <t>94842</t>
  </si>
  <si>
    <t>Смеситель Lemen д/в LD22165 кр.бук.1/2"длинный кр.изл.перекл.в корпусе.крест Л /10/</t>
  </si>
  <si>
    <t>94834</t>
  </si>
  <si>
    <t>Смеситель Lemen д/в LD22169 кр.бук.1/2"длинный кр.изл.перекл.в корпусе.крест Л /10/</t>
  </si>
  <si>
    <t>94895</t>
  </si>
  <si>
    <t>Смеситель Lemen д/в LD3164Q кр.бук.1/2"кер.крест кор.изл. цвет бронза Л /10/</t>
  </si>
  <si>
    <t>949-956 Фитинги</t>
  </si>
  <si>
    <t>949 Фитинги латунные</t>
  </si>
  <si>
    <t>94900</t>
  </si>
  <si>
    <t>Американка латунь 1" FM /5/</t>
  </si>
  <si>
    <t>94973</t>
  </si>
  <si>
    <t>Американка латунь 1/2 FM /10/</t>
  </si>
  <si>
    <t>94903</t>
  </si>
  <si>
    <t>Американка латунь угловая 1 FM /5/</t>
  </si>
  <si>
    <t>94981</t>
  </si>
  <si>
    <t>Американка латунь угловая 1/2 FM /10/</t>
  </si>
  <si>
    <t>94988</t>
  </si>
  <si>
    <t>Американка латунь угловая 3/4 FM /10/</t>
  </si>
  <si>
    <t>94980</t>
  </si>
  <si>
    <t>Бочонок латунь 1/2Н*60 мм /10/</t>
  </si>
  <si>
    <t>94955</t>
  </si>
  <si>
    <t>Бочонок латунь 1Н*80 мм /10/</t>
  </si>
  <si>
    <t>94976</t>
  </si>
  <si>
    <t>Заглушка латунь 1 г /10/</t>
  </si>
  <si>
    <t>94992</t>
  </si>
  <si>
    <t>Заглушка латунь 1 ш /10/</t>
  </si>
  <si>
    <t>94977</t>
  </si>
  <si>
    <t>Заглушка латунь 1 ш с контрольным отв. /15/</t>
  </si>
  <si>
    <t>94902</t>
  </si>
  <si>
    <t>Заглушка латунь 1/2 г /10/</t>
  </si>
  <si>
    <t>94979</t>
  </si>
  <si>
    <t>Заглушка латунь 1/2 г с контрольным отв. /50/</t>
  </si>
  <si>
    <t>94901</t>
  </si>
  <si>
    <t>Заглушка латунь 1/2 ш /10/200/</t>
  </si>
  <si>
    <t>94942</t>
  </si>
  <si>
    <t>Заглушка латунь 3/4 г /10/120/</t>
  </si>
  <si>
    <t>94972</t>
  </si>
  <si>
    <t>Заглушка латунь 3/4 ш /10/</t>
  </si>
  <si>
    <t>94926</t>
  </si>
  <si>
    <t>Контргайка латунь 1* (1203)</t>
  </si>
  <si>
    <t>94948</t>
  </si>
  <si>
    <t>Контргайка латунь 1/2 /10/300/</t>
  </si>
  <si>
    <t>94908</t>
  </si>
  <si>
    <t>Контргайка латунь 3/4</t>
  </si>
  <si>
    <t>94937</t>
  </si>
  <si>
    <t>Крест латунь 1/2</t>
  </si>
  <si>
    <t>94962</t>
  </si>
  <si>
    <t>Крест латунь 1/2г*1/2ш*1/2г*1/2ш</t>
  </si>
  <si>
    <t>94956</t>
  </si>
  <si>
    <t>Крест латунь 3/4</t>
  </si>
  <si>
    <t>92004</t>
  </si>
  <si>
    <t>Муфта латунь 1</t>
  </si>
  <si>
    <t>94971</t>
  </si>
  <si>
    <t>Муфта латунь 1 1/4</t>
  </si>
  <si>
    <t>94914</t>
  </si>
  <si>
    <t>Муфта латунь 1/2</t>
  </si>
  <si>
    <t>94951</t>
  </si>
  <si>
    <t>Муфта латунь 3/4</t>
  </si>
  <si>
    <t>94953</t>
  </si>
  <si>
    <t>Муфта латунь переходная 1 1/4*1</t>
  </si>
  <si>
    <t>94912</t>
  </si>
  <si>
    <t>Муфта латунь переходная 1 1/4*1/2 А0314А</t>
  </si>
  <si>
    <t>94913</t>
  </si>
  <si>
    <t>Муфта латунь переходная 1*1/2 А0315А</t>
  </si>
  <si>
    <t>94933</t>
  </si>
  <si>
    <t>Муфта латунь переходная 1*3/4 А0313А /40/</t>
  </si>
  <si>
    <t>94949</t>
  </si>
  <si>
    <t>Муфта латунь переходная 1/2*3/8 /10/</t>
  </si>
  <si>
    <t>94950</t>
  </si>
  <si>
    <t>Муфта латунь переходная 3/4*1/2 /10/</t>
  </si>
  <si>
    <t>94934</t>
  </si>
  <si>
    <t>Ниппель латунь 1 /0506</t>
  </si>
  <si>
    <t>94985</t>
  </si>
  <si>
    <t>Ниппель латунь 1 1/4</t>
  </si>
  <si>
    <t>94983</t>
  </si>
  <si>
    <t>Ниппель латунь 1/2" /25/130/</t>
  </si>
  <si>
    <t>94904</t>
  </si>
  <si>
    <t>Ниппель латунь 3/4" /75/</t>
  </si>
  <si>
    <t>94945</t>
  </si>
  <si>
    <t>Ниппель латунь 3/8" усил.</t>
  </si>
  <si>
    <t>94911</t>
  </si>
  <si>
    <t>Ниппель латунь переходной 1 1/2*1 А0509А</t>
  </si>
  <si>
    <t>94935</t>
  </si>
  <si>
    <t>Ниппель латунь переходной 1 1/4*1</t>
  </si>
  <si>
    <t>94925</t>
  </si>
  <si>
    <t>Ниппель латунь переходной 1 1/4*1/2 А0514А</t>
  </si>
  <si>
    <t>94917</t>
  </si>
  <si>
    <t>Ниппель латунь переходной 1/2*1 /10/</t>
  </si>
  <si>
    <t>94969</t>
  </si>
  <si>
    <t>Ниппель латунь переходной 1/2*3/8 /10/</t>
  </si>
  <si>
    <t>94915</t>
  </si>
  <si>
    <t>Ниппель латунь переходной 3/4*1 /10/</t>
  </si>
  <si>
    <t>94936</t>
  </si>
  <si>
    <t>Ниппель латунь переходной 3/4*1 1/4 А0593А</t>
  </si>
  <si>
    <t>94921</t>
  </si>
  <si>
    <t>Ниппель латунь переходной 3/4*1/2 А0511А /10/</t>
  </si>
  <si>
    <t>95017</t>
  </si>
  <si>
    <t>Переходник латунь 1 1/2г*1 1/4ш</t>
  </si>
  <si>
    <t>94954</t>
  </si>
  <si>
    <t>Переходник латунь 1 г-ш</t>
  </si>
  <si>
    <t>94990</t>
  </si>
  <si>
    <t>Переходник латунь 1/2г*1 1/4ш</t>
  </si>
  <si>
    <t>94986</t>
  </si>
  <si>
    <t>Переходник латунь 1/2г*1/4ш /10/</t>
  </si>
  <si>
    <t>94998</t>
  </si>
  <si>
    <t>Переходник латунь 1/2г*3/8ш /10/</t>
  </si>
  <si>
    <t>94916</t>
  </si>
  <si>
    <t>Переходник латунь 1/2ш*1г /10/</t>
  </si>
  <si>
    <t>94924</t>
  </si>
  <si>
    <t>Переходник латунь 1/2ш*3/4г /10/</t>
  </si>
  <si>
    <t>95019</t>
  </si>
  <si>
    <t>Переходник латунь 1ш*1 1/2г</t>
  </si>
  <si>
    <t>94918</t>
  </si>
  <si>
    <t>Переходник латунь 3/4 г-ш</t>
  </si>
  <si>
    <t>95036</t>
  </si>
  <si>
    <t>Переходник латунь 3/4г*1 1/4ш</t>
  </si>
  <si>
    <t>94909</t>
  </si>
  <si>
    <t>Переходник латунь 3/4г*3/4ш 0609</t>
  </si>
  <si>
    <t>94970</t>
  </si>
  <si>
    <t>Переходник латунь 3/4ш*1 1/2г</t>
  </si>
  <si>
    <t>94939</t>
  </si>
  <si>
    <t>Переходник латунь 3/4ш*1г А0613А /10/</t>
  </si>
  <si>
    <t>94957</t>
  </si>
  <si>
    <t>Сгон латунь 1/2" 80 мм /10/</t>
  </si>
  <si>
    <t>94960</t>
  </si>
  <si>
    <t>Сгон латунь 3/4" 100 мм</t>
  </si>
  <si>
    <t>94905</t>
  </si>
  <si>
    <t>Тройник латунь Т 1/2 /10/</t>
  </si>
  <si>
    <t>94919</t>
  </si>
  <si>
    <t>Тройник латунь Т 1/2*1/2*1/2Н А0213А /10/</t>
  </si>
  <si>
    <t>94920</t>
  </si>
  <si>
    <t>Тройник латунь Т 1/2*1/2Н*1/2</t>
  </si>
  <si>
    <t>94922</t>
  </si>
  <si>
    <t>Тройник латунь Т 1/2*1/2Н*1/2Н</t>
  </si>
  <si>
    <t>94931</t>
  </si>
  <si>
    <t>Тройник латунь Т 1/2Н*1/2Н*1/2Н /10/</t>
  </si>
  <si>
    <t>94958</t>
  </si>
  <si>
    <t>Тройник латунь Т 1/2Н*3/4Н*3/4Н /10/</t>
  </si>
  <si>
    <t>94839</t>
  </si>
  <si>
    <t>Тройник латунь Т 1B</t>
  </si>
  <si>
    <t>94938</t>
  </si>
  <si>
    <t>Тройник латунь Т 1Н*1Н*1Н /15/</t>
  </si>
  <si>
    <t>94943</t>
  </si>
  <si>
    <t>Тройник латунь Т 3/4B</t>
  </si>
  <si>
    <t>94967</t>
  </si>
  <si>
    <t>Тройник переходной латунь Т 1/2*1/2*3/4*H</t>
  </si>
  <si>
    <t>94930</t>
  </si>
  <si>
    <t>Уголок латунь 1/2</t>
  </si>
  <si>
    <t>94944</t>
  </si>
  <si>
    <t>Уголок латунь 1/2 с наст.креплен.</t>
  </si>
  <si>
    <t>94968</t>
  </si>
  <si>
    <t>Уголок латунь 1/2*1/2Н</t>
  </si>
  <si>
    <t>94927</t>
  </si>
  <si>
    <t>Уголок латунь 1/2Н*1/2Н</t>
  </si>
  <si>
    <t>94984</t>
  </si>
  <si>
    <t>Уголок латунь 3/4 г /5/</t>
  </si>
  <si>
    <t>94963</t>
  </si>
  <si>
    <t>Уголок латунь 3/4 Н</t>
  </si>
  <si>
    <t>94928</t>
  </si>
  <si>
    <t>Уголок латунь переходной 1/2*3/4</t>
  </si>
  <si>
    <t>94964</t>
  </si>
  <si>
    <t>Футорка латунь 1*1 1/4Н</t>
  </si>
  <si>
    <t>94929</t>
  </si>
  <si>
    <t>Футорка латунь 1/2*1 1/4 (0710)</t>
  </si>
  <si>
    <t>94946</t>
  </si>
  <si>
    <t>Футорка латунь 1/2*1Н /10/</t>
  </si>
  <si>
    <t>95557</t>
  </si>
  <si>
    <t>Футорка латунь 1/2*3/4Н /10/</t>
  </si>
  <si>
    <t>94982</t>
  </si>
  <si>
    <t>Футорка латунь 1/2Н*3/8 /10/</t>
  </si>
  <si>
    <t>94941</t>
  </si>
  <si>
    <t>Футорка латунь 3/4*1 1/4 (0711)</t>
  </si>
  <si>
    <t>94947</t>
  </si>
  <si>
    <t>Футорка латунь 3/4*1Н /10/</t>
  </si>
  <si>
    <t>94995</t>
  </si>
  <si>
    <t>Футорка латунь 3/8Н*1/4 /10/</t>
  </si>
  <si>
    <t>950 Фитинги оцинкованные</t>
  </si>
  <si>
    <t>95009</t>
  </si>
  <si>
    <t>Бочата оцинков. ДУ25</t>
  </si>
  <si>
    <t>95012</t>
  </si>
  <si>
    <t>Бочата оцинков. ДУ32</t>
  </si>
  <si>
    <t>90259</t>
  </si>
  <si>
    <t>Бочата оцинков. ДУ40</t>
  </si>
  <si>
    <t>95005</t>
  </si>
  <si>
    <t>Бочата оцинков. ДУ50</t>
  </si>
  <si>
    <t>95047</t>
  </si>
  <si>
    <t>Контргайка оцинков. 32</t>
  </si>
  <si>
    <t>95021</t>
  </si>
  <si>
    <t>Контргайка оцинков. 40</t>
  </si>
  <si>
    <t>95010</t>
  </si>
  <si>
    <t>Контргайка оцинков. 50</t>
  </si>
  <si>
    <t>95003</t>
  </si>
  <si>
    <t>Муфта оцинков. ДУ 25</t>
  </si>
  <si>
    <t>95043</t>
  </si>
  <si>
    <t>Отвод гнутый корот. оцин. ДУ15 /50/</t>
  </si>
  <si>
    <t>95026</t>
  </si>
  <si>
    <t>Отвод гнутый корот. оцин. ДУ20 /50/</t>
  </si>
  <si>
    <t>95018</t>
  </si>
  <si>
    <t>Отвод гнутый корот. оцин. ДУ25</t>
  </si>
  <si>
    <t>95029</t>
  </si>
  <si>
    <t>Отвод гнутый корот. оцин. ДУ32</t>
  </si>
  <si>
    <t>92638</t>
  </si>
  <si>
    <t>Отвод гнутый оцин. ДУ50</t>
  </si>
  <si>
    <t>95000</t>
  </si>
  <si>
    <t>Отвод крутоизог. оцинк. 57</t>
  </si>
  <si>
    <t>95085</t>
  </si>
  <si>
    <t>Отвод крутоизог. оцинк. 89*3,5</t>
  </si>
  <si>
    <t>95048</t>
  </si>
  <si>
    <t>Резьба оцинк. ДУ20</t>
  </si>
  <si>
    <t>95079</t>
  </si>
  <si>
    <t>Резьба оцинк. ДУ25</t>
  </si>
  <si>
    <t>93222</t>
  </si>
  <si>
    <t>Резьба оцинк. ДУ32</t>
  </si>
  <si>
    <t>95056</t>
  </si>
  <si>
    <t>Сгон оцинков. ДУ25</t>
  </si>
  <si>
    <t>95034</t>
  </si>
  <si>
    <t>Сгон оцинков. ДУ32</t>
  </si>
  <si>
    <t>95089</t>
  </si>
  <si>
    <t>Сгон оцинков. ДУ40</t>
  </si>
  <si>
    <t>90668</t>
  </si>
  <si>
    <t>Тройник оцинков. Ду32</t>
  </si>
  <si>
    <t>90669</t>
  </si>
  <si>
    <t>Тройник оцинков. Ду40</t>
  </si>
  <si>
    <t>90670</t>
  </si>
  <si>
    <t>Тройник оцинков. Ду50</t>
  </si>
  <si>
    <t>95053</t>
  </si>
  <si>
    <t>Тройник переходной оцинк. Ду25*20</t>
  </si>
  <si>
    <t>90674</t>
  </si>
  <si>
    <t>Уголок оцинков. Ду50</t>
  </si>
  <si>
    <t>95022</t>
  </si>
  <si>
    <t>Уголок переходной оцинк. 25*15</t>
  </si>
  <si>
    <t>951 Фитинги черные</t>
  </si>
  <si>
    <t>91059</t>
  </si>
  <si>
    <t>Заглушка ст20 133*4,0</t>
  </si>
  <si>
    <t>95183</t>
  </si>
  <si>
    <t>Заглушка ст20 38*3</t>
  </si>
  <si>
    <t>95147</t>
  </si>
  <si>
    <t>Контргайка стальная 32</t>
  </si>
  <si>
    <t>95122</t>
  </si>
  <si>
    <t>Контргайка стальная 50</t>
  </si>
  <si>
    <t>95119</t>
  </si>
  <si>
    <t>Контргайка черная 15 /500/</t>
  </si>
  <si>
    <t>95104</t>
  </si>
  <si>
    <t>Контргайка черная 20 /100/</t>
  </si>
  <si>
    <t>95146</t>
  </si>
  <si>
    <t>Контргайка черная 25</t>
  </si>
  <si>
    <t>95106</t>
  </si>
  <si>
    <t>Контргайка черная 32 /250/</t>
  </si>
  <si>
    <t>95100</t>
  </si>
  <si>
    <t>Контргайка черная 40 /50/</t>
  </si>
  <si>
    <t>95185</t>
  </si>
  <si>
    <t>Контргайка черная 50 /20/</t>
  </si>
  <si>
    <t>95102</t>
  </si>
  <si>
    <t>Крест черный ДУ25 имп.</t>
  </si>
  <si>
    <t>95156</t>
  </si>
  <si>
    <t>Крест черный ДУ32 имп.</t>
  </si>
  <si>
    <t>95157</t>
  </si>
  <si>
    <t>Крест черный ДУ40 имп.</t>
  </si>
  <si>
    <t>95159</t>
  </si>
  <si>
    <t>Крест черный ДУ50 имп.</t>
  </si>
  <si>
    <t>95114</t>
  </si>
  <si>
    <t>Муфта черная ДУ 20 /50/</t>
  </si>
  <si>
    <t>95120</t>
  </si>
  <si>
    <t>Муфта черная ДУ 25 /50/</t>
  </si>
  <si>
    <t>95116</t>
  </si>
  <si>
    <t>Муфта черная ДУ 40 /50/</t>
  </si>
  <si>
    <t>95126</t>
  </si>
  <si>
    <t>Тройник переходной черный Ду25*15</t>
  </si>
  <si>
    <t>92450</t>
  </si>
  <si>
    <t>Тройник переходной черный Ду25*20</t>
  </si>
  <si>
    <t>95177</t>
  </si>
  <si>
    <t>Тройник переходной черный Ду32*25 имп.</t>
  </si>
  <si>
    <t>90380</t>
  </si>
  <si>
    <t>Тройник черный Ду25 /20/</t>
  </si>
  <si>
    <t>95139</t>
  </si>
  <si>
    <t>Тройник черный Ду32</t>
  </si>
  <si>
    <t>95124</t>
  </si>
  <si>
    <t>Тройник черный Ду40 имп.</t>
  </si>
  <si>
    <t>90383</t>
  </si>
  <si>
    <t>Тройник черный Ду50 /20/</t>
  </si>
  <si>
    <t>90683</t>
  </si>
  <si>
    <t>Уголок переходной черный 15*32</t>
  </si>
  <si>
    <t>95101</t>
  </si>
  <si>
    <t>Уголок переходной черный 32*20</t>
  </si>
  <si>
    <t>92594</t>
  </si>
  <si>
    <t>Уголок черный Ду20 /200/</t>
  </si>
  <si>
    <t>95112</t>
  </si>
  <si>
    <t>Уголок черный Ду40</t>
  </si>
  <si>
    <t>95140</t>
  </si>
  <si>
    <t>Уголок черный Ду50</t>
  </si>
  <si>
    <t>952 Трубная заготовка</t>
  </si>
  <si>
    <t>95241</t>
  </si>
  <si>
    <t>Бочата черные ДУ50</t>
  </si>
  <si>
    <t>95237</t>
  </si>
  <si>
    <t>Отвод гнутый корот.черный ДУ25 /10/</t>
  </si>
  <si>
    <t>95232</t>
  </si>
  <si>
    <t>Отвод гнутый корот.черный ДУ50 /50/</t>
  </si>
  <si>
    <t>95238</t>
  </si>
  <si>
    <t>Отвод гнутый с резьб.черный ДУ20</t>
  </si>
  <si>
    <t>95210</t>
  </si>
  <si>
    <t>Отвод гнутый с резьб.черный ДУ40</t>
  </si>
  <si>
    <t>95206</t>
  </si>
  <si>
    <t>Отвод гнутый черный ДУ15 /100/</t>
  </si>
  <si>
    <t>95248</t>
  </si>
  <si>
    <t>Отвод гнутый черный ДУ25 /50/</t>
  </si>
  <si>
    <t>95213</t>
  </si>
  <si>
    <t>Отвод гнутый черный ДУ32 /40/</t>
  </si>
  <si>
    <t>95233</t>
  </si>
  <si>
    <t>Отвод гнутый черный ДУ40 /30/</t>
  </si>
  <si>
    <t>95240</t>
  </si>
  <si>
    <t>Отвод Утка черный с резьбой ДУ25</t>
  </si>
  <si>
    <t>95203</t>
  </si>
  <si>
    <t>Переходник ст.133*5-108*4</t>
  </si>
  <si>
    <t>95205</t>
  </si>
  <si>
    <t>Резьба черная ДУ25 /200/</t>
  </si>
  <si>
    <t>95214</t>
  </si>
  <si>
    <t>Сгон черн. ДУ40 (остатки по магазинам)</t>
  </si>
  <si>
    <t>95254</t>
  </si>
  <si>
    <t>Сгон черн. ДУ40 /32/</t>
  </si>
  <si>
    <t>954 Фитинги прочие/ Удлинители</t>
  </si>
  <si>
    <t>95310</t>
  </si>
  <si>
    <t>Кольцо переходник VIR 1г-1/2"г латунь 60059Н</t>
  </si>
  <si>
    <t>95306</t>
  </si>
  <si>
    <t>Кольцо переходник VIR 1г-1/2"г латунь покр. 60059N</t>
  </si>
  <si>
    <t>95311</t>
  </si>
  <si>
    <t>Кольцо переходник VIR 1г-3/4"г латунь 60059Н</t>
  </si>
  <si>
    <t>95305</t>
  </si>
  <si>
    <t>Кольцо переходник VIR 1г-3/4"г латунь покр. 60059N</t>
  </si>
  <si>
    <t>95416</t>
  </si>
  <si>
    <t>Сгон никель 1/2" 100 мм</t>
  </si>
  <si>
    <t>95411</t>
  </si>
  <si>
    <t>Сгон никель 1/2" 50 мм</t>
  </si>
  <si>
    <t>95414</t>
  </si>
  <si>
    <t>Сгон никель 1/2" 75 мм</t>
  </si>
  <si>
    <t>95559</t>
  </si>
  <si>
    <t>Удлинитель FORTUM  1/2ш/ш "Х 80мм</t>
  </si>
  <si>
    <t>95436</t>
  </si>
  <si>
    <t>Удлинитель FORTUM  3/4г/ш * 60мм</t>
  </si>
  <si>
    <t>95435</t>
  </si>
  <si>
    <t>Удлинитель FORTUM  3/4г/ш * 70мм</t>
  </si>
  <si>
    <t>95432</t>
  </si>
  <si>
    <t>Удлинитель GF 3/4г/ш "Х 60мм</t>
  </si>
  <si>
    <t>95408</t>
  </si>
  <si>
    <t>Удлинитель ник 3/4"г/ш 20мм /10/180/</t>
  </si>
  <si>
    <t>955 Фитинги никель</t>
  </si>
  <si>
    <t>95527</t>
  </si>
  <si>
    <t>Американка ник.прямая 1 1/2 F-М /5/20/</t>
  </si>
  <si>
    <t>95400</t>
  </si>
  <si>
    <t>Американка ник.прямая 1" F-M /5/40/</t>
  </si>
  <si>
    <t>95503</t>
  </si>
  <si>
    <t>Американка ник.прямая 1/2F-М /10/150/</t>
  </si>
  <si>
    <t>95564</t>
  </si>
  <si>
    <t>Американка ник.прямая 3/4F-М /10/90/</t>
  </si>
  <si>
    <t>95598</t>
  </si>
  <si>
    <t>Американка ник.угловая 1/2 F-М /10/100/</t>
  </si>
  <si>
    <t>95540</t>
  </si>
  <si>
    <t>Американка ник.угловая 3/4 F-М /10/60/</t>
  </si>
  <si>
    <t>95546</t>
  </si>
  <si>
    <t>Заглушка ник. 1/2г /10/600/</t>
  </si>
  <si>
    <t>95522</t>
  </si>
  <si>
    <t>Заглушка ник. 1/2ш /10/500/</t>
  </si>
  <si>
    <t>92817</t>
  </si>
  <si>
    <t>Заглушка ник. 1г /10/200/</t>
  </si>
  <si>
    <t>94806</t>
  </si>
  <si>
    <t>Заглушка ник. 1г высокая /10/</t>
  </si>
  <si>
    <t>95604</t>
  </si>
  <si>
    <t>Заглушка ник. 1ш /10/200/</t>
  </si>
  <si>
    <t>95596</t>
  </si>
  <si>
    <t>Заглушка ник. 3/4г /10/300/</t>
  </si>
  <si>
    <t>95536</t>
  </si>
  <si>
    <t>Заглушка ник. 3/4ш /10/300/</t>
  </si>
  <si>
    <t>95562</t>
  </si>
  <si>
    <t>Контргайка ник. 1 /10/300/</t>
  </si>
  <si>
    <t>95532</t>
  </si>
  <si>
    <t>Контргайка ник. 1/2 /50/1500/</t>
  </si>
  <si>
    <t>95524</t>
  </si>
  <si>
    <t>Контргайка ник. 3/4 /50/700/</t>
  </si>
  <si>
    <t>95568</t>
  </si>
  <si>
    <t>Контргайка с ребордой ник. 1/2 /50/600/</t>
  </si>
  <si>
    <t>95555</t>
  </si>
  <si>
    <t>Крестовина ник. 1/2г /10/100/</t>
  </si>
  <si>
    <t>92606</t>
  </si>
  <si>
    <t>Крестовина ник. 3/4г /5/50/</t>
  </si>
  <si>
    <t>94893</t>
  </si>
  <si>
    <t>Муфта ник. 1 /10/100/</t>
  </si>
  <si>
    <t>95502</t>
  </si>
  <si>
    <t>Муфта ник. 1/2 /10/300/</t>
  </si>
  <si>
    <t>94892</t>
  </si>
  <si>
    <t>Муфта ник. 3/4 /10/150/</t>
  </si>
  <si>
    <t>95590</t>
  </si>
  <si>
    <t>Муфта ник.переходная 1*1 1/4  /5/80/</t>
  </si>
  <si>
    <t>95580</t>
  </si>
  <si>
    <t>Муфта ник.переходная 1/2*1 /10/150/</t>
  </si>
  <si>
    <t>95510</t>
  </si>
  <si>
    <t>Муфта ник.переходная 1/2*3/4 /10/200/</t>
  </si>
  <si>
    <t>95535</t>
  </si>
  <si>
    <t>Муфта ник.переходная 3/4*1 /10/120/</t>
  </si>
  <si>
    <t>95578</t>
  </si>
  <si>
    <t>Муфта ник.переходная 3/4*1 1/2 /5/60/</t>
  </si>
  <si>
    <t>95511</t>
  </si>
  <si>
    <t>Муфта ник.переходная 3/4*1 1/4 /5/80/</t>
  </si>
  <si>
    <t>95529</t>
  </si>
  <si>
    <t>Ниппель ник. 1" /10/130/</t>
  </si>
  <si>
    <t>95533</t>
  </si>
  <si>
    <t>Ниппель ник. 1/2 /10/400/</t>
  </si>
  <si>
    <t>95525</t>
  </si>
  <si>
    <t>Ниппель ник. 1/2 с полной резьбой /10/400/</t>
  </si>
  <si>
    <t>95542</t>
  </si>
  <si>
    <t>Ниппель ник. 3/4 /10/250/</t>
  </si>
  <si>
    <t>95545</t>
  </si>
  <si>
    <t>Ниппель ник. 3/4 с полной резьбой /10/200/</t>
  </si>
  <si>
    <t>95584</t>
  </si>
  <si>
    <t>Ниппель ник. переходной 1 1/2*1 1/4  /5/45/</t>
  </si>
  <si>
    <t>95594</t>
  </si>
  <si>
    <t>Ниппель ник. переходной 1*1 1/2 /5/50/</t>
  </si>
  <si>
    <t>95531</t>
  </si>
  <si>
    <t>Ниппель ник. переходной 1/2*1 /10/180/</t>
  </si>
  <si>
    <t>95534</t>
  </si>
  <si>
    <t>Ниппель ник. переходной 1/2*3/4 /10/300/</t>
  </si>
  <si>
    <t>95565</t>
  </si>
  <si>
    <t>Ниппель ник. переходной 1/2*3/8 /10/400/</t>
  </si>
  <si>
    <t>94889</t>
  </si>
  <si>
    <t>Ниппель ник. переходной 3/4*1 /10/</t>
  </si>
  <si>
    <t>95563</t>
  </si>
  <si>
    <t>Ниппель ник. переходной 3/4*1 1/2 /5/50/</t>
  </si>
  <si>
    <t>94974</t>
  </si>
  <si>
    <t>Ниппель ник. переходной 3/4*1 1/2* /5/</t>
  </si>
  <si>
    <t>95537</t>
  </si>
  <si>
    <t>Ниппель ник. переходной 3/4*1 1/4 /5/100/</t>
  </si>
  <si>
    <t>95589</t>
  </si>
  <si>
    <t>Переходник ник. 1/2г*3/8ш /10/400/</t>
  </si>
  <si>
    <t>95516</t>
  </si>
  <si>
    <t>Переходник ник. 1/2ш*1 1/4г /5/80/</t>
  </si>
  <si>
    <t>95538</t>
  </si>
  <si>
    <t>Переходник ник. 1/2ш*1г /10/150/</t>
  </si>
  <si>
    <t>95575</t>
  </si>
  <si>
    <t>Переходник ник. 1/2ш*3/4г /10/200/</t>
  </si>
  <si>
    <t>95597</t>
  </si>
  <si>
    <t>Переходник ник. 1ш*1 1/2г /5/50/</t>
  </si>
  <si>
    <t>49633</t>
  </si>
  <si>
    <t>Переходник ник. 1ш*1 1/4г /5/70/</t>
  </si>
  <si>
    <t>95599</t>
  </si>
  <si>
    <t>Переходник ник. 3/4ш*1 1/2г /5/50/</t>
  </si>
  <si>
    <t>95507</t>
  </si>
  <si>
    <t>Переходник ник. 3/4ш*1 1/4г /5/70/</t>
  </si>
  <si>
    <t>95558</t>
  </si>
  <si>
    <t>Переходник ник. 3/4ш*1г /10/120/</t>
  </si>
  <si>
    <t>95569</t>
  </si>
  <si>
    <t>Переходник ник. 3/4ш*3/4г /10/200/</t>
  </si>
  <si>
    <t>95571</t>
  </si>
  <si>
    <t>Тройник ник. 1/2F*1/2F*1/2F /10/140/</t>
  </si>
  <si>
    <t>95581</t>
  </si>
  <si>
    <t>Тройник ник. 1/2F*1/2F*1/2М /10/120/</t>
  </si>
  <si>
    <t>95513</t>
  </si>
  <si>
    <t>Тройник ник. 1/2F*1/2М*1/2F /10/120/</t>
  </si>
  <si>
    <t>95509</t>
  </si>
  <si>
    <t>Тройник ник. 1/2F*1/2М*1/2М /10/120/</t>
  </si>
  <si>
    <t>95573</t>
  </si>
  <si>
    <t>Тройник ник. 1/2M*1/2М*1/2M /10/150/</t>
  </si>
  <si>
    <t>95514</t>
  </si>
  <si>
    <t>Тройник ник. 1/2М*1/2F*1/2М /10/120/</t>
  </si>
  <si>
    <t>95520</t>
  </si>
  <si>
    <t>Тройник ник. 3/4F*3/4F*3/4F /10/70/</t>
  </si>
  <si>
    <t>95550</t>
  </si>
  <si>
    <t>Тройник ник. 3/4F*3/4F*3/4М /10/60/</t>
  </si>
  <si>
    <t>95543</t>
  </si>
  <si>
    <t>Тройник ник. 3/4F*3/4М*3/4F /10/80/</t>
  </si>
  <si>
    <t>95574</t>
  </si>
  <si>
    <t>Тройник ник. 3/4F*3/4М*3/4М /10/60/</t>
  </si>
  <si>
    <t>95582</t>
  </si>
  <si>
    <t>Тройник ник. 3/4М*3/4F*3/4М /10/60/</t>
  </si>
  <si>
    <t>95523</t>
  </si>
  <si>
    <t>Тройник ник. 3/4М*3/4M*3/4M /10/70/</t>
  </si>
  <si>
    <t>95521</t>
  </si>
  <si>
    <t>Тройник ник.переходной 3/4F*1/2F*3/4F /10/80/</t>
  </si>
  <si>
    <t>95548</t>
  </si>
  <si>
    <t>Тройник ник.переходной 3/4М*1/2М*3/4М /10/100/</t>
  </si>
  <si>
    <t>95530</t>
  </si>
  <si>
    <t>Уголок ник. 1/2F /10/180/</t>
  </si>
  <si>
    <t>95553</t>
  </si>
  <si>
    <t>Уголок ник. 1/2F с наст.креплен. /10/120/</t>
  </si>
  <si>
    <t>95576</t>
  </si>
  <si>
    <t>Уголок ник. 1/2F*1/2М /10/180/</t>
  </si>
  <si>
    <t>95518</t>
  </si>
  <si>
    <t>Уголок ник. 1/2F*1/2М с наст.креплен. /10/100/</t>
  </si>
  <si>
    <t>95519</t>
  </si>
  <si>
    <t>Уголок ник. 1/2М /10/200/</t>
  </si>
  <si>
    <t>95605</t>
  </si>
  <si>
    <t>Уголок ник. 1F /10/60/</t>
  </si>
  <si>
    <t>94818</t>
  </si>
  <si>
    <t>Уголок ник. 1F*1М /10/60/</t>
  </si>
  <si>
    <t>95606</t>
  </si>
  <si>
    <t>Уголок ник. 1М /10/60/</t>
  </si>
  <si>
    <t>94898</t>
  </si>
  <si>
    <t>Уголок ник. 3/4F /10/100/</t>
  </si>
  <si>
    <t>95593</t>
  </si>
  <si>
    <t>Уголок ник. 3/4F*3/4М /10/80/</t>
  </si>
  <si>
    <t>95577</t>
  </si>
  <si>
    <t>Уголок ник. 3/4М /10/120/</t>
  </si>
  <si>
    <t>95515</t>
  </si>
  <si>
    <t>Уголок ник.переходной 1/2F*1F /10/100/</t>
  </si>
  <si>
    <t>95551</t>
  </si>
  <si>
    <t>Уголок ник.переходной 1/2F*3/4F /10/150/</t>
  </si>
  <si>
    <t>95526</t>
  </si>
  <si>
    <t>Уголок ник.переходной 3/4F*1F /10/80/</t>
  </si>
  <si>
    <t>95566</t>
  </si>
  <si>
    <t>Уголок ник.переходной 3/4М*1F /10/100/</t>
  </si>
  <si>
    <t>95586</t>
  </si>
  <si>
    <t>Футорка ник. 1/2F*1 1/4 М /5/120/</t>
  </si>
  <si>
    <t>95549</t>
  </si>
  <si>
    <t>Футорка ник. 1/2F*1М /10/200/</t>
  </si>
  <si>
    <t>95512</t>
  </si>
  <si>
    <t>Футорка ник. 1/2F*3/4М /10/300/</t>
  </si>
  <si>
    <t>95501</t>
  </si>
  <si>
    <t>Футорка ник. 1/2M*3/8F /10/500/</t>
  </si>
  <si>
    <t>95556</t>
  </si>
  <si>
    <t>Футорка ник. 1F*1 1/2М /5/70/</t>
  </si>
  <si>
    <t>95517</t>
  </si>
  <si>
    <t>Футорка ник. 1F*1 1/4М /5/120/</t>
  </si>
  <si>
    <t>95591</t>
  </si>
  <si>
    <t>Футорка ник. 3/4F*1 1/2М /5/70/</t>
  </si>
  <si>
    <t>95506</t>
  </si>
  <si>
    <t>Футорка ник. 3/4F*1 1/4М /5/120/</t>
  </si>
  <si>
    <t>95592</t>
  </si>
  <si>
    <t>Футорка ник. 3/4F*1М /10/250/</t>
  </si>
  <si>
    <t>956 Штуцера на шланги</t>
  </si>
  <si>
    <t>95614</t>
  </si>
  <si>
    <t>Штуцер 1*25мм латунь наруж. резьба /10/50/</t>
  </si>
  <si>
    <t>95611</t>
  </si>
  <si>
    <t>Штуцер 1/2 10мм латунь внутр.резьба  /10/150/</t>
  </si>
  <si>
    <t>95644</t>
  </si>
  <si>
    <t>Штуцер 1/2 10мм латунь нар.резьба  /10/150/</t>
  </si>
  <si>
    <t>95661</t>
  </si>
  <si>
    <t>Штуцер 1/2 12мм латунь внутр.резьба /10/250/</t>
  </si>
  <si>
    <t>95653</t>
  </si>
  <si>
    <t>Штуцер 1/2 12мм латунь нар.резьба  /10/250/</t>
  </si>
  <si>
    <t>95602</t>
  </si>
  <si>
    <t>Штуцер 1/2 14мм латунь внутр.резьба /10/100/</t>
  </si>
  <si>
    <t>94965</t>
  </si>
  <si>
    <t>Штуцер 1/2 14мм латунь нар.резьба  /10/100/</t>
  </si>
  <si>
    <t>95626</t>
  </si>
  <si>
    <t>Штуцер 1/2 16мм латунь внутр.резьба /10/100/</t>
  </si>
  <si>
    <t>95648</t>
  </si>
  <si>
    <t>Штуцер 1/2 16мм латунь нар.резьба  /10/100/</t>
  </si>
  <si>
    <t>95670</t>
  </si>
  <si>
    <t>Штуцер 1/2 18мм латунь внутр.резьба /10/</t>
  </si>
  <si>
    <t>95649</t>
  </si>
  <si>
    <t>Штуцер 1/2 18мм латунь нар.резьба  /10/</t>
  </si>
  <si>
    <t>95672</t>
  </si>
  <si>
    <t>Штуцер 1/2 20мм латунь внутр.резьба /10/100/</t>
  </si>
  <si>
    <t>95650</t>
  </si>
  <si>
    <t>Штуцер 1/2 20мм латунь нар.резьба  /10/100/</t>
  </si>
  <si>
    <t>95683</t>
  </si>
  <si>
    <t>Штуцер 1/2 25мм латунь внутр.резьба /10/</t>
  </si>
  <si>
    <t>95651</t>
  </si>
  <si>
    <t>Штуцер 3/4 20мм латунь внутр.резьба /10/</t>
  </si>
  <si>
    <t>95652</t>
  </si>
  <si>
    <t>Штуцер 3/4 20мм латунь наруж.резьба  /10/</t>
  </si>
  <si>
    <t>95673</t>
  </si>
  <si>
    <t>Штуцер ник. 1/2г*10 /10/300/</t>
  </si>
  <si>
    <t>95675</t>
  </si>
  <si>
    <t>Штуцер ник. 1/2г*12 /10/300/</t>
  </si>
  <si>
    <t>95645</t>
  </si>
  <si>
    <t>Штуцер ник. 1/2г*14 /10/300/</t>
  </si>
  <si>
    <t>95664</t>
  </si>
  <si>
    <t>Штуцер ник. 1/2г*16 /10/300/</t>
  </si>
  <si>
    <t>95646</t>
  </si>
  <si>
    <t>Штуцер ник. 1/2г*18 /10/200/</t>
  </si>
  <si>
    <t>95619</t>
  </si>
  <si>
    <t>Штуцер ник. 1/2г*20 /10/200/</t>
  </si>
  <si>
    <t>95674</t>
  </si>
  <si>
    <t>Штуцер ник. 1/2ш*10 /10/350/</t>
  </si>
  <si>
    <t>95682</t>
  </si>
  <si>
    <t>Штуцер ник. 1/2ш*12 /10/350/</t>
  </si>
  <si>
    <t>95676</t>
  </si>
  <si>
    <t>Штуцер ник. 1/2ш*14 /10/300/</t>
  </si>
  <si>
    <t>95618</t>
  </si>
  <si>
    <t>Штуцер ник. 1/2ш*16 /10/250/</t>
  </si>
  <si>
    <t>95677</t>
  </si>
  <si>
    <t>Штуцер ник. 1/2ш*18 /10/250/</t>
  </si>
  <si>
    <t>95600</t>
  </si>
  <si>
    <t>Штуцер ник. 1/2ш*20 /10/200/</t>
  </si>
  <si>
    <t>95654</t>
  </si>
  <si>
    <t>Штуцер ник. 1г*25 /10/80/</t>
  </si>
  <si>
    <t>95678</t>
  </si>
  <si>
    <t>Штуцер ник. 1г*30 /10/70/</t>
  </si>
  <si>
    <t>95455</t>
  </si>
  <si>
    <t>Штуцер ник. 1ш*30 /10/80/</t>
  </si>
  <si>
    <t>95636</t>
  </si>
  <si>
    <t>Штуцер ник. 3/4г*20 /10/150/</t>
  </si>
  <si>
    <t>95613</t>
  </si>
  <si>
    <t>Штуцер ник. 3/4г*25 /10/120/</t>
  </si>
  <si>
    <t>95655</t>
  </si>
  <si>
    <t>Штуцер ник. 3/4ш*20 /10/150/</t>
  </si>
  <si>
    <t>958 Шланги налив/слив для стиральных машин</t>
  </si>
  <si>
    <t>95803</t>
  </si>
  <si>
    <t>Шланг д/стир маш налив.Аквалайн 1,0м 3/4г/3/4г /60/</t>
  </si>
  <si>
    <t>95809</t>
  </si>
  <si>
    <t>Шланг д/стир маш налив.Аквалайн 1,5м 3/4г/3/4г /50/</t>
  </si>
  <si>
    <t>95805</t>
  </si>
  <si>
    <t>Шланг д/стир маш налив.Аквалайн 2,0м 3/4г/3/4г /40/</t>
  </si>
  <si>
    <t>95811</t>
  </si>
  <si>
    <t>Шланг д/стир маш налив.Аквалайн 2,5м 3/4г/3/4г /40/</t>
  </si>
  <si>
    <t>95806</t>
  </si>
  <si>
    <t>Шланг д/стир маш налив.Аквалайн 3,0м 3/4г/3/4г /30/</t>
  </si>
  <si>
    <t>95814</t>
  </si>
  <si>
    <t>Шланг д/стир маш налив.Аквалайн 3,5м 3/4г/3/4г /30/</t>
  </si>
  <si>
    <t>95808</t>
  </si>
  <si>
    <t>Шланг д/стир маш налив.Аквалайн 4,0м 3/4г/3/4г /22/</t>
  </si>
  <si>
    <t>92962</t>
  </si>
  <si>
    <t>Шланг д/стир маш налив.Аквалайн 4,5м 3/4г/3/4г /22/</t>
  </si>
  <si>
    <t>92941</t>
  </si>
  <si>
    <t>Шланг д/стир маш налив.ВИР 4,0м г/г угл. 457 /25/</t>
  </si>
  <si>
    <t>92923</t>
  </si>
  <si>
    <t>Шланг д/стир маш налив.ВИР 4,5м г/г угл. 458 /15/</t>
  </si>
  <si>
    <t>92924</t>
  </si>
  <si>
    <t>Шланг д/стир маш налив.ВИР 5,0м г/г угл. 459 /15/</t>
  </si>
  <si>
    <t>92933</t>
  </si>
  <si>
    <t>Шланг д/стир маш слив.ВИР 1,5м (433) /40/</t>
  </si>
  <si>
    <t>92970</t>
  </si>
  <si>
    <t>Шланг д/стир маш слив.ВИР инд.упак.5,0м /14/</t>
  </si>
  <si>
    <t>93053</t>
  </si>
  <si>
    <t>Шланг д/стир маш слив.и посудом.маш.ВИР раздвижной L-0.8м-2.4м /471</t>
  </si>
  <si>
    <t>95812</t>
  </si>
  <si>
    <t>Шланг д/стир маш сливной Аквалайн 1,0м /45/</t>
  </si>
  <si>
    <t>95804</t>
  </si>
  <si>
    <t>Шланг д/стир маш сливной Аквалайн 1,5м /30/</t>
  </si>
  <si>
    <t>95822</t>
  </si>
  <si>
    <t>Шланг д/стир маш сливной Аквалайн 2,0м /25/</t>
  </si>
  <si>
    <t>95807</t>
  </si>
  <si>
    <t>Шланг д/стир маш сливной Аквалайн 2,5м /22/</t>
  </si>
  <si>
    <t>95813</t>
  </si>
  <si>
    <t>Шланг д/стир маш сливной Аквалайн 3,0м /18/</t>
  </si>
  <si>
    <t>92973</t>
  </si>
  <si>
    <t>Шланг д/стир маш сливной Аквалайн 3,5м /16/</t>
  </si>
  <si>
    <t>95815</t>
  </si>
  <si>
    <t>Шланг д/стир маш сливной Аквалайн 4,0м /15/</t>
  </si>
  <si>
    <t>95810</t>
  </si>
  <si>
    <t>Шланг д/стир маш сливной Аквалайн 5,0м /10/</t>
  </si>
  <si>
    <t>960 Тросы сантехнические</t>
  </si>
  <si>
    <t>96045</t>
  </si>
  <si>
    <t>Трос сантехнический 2,0 м пружинный /60/</t>
  </si>
  <si>
    <t>96047</t>
  </si>
  <si>
    <t>Трос сантехнический 2,5 м пружинный /50/</t>
  </si>
  <si>
    <t>96056</t>
  </si>
  <si>
    <t>Трос сантехнический 3,0 м пружинный /50/</t>
  </si>
  <si>
    <t>96057</t>
  </si>
  <si>
    <t>Трос сантехнический 3,5 м пружинный /50/</t>
  </si>
  <si>
    <t>96058</t>
  </si>
  <si>
    <t>Трос сантехнический 5,0 м пружинный /50/</t>
  </si>
  <si>
    <t>96059</t>
  </si>
  <si>
    <t>Трос сантехнический 6,0 м пружинный /25/</t>
  </si>
  <si>
    <t>96060</t>
  </si>
  <si>
    <t>Трос сантехнический 7,0 м пружинный /50/</t>
  </si>
  <si>
    <t>96039</t>
  </si>
  <si>
    <t>Трос сантехнический RR640 д.5* 2,5м пружинный в полимерном покрытии /80/</t>
  </si>
  <si>
    <t>96003</t>
  </si>
  <si>
    <t>Трос сантехнический RR640 д.5* 3,5м пружинный в полимерном покрытии /60/</t>
  </si>
  <si>
    <t>96042</t>
  </si>
  <si>
    <t>Трос сантехнический RR640 д.5* 5м пружинный в полимерном покрытии /40/</t>
  </si>
  <si>
    <t>96053</t>
  </si>
  <si>
    <t>Трос сантехнический RR640 д.7* 10м пружинный в полимерном покрытии</t>
  </si>
  <si>
    <t>96021</t>
  </si>
  <si>
    <t>Трос сантехнический RR640 д.7* 12,5м пружинный в полимерном покрытии</t>
  </si>
  <si>
    <t>96055</t>
  </si>
  <si>
    <t>Трос сантехнический RR640 д.7* 7м пружинный в полимерном покрытии /30/</t>
  </si>
  <si>
    <t>96022</t>
  </si>
  <si>
    <t>Трос сантехнический ВИР в полимерном покрытии д.7,2 15,0м</t>
  </si>
  <si>
    <t>96024</t>
  </si>
  <si>
    <t>Трос сантехнический ВИР в полимерном покрытии д.7,2 20,0м</t>
  </si>
  <si>
    <t>96018</t>
  </si>
  <si>
    <t>Трос сантехнический ВИР в полимерном покрытии д.7,2 5,0м</t>
  </si>
  <si>
    <t>96034</t>
  </si>
  <si>
    <t>Трос сантехнический ВИР д.5,6 10м</t>
  </si>
  <si>
    <t>96012</t>
  </si>
  <si>
    <t>Трос сантехнический ВИР д.5,6 5м</t>
  </si>
  <si>
    <t>96035</t>
  </si>
  <si>
    <t>Трос сантехнический ВИР д8,3 5м</t>
  </si>
  <si>
    <t>96048</t>
  </si>
  <si>
    <t>Трос сантехнический д.6* 3,0м 669-385 /5/60/</t>
  </si>
  <si>
    <t>961 Сиденья для ванны</t>
  </si>
  <si>
    <t>96103</t>
  </si>
  <si>
    <t>Сиденье для ванны Альтернатива белое М1552 /5/</t>
  </si>
  <si>
    <t>962 Радиаторы алюминиевые и комплектующие</t>
  </si>
  <si>
    <t>96232</t>
  </si>
  <si>
    <t>Заглушка д/алюм. радиаторная 1/2" на переходник /10/</t>
  </si>
  <si>
    <t>96206</t>
  </si>
  <si>
    <t>Кран Маевского AQL 1/2</t>
  </si>
  <si>
    <t>96207</t>
  </si>
  <si>
    <t>Кран Маевского AQL 3/4</t>
  </si>
  <si>
    <t>96241</t>
  </si>
  <si>
    <t>Крепеж д/радиатора алюминиевого PF 165*7 /120/</t>
  </si>
  <si>
    <t>96242</t>
  </si>
  <si>
    <t>Крепеж д/радиатора алюминиевого PF 165*7 блист /80/</t>
  </si>
  <si>
    <t>96282</t>
  </si>
  <si>
    <t>Крепеж д/радиатора алюминиевого PF 170*9 блист /80/</t>
  </si>
  <si>
    <t>96269</t>
  </si>
  <si>
    <t>Крепеж д/радиатора алюминиевого PF 180*9 плоск. /100/</t>
  </si>
  <si>
    <t>96279</t>
  </si>
  <si>
    <t>Крепеж д/радиатора алюминиевого PF 230*9,2 мм 601 /70/</t>
  </si>
  <si>
    <t>96213</t>
  </si>
  <si>
    <t>Крепеж д/радиатора алюминиевого угловое PF 45*35*95  1шт.</t>
  </si>
  <si>
    <t>96261</t>
  </si>
  <si>
    <t>Крепеж д/радиатора алюминиевого угловое PF 73*47*100 пара /125/</t>
  </si>
  <si>
    <t>96266</t>
  </si>
  <si>
    <t>Крепеж д/радиатора алюминиевого угловое PF 73*47*113 пара /125/</t>
  </si>
  <si>
    <t>96267</t>
  </si>
  <si>
    <t>Крепеж д/радиатора алюминиевого угловое PF 73*47*95 пара /125/</t>
  </si>
  <si>
    <t>96236</t>
  </si>
  <si>
    <t>Крепеж д/радиатора угловой /100/</t>
  </si>
  <si>
    <t>93034</t>
  </si>
  <si>
    <t>Кронштейн д/радиатора из полосы 500</t>
  </si>
  <si>
    <t>96288</t>
  </si>
  <si>
    <t>Кронштейн д/радиатора круглый д 7*180 пара /25/</t>
  </si>
  <si>
    <t>96223</t>
  </si>
  <si>
    <t>Кронштейн д/радиатора плоский д 7*180 пара /25/</t>
  </si>
  <si>
    <t>96310</t>
  </si>
  <si>
    <t>Пробка д/алюм. радиаторная 1" с силиконовой прокл. правая /10/200/</t>
  </si>
  <si>
    <t>96217</t>
  </si>
  <si>
    <t>Пробка д/алюм. радиаторная 1"*3/4" с силиконовой прокл. левая /10/</t>
  </si>
  <si>
    <t>96209</t>
  </si>
  <si>
    <t>Пробка д/алюм. радиаторная 1"*3/4" с силиконовой прокл. правая /10/</t>
  </si>
  <si>
    <t>96219</t>
  </si>
  <si>
    <t>Пробка д/алюм. радиаторная 15 левая /100/</t>
  </si>
  <si>
    <t>91855</t>
  </si>
  <si>
    <t>Пробка д/алюм. радиаторная левая глухая  /100/</t>
  </si>
  <si>
    <t>90391</t>
  </si>
  <si>
    <t>Пробка д/чугун. радиатора глухая левая /100/</t>
  </si>
  <si>
    <t>96208</t>
  </si>
  <si>
    <t>Радиаторный набор 1*1/2 с кронштейнами 11ПР /40/</t>
  </si>
  <si>
    <t>96211</t>
  </si>
  <si>
    <t>Радиаторный набор 1*3/4 с 3-мя кронштейнами 13ПР /40/</t>
  </si>
  <si>
    <t>96285</t>
  </si>
  <si>
    <t>Радиаторный набор 1*3/4 с кронштейном 11ПР /40/</t>
  </si>
  <si>
    <t>96280</t>
  </si>
  <si>
    <t>Радиаторный набор 3/4* 7 пред. ПСМ /40/</t>
  </si>
  <si>
    <t>96202</t>
  </si>
  <si>
    <t>Радиаторный набор PF 1*1/2 блист /40/</t>
  </si>
  <si>
    <t>96203</t>
  </si>
  <si>
    <t>Радиаторный набор PF 1*1/2 с кронштейном /40/</t>
  </si>
  <si>
    <t>96210</t>
  </si>
  <si>
    <t>Радиаторный набор Valfex 3/4* без кронштейнов (BM, AL, IRON) /40/</t>
  </si>
  <si>
    <t>96212</t>
  </si>
  <si>
    <t>Радиаторный набор Valfex 3/4* с 2-я кронштейнами /40/</t>
  </si>
  <si>
    <t>94705</t>
  </si>
  <si>
    <t>Термостат клапан 3/4 угловой RS202</t>
  </si>
  <si>
    <t>963 Бачки для унитаза пластикорвые</t>
  </si>
  <si>
    <t>93469</t>
  </si>
  <si>
    <t>Бачок к унитазу пласт.армиров.среднего распол.С-П 0416</t>
  </si>
  <si>
    <t>90265</t>
  </si>
  <si>
    <t>Бачок к унитазу пласт.верхн.слива Киров вых. д32 3653</t>
  </si>
  <si>
    <t>964 Пробки для ванн/раковин</t>
  </si>
  <si>
    <t>96412</t>
  </si>
  <si>
    <t>Заглушка д/тюльпана RR-695 CO белая /150/</t>
  </si>
  <si>
    <t>96409</t>
  </si>
  <si>
    <t>Заглушка д/тюльпана RR-695 хром /150/</t>
  </si>
  <si>
    <t>96413</t>
  </si>
  <si>
    <t>Заглушка д/тюльпана белая 3875</t>
  </si>
  <si>
    <t>96462</t>
  </si>
  <si>
    <t>Пробка для ванны Поплавок J34-14 /12/</t>
  </si>
  <si>
    <t>93682</t>
  </si>
  <si>
    <t>Пробка для ванны резина черная 3599 /500/</t>
  </si>
  <si>
    <t>96452</t>
  </si>
  <si>
    <t>Пробка для ванны с цепочкой Vetta Д 4,0 см 29 см 463-755 /20/</t>
  </si>
  <si>
    <t>96425</t>
  </si>
  <si>
    <t>Пробка для ванны с цепочкой Vetta Д 4,5 см 29 см 463-754 /20/</t>
  </si>
  <si>
    <t>96451</t>
  </si>
  <si>
    <t>Пробка для ванны с цепочкой ВИР ПВХ 50см с пластм. вып. 1219 /100/</t>
  </si>
  <si>
    <t>96429</t>
  </si>
  <si>
    <t>Пробка для ванны с цепочкой и игрушкой ВИР 1518</t>
  </si>
  <si>
    <t>96460</t>
  </si>
  <si>
    <t>Пробка для ванны с цепочкой Н34-12 /12/</t>
  </si>
  <si>
    <t>96411</t>
  </si>
  <si>
    <t>Пробка для ванны с цепочкой резина 3612 /100/</t>
  </si>
  <si>
    <t>96437</t>
  </si>
  <si>
    <t>Пробка для ванны с цепочкой силикон /100/</t>
  </si>
  <si>
    <t>96469</t>
  </si>
  <si>
    <t>Пробка для ванны со сливом VL34-25 /12/</t>
  </si>
  <si>
    <t>96456</t>
  </si>
  <si>
    <t>Пробка для ванны Фауна Д4,5 см 463-042 /12/</t>
  </si>
  <si>
    <t>96422</t>
  </si>
  <si>
    <t>Пробка для сифона Ани 1 1/2 М300 /25/</t>
  </si>
  <si>
    <t>965 Лючки сантехнические</t>
  </si>
  <si>
    <t>96543</t>
  </si>
  <si>
    <t>Люк сантехнический 150*200 Л2 Омск /29/</t>
  </si>
  <si>
    <t>96548</t>
  </si>
  <si>
    <t>Люк сантехнический 200*200 Л3 Омск /20/</t>
  </si>
  <si>
    <t>96531</t>
  </si>
  <si>
    <t>Люк сантехнический 200*250 Л4 Омск /56/</t>
  </si>
  <si>
    <t>96542</t>
  </si>
  <si>
    <t>Люк сантехнический 200*400 Л6  Омск /22/</t>
  </si>
  <si>
    <t>96536</t>
  </si>
  <si>
    <t>Люк сантехнический 300*300 Л7  Омск /20/</t>
  </si>
  <si>
    <t>96538</t>
  </si>
  <si>
    <t>Люк сантехнический 300*500 /17/</t>
  </si>
  <si>
    <t>96511</t>
  </si>
  <si>
    <t>Люк сантехнический К015 Омск 200*300 /20/</t>
  </si>
  <si>
    <t>16204</t>
  </si>
  <si>
    <t>Люк сантехнический К016 Омск 22,5*21 /30/</t>
  </si>
  <si>
    <t>16049</t>
  </si>
  <si>
    <t>Люк сантехнический К019 Омск 32*32,5 /5/</t>
  </si>
  <si>
    <t>96540</t>
  </si>
  <si>
    <t>Люк сантехнический с замком 100*100 Омск /65/</t>
  </si>
  <si>
    <t>96500</t>
  </si>
  <si>
    <t>Люк сантехнический с замком 150*150 Омск /30/</t>
  </si>
  <si>
    <t>96534</t>
  </si>
  <si>
    <t>Люк сантехнический с замком 150*200 Омск /29/</t>
  </si>
  <si>
    <t>96504</t>
  </si>
  <si>
    <t>Люк сантехнический с замком 150*300 Омск /35/</t>
  </si>
  <si>
    <t>96506</t>
  </si>
  <si>
    <t>Люк сантехнический с замком 200*200 Омск /20/</t>
  </si>
  <si>
    <t>96507</t>
  </si>
  <si>
    <t>Люк сантехнический с замком 200*250 Омск /20/</t>
  </si>
  <si>
    <t>96510</t>
  </si>
  <si>
    <t>Люк сантехнический с замком 200*300 Омск /26/</t>
  </si>
  <si>
    <t>96528</t>
  </si>
  <si>
    <t>Люк сантехнический с замком 200*400 Омск /22/</t>
  </si>
  <si>
    <t>96529</t>
  </si>
  <si>
    <t>Люк сантехнический с замком 250*300 Омск /20/</t>
  </si>
  <si>
    <t>96530</t>
  </si>
  <si>
    <t>Люк сантехнический с замком 300*300 Омск /20/</t>
  </si>
  <si>
    <t>96539</t>
  </si>
  <si>
    <t>Люк сантехнический с замком 300*400 Омск /13/</t>
  </si>
  <si>
    <t>96520</t>
  </si>
  <si>
    <t>Лючок для внутристен. коммуникаций 300 х 300 Alcaplast</t>
  </si>
  <si>
    <t>96501</t>
  </si>
  <si>
    <t>Лючок для внутристен. коммуникаций 300 х 300 из ABS-пластика</t>
  </si>
  <si>
    <t>96514</t>
  </si>
  <si>
    <t>Лючок для внутристен. коммуникаций Л2020 216 х 216 из ABS-пластика</t>
  </si>
  <si>
    <t>967 Манжеты сантехнические</t>
  </si>
  <si>
    <t>93476</t>
  </si>
  <si>
    <t>Груша сантех. с отверстием 3596</t>
  </si>
  <si>
    <t>93597</t>
  </si>
  <si>
    <t>Груша сантех. Тула 3595</t>
  </si>
  <si>
    <t>96708</t>
  </si>
  <si>
    <t>Клапан донный Псков АСД 77.00.17 (груша для арматуры)</t>
  </si>
  <si>
    <t>93410</t>
  </si>
  <si>
    <t>Манжета д/унитаза 110 /3594</t>
  </si>
  <si>
    <t>93487</t>
  </si>
  <si>
    <t>Манжета конусная 3592</t>
  </si>
  <si>
    <t>93492</t>
  </si>
  <si>
    <t>Манжета переходная 123-110 с чугуна на ПВХ 3610 /50/</t>
  </si>
  <si>
    <t>96705</t>
  </si>
  <si>
    <t>Манжета переходная 123-110 трехлеп белая /50/</t>
  </si>
  <si>
    <t>96723</t>
  </si>
  <si>
    <t>Манжета переходная 124-110 на ПВХ 8688</t>
  </si>
  <si>
    <t>96716</t>
  </si>
  <si>
    <t>Манжета переходная 124-110 трехлеп серая /50/</t>
  </si>
  <si>
    <t>96715</t>
  </si>
  <si>
    <t>Манжета переходная 32-25 трехлеп серая /50/</t>
  </si>
  <si>
    <t>96444</t>
  </si>
  <si>
    <t>Манжета переходная 32*25 трехлеп /100/</t>
  </si>
  <si>
    <t>93486</t>
  </si>
  <si>
    <t>Манжета переходная 40-25 трехлеп 3952 /200/</t>
  </si>
  <si>
    <t>96706</t>
  </si>
  <si>
    <t>Манжета переходная 40-25 трехлеп белая /200/</t>
  </si>
  <si>
    <t>96714</t>
  </si>
  <si>
    <t>Манжета переходная 40-25 трехлеп серая /50/</t>
  </si>
  <si>
    <t>91864</t>
  </si>
  <si>
    <t>Манжета переходная 40-32 трехлеп 3957</t>
  </si>
  <si>
    <t>96702</t>
  </si>
  <si>
    <t>Манжета переходная 40-32 трехлеп белая /200/</t>
  </si>
  <si>
    <t>96724</t>
  </si>
  <si>
    <t>Манжета переходная 40-32 трехлеп серая /50/</t>
  </si>
  <si>
    <t>93485</t>
  </si>
  <si>
    <t>Манжета переходная 50-25 3604 /200/400/</t>
  </si>
  <si>
    <t>96701</t>
  </si>
  <si>
    <t>Манжета переходная 50-25 трехлеп белая /200/</t>
  </si>
  <si>
    <t>96720</t>
  </si>
  <si>
    <t>Манжета переходная 50-25 трехлеп серая /100/</t>
  </si>
  <si>
    <t>96445</t>
  </si>
  <si>
    <t>Манжета переходная 50-32 трехлеп /200/</t>
  </si>
  <si>
    <t>96717</t>
  </si>
  <si>
    <t>Манжета переходная 50-32 трехлеп серая /100/</t>
  </si>
  <si>
    <t>93489</t>
  </si>
  <si>
    <t>Манжета переходная 50-40 трехлеп 3607 /400/</t>
  </si>
  <si>
    <t>96417</t>
  </si>
  <si>
    <t>Манжета переходная 50-40 трехлеп белая /500/</t>
  </si>
  <si>
    <t>96718</t>
  </si>
  <si>
    <t>Манжета переходная 50-40 трехлеп серая /100/</t>
  </si>
  <si>
    <t>93491</t>
  </si>
  <si>
    <t>Манжета переходная 70-50 с чугуна на ПВХ 3609 /100/</t>
  </si>
  <si>
    <t>93490</t>
  </si>
  <si>
    <t>Манжета переходная 73-40 с чугуна на ПВХ 3608 /100/</t>
  </si>
  <si>
    <t>96703</t>
  </si>
  <si>
    <t>Манжета переходная 73-40 трехлеп белая /100/</t>
  </si>
  <si>
    <t>96704</t>
  </si>
  <si>
    <t>Манжета переходная 73-50 трехлеп белая /100/</t>
  </si>
  <si>
    <t>96721</t>
  </si>
  <si>
    <t>Манжета переходная 73-50 трехлеп серая /40/</t>
  </si>
  <si>
    <t>96738</t>
  </si>
  <si>
    <t>Манжета переходная 73-50 трехлеп черная /100/</t>
  </si>
  <si>
    <t>93494</t>
  </si>
  <si>
    <t>Манжета ступенчатая 3593 /100/</t>
  </si>
  <si>
    <t>96464</t>
  </si>
  <si>
    <t>Манжета уплотнительная под смывной бачок Волгоградская /300/</t>
  </si>
  <si>
    <t>96465</t>
  </si>
  <si>
    <t>Манжета уплотнительная под смывной бачок Глянцевая /300/</t>
  </si>
  <si>
    <t>96443</t>
  </si>
  <si>
    <t>Манжета уплотнительная под смывной бачок Евро /100/</t>
  </si>
  <si>
    <t>93434</t>
  </si>
  <si>
    <t>Манжета уплотнительная под смывной бачок круглая 3591 /200/</t>
  </si>
  <si>
    <t>96737</t>
  </si>
  <si>
    <t>Манжета уплотнительная под смывной бачок М60 для Смоленского унитаза /100/</t>
  </si>
  <si>
    <t>96466</t>
  </si>
  <si>
    <t>Манжета уплотнительная под смывной бачок Новокузнецкая /300/</t>
  </si>
  <si>
    <t>96467</t>
  </si>
  <si>
    <t>Манжета уплотнительная под смывной бачок Старый оскол /300/</t>
  </si>
  <si>
    <t>96711</t>
  </si>
  <si>
    <t>Манжета уплотнительная под смывной бачок Уклад Псков 001 универсальная</t>
  </si>
  <si>
    <t>96712</t>
  </si>
  <si>
    <t>Манжета уплотнительная под смывной бачок Уклад Псков Р20 Воротынск</t>
  </si>
  <si>
    <t>99422</t>
  </si>
  <si>
    <t>Манжета уплотнительная под смывной бачок Уклад Псков Самара</t>
  </si>
  <si>
    <t>96468</t>
  </si>
  <si>
    <t>Манжета уплотнительная под смывной бачок Фигурная /300/</t>
  </si>
  <si>
    <t>93605</t>
  </si>
  <si>
    <t>Прокладка восьмерка 3590</t>
  </si>
  <si>
    <t>969 Карнизы/Экраны</t>
  </si>
  <si>
    <t>96928</t>
  </si>
  <si>
    <t>Карниз для ванных комнат DOMINA 70-120см белый /50/</t>
  </si>
  <si>
    <t>93283</t>
  </si>
  <si>
    <t>Карниз для ванных комнат Vetta 2 м белый 464-007 /2/60/</t>
  </si>
  <si>
    <t>96919</t>
  </si>
  <si>
    <t>Карниз для ванных комнат Vetta 2 м белый сталь 464-010 /60/</t>
  </si>
  <si>
    <t>96916</t>
  </si>
  <si>
    <t>Карниз для ванных комнат Vetta 2 м нерж. сталь 464-005 /2/60/</t>
  </si>
  <si>
    <t>96910</t>
  </si>
  <si>
    <t>Карниз для ванных комнат Vetta 2 м сереб-алюминивый 461-072 /4/60/</t>
  </si>
  <si>
    <t>96932</t>
  </si>
  <si>
    <t>Карниз для ванных комнат Vetta 2,6 м белый 461-305 /4/60/</t>
  </si>
  <si>
    <t>96915</t>
  </si>
  <si>
    <t>Карниз для ванных комнат Vetta 2,6 м сереб-алюминивый 461-306 /4/60/</t>
  </si>
  <si>
    <t>96904</t>
  </si>
  <si>
    <t>Карниз для ванных комнат Zalel с пруж. кольцом 110- 200 розовый /25/</t>
  </si>
  <si>
    <t>96924</t>
  </si>
  <si>
    <t>Карниз для ванных комнат прямой 110*220 голубой /30/</t>
  </si>
  <si>
    <t>96920</t>
  </si>
  <si>
    <t>Карниз для ванных комнат прямой 115*205 белый /30/</t>
  </si>
  <si>
    <t>96926</t>
  </si>
  <si>
    <t>Карниз для ванных комнат прямой 115*205 розовый /30/</t>
  </si>
  <si>
    <t>93274</t>
  </si>
  <si>
    <t>Карниз для ванных комнат раздвижной 120- 210 голубой пружинный стопор</t>
  </si>
  <si>
    <t>93278</t>
  </si>
  <si>
    <t>Карниз для ванных комнат раздвижной 120- 210 салатовый</t>
  </si>
  <si>
    <t>96905</t>
  </si>
  <si>
    <t>Кольца д/штор белые пластик 12 шт /60/</t>
  </si>
  <si>
    <t>96610</t>
  </si>
  <si>
    <t>Кольца для занавесок 12 шт пластик MS34-55 /12/</t>
  </si>
  <si>
    <t>970-979 Аксесуары для ванной</t>
  </si>
  <si>
    <t>970 Аксессуары для ванной прочие</t>
  </si>
  <si>
    <t>97001</t>
  </si>
  <si>
    <t>Держатель для полотенца 3 спицы поворот. Р2913 /40/</t>
  </si>
  <si>
    <t>97003</t>
  </si>
  <si>
    <t>Держатель для полотенца 4 спицы поворот. Р2914 /40/</t>
  </si>
  <si>
    <t>97008</t>
  </si>
  <si>
    <t>Держатель для полотенца QLUX самоклеющийся пластик 478-149 /24/</t>
  </si>
  <si>
    <t>97007</t>
  </si>
  <si>
    <t>Держатель для полотенца SonWelle 3 спицы хром S05-043 /2/20/</t>
  </si>
  <si>
    <t>97022</t>
  </si>
  <si>
    <t>Держатель для полотенца клеевая основа Р336-10 /120/</t>
  </si>
  <si>
    <t>97034</t>
  </si>
  <si>
    <t>Держатель для полотенца круг нерж. В РР L2904 /80/</t>
  </si>
  <si>
    <t>90055</t>
  </si>
  <si>
    <t>Держатель для полотенца круглый Морская звезда ЕН 3581 /48/</t>
  </si>
  <si>
    <t>97006</t>
  </si>
  <si>
    <t>Держатель для полотенца Пуговица 1 присос. D12см ПВХ мет. 463-340 /4/</t>
  </si>
  <si>
    <t>97005</t>
  </si>
  <si>
    <t>Держатель для полотенца с вакуумным креплением 2 цв 478-134 /6/</t>
  </si>
  <si>
    <t>97033</t>
  </si>
  <si>
    <t>Держатель для полотенца Цветок на присос. ПВХ 5,5*7,5 5цв. 463-355 /5/</t>
  </si>
  <si>
    <t>97032</t>
  </si>
  <si>
    <t>Держатель для стаканов Vetta мет/хром/бел вакуумное крепление 478-076 /24/</t>
  </si>
  <si>
    <t>97217</t>
  </si>
  <si>
    <t>Держатель туалет. бумаги SonWelle S05-002</t>
  </si>
  <si>
    <t>97226</t>
  </si>
  <si>
    <t>Держатель туалет. бумаги SonWelle открытый с креп. квадро. 555-022</t>
  </si>
  <si>
    <t>97224</t>
  </si>
  <si>
    <t>Держатель туалет. бумаги SonWelle открытый с креп. металл. 555-006 /2/48/</t>
  </si>
  <si>
    <t>97070</t>
  </si>
  <si>
    <t>Дозатор для жидкого мыла Depo 2183C Sphera</t>
  </si>
  <si>
    <t>97083</t>
  </si>
  <si>
    <t>Дозатор для жидкого мыла Depo 7183С Breeze</t>
  </si>
  <si>
    <t>97015</t>
  </si>
  <si>
    <t>Дозатор для жидкого мыла FRAP F1627 (364300)</t>
  </si>
  <si>
    <t>97020</t>
  </si>
  <si>
    <t>Дозатор для жидкого мыла SonWelle 350 мл настенный пластик бел. 542-059 /60/</t>
  </si>
  <si>
    <t>97023</t>
  </si>
  <si>
    <t>Дозатор для жидкого мыла SonWelle 400 мл настенный пластик бел. 542-118 /2/50/</t>
  </si>
  <si>
    <t>97026</t>
  </si>
  <si>
    <t>Дозатор для жидкого мыла SonWelle 500 мл настенный хром S05-021 /2/50/</t>
  </si>
  <si>
    <t>97012</t>
  </si>
  <si>
    <t>Дозатор для жидкого мыла пластик 350 мл АВ-6 /60/</t>
  </si>
  <si>
    <t>97004</t>
  </si>
  <si>
    <t>Дозатор для кухонной мойки врезной Р406 /20/</t>
  </si>
  <si>
    <t>97011</t>
  </si>
  <si>
    <t>Зеркало настенное 17см двухсторон. поворотн. на складном кронштейне 478-128 /10/</t>
  </si>
  <si>
    <t>97037</t>
  </si>
  <si>
    <t>Подстаканник Depo 2184C Sphera одинарный</t>
  </si>
  <si>
    <t>97065</t>
  </si>
  <si>
    <t>Подстаканник Depo 6784A Conus одинарный хром-золото</t>
  </si>
  <si>
    <t>97088</t>
  </si>
  <si>
    <t>Подстаканник Depo 7484C Plato одинарный хром</t>
  </si>
  <si>
    <t>90050</t>
  </si>
  <si>
    <t>Стакан д/зубных щеток Cristal.mix с держателем белый пластик врезка 568-186</t>
  </si>
  <si>
    <t>97019</t>
  </si>
  <si>
    <t>Стакан д/зубных щеток SonWelle подвесной с крепл сатин 555-014</t>
  </si>
  <si>
    <t>90043</t>
  </si>
  <si>
    <t>Стакан д/зубных щеток Кран с держателем ЕН 3577 /36/</t>
  </si>
  <si>
    <t>97035</t>
  </si>
  <si>
    <t>Этажерка на кол. SonWelle металл 3 яр. 44*27*60 см бел 542-061 /6/</t>
  </si>
  <si>
    <t>971 Полки для ванной/этажерки</t>
  </si>
  <si>
    <t>97141</t>
  </si>
  <si>
    <t>Полка д/ванной комн. CF 10 угловая 2 -х секционная белая  /8/</t>
  </si>
  <si>
    <t>97142</t>
  </si>
  <si>
    <t>Полка д/ванной комн. CF 10С угловая 2 -х секционная хром /8/</t>
  </si>
  <si>
    <t>97146</t>
  </si>
  <si>
    <t>Полка д/ванной комн. CF 11 угловая 3 -х секционная белая /8/</t>
  </si>
  <si>
    <t>97105</t>
  </si>
  <si>
    <t>Полка д/ванной комн. CF 11С угловая 3 -х секционная хром /8/</t>
  </si>
  <si>
    <t>97152</t>
  </si>
  <si>
    <t>Полка д/ванной комн. CF 12С хром 4 крючка /8/</t>
  </si>
  <si>
    <t>97108</t>
  </si>
  <si>
    <t>Полка д/ванной комн. CF 13к /8/</t>
  </si>
  <si>
    <t>97121</t>
  </si>
  <si>
    <t>Полка д/ванной комн. CF 13кС /8/</t>
  </si>
  <si>
    <t>97158</t>
  </si>
  <si>
    <t>Полка д/ванной комн. CF 15С хром /8/</t>
  </si>
  <si>
    <t>97138</t>
  </si>
  <si>
    <t>Полка д/ванной комн. CF 18 угловая 1-х секционная белая /4/</t>
  </si>
  <si>
    <t>97139</t>
  </si>
  <si>
    <t>Полка д/ванной комн. CF 18С угловая 1-х секционная хром /4/</t>
  </si>
  <si>
    <t>97149</t>
  </si>
  <si>
    <t>Полка д/ванной комн. CF 63 угловая Волна 3-х секционная белая /8/</t>
  </si>
  <si>
    <t>97154</t>
  </si>
  <si>
    <t>Полка д/ванной комн. CF 65 угловая 2 -х секционная белая /12/</t>
  </si>
  <si>
    <t>97155</t>
  </si>
  <si>
    <t>Полка д/ванной комн. CF 65С угловая 2 -х секционная хром /12/</t>
  </si>
  <si>
    <t>97144</t>
  </si>
  <si>
    <t>Полка д/ванной комн. CF 66 угловая 3 -х секционная белая /8/</t>
  </si>
  <si>
    <t>97156</t>
  </si>
  <si>
    <t>Полка д/ванной комн. CF 66С угловая 3 -х секционная хром /8/</t>
  </si>
  <si>
    <t>97164</t>
  </si>
  <si>
    <t>Полка д/ванной комн. RUS-385015 1-ярус c 5 крючками</t>
  </si>
  <si>
    <t>97103</t>
  </si>
  <si>
    <t>Полка д/ванной комн. SonWelle 2 крючка 38*14*70 см мет. хром 542-063 /12/</t>
  </si>
  <si>
    <t>97174</t>
  </si>
  <si>
    <t>Полка д/ванной комн. SonWelle двойная угловая 22*22*34 см хром нерж. сталь 542-006 /10/</t>
  </si>
  <si>
    <t>97173</t>
  </si>
  <si>
    <t>Полка д/ванной комн. SonWelle для полот. с крюч. 60 см нерж. хром 542-007 /30/</t>
  </si>
  <si>
    <t>97175</t>
  </si>
  <si>
    <t>Полка д/ванной комн. АЛТ 112С прямая с мыльницей /8/</t>
  </si>
  <si>
    <t>97161</t>
  </si>
  <si>
    <t>Полка д/ванной комн. АЛТ 61С угловая Волна 1-ярус хром</t>
  </si>
  <si>
    <t>97153</t>
  </si>
  <si>
    <t>Полка д/ванной комн. АЛТ 71С угловая 1-ярус хром</t>
  </si>
  <si>
    <t>97166</t>
  </si>
  <si>
    <t>Полка д/ванной комн. АЛТ 73Б угловая 3 -х ярус белая /8/</t>
  </si>
  <si>
    <t>97165</t>
  </si>
  <si>
    <t>Полка д/ванной комн. АЛТ 73Ч угловая 3 -х ярус черная /8/</t>
  </si>
  <si>
    <t>97130</t>
  </si>
  <si>
    <t>Полка д/ванной комн. АЛТ 74 угловая 4 -х секционная белая /8/</t>
  </si>
  <si>
    <t>97131</t>
  </si>
  <si>
    <t>Полка д/ванной комн. АЛТ 91 1-ярус белая /14/</t>
  </si>
  <si>
    <t>97132</t>
  </si>
  <si>
    <t>Полка д/ванной комн. АЛТ 91С 1-ярус хром /14/</t>
  </si>
  <si>
    <t>97107</t>
  </si>
  <si>
    <t>Полка д/ванной комн. ЕН хром 4 крюч. 33*12,5*21см 14316 /8/</t>
  </si>
  <si>
    <t>97109</t>
  </si>
  <si>
    <t>Полка д/ванной комн. ЕН хром 4 крюч. 34,5*12,5*21см овальная 14317 /8/</t>
  </si>
  <si>
    <t>97111</t>
  </si>
  <si>
    <t>Полка д/ванной комн. ЕН хром 5 крюч. 35*13*17см 14319 /8/</t>
  </si>
  <si>
    <t>97125</t>
  </si>
  <si>
    <t>Полка д/ванной комн. ЕН хром углов. 1 секц. 20,5*20,5*6,5см 14321 /18/</t>
  </si>
  <si>
    <t>97118</t>
  </si>
  <si>
    <t>Полка д/ванной комн. ЕН хром углов. 1 секц. 23*23*19см 14320 /12/</t>
  </si>
  <si>
    <t>97126</t>
  </si>
  <si>
    <t>Полка д/ванной комн. ЕН хром углов. 2 секц. 20,5*20,5*31,5см 14322 /12/</t>
  </si>
  <si>
    <t>97112</t>
  </si>
  <si>
    <t>Полка д/ванной комн. НР24-056 угловая 3 яр. хром /12/</t>
  </si>
  <si>
    <t>97140</t>
  </si>
  <si>
    <t>Полка д/ванной комн. НР24-057 угловая 2 -х секционная хром /36/</t>
  </si>
  <si>
    <t>97100</t>
  </si>
  <si>
    <t>Полка д/ванной Прима-Нова пластик белый /5/</t>
  </si>
  <si>
    <t>97116</t>
  </si>
  <si>
    <t>Полка д/ванной Прима-Нова пластик голубой /5/</t>
  </si>
  <si>
    <t>97134</t>
  </si>
  <si>
    <t>Полка д/ванной Прима-Нова пластик зеленый /5/</t>
  </si>
  <si>
    <t>97135</t>
  </si>
  <si>
    <t>Полка д/ванной Прима-Нова пластик розовый /5/</t>
  </si>
  <si>
    <t>97106</t>
  </si>
  <si>
    <t>Полка д/ванной Прима-Нова пластик серый /5/</t>
  </si>
  <si>
    <t>97133</t>
  </si>
  <si>
    <t>Полка д/душевой стойки Vetta с держателем душа 30,5*12,5*5,5 см 463-067 /60/</t>
  </si>
  <si>
    <t>90131</t>
  </si>
  <si>
    <t>Полка настенная Artex Flower угловая 3-х яр.арт.22 16 33 478-034 /10/</t>
  </si>
  <si>
    <t>97122</t>
  </si>
  <si>
    <t>Полка настенная Artex Rianbow угловая арт.29 15 35 478-022 /10/</t>
  </si>
  <si>
    <t>90156</t>
  </si>
  <si>
    <t>Полка настенная Artex Slim 478-005 /5/20/</t>
  </si>
  <si>
    <t>97102</t>
  </si>
  <si>
    <t>Полка настенная Artex Star двойная арт.29 16 72 478-042 /10/</t>
  </si>
  <si>
    <t>97185</t>
  </si>
  <si>
    <t>Полочка Vetta пластик самокл.25,5*13,5*7 см 2 цв. 478-100 /48/</t>
  </si>
  <si>
    <t>97335</t>
  </si>
  <si>
    <t>Полочка Vetta пластик угловая самокл.28,5*20*6 см 2 цв. 463-995 /48/</t>
  </si>
  <si>
    <t>90250</t>
  </si>
  <si>
    <t>Полочка д/ванной комн. угловая на присосках Классика 3 цв. 478-046 /6/48/</t>
  </si>
  <si>
    <t>97167</t>
  </si>
  <si>
    <t>Присоски для полки Vetta 2 шт 478-016 /20/</t>
  </si>
  <si>
    <t>972 Вантузы/Держатели туалетной бумаги</t>
  </si>
  <si>
    <t>97258</t>
  </si>
  <si>
    <t>Вантуз 38см пластик рез. 463-133 /34/</t>
  </si>
  <si>
    <t>97202</t>
  </si>
  <si>
    <t>Вантуз вакуумный d16 см h 37см пластик 463-774 /2/50/</t>
  </si>
  <si>
    <t>90219</t>
  </si>
  <si>
    <t>Вантуз гофрированный малый 29 см 463-516 /4/80/</t>
  </si>
  <si>
    <t>97240</t>
  </si>
  <si>
    <t>Вантуз Д100 пластик рез. 463-998 /120/</t>
  </si>
  <si>
    <t>90212</t>
  </si>
  <si>
    <t>Вантуз Д100 с пласт. ручкой малый 3580 /100/</t>
  </si>
  <si>
    <t>97210</t>
  </si>
  <si>
    <t>Вантуз Д9 h 25 Бийск /50/</t>
  </si>
  <si>
    <t>97229</t>
  </si>
  <si>
    <t>Вантуз Полимербыт Премиум 430 мм С449 /15/</t>
  </si>
  <si>
    <t>90285</t>
  </si>
  <si>
    <t>Вантуз усиленный Д15 Н38 см 2 цв 463-517 /4/60/</t>
  </si>
  <si>
    <t>97201</t>
  </si>
  <si>
    <t>Держатель туалет. бумаги CRYSTAL вокруг света Мурано хром синий 568-196</t>
  </si>
  <si>
    <t>97200</t>
  </si>
  <si>
    <t>Держатель туалет. бумаги QLUX пластик белый 478-147 /36/</t>
  </si>
  <si>
    <t>97205</t>
  </si>
  <si>
    <t>Держатель туалет. бумаги АЛТ 300С дюбель в комплекте /10/</t>
  </si>
  <si>
    <t>97208</t>
  </si>
  <si>
    <t>Держатель туалет. бумаги Альтернатива бежевый М8429 /20/</t>
  </si>
  <si>
    <t>97212</t>
  </si>
  <si>
    <t>Держатель туалет. бумаги Альтернатива белый М8428 /20/</t>
  </si>
  <si>
    <t>90206</t>
  </si>
  <si>
    <t>Держатель туалет. бумаги Альтернатива Модерн пласт. М1136 /16/</t>
  </si>
  <si>
    <t>97206</t>
  </si>
  <si>
    <t>Держатель туалет. бумаги Альтернатива с полоч. голубой М6582 /12/</t>
  </si>
  <si>
    <t>97220</t>
  </si>
  <si>
    <t>Держатель туалет. бумаги Альтернатива Эконом пласт.М7234 /12/</t>
  </si>
  <si>
    <t>97237</t>
  </si>
  <si>
    <t>Держатель туалет. бумаги Виолет голубой /36/</t>
  </si>
  <si>
    <t>97238</t>
  </si>
  <si>
    <t>Держатель туалет. бумаги Виолет латте /36/</t>
  </si>
  <si>
    <t>97213</t>
  </si>
  <si>
    <t>Держатель туалет. бумаги и освежителя воздуха Альтернатива М6052 /16/</t>
  </si>
  <si>
    <t>97218</t>
  </si>
  <si>
    <t>Держатель туалет. бумаги на присоске TL34-149 /12/</t>
  </si>
  <si>
    <t>97214</t>
  </si>
  <si>
    <t>Держатель туалет. бумаги настенный Р2903-3 /80/</t>
  </si>
  <si>
    <t>97230</t>
  </si>
  <si>
    <t>Держатель туалет. бумаги Полимербыт на присосках С372 /42/</t>
  </si>
  <si>
    <t>97259</t>
  </si>
  <si>
    <t>Держатель туалет. бумаги Р2903 нерж. /80/</t>
  </si>
  <si>
    <t>97260</t>
  </si>
  <si>
    <t>Держатель туалет. бумаги Р2903-2 нерж. /80/</t>
  </si>
  <si>
    <t>973 Аксессуары силиконовые/акриловые/керамические</t>
  </si>
  <si>
    <t>90000</t>
  </si>
  <si>
    <t>Аксессуар для ванны пластик</t>
  </si>
  <si>
    <t>97302</t>
  </si>
  <si>
    <t>Держатель для губки Тренто пластик 9*7,5*см 441-023 /12/</t>
  </si>
  <si>
    <t>97342</t>
  </si>
  <si>
    <t>Держатель для зубных щеток и пасты Vetta пластик на присос.в виде сердца 21*16 см 3 цв. /120/</t>
  </si>
  <si>
    <t>97305</t>
  </si>
  <si>
    <t>Держатель для зубных щеток на присоске Кит 2,5*4,5 см VL34-68 /12/</t>
  </si>
  <si>
    <t>97356</t>
  </si>
  <si>
    <t>Держатель для мыла губки мочалки пластик 5,5*13,5*13,5 см 411-025 /180/</t>
  </si>
  <si>
    <t>97310</t>
  </si>
  <si>
    <t>Держатель для мыла губки мочалки силикон 17*8*4 см 3 цв. 411-019 /10/</t>
  </si>
  <si>
    <t>97350</t>
  </si>
  <si>
    <t>Дозатор для жидкого мыла Berossi пластик Art Deko 463-072 /20/</t>
  </si>
  <si>
    <t>97323</t>
  </si>
  <si>
    <t>Дозатор для жидкого мыла Vetta керамика Любовь с первого взгляда 2 цв. 463-013 /6/</t>
  </si>
  <si>
    <t>97330</t>
  </si>
  <si>
    <t>Дозатор для жидкого мыла Vetta керамика Модерн 3 цв. 463-927 /6/</t>
  </si>
  <si>
    <t>97321</t>
  </si>
  <si>
    <t>Дозатор для жидкого мыла Vetta керамика Перо павлина 2 цв. 463-009 /6/</t>
  </si>
  <si>
    <t>97326</t>
  </si>
  <si>
    <t>Дозатор для жидкого мыла Vetta пластик полосатый 180 мл 2 цв 463-839 /4/12/</t>
  </si>
  <si>
    <t>97328</t>
  </si>
  <si>
    <t>Дозатор для жидкого мыла Vetta пластик Ромбо 180 мл 4 цв 463-911 /6/</t>
  </si>
  <si>
    <t>97333</t>
  </si>
  <si>
    <t>Дозатор для жидкого мыла Vetta пластик Ротанг 180 мл 2 цв 463-983 /6/</t>
  </si>
  <si>
    <t>97312</t>
  </si>
  <si>
    <t>Дозатор для жидкого мыла пластик изумрудный агат 463-201 /16/</t>
  </si>
  <si>
    <t>90457</t>
  </si>
  <si>
    <t>Дозатор для жидкого мыла Рыжий кот полипропил 13*7*19 см 004664</t>
  </si>
  <si>
    <t>90068</t>
  </si>
  <si>
    <t>Комплект для ванны пластик №4</t>
  </si>
  <si>
    <t>90020</t>
  </si>
  <si>
    <t>Комплект для ванны пластик №6</t>
  </si>
  <si>
    <t>97332</t>
  </si>
  <si>
    <t>Контейнер для ватных дисков/палочек Vetta керамика Вертикаль 3 цв. 463-974 /6/</t>
  </si>
  <si>
    <t>97351</t>
  </si>
  <si>
    <t>Мыльница Berossi пластик Art Deko 463-073 /24/</t>
  </si>
  <si>
    <t>97324</t>
  </si>
  <si>
    <t>Мыльница Vetta керамика Любовь с первого взгляда 2 цв. 463-014 /6/</t>
  </si>
  <si>
    <t>97329</t>
  </si>
  <si>
    <t>Мыльница Vetta керамика Модерн 3 цв. 463-926 /6/</t>
  </si>
  <si>
    <t>97347</t>
  </si>
  <si>
    <t>Мыльница Vetta керамика Перо павлина 2 цв. 463-010 /6/</t>
  </si>
  <si>
    <t>97518</t>
  </si>
  <si>
    <t>Мыльница гибкая Листок ПВХ 14,5*9,5 см 2024 463-356 /6/</t>
  </si>
  <si>
    <t>97512</t>
  </si>
  <si>
    <t>Мыльница гибкая Цветок ПВХ 11,5*2 см 2098 463-357</t>
  </si>
  <si>
    <t>90163</t>
  </si>
  <si>
    <t>Мыльница силиконовая 6 цв ММ-01 463-049</t>
  </si>
  <si>
    <t>81696</t>
  </si>
  <si>
    <t>Мыльница силиконовая 6 цв ММ-03 463-051 /20/</t>
  </si>
  <si>
    <t>97358</t>
  </si>
  <si>
    <t>Мыльница силиконовая Вояж МТ76-40 /6/</t>
  </si>
  <si>
    <t>97361</t>
  </si>
  <si>
    <t>Мыльница силиконовая Листок 14,5*9 см МТ76-42 /20/</t>
  </si>
  <si>
    <t>97360</t>
  </si>
  <si>
    <t>Мыльница силиконовая Пузырьки овал 11*7,5 см МТ76-7 /20/</t>
  </si>
  <si>
    <t>97359</t>
  </si>
  <si>
    <t>Мыльница силиконовая Пузырьки прямоуг 11*7,5 см МТ76-8 /20/</t>
  </si>
  <si>
    <t>82179</t>
  </si>
  <si>
    <t>Мыльница силиконовая Цветок Д12 см МТ76-43 /20/</t>
  </si>
  <si>
    <t>97303</t>
  </si>
  <si>
    <t>Набор д/ванной 2 пр стаканчик и мыльница мятный 1315</t>
  </si>
  <si>
    <t>97304</t>
  </si>
  <si>
    <t>Набор д/ванной 2 пр стаканчик и мыльница пудровый</t>
  </si>
  <si>
    <t>97316</t>
  </si>
  <si>
    <t>Набор д/ванной 3 пр пластик 2 цв 463-947 /6/</t>
  </si>
  <si>
    <t>97349</t>
  </si>
  <si>
    <t>Набор д/ванной Vetta пласт. Ребро адама 3 предм. 2 цв. 463-041 /6/</t>
  </si>
  <si>
    <t>97325</t>
  </si>
  <si>
    <t>Набор д/ванной Vetta с занавеской 4 пр. полипропилен Пева 463-016 /12/</t>
  </si>
  <si>
    <t>97339</t>
  </si>
  <si>
    <t>Набор д/ванной керамический 3пр Лагуна 2 диз. 463-946 /12/</t>
  </si>
  <si>
    <t>97318</t>
  </si>
  <si>
    <t>Набор д/ванной керамический 3пр Мрамор Премиум 463-898 /12/</t>
  </si>
  <si>
    <t>97313</t>
  </si>
  <si>
    <t>Набор д/ванной керамический 3пр Наслаждение жизнью 463-120 /12/</t>
  </si>
  <si>
    <t>97322</t>
  </si>
  <si>
    <t>Набор д/ванной керамический 3пр Райские фрукты 463-011 /16/</t>
  </si>
  <si>
    <t>97307</t>
  </si>
  <si>
    <t>Набор д/ванной керамический 3пр Сити 3 цв. 568-232 /12/</t>
  </si>
  <si>
    <t>97340</t>
  </si>
  <si>
    <t>Набор д/ванной керамический 3пр Соблазн 2 диз. 463-969 /12/</t>
  </si>
  <si>
    <t>97345</t>
  </si>
  <si>
    <t>Набор д/ванной керамический 3пр Солнце 2 цв. 463-001 /12/</t>
  </si>
  <si>
    <t>97314</t>
  </si>
  <si>
    <t>Набор д/ванной керамический 3пр Уют 463-941 /12/</t>
  </si>
  <si>
    <t>90473</t>
  </si>
  <si>
    <t>Набор д/ванной керамический 4пр акрил со стразами Квадро голубой 463-694</t>
  </si>
  <si>
    <t>90472</t>
  </si>
  <si>
    <t>Набор д/ванной керамический 4пр Серебристые розы 463-622</t>
  </si>
  <si>
    <t>97315</t>
  </si>
  <si>
    <t>Набор д/ванной керамический Соты 3 пр 2 цв. 463-945</t>
  </si>
  <si>
    <t>97317</t>
  </si>
  <si>
    <t>Набор д/ванной Классика 4пр пластик 3 цв. 463-959</t>
  </si>
  <si>
    <t>97319</t>
  </si>
  <si>
    <t>Набор д/ванной Прикосновение 3 пр пластик 2 диз 463-981 /6/</t>
  </si>
  <si>
    <t>90462</t>
  </si>
  <si>
    <t>Набор д/ванной прорезиненный пластик 4пр Фиолет 463-688</t>
  </si>
  <si>
    <t>97354</t>
  </si>
  <si>
    <t>Подставка для моющего средства и губки 18*10*3 см пласт. 4 цв 411-020 /4/</t>
  </si>
  <si>
    <t>97355</t>
  </si>
  <si>
    <t>Подставка для моющего средства и губки 19*20*10 см пласт. 4 цв 411-021 /4/24/</t>
  </si>
  <si>
    <t>97301</t>
  </si>
  <si>
    <t>Подставка для умыв. принадлежностей DH34-8 /12/</t>
  </si>
  <si>
    <t>82184</t>
  </si>
  <si>
    <t>Подставка для умыв. принадлежностей ТL34-129 /6/</t>
  </si>
  <si>
    <t>97353</t>
  </si>
  <si>
    <t>Полочка Vetta пластик универс. 4,5*7*42 см см 4 цв. 639-001 /10/</t>
  </si>
  <si>
    <t>97352</t>
  </si>
  <si>
    <t>Стакан Berossi пластик Art Deko 463-074 /50/</t>
  </si>
  <si>
    <t>97331</t>
  </si>
  <si>
    <t>Стакан Vetta керамика Модерн 2 цв. 463-943 /6/</t>
  </si>
  <si>
    <t>97338</t>
  </si>
  <si>
    <t>Стакан Vetta керамика Модерн 3 цв. 463-928 /6/</t>
  </si>
  <si>
    <t>97346</t>
  </si>
  <si>
    <t>Стакан Vetta керамика с разделителем для з/п и щеток Перо павлина 2 цв. 463-008 /6/</t>
  </si>
  <si>
    <t>97343</t>
  </si>
  <si>
    <t>Стакан Vetta пластик полосатый 10,5*7,0 см 3 цв. 463-992 /350/</t>
  </si>
  <si>
    <t>97337</t>
  </si>
  <si>
    <t>Стакан Vetta пластик полосатый 2 цв. 463-838 /12/</t>
  </si>
  <si>
    <t>974 Бордюры для ванны</t>
  </si>
  <si>
    <t>95703</t>
  </si>
  <si>
    <t>Лента бордюрная 20*20 (3,35м) герметик бежевая</t>
  </si>
  <si>
    <t>95701</t>
  </si>
  <si>
    <t>Лента бордюрная 20*20 (3,35м) герметик белая 6800 /20/</t>
  </si>
  <si>
    <t>90058</t>
  </si>
  <si>
    <t>Лента бордюрная 20*20 (3,35м) герметик роз.</t>
  </si>
  <si>
    <t>95708</t>
  </si>
  <si>
    <t>Лента бордюрная 20*20 (3,35м) герметик салат</t>
  </si>
  <si>
    <t>95702</t>
  </si>
  <si>
    <t>Лента бордюрная 30*30 (3,35м) герметик белая 6801 /24/</t>
  </si>
  <si>
    <t>97401</t>
  </si>
  <si>
    <t>Лента бордюрная Vetta 38*3,2 м прозр.декор 3 диз 416-232 /90/</t>
  </si>
  <si>
    <t>95723</t>
  </si>
  <si>
    <t>Лента бордюрная Ааккурат 19*19*3 35 м розовая /18/</t>
  </si>
  <si>
    <t>95722</t>
  </si>
  <si>
    <t>Лента бордюрная Ааккурат 30*30*3 35 м салатовая /12/</t>
  </si>
  <si>
    <t>95714</t>
  </si>
  <si>
    <t>Лента бордюрная Ермак 38мм*3,35м самокл. полиэтилен 472-031 /60/</t>
  </si>
  <si>
    <t>97418</t>
  </si>
  <si>
    <t>Лента бордюрная Ермак 38мм*3,35м самокл. полиэтилен+2 уголка и 2-загл.472-033 /60/</t>
  </si>
  <si>
    <t>95715</t>
  </si>
  <si>
    <t>Лента бордюрная Ермак 60мм*3,35м самокл. полиэтилен 472-032 /60/</t>
  </si>
  <si>
    <t>975 Мыльницы с металл</t>
  </si>
  <si>
    <t>97028</t>
  </si>
  <si>
    <t>Мыльница Cristal.mix белый пластик врезка 568-187</t>
  </si>
  <si>
    <t>90006</t>
  </si>
  <si>
    <t>Мыльница Depo Н212 решет.треугольн.хром</t>
  </si>
  <si>
    <t>97504</t>
  </si>
  <si>
    <t>Мыльница RWR-345009 12*11,5*2 хром</t>
  </si>
  <si>
    <t>97087</t>
  </si>
  <si>
    <t>Мыльница металл. Frap стеклянная навесная</t>
  </si>
  <si>
    <t>97505</t>
  </si>
  <si>
    <t>Мыльница на кран 17*10,5*4,5см АЛТ 105С /12/</t>
  </si>
  <si>
    <t>97502</t>
  </si>
  <si>
    <t>Мыльница на кран 17*10,5*4см хром 15277 /12/</t>
  </si>
  <si>
    <t>97300</t>
  </si>
  <si>
    <t>Мыльница пластик на мет. подставке P201 /120/</t>
  </si>
  <si>
    <t>92006</t>
  </si>
  <si>
    <t>Мыльница стеклянная Depo 3785С Frog</t>
  </si>
  <si>
    <t>976 Ерши д/унитаза</t>
  </si>
  <si>
    <t>97684</t>
  </si>
  <si>
    <t>Ерш унитазный VETTA пластик без подставки практик 2 цв. 463-787 /3/36/</t>
  </si>
  <si>
    <t>97683</t>
  </si>
  <si>
    <t>Ерш унитазный VETTA полипропилен 2 диз. 463-781 /12/</t>
  </si>
  <si>
    <t>98986</t>
  </si>
  <si>
    <t>Ерш унитазный VETTA полосатый пластик 2 цв. 463-840 /12/</t>
  </si>
  <si>
    <t>97638</t>
  </si>
  <si>
    <t>Ерш унитазный VETTA с подставкой пластик 2 цв. 463-176 /6/24/</t>
  </si>
  <si>
    <t>90235</t>
  </si>
  <si>
    <t>Ерш унитазный Альтернатива №1 без подставки М1084 /80/</t>
  </si>
  <si>
    <t>98931</t>
  </si>
  <si>
    <t>Ерш унитазный Альтернатива №2 без подставки М1085 /80/</t>
  </si>
  <si>
    <t>97666</t>
  </si>
  <si>
    <t>Ерш унитазный Альтернатива с подставкой бежевый М8339 /20/</t>
  </si>
  <si>
    <t>90215</t>
  </si>
  <si>
    <t>Ерш унитазный Альтернатива с подставкой Бриз М873 /20/</t>
  </si>
  <si>
    <t>97601</t>
  </si>
  <si>
    <t>Ерш унитазный Альтернатива с подставкой Вязаное плетение бежевый М6886 /20/</t>
  </si>
  <si>
    <t>97602</t>
  </si>
  <si>
    <t>Ерш унитазный Альтернатива с подставкой Вязаное плетение белый М6895 /20/</t>
  </si>
  <si>
    <t>97604</t>
  </si>
  <si>
    <t>Ерш унитазный Альтернатива с подставкой Кристалл прозрачный М6820 /20/</t>
  </si>
  <si>
    <t>97605</t>
  </si>
  <si>
    <t>Ерш унитазный Альтернатива с подставкой Кристалл тонир. М6763 /20/</t>
  </si>
  <si>
    <t>97661</t>
  </si>
  <si>
    <t>Ерш унитазный Альтернатива с подставкой Лотос М877 /20/</t>
  </si>
  <si>
    <t>90221</t>
  </si>
  <si>
    <t>Ерш унитазный Альтернатива с подставкой М172 /20/</t>
  </si>
  <si>
    <t>97664</t>
  </si>
  <si>
    <t>Ерш унитазный Альтернатива с подставкой Морской М7867 /20/</t>
  </si>
  <si>
    <t>98922</t>
  </si>
  <si>
    <t>Ерш унитазный Альтернатива с подставкой Плетенка белый М4464 /20/</t>
  </si>
  <si>
    <t>97665</t>
  </si>
  <si>
    <t>Ерш унитазный Альтернатива с подставкой Плетенка венге М8309 /20/</t>
  </si>
  <si>
    <t>98924</t>
  </si>
  <si>
    <t>Ерш унитазный Альтернатива с подставкой Плетенка сл.кость М1792 /20/</t>
  </si>
  <si>
    <t>79605</t>
  </si>
  <si>
    <t>Ерш унитазный Альтернатива с подставкой Ракушки М7869 /20/</t>
  </si>
  <si>
    <t>97607</t>
  </si>
  <si>
    <t>Ерш унитазный в гильзе нерж. МА-10 /60/</t>
  </si>
  <si>
    <t>97609</t>
  </si>
  <si>
    <t>Ерш унитазный в гильзе нерж. МА-11 /60/</t>
  </si>
  <si>
    <t>97663</t>
  </si>
  <si>
    <t>Ерш унитазный в гильзе розовый P220 /24/</t>
  </si>
  <si>
    <t>97679</t>
  </si>
  <si>
    <t>Ерш унитазный Виолет с подставкой WC Ротанг квад белый /15/</t>
  </si>
  <si>
    <t>97680</t>
  </si>
  <si>
    <t>Ерш унитазный Виолет с подставкой WC Ротанг квад корич /15/</t>
  </si>
  <si>
    <t>97678</t>
  </si>
  <si>
    <t>Ерш унитазный Виолет с подставкой WC Ротанг квад латте /15/</t>
  </si>
  <si>
    <t>97677</t>
  </si>
  <si>
    <t>Ерш унитазный Виолет с подставкой WC Ротанг квад сл кость /15/</t>
  </si>
  <si>
    <t>97675</t>
  </si>
  <si>
    <t>Ерш унитазный Виолет с подставкой WC Ротанг кругл корич /20/</t>
  </si>
  <si>
    <t>97673</t>
  </si>
  <si>
    <t>Ерш унитазный Виолет с подставкой WC Ротанг кругл сл кость /20/</t>
  </si>
  <si>
    <t>97617</t>
  </si>
  <si>
    <t>Ерш унитазный Виолет с подставкой WC Синие маки кругл с декором /30/</t>
  </si>
  <si>
    <t>97613</t>
  </si>
  <si>
    <t>Ерш унитазный подвесной F-020G /40/</t>
  </si>
  <si>
    <t>97630</t>
  </si>
  <si>
    <t>Ерш унитазный полипропилен BY 445-400 /12/</t>
  </si>
  <si>
    <t>977 Крючки хромированные</t>
  </si>
  <si>
    <t>90185</t>
  </si>
  <si>
    <t>Вешалка Cristal.mix крючок 2-й белый пластик врезка 568-181</t>
  </si>
  <si>
    <t>90184</t>
  </si>
  <si>
    <t>Вешалка Cristal.mix крючок белый пластик врезка 568-180</t>
  </si>
  <si>
    <t>51025</t>
  </si>
  <si>
    <t>Вешалка SonWelle 4 крючка хром S05-006</t>
  </si>
  <si>
    <t>97707</t>
  </si>
  <si>
    <t>Вешалка настенная Vetta с крючками 38*1,3*7 см пластик 465-227 /120/</t>
  </si>
  <si>
    <t>97021</t>
  </si>
  <si>
    <t>Кронштейн Depo 3 крючка хром 9913</t>
  </si>
  <si>
    <t>90177</t>
  </si>
  <si>
    <t>Крючки FRAP под бронзу 2-й</t>
  </si>
  <si>
    <t>97722</t>
  </si>
  <si>
    <t>Крючки SonWelle двойной самокл. смайл 4 шт 542-050 /200/</t>
  </si>
  <si>
    <t>97704</t>
  </si>
  <si>
    <t>Крючки Vetta самоклеющиеся для полотенец 4 шт 2 цв. 478-135 /6/</t>
  </si>
  <si>
    <t>97718</t>
  </si>
  <si>
    <t>Крючки Vetta хром/пластик на присоске 8*9,5 см 2 шт 3 цв. 463-919 /6/</t>
  </si>
  <si>
    <t>97705</t>
  </si>
  <si>
    <t>Крючки на планке 4 шт Р2914-4 /80/</t>
  </si>
  <si>
    <t>97731</t>
  </si>
  <si>
    <t>Крючки на планке 5 шт Р2914-5</t>
  </si>
  <si>
    <t>97702</t>
  </si>
  <si>
    <t>Крючки на планке 6 шт Р2914-6 /80/</t>
  </si>
  <si>
    <t>90157</t>
  </si>
  <si>
    <t>Крючок ARTEX Hooky 478-071 /25/50/</t>
  </si>
  <si>
    <t>90160</t>
  </si>
  <si>
    <t>Крючок ARTEX Hooky тройной 478-072 /10/50/</t>
  </si>
  <si>
    <t>97059</t>
  </si>
  <si>
    <t>Крючок Depo 3788С Frog одинарный</t>
  </si>
  <si>
    <t>97069</t>
  </si>
  <si>
    <t>Крючок Depo 6788A Conus одинарный хром-золото</t>
  </si>
  <si>
    <t>97708</t>
  </si>
  <si>
    <t>Крючок Depo 7188С Breeze одинарный</t>
  </si>
  <si>
    <t>90196</t>
  </si>
  <si>
    <t>Крючок SonWelle Морская звезда двойной хром S05-036 /4/60/</t>
  </si>
  <si>
    <t>97721</t>
  </si>
  <si>
    <t>Крючок SonWelle нерж.черн. 542-008 /400/</t>
  </si>
  <si>
    <t>97726</t>
  </si>
  <si>
    <t>Крючок двойной L2905-2 /20/</t>
  </si>
  <si>
    <t>90161</t>
  </si>
  <si>
    <t>Крючок тройной ARTEX Slim 478-006 /10/50/</t>
  </si>
  <si>
    <t>97727</t>
  </si>
  <si>
    <t>Крючок тройной малый Р2905-3 /50/</t>
  </si>
  <si>
    <t>97700</t>
  </si>
  <si>
    <t>Планка Vetta 3 крючка 2,5*12см самоклеющ. 440-368 /240/</t>
  </si>
  <si>
    <t>97714</t>
  </si>
  <si>
    <t>Планка д/ванной SonWelle 4 крючка 29 см хром нерж. 542-013 /100/</t>
  </si>
  <si>
    <t>980 Мебель для ванной комнаты</t>
  </si>
  <si>
    <t>98021</t>
  </si>
  <si>
    <t>Зеркало -полка 1036-1R (540*1084) Стиль-55, левое</t>
  </si>
  <si>
    <t>98013</t>
  </si>
  <si>
    <t>Зеркало -полка 1036-1R (540*1084) Стиль-55, правое</t>
  </si>
  <si>
    <t>981 Тумбочки для моек</t>
  </si>
  <si>
    <t>98128</t>
  </si>
  <si>
    <t>Тумбочка под мойку 50*60 белая без полочки</t>
  </si>
  <si>
    <t>91523</t>
  </si>
  <si>
    <t>Тумбочка под мойку 50*80 белый мрамор</t>
  </si>
  <si>
    <t>985 Ремкомплекты сантехнические</t>
  </si>
  <si>
    <t>98520</t>
  </si>
  <si>
    <t>Набор прокладок №1(универс.33шт)(М№4) 0514</t>
  </si>
  <si>
    <t>98508</t>
  </si>
  <si>
    <t>Набор прокладок №2(универс.33шт)(М№4) 1153</t>
  </si>
  <si>
    <t>98505</t>
  </si>
  <si>
    <t>Ремкомплект 3 прокладки универс.</t>
  </si>
  <si>
    <t>98518</t>
  </si>
  <si>
    <t>Ремкомплект д/керам. к/б для российск. смес. /100/</t>
  </si>
  <si>
    <t>98504</t>
  </si>
  <si>
    <t>Ремкомплект д/керам. к/б россия 1 штука /100/</t>
  </si>
  <si>
    <t>98517</t>
  </si>
  <si>
    <t>Ремкомплект д/керам.к/б 1/2 для импортн. смес. /100/</t>
  </si>
  <si>
    <t>93626</t>
  </si>
  <si>
    <t>Ремкомплект прокладок Ручеек для отеч см. /50/</t>
  </si>
  <si>
    <t>98521</t>
  </si>
  <si>
    <t>Ремкомплект Сантехник №1 для смесителей</t>
  </si>
  <si>
    <t>98511</t>
  </si>
  <si>
    <t>Ремкомплект Сантехник №1 универсальный набор прокладок для быта</t>
  </si>
  <si>
    <t>93786</t>
  </si>
  <si>
    <t>Ремкомплект Сантехник №14 картридж д35</t>
  </si>
  <si>
    <t>93791</t>
  </si>
  <si>
    <t>Ремкомплект Сантехник №15 картридж д40 /50/</t>
  </si>
  <si>
    <t>98519</t>
  </si>
  <si>
    <t>Ремкомплект Сантехник №17 фторопластовые прокладки 1/4-1</t>
  </si>
  <si>
    <t>98512</t>
  </si>
  <si>
    <t>Ремкомплект Сантехник №2 для смесителей силикон</t>
  </si>
  <si>
    <t>98513</t>
  </si>
  <si>
    <t>Ремкомплект Сантехник №3 для смесителей резин. /100/</t>
  </si>
  <si>
    <t>98501</t>
  </si>
  <si>
    <t>Ремкомплект Сантехник №6 Родничок для см. Россия</t>
  </si>
  <si>
    <t>93662</t>
  </si>
  <si>
    <t>Ремкомплект Сантехник №7 Капелька /50/</t>
  </si>
  <si>
    <t>987 Комплектующие для полотенцесушителей</t>
  </si>
  <si>
    <t>98717</t>
  </si>
  <si>
    <t>Американка для ПС угловая 3/4"-3/4" г-ш</t>
  </si>
  <si>
    <t>98734</t>
  </si>
  <si>
    <t>Крепеж для полотенцес.VIR3/4"нерж.телеск.</t>
  </si>
  <si>
    <t>98716</t>
  </si>
  <si>
    <t>Крепеж для полотенцес.С-П 1" разъемн. с кольцом /100/</t>
  </si>
  <si>
    <t>98706</t>
  </si>
  <si>
    <t>Крепеж для полотенцес.С-П 1" телескопический хром /100/</t>
  </si>
  <si>
    <t>98707</t>
  </si>
  <si>
    <t>Крепеж для полотенцес.С-П 3/4" разъемн. с кольцом /10/</t>
  </si>
  <si>
    <t>90590</t>
  </si>
  <si>
    <t>Крепеж для полотенцес.С-П 3/4" телескопический хром /10/100/</t>
  </si>
  <si>
    <t>90508</t>
  </si>
  <si>
    <t>Отражатель RR-131 57*1/2 лат хр</t>
  </si>
  <si>
    <t>98720</t>
  </si>
  <si>
    <t>Отражатель нерж. D 50*21 мм рус /2000/</t>
  </si>
  <si>
    <t>98704</t>
  </si>
  <si>
    <t>Соединение для ПС прямое с накид.гайкой и отражател.1"-1/2" г-ш пара</t>
  </si>
  <si>
    <t>98703</t>
  </si>
  <si>
    <t>Соединение для ПС прямое с накид.гайкой и отражател.3/4"-3/4" г-ш пара</t>
  </si>
  <si>
    <t>90579</t>
  </si>
  <si>
    <t>Соединение для ПС прямое с накидной гайкой 1"-1" г-г шт</t>
  </si>
  <si>
    <t>90575</t>
  </si>
  <si>
    <t>Соединение для ПС прямое с накидной гайкой 1"-1" г-ш шт</t>
  </si>
  <si>
    <t>98702</t>
  </si>
  <si>
    <t>Соединение для ПС прямое с накидными гайками 1"-1/2" г-г пара</t>
  </si>
  <si>
    <t>98711</t>
  </si>
  <si>
    <t>Соединение для ПС прямое с накидными гайками 1/2"-3/4" г-г пара</t>
  </si>
  <si>
    <t>98701</t>
  </si>
  <si>
    <t>Соединение для ПС прямое с накидными гайками 3/4"-3/4" г-г пара</t>
  </si>
  <si>
    <t>90577</t>
  </si>
  <si>
    <t>Соединение для ПС угловое с накидными гайками 1"*1" г-г пара</t>
  </si>
  <si>
    <t>90500</t>
  </si>
  <si>
    <t>Соединение для ПС угловое с накидными гайками 1"*1/2" г-г пара</t>
  </si>
  <si>
    <t>90562</t>
  </si>
  <si>
    <t>Уголок для ПС Nev 1/2"*1/2" г-ш пара</t>
  </si>
  <si>
    <t>90505</t>
  </si>
  <si>
    <t>Уголок для ПС с отражателем с накидной гайкаой 1"-1" г-ш пара</t>
  </si>
  <si>
    <t>90578</t>
  </si>
  <si>
    <t>Уголок для ПС с отражателем с накидной гайкаой 1"-3/4" г-ш пара</t>
  </si>
  <si>
    <t>90533</t>
  </si>
  <si>
    <t>Уголок для ПС с отражателем с накидной гайкаой 3/4"-1/2" г-ш пара</t>
  </si>
  <si>
    <t>90596</t>
  </si>
  <si>
    <t>Уголок для ПС с отражателем с накидной гайкаой 3/4"-3/4" г-ш пара</t>
  </si>
  <si>
    <t>90557</t>
  </si>
  <si>
    <t>Уголок для ПС со сгоном 1"-1/2" г-ш пара /20/</t>
  </si>
  <si>
    <t>98705</t>
  </si>
  <si>
    <t>Уголок для ПС со сгоном 1"г- 3/4"ш-1/2" ш пара /20/</t>
  </si>
  <si>
    <t>988 Арматура для бачков к унитазам</t>
  </si>
  <si>
    <t>98891</t>
  </si>
  <si>
    <t>Арматура АНИ WC3050 бок.подв.1/2 пластик. кнопка белая /20/</t>
  </si>
  <si>
    <t>98892</t>
  </si>
  <si>
    <t>Арматура АНИ WC3050M бок.подв.1/2 пластик. кнопка метал /20/</t>
  </si>
  <si>
    <t>98893</t>
  </si>
  <si>
    <t>Арматура АНИ WC3550 ниж.подв.1/2 пластик. кнопка белая /20/</t>
  </si>
  <si>
    <t>98894</t>
  </si>
  <si>
    <t>Арматура АНИ WC3550M ниж.подв.1/2 пластик. кнопка метал /20/</t>
  </si>
  <si>
    <t>98830</t>
  </si>
  <si>
    <t>Арматура АНИ WC4050 боковая подв.пластик.ручка белая (прокл.круг.резин.) /20/</t>
  </si>
  <si>
    <t>98831</t>
  </si>
  <si>
    <t>Арматура АНИ WC4050М боковая подв.пластик.ручка хром (прокл.круг.резин.) /20/</t>
  </si>
  <si>
    <t>98838</t>
  </si>
  <si>
    <t>Арматура АНИ WC4550 нижняя подв.пластик.ручка белая (прокл.круг.резин.) /20/</t>
  </si>
  <si>
    <t>98842</t>
  </si>
  <si>
    <t>Арматура АНИ WC4550М ниж.подв. пластик.металлизир. (прокл.круг.резин) /20/</t>
  </si>
  <si>
    <t>98846</t>
  </si>
  <si>
    <t>Арматура АНИ WC6050 бок.подв.1/2 пластик. кнопка белая (прокл.круг.резин.) /20/</t>
  </si>
  <si>
    <t>98860</t>
  </si>
  <si>
    <t>Арматура АНИ WC6050M бок.подв.1/2 пластик. кнопка метал. (прокл.круг.резин.) /20/</t>
  </si>
  <si>
    <t>98847</t>
  </si>
  <si>
    <t>Арматура АНИ WC6550 ниж.подв.1/2 пластик. бел. (прокл.круг.резин.) /20/</t>
  </si>
  <si>
    <t>98867</t>
  </si>
  <si>
    <t>Арматура АНИ WC6550M ниж.подв.1/2 пластик. метал. /20/</t>
  </si>
  <si>
    <t>98806</t>
  </si>
  <si>
    <t>Арматура АНИ WC8010 1/2 боковая пластм.кнопка белая /20/</t>
  </si>
  <si>
    <t>98868</t>
  </si>
  <si>
    <t>Арматура АНИ WC8010C 1/2 боковая пластм.кнопка хром (прокл.круг.парал.) /20/</t>
  </si>
  <si>
    <t>98882</t>
  </si>
  <si>
    <t>Арматура АНИ WC8020C 1/2 боковая латунь (прокл.круг.парал.) /20/</t>
  </si>
  <si>
    <t>98895</t>
  </si>
  <si>
    <t>Арматура АНИ WC8030C 3/8 бок.подв. пластик. кнопка хром. /20/</t>
  </si>
  <si>
    <t>98875</t>
  </si>
  <si>
    <t>Арматура АНИ WC8510 1/2 нижн.пластм.кнопка белая (прокл.круг.парал.) /20/</t>
  </si>
  <si>
    <t>98876</t>
  </si>
  <si>
    <t>Арматура АНИ WC8510C 1/2 нижн. пластм.кнопка хром (прокл.круг.парал.) /20/</t>
  </si>
  <si>
    <t>98878</t>
  </si>
  <si>
    <t>Арматура АНИ WC8520C 1/2 нижн. под. латунь (прокл.круг.парал.) /20/</t>
  </si>
  <si>
    <t>98896</t>
  </si>
  <si>
    <t>Арматура АНИ WC8530C 3/8 ниж.подв. пластик. кнопка хром. /20/</t>
  </si>
  <si>
    <t>98897</t>
  </si>
  <si>
    <t>Арматура АНИ WC9010С бок.подв. 1/2  пластик. кнопка хром. 2-я. /20/</t>
  </si>
  <si>
    <t>98883</t>
  </si>
  <si>
    <t>Арматура АНИ WC9020C 1/2 боковая латунь /20/</t>
  </si>
  <si>
    <t>93510</t>
  </si>
  <si>
    <t>Арматура АНИ WC9510С ниж.подв. 1/2  пластик.металлизир 2-я. (прокл.круг.парал) /20/</t>
  </si>
  <si>
    <t>98817</t>
  </si>
  <si>
    <t>Арматура Псков АБ 105.57.33.3.2 нижняя подводка кнопка хром (прокл.фигур.резин.) /18/</t>
  </si>
  <si>
    <t>98856</t>
  </si>
  <si>
    <t>Арматура Псков АБ 110.56.14.0 бок.подв. бел.ручка спускная (прокл.круг.резин.) /30/</t>
  </si>
  <si>
    <t>98869</t>
  </si>
  <si>
    <t>Арматура Псков АБ 110.56.14.3 бок.подв. хр.ручка спускная (прокл.круг.парал.) /30/</t>
  </si>
  <si>
    <t>98825</t>
  </si>
  <si>
    <t>Арматура Псков АБ 77.56.14.3 боковая подводка 2-х кнопочная хром (прокл.круг.резина) /20/</t>
  </si>
  <si>
    <t>93449</t>
  </si>
  <si>
    <t>Клапан АНИ WC5010 1/2- подводка бок. /30/</t>
  </si>
  <si>
    <t>98862</t>
  </si>
  <si>
    <t>Клапан АНИ WC5020 1/2 боковая латунь /30/</t>
  </si>
  <si>
    <t>98899</t>
  </si>
  <si>
    <t>Клапан АНИ WC5030 3/8 боковая пластик /30/</t>
  </si>
  <si>
    <t>93499</t>
  </si>
  <si>
    <t>Клапан АНИ WC5040 3/8 боковая латунь /30/</t>
  </si>
  <si>
    <t>98877</t>
  </si>
  <si>
    <t>Клапан АНИ WC5050 1/2 боковая пластик эконом /30/</t>
  </si>
  <si>
    <t>98839</t>
  </si>
  <si>
    <t>Клапан АНИ WC5510 1/2 нижняя пластик /30/</t>
  </si>
  <si>
    <t>98863</t>
  </si>
  <si>
    <t>Клапан АНИ WC5520 1/2 нижняя латунь /30/</t>
  </si>
  <si>
    <t>98802</t>
  </si>
  <si>
    <t>Клапан АНИ WC5530 3/8 нижняя пластик /30/</t>
  </si>
  <si>
    <t>93426</t>
  </si>
  <si>
    <t>Клапан АНИ WC5540 3/8 нижняя латунь /30/</t>
  </si>
  <si>
    <t>98870</t>
  </si>
  <si>
    <t>Клапан АНИ WC5550 1/2 нижняя пластик эконом /30/</t>
  </si>
  <si>
    <t>98800</t>
  </si>
  <si>
    <t>Клапан Псков К54 горизонтальный 1/2" пл. /70/</t>
  </si>
  <si>
    <t>98845</t>
  </si>
  <si>
    <t>Клапан Псков К57 вертикальный пл. /60/</t>
  </si>
  <si>
    <t>98819</t>
  </si>
  <si>
    <t>Клапан шаровой латунный в сбор. Тула /100/</t>
  </si>
  <si>
    <t>98801</t>
  </si>
  <si>
    <t>Клапан шаровой пл.в сборе Тула с/попл. 3554 /200/</t>
  </si>
  <si>
    <t>98865</t>
  </si>
  <si>
    <t>Колонка АНИ WC7010 1/2 спускная белая кнопка /30/</t>
  </si>
  <si>
    <t>93436</t>
  </si>
  <si>
    <t>Колонка АНИ WC7010 С 1/2 спускная хр.кнопка /30/</t>
  </si>
  <si>
    <t>98820</t>
  </si>
  <si>
    <t>Колонка АНИ WC7030 эконом /30/</t>
  </si>
  <si>
    <t>98879</t>
  </si>
  <si>
    <t>Колонка АНИ WC7040 1/2 спускная ручка белая /30/</t>
  </si>
  <si>
    <t>98836</t>
  </si>
  <si>
    <t>Колонка АНИ WC7040М спускная ручка метализ. /30/</t>
  </si>
  <si>
    <t>93474</t>
  </si>
  <si>
    <t>Колонка латунн.верт.слив латунь/Тула</t>
  </si>
  <si>
    <t>98859</t>
  </si>
  <si>
    <t>Колонка пластм.верт.слив ст.рычаг Тула 3560</t>
  </si>
  <si>
    <t>990 Сиденья для унитазов</t>
  </si>
  <si>
    <t>90637</t>
  </si>
  <si>
    <t>Накладка детская д/унитаза Альтернатива М1184 /10/</t>
  </si>
  <si>
    <t>99058</t>
  </si>
  <si>
    <t>Накладка детская д/унитаза с ручками голубая /15/</t>
  </si>
  <si>
    <t>99001</t>
  </si>
  <si>
    <t>Накладка детская д/унитаза с ручками желтая /15/</t>
  </si>
  <si>
    <t>99022</t>
  </si>
  <si>
    <t>Накладка детская д/унитаза с ручками малина /15/</t>
  </si>
  <si>
    <t>99024</t>
  </si>
  <si>
    <t>Накладка детская д/унитаза с ручками салатовый /15/</t>
  </si>
  <si>
    <t>99028</t>
  </si>
  <si>
    <t>Сиденье д/унитаза "Виктория" салатовый 517 /10/</t>
  </si>
  <si>
    <t>99079</t>
  </si>
  <si>
    <t>Сиденье д/унитаза Fovero пластик бежевое /14/</t>
  </si>
  <si>
    <t>99045</t>
  </si>
  <si>
    <t>Сиденье д/унитаза Fovero пластик голубое /14/</t>
  </si>
  <si>
    <t>99025</t>
  </si>
  <si>
    <t>Сиденье д/унитаза Fovero пластик кремовое /14/</t>
  </si>
  <si>
    <t>99070</t>
  </si>
  <si>
    <t>Сиденье д/унитаза Fovero пластик розовое /14/</t>
  </si>
  <si>
    <t>99007</t>
  </si>
  <si>
    <t>Сиденье д/унитаза Libero/Euro comfort Бабочка /10/</t>
  </si>
  <si>
    <t>99002</t>
  </si>
  <si>
    <t>Сиденье д/унитаза Libero/Euro comfort Бантик белый /10/</t>
  </si>
  <si>
    <t>99004</t>
  </si>
  <si>
    <t>Сиденье д/унитаза Libero/Euro comfort Бантик голубой /10/</t>
  </si>
  <si>
    <t>99005</t>
  </si>
  <si>
    <t>Сиденье д/унитаза Libero/Euro comfort Бантик зеленый /10/</t>
  </si>
  <si>
    <t>99014</t>
  </si>
  <si>
    <t>Сиденье д/унитаза Libero/Euro comfort Бантик розовый /10/</t>
  </si>
  <si>
    <t>99006</t>
  </si>
  <si>
    <t>Сиденье д/унитаза Libero/Primavera Бантик бежевый /10/</t>
  </si>
  <si>
    <t>99011</t>
  </si>
  <si>
    <t>Сиденье д/унитаза Libero/Primavera Закат /10/</t>
  </si>
  <si>
    <t>99021</t>
  </si>
  <si>
    <t>Сиденье д/унитаза Libero/Primavera Камни /10/</t>
  </si>
  <si>
    <t>99063</t>
  </si>
  <si>
    <t>Сиденье д/унитаза Libero/Primavera Розы /10/</t>
  </si>
  <si>
    <t>99050</t>
  </si>
  <si>
    <t>Сиденье д/унитаза Ани WS0100 /15/</t>
  </si>
  <si>
    <t>99019</t>
  </si>
  <si>
    <t>Сиденье д/унитаза Ани WS0110 /15/</t>
  </si>
  <si>
    <t>99073</t>
  </si>
  <si>
    <t>Сиденье д/унитаза Ани WS0200 /12/</t>
  </si>
  <si>
    <t>99065</t>
  </si>
  <si>
    <t>Сиденье д/унитаза Ани WS0210 /12/</t>
  </si>
  <si>
    <t>99067</t>
  </si>
  <si>
    <t>Сиденье д/унитаза Ани WS0300 /12/</t>
  </si>
  <si>
    <t>99077</t>
  </si>
  <si>
    <t>Сиденье д/унитаза Виолет Ротанг белый /10/</t>
  </si>
  <si>
    <t>99060</t>
  </si>
  <si>
    <t>Сиденье д/унитаза Виолет Ротанг латте /10/</t>
  </si>
  <si>
    <t>99087</t>
  </si>
  <si>
    <t>Сиденье д/унитаза Виолет Ротанг сл кость /10/</t>
  </si>
  <si>
    <t>90642</t>
  </si>
  <si>
    <t>Сиденье д/унитаза ВИР розовый мр. 526 /15/</t>
  </si>
  <si>
    <t>99055</t>
  </si>
  <si>
    <t>Сиденье д/унитаза детское, пороллон + ПВХ, 6диз. 571-079 /4/24/</t>
  </si>
  <si>
    <t>99084</t>
  </si>
  <si>
    <t>Сиденье д/унитаза жесткое Океан Камень /10/</t>
  </si>
  <si>
    <t>99066</t>
  </si>
  <si>
    <t>Сиденье д/унитаза жесткое Океан Мак /10/</t>
  </si>
  <si>
    <t>99033</t>
  </si>
  <si>
    <t>Сиденье д/унитаза жесткое Океан Ракушки на белом /10/</t>
  </si>
  <si>
    <t>99054</t>
  </si>
  <si>
    <t>Сиденье д/унитаза пластик фотопр Бабочка акварельная /14/</t>
  </si>
  <si>
    <t>99076</t>
  </si>
  <si>
    <t>Сиденье д/унитаза пластик фотопр Бриз /14/</t>
  </si>
  <si>
    <t>99093</t>
  </si>
  <si>
    <t>Сиденье д/унитаза пластик фотопр Венеция /14/</t>
  </si>
  <si>
    <t>99051</t>
  </si>
  <si>
    <t>Сиденье д/унитаза пластик фотопр Водопад /14/</t>
  </si>
  <si>
    <t>99095</t>
  </si>
  <si>
    <t>Сиденье д/унитаза пластик фотопр Волна /14/</t>
  </si>
  <si>
    <t>99089</t>
  </si>
  <si>
    <t>Сиденье д/унитаза пластик фотопр Гармония /14/</t>
  </si>
  <si>
    <t>99034</t>
  </si>
  <si>
    <t>Сиденье д/унитаза пластик фотопр Дельфины /14/</t>
  </si>
  <si>
    <t>99023</t>
  </si>
  <si>
    <t>Сиденье д/унитаза пластик фотопр Дино /14/</t>
  </si>
  <si>
    <t>99081</t>
  </si>
  <si>
    <t>Сиденье д/унитаза пластик фотопр Звездочки /14/</t>
  </si>
  <si>
    <t>99016</t>
  </si>
  <si>
    <t>Сиденье д/унитаза пластик фотопр Карпы /14/</t>
  </si>
  <si>
    <t>99091</t>
  </si>
  <si>
    <t>Сиденье д/унитаза пластик фотопр Компас /14/</t>
  </si>
  <si>
    <t>99094</t>
  </si>
  <si>
    <t>Сиденье д/унитаза пластик фотопр Коровка /14/</t>
  </si>
  <si>
    <t>99009</t>
  </si>
  <si>
    <t>Сиденье д/унитаза пластик фотопр Лев /14/</t>
  </si>
  <si>
    <t>99082</t>
  </si>
  <si>
    <t>Сиденье д/унитаза пластик фотопр Лепестки /14/</t>
  </si>
  <si>
    <t>99030</t>
  </si>
  <si>
    <t>Сиденье д/унитаза пластик фотопр Лето /14/</t>
  </si>
  <si>
    <t>99038</t>
  </si>
  <si>
    <t>Сиденье д/унитаза пластик фотопр Лотос /14/</t>
  </si>
  <si>
    <t>99015</t>
  </si>
  <si>
    <t>Сиденье д/унитаза пластик фотопр Малыши /14/</t>
  </si>
  <si>
    <t>99088</t>
  </si>
  <si>
    <t>Сиденье д/унитаза пластик фотопр Морское дно /14/</t>
  </si>
  <si>
    <t>99041</t>
  </si>
  <si>
    <t>Сиденье д/унитаза пластик фотопр Морской /14/</t>
  </si>
  <si>
    <t>99096</t>
  </si>
  <si>
    <t>Сиденье д/унитаза пластик фотопр Париж /14/</t>
  </si>
  <si>
    <t>99031</t>
  </si>
  <si>
    <t>Сиденье д/унитаза пластик фотопр Парусник /14/</t>
  </si>
  <si>
    <t>99098</t>
  </si>
  <si>
    <t>Сиденье д/унитаза пластик фотопр Перышко /14/</t>
  </si>
  <si>
    <t>99043</t>
  </si>
  <si>
    <t>Сиденье д/унитаза пластик фотопр Пляж /14/</t>
  </si>
  <si>
    <t>99099</t>
  </si>
  <si>
    <t>Сиденье д/унитаза пластик фотопр Португалия /14/</t>
  </si>
  <si>
    <t>99000</t>
  </si>
  <si>
    <t>Сиденье д/унитаза пластик фотопр Пэчворк /14/</t>
  </si>
  <si>
    <t>99072</t>
  </si>
  <si>
    <t>Сиденье д/унитаза пластик фотопр Ракушки /14/</t>
  </si>
  <si>
    <t>99090</t>
  </si>
  <si>
    <t>Сиденье д/унитаза пластик фотопр Рыбки /14/</t>
  </si>
  <si>
    <t>99049</t>
  </si>
  <si>
    <t>Сиденье д/унитаза пластик фотопр Утренняя роса /14/</t>
  </si>
  <si>
    <t>99068</t>
  </si>
  <si>
    <t>Сиденье д/унитаза пластиковое белое 571-131 /2/20/</t>
  </si>
  <si>
    <t>99083</t>
  </si>
  <si>
    <t>Сиденье д/унитаза СП Фараон Стандарт розовый 3 тип /15/</t>
  </si>
  <si>
    <t>991 Сиденья для унитазов мягкие/Наклейки/Чехлы</t>
  </si>
  <si>
    <t>99132</t>
  </si>
  <si>
    <t>Накладки на сиденье для унитаза Vetta теплые самокл. пэ 2 пары 2 цв 027-001 /6/</t>
  </si>
  <si>
    <t>99131</t>
  </si>
  <si>
    <t>Сиденье д/унитаза мягкое Vanna Lux желтое /17/</t>
  </si>
  <si>
    <t>99133</t>
  </si>
  <si>
    <t>Сиденье д/унитаза мягкое Vanna Lux коричневое /17/</t>
  </si>
  <si>
    <t>99136</t>
  </si>
  <si>
    <t>Сиденье д/унитаза мягкое Vanna Lux красное /17/</t>
  </si>
  <si>
    <t>99135</t>
  </si>
  <si>
    <t>Сиденье д/унитаза мягкое Vanna Lux розовое /17/</t>
  </si>
  <si>
    <t>99101</t>
  </si>
  <si>
    <t>Сиденье д/унитаза мягкое Vanna Lux с вышивкой /17/</t>
  </si>
  <si>
    <t>99102</t>
  </si>
  <si>
    <t>Сиденье д/унитаза мягкое Vanna Lux синее /17/</t>
  </si>
  <si>
    <t>99103</t>
  </si>
  <si>
    <t>Сиденье д/унитаза мягкое Vanna Lux сиреневое /17/</t>
  </si>
  <si>
    <t>99104</t>
  </si>
  <si>
    <t>Сиденье д/унитаза мягкое Vanna Lux фиолетовое /17/</t>
  </si>
  <si>
    <t>99126</t>
  </si>
  <si>
    <t>Сиденье д/унитаза мягкое Vanna Lux фотопринт /17/</t>
  </si>
  <si>
    <t>99105</t>
  </si>
  <si>
    <t>Сиденье д/унитаза мягкое Vanna Lux черное /17/</t>
  </si>
  <si>
    <t>99159</t>
  </si>
  <si>
    <t>Сиденье д/унитаза мягкое Океан б/р голубое /17/</t>
  </si>
  <si>
    <t>99174</t>
  </si>
  <si>
    <t>Сиденье д/унитаза мягкое Океан б/р кремовое /17/</t>
  </si>
  <si>
    <t>99175</t>
  </si>
  <si>
    <t>Сиденье д/унитаза мягкое Океан б/р розовое /17/</t>
  </si>
  <si>
    <t>99113</t>
  </si>
  <si>
    <t>Сиденье д/унитаза мягкое ПВХ 4 диз 571-136 /2/12/</t>
  </si>
  <si>
    <t>99106</t>
  </si>
  <si>
    <t>Чехол для сиденья унитаза Vetta 42,5*37 см искусс. мех 2 цв. 027-002 /66/</t>
  </si>
  <si>
    <t>99112</t>
  </si>
  <si>
    <t>Чехол для сиденья унитаза и крышку 44*38 см иск.мех.ПВХ на липучке 4 цв. 463-435 /4/</t>
  </si>
  <si>
    <t>993 Зеркала для ванной</t>
  </si>
  <si>
    <t>99330</t>
  </si>
  <si>
    <t>Зеркало Альтернатива Ажур бел.в рамке 585*470 М1656 /7/</t>
  </si>
  <si>
    <t>99333</t>
  </si>
  <si>
    <t>Зеркало Альтернатива Ажур темно-коричн. в рамке 585*470 М4520 /7/</t>
  </si>
  <si>
    <t>99348</t>
  </si>
  <si>
    <t>Зеркало Альтернатива в рамке 495*390мм белый М7405 /6/</t>
  </si>
  <si>
    <t>99334</t>
  </si>
  <si>
    <t>Зеркало Альтернатива с полкой беж. М4516 /4/</t>
  </si>
  <si>
    <t>99315</t>
  </si>
  <si>
    <t>Зеркало Альтернатива с полкой белой М3130 /4/</t>
  </si>
  <si>
    <t>99335</t>
  </si>
  <si>
    <t>Зеркало Альтернатива с полкой темно-кор. М4517 /4/</t>
  </si>
  <si>
    <t>99324</t>
  </si>
  <si>
    <t>Зеркало пластмасовая рамка 40*60 /10/</t>
  </si>
  <si>
    <t>99325</t>
  </si>
  <si>
    <t>Зеркало пластмасовая рамка 40*60 Арка /10/</t>
  </si>
  <si>
    <t>99359</t>
  </si>
  <si>
    <t>Зеркало пластмасовая рамка Berossi BK Tokyo 39,1*29,7*9,2 см с полкой белый мрамор /4/</t>
  </si>
  <si>
    <t>99360</t>
  </si>
  <si>
    <t>Зеркало пластмасовая рамка Berossi BK Tokyo 39,1*29,7*9,2 см с полкой светло-голубой /4/</t>
  </si>
  <si>
    <t>99327</t>
  </si>
  <si>
    <t>Зеркало пластмасовая рамка Berossi Соната 43,3*58,3 см белый мрамор /5/</t>
  </si>
  <si>
    <t>99328</t>
  </si>
  <si>
    <t>Зеркало пластмасовая рамка Berossi Соната 43,3*58,3 см светло-голубой /5/</t>
  </si>
  <si>
    <t>99329</t>
  </si>
  <si>
    <t>Зеркало пластмасовая рамка Berossi Соната 43,3*58,3 см снежно-белый /5/</t>
  </si>
  <si>
    <t>99326</t>
  </si>
  <si>
    <t>Зеркало пластмасовая рамка Д40 Круг /10/</t>
  </si>
  <si>
    <t>994 Прокладки поштучно</t>
  </si>
  <si>
    <t>93752</t>
  </si>
  <si>
    <t>Поршень-клапан для КРС</t>
  </si>
  <si>
    <t>908480</t>
  </si>
  <si>
    <t>Прокладка Ани М010* крепл. бачка унитаза 28мм 1 штука</t>
  </si>
  <si>
    <t>936410</t>
  </si>
  <si>
    <t>Прокладка Ани М025* коническая 25мм 1 штука</t>
  </si>
  <si>
    <t>938140</t>
  </si>
  <si>
    <t>Прокладка Ани М032* коническая 32мм 1 штука</t>
  </si>
  <si>
    <t>93697</t>
  </si>
  <si>
    <t>Прокладка Ани М065* плоская под горлов. 65*48*2мм 1 штука</t>
  </si>
  <si>
    <t>93608</t>
  </si>
  <si>
    <t>Прокладка Ани М075* вспененная 1 штука /5/</t>
  </si>
  <si>
    <t>936920</t>
  </si>
  <si>
    <t>Прокладка Ани М090* на сифон 1 1/2*40 1 штука</t>
  </si>
  <si>
    <t>936880</t>
  </si>
  <si>
    <t>Прокладка Ани М095* на сифон Грот 1 штука</t>
  </si>
  <si>
    <t>90851</t>
  </si>
  <si>
    <t>Прокладка Ани М800 для бачка 1 штука /5/30/</t>
  </si>
  <si>
    <t>99404</t>
  </si>
  <si>
    <t>Прокладка Ани М820* бачка 25мм 1 штука /5/</t>
  </si>
  <si>
    <t>90853</t>
  </si>
  <si>
    <t>Прокладка Ани М840* бачка шестигран. 1 штука /5/30/</t>
  </si>
  <si>
    <t>93650</t>
  </si>
  <si>
    <t>Прокладка вентильной головки ДУ-15 Версант</t>
  </si>
  <si>
    <t>93764</t>
  </si>
  <si>
    <t>Прокладка вентильной головки ДУ-20 Версант</t>
  </si>
  <si>
    <t>936660</t>
  </si>
  <si>
    <t>Прокладка д/излива отеч 1 штука</t>
  </si>
  <si>
    <t>938870</t>
  </si>
  <si>
    <t>Прокладка д/излива Полумесяц (Импорт) 20*14*3 1 штука</t>
  </si>
  <si>
    <t>936840</t>
  </si>
  <si>
    <t>Прокладка д/излива Полумесяц (отеч) 18*12*3 1 штука</t>
  </si>
  <si>
    <t>99401</t>
  </si>
  <si>
    <t>Прокладка д/кран-букс "юбка" пластик 1 штука</t>
  </si>
  <si>
    <t>936740</t>
  </si>
  <si>
    <t>Прокладка д/кран-букс Таблетка силикон. имп. 1 штука</t>
  </si>
  <si>
    <t>936360</t>
  </si>
  <si>
    <t>Прокладка паранитовая 1/2 1 штука</t>
  </si>
  <si>
    <t>93694</t>
  </si>
  <si>
    <t>Прокладка резина 3/8" 1 штука</t>
  </si>
  <si>
    <t>936190</t>
  </si>
  <si>
    <t>Прокладка силикон 1" 1 штука</t>
  </si>
  <si>
    <t>99409</t>
  </si>
  <si>
    <t>Прокладка тонкая резина 1/2" 1 штука</t>
  </si>
  <si>
    <t>936380</t>
  </si>
  <si>
    <t>Прокладка фторопласт 1" 1 штука</t>
  </si>
  <si>
    <t>936320</t>
  </si>
  <si>
    <t>Прокладка фторопласт 1/2 1 штука</t>
  </si>
  <si>
    <t>99411</t>
  </si>
  <si>
    <t>Прокладка-кольцо Д12*20 1 штука</t>
  </si>
  <si>
    <t>93116</t>
  </si>
  <si>
    <t>Прокладка-кольцо канализационное 110 Политэк резина</t>
  </si>
  <si>
    <t>93170</t>
  </si>
  <si>
    <t>Прокладка-кольцо канализационное 40 Политэк резина</t>
  </si>
  <si>
    <t>91076</t>
  </si>
  <si>
    <t>Прокладка-кольцо на м/п фитинг д-20 1 штука</t>
  </si>
  <si>
    <t>91562</t>
  </si>
  <si>
    <t>Сальник стир/маш Мана</t>
  </si>
  <si>
    <t>996 Трапы</t>
  </si>
  <si>
    <t>99620</t>
  </si>
  <si>
    <t>Трап Ани ТQ1112 сухой гориз.вып.Д110 не регулир.с реш.из нерж.стали 150*150 мм /8/</t>
  </si>
  <si>
    <t>99601</t>
  </si>
  <si>
    <t>Трап Ани ТQ1212 сухой верт.вып.Д110 не регулир.с реш.из нерж. 150*150 мм /8/</t>
  </si>
  <si>
    <t>99600</t>
  </si>
  <si>
    <t>Трап Ани ТQ5102 сухой гориз.вып.Д50 не регулир.с реш.из нерж.100*100 мм /40/</t>
  </si>
  <si>
    <t>99605</t>
  </si>
  <si>
    <t>Трап Ани ТQ5112 сухой гориз.вып.Д50 не регулир.с реш.из нерж. 150*150  мм /20/</t>
  </si>
  <si>
    <t>99603</t>
  </si>
  <si>
    <t>Трап Ани ТQ5202 сухой верт.вып.Д50 не регулир.с реш.из нерж. 100*100 мм /24/</t>
  </si>
  <si>
    <t>99621</t>
  </si>
  <si>
    <t>Трап Ани ТQ5212 сухой верт.вып.Д50 не регулир.с реш.из нерж.150*150 мм /16/</t>
  </si>
  <si>
    <t>99607</t>
  </si>
  <si>
    <t>Трап Ани ТQ5612 сухой гориз.вып.Д50 регулир.с реш.из нерж.100*100 мм /10/</t>
  </si>
  <si>
    <t>99618</t>
  </si>
  <si>
    <t>Трап Ани ТQ5614 сухой гориз.вып.Д50 регулир.с реш.из нерж.120*120 мм /10/</t>
  </si>
  <si>
    <t>99623</t>
  </si>
  <si>
    <t>Трап Ани ТQ5614M сухой гориз.вып.Д50 регулир.с реш.из нерж.120*120 мм с метал. окантовкой /10/</t>
  </si>
  <si>
    <t>99606</t>
  </si>
  <si>
    <t>Трап Ани ТQ5702 сухой верт.вып.Д50 регулир.с реш.из нерж.100*100 мм /12/</t>
  </si>
  <si>
    <t>90904</t>
  </si>
  <si>
    <t>Трап Ани ТА1110 гориз.вып.Д110 не регулир.с реш.из пластика 150*150 мм /16/</t>
  </si>
  <si>
    <t>99608</t>
  </si>
  <si>
    <t>Трап Ани ТА1112 гориз.вып.Д110 не регулир.с реш.из нерж.стали 150*150 мм /16/</t>
  </si>
  <si>
    <t>92017</t>
  </si>
  <si>
    <t>Трап Ани ТА1210 верт.вып.Д110 не регулир.с реш.из пластика 150*150 мм /16/</t>
  </si>
  <si>
    <t>99609</t>
  </si>
  <si>
    <t>Трап Ани ТА1212 верт .вып Д110 не регулир с реш .из нерж .стали 150*150 мм /8/</t>
  </si>
  <si>
    <t>99602</t>
  </si>
  <si>
    <t>Трап Ани ТА1612 гориз.вып.Д110 регулир.с реш.из нерж 150*150 мм /6/</t>
  </si>
  <si>
    <t>99610</t>
  </si>
  <si>
    <t>Трап Ани ТА5102 гориз.вып.Д50 не регулир.с реш.из нерж.стали 100*100 мм /12/</t>
  </si>
  <si>
    <t>92019</t>
  </si>
  <si>
    <t>Трап Ани ТА5104 гориз.вып.Д50 не регулир.с реш.из пластика 100*100 мм /12/</t>
  </si>
  <si>
    <t>99629</t>
  </si>
  <si>
    <t>Трап Ани ТА5110 гориз.вып.Д50 не регулир.с реш.из пластика 150*150 мм /20/</t>
  </si>
  <si>
    <t>99615</t>
  </si>
  <si>
    <t>Трап Ани ТА5112 гориз.вып.Д50 не регулир.с реш.из нерж.ст.150*150 мм /20/</t>
  </si>
  <si>
    <t>93102</t>
  </si>
  <si>
    <t>Трап Ани ТА5202 верт.вып.Д50 не регулир.с реш.из нерж.100*100 /16/</t>
  </si>
  <si>
    <t>92021</t>
  </si>
  <si>
    <t>Трап Ани ТА5210 верт.вып.Д50 не регулир.с реш.из пластика 150*150 мм /16/</t>
  </si>
  <si>
    <t>99604</t>
  </si>
  <si>
    <t>Трап Ани ТА5602 гориз.вып.Д50 регулир.с реш.из нерж.100*100 мм /20/</t>
  </si>
  <si>
    <t>99611</t>
  </si>
  <si>
    <t>Трап Ани ТА5604 гориз.вып.Д50 регулир.с реш.из пластка100*100 мм /24/</t>
  </si>
  <si>
    <t>99612</t>
  </si>
  <si>
    <t>Трап Ани ТА5612 гориз.вып.Д50 регулир.с реш.из нерж.стали 150*150 мм /10/</t>
  </si>
  <si>
    <t>99616</t>
  </si>
  <si>
    <t>Трап Ани ТА5702 верт.вып.Д50 регулир.с реш.из нерж.100*100 /12/</t>
  </si>
  <si>
    <t>99613</t>
  </si>
  <si>
    <t>Трап Ани ТА5704 верт.вып.Д50 регулир.с реш.из пластика 100*100 мм /24/</t>
  </si>
  <si>
    <t>99619</t>
  </si>
  <si>
    <t>Трап Ани ТА5710 верт.вып.Д50 регулир.с реш.из пласт.150*150 /10/</t>
  </si>
  <si>
    <t>99617</t>
  </si>
  <si>
    <t>Трап Ани ТА5712 верт.вып.Д50 регулир.с реш.из нерж.150*150 /10/</t>
  </si>
  <si>
    <t>998 Фумлента/Лен сантехнический/уплотнители</t>
  </si>
  <si>
    <t>99827</t>
  </si>
  <si>
    <t>Гель-герметик Аквалайн Высокопрочный 10 г в блистере /60/</t>
  </si>
  <si>
    <t>99829</t>
  </si>
  <si>
    <t>Гель-герметик Аквалайн Высокопрочный 30 г в блистере /60/</t>
  </si>
  <si>
    <t>99810</t>
  </si>
  <si>
    <t>Гель-герметик Аквалайн Разборный 10 г в блистере /60/</t>
  </si>
  <si>
    <t>99851</t>
  </si>
  <si>
    <t>Лен сантехнический 10 г Super /50/</t>
  </si>
  <si>
    <t>93014</t>
  </si>
  <si>
    <t>Лен сантехнический 100 г /50/</t>
  </si>
  <si>
    <t>99801</t>
  </si>
  <si>
    <t>Лен сантехнический 200 г /20/</t>
  </si>
  <si>
    <t>93078</t>
  </si>
  <si>
    <t>Лен сантехнический 50 г /60/</t>
  </si>
  <si>
    <t>93028</t>
  </si>
  <si>
    <t>Подмотка для труб Рекорд бл. 50м /150/</t>
  </si>
  <si>
    <t>99846</t>
  </si>
  <si>
    <t>Фумлента д/воды 10м*12мм*0,1 белая тонкая /10/1000/</t>
  </si>
  <si>
    <t>99831</t>
  </si>
  <si>
    <t>Фумлента д/воды 10м*12мм*0,1 желтая тонкая /10/1000/</t>
  </si>
  <si>
    <t>99833</t>
  </si>
  <si>
    <t>Фумлента д/воды 15м*19мм*0,1 белая /10/400/</t>
  </si>
  <si>
    <t>99834</t>
  </si>
  <si>
    <t>Фумлента д/воды 15м*19мм*0,1 желтая /10/400/</t>
  </si>
  <si>
    <t>93061</t>
  </si>
  <si>
    <t>Фумлента д/воды 5м*12мм*0,18 414-001 /10/250/</t>
  </si>
  <si>
    <t>93017</t>
  </si>
  <si>
    <t>Фумлента д/воды PF 12м*12мм*0,1мм белая /10/1000/</t>
  </si>
  <si>
    <t>99800</t>
  </si>
  <si>
    <t>Фумлента д/воды Ермак 10м*12мм*0,075 472-051 /10/</t>
  </si>
  <si>
    <t>99850</t>
  </si>
  <si>
    <t>Фумлента д/воды Мастер Лайн 10м*20мм*0,2мм белая 577-377 /5/100/</t>
  </si>
  <si>
    <t>93008</t>
  </si>
  <si>
    <t>Фумлента д/газа 10м*12мм*0,1 мм /10/</t>
  </si>
  <si>
    <t>Удаленные</t>
  </si>
  <si>
    <t>26133</t>
  </si>
  <si>
    <t>Крючок 1205 KL-51 CP хром большой</t>
  </si>
  <si>
    <t>Уценка</t>
  </si>
  <si>
    <t>34603у</t>
  </si>
  <si>
    <t xml:space="preserve"> Разъем  д/эл.плит Прогресс о/у з/к 380В карболитовый черный УЦЕНКА скол на розетке</t>
  </si>
  <si>
    <t>19542у</t>
  </si>
  <si>
    <t>Бак эмаль 40л коричневый С42833в УЦЕНКА сколы.непрокрас</t>
  </si>
  <si>
    <t>21411у</t>
  </si>
  <si>
    <t>Бокалы стекл. 1 шт 210 мл Амбер /4/</t>
  </si>
  <si>
    <t>66506у</t>
  </si>
  <si>
    <t>Бюгель для валика  MATRIX 250мм d-6мм, оцинкован. двухком.</t>
  </si>
  <si>
    <t>18674у</t>
  </si>
  <si>
    <t>Веник сорго 1-й сорт 5-ти палый УЦЕНКА некондиция</t>
  </si>
  <si>
    <t>40927у</t>
  </si>
  <si>
    <t>Весы напольные электрон. ЖК-дисплей Один раз не считается 180кг УЦЕНКА окно закрыто наполовину</t>
  </si>
  <si>
    <t>279120у</t>
  </si>
  <si>
    <t>Вкладыш для бочки 200л 250мк (900*1500мм) 25шт-1 штука УЦЕНКА порван</t>
  </si>
  <si>
    <t>45917у</t>
  </si>
  <si>
    <t>Водонагреватель эл. наливной Лидер 17 л с регулировкой темп. УЦЕНКА скол по краю</t>
  </si>
  <si>
    <t>34015у</t>
  </si>
  <si>
    <t>Выключатель Минск Пралеска 2 ОП А510-215 с индикат.УЦЕНКА</t>
  </si>
  <si>
    <t>23242у</t>
  </si>
  <si>
    <t>Гвозди L- 16   100гр некондиция</t>
  </si>
  <si>
    <t>97764у</t>
  </si>
  <si>
    <t>Гель Сантехмастер Синий 60 г тюбик бл. УЦЕНКА срок до 10,19г.</t>
  </si>
  <si>
    <t>83808у</t>
  </si>
  <si>
    <t>Герметик TYTAN Professional силикон универсальный бесцветн.85мл УЦЕНКА просрочен</t>
  </si>
  <si>
    <t>41022у</t>
  </si>
  <si>
    <t>Горшок д/цветов Альтернатива Афина 5л с большим под.корич.</t>
  </si>
  <si>
    <t>05353у</t>
  </si>
  <si>
    <t>Грабли веерные PALISAD, 23  плос зуба, усиленные, пластик., 485 мм УЦЕНКА скол</t>
  </si>
  <si>
    <t>80913у</t>
  </si>
  <si>
    <t>Доска гладильная Доглулар-Т Sabina 35*115 см УЦЕНКА б/у, ножка мятая, скол на подставке</t>
  </si>
  <si>
    <t>12826у</t>
  </si>
  <si>
    <t>З/п детская Буратино 75 мл Лимонадный взрыв 929-014 УЦЕНКА сроки</t>
  </si>
  <si>
    <t>81098у</t>
  </si>
  <si>
    <t>Канистра- бочка Альтернатива 10л М043 УЦЕНКА трещина на крышке</t>
  </si>
  <si>
    <t>93276у</t>
  </si>
  <si>
    <t>Карниз для ванных комнат раздвижной 120- 210  металлик хром пружинный стопор УЦЕНКА царапины</t>
  </si>
  <si>
    <t>43049у</t>
  </si>
  <si>
    <t>Карниз потолочный в ассортименте есть 2,5м-1шт. и 3,5м-2шт. УЦЕНКА сколы</t>
  </si>
  <si>
    <t>27951у</t>
  </si>
  <si>
    <t>Картридж д.40 с маховиком джойстик</t>
  </si>
  <si>
    <t>87093у</t>
  </si>
  <si>
    <t>Кейс для сварочного аппарата д/PPR</t>
  </si>
  <si>
    <t>75512у</t>
  </si>
  <si>
    <t>Коврик д/прихожей Light 80*120 см Sunstep коричневый УЦЕНКА край неровный</t>
  </si>
  <si>
    <t>26517у</t>
  </si>
  <si>
    <t>Колесо мебел KL-328-M металлич. поворотн. черное шарик.Д38 мм 0570УЦЕНКА</t>
  </si>
  <si>
    <t>72308у</t>
  </si>
  <si>
    <t>Колышек со штуцером и гайкой для распылителя Турция</t>
  </si>
  <si>
    <t>490180</t>
  </si>
  <si>
    <t>Кольцо прижимное для подвес патрона эл. Е27  256</t>
  </si>
  <si>
    <t>40126у</t>
  </si>
  <si>
    <t>Контейнер Альтернатива 25л Плетенка люкс №2 зел.УЦЕНКА по дну трещина</t>
  </si>
  <si>
    <t>81256у</t>
  </si>
  <si>
    <t>Контейнер д/игрушек,Альтернатива 75л прямоугольн. для Boy УЦЕНКА на дне дырка</t>
  </si>
  <si>
    <t>81349у</t>
  </si>
  <si>
    <t>Контейнер д/мусора Альтернатива 18л  беж, УЦЕНКА нет педали</t>
  </si>
  <si>
    <t>81000у</t>
  </si>
  <si>
    <t>Контейнер д/мусора Альтернатива с кр. без педали (есть 18л и 10литр)</t>
  </si>
  <si>
    <t>34051у</t>
  </si>
  <si>
    <t>Конфорка для эл.плит Россиянка спираль  УЦЕНКА нет клеммы</t>
  </si>
  <si>
    <t>22641у</t>
  </si>
  <si>
    <t>Корзина д/белья Альтернатива 60л белая УЦЕНКА скол</t>
  </si>
  <si>
    <t>75731у</t>
  </si>
  <si>
    <t>Корзина д/белья Виолет Вязь с крышкой 60л капучино УЦЕНКА без крышки</t>
  </si>
  <si>
    <t>75764у</t>
  </si>
  <si>
    <t>Корзина д/белья угловая Виолет Ротанг 60л латте УЦЕНКА трещ на крышке</t>
  </si>
  <si>
    <t>18035у</t>
  </si>
  <si>
    <t>Корнеудалитель PALISAD, обрез. рукоятка, УЦЕНКА б/у</t>
  </si>
  <si>
    <t>42047у</t>
  </si>
  <si>
    <t>Кофеварка ENERGY EN-602 черная, 800Вт, 10-12чашеек, таймер УЦЕНКА сломан графин</t>
  </si>
  <si>
    <t>13325У</t>
  </si>
  <si>
    <t>Краска для волос Garnier Color Naturals 1+ Ультра черный УЦЕНКА</t>
  </si>
  <si>
    <t>13301У</t>
  </si>
  <si>
    <t>Краска для волос Garnier Color Naturals 111 Платиновый блондин УЦЕНКА</t>
  </si>
  <si>
    <t>13363У</t>
  </si>
  <si>
    <t>Краска для волос Garnier Color Naturals 4.12 Холодный шатенУЦЕНКА</t>
  </si>
  <si>
    <t>12601у</t>
  </si>
  <si>
    <t>Крем детский 45мл Весна Д-пантенол арт.2379 УЦЕНКА сроки</t>
  </si>
  <si>
    <t>34544</t>
  </si>
  <si>
    <t>Крепеж для полотенцес. винтовой м8</t>
  </si>
  <si>
    <t>20256у</t>
  </si>
  <si>
    <t>Кружка в ассортименте. УЦЕНКА дефекты</t>
  </si>
  <si>
    <t>47523у</t>
  </si>
  <si>
    <t>Крючок на присоске Веселый Роджер</t>
  </si>
  <si>
    <t>47789у</t>
  </si>
  <si>
    <t>Крючок на присоске Веселый Роджер 306</t>
  </si>
  <si>
    <t>21027у</t>
  </si>
  <si>
    <t>Лак НЦ-218 0,4л пэт. (С-Г) УЦЕНКА не товарный вид</t>
  </si>
  <si>
    <t>18129у</t>
  </si>
  <si>
    <t>Лопата снеговая детская малая УЦЕНКА некондиция</t>
  </si>
  <si>
    <t>29058у</t>
  </si>
  <si>
    <t>Лупа увеличительная Д100 мм УЦЕНКА скол</t>
  </si>
  <si>
    <t>29001у</t>
  </si>
  <si>
    <t>Лупа увеличительная Д50 мм УЦЕНКА скол</t>
  </si>
  <si>
    <t>29223у</t>
  </si>
  <si>
    <t>Лупа увеличительная Д90 мм 3-кратн.увел.пластик УЦЕНКА сколы</t>
  </si>
  <si>
    <t>72110у</t>
  </si>
  <si>
    <t>Люк сантехнический К016 Омск 22,5*21/30 УЦЕНКАпожелтел</t>
  </si>
  <si>
    <t>16049у</t>
  </si>
  <si>
    <t>Люк сантехнический К019 Омск 32*32,5/5 УЦЕНКА желтый</t>
  </si>
  <si>
    <t>86004у</t>
  </si>
  <si>
    <t>Мелок Абсолют Антиклещ 25гр. УЦЕНКА срок до 02,2023</t>
  </si>
  <si>
    <t>51953у</t>
  </si>
  <si>
    <t>Мойка нержавеющ.Турция 50*60 0,4мм левая УЦЕНКА неровное покрытие</t>
  </si>
  <si>
    <t>55115у</t>
  </si>
  <si>
    <t>Набор садов.инструмента7шт. УЦЕНКА(грабли2шт+тяпка+трезубец+совок+удл,+ручка)пласт руч, FLO 99041</t>
  </si>
  <si>
    <t>67512у</t>
  </si>
  <si>
    <t>Набор слесарно-монт. SPARTA 29 предметов УЦЕНКА упаковка потерта</t>
  </si>
  <si>
    <t>40833у</t>
  </si>
  <si>
    <t>Насадка-блендер погружной метал. для блендера LEBEN 400W  арт. 269-016</t>
  </si>
  <si>
    <t>79856у</t>
  </si>
  <si>
    <t>Овощерезка оранж. 6 сменных ножей нерж. КисловодскУЦЕНКА кривые</t>
  </si>
  <si>
    <t>60241у</t>
  </si>
  <si>
    <t>Отвертки SPARTA набор CrV, биты, двухкомп.рукоят.,21 предмет УЦЕНКА скол на кейсе</t>
  </si>
  <si>
    <t>27949у</t>
  </si>
  <si>
    <t>Отражатель  1/2  металл хром</t>
  </si>
  <si>
    <t>38126</t>
  </si>
  <si>
    <t>Патрон эл.карболитовый Е14 миньон К-001  УЦЕНКАсколы</t>
  </si>
  <si>
    <t>80402у</t>
  </si>
  <si>
    <t>Поднос Краспластик 340*470*30мм УЦЕНКА трещина</t>
  </si>
  <si>
    <t>80460у</t>
  </si>
  <si>
    <t>Поднос пластик 33*22*2 см с ручками 3 дизайна УЦЕНКА</t>
  </si>
  <si>
    <t>43067у</t>
  </si>
  <si>
    <t>Подставка д/зубных щеток Плетенка УЦЕНКА пятна</t>
  </si>
  <si>
    <t>97136у</t>
  </si>
  <si>
    <t>Полка д/ванной комн. НР30-334 прямая 2 -х ярус хром</t>
  </si>
  <si>
    <t>18428у</t>
  </si>
  <si>
    <t>Полочка стекло 10*35см с креплениями на зеркало</t>
  </si>
  <si>
    <t>55440у</t>
  </si>
  <si>
    <t>Потолочная плитка 802 Формат Омск 8 шт/УЦЕНКА замятие</t>
  </si>
  <si>
    <t>38307у</t>
  </si>
  <si>
    <t>Предохранитель под плав.вставку керамический</t>
  </si>
  <si>
    <t>82702у</t>
  </si>
  <si>
    <t>Разбавитель маслян.красок 0,45л пласт СГ УЦЕНКА</t>
  </si>
  <si>
    <t>18825у</t>
  </si>
  <si>
    <t>Рассеиватель для лейки Ромашка</t>
  </si>
  <si>
    <t>16455у</t>
  </si>
  <si>
    <t>Решетка вентиляционная Омск ЛР250 Люкс с сеткой в рамке 250/250 УЦЕНКА сломана</t>
  </si>
  <si>
    <t>25169у</t>
  </si>
  <si>
    <t>Ручка дер.Подольск 1Бб1 большая белая  планка УЦЕНКА пожелтела</t>
  </si>
  <si>
    <t>62895</t>
  </si>
  <si>
    <t>Сверла комб.Томск №16 6шт (3дер,3бет) Д4,6,8ммНС16</t>
  </si>
  <si>
    <t>55105у</t>
  </si>
  <si>
    <t>Сетка стеклотканевая ячейка 2x2 1*50м УЦЕНКА пятна</t>
  </si>
  <si>
    <t>90793у</t>
  </si>
  <si>
    <t>Сифон Ани D0510 1 1/2*40 лит.вып.прям.с гибк.труб.40*50 УЦЕНКА поцарапан</t>
  </si>
  <si>
    <t>83146у</t>
  </si>
  <si>
    <t>Смазка-спрей ZIGGER 103 100мл скорая помощьУЦЕНКА сроки</t>
  </si>
  <si>
    <t>94637у</t>
  </si>
  <si>
    <t>Смеситель Lemen тюльпан LA-1100 D35 шпилька С / УЦЕНКА черные пятна у основ, излива</t>
  </si>
  <si>
    <t>97338у</t>
  </si>
  <si>
    <t>Стакан Vetta керамика Модерн 3 цв. УЦЕНКА скол</t>
  </si>
  <si>
    <t>28002у</t>
  </si>
  <si>
    <t>Сумка хозяйственная с рисунком, неткан. 55*65*25см УЦЕНКА дырка</t>
  </si>
  <si>
    <t>28434у</t>
  </si>
  <si>
    <t>Сумка Ягодка УЦЕНКА не прошита на ручке</t>
  </si>
  <si>
    <t>47838у</t>
  </si>
  <si>
    <t>Сушилка для белья "Lift" 1,6м белая УЦЕНКА  трещины</t>
  </si>
  <si>
    <t>47876у</t>
  </si>
  <si>
    <t>Сушилка для белья напольная Domina 18м серебро УЦЕНКА трещ. на втулке</t>
  </si>
  <si>
    <t>47859у</t>
  </si>
  <si>
    <t>Сушилка для белья Экспесс-Макси УЦЕНКА гнутые прутки</t>
  </si>
  <si>
    <t>51028у</t>
  </si>
  <si>
    <t>Счетчик для воды Бетар 15  2009г.поверки без паспорта,без гарантии (промежуточный)уценка</t>
  </si>
  <si>
    <t>91231у</t>
  </si>
  <si>
    <t>Счетчик для гор.воды Бетар СГВ-20 МЗ, антимагнит.+м/к УЦЕНКА</t>
  </si>
  <si>
    <t>81514у</t>
  </si>
  <si>
    <t>Таз Альтернатива 15л Хозяюшка  УЦЕНКА</t>
  </si>
  <si>
    <t>81508у</t>
  </si>
  <si>
    <t>Таз Альтернатива 9л Хозяюшка М1293 УЦЕНКА скол по краю</t>
  </si>
  <si>
    <t>82364у</t>
  </si>
  <si>
    <t>Таз Новосиб-к Ангара круглый 17л УЦЕНКА ручка трещина</t>
  </si>
  <si>
    <t>78171у</t>
  </si>
  <si>
    <t>Тент  1,45м*2,5м УЦЕНКА мало колец</t>
  </si>
  <si>
    <t>78152у</t>
  </si>
  <si>
    <t>Тент  2,3*3,0м УЦЕНКА прошит</t>
  </si>
  <si>
    <t>79935у</t>
  </si>
  <si>
    <t>Терка крупная плоская с ручкой УЦЕНКА пятна</t>
  </si>
  <si>
    <t>78831у</t>
  </si>
  <si>
    <t>Толкушка пластм BBJ0081-10 УЦЕНКА желтые</t>
  </si>
  <si>
    <t>65615у</t>
  </si>
  <si>
    <t>Топор, 1200 г, в сборе, кованый, дер. топорище, 500 мм , (Труд) С45 г.Вача УЦЕНКА трещ. на ручке</t>
  </si>
  <si>
    <t>82189у</t>
  </si>
  <si>
    <t>Туалет дачный Альтернатива Плетенка УЦЕНКА по краю сломан</t>
  </si>
  <si>
    <t>04417у</t>
  </si>
  <si>
    <t>Уголок пл.20*20 белый 2,2 м</t>
  </si>
  <si>
    <t>91690У</t>
  </si>
  <si>
    <t>Узел излива д/ванн круглый с аэрат.30--43 см, 3/4" имп.РЖАВЫЙ</t>
  </si>
  <si>
    <t>62787у</t>
  </si>
  <si>
    <t>Уровень 3-х глаз.с линейк.алюм.  600мм /330235 УЦЕНКА мятый</t>
  </si>
  <si>
    <t>40404у</t>
  </si>
  <si>
    <t>Утюг LEBEN 2400W с отпарив. керамич. покр. синий УЦЕНКА трещина</t>
  </si>
  <si>
    <t>93018у</t>
  </si>
  <si>
    <t>Фум-гель MASTIX разъемн. 6мл Уценка</t>
  </si>
  <si>
    <t>40093у</t>
  </si>
  <si>
    <t>Чайник эл. 1,8л 1500 Вт стекл. корп. с LED 12301УЦЕНКА мятый</t>
  </si>
  <si>
    <t>47165у</t>
  </si>
  <si>
    <t>Часы настенные Ladecor Hrono пластик 30*30см3 диз УЦЕНКА на верх пр. уголу трещ.</t>
  </si>
  <si>
    <t>18849у</t>
  </si>
  <si>
    <t>Швабра деревянная /Л/ УЦЕНКА кривая</t>
  </si>
  <si>
    <t>34609у</t>
  </si>
  <si>
    <t>Штеп. вилка д/эл.плит Витебск ВШ-30- В-А-25/380 25А 380В(4штыр.)</t>
  </si>
  <si>
    <t>34638у</t>
  </si>
  <si>
    <t>Штеп.розетка д/эл.плит Прогресс о/у з/к карболитовый черный /6/</t>
  </si>
  <si>
    <t>72126у</t>
  </si>
  <si>
    <t>Шток для груши сантехнической</t>
  </si>
  <si>
    <t>47004у</t>
  </si>
  <si>
    <t>Щетка д/пола 280мм деревянная, без черенка Россия УЦЕНКА</t>
  </si>
  <si>
    <t>47050У</t>
  </si>
  <si>
    <t>Щетка д/пола 320мм деревянная, без черенка Россия УЦЕНКА</t>
  </si>
  <si>
    <t>49573у</t>
  </si>
  <si>
    <t>Щетка-сметка 3-х рядная 280мм дер. ручка Россия УЦЕНКА</t>
  </si>
  <si>
    <t>49520у</t>
  </si>
  <si>
    <t>Щетка-сметка 3-х рядная 460мм дерев. ручка Россия УЦЕНКАжелтые пятна,оплавленные</t>
  </si>
  <si>
    <t>40774у</t>
  </si>
  <si>
    <t>Электросушилка для фруктов и овощей EFD-320F-09 УЦЕНКА сколы</t>
  </si>
  <si>
    <t>75518у</t>
  </si>
  <si>
    <t>Этажерка 2х-секц. Nature угловая венге</t>
  </si>
  <si>
    <t>75527у</t>
  </si>
  <si>
    <t>Этажерка 4х-секц. Nature угловая микс кофеный УЦЕНКА сломан 1 штырь</t>
  </si>
  <si>
    <t>93715у</t>
  </si>
  <si>
    <t>Этажерка для обуви 3 полки терракотовая без узкой полочки  У</t>
  </si>
  <si>
    <t>Скидка: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</si>
</sst>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8"/>
      <name val="Arial"/>
    </font>
    <font>
      <b/>
      <sz val="11"/>
      <name val="Arial"/>
      <family val="2"/>
    </font>
    <font>
      <sz val="11"/>
      <name val="Arial"/>
      <family val="2"/>
    </font>
    <font>
      <b/>
      <sz val="11"/>
      <color rgb="FFD8E0F2"/>
      <name val="Arial"/>
      <family val="2"/>
    </font>
    <font>
      <b/>
      <sz val="12"/>
      <color rgb="FFD8E0F2"/>
      <name val="Arial"/>
      <family val="2"/>
    </font>
    <font>
      <sz val="11"/>
      <color rgb="FF143373"/>
      <name val="Arial"/>
      <family val="2"/>
    </font>
    <font>
      <b/>
      <sz val="12"/>
      <color rgb="FF143373"/>
      <name val="Arial"/>
      <family val="2"/>
    </font>
    <font>
      <sz val="9"/>
      <name val="Arial"/>
      <family val="2"/>
    </font>
    <font>
      <b/>
      <sz val="10"/>
      <color rgb="FF143373"/>
      <name val="Arial"/>
      <family val="2"/>
    </font>
    <font>
      <b/>
      <sz val="9"/>
      <color rgb="FF14337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476EA3"/>
        <bgColor auto="1"/>
      </patternFill>
    </fill>
    <fill>
      <patternFill patternType="solid">
        <fgColor rgb="FFB4C0D9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D8E0F2"/>
        <bgColor auto="1"/>
      </patternFill>
    </fill>
  </fills>
  <borders count="16">
    <border>
      <left/>
      <right/>
      <top/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D8E0F2"/>
      </top>
      <bottom style="thin">
        <color rgb="FFD8E0F2"/>
      </bottom>
      <diagonal/>
    </border>
    <border>
      <left/>
      <right/>
      <top style="thin">
        <color rgb="FFD8E0F2"/>
      </top>
      <bottom style="thin">
        <color rgb="FFD8E0F2"/>
      </bottom>
      <diagonal/>
    </border>
    <border>
      <left style="thin">
        <color rgb="FF666699"/>
      </left>
      <right/>
      <top style="thin">
        <color rgb="FF666699"/>
      </top>
      <bottom style="thin">
        <color rgb="FF666699"/>
      </bottom>
      <diagonal/>
    </border>
    <border>
      <left/>
      <right/>
      <top style="thin">
        <color rgb="FF666699"/>
      </top>
      <bottom style="thin">
        <color rgb="FF666699"/>
      </bottom>
      <diagonal/>
    </border>
    <border>
      <left/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left"/>
    </xf>
    <xf numFmtId="0" fontId="6" fillId="3" borderId="10" xfId="0" applyFont="1" applyFill="1" applyBorder="1" applyAlignment="1">
      <alignment horizontal="left"/>
    </xf>
    <xf numFmtId="0" fontId="7" fillId="4" borderId="12" xfId="0" applyFont="1" applyFill="1" applyBorder="1" applyAlignment="1">
      <alignment horizontal="left" vertical="center"/>
    </xf>
    <xf numFmtId="0" fontId="7" fillId="4" borderId="12" xfId="0" applyFont="1" applyFill="1" applyBorder="1" applyAlignment="1">
      <alignment horizontal="left" vertical="center" wrapText="1"/>
    </xf>
    <xf numFmtId="2" fontId="7" fillId="4" borderId="12" xfId="0" applyNumberFormat="1" applyFont="1" applyFill="1" applyBorder="1" applyAlignment="1">
      <alignment horizontal="right" vertical="center"/>
    </xf>
    <xf numFmtId="0" fontId="7" fillId="4" borderId="12" xfId="0" applyFont="1" applyFill="1" applyBorder="1" applyAlignment="1">
      <alignment horizontal="right" vertical="center"/>
    </xf>
    <xf numFmtId="0" fontId="7" fillId="5" borderId="12" xfId="0" applyFont="1" applyFill="1" applyBorder="1" applyAlignment="1">
      <alignment horizontal="center"/>
    </xf>
    <xf numFmtId="4" fontId="7" fillId="4" borderId="12" xfId="0" applyNumberFormat="1" applyFont="1" applyFill="1" applyBorder="1" applyAlignment="1">
      <alignment horizontal="right" vertical="center"/>
    </xf>
    <xf numFmtId="0" fontId="8" fillId="5" borderId="9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left"/>
    </xf>
    <xf numFmtId="0" fontId="9" fillId="5" borderId="10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9" fontId="1" fillId="0" borderId="2" xfId="0" applyNumberFormat="1" applyFont="1" applyBorder="1" applyAlignment="1">
      <alignment horizontal="left" vertical="center"/>
    </xf>
    <xf numFmtId="2" fontId="1" fillId="0" borderId="3" xfId="0" applyNumberFormat="1" applyFont="1" applyBorder="1" applyAlignment="1">
      <alignment horizontal="right" vertical="center"/>
    </xf>
    <xf numFmtId="2" fontId="1" fillId="0" borderId="4" xfId="0" applyNumberFormat="1" applyFont="1" applyBorder="1" applyAlignment="1">
      <alignment horizontal="center" vertical="center"/>
    </xf>
    <xf numFmtId="2" fontId="4" fillId="2" borderId="7" xfId="0" applyNumberFormat="1" applyFont="1" applyFill="1" applyBorder="1" applyAlignment="1">
      <alignment horizontal="left"/>
    </xf>
    <xf numFmtId="2" fontId="6" fillId="3" borderId="11" xfId="0" applyNumberFormat="1" applyFont="1" applyFill="1" applyBorder="1" applyAlignment="1">
      <alignment horizontal="left"/>
    </xf>
    <xf numFmtId="2" fontId="7" fillId="0" borderId="12" xfId="0" applyNumberFormat="1" applyFont="1" applyBorder="1" applyAlignment="1">
      <alignment horizontal="right"/>
    </xf>
    <xf numFmtId="2" fontId="9" fillId="5" borderId="11" xfId="0" applyNumberFormat="1" applyFont="1" applyFill="1" applyBorder="1" applyAlignment="1">
      <alignment horizontal="left"/>
    </xf>
    <xf numFmtId="2" fontId="0" fillId="0" borderId="15" xfId="0" applyNumberFormat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0</xdr:row>
      <xdr:rowOff>104775</xdr:rowOff>
    </xdr:from>
    <xdr:to>
      <xdr:col>7</xdr:col>
      <xdr:colOff>457200</xdr:colOff>
      <xdr:row>0</xdr:row>
      <xdr:rowOff>933450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2943225</xdr:colOff>
      <xdr:row>0</xdr:row>
      <xdr:rowOff>123825</xdr:rowOff>
    </xdr:from>
    <xdr:to>
      <xdr:col>5</xdr:col>
      <xdr:colOff>47625</xdr:colOff>
      <xdr:row>0</xdr:row>
      <xdr:rowOff>914400</xdr:rowOff>
    </xdr:to>
    <xdr:sp macro="" textlink="">
      <xdr:nvSpPr>
        <xdr:cNvPr id="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r"/>
          <a:r>
            <a:rPr lang="en-US" sz="1200" b="0" i="0" u="none" strike="noStrike">
              <a:solidFill>
                <a:srgbClr val="000000"/>
              </a:solidFill>
              <a:latin typeface="Arial"/>
              <a:cs typeface="Arial"/>
            </a:rPr>
            <a:t>ИП Шляндин Семён Евгеньевич
Телефон:  8(391)2-34-56-78
E-mail:    648902@mail.ru
Сайт: хозуниверсал.рф</a:t>
          </a:r>
        </a:p>
      </xdr:txBody>
    </xdr:sp>
    <xdr:clientData/>
  </xdr:twoCellAnchor>
  <xdr:twoCellAnchor>
    <xdr:from>
      <xdr:col>0</xdr:col>
      <xdr:colOff>0</xdr:colOff>
      <xdr:row>0</xdr:row>
      <xdr:rowOff>219075</xdr:rowOff>
    </xdr:from>
    <xdr:to>
      <xdr:col>1</xdr:col>
      <xdr:colOff>1914525</xdr:colOff>
      <xdr:row>0</xdr:row>
      <xdr:rowOff>790575</xdr:rowOff>
    </xdr:to>
    <xdr:sp macro="" textlink="">
      <xdr:nvSpPr>
        <xdr:cNvPr id="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800" b="1" i="0" u="none" strike="noStrike">
              <a:solidFill>
                <a:srgbClr val="000000"/>
              </a:solidFill>
              <a:latin typeface="Arial"/>
              <a:cs typeface="Arial"/>
            </a:rPr>
            <a:t>Прайс-лист
24 апреля 2024 г.</a:t>
          </a:r>
        </a:p>
      </xdr:txBody>
    </xdr:sp>
    <xdr:clientData/>
  </xdr:twoCellAnchor>
  <xdr:twoCellAnchor>
    <xdr:from>
      <xdr:col>4</xdr:col>
      <xdr:colOff>476250</xdr:colOff>
      <xdr:row>22279</xdr:row>
      <xdr:rowOff>123825</xdr:rowOff>
    </xdr:from>
    <xdr:to>
      <xdr:col>7</xdr:col>
      <xdr:colOff>123825</xdr:colOff>
      <xdr:row>22279</xdr:row>
      <xdr:rowOff>1209675</xdr:rowOff>
    </xdr:to>
    <xdr:sp macro="" textlink="">
      <xdr:nvSpPr>
        <xdr:cNvPr id="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l"/>
          <a:r>
            <a:rPr lang="en-US" sz="1200" b="0" i="0" u="none" strike="noStrike">
              <a:solidFill>
                <a:srgbClr val="000000"/>
              </a:solidFill>
              <a:latin typeface="Arial"/>
              <a:cs typeface="Arial"/>
            </a:rPr>
            <a:t>Наличие:
*    - от 1 до 10
**   - от 11 до 20
***  - от 21 до 50
**** - более 50</a:t>
          </a:r>
        </a:p>
      </xdr:txBody>
    </xdr:sp>
    <xdr:clientData/>
  </xdr:twoCellAnchor>
  <xdr:twoCellAnchor>
    <xdr:from>
      <xdr:col>0</xdr:col>
      <xdr:colOff>361950</xdr:colOff>
      <xdr:row>22279</xdr:row>
      <xdr:rowOff>123825</xdr:rowOff>
    </xdr:from>
    <xdr:to>
      <xdr:col>1</xdr:col>
      <xdr:colOff>2990850</xdr:colOff>
      <xdr:row>22279</xdr:row>
      <xdr:rowOff>1924050</xdr:rowOff>
    </xdr:to>
    <xdr:sp macro="" textlink="">
      <xdr:nvSpPr>
        <xdr:cNvPr id="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l"/>
          <a:r>
            <a:rPr lang="en-US" sz="1200" b="0" i="0" u="none" strike="noStrike">
              <a:solidFill>
                <a:srgbClr val="000000"/>
              </a:solidFill>
              <a:latin typeface="Arial"/>
              <a:cs typeface="Arial"/>
            </a:rPr>
            <a:t>Наша система скидок:
2% при сумме заказа свыше   5 000р.
3% при сумме заказа свыше  10 000р.
4% при сумме заказа свыше  15 000р.
5% при сумме заказа свыше  30 000р.
6% при сумме заказа свыше  45 000р.
7% при сумме заказа свыше 150 000р.
8% при сумме заказа свыше 200 000р.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22280"/>
  <sheetViews>
    <sheetView tabSelected="1" workbookViewId="0">
      <pane ySplit="4" topLeftCell="A5" activePane="bottomLeft" state="frozenSplit"/>
      <selection pane="bottomLeft"/>
    </sheetView>
  </sheetViews>
  <sheetFormatPr defaultColWidth="10.5" defaultRowHeight="11.45" customHeight="1" outlineLevelRow="3" x14ac:dyDescent="0.2"/>
  <cols>
    <col min="1" max="1" width="10.6640625" style="1" customWidth="1"/>
    <col min="2" max="2" width="70.33203125" style="1" customWidth="1"/>
    <col min="3" max="3" width="12.83203125" style="1" customWidth="1"/>
    <col min="4" max="5" width="12.1640625" style="1" customWidth="1"/>
    <col min="6" max="6" width="9.83203125" style="1" customWidth="1"/>
    <col min="7" max="7" width="12.6640625" style="1" customWidth="1"/>
    <col min="8" max="8" width="10.5" style="1" customWidth="1"/>
  </cols>
  <sheetData>
    <row r="1" spans="1:7" s="1" customFormat="1" ht="80.099999999999994" customHeight="1" x14ac:dyDescent="0.2">
      <c r="A1" s="2"/>
      <c r="B1" s="3"/>
      <c r="C1" s="3"/>
      <c r="D1" s="3"/>
      <c r="E1" s="3"/>
      <c r="F1" s="3"/>
      <c r="G1" s="4"/>
    </row>
    <row r="2" spans="1:7" s="1" customFormat="1" ht="12.95" customHeight="1" x14ac:dyDescent="0.2">
      <c r="A2" s="30" t="s">
        <v>43854</v>
      </c>
      <c r="B2" s="31">
        <v>0</v>
      </c>
      <c r="C2" s="6"/>
      <c r="D2" s="5"/>
      <c r="E2" s="5"/>
      <c r="F2" s="30" t="str">
        <f>IF(SUM(G6:G22279)&lt;&gt;0,"Итого:","")</f>
        <v/>
      </c>
      <c r="G2" s="32" t="str">
        <f>IF(SUM(G6:G22279)&lt;&gt;0,SUM(G6:G22279),"")</f>
        <v/>
      </c>
    </row>
    <row r="3" spans="1:7" ht="15" customHeight="1" x14ac:dyDescent="0.2">
      <c r="A3" s="25" t="s">
        <v>0</v>
      </c>
      <c r="B3" s="25" t="s">
        <v>1</v>
      </c>
      <c r="C3" s="27" t="str">
        <f>IF(B2&lt;&gt;0,"Цена со скидкой","Оптовая")</f>
        <v>Оптовая</v>
      </c>
      <c r="D3" s="29" t="s">
        <v>2</v>
      </c>
      <c r="E3" s="29"/>
      <c r="F3" s="25" t="s">
        <v>3</v>
      </c>
      <c r="G3" s="25" t="s">
        <v>4</v>
      </c>
    </row>
    <row r="4" spans="1:7" ht="29.1" customHeight="1" x14ac:dyDescent="0.2">
      <c r="A4" s="26"/>
      <c r="B4" s="26"/>
      <c r="C4" s="28"/>
      <c r="D4" s="7" t="s">
        <v>5</v>
      </c>
      <c r="E4" s="7" t="s">
        <v>6</v>
      </c>
      <c r="F4" s="26"/>
      <c r="G4" s="33"/>
    </row>
    <row r="5" spans="1:7" s="1" customFormat="1" ht="15.95" customHeight="1" x14ac:dyDescent="0.25">
      <c r="A5" s="8"/>
      <c r="B5" s="9" t="s">
        <v>7</v>
      </c>
      <c r="C5" s="10"/>
      <c r="D5" s="10"/>
      <c r="E5" s="10"/>
      <c r="F5" s="10"/>
      <c r="G5" s="34"/>
    </row>
    <row r="6" spans="1:7" s="1" customFormat="1" ht="15.95" customHeight="1" outlineLevel="1" x14ac:dyDescent="0.25">
      <c r="A6" s="11"/>
      <c r="B6" s="12" t="s">
        <v>8</v>
      </c>
      <c r="C6" s="13"/>
      <c r="D6" s="13"/>
      <c r="E6" s="13"/>
      <c r="F6" s="13"/>
      <c r="G6" s="35"/>
    </row>
    <row r="7" spans="1:7" ht="12" customHeight="1" outlineLevel="2" x14ac:dyDescent="0.2">
      <c r="A7" s="14" t="s">
        <v>9</v>
      </c>
      <c r="B7" s="15" t="s">
        <v>10</v>
      </c>
      <c r="C7" s="16">
        <f>7.69/(1+B2)</f>
        <v>7.69</v>
      </c>
      <c r="D7" s="17" t="s">
        <v>11</v>
      </c>
      <c r="E7" s="17"/>
      <c r="F7" s="18"/>
      <c r="G7" s="36" t="str">
        <f>IF(ISNUMBER(F7),C7*F7,"")</f>
        <v/>
      </c>
    </row>
    <row r="8" spans="1:7" ht="12" customHeight="1" outlineLevel="2" x14ac:dyDescent="0.2">
      <c r="A8" s="14" t="s">
        <v>12</v>
      </c>
      <c r="B8" s="15" t="s">
        <v>13</v>
      </c>
      <c r="C8" s="16">
        <f>279.83/(1+B2)</f>
        <v>279.83</v>
      </c>
      <c r="D8" s="17" t="s">
        <v>11</v>
      </c>
      <c r="E8" s="17" t="s">
        <v>14</v>
      </c>
      <c r="F8" s="18"/>
      <c r="G8" s="36" t="str">
        <f>IF(ISNUMBER(F8),C8*F8,"")</f>
        <v/>
      </c>
    </row>
    <row r="9" spans="1:7" ht="12" customHeight="1" outlineLevel="2" x14ac:dyDescent="0.2">
      <c r="A9" s="14" t="s">
        <v>15</v>
      </c>
      <c r="B9" s="15" t="s">
        <v>16</v>
      </c>
      <c r="C9" s="16">
        <f>310.54/(1+B2)</f>
        <v>310.54000000000002</v>
      </c>
      <c r="D9" s="17" t="s">
        <v>11</v>
      </c>
      <c r="E9" s="17" t="s">
        <v>14</v>
      </c>
      <c r="F9" s="18"/>
      <c r="G9" s="36" t="str">
        <f>IF(ISNUMBER(F9),C9*F9,"")</f>
        <v/>
      </c>
    </row>
    <row r="10" spans="1:7" ht="12" customHeight="1" outlineLevel="2" x14ac:dyDescent="0.2">
      <c r="A10" s="14" t="s">
        <v>17</v>
      </c>
      <c r="B10" s="15" t="s">
        <v>18</v>
      </c>
      <c r="C10" s="16">
        <f>331.2/(1+B2)</f>
        <v>331.2</v>
      </c>
      <c r="D10" s="17" t="s">
        <v>11</v>
      </c>
      <c r="E10" s="17"/>
      <c r="F10" s="18"/>
      <c r="G10" s="36" t="str">
        <f>IF(ISNUMBER(F10),C10*F10,"")</f>
        <v/>
      </c>
    </row>
    <row r="11" spans="1:7" ht="12" customHeight="1" outlineLevel="2" x14ac:dyDescent="0.2">
      <c r="A11" s="14" t="s">
        <v>19</v>
      </c>
      <c r="B11" s="15" t="s">
        <v>20</v>
      </c>
      <c r="C11" s="16">
        <f>337.2/(1+B2)</f>
        <v>337.2</v>
      </c>
      <c r="D11" s="17" t="s">
        <v>11</v>
      </c>
      <c r="E11" s="17"/>
      <c r="F11" s="18"/>
      <c r="G11" s="36" t="str">
        <f>IF(ISNUMBER(F11),C11*F11,"")</f>
        <v/>
      </c>
    </row>
    <row r="12" spans="1:7" ht="12" customHeight="1" outlineLevel="2" x14ac:dyDescent="0.2">
      <c r="A12" s="14" t="s">
        <v>21</v>
      </c>
      <c r="B12" s="15" t="s">
        <v>22</v>
      </c>
      <c r="C12" s="16">
        <f>365.14/(1+B2)</f>
        <v>365.14</v>
      </c>
      <c r="D12" s="17" t="s">
        <v>11</v>
      </c>
      <c r="E12" s="17" t="s">
        <v>14</v>
      </c>
      <c r="F12" s="18"/>
      <c r="G12" s="36" t="str">
        <f>IF(ISNUMBER(F12),C12*F12,"")</f>
        <v/>
      </c>
    </row>
    <row r="13" spans="1:7" ht="12" customHeight="1" outlineLevel="2" x14ac:dyDescent="0.2">
      <c r="A13" s="14" t="s">
        <v>23</v>
      </c>
      <c r="B13" s="15" t="s">
        <v>24</v>
      </c>
      <c r="C13" s="16">
        <f>328.74/(1+B2)</f>
        <v>328.74</v>
      </c>
      <c r="D13" s="17"/>
      <c r="E13" s="17" t="s">
        <v>14</v>
      </c>
      <c r="F13" s="18"/>
      <c r="G13" s="36" t="str">
        <f>IF(ISNUMBER(F13),C13*F13,"")</f>
        <v/>
      </c>
    </row>
    <row r="14" spans="1:7" ht="12" customHeight="1" outlineLevel="2" x14ac:dyDescent="0.2">
      <c r="A14" s="14" t="s">
        <v>25</v>
      </c>
      <c r="B14" s="15" t="s">
        <v>26</v>
      </c>
      <c r="C14" s="16">
        <f>412.8/(1+B2)</f>
        <v>412.8</v>
      </c>
      <c r="D14" s="17" t="s">
        <v>11</v>
      </c>
      <c r="E14" s="17"/>
      <c r="F14" s="18"/>
      <c r="G14" s="36" t="str">
        <f>IF(ISNUMBER(F14),C14*F14,"")</f>
        <v/>
      </c>
    </row>
    <row r="15" spans="1:7" ht="12" customHeight="1" outlineLevel="2" x14ac:dyDescent="0.2">
      <c r="A15" s="14" t="s">
        <v>27</v>
      </c>
      <c r="B15" s="15" t="s">
        <v>28</v>
      </c>
      <c r="C15" s="16">
        <f>396/(1+B2)</f>
        <v>396</v>
      </c>
      <c r="D15" s="17" t="s">
        <v>11</v>
      </c>
      <c r="E15" s="17"/>
      <c r="F15" s="18"/>
      <c r="G15" s="36" t="str">
        <f>IF(ISNUMBER(F15),C15*F15,"")</f>
        <v/>
      </c>
    </row>
    <row r="16" spans="1:7" ht="12" customHeight="1" outlineLevel="2" x14ac:dyDescent="0.2">
      <c r="A16" s="14" t="s">
        <v>29</v>
      </c>
      <c r="B16" s="15" t="s">
        <v>30</v>
      </c>
      <c r="C16" s="16">
        <f>430.8/(1+B2)</f>
        <v>430.8</v>
      </c>
      <c r="D16" s="17" t="s">
        <v>11</v>
      </c>
      <c r="E16" s="17"/>
      <c r="F16" s="18"/>
      <c r="G16" s="36" t="str">
        <f>IF(ISNUMBER(F16),C16*F16,"")</f>
        <v/>
      </c>
    </row>
    <row r="17" spans="1:7" ht="12" customHeight="1" outlineLevel="2" x14ac:dyDescent="0.2">
      <c r="A17" s="14" t="s">
        <v>31</v>
      </c>
      <c r="B17" s="15" t="s">
        <v>32</v>
      </c>
      <c r="C17" s="16">
        <f>298.03/(1+B2)</f>
        <v>298.02999999999997</v>
      </c>
      <c r="D17" s="17" t="s">
        <v>11</v>
      </c>
      <c r="E17" s="17" t="s">
        <v>14</v>
      </c>
      <c r="F17" s="18"/>
      <c r="G17" s="36" t="str">
        <f>IF(ISNUMBER(F17),C17*F17,"")</f>
        <v/>
      </c>
    </row>
    <row r="18" spans="1:7" ht="12" customHeight="1" outlineLevel="2" x14ac:dyDescent="0.2">
      <c r="A18" s="14" t="s">
        <v>33</v>
      </c>
      <c r="B18" s="15" t="s">
        <v>34</v>
      </c>
      <c r="C18" s="16">
        <f>325.33/(1+B2)</f>
        <v>325.33</v>
      </c>
      <c r="D18" s="17" t="s">
        <v>11</v>
      </c>
      <c r="E18" s="17" t="s">
        <v>14</v>
      </c>
      <c r="F18" s="18"/>
      <c r="G18" s="36" t="str">
        <f>IF(ISNUMBER(F18),C18*F18,"")</f>
        <v/>
      </c>
    </row>
    <row r="19" spans="1:7" ht="12" customHeight="1" outlineLevel="2" x14ac:dyDescent="0.2">
      <c r="A19" s="14" t="s">
        <v>35</v>
      </c>
      <c r="B19" s="15" t="s">
        <v>36</v>
      </c>
      <c r="C19" s="16">
        <f>313.95/(1+B2)</f>
        <v>313.95</v>
      </c>
      <c r="D19" s="17"/>
      <c r="E19" s="17" t="s">
        <v>14</v>
      </c>
      <c r="F19" s="18"/>
      <c r="G19" s="36" t="str">
        <f>IF(ISNUMBER(F19),C19*F19,"")</f>
        <v/>
      </c>
    </row>
    <row r="20" spans="1:7" ht="12" customHeight="1" outlineLevel="2" x14ac:dyDescent="0.2">
      <c r="A20" s="14" t="s">
        <v>37</v>
      </c>
      <c r="B20" s="15" t="s">
        <v>38</v>
      </c>
      <c r="C20" s="16">
        <f>344.66/(1+B2)</f>
        <v>344.66</v>
      </c>
      <c r="D20" s="17"/>
      <c r="E20" s="17" t="s">
        <v>14</v>
      </c>
      <c r="F20" s="18"/>
      <c r="G20" s="36" t="str">
        <f>IF(ISNUMBER(F20),C20*F20,"")</f>
        <v/>
      </c>
    </row>
    <row r="21" spans="1:7" ht="12" customHeight="1" outlineLevel="2" x14ac:dyDescent="0.2">
      <c r="A21" s="14" t="s">
        <v>39</v>
      </c>
      <c r="B21" s="15" t="s">
        <v>40</v>
      </c>
      <c r="C21" s="16">
        <f>345.6/(1+B2)</f>
        <v>345.6</v>
      </c>
      <c r="D21" s="17" t="s">
        <v>11</v>
      </c>
      <c r="E21" s="17"/>
      <c r="F21" s="18"/>
      <c r="G21" s="36" t="str">
        <f>IF(ISNUMBER(F21),C21*F21,"")</f>
        <v/>
      </c>
    </row>
    <row r="22" spans="1:7" ht="12" customHeight="1" outlineLevel="2" x14ac:dyDescent="0.2">
      <c r="A22" s="14" t="s">
        <v>41</v>
      </c>
      <c r="B22" s="15" t="s">
        <v>42</v>
      </c>
      <c r="C22" s="16">
        <f>345.6/(1+B2)</f>
        <v>345.6</v>
      </c>
      <c r="D22" s="17" t="s">
        <v>11</v>
      </c>
      <c r="E22" s="17" t="s">
        <v>11</v>
      </c>
      <c r="F22" s="18"/>
      <c r="G22" s="36" t="str">
        <f>IF(ISNUMBER(F22),C22*F22,"")</f>
        <v/>
      </c>
    </row>
    <row r="23" spans="1:7" ht="12" customHeight="1" outlineLevel="2" x14ac:dyDescent="0.2">
      <c r="A23" s="14" t="s">
        <v>43</v>
      </c>
      <c r="B23" s="15" t="s">
        <v>44</v>
      </c>
      <c r="C23" s="16">
        <f>372/(1+B2)</f>
        <v>372</v>
      </c>
      <c r="D23" s="17" t="s">
        <v>11</v>
      </c>
      <c r="E23" s="17"/>
      <c r="F23" s="18"/>
      <c r="G23" s="36" t="str">
        <f>IF(ISNUMBER(F23),C23*F23,"")</f>
        <v/>
      </c>
    </row>
    <row r="24" spans="1:7" ht="12" customHeight="1" outlineLevel="2" x14ac:dyDescent="0.2">
      <c r="A24" s="14" t="s">
        <v>45</v>
      </c>
      <c r="B24" s="15" t="s">
        <v>46</v>
      </c>
      <c r="C24" s="16">
        <f>406.8/(1+B2)</f>
        <v>406.8</v>
      </c>
      <c r="D24" s="17" t="s">
        <v>14</v>
      </c>
      <c r="E24" s="17"/>
      <c r="F24" s="18"/>
      <c r="G24" s="36" t="str">
        <f>IF(ISNUMBER(F24),C24*F24,"")</f>
        <v/>
      </c>
    </row>
    <row r="25" spans="1:7" ht="12" customHeight="1" outlineLevel="2" x14ac:dyDescent="0.2">
      <c r="A25" s="14" t="s">
        <v>47</v>
      </c>
      <c r="B25" s="15" t="s">
        <v>48</v>
      </c>
      <c r="C25" s="16">
        <f>372/(1+B2)</f>
        <v>372</v>
      </c>
      <c r="D25" s="17" t="s">
        <v>14</v>
      </c>
      <c r="E25" s="17" t="s">
        <v>11</v>
      </c>
      <c r="F25" s="18"/>
      <c r="G25" s="36" t="str">
        <f>IF(ISNUMBER(F25),C25*F25,"")</f>
        <v/>
      </c>
    </row>
    <row r="26" spans="1:7" ht="12" customHeight="1" outlineLevel="2" x14ac:dyDescent="0.2">
      <c r="A26" s="14" t="s">
        <v>49</v>
      </c>
      <c r="B26" s="15" t="s">
        <v>50</v>
      </c>
      <c r="C26" s="16">
        <f>372/(1+B2)</f>
        <v>372</v>
      </c>
      <c r="D26" s="17" t="s">
        <v>11</v>
      </c>
      <c r="E26" s="17" t="s">
        <v>11</v>
      </c>
      <c r="F26" s="18"/>
      <c r="G26" s="36" t="str">
        <f>IF(ISNUMBER(F26),C26*F26,"")</f>
        <v/>
      </c>
    </row>
    <row r="27" spans="1:7" ht="24" customHeight="1" outlineLevel="2" x14ac:dyDescent="0.2">
      <c r="A27" s="14" t="s">
        <v>51</v>
      </c>
      <c r="B27" s="15" t="s">
        <v>52</v>
      </c>
      <c r="C27" s="16">
        <f>152.43/(1+B2)</f>
        <v>152.43</v>
      </c>
      <c r="D27" s="17"/>
      <c r="E27" s="17" t="s">
        <v>53</v>
      </c>
      <c r="F27" s="18"/>
      <c r="G27" s="36" t="str">
        <f>IF(ISNUMBER(F27),C27*F27,"")</f>
        <v/>
      </c>
    </row>
    <row r="28" spans="1:7" ht="24" customHeight="1" outlineLevel="2" x14ac:dyDescent="0.2">
      <c r="A28" s="14" t="s">
        <v>54</v>
      </c>
      <c r="B28" s="15" t="s">
        <v>55</v>
      </c>
      <c r="C28" s="16">
        <f>185.41/(1+B2)</f>
        <v>185.41</v>
      </c>
      <c r="D28" s="17"/>
      <c r="E28" s="17" t="s">
        <v>14</v>
      </c>
      <c r="F28" s="18"/>
      <c r="G28" s="36" t="str">
        <f>IF(ISNUMBER(F28),C28*F28,"")</f>
        <v/>
      </c>
    </row>
    <row r="29" spans="1:7" ht="12" customHeight="1" outlineLevel="2" x14ac:dyDescent="0.2">
      <c r="A29" s="14" t="s">
        <v>56</v>
      </c>
      <c r="B29" s="15" t="s">
        <v>57</v>
      </c>
      <c r="C29" s="16">
        <f>152.43/(1+B2)</f>
        <v>152.43</v>
      </c>
      <c r="D29" s="17"/>
      <c r="E29" s="17" t="s">
        <v>53</v>
      </c>
      <c r="F29" s="18"/>
      <c r="G29" s="36" t="str">
        <f>IF(ISNUMBER(F29),C29*F29,"")</f>
        <v/>
      </c>
    </row>
    <row r="30" spans="1:7" ht="24" customHeight="1" outlineLevel="2" x14ac:dyDescent="0.2">
      <c r="A30" s="14" t="s">
        <v>58</v>
      </c>
      <c r="B30" s="15" t="s">
        <v>59</v>
      </c>
      <c r="C30" s="16">
        <f>185.41/(1+B2)</f>
        <v>185.41</v>
      </c>
      <c r="D30" s="17" t="s">
        <v>11</v>
      </c>
      <c r="E30" s="17" t="s">
        <v>14</v>
      </c>
      <c r="F30" s="18"/>
      <c r="G30" s="36" t="str">
        <f>IF(ISNUMBER(F30),C30*F30,"")</f>
        <v/>
      </c>
    </row>
    <row r="31" spans="1:7" ht="12" customHeight="1" outlineLevel="2" x14ac:dyDescent="0.2">
      <c r="A31" s="14" t="s">
        <v>60</v>
      </c>
      <c r="B31" s="15" t="s">
        <v>61</v>
      </c>
      <c r="C31" s="16">
        <f>163.8/(1+B2)</f>
        <v>163.80000000000001</v>
      </c>
      <c r="D31" s="17"/>
      <c r="E31" s="17" t="s">
        <v>11</v>
      </c>
      <c r="F31" s="18"/>
      <c r="G31" s="36" t="str">
        <f>IF(ISNUMBER(F31),C31*F31,"")</f>
        <v/>
      </c>
    </row>
    <row r="32" spans="1:7" ht="12" customHeight="1" outlineLevel="2" x14ac:dyDescent="0.2">
      <c r="A32" s="14" t="s">
        <v>62</v>
      </c>
      <c r="B32" s="15" t="s">
        <v>63</v>
      </c>
      <c r="C32" s="16">
        <f>163.8/(1+B2)</f>
        <v>163.80000000000001</v>
      </c>
      <c r="D32" s="17"/>
      <c r="E32" s="17" t="s">
        <v>53</v>
      </c>
      <c r="F32" s="18"/>
      <c r="G32" s="36" t="str">
        <f>IF(ISNUMBER(F32),C32*F32,"")</f>
        <v/>
      </c>
    </row>
    <row r="33" spans="1:7" ht="24" customHeight="1" outlineLevel="2" x14ac:dyDescent="0.2">
      <c r="A33" s="14" t="s">
        <v>64</v>
      </c>
      <c r="B33" s="15" t="s">
        <v>65</v>
      </c>
      <c r="C33" s="16">
        <f>195.65/(1+B2)</f>
        <v>195.65</v>
      </c>
      <c r="D33" s="17"/>
      <c r="E33" s="17" t="s">
        <v>11</v>
      </c>
      <c r="F33" s="18"/>
      <c r="G33" s="36" t="str">
        <f>IF(ISNUMBER(F33),C33*F33,"")</f>
        <v/>
      </c>
    </row>
    <row r="34" spans="1:7" ht="12" customHeight="1" outlineLevel="2" x14ac:dyDescent="0.2">
      <c r="A34" s="14" t="s">
        <v>66</v>
      </c>
      <c r="B34" s="15" t="s">
        <v>67</v>
      </c>
      <c r="C34" s="16">
        <f>180.86/(1+B2)</f>
        <v>180.86</v>
      </c>
      <c r="D34" s="17" t="s">
        <v>11</v>
      </c>
      <c r="E34" s="17" t="s">
        <v>14</v>
      </c>
      <c r="F34" s="18"/>
      <c r="G34" s="36" t="str">
        <f>IF(ISNUMBER(F34),C34*F34,"")</f>
        <v/>
      </c>
    </row>
    <row r="35" spans="1:7" ht="12" customHeight="1" outlineLevel="2" x14ac:dyDescent="0.2">
      <c r="A35" s="14" t="s">
        <v>68</v>
      </c>
      <c r="B35" s="15" t="s">
        <v>69</v>
      </c>
      <c r="C35" s="16">
        <f>216/(1+B2)</f>
        <v>216</v>
      </c>
      <c r="D35" s="17" t="s">
        <v>14</v>
      </c>
      <c r="E35" s="17" t="s">
        <v>11</v>
      </c>
      <c r="F35" s="18"/>
      <c r="G35" s="36" t="str">
        <f>IF(ISNUMBER(F35),C35*F35,"")</f>
        <v/>
      </c>
    </row>
    <row r="36" spans="1:7" ht="12" customHeight="1" outlineLevel="2" x14ac:dyDescent="0.2">
      <c r="A36" s="14" t="s">
        <v>70</v>
      </c>
      <c r="B36" s="15" t="s">
        <v>71</v>
      </c>
      <c r="C36" s="16">
        <f>180.86/(1+B2)</f>
        <v>180.86</v>
      </c>
      <c r="D36" s="17"/>
      <c r="E36" s="17" t="s">
        <v>14</v>
      </c>
      <c r="F36" s="18"/>
      <c r="G36" s="36" t="str">
        <f>IF(ISNUMBER(F36),C36*F36,"")</f>
        <v/>
      </c>
    </row>
    <row r="37" spans="1:7" ht="12" customHeight="1" outlineLevel="2" x14ac:dyDescent="0.2">
      <c r="A37" s="14" t="s">
        <v>72</v>
      </c>
      <c r="B37" s="15" t="s">
        <v>73</v>
      </c>
      <c r="C37" s="16">
        <f>225.6/(1+B2)</f>
        <v>225.6</v>
      </c>
      <c r="D37" s="17" t="s">
        <v>11</v>
      </c>
      <c r="E37" s="17"/>
      <c r="F37" s="18"/>
      <c r="G37" s="36" t="str">
        <f>IF(ISNUMBER(F37),C37*F37,"")</f>
        <v/>
      </c>
    </row>
    <row r="38" spans="1:7" ht="12" customHeight="1" outlineLevel="2" x14ac:dyDescent="0.2">
      <c r="A38" s="14" t="s">
        <v>74</v>
      </c>
      <c r="B38" s="15" t="s">
        <v>75</v>
      </c>
      <c r="C38" s="16">
        <f>343.2/(1+B2)</f>
        <v>343.2</v>
      </c>
      <c r="D38" s="17" t="s">
        <v>11</v>
      </c>
      <c r="E38" s="17"/>
      <c r="F38" s="18"/>
      <c r="G38" s="36" t="str">
        <f>IF(ISNUMBER(F38),C38*F38,"")</f>
        <v/>
      </c>
    </row>
    <row r="39" spans="1:7" ht="24" customHeight="1" outlineLevel="2" x14ac:dyDescent="0.2">
      <c r="A39" s="14" t="s">
        <v>76</v>
      </c>
      <c r="B39" s="15" t="s">
        <v>77</v>
      </c>
      <c r="C39" s="16">
        <f>396/(1+B2)</f>
        <v>396</v>
      </c>
      <c r="D39" s="17" t="s">
        <v>11</v>
      </c>
      <c r="E39" s="17"/>
      <c r="F39" s="18"/>
      <c r="G39" s="36" t="str">
        <f>IF(ISNUMBER(F39),C39*F39,"")</f>
        <v/>
      </c>
    </row>
    <row r="40" spans="1:7" ht="12" customHeight="1" outlineLevel="2" x14ac:dyDescent="0.2">
      <c r="A40" s="14" t="s">
        <v>78</v>
      </c>
      <c r="B40" s="15" t="s">
        <v>79</v>
      </c>
      <c r="C40" s="16">
        <f>379.2/(1+B2)</f>
        <v>379.2</v>
      </c>
      <c r="D40" s="17" t="s">
        <v>11</v>
      </c>
      <c r="E40" s="17"/>
      <c r="F40" s="18"/>
      <c r="G40" s="36" t="str">
        <f>IF(ISNUMBER(F40),C40*F40,"")</f>
        <v/>
      </c>
    </row>
    <row r="41" spans="1:7" ht="12" customHeight="1" outlineLevel="2" x14ac:dyDescent="0.2">
      <c r="A41" s="14" t="s">
        <v>80</v>
      </c>
      <c r="B41" s="15" t="s">
        <v>81</v>
      </c>
      <c r="C41" s="16">
        <f>219.6/(1+B2)</f>
        <v>219.6</v>
      </c>
      <c r="D41" s="17" t="s">
        <v>11</v>
      </c>
      <c r="E41" s="17"/>
      <c r="F41" s="18"/>
      <c r="G41" s="36" t="str">
        <f>IF(ISNUMBER(F41),C41*F41,"")</f>
        <v/>
      </c>
    </row>
    <row r="42" spans="1:7" ht="24" customHeight="1" outlineLevel="2" x14ac:dyDescent="0.2">
      <c r="A42" s="14" t="s">
        <v>82</v>
      </c>
      <c r="B42" s="15" t="s">
        <v>83</v>
      </c>
      <c r="C42" s="16">
        <f>266.4/(1+B2)</f>
        <v>266.39999999999998</v>
      </c>
      <c r="D42" s="17" t="s">
        <v>11</v>
      </c>
      <c r="E42" s="17"/>
      <c r="F42" s="18"/>
      <c r="G42" s="36" t="str">
        <f>IF(ISNUMBER(F42),C42*F42,"")</f>
        <v/>
      </c>
    </row>
    <row r="43" spans="1:7" ht="12" customHeight="1" outlineLevel="2" x14ac:dyDescent="0.2">
      <c r="A43" s="14" t="s">
        <v>84</v>
      </c>
      <c r="B43" s="15" t="s">
        <v>85</v>
      </c>
      <c r="C43" s="16">
        <f>238.8/(1+B2)</f>
        <v>238.8</v>
      </c>
      <c r="D43" s="17" t="s">
        <v>11</v>
      </c>
      <c r="E43" s="17"/>
      <c r="F43" s="18"/>
      <c r="G43" s="36" t="str">
        <f>IF(ISNUMBER(F43),C43*F43,"")</f>
        <v/>
      </c>
    </row>
    <row r="44" spans="1:7" ht="12" customHeight="1" outlineLevel="2" x14ac:dyDescent="0.2">
      <c r="A44" s="14" t="s">
        <v>86</v>
      </c>
      <c r="B44" s="15" t="s">
        <v>87</v>
      </c>
      <c r="C44" s="16">
        <f>245.7/(1+B2)</f>
        <v>245.7</v>
      </c>
      <c r="D44" s="17"/>
      <c r="E44" s="17" t="s">
        <v>14</v>
      </c>
      <c r="F44" s="18"/>
      <c r="G44" s="36" t="str">
        <f>IF(ISNUMBER(F44),C44*F44,"")</f>
        <v/>
      </c>
    </row>
    <row r="45" spans="1:7" ht="12" customHeight="1" outlineLevel="2" x14ac:dyDescent="0.2">
      <c r="A45" s="14" t="s">
        <v>88</v>
      </c>
      <c r="B45" s="15" t="s">
        <v>89</v>
      </c>
      <c r="C45" s="16">
        <f>222.95/(1+B2)</f>
        <v>222.95</v>
      </c>
      <c r="D45" s="17" t="s">
        <v>11</v>
      </c>
      <c r="E45" s="17" t="s">
        <v>14</v>
      </c>
      <c r="F45" s="18"/>
      <c r="G45" s="36" t="str">
        <f>IF(ISNUMBER(F45),C45*F45,"")</f>
        <v/>
      </c>
    </row>
    <row r="46" spans="1:7" ht="12" customHeight="1" outlineLevel="2" x14ac:dyDescent="0.2">
      <c r="A46" s="14" t="s">
        <v>90</v>
      </c>
      <c r="B46" s="15" t="s">
        <v>91</v>
      </c>
      <c r="C46" s="16">
        <f>268.45/(1+B2)</f>
        <v>268.45</v>
      </c>
      <c r="D46" s="17"/>
      <c r="E46" s="17" t="s">
        <v>53</v>
      </c>
      <c r="F46" s="18"/>
      <c r="G46" s="36" t="str">
        <f>IF(ISNUMBER(F46),C46*F46,"")</f>
        <v/>
      </c>
    </row>
    <row r="47" spans="1:7" ht="12" customHeight="1" outlineLevel="2" x14ac:dyDescent="0.2">
      <c r="A47" s="14" t="s">
        <v>92</v>
      </c>
      <c r="B47" s="15" t="s">
        <v>93</v>
      </c>
      <c r="C47" s="16">
        <f>222.95/(1+B2)</f>
        <v>222.95</v>
      </c>
      <c r="D47" s="17"/>
      <c r="E47" s="17" t="s">
        <v>14</v>
      </c>
      <c r="F47" s="18"/>
      <c r="G47" s="36" t="str">
        <f>IF(ISNUMBER(F47),C47*F47,"")</f>
        <v/>
      </c>
    </row>
    <row r="48" spans="1:7" ht="12" customHeight="1" outlineLevel="2" x14ac:dyDescent="0.2">
      <c r="A48" s="14" t="s">
        <v>94</v>
      </c>
      <c r="B48" s="15" t="s">
        <v>95</v>
      </c>
      <c r="C48" s="16">
        <f>291.6/(1+B2)</f>
        <v>291.60000000000002</v>
      </c>
      <c r="D48" s="17" t="s">
        <v>11</v>
      </c>
      <c r="E48" s="17"/>
      <c r="F48" s="18"/>
      <c r="G48" s="36" t="str">
        <f>IF(ISNUMBER(F48),C48*F48,"")</f>
        <v/>
      </c>
    </row>
    <row r="49" spans="1:7" ht="12" customHeight="1" outlineLevel="2" x14ac:dyDescent="0.2">
      <c r="A49" s="14" t="s">
        <v>96</v>
      </c>
      <c r="B49" s="15" t="s">
        <v>97</v>
      </c>
      <c r="C49" s="16">
        <f>296.89/(1+B2)</f>
        <v>296.89</v>
      </c>
      <c r="D49" s="17"/>
      <c r="E49" s="17" t="s">
        <v>14</v>
      </c>
      <c r="F49" s="18"/>
      <c r="G49" s="36" t="str">
        <f>IF(ISNUMBER(F49),C49*F49,"")</f>
        <v/>
      </c>
    </row>
    <row r="50" spans="1:7" ht="12" customHeight="1" outlineLevel="2" x14ac:dyDescent="0.2">
      <c r="A50" s="14" t="s">
        <v>98</v>
      </c>
      <c r="B50" s="15" t="s">
        <v>99</v>
      </c>
      <c r="C50" s="16">
        <f>251.39/(1+B2)</f>
        <v>251.39</v>
      </c>
      <c r="D50" s="17"/>
      <c r="E50" s="17" t="s">
        <v>14</v>
      </c>
      <c r="F50" s="18"/>
      <c r="G50" s="36" t="str">
        <f>IF(ISNUMBER(F50),C50*F50,"")</f>
        <v/>
      </c>
    </row>
    <row r="51" spans="1:7" ht="12" customHeight="1" outlineLevel="2" x14ac:dyDescent="0.2">
      <c r="A51" s="14" t="s">
        <v>100</v>
      </c>
      <c r="B51" s="15" t="s">
        <v>101</v>
      </c>
      <c r="C51" s="16">
        <f>139.66/(1+B2)</f>
        <v>139.66</v>
      </c>
      <c r="D51" s="17" t="s">
        <v>14</v>
      </c>
      <c r="E51" s="17"/>
      <c r="F51" s="18"/>
      <c r="G51" s="36" t="str">
        <f>IF(ISNUMBER(F51),C51*F51,"")</f>
        <v/>
      </c>
    </row>
    <row r="52" spans="1:7" ht="12" customHeight="1" outlineLevel="2" x14ac:dyDescent="0.2">
      <c r="A52" s="14" t="s">
        <v>102</v>
      </c>
      <c r="B52" s="15" t="s">
        <v>103</v>
      </c>
      <c r="C52" s="16">
        <f>291.74/(1+B2)</f>
        <v>291.74</v>
      </c>
      <c r="D52" s="17" t="s">
        <v>11</v>
      </c>
      <c r="E52" s="17"/>
      <c r="F52" s="18"/>
      <c r="G52" s="36" t="str">
        <f>IF(ISNUMBER(F52),C52*F52,"")</f>
        <v/>
      </c>
    </row>
    <row r="53" spans="1:7" ht="12" customHeight="1" outlineLevel="2" x14ac:dyDescent="0.2">
      <c r="A53" s="14" t="s">
        <v>104</v>
      </c>
      <c r="B53" s="15" t="s">
        <v>105</v>
      </c>
      <c r="C53" s="16">
        <f>251.17/(1+B2)</f>
        <v>251.17</v>
      </c>
      <c r="D53" s="17" t="s">
        <v>106</v>
      </c>
      <c r="E53" s="17"/>
      <c r="F53" s="18"/>
      <c r="G53" s="36" t="str">
        <f>IF(ISNUMBER(F53),C53*F53,"")</f>
        <v/>
      </c>
    </row>
    <row r="54" spans="1:7" ht="12" customHeight="1" outlineLevel="2" x14ac:dyDescent="0.2">
      <c r="A54" s="14" t="s">
        <v>107</v>
      </c>
      <c r="B54" s="15" t="s">
        <v>108</v>
      </c>
      <c r="C54" s="16">
        <f>335.96/(1+B2)</f>
        <v>335.96</v>
      </c>
      <c r="D54" s="17" t="s">
        <v>53</v>
      </c>
      <c r="E54" s="17" t="s">
        <v>106</v>
      </c>
      <c r="F54" s="18"/>
      <c r="G54" s="36" t="str">
        <f>IF(ISNUMBER(F54),C54*F54,"")</f>
        <v/>
      </c>
    </row>
    <row r="55" spans="1:7" ht="12" customHeight="1" outlineLevel="2" x14ac:dyDescent="0.2">
      <c r="A55" s="14" t="s">
        <v>109</v>
      </c>
      <c r="B55" s="15" t="s">
        <v>110</v>
      </c>
      <c r="C55" s="16">
        <f>220.71/(1+B2)</f>
        <v>220.71</v>
      </c>
      <c r="D55" s="17" t="s">
        <v>14</v>
      </c>
      <c r="E55" s="17"/>
      <c r="F55" s="18"/>
      <c r="G55" s="36" t="str">
        <f>IF(ISNUMBER(F55),C55*F55,"")</f>
        <v/>
      </c>
    </row>
    <row r="56" spans="1:7" ht="12" customHeight="1" outlineLevel="2" x14ac:dyDescent="0.2">
      <c r="A56" s="14" t="s">
        <v>111</v>
      </c>
      <c r="B56" s="15" t="s">
        <v>112</v>
      </c>
      <c r="C56" s="16">
        <f>265.05/(1+B2)</f>
        <v>265.05</v>
      </c>
      <c r="D56" s="17" t="s">
        <v>106</v>
      </c>
      <c r="E56" s="17"/>
      <c r="F56" s="18"/>
      <c r="G56" s="36" t="str">
        <f>IF(ISNUMBER(F56),C56*F56,"")</f>
        <v/>
      </c>
    </row>
    <row r="57" spans="1:7" ht="12" customHeight="1" outlineLevel="2" x14ac:dyDescent="0.2">
      <c r="A57" s="14" t="s">
        <v>113</v>
      </c>
      <c r="B57" s="15" t="s">
        <v>114</v>
      </c>
      <c r="C57" s="16">
        <f>234.31/(1+B2)</f>
        <v>234.31</v>
      </c>
      <c r="D57" s="17" t="s">
        <v>53</v>
      </c>
      <c r="E57" s="17"/>
      <c r="F57" s="18"/>
      <c r="G57" s="36" t="str">
        <f>IF(ISNUMBER(F57),C57*F57,"")</f>
        <v/>
      </c>
    </row>
    <row r="58" spans="1:7" ht="12" customHeight="1" outlineLevel="2" x14ac:dyDescent="0.2">
      <c r="A58" s="14" t="s">
        <v>115</v>
      </c>
      <c r="B58" s="15" t="s">
        <v>116</v>
      </c>
      <c r="C58" s="16">
        <f>248.41/(1+B2)</f>
        <v>248.41</v>
      </c>
      <c r="D58" s="17" t="s">
        <v>106</v>
      </c>
      <c r="E58" s="17"/>
      <c r="F58" s="18"/>
      <c r="G58" s="36" t="str">
        <f>IF(ISNUMBER(F58),C58*F58,"")</f>
        <v/>
      </c>
    </row>
    <row r="59" spans="1:7" ht="24" customHeight="1" outlineLevel="2" x14ac:dyDescent="0.2">
      <c r="A59" s="14" t="s">
        <v>117</v>
      </c>
      <c r="B59" s="15" t="s">
        <v>118</v>
      </c>
      <c r="C59" s="19">
        <f>1396.78/(1+B2)</f>
        <v>1396.78</v>
      </c>
      <c r="D59" s="17" t="s">
        <v>11</v>
      </c>
      <c r="E59" s="17"/>
      <c r="F59" s="18"/>
      <c r="G59" s="36" t="str">
        <f>IF(ISNUMBER(F59),C59*F59,"")</f>
        <v/>
      </c>
    </row>
    <row r="60" spans="1:7" ht="24" customHeight="1" outlineLevel="2" x14ac:dyDescent="0.2">
      <c r="A60" s="14" t="s">
        <v>119</v>
      </c>
      <c r="B60" s="15" t="s">
        <v>120</v>
      </c>
      <c r="C60" s="16">
        <f>704.83/(1+B2)</f>
        <v>704.83</v>
      </c>
      <c r="D60" s="17" t="s">
        <v>11</v>
      </c>
      <c r="E60" s="17"/>
      <c r="F60" s="18"/>
      <c r="G60" s="36" t="str">
        <f>IF(ISNUMBER(F60),C60*F60,"")</f>
        <v/>
      </c>
    </row>
    <row r="61" spans="1:7" ht="24" customHeight="1" outlineLevel="2" x14ac:dyDescent="0.2">
      <c r="A61" s="14" t="s">
        <v>121</v>
      </c>
      <c r="B61" s="15" t="s">
        <v>122</v>
      </c>
      <c r="C61" s="16">
        <f>843.25/(1+B2)</f>
        <v>843.25</v>
      </c>
      <c r="D61" s="17" t="s">
        <v>11</v>
      </c>
      <c r="E61" s="17"/>
      <c r="F61" s="18"/>
      <c r="G61" s="36" t="str">
        <f>IF(ISNUMBER(F61),C61*F61,"")</f>
        <v/>
      </c>
    </row>
    <row r="62" spans="1:7" ht="24" customHeight="1" outlineLevel="2" x14ac:dyDescent="0.2">
      <c r="A62" s="14" t="s">
        <v>123</v>
      </c>
      <c r="B62" s="15" t="s">
        <v>124</v>
      </c>
      <c r="C62" s="16">
        <f>719.54/(1+B2)</f>
        <v>719.54</v>
      </c>
      <c r="D62" s="17" t="s">
        <v>11</v>
      </c>
      <c r="E62" s="17"/>
      <c r="F62" s="18"/>
      <c r="G62" s="36" t="str">
        <f>IF(ISNUMBER(F62),C62*F62,"")</f>
        <v/>
      </c>
    </row>
    <row r="63" spans="1:7" ht="24" customHeight="1" outlineLevel="2" x14ac:dyDescent="0.2">
      <c r="A63" s="14" t="s">
        <v>125</v>
      </c>
      <c r="B63" s="15" t="s">
        <v>126</v>
      </c>
      <c r="C63" s="16">
        <f>987.66/(1+B2)</f>
        <v>987.66</v>
      </c>
      <c r="D63" s="17" t="s">
        <v>11</v>
      </c>
      <c r="E63" s="17"/>
      <c r="F63" s="18"/>
      <c r="G63" s="36" t="str">
        <f>IF(ISNUMBER(F63),C63*F63,"")</f>
        <v/>
      </c>
    </row>
    <row r="64" spans="1:7" ht="12" customHeight="1" outlineLevel="2" x14ac:dyDescent="0.2">
      <c r="A64" s="14" t="s">
        <v>127</v>
      </c>
      <c r="B64" s="15" t="s">
        <v>128</v>
      </c>
      <c r="C64" s="16">
        <f>395.85/(1+B2)</f>
        <v>395.85</v>
      </c>
      <c r="D64" s="17" t="s">
        <v>11</v>
      </c>
      <c r="E64" s="17" t="s">
        <v>14</v>
      </c>
      <c r="F64" s="18"/>
      <c r="G64" s="36" t="str">
        <f>IF(ISNUMBER(F64),C64*F64,"")</f>
        <v/>
      </c>
    </row>
    <row r="65" spans="1:7" ht="12" customHeight="1" outlineLevel="2" x14ac:dyDescent="0.2">
      <c r="A65" s="14" t="s">
        <v>129</v>
      </c>
      <c r="B65" s="15" t="s">
        <v>130</v>
      </c>
      <c r="C65" s="16">
        <f>406/(1+B2)</f>
        <v>406</v>
      </c>
      <c r="D65" s="17" t="s">
        <v>11</v>
      </c>
      <c r="E65" s="17"/>
      <c r="F65" s="18"/>
      <c r="G65" s="36" t="str">
        <f>IF(ISNUMBER(F65),C65*F65,"")</f>
        <v/>
      </c>
    </row>
    <row r="66" spans="1:7" ht="12" customHeight="1" outlineLevel="2" x14ac:dyDescent="0.2">
      <c r="A66" s="14" t="s">
        <v>131</v>
      </c>
      <c r="B66" s="15" t="s">
        <v>132</v>
      </c>
      <c r="C66" s="16">
        <f>490.34/(1+B2)</f>
        <v>490.34</v>
      </c>
      <c r="D66" s="17" t="s">
        <v>14</v>
      </c>
      <c r="E66" s="17"/>
      <c r="F66" s="18"/>
      <c r="G66" s="36" t="str">
        <f>IF(ISNUMBER(F66),C66*F66,"")</f>
        <v/>
      </c>
    </row>
    <row r="67" spans="1:7" s="1" customFormat="1" ht="15.95" customHeight="1" outlineLevel="1" x14ac:dyDescent="0.25">
      <c r="A67" s="11"/>
      <c r="B67" s="12" t="s">
        <v>133</v>
      </c>
      <c r="C67" s="13"/>
      <c r="D67" s="13"/>
      <c r="E67" s="13"/>
      <c r="F67" s="13"/>
      <c r="G67" s="35"/>
    </row>
    <row r="68" spans="1:7" s="1" customFormat="1" ht="12.95" customHeight="1" outlineLevel="2" x14ac:dyDescent="0.2">
      <c r="A68" s="20"/>
      <c r="B68" s="21" t="s">
        <v>134</v>
      </c>
      <c r="C68" s="22"/>
      <c r="D68" s="22"/>
      <c r="E68" s="22"/>
      <c r="F68" s="22"/>
      <c r="G68" s="37"/>
    </row>
    <row r="69" spans="1:7" ht="12" customHeight="1" outlineLevel="3" x14ac:dyDescent="0.2">
      <c r="A69" s="14" t="s">
        <v>135</v>
      </c>
      <c r="B69" s="15" t="s">
        <v>136</v>
      </c>
      <c r="C69" s="16">
        <f>958.95/(1+B2)</f>
        <v>958.95</v>
      </c>
      <c r="D69" s="17" t="s">
        <v>11</v>
      </c>
      <c r="E69" s="17"/>
      <c r="F69" s="18"/>
      <c r="G69" s="36" t="str">
        <f>IF(ISNUMBER(F69),C69*F69,"")</f>
        <v/>
      </c>
    </row>
    <row r="70" spans="1:7" ht="12" customHeight="1" outlineLevel="3" x14ac:dyDescent="0.2">
      <c r="A70" s="14" t="s">
        <v>137</v>
      </c>
      <c r="B70" s="15" t="s">
        <v>138</v>
      </c>
      <c r="C70" s="19">
        <f>2035.31/(1+B2)</f>
        <v>2035.31</v>
      </c>
      <c r="D70" s="17" t="s">
        <v>11</v>
      </c>
      <c r="E70" s="17"/>
      <c r="F70" s="18"/>
      <c r="G70" s="36" t="str">
        <f>IF(ISNUMBER(F70),C70*F70,"")</f>
        <v/>
      </c>
    </row>
    <row r="71" spans="1:7" ht="12" customHeight="1" outlineLevel="3" x14ac:dyDescent="0.2">
      <c r="A71" s="14" t="s">
        <v>139</v>
      </c>
      <c r="B71" s="15" t="s">
        <v>140</v>
      </c>
      <c r="C71" s="16">
        <f>586.83/(1+B2)</f>
        <v>586.83000000000004</v>
      </c>
      <c r="D71" s="17" t="s">
        <v>11</v>
      </c>
      <c r="E71" s="17"/>
      <c r="F71" s="18"/>
      <c r="G71" s="36" t="str">
        <f>IF(ISNUMBER(F71),C71*F71,"")</f>
        <v/>
      </c>
    </row>
    <row r="72" spans="1:7" ht="12" customHeight="1" outlineLevel="3" x14ac:dyDescent="0.2">
      <c r="A72" s="14" t="s">
        <v>141</v>
      </c>
      <c r="B72" s="15" t="s">
        <v>142</v>
      </c>
      <c r="C72" s="19">
        <f>1133.14/(1+B2)</f>
        <v>1133.1400000000001</v>
      </c>
      <c r="D72" s="17" t="s">
        <v>11</v>
      </c>
      <c r="E72" s="17"/>
      <c r="F72" s="18"/>
      <c r="G72" s="36" t="str">
        <f>IF(ISNUMBER(F72),C72*F72,"")</f>
        <v/>
      </c>
    </row>
    <row r="73" spans="1:7" ht="12" customHeight="1" outlineLevel="3" x14ac:dyDescent="0.2">
      <c r="A73" s="14" t="s">
        <v>143</v>
      </c>
      <c r="B73" s="15" t="s">
        <v>144</v>
      </c>
      <c r="C73" s="16">
        <f>867.83/(1+B2)</f>
        <v>867.83</v>
      </c>
      <c r="D73" s="17"/>
      <c r="E73" s="17" t="s">
        <v>11</v>
      </c>
      <c r="F73" s="18"/>
      <c r="G73" s="36" t="str">
        <f>IF(ISNUMBER(F73),C73*F73,"")</f>
        <v/>
      </c>
    </row>
    <row r="74" spans="1:7" ht="12" customHeight="1" outlineLevel="3" x14ac:dyDescent="0.2">
      <c r="A74" s="14" t="s">
        <v>145</v>
      </c>
      <c r="B74" s="15" t="s">
        <v>146</v>
      </c>
      <c r="C74" s="16">
        <f>851.91/(1+B2)</f>
        <v>851.91</v>
      </c>
      <c r="D74" s="17"/>
      <c r="E74" s="17" t="s">
        <v>11</v>
      </c>
      <c r="F74" s="18"/>
      <c r="G74" s="36" t="str">
        <f>IF(ISNUMBER(F74),C74*F74,"")</f>
        <v/>
      </c>
    </row>
    <row r="75" spans="1:7" ht="12" customHeight="1" outlineLevel="3" x14ac:dyDescent="0.2">
      <c r="A75" s="14" t="s">
        <v>147</v>
      </c>
      <c r="B75" s="15" t="s">
        <v>148</v>
      </c>
      <c r="C75" s="16">
        <f>802.74/(1+B2)</f>
        <v>802.74</v>
      </c>
      <c r="D75" s="17" t="s">
        <v>11</v>
      </c>
      <c r="E75" s="17"/>
      <c r="F75" s="18"/>
      <c r="G75" s="36" t="str">
        <f>IF(ISNUMBER(F75),C75*F75,"")</f>
        <v/>
      </c>
    </row>
    <row r="76" spans="1:7" ht="12" customHeight="1" outlineLevel="3" x14ac:dyDescent="0.2">
      <c r="A76" s="14" t="s">
        <v>149</v>
      </c>
      <c r="B76" s="15" t="s">
        <v>150</v>
      </c>
      <c r="C76" s="16">
        <f>802.74/(1+B2)</f>
        <v>802.74</v>
      </c>
      <c r="D76" s="17"/>
      <c r="E76" s="17" t="s">
        <v>11</v>
      </c>
      <c r="F76" s="18"/>
      <c r="G76" s="36" t="str">
        <f>IF(ISNUMBER(F76),C76*F76,"")</f>
        <v/>
      </c>
    </row>
    <row r="77" spans="1:7" ht="12" customHeight="1" outlineLevel="3" x14ac:dyDescent="0.2">
      <c r="A77" s="14" t="s">
        <v>151</v>
      </c>
      <c r="B77" s="15" t="s">
        <v>152</v>
      </c>
      <c r="C77" s="19">
        <f>1065.93/(1+B2)</f>
        <v>1065.93</v>
      </c>
      <c r="D77" s="17"/>
      <c r="E77" s="17" t="s">
        <v>11</v>
      </c>
      <c r="F77" s="18"/>
      <c r="G77" s="36" t="str">
        <f>IF(ISNUMBER(F77),C77*F77,"")</f>
        <v/>
      </c>
    </row>
    <row r="78" spans="1:7" ht="12" customHeight="1" outlineLevel="3" x14ac:dyDescent="0.2">
      <c r="A78" s="14" t="s">
        <v>153</v>
      </c>
      <c r="B78" s="15" t="s">
        <v>154</v>
      </c>
      <c r="C78" s="19">
        <f>1065.93/(1+B2)</f>
        <v>1065.93</v>
      </c>
      <c r="D78" s="17"/>
      <c r="E78" s="17" t="s">
        <v>11</v>
      </c>
      <c r="F78" s="18"/>
      <c r="G78" s="36" t="str">
        <f>IF(ISNUMBER(F78),C78*F78,"")</f>
        <v/>
      </c>
    </row>
    <row r="79" spans="1:7" ht="12" customHeight="1" outlineLevel="3" x14ac:dyDescent="0.2">
      <c r="A79" s="14" t="s">
        <v>155</v>
      </c>
      <c r="B79" s="15" t="s">
        <v>156</v>
      </c>
      <c r="C79" s="19">
        <f>1008.93/(1+B2)</f>
        <v>1008.93</v>
      </c>
      <c r="D79" s="17" t="s">
        <v>11</v>
      </c>
      <c r="E79" s="17"/>
      <c r="F79" s="18"/>
      <c r="G79" s="36" t="str">
        <f>IF(ISNUMBER(F79),C79*F79,"")</f>
        <v/>
      </c>
    </row>
    <row r="80" spans="1:7" ht="12" customHeight="1" outlineLevel="3" x14ac:dyDescent="0.2">
      <c r="A80" s="14" t="s">
        <v>157</v>
      </c>
      <c r="B80" s="15" t="s">
        <v>158</v>
      </c>
      <c r="C80" s="19">
        <f>1069.41/(1+B2)</f>
        <v>1069.4100000000001</v>
      </c>
      <c r="D80" s="17"/>
      <c r="E80" s="17" t="s">
        <v>11</v>
      </c>
      <c r="F80" s="18"/>
      <c r="G80" s="36" t="str">
        <f>IF(ISNUMBER(F80),C80*F80,"")</f>
        <v/>
      </c>
    </row>
    <row r="81" spans="1:7" ht="12" customHeight="1" outlineLevel="3" x14ac:dyDescent="0.2">
      <c r="A81" s="14" t="s">
        <v>159</v>
      </c>
      <c r="B81" s="15" t="s">
        <v>160</v>
      </c>
      <c r="C81" s="19">
        <f>1069.41/(1+B2)</f>
        <v>1069.4100000000001</v>
      </c>
      <c r="D81" s="17" t="s">
        <v>11</v>
      </c>
      <c r="E81" s="17"/>
      <c r="F81" s="18"/>
      <c r="G81" s="36" t="str">
        <f>IF(ISNUMBER(F81),C81*F81,"")</f>
        <v/>
      </c>
    </row>
    <row r="82" spans="1:7" ht="12" customHeight="1" outlineLevel="3" x14ac:dyDescent="0.2">
      <c r="A82" s="14" t="s">
        <v>161</v>
      </c>
      <c r="B82" s="15" t="s">
        <v>162</v>
      </c>
      <c r="C82" s="19">
        <f>1256.94/(1+B2)</f>
        <v>1256.94</v>
      </c>
      <c r="D82" s="17"/>
      <c r="E82" s="17" t="s">
        <v>11</v>
      </c>
      <c r="F82" s="18"/>
      <c r="G82" s="36" t="str">
        <f>IF(ISNUMBER(F82),C82*F82,"")</f>
        <v/>
      </c>
    </row>
    <row r="83" spans="1:7" ht="24" customHeight="1" outlineLevel="3" x14ac:dyDescent="0.2">
      <c r="A83" s="14" t="s">
        <v>163</v>
      </c>
      <c r="B83" s="15" t="s">
        <v>164</v>
      </c>
      <c r="C83" s="19">
        <f>1256.94/(1+B2)</f>
        <v>1256.94</v>
      </c>
      <c r="D83" s="17"/>
      <c r="E83" s="17" t="s">
        <v>11</v>
      </c>
      <c r="F83" s="18"/>
      <c r="G83" s="36" t="str">
        <f>IF(ISNUMBER(F83),C83*F83,"")</f>
        <v/>
      </c>
    </row>
    <row r="84" spans="1:7" ht="24" customHeight="1" outlineLevel="3" x14ac:dyDescent="0.2">
      <c r="A84" s="14" t="s">
        <v>165</v>
      </c>
      <c r="B84" s="15" t="s">
        <v>166</v>
      </c>
      <c r="C84" s="16">
        <f>808.76/(1+B2)</f>
        <v>808.76</v>
      </c>
      <c r="D84" s="17"/>
      <c r="E84" s="17" t="s">
        <v>11</v>
      </c>
      <c r="F84" s="18"/>
      <c r="G84" s="36" t="str">
        <f>IF(ISNUMBER(F84),C84*F84,"")</f>
        <v/>
      </c>
    </row>
    <row r="85" spans="1:7" ht="24" customHeight="1" outlineLevel="3" x14ac:dyDescent="0.2">
      <c r="A85" s="14" t="s">
        <v>167</v>
      </c>
      <c r="B85" s="15" t="s">
        <v>168</v>
      </c>
      <c r="C85" s="16">
        <f>808.76/(1+B2)</f>
        <v>808.76</v>
      </c>
      <c r="D85" s="17"/>
      <c r="E85" s="17" t="s">
        <v>11</v>
      </c>
      <c r="F85" s="18"/>
      <c r="G85" s="36" t="str">
        <f>IF(ISNUMBER(F85),C85*F85,"")</f>
        <v/>
      </c>
    </row>
    <row r="86" spans="1:7" ht="12" customHeight="1" outlineLevel="3" x14ac:dyDescent="0.2">
      <c r="A86" s="14" t="s">
        <v>169</v>
      </c>
      <c r="B86" s="15" t="s">
        <v>170</v>
      </c>
      <c r="C86" s="16">
        <f>452.73/(1+B2)</f>
        <v>452.73</v>
      </c>
      <c r="D86" s="17" t="s">
        <v>11</v>
      </c>
      <c r="E86" s="17" t="s">
        <v>11</v>
      </c>
      <c r="F86" s="18"/>
      <c r="G86" s="36" t="str">
        <f>IF(ISNUMBER(F86),C86*F86,"")</f>
        <v/>
      </c>
    </row>
    <row r="87" spans="1:7" ht="12" customHeight="1" outlineLevel="3" x14ac:dyDescent="0.2">
      <c r="A87" s="14" t="s">
        <v>171</v>
      </c>
      <c r="B87" s="15" t="s">
        <v>172</v>
      </c>
      <c r="C87" s="16">
        <f>506.4/(1+B2)</f>
        <v>506.4</v>
      </c>
      <c r="D87" s="17" t="s">
        <v>11</v>
      </c>
      <c r="E87" s="17" t="s">
        <v>11</v>
      </c>
      <c r="F87" s="18"/>
      <c r="G87" s="36" t="str">
        <f>IF(ISNUMBER(F87),C87*F87,"")</f>
        <v/>
      </c>
    </row>
    <row r="88" spans="1:7" ht="12" customHeight="1" outlineLevel="3" x14ac:dyDescent="0.2">
      <c r="A88" s="14" t="s">
        <v>173</v>
      </c>
      <c r="B88" s="15" t="s">
        <v>174</v>
      </c>
      <c r="C88" s="16">
        <f>465.6/(1+B2)</f>
        <v>465.6</v>
      </c>
      <c r="D88" s="17" t="s">
        <v>11</v>
      </c>
      <c r="E88" s="17" t="s">
        <v>11</v>
      </c>
      <c r="F88" s="18"/>
      <c r="G88" s="36" t="str">
        <f>IF(ISNUMBER(F88),C88*F88,"")</f>
        <v/>
      </c>
    </row>
    <row r="89" spans="1:7" ht="12" customHeight="1" outlineLevel="3" x14ac:dyDescent="0.2">
      <c r="A89" s="14" t="s">
        <v>175</v>
      </c>
      <c r="B89" s="15" t="s">
        <v>176</v>
      </c>
      <c r="C89" s="19">
        <f>1139.93/(1+B2)</f>
        <v>1139.93</v>
      </c>
      <c r="D89" s="17" t="s">
        <v>11</v>
      </c>
      <c r="E89" s="17"/>
      <c r="F89" s="18"/>
      <c r="G89" s="36" t="str">
        <f>IF(ISNUMBER(F89),C89*F89,"")</f>
        <v/>
      </c>
    </row>
    <row r="90" spans="1:7" ht="12" customHeight="1" outlineLevel="3" x14ac:dyDescent="0.2">
      <c r="A90" s="14" t="s">
        <v>177</v>
      </c>
      <c r="B90" s="15" t="s">
        <v>178</v>
      </c>
      <c r="C90" s="19">
        <f>1692.08/(1+B2)</f>
        <v>1692.08</v>
      </c>
      <c r="D90" s="17" t="s">
        <v>11</v>
      </c>
      <c r="E90" s="17"/>
      <c r="F90" s="18"/>
      <c r="G90" s="36" t="str">
        <f>IF(ISNUMBER(F90),C90*F90,"")</f>
        <v/>
      </c>
    </row>
    <row r="91" spans="1:7" ht="12" customHeight="1" outlineLevel="3" x14ac:dyDescent="0.2">
      <c r="A91" s="14" t="s">
        <v>179</v>
      </c>
      <c r="B91" s="15" t="s">
        <v>180</v>
      </c>
      <c r="C91" s="19">
        <f>1176.83/(1+B2)</f>
        <v>1176.83</v>
      </c>
      <c r="D91" s="17" t="s">
        <v>11</v>
      </c>
      <c r="E91" s="17"/>
      <c r="F91" s="18"/>
      <c r="G91" s="36" t="str">
        <f>IF(ISNUMBER(F91),C91*F91,"")</f>
        <v/>
      </c>
    </row>
    <row r="92" spans="1:7" ht="12" customHeight="1" outlineLevel="3" x14ac:dyDescent="0.2">
      <c r="A92" s="14" t="s">
        <v>181</v>
      </c>
      <c r="B92" s="15" t="s">
        <v>182</v>
      </c>
      <c r="C92" s="19">
        <f>1298.75/(1+B2)</f>
        <v>1298.75</v>
      </c>
      <c r="D92" s="17" t="s">
        <v>11</v>
      </c>
      <c r="E92" s="17"/>
      <c r="F92" s="18"/>
      <c r="G92" s="36" t="str">
        <f>IF(ISNUMBER(F92),C92*F92,"")</f>
        <v/>
      </c>
    </row>
    <row r="93" spans="1:7" ht="12" customHeight="1" outlineLevel="3" x14ac:dyDescent="0.2">
      <c r="A93" s="14" t="s">
        <v>183</v>
      </c>
      <c r="B93" s="15" t="s">
        <v>184</v>
      </c>
      <c r="C93" s="19">
        <f>1091.58/(1+B2)</f>
        <v>1091.58</v>
      </c>
      <c r="D93" s="17" t="s">
        <v>11</v>
      </c>
      <c r="E93" s="17"/>
      <c r="F93" s="18"/>
      <c r="G93" s="36" t="str">
        <f>IF(ISNUMBER(F93),C93*F93,"")</f>
        <v/>
      </c>
    </row>
    <row r="94" spans="1:7" ht="12" customHeight="1" outlineLevel="3" x14ac:dyDescent="0.2">
      <c r="A94" s="14" t="s">
        <v>185</v>
      </c>
      <c r="B94" s="15" t="s">
        <v>186</v>
      </c>
      <c r="C94" s="19">
        <f>1257.66/(1+B2)</f>
        <v>1257.6600000000001</v>
      </c>
      <c r="D94" s="17" t="s">
        <v>11</v>
      </c>
      <c r="E94" s="17"/>
      <c r="F94" s="18"/>
      <c r="G94" s="36" t="str">
        <f>IF(ISNUMBER(F94),C94*F94,"")</f>
        <v/>
      </c>
    </row>
    <row r="95" spans="1:7" ht="12" customHeight="1" outlineLevel="3" x14ac:dyDescent="0.2">
      <c r="A95" s="14" t="s">
        <v>187</v>
      </c>
      <c r="B95" s="15" t="s">
        <v>188</v>
      </c>
      <c r="C95" s="19">
        <f>1257.66/(1+B2)</f>
        <v>1257.6600000000001</v>
      </c>
      <c r="D95" s="17" t="s">
        <v>11</v>
      </c>
      <c r="E95" s="17"/>
      <c r="F95" s="18"/>
      <c r="G95" s="36" t="str">
        <f>IF(ISNUMBER(F95),C95*F95,"")</f>
        <v/>
      </c>
    </row>
    <row r="96" spans="1:7" ht="12" customHeight="1" outlineLevel="3" x14ac:dyDescent="0.2">
      <c r="A96" s="14" t="s">
        <v>189</v>
      </c>
      <c r="B96" s="15" t="s">
        <v>190</v>
      </c>
      <c r="C96" s="16">
        <f>342.58/(1+B2)</f>
        <v>342.58</v>
      </c>
      <c r="D96" s="17"/>
      <c r="E96" s="17" t="s">
        <v>11</v>
      </c>
      <c r="F96" s="18"/>
      <c r="G96" s="36" t="str">
        <f>IF(ISNUMBER(F96),C96*F96,"")</f>
        <v/>
      </c>
    </row>
    <row r="97" spans="1:7" ht="12" customHeight="1" outlineLevel="3" x14ac:dyDescent="0.2">
      <c r="A97" s="14" t="s">
        <v>191</v>
      </c>
      <c r="B97" s="15" t="s">
        <v>192</v>
      </c>
      <c r="C97" s="16">
        <f>269.69/(1+B2)</f>
        <v>269.69</v>
      </c>
      <c r="D97" s="17"/>
      <c r="E97" s="17" t="s">
        <v>14</v>
      </c>
      <c r="F97" s="18"/>
      <c r="G97" s="36" t="str">
        <f>IF(ISNUMBER(F97),C97*F97,"")</f>
        <v/>
      </c>
    </row>
    <row r="98" spans="1:7" ht="12" customHeight="1" outlineLevel="3" x14ac:dyDescent="0.2">
      <c r="A98" s="14" t="s">
        <v>193</v>
      </c>
      <c r="B98" s="15" t="s">
        <v>194</v>
      </c>
      <c r="C98" s="16">
        <f>300.84/(1+B2)</f>
        <v>300.83999999999997</v>
      </c>
      <c r="D98" s="17"/>
      <c r="E98" s="17" t="s">
        <v>11</v>
      </c>
      <c r="F98" s="18"/>
      <c r="G98" s="36" t="str">
        <f>IF(ISNUMBER(F98),C98*F98,"")</f>
        <v/>
      </c>
    </row>
    <row r="99" spans="1:7" ht="12" customHeight="1" outlineLevel="3" x14ac:dyDescent="0.2">
      <c r="A99" s="14" t="s">
        <v>195</v>
      </c>
      <c r="B99" s="15" t="s">
        <v>196</v>
      </c>
      <c r="C99" s="16">
        <f>661.39/(1+B2)</f>
        <v>661.39</v>
      </c>
      <c r="D99" s="17" t="s">
        <v>11</v>
      </c>
      <c r="E99" s="17"/>
      <c r="F99" s="18"/>
      <c r="G99" s="36" t="str">
        <f>IF(ISNUMBER(F99),C99*F99,"")</f>
        <v/>
      </c>
    </row>
    <row r="100" spans="1:7" ht="12" customHeight="1" outlineLevel="3" x14ac:dyDescent="0.2">
      <c r="A100" s="14" t="s">
        <v>197</v>
      </c>
      <c r="B100" s="15" t="s">
        <v>198</v>
      </c>
      <c r="C100" s="19">
        <f>1239.11/(1+B2)</f>
        <v>1239.1099999999999</v>
      </c>
      <c r="D100" s="17" t="s">
        <v>11</v>
      </c>
      <c r="E100" s="17"/>
      <c r="F100" s="18"/>
      <c r="G100" s="36" t="str">
        <f>IF(ISNUMBER(F100),C100*F100,"")</f>
        <v/>
      </c>
    </row>
    <row r="101" spans="1:7" ht="12" customHeight="1" outlineLevel="3" x14ac:dyDescent="0.2">
      <c r="A101" s="14" t="s">
        <v>199</v>
      </c>
      <c r="B101" s="15" t="s">
        <v>200</v>
      </c>
      <c r="C101" s="16">
        <f>681.95/(1+B2)</f>
        <v>681.95</v>
      </c>
      <c r="D101" s="17" t="s">
        <v>11</v>
      </c>
      <c r="E101" s="17"/>
      <c r="F101" s="18"/>
      <c r="G101" s="36" t="str">
        <f>IF(ISNUMBER(F101),C101*F101,"")</f>
        <v/>
      </c>
    </row>
    <row r="102" spans="1:7" ht="12" customHeight="1" outlineLevel="3" x14ac:dyDescent="0.2">
      <c r="A102" s="14" t="s">
        <v>201</v>
      </c>
      <c r="B102" s="15" t="s">
        <v>202</v>
      </c>
      <c r="C102" s="16">
        <f>367.48/(1+B2)</f>
        <v>367.48</v>
      </c>
      <c r="D102" s="17"/>
      <c r="E102" s="17" t="s">
        <v>11</v>
      </c>
      <c r="F102" s="18"/>
      <c r="G102" s="36" t="str">
        <f>IF(ISNUMBER(F102),C102*F102,"")</f>
        <v/>
      </c>
    </row>
    <row r="103" spans="1:7" ht="12" customHeight="1" outlineLevel="3" x14ac:dyDescent="0.2">
      <c r="A103" s="14" t="s">
        <v>203</v>
      </c>
      <c r="B103" s="15" t="s">
        <v>204</v>
      </c>
      <c r="C103" s="16">
        <f>412.09/(1+B2)</f>
        <v>412.09</v>
      </c>
      <c r="D103" s="17" t="s">
        <v>11</v>
      </c>
      <c r="E103" s="17" t="s">
        <v>11</v>
      </c>
      <c r="F103" s="18"/>
      <c r="G103" s="36" t="str">
        <f>IF(ISNUMBER(F103),C103*F103,"")</f>
        <v/>
      </c>
    </row>
    <row r="104" spans="1:7" s="1" customFormat="1" ht="12.95" customHeight="1" outlineLevel="2" x14ac:dyDescent="0.2">
      <c r="A104" s="20"/>
      <c r="B104" s="21" t="s">
        <v>205</v>
      </c>
      <c r="C104" s="22"/>
      <c r="D104" s="22"/>
      <c r="E104" s="22"/>
      <c r="F104" s="22"/>
      <c r="G104" s="37"/>
    </row>
    <row r="105" spans="1:7" ht="12" customHeight="1" outlineLevel="3" x14ac:dyDescent="0.2">
      <c r="A105" s="14" t="s">
        <v>206</v>
      </c>
      <c r="B105" s="15" t="s">
        <v>207</v>
      </c>
      <c r="C105" s="19">
        <f>1104.27/(1+B2)</f>
        <v>1104.27</v>
      </c>
      <c r="D105" s="17" t="s">
        <v>11</v>
      </c>
      <c r="E105" s="17"/>
      <c r="F105" s="18"/>
      <c r="G105" s="36" t="str">
        <f>IF(ISNUMBER(F105),C105*F105,"")</f>
        <v/>
      </c>
    </row>
    <row r="106" spans="1:7" ht="12" customHeight="1" outlineLevel="3" x14ac:dyDescent="0.2">
      <c r="A106" s="14" t="s">
        <v>208</v>
      </c>
      <c r="B106" s="15" t="s">
        <v>209</v>
      </c>
      <c r="C106" s="19">
        <f>1104.31/(1+B2)</f>
        <v>1104.31</v>
      </c>
      <c r="D106" s="17" t="s">
        <v>11</v>
      </c>
      <c r="E106" s="17"/>
      <c r="F106" s="18"/>
      <c r="G106" s="36" t="str">
        <f>IF(ISNUMBER(F106),C106*F106,"")</f>
        <v/>
      </c>
    </row>
    <row r="107" spans="1:7" ht="12" customHeight="1" outlineLevel="3" x14ac:dyDescent="0.2">
      <c r="A107" s="14" t="s">
        <v>210</v>
      </c>
      <c r="B107" s="15" t="s">
        <v>211</v>
      </c>
      <c r="C107" s="19">
        <f>1104.31/(1+B2)</f>
        <v>1104.31</v>
      </c>
      <c r="D107" s="17" t="s">
        <v>11</v>
      </c>
      <c r="E107" s="17"/>
      <c r="F107" s="18"/>
      <c r="G107" s="36" t="str">
        <f>IF(ISNUMBER(F107),C107*F107,"")</f>
        <v/>
      </c>
    </row>
    <row r="108" spans="1:7" ht="12" customHeight="1" outlineLevel="3" x14ac:dyDescent="0.2">
      <c r="A108" s="14" t="s">
        <v>212</v>
      </c>
      <c r="B108" s="15" t="s">
        <v>213</v>
      </c>
      <c r="C108" s="19">
        <f>1104.31/(1+B2)</f>
        <v>1104.31</v>
      </c>
      <c r="D108" s="17"/>
      <c r="E108" s="17" t="s">
        <v>11</v>
      </c>
      <c r="F108" s="18"/>
      <c r="G108" s="36" t="str">
        <f>IF(ISNUMBER(F108),C108*F108,"")</f>
        <v/>
      </c>
    </row>
    <row r="109" spans="1:7" ht="12" customHeight="1" outlineLevel="3" x14ac:dyDescent="0.2">
      <c r="A109" s="14" t="s">
        <v>214</v>
      </c>
      <c r="B109" s="15" t="s">
        <v>215</v>
      </c>
      <c r="C109" s="19">
        <f>1104.31/(1+B2)</f>
        <v>1104.31</v>
      </c>
      <c r="D109" s="17" t="s">
        <v>11</v>
      </c>
      <c r="E109" s="17"/>
      <c r="F109" s="18"/>
      <c r="G109" s="36" t="str">
        <f>IF(ISNUMBER(F109),C109*F109,"")</f>
        <v/>
      </c>
    </row>
    <row r="110" spans="1:7" ht="12" customHeight="1" outlineLevel="3" x14ac:dyDescent="0.2">
      <c r="A110" s="14" t="s">
        <v>216</v>
      </c>
      <c r="B110" s="15" t="s">
        <v>217</v>
      </c>
      <c r="C110" s="19">
        <f>1104.31/(1+B2)</f>
        <v>1104.31</v>
      </c>
      <c r="D110" s="17" t="s">
        <v>11</v>
      </c>
      <c r="E110" s="17"/>
      <c r="F110" s="18"/>
      <c r="G110" s="36" t="str">
        <f>IF(ISNUMBER(F110),C110*F110,"")</f>
        <v/>
      </c>
    </row>
    <row r="111" spans="1:7" ht="12" customHeight="1" outlineLevel="3" x14ac:dyDescent="0.2">
      <c r="A111" s="14" t="s">
        <v>218</v>
      </c>
      <c r="B111" s="15" t="s">
        <v>219</v>
      </c>
      <c r="C111" s="19">
        <f>1104.31/(1+B2)</f>
        <v>1104.31</v>
      </c>
      <c r="D111" s="17" t="s">
        <v>11</v>
      </c>
      <c r="E111" s="17"/>
      <c r="F111" s="18"/>
      <c r="G111" s="36" t="str">
        <f>IF(ISNUMBER(F111),C111*F111,"")</f>
        <v/>
      </c>
    </row>
    <row r="112" spans="1:7" ht="12" customHeight="1" outlineLevel="3" x14ac:dyDescent="0.2">
      <c r="A112" s="14" t="s">
        <v>220</v>
      </c>
      <c r="B112" s="15" t="s">
        <v>221</v>
      </c>
      <c r="C112" s="19">
        <f>1104.31/(1+B2)</f>
        <v>1104.31</v>
      </c>
      <c r="D112" s="17" t="s">
        <v>11</v>
      </c>
      <c r="E112" s="17"/>
      <c r="F112" s="18"/>
      <c r="G112" s="36" t="str">
        <f>IF(ISNUMBER(F112),C112*F112,"")</f>
        <v/>
      </c>
    </row>
    <row r="113" spans="1:7" ht="12" customHeight="1" outlineLevel="3" x14ac:dyDescent="0.2">
      <c r="A113" s="14" t="s">
        <v>222</v>
      </c>
      <c r="B113" s="15" t="s">
        <v>223</v>
      </c>
      <c r="C113" s="19">
        <f>1104.31/(1+B2)</f>
        <v>1104.31</v>
      </c>
      <c r="D113" s="17" t="s">
        <v>11</v>
      </c>
      <c r="E113" s="17"/>
      <c r="F113" s="18"/>
      <c r="G113" s="36" t="str">
        <f>IF(ISNUMBER(F113),C113*F113,"")</f>
        <v/>
      </c>
    </row>
    <row r="114" spans="1:7" ht="12" customHeight="1" outlineLevel="3" x14ac:dyDescent="0.2">
      <c r="A114" s="14" t="s">
        <v>224</v>
      </c>
      <c r="B114" s="15" t="s">
        <v>225</v>
      </c>
      <c r="C114" s="19">
        <f>1050.8/(1+B2)</f>
        <v>1050.8</v>
      </c>
      <c r="D114" s="17" t="s">
        <v>11</v>
      </c>
      <c r="E114" s="17"/>
      <c r="F114" s="18"/>
      <c r="G114" s="36" t="str">
        <f>IF(ISNUMBER(F114),C114*F114,"")</f>
        <v/>
      </c>
    </row>
    <row r="115" spans="1:7" ht="12" customHeight="1" outlineLevel="3" x14ac:dyDescent="0.2">
      <c r="A115" s="14" t="s">
        <v>226</v>
      </c>
      <c r="B115" s="15" t="s">
        <v>227</v>
      </c>
      <c r="C115" s="19">
        <f>1050.8/(1+B2)</f>
        <v>1050.8</v>
      </c>
      <c r="D115" s="17" t="s">
        <v>11</v>
      </c>
      <c r="E115" s="17"/>
      <c r="F115" s="18"/>
      <c r="G115" s="36" t="str">
        <f>IF(ISNUMBER(F115),C115*F115,"")</f>
        <v/>
      </c>
    </row>
    <row r="116" spans="1:7" ht="12" customHeight="1" outlineLevel="3" x14ac:dyDescent="0.2">
      <c r="A116" s="14" t="s">
        <v>228</v>
      </c>
      <c r="B116" s="15" t="s">
        <v>229</v>
      </c>
      <c r="C116" s="19">
        <f>1081.21/(1+B2)</f>
        <v>1081.21</v>
      </c>
      <c r="D116" s="17" t="s">
        <v>11</v>
      </c>
      <c r="E116" s="17"/>
      <c r="F116" s="18"/>
      <c r="G116" s="36" t="str">
        <f>IF(ISNUMBER(F116),C116*F116,"")</f>
        <v/>
      </c>
    </row>
    <row r="117" spans="1:7" ht="12" customHeight="1" outlineLevel="3" x14ac:dyDescent="0.2">
      <c r="A117" s="14" t="s">
        <v>230</v>
      </c>
      <c r="B117" s="15" t="s">
        <v>231</v>
      </c>
      <c r="C117" s="19">
        <f>1081.21/(1+B2)</f>
        <v>1081.21</v>
      </c>
      <c r="D117" s="17" t="s">
        <v>11</v>
      </c>
      <c r="E117" s="17"/>
      <c r="F117" s="18"/>
      <c r="G117" s="36" t="str">
        <f>IF(ISNUMBER(F117),C117*F117,"")</f>
        <v/>
      </c>
    </row>
    <row r="118" spans="1:7" ht="12" customHeight="1" outlineLevel="3" x14ac:dyDescent="0.2">
      <c r="A118" s="14" t="s">
        <v>232</v>
      </c>
      <c r="B118" s="15" t="s">
        <v>233</v>
      </c>
      <c r="C118" s="19">
        <f>1081.21/(1+B2)</f>
        <v>1081.21</v>
      </c>
      <c r="D118" s="17" t="s">
        <v>11</v>
      </c>
      <c r="E118" s="17"/>
      <c r="F118" s="18"/>
      <c r="G118" s="36" t="str">
        <f>IF(ISNUMBER(F118),C118*F118,"")</f>
        <v/>
      </c>
    </row>
    <row r="119" spans="1:7" ht="12" customHeight="1" outlineLevel="3" x14ac:dyDescent="0.2">
      <c r="A119" s="14" t="s">
        <v>234</v>
      </c>
      <c r="B119" s="15" t="s">
        <v>235</v>
      </c>
      <c r="C119" s="19">
        <f>1081.21/(1+B2)</f>
        <v>1081.21</v>
      </c>
      <c r="D119" s="17" t="s">
        <v>11</v>
      </c>
      <c r="E119" s="17"/>
      <c r="F119" s="18"/>
      <c r="G119" s="36" t="str">
        <f>IF(ISNUMBER(F119),C119*F119,"")</f>
        <v/>
      </c>
    </row>
    <row r="120" spans="1:7" ht="12" customHeight="1" outlineLevel="3" x14ac:dyDescent="0.2">
      <c r="A120" s="14" t="s">
        <v>236</v>
      </c>
      <c r="B120" s="15" t="s">
        <v>237</v>
      </c>
      <c r="C120" s="19">
        <f>1081.21/(1+B2)</f>
        <v>1081.21</v>
      </c>
      <c r="D120" s="17"/>
      <c r="E120" s="17" t="s">
        <v>11</v>
      </c>
      <c r="F120" s="18"/>
      <c r="G120" s="36" t="str">
        <f>IF(ISNUMBER(F120),C120*F120,"")</f>
        <v/>
      </c>
    </row>
    <row r="121" spans="1:7" ht="12" customHeight="1" outlineLevel="3" x14ac:dyDescent="0.2">
      <c r="A121" s="14" t="s">
        <v>238</v>
      </c>
      <c r="B121" s="15" t="s">
        <v>239</v>
      </c>
      <c r="C121" s="19">
        <f>1081.21/(1+B2)</f>
        <v>1081.21</v>
      </c>
      <c r="D121" s="17"/>
      <c r="E121" s="17" t="s">
        <v>11</v>
      </c>
      <c r="F121" s="18"/>
      <c r="G121" s="36" t="str">
        <f>IF(ISNUMBER(F121),C121*F121,"")</f>
        <v/>
      </c>
    </row>
    <row r="122" spans="1:7" ht="12" customHeight="1" outlineLevel="3" x14ac:dyDescent="0.2">
      <c r="A122" s="14" t="s">
        <v>240</v>
      </c>
      <c r="B122" s="15" t="s">
        <v>241</v>
      </c>
      <c r="C122" s="19">
        <f>1081.21/(1+B2)</f>
        <v>1081.21</v>
      </c>
      <c r="D122" s="17"/>
      <c r="E122" s="17" t="s">
        <v>11</v>
      </c>
      <c r="F122" s="18"/>
      <c r="G122" s="36" t="str">
        <f>IF(ISNUMBER(F122),C122*F122,"")</f>
        <v/>
      </c>
    </row>
    <row r="123" spans="1:7" ht="12" customHeight="1" outlineLevel="3" x14ac:dyDescent="0.2">
      <c r="A123" s="14" t="s">
        <v>242</v>
      </c>
      <c r="B123" s="15" t="s">
        <v>243</v>
      </c>
      <c r="C123" s="19">
        <f>1081.21/(1+B2)</f>
        <v>1081.21</v>
      </c>
      <c r="D123" s="17" t="s">
        <v>11</v>
      </c>
      <c r="E123" s="17"/>
      <c r="F123" s="18"/>
      <c r="G123" s="36" t="str">
        <f>IF(ISNUMBER(F123),C123*F123,"")</f>
        <v/>
      </c>
    </row>
    <row r="124" spans="1:7" ht="12" customHeight="1" outlineLevel="3" x14ac:dyDescent="0.2">
      <c r="A124" s="14" t="s">
        <v>244</v>
      </c>
      <c r="B124" s="15" t="s">
        <v>245</v>
      </c>
      <c r="C124" s="19">
        <f>1050.8/(1+B2)</f>
        <v>1050.8</v>
      </c>
      <c r="D124" s="17" t="s">
        <v>11</v>
      </c>
      <c r="E124" s="17" t="s">
        <v>11</v>
      </c>
      <c r="F124" s="18"/>
      <c r="G124" s="36" t="str">
        <f>IF(ISNUMBER(F124),C124*F124,"")</f>
        <v/>
      </c>
    </row>
    <row r="125" spans="1:7" ht="12" customHeight="1" outlineLevel="3" x14ac:dyDescent="0.2">
      <c r="A125" s="14" t="s">
        <v>246</v>
      </c>
      <c r="B125" s="15" t="s">
        <v>247</v>
      </c>
      <c r="C125" s="19">
        <f>1081.21/(1+B2)</f>
        <v>1081.21</v>
      </c>
      <c r="D125" s="17" t="s">
        <v>11</v>
      </c>
      <c r="E125" s="17"/>
      <c r="F125" s="18"/>
      <c r="G125" s="36" t="str">
        <f>IF(ISNUMBER(F125),C125*F125,"")</f>
        <v/>
      </c>
    </row>
    <row r="126" spans="1:7" ht="12" customHeight="1" outlineLevel="3" x14ac:dyDescent="0.2">
      <c r="A126" s="14" t="s">
        <v>248</v>
      </c>
      <c r="B126" s="15" t="s">
        <v>249</v>
      </c>
      <c r="C126" s="19">
        <f>1039.03/(1+B2)</f>
        <v>1039.03</v>
      </c>
      <c r="D126" s="17" t="s">
        <v>11</v>
      </c>
      <c r="E126" s="17" t="s">
        <v>11</v>
      </c>
      <c r="F126" s="18"/>
      <c r="G126" s="36" t="str">
        <f>IF(ISNUMBER(F126),C126*F126,"")</f>
        <v/>
      </c>
    </row>
    <row r="127" spans="1:7" ht="12" customHeight="1" outlineLevel="3" x14ac:dyDescent="0.2">
      <c r="A127" s="14" t="s">
        <v>250</v>
      </c>
      <c r="B127" s="15" t="s">
        <v>251</v>
      </c>
      <c r="C127" s="19">
        <f>1039.03/(1+B2)</f>
        <v>1039.03</v>
      </c>
      <c r="D127" s="17" t="s">
        <v>11</v>
      </c>
      <c r="E127" s="17"/>
      <c r="F127" s="18"/>
      <c r="G127" s="36" t="str">
        <f>IF(ISNUMBER(F127),C127*F127,"")</f>
        <v/>
      </c>
    </row>
    <row r="128" spans="1:7" ht="12" customHeight="1" outlineLevel="3" x14ac:dyDescent="0.2">
      <c r="A128" s="14" t="s">
        <v>252</v>
      </c>
      <c r="B128" s="15" t="s">
        <v>253</v>
      </c>
      <c r="C128" s="19">
        <f>1039.03/(1+B2)</f>
        <v>1039.03</v>
      </c>
      <c r="D128" s="17" t="s">
        <v>11</v>
      </c>
      <c r="E128" s="17" t="s">
        <v>11</v>
      </c>
      <c r="F128" s="18"/>
      <c r="G128" s="36" t="str">
        <f>IF(ISNUMBER(F128),C128*F128,"")</f>
        <v/>
      </c>
    </row>
    <row r="129" spans="1:7" ht="12" customHeight="1" outlineLevel="3" x14ac:dyDescent="0.2">
      <c r="A129" s="14" t="s">
        <v>254</v>
      </c>
      <c r="B129" s="15" t="s">
        <v>255</v>
      </c>
      <c r="C129" s="19">
        <f>1038.6/(1+B2)</f>
        <v>1038.5999999999999</v>
      </c>
      <c r="D129" s="17"/>
      <c r="E129" s="17" t="s">
        <v>11</v>
      </c>
      <c r="F129" s="18"/>
      <c r="G129" s="36" t="str">
        <f>IF(ISNUMBER(F129),C129*F129,"")</f>
        <v/>
      </c>
    </row>
    <row r="130" spans="1:7" ht="12" customHeight="1" outlineLevel="3" x14ac:dyDescent="0.2">
      <c r="A130" s="14" t="s">
        <v>256</v>
      </c>
      <c r="B130" s="15" t="s">
        <v>257</v>
      </c>
      <c r="C130" s="19">
        <f>1038.6/(1+B2)</f>
        <v>1038.5999999999999</v>
      </c>
      <c r="D130" s="17" t="s">
        <v>11</v>
      </c>
      <c r="E130" s="17"/>
      <c r="F130" s="18"/>
      <c r="G130" s="36" t="str">
        <f>IF(ISNUMBER(F130),C130*F130,"")</f>
        <v/>
      </c>
    </row>
    <row r="131" spans="1:7" ht="12" customHeight="1" outlineLevel="3" x14ac:dyDescent="0.2">
      <c r="A131" s="14" t="s">
        <v>258</v>
      </c>
      <c r="B131" s="15" t="s">
        <v>259</v>
      </c>
      <c r="C131" s="19">
        <f>1038.6/(1+B2)</f>
        <v>1038.5999999999999</v>
      </c>
      <c r="D131" s="17" t="s">
        <v>11</v>
      </c>
      <c r="E131" s="17"/>
      <c r="F131" s="18"/>
      <c r="G131" s="36" t="str">
        <f>IF(ISNUMBER(F131),C131*F131,"")</f>
        <v/>
      </c>
    </row>
    <row r="132" spans="1:7" ht="12" customHeight="1" outlineLevel="3" x14ac:dyDescent="0.2">
      <c r="A132" s="14" t="s">
        <v>260</v>
      </c>
      <c r="B132" s="15" t="s">
        <v>261</v>
      </c>
      <c r="C132" s="19">
        <f>1038.6/(1+B2)</f>
        <v>1038.5999999999999</v>
      </c>
      <c r="D132" s="17" t="s">
        <v>11</v>
      </c>
      <c r="E132" s="17"/>
      <c r="F132" s="18"/>
      <c r="G132" s="36" t="str">
        <f>IF(ISNUMBER(F132),C132*F132,"")</f>
        <v/>
      </c>
    </row>
    <row r="133" spans="1:7" ht="12" customHeight="1" outlineLevel="3" x14ac:dyDescent="0.2">
      <c r="A133" s="14" t="s">
        <v>262</v>
      </c>
      <c r="B133" s="15" t="s">
        <v>263</v>
      </c>
      <c r="C133" s="19">
        <f>1038.6/(1+B2)</f>
        <v>1038.5999999999999</v>
      </c>
      <c r="D133" s="17"/>
      <c r="E133" s="17" t="s">
        <v>11</v>
      </c>
      <c r="F133" s="18"/>
      <c r="G133" s="36" t="str">
        <f>IF(ISNUMBER(F133),C133*F133,"")</f>
        <v/>
      </c>
    </row>
    <row r="134" spans="1:7" ht="12" customHeight="1" outlineLevel="3" x14ac:dyDescent="0.2">
      <c r="A134" s="14" t="s">
        <v>264</v>
      </c>
      <c r="B134" s="15" t="s">
        <v>265</v>
      </c>
      <c r="C134" s="16">
        <f>568.13/(1+B2)</f>
        <v>568.13</v>
      </c>
      <c r="D134" s="17"/>
      <c r="E134" s="17" t="s">
        <v>11</v>
      </c>
      <c r="F134" s="18"/>
      <c r="G134" s="36" t="str">
        <f>IF(ISNUMBER(F134),C134*F134,"")</f>
        <v/>
      </c>
    </row>
    <row r="135" spans="1:7" ht="12" customHeight="1" outlineLevel="3" x14ac:dyDescent="0.2">
      <c r="A135" s="14" t="s">
        <v>266</v>
      </c>
      <c r="B135" s="15" t="s">
        <v>267</v>
      </c>
      <c r="C135" s="16">
        <f>437.61/(1+B2)</f>
        <v>437.61</v>
      </c>
      <c r="D135" s="17"/>
      <c r="E135" s="17" t="s">
        <v>11</v>
      </c>
      <c r="F135" s="18"/>
      <c r="G135" s="36" t="str">
        <f>IF(ISNUMBER(F135),C135*F135,"")</f>
        <v/>
      </c>
    </row>
    <row r="136" spans="1:7" s="1" customFormat="1" ht="12.95" customHeight="1" outlineLevel="2" x14ac:dyDescent="0.2">
      <c r="A136" s="20"/>
      <c r="B136" s="21" t="s">
        <v>268</v>
      </c>
      <c r="C136" s="22"/>
      <c r="D136" s="22"/>
      <c r="E136" s="22"/>
      <c r="F136" s="22"/>
      <c r="G136" s="37"/>
    </row>
    <row r="137" spans="1:7" ht="12" customHeight="1" outlineLevel="3" x14ac:dyDescent="0.2">
      <c r="A137" s="14" t="s">
        <v>269</v>
      </c>
      <c r="B137" s="15" t="s">
        <v>270</v>
      </c>
      <c r="C137" s="19">
        <f>1563.8/(1+B2)</f>
        <v>1563.8</v>
      </c>
      <c r="D137" s="17" t="s">
        <v>11</v>
      </c>
      <c r="E137" s="17"/>
      <c r="F137" s="18"/>
      <c r="G137" s="36" t="str">
        <f>IF(ISNUMBER(F137),C137*F137,"")</f>
        <v/>
      </c>
    </row>
    <row r="138" spans="1:7" ht="12" customHeight="1" outlineLevel="3" x14ac:dyDescent="0.2">
      <c r="A138" s="14" t="s">
        <v>271</v>
      </c>
      <c r="B138" s="15" t="s">
        <v>272</v>
      </c>
      <c r="C138" s="19">
        <f>2068.99/(1+B2)</f>
        <v>2068.9899999999998</v>
      </c>
      <c r="D138" s="17" t="s">
        <v>11</v>
      </c>
      <c r="E138" s="17"/>
      <c r="F138" s="18"/>
      <c r="G138" s="36" t="str">
        <f>IF(ISNUMBER(F138),C138*F138,"")</f>
        <v/>
      </c>
    </row>
    <row r="139" spans="1:7" ht="12" customHeight="1" outlineLevel="3" x14ac:dyDescent="0.2">
      <c r="A139" s="14" t="s">
        <v>273</v>
      </c>
      <c r="B139" s="15" t="s">
        <v>274</v>
      </c>
      <c r="C139" s="19">
        <f>2029.23/(1+B2)</f>
        <v>2029.23</v>
      </c>
      <c r="D139" s="17" t="s">
        <v>11</v>
      </c>
      <c r="E139" s="17"/>
      <c r="F139" s="18"/>
      <c r="G139" s="36" t="str">
        <f>IF(ISNUMBER(F139),C139*F139,"")</f>
        <v/>
      </c>
    </row>
    <row r="140" spans="1:7" ht="12" customHeight="1" outlineLevel="3" x14ac:dyDescent="0.2">
      <c r="A140" s="14" t="s">
        <v>275</v>
      </c>
      <c r="B140" s="15" t="s">
        <v>276</v>
      </c>
      <c r="C140" s="19">
        <f>1597.71/(1+B2)</f>
        <v>1597.71</v>
      </c>
      <c r="D140" s="17"/>
      <c r="E140" s="17" t="s">
        <v>11</v>
      </c>
      <c r="F140" s="18"/>
      <c r="G140" s="36" t="str">
        <f>IF(ISNUMBER(F140),C140*F140,"")</f>
        <v/>
      </c>
    </row>
    <row r="141" spans="1:7" ht="12" customHeight="1" outlineLevel="3" x14ac:dyDescent="0.2">
      <c r="A141" s="14" t="s">
        <v>277</v>
      </c>
      <c r="B141" s="15" t="s">
        <v>278</v>
      </c>
      <c r="C141" s="19">
        <f>2113.3/(1+B2)</f>
        <v>2113.3000000000002</v>
      </c>
      <c r="D141" s="17" t="s">
        <v>11</v>
      </c>
      <c r="E141" s="17"/>
      <c r="F141" s="18"/>
      <c r="G141" s="36" t="str">
        <f>IF(ISNUMBER(F141),C141*F141,"")</f>
        <v/>
      </c>
    </row>
    <row r="142" spans="1:7" ht="12" customHeight="1" outlineLevel="3" x14ac:dyDescent="0.2">
      <c r="A142" s="14" t="s">
        <v>279</v>
      </c>
      <c r="B142" s="15" t="s">
        <v>280</v>
      </c>
      <c r="C142" s="19">
        <f>1240.63/(1+B2)</f>
        <v>1240.6300000000001</v>
      </c>
      <c r="D142" s="17" t="s">
        <v>11</v>
      </c>
      <c r="E142" s="17"/>
      <c r="F142" s="18"/>
      <c r="G142" s="36" t="str">
        <f>IF(ISNUMBER(F142),C142*F142,"")</f>
        <v/>
      </c>
    </row>
    <row r="143" spans="1:7" ht="12" customHeight="1" outlineLevel="3" x14ac:dyDescent="0.2">
      <c r="A143" s="14" t="s">
        <v>281</v>
      </c>
      <c r="B143" s="15" t="s">
        <v>282</v>
      </c>
      <c r="C143" s="19">
        <f>1624.23/(1+B2)</f>
        <v>1624.23</v>
      </c>
      <c r="D143" s="17" t="s">
        <v>11</v>
      </c>
      <c r="E143" s="17"/>
      <c r="F143" s="18"/>
      <c r="G143" s="36" t="str">
        <f>IF(ISNUMBER(F143),C143*F143,"")</f>
        <v/>
      </c>
    </row>
    <row r="144" spans="1:7" s="1" customFormat="1" ht="15.95" customHeight="1" outlineLevel="1" x14ac:dyDescent="0.25">
      <c r="A144" s="11"/>
      <c r="B144" s="12" t="s">
        <v>283</v>
      </c>
      <c r="C144" s="13"/>
      <c r="D144" s="13"/>
      <c r="E144" s="13"/>
      <c r="F144" s="13"/>
      <c r="G144" s="35"/>
    </row>
    <row r="145" spans="1:7" ht="12" customHeight="1" outlineLevel="2" x14ac:dyDescent="0.2">
      <c r="A145" s="14" t="s">
        <v>284</v>
      </c>
      <c r="B145" s="15" t="s">
        <v>285</v>
      </c>
      <c r="C145" s="19">
        <f>1342.2/(1+B2)</f>
        <v>1342.2</v>
      </c>
      <c r="D145" s="17" t="s">
        <v>11</v>
      </c>
      <c r="E145" s="17"/>
      <c r="F145" s="18"/>
      <c r="G145" s="36" t="str">
        <f>IF(ISNUMBER(F145),C145*F145,"")</f>
        <v/>
      </c>
    </row>
    <row r="146" spans="1:7" ht="12" customHeight="1" outlineLevel="2" x14ac:dyDescent="0.2">
      <c r="A146" s="14" t="s">
        <v>286</v>
      </c>
      <c r="B146" s="15" t="s">
        <v>287</v>
      </c>
      <c r="C146" s="16">
        <f>545.98/(1+B2)</f>
        <v>545.98</v>
      </c>
      <c r="D146" s="17"/>
      <c r="E146" s="17" t="s">
        <v>11</v>
      </c>
      <c r="F146" s="18"/>
      <c r="G146" s="36" t="str">
        <f>IF(ISNUMBER(F146),C146*F146,"")</f>
        <v/>
      </c>
    </row>
    <row r="147" spans="1:7" ht="12" customHeight="1" outlineLevel="2" x14ac:dyDescent="0.2">
      <c r="A147" s="14" t="s">
        <v>288</v>
      </c>
      <c r="B147" s="15" t="s">
        <v>289</v>
      </c>
      <c r="C147" s="16">
        <f>387.81/(1+B2)</f>
        <v>387.81</v>
      </c>
      <c r="D147" s="17" t="s">
        <v>11</v>
      </c>
      <c r="E147" s="17" t="s">
        <v>14</v>
      </c>
      <c r="F147" s="18"/>
      <c r="G147" s="36" t="str">
        <f>IF(ISNUMBER(F147),C147*F147,"")</f>
        <v/>
      </c>
    </row>
    <row r="148" spans="1:7" ht="12" customHeight="1" outlineLevel="2" x14ac:dyDescent="0.2">
      <c r="A148" s="14" t="s">
        <v>290</v>
      </c>
      <c r="B148" s="15" t="s">
        <v>291</v>
      </c>
      <c r="C148" s="16">
        <f>535.14/(1+B2)</f>
        <v>535.14</v>
      </c>
      <c r="D148" s="17" t="s">
        <v>11</v>
      </c>
      <c r="E148" s="17" t="s">
        <v>11</v>
      </c>
      <c r="F148" s="18"/>
      <c r="G148" s="36" t="str">
        <f>IF(ISNUMBER(F148),C148*F148,"")</f>
        <v/>
      </c>
    </row>
    <row r="149" spans="1:7" ht="12" customHeight="1" outlineLevel="2" x14ac:dyDescent="0.2">
      <c r="A149" s="14" t="s">
        <v>292</v>
      </c>
      <c r="B149" s="15" t="s">
        <v>293</v>
      </c>
      <c r="C149" s="16">
        <f>535.14/(1+B2)</f>
        <v>535.14</v>
      </c>
      <c r="D149" s="17" t="s">
        <v>11</v>
      </c>
      <c r="E149" s="17" t="s">
        <v>11</v>
      </c>
      <c r="F149" s="18"/>
      <c r="G149" s="36" t="str">
        <f>IF(ISNUMBER(F149),C149*F149,"")</f>
        <v/>
      </c>
    </row>
    <row r="150" spans="1:7" ht="12" customHeight="1" outlineLevel="2" x14ac:dyDescent="0.2">
      <c r="A150" s="14" t="s">
        <v>294</v>
      </c>
      <c r="B150" s="15" t="s">
        <v>295</v>
      </c>
      <c r="C150" s="16">
        <f>545.98/(1+B2)</f>
        <v>545.98</v>
      </c>
      <c r="D150" s="17"/>
      <c r="E150" s="17" t="s">
        <v>11</v>
      </c>
      <c r="F150" s="18"/>
      <c r="G150" s="36" t="str">
        <f>IF(ISNUMBER(F150),C150*F150,"")</f>
        <v/>
      </c>
    </row>
    <row r="151" spans="1:7" ht="12" customHeight="1" outlineLevel="2" x14ac:dyDescent="0.2">
      <c r="A151" s="14" t="s">
        <v>296</v>
      </c>
      <c r="B151" s="15" t="s">
        <v>297</v>
      </c>
      <c r="C151" s="19">
        <f>1397.45/(1+B2)</f>
        <v>1397.45</v>
      </c>
      <c r="D151" s="17" t="s">
        <v>11</v>
      </c>
      <c r="E151" s="17" t="s">
        <v>11</v>
      </c>
      <c r="F151" s="18"/>
      <c r="G151" s="36" t="str">
        <f>IF(ISNUMBER(F151),C151*F151,"")</f>
        <v/>
      </c>
    </row>
    <row r="152" spans="1:7" ht="12" customHeight="1" outlineLevel="2" x14ac:dyDescent="0.2">
      <c r="A152" s="14" t="s">
        <v>298</v>
      </c>
      <c r="B152" s="15" t="s">
        <v>299</v>
      </c>
      <c r="C152" s="19">
        <f>1397.45/(1+B2)</f>
        <v>1397.45</v>
      </c>
      <c r="D152" s="17" t="s">
        <v>14</v>
      </c>
      <c r="E152" s="17" t="s">
        <v>11</v>
      </c>
      <c r="F152" s="18"/>
      <c r="G152" s="36" t="str">
        <f>IF(ISNUMBER(F152),C152*F152,"")</f>
        <v/>
      </c>
    </row>
    <row r="153" spans="1:7" ht="12" customHeight="1" outlineLevel="2" x14ac:dyDescent="0.2">
      <c r="A153" s="14" t="s">
        <v>300</v>
      </c>
      <c r="B153" s="15" t="s">
        <v>301</v>
      </c>
      <c r="C153" s="16">
        <f>719.3/(1+B2)</f>
        <v>719.3</v>
      </c>
      <c r="D153" s="17"/>
      <c r="E153" s="17" t="s">
        <v>11</v>
      </c>
      <c r="F153" s="18"/>
      <c r="G153" s="36" t="str">
        <f>IF(ISNUMBER(F153),C153*F153,"")</f>
        <v/>
      </c>
    </row>
    <row r="154" spans="1:7" ht="12" customHeight="1" outlineLevel="2" x14ac:dyDescent="0.2">
      <c r="A154" s="14" t="s">
        <v>302</v>
      </c>
      <c r="B154" s="15" t="s">
        <v>303</v>
      </c>
      <c r="C154" s="16">
        <f>604.48/(1+B2)</f>
        <v>604.48</v>
      </c>
      <c r="D154" s="17" t="s">
        <v>11</v>
      </c>
      <c r="E154" s="17" t="s">
        <v>11</v>
      </c>
      <c r="F154" s="18"/>
      <c r="G154" s="36" t="str">
        <f>IF(ISNUMBER(F154),C154*F154,"")</f>
        <v/>
      </c>
    </row>
    <row r="155" spans="1:7" ht="12" customHeight="1" outlineLevel="2" x14ac:dyDescent="0.2">
      <c r="A155" s="14" t="s">
        <v>304</v>
      </c>
      <c r="B155" s="15" t="s">
        <v>305</v>
      </c>
      <c r="C155" s="16">
        <f>684.64/(1+B2)</f>
        <v>684.64</v>
      </c>
      <c r="D155" s="17" t="s">
        <v>14</v>
      </c>
      <c r="E155" s="17" t="s">
        <v>53</v>
      </c>
      <c r="F155" s="18"/>
      <c r="G155" s="36" t="str">
        <f>IF(ISNUMBER(F155),C155*F155,"")</f>
        <v/>
      </c>
    </row>
    <row r="156" spans="1:7" ht="12" customHeight="1" outlineLevel="2" x14ac:dyDescent="0.2">
      <c r="A156" s="14" t="s">
        <v>306</v>
      </c>
      <c r="B156" s="15" t="s">
        <v>307</v>
      </c>
      <c r="C156" s="16">
        <f>547.06/(1+B2)</f>
        <v>547.05999999999995</v>
      </c>
      <c r="D156" s="17" t="s">
        <v>14</v>
      </c>
      <c r="E156" s="17"/>
      <c r="F156" s="18"/>
      <c r="G156" s="36" t="str">
        <f>IF(ISNUMBER(F156),C156*F156,"")</f>
        <v/>
      </c>
    </row>
    <row r="157" spans="1:7" ht="12" customHeight="1" outlineLevel="2" x14ac:dyDescent="0.2">
      <c r="A157" s="14" t="s">
        <v>308</v>
      </c>
      <c r="B157" s="15" t="s">
        <v>309</v>
      </c>
      <c r="C157" s="16">
        <f>870.96/(1+B2)</f>
        <v>870.96</v>
      </c>
      <c r="D157" s="17" t="s">
        <v>11</v>
      </c>
      <c r="E157" s="17"/>
      <c r="F157" s="18"/>
      <c r="G157" s="36" t="str">
        <f>IF(ISNUMBER(F157),C157*F157,"")</f>
        <v/>
      </c>
    </row>
    <row r="158" spans="1:7" ht="12" customHeight="1" outlineLevel="2" x14ac:dyDescent="0.2">
      <c r="A158" s="14" t="s">
        <v>310</v>
      </c>
      <c r="B158" s="15" t="s">
        <v>311</v>
      </c>
      <c r="C158" s="16">
        <f>893.71/(1+B2)</f>
        <v>893.71</v>
      </c>
      <c r="D158" s="17" t="s">
        <v>14</v>
      </c>
      <c r="E158" s="17"/>
      <c r="F158" s="18"/>
      <c r="G158" s="36" t="str">
        <f>IF(ISNUMBER(F158),C158*F158,"")</f>
        <v/>
      </c>
    </row>
    <row r="159" spans="1:7" ht="12" customHeight="1" outlineLevel="2" x14ac:dyDescent="0.2">
      <c r="A159" s="14" t="s">
        <v>312</v>
      </c>
      <c r="B159" s="15" t="s">
        <v>313</v>
      </c>
      <c r="C159" s="19">
        <f>1772.28/(1+B2)</f>
        <v>1772.28</v>
      </c>
      <c r="D159" s="17" t="s">
        <v>53</v>
      </c>
      <c r="E159" s="17"/>
      <c r="F159" s="18"/>
      <c r="G159" s="36" t="str">
        <f>IF(ISNUMBER(F159),C159*F159,"")</f>
        <v/>
      </c>
    </row>
    <row r="160" spans="1:7" ht="12" customHeight="1" outlineLevel="2" x14ac:dyDescent="0.2">
      <c r="A160" s="14" t="s">
        <v>314</v>
      </c>
      <c r="B160" s="15" t="s">
        <v>315</v>
      </c>
      <c r="C160" s="19">
        <f>1012.88/(1+B2)</f>
        <v>1012.88</v>
      </c>
      <c r="D160" s="17" t="s">
        <v>11</v>
      </c>
      <c r="E160" s="17"/>
      <c r="F160" s="18"/>
      <c r="G160" s="36" t="str">
        <f>IF(ISNUMBER(F160),C160*F160,"")</f>
        <v/>
      </c>
    </row>
    <row r="161" spans="1:7" ht="12" customHeight="1" outlineLevel="2" x14ac:dyDescent="0.2">
      <c r="A161" s="14" t="s">
        <v>316</v>
      </c>
      <c r="B161" s="15" t="s">
        <v>317</v>
      </c>
      <c r="C161" s="16">
        <f>999.86/(1+B2)</f>
        <v>999.86</v>
      </c>
      <c r="D161" s="17" t="s">
        <v>14</v>
      </c>
      <c r="E161" s="17"/>
      <c r="F161" s="18"/>
      <c r="G161" s="36" t="str">
        <f>IF(ISNUMBER(F161),C161*F161,"")</f>
        <v/>
      </c>
    </row>
    <row r="162" spans="1:7" ht="12" customHeight="1" outlineLevel="2" x14ac:dyDescent="0.2">
      <c r="A162" s="14" t="s">
        <v>318</v>
      </c>
      <c r="B162" s="15" t="s">
        <v>319</v>
      </c>
      <c r="C162" s="16">
        <f>656.48/(1+B2)</f>
        <v>656.48</v>
      </c>
      <c r="D162" s="17" t="s">
        <v>11</v>
      </c>
      <c r="E162" s="17" t="s">
        <v>11</v>
      </c>
      <c r="F162" s="18"/>
      <c r="G162" s="36" t="str">
        <f>IF(ISNUMBER(F162),C162*F162,"")</f>
        <v/>
      </c>
    </row>
    <row r="163" spans="1:7" ht="12" customHeight="1" outlineLevel="2" x14ac:dyDescent="0.2">
      <c r="A163" s="14" t="s">
        <v>320</v>
      </c>
      <c r="B163" s="15" t="s">
        <v>321</v>
      </c>
      <c r="C163" s="16">
        <f>770.21/(1+B2)</f>
        <v>770.21</v>
      </c>
      <c r="D163" s="17" t="s">
        <v>11</v>
      </c>
      <c r="E163" s="17"/>
      <c r="F163" s="18"/>
      <c r="G163" s="36" t="str">
        <f>IF(ISNUMBER(F163),C163*F163,"")</f>
        <v/>
      </c>
    </row>
    <row r="164" spans="1:7" ht="12" customHeight="1" outlineLevel="2" x14ac:dyDescent="0.2">
      <c r="A164" s="14" t="s">
        <v>322</v>
      </c>
      <c r="B164" s="15" t="s">
        <v>323</v>
      </c>
      <c r="C164" s="16">
        <f>801.63/(1+B2)</f>
        <v>801.63</v>
      </c>
      <c r="D164" s="17" t="s">
        <v>11</v>
      </c>
      <c r="E164" s="17"/>
      <c r="F164" s="18"/>
      <c r="G164" s="36" t="str">
        <f>IF(ISNUMBER(F164),C164*F164,"")</f>
        <v/>
      </c>
    </row>
    <row r="165" spans="1:7" ht="12" customHeight="1" outlineLevel="2" x14ac:dyDescent="0.2">
      <c r="A165" s="14" t="s">
        <v>324</v>
      </c>
      <c r="B165" s="15" t="s">
        <v>325</v>
      </c>
      <c r="C165" s="16">
        <f>638.06/(1+B2)</f>
        <v>638.05999999999995</v>
      </c>
      <c r="D165" s="17" t="s">
        <v>14</v>
      </c>
      <c r="E165" s="17"/>
      <c r="F165" s="18"/>
      <c r="G165" s="36" t="str">
        <f>IF(ISNUMBER(F165),C165*F165,"")</f>
        <v/>
      </c>
    </row>
    <row r="166" spans="1:7" ht="12" customHeight="1" outlineLevel="2" x14ac:dyDescent="0.2">
      <c r="A166" s="14" t="s">
        <v>326</v>
      </c>
      <c r="B166" s="15" t="s">
        <v>327</v>
      </c>
      <c r="C166" s="16">
        <f>656.48/(1+B2)</f>
        <v>656.48</v>
      </c>
      <c r="D166" s="17" t="s">
        <v>14</v>
      </c>
      <c r="E166" s="17"/>
      <c r="F166" s="18"/>
      <c r="G166" s="36" t="str">
        <f>IF(ISNUMBER(F166),C166*F166,"")</f>
        <v/>
      </c>
    </row>
    <row r="167" spans="1:7" ht="24" customHeight="1" outlineLevel="2" x14ac:dyDescent="0.2">
      <c r="A167" s="14" t="s">
        <v>328</v>
      </c>
      <c r="B167" s="15" t="s">
        <v>329</v>
      </c>
      <c r="C167" s="19">
        <f>1725.68/(1+B2)</f>
        <v>1725.68</v>
      </c>
      <c r="D167" s="17" t="s">
        <v>11</v>
      </c>
      <c r="E167" s="17"/>
      <c r="F167" s="18"/>
      <c r="G167" s="36" t="str">
        <f>IF(ISNUMBER(F167),C167*F167,"")</f>
        <v/>
      </c>
    </row>
    <row r="168" spans="1:7" ht="24" customHeight="1" outlineLevel="2" x14ac:dyDescent="0.2">
      <c r="A168" s="14" t="s">
        <v>330</v>
      </c>
      <c r="B168" s="15" t="s">
        <v>331</v>
      </c>
      <c r="C168" s="19">
        <f>1829.68/(1+B2)</f>
        <v>1829.68</v>
      </c>
      <c r="D168" s="17" t="s">
        <v>11</v>
      </c>
      <c r="E168" s="17"/>
      <c r="F168" s="18"/>
      <c r="G168" s="36" t="str">
        <f>IF(ISNUMBER(F168),C168*F168,"")</f>
        <v/>
      </c>
    </row>
    <row r="169" spans="1:7" ht="12" customHeight="1" outlineLevel="2" x14ac:dyDescent="0.2">
      <c r="A169" s="14" t="s">
        <v>332</v>
      </c>
      <c r="B169" s="15" t="s">
        <v>333</v>
      </c>
      <c r="C169" s="19">
        <f>1399.6/(1+B2)</f>
        <v>1399.6</v>
      </c>
      <c r="D169" s="17" t="s">
        <v>11</v>
      </c>
      <c r="E169" s="17"/>
      <c r="F169" s="18"/>
      <c r="G169" s="36" t="str">
        <f>IF(ISNUMBER(F169),C169*F169,"")</f>
        <v/>
      </c>
    </row>
    <row r="170" spans="1:7" ht="12" customHeight="1" outlineLevel="2" x14ac:dyDescent="0.2">
      <c r="A170" s="14" t="s">
        <v>334</v>
      </c>
      <c r="B170" s="15" t="s">
        <v>335</v>
      </c>
      <c r="C170" s="16">
        <f>672.73/(1+B2)</f>
        <v>672.73</v>
      </c>
      <c r="D170" s="17" t="s">
        <v>11</v>
      </c>
      <c r="E170" s="17" t="s">
        <v>14</v>
      </c>
      <c r="F170" s="18"/>
      <c r="G170" s="36" t="str">
        <f>IF(ISNUMBER(F170),C170*F170,"")</f>
        <v/>
      </c>
    </row>
    <row r="171" spans="1:7" ht="12" customHeight="1" outlineLevel="2" x14ac:dyDescent="0.2">
      <c r="A171" s="14" t="s">
        <v>336</v>
      </c>
      <c r="B171" s="15" t="s">
        <v>337</v>
      </c>
      <c r="C171" s="16">
        <f>672.73/(1+B2)</f>
        <v>672.73</v>
      </c>
      <c r="D171" s="17"/>
      <c r="E171" s="17" t="s">
        <v>11</v>
      </c>
      <c r="F171" s="18"/>
      <c r="G171" s="36" t="str">
        <f>IF(ISNUMBER(F171),C171*F171,"")</f>
        <v/>
      </c>
    </row>
    <row r="172" spans="1:7" ht="12" customHeight="1" outlineLevel="2" x14ac:dyDescent="0.2">
      <c r="A172" s="14" t="s">
        <v>338</v>
      </c>
      <c r="B172" s="15" t="s">
        <v>339</v>
      </c>
      <c r="C172" s="19">
        <f>1012.88/(1+B2)</f>
        <v>1012.88</v>
      </c>
      <c r="D172" s="17"/>
      <c r="E172" s="17" t="s">
        <v>11</v>
      </c>
      <c r="F172" s="18"/>
      <c r="G172" s="36" t="str">
        <f>IF(ISNUMBER(F172),C172*F172,"")</f>
        <v/>
      </c>
    </row>
    <row r="173" spans="1:7" ht="12" customHeight="1" outlineLevel="2" x14ac:dyDescent="0.2">
      <c r="A173" s="14" t="s">
        <v>340</v>
      </c>
      <c r="B173" s="15" t="s">
        <v>341</v>
      </c>
      <c r="C173" s="19">
        <f>1012.88/(1+B2)</f>
        <v>1012.88</v>
      </c>
      <c r="D173" s="17" t="s">
        <v>11</v>
      </c>
      <c r="E173" s="17" t="s">
        <v>53</v>
      </c>
      <c r="F173" s="18"/>
      <c r="G173" s="36" t="str">
        <f>IF(ISNUMBER(F173),C173*F173,"")</f>
        <v/>
      </c>
    </row>
    <row r="174" spans="1:7" ht="12" customHeight="1" outlineLevel="2" x14ac:dyDescent="0.2">
      <c r="A174" s="14" t="s">
        <v>342</v>
      </c>
      <c r="B174" s="15" t="s">
        <v>343</v>
      </c>
      <c r="C174" s="19">
        <f>1012.88/(1+B2)</f>
        <v>1012.88</v>
      </c>
      <c r="D174" s="17" t="s">
        <v>53</v>
      </c>
      <c r="E174" s="17" t="s">
        <v>53</v>
      </c>
      <c r="F174" s="18"/>
      <c r="G174" s="36" t="str">
        <f>IF(ISNUMBER(F174),C174*F174,"")</f>
        <v/>
      </c>
    </row>
    <row r="175" spans="1:7" ht="12" customHeight="1" outlineLevel="2" x14ac:dyDescent="0.2">
      <c r="A175" s="14" t="s">
        <v>344</v>
      </c>
      <c r="B175" s="15" t="s">
        <v>345</v>
      </c>
      <c r="C175" s="19">
        <f>1012.88/(1+B2)</f>
        <v>1012.88</v>
      </c>
      <c r="D175" s="17" t="s">
        <v>11</v>
      </c>
      <c r="E175" s="17" t="s">
        <v>53</v>
      </c>
      <c r="F175" s="18"/>
      <c r="G175" s="36" t="str">
        <f>IF(ISNUMBER(F175),C175*F175,"")</f>
        <v/>
      </c>
    </row>
    <row r="176" spans="1:7" ht="12" customHeight="1" outlineLevel="2" x14ac:dyDescent="0.2">
      <c r="A176" s="14" t="s">
        <v>346</v>
      </c>
      <c r="B176" s="15" t="s">
        <v>347</v>
      </c>
      <c r="C176" s="19">
        <f>1017.21/(1+B2)</f>
        <v>1017.21</v>
      </c>
      <c r="D176" s="17" t="s">
        <v>14</v>
      </c>
      <c r="E176" s="17" t="s">
        <v>11</v>
      </c>
      <c r="F176" s="18"/>
      <c r="G176" s="36" t="str">
        <f>IF(ISNUMBER(F176),C176*F176,"")</f>
        <v/>
      </c>
    </row>
    <row r="177" spans="1:7" ht="12" customHeight="1" outlineLevel="2" x14ac:dyDescent="0.2">
      <c r="A177" s="14" t="s">
        <v>348</v>
      </c>
      <c r="B177" s="15" t="s">
        <v>349</v>
      </c>
      <c r="C177" s="16">
        <f>951.13/(1+B2)</f>
        <v>951.13</v>
      </c>
      <c r="D177" s="17" t="s">
        <v>11</v>
      </c>
      <c r="E177" s="17" t="s">
        <v>11</v>
      </c>
      <c r="F177" s="18"/>
      <c r="G177" s="36" t="str">
        <f>IF(ISNUMBER(F177),C177*F177,"")</f>
        <v/>
      </c>
    </row>
    <row r="178" spans="1:7" s="1" customFormat="1" ht="15.95" customHeight="1" outlineLevel="1" x14ac:dyDescent="0.25">
      <c r="A178" s="11"/>
      <c r="B178" s="12" t="s">
        <v>350</v>
      </c>
      <c r="C178" s="13"/>
      <c r="D178" s="13"/>
      <c r="E178" s="13"/>
      <c r="F178" s="13"/>
      <c r="G178" s="35"/>
    </row>
    <row r="179" spans="1:7" ht="12" customHeight="1" outlineLevel="2" x14ac:dyDescent="0.2">
      <c r="A179" s="14" t="s">
        <v>351</v>
      </c>
      <c r="B179" s="15" t="s">
        <v>352</v>
      </c>
      <c r="C179" s="16">
        <f>322.15/(1+B2)</f>
        <v>322.14999999999998</v>
      </c>
      <c r="D179" s="17" t="s">
        <v>11</v>
      </c>
      <c r="E179" s="17" t="s">
        <v>11</v>
      </c>
      <c r="F179" s="18"/>
      <c r="G179" s="36" t="str">
        <f>IF(ISNUMBER(F179),C179*F179,"")</f>
        <v/>
      </c>
    </row>
    <row r="180" spans="1:7" ht="12" customHeight="1" outlineLevel="2" x14ac:dyDescent="0.2">
      <c r="A180" s="14" t="s">
        <v>353</v>
      </c>
      <c r="B180" s="15" t="s">
        <v>354</v>
      </c>
      <c r="C180" s="16">
        <f>669.89/(1+B2)</f>
        <v>669.89</v>
      </c>
      <c r="D180" s="17" t="s">
        <v>11</v>
      </c>
      <c r="E180" s="17"/>
      <c r="F180" s="18"/>
      <c r="G180" s="36" t="str">
        <f>IF(ISNUMBER(F180),C180*F180,"")</f>
        <v/>
      </c>
    </row>
    <row r="181" spans="1:7" ht="12" customHeight="1" outlineLevel="2" x14ac:dyDescent="0.2">
      <c r="A181" s="14" t="s">
        <v>355</v>
      </c>
      <c r="B181" s="15" t="s">
        <v>356</v>
      </c>
      <c r="C181" s="16">
        <f>803.76/(1+B2)</f>
        <v>803.76</v>
      </c>
      <c r="D181" s="17"/>
      <c r="E181" s="17" t="s">
        <v>14</v>
      </c>
      <c r="F181" s="18"/>
      <c r="G181" s="36" t="str">
        <f>IF(ISNUMBER(F181),C181*F181,"")</f>
        <v/>
      </c>
    </row>
    <row r="182" spans="1:7" ht="12" customHeight="1" outlineLevel="2" x14ac:dyDescent="0.2">
      <c r="A182" s="14" t="s">
        <v>357</v>
      </c>
      <c r="B182" s="15" t="s">
        <v>358</v>
      </c>
      <c r="C182" s="19">
        <f>1820.23/(1+B2)</f>
        <v>1820.23</v>
      </c>
      <c r="D182" s="17" t="s">
        <v>11</v>
      </c>
      <c r="E182" s="17"/>
      <c r="F182" s="18"/>
      <c r="G182" s="36" t="str">
        <f>IF(ISNUMBER(F182),C182*F182,"")</f>
        <v/>
      </c>
    </row>
    <row r="183" spans="1:7" ht="12" customHeight="1" outlineLevel="2" x14ac:dyDescent="0.2">
      <c r="A183" s="14" t="s">
        <v>359</v>
      </c>
      <c r="B183" s="15" t="s">
        <v>360</v>
      </c>
      <c r="C183" s="19">
        <f>1820.23/(1+B2)</f>
        <v>1820.23</v>
      </c>
      <c r="D183" s="17"/>
      <c r="E183" s="17" t="s">
        <v>11</v>
      </c>
      <c r="F183" s="18"/>
      <c r="G183" s="36" t="str">
        <f>IF(ISNUMBER(F183),C183*F183,"")</f>
        <v/>
      </c>
    </row>
    <row r="184" spans="1:7" ht="12" customHeight="1" outlineLevel="2" x14ac:dyDescent="0.2">
      <c r="A184" s="14" t="s">
        <v>361</v>
      </c>
      <c r="B184" s="15" t="s">
        <v>362</v>
      </c>
      <c r="C184" s="19">
        <f>1324.71/(1+B2)</f>
        <v>1324.71</v>
      </c>
      <c r="D184" s="17" t="s">
        <v>11</v>
      </c>
      <c r="E184" s="17"/>
      <c r="F184" s="18"/>
      <c r="G184" s="36" t="str">
        <f>IF(ISNUMBER(F184),C184*F184,"")</f>
        <v/>
      </c>
    </row>
    <row r="185" spans="1:7" ht="12" customHeight="1" outlineLevel="2" x14ac:dyDescent="0.2">
      <c r="A185" s="14" t="s">
        <v>363</v>
      </c>
      <c r="B185" s="15" t="s">
        <v>364</v>
      </c>
      <c r="C185" s="19">
        <f>1365.28/(1+B2)</f>
        <v>1365.28</v>
      </c>
      <c r="D185" s="17" t="s">
        <v>11</v>
      </c>
      <c r="E185" s="17"/>
      <c r="F185" s="18"/>
      <c r="G185" s="36" t="str">
        <f>IF(ISNUMBER(F185),C185*F185,"")</f>
        <v/>
      </c>
    </row>
    <row r="186" spans="1:7" ht="12" customHeight="1" outlineLevel="2" x14ac:dyDescent="0.2">
      <c r="A186" s="14" t="s">
        <v>365</v>
      </c>
      <c r="B186" s="15" t="s">
        <v>366</v>
      </c>
      <c r="C186" s="19">
        <f>1371.98/(1+B2)</f>
        <v>1371.98</v>
      </c>
      <c r="D186" s="17" t="s">
        <v>11</v>
      </c>
      <c r="E186" s="17"/>
      <c r="F186" s="18"/>
      <c r="G186" s="36" t="str">
        <f>IF(ISNUMBER(F186),C186*F186,"")</f>
        <v/>
      </c>
    </row>
    <row r="187" spans="1:7" ht="12" customHeight="1" outlineLevel="2" x14ac:dyDescent="0.2">
      <c r="A187" s="14" t="s">
        <v>367</v>
      </c>
      <c r="B187" s="15" t="s">
        <v>368</v>
      </c>
      <c r="C187" s="19">
        <f>1331.21/(1+B2)</f>
        <v>1331.21</v>
      </c>
      <c r="D187" s="17" t="s">
        <v>11</v>
      </c>
      <c r="E187" s="17"/>
      <c r="F187" s="18"/>
      <c r="G187" s="36" t="str">
        <f>IF(ISNUMBER(F187),C187*F187,"")</f>
        <v/>
      </c>
    </row>
    <row r="188" spans="1:7" ht="12" customHeight="1" outlineLevel="2" x14ac:dyDescent="0.2">
      <c r="A188" s="14" t="s">
        <v>369</v>
      </c>
      <c r="B188" s="15" t="s">
        <v>370</v>
      </c>
      <c r="C188" s="19">
        <f>1469.78/(1+B2)</f>
        <v>1469.78</v>
      </c>
      <c r="D188" s="17" t="s">
        <v>11</v>
      </c>
      <c r="E188" s="17"/>
      <c r="F188" s="18"/>
      <c r="G188" s="36" t="str">
        <f>IF(ISNUMBER(F188),C188*F188,"")</f>
        <v/>
      </c>
    </row>
    <row r="189" spans="1:7" ht="12" customHeight="1" outlineLevel="2" x14ac:dyDescent="0.2">
      <c r="A189" s="14" t="s">
        <v>371</v>
      </c>
      <c r="B189" s="15" t="s">
        <v>372</v>
      </c>
      <c r="C189" s="19">
        <f>1469.78/(1+B2)</f>
        <v>1469.78</v>
      </c>
      <c r="D189" s="17" t="s">
        <v>11</v>
      </c>
      <c r="E189" s="17"/>
      <c r="F189" s="18"/>
      <c r="G189" s="36" t="str">
        <f>IF(ISNUMBER(F189),C189*F189,"")</f>
        <v/>
      </c>
    </row>
    <row r="190" spans="1:7" ht="12" customHeight="1" outlineLevel="2" x14ac:dyDescent="0.2">
      <c r="A190" s="14" t="s">
        <v>373</v>
      </c>
      <c r="B190" s="15" t="s">
        <v>374</v>
      </c>
      <c r="C190" s="19">
        <f>1798.49/(1+B2)</f>
        <v>1798.49</v>
      </c>
      <c r="D190" s="17" t="s">
        <v>11</v>
      </c>
      <c r="E190" s="17"/>
      <c r="F190" s="18"/>
      <c r="G190" s="36" t="str">
        <f>IF(ISNUMBER(F190),C190*F190,"")</f>
        <v/>
      </c>
    </row>
    <row r="191" spans="1:7" ht="12" customHeight="1" outlineLevel="2" x14ac:dyDescent="0.2">
      <c r="A191" s="14" t="s">
        <v>375</v>
      </c>
      <c r="B191" s="15" t="s">
        <v>376</v>
      </c>
      <c r="C191" s="19">
        <f>1789.73/(1+B2)</f>
        <v>1789.73</v>
      </c>
      <c r="D191" s="17" t="s">
        <v>11</v>
      </c>
      <c r="E191" s="17"/>
      <c r="F191" s="18"/>
      <c r="G191" s="36" t="str">
        <f>IF(ISNUMBER(F191),C191*F191,"")</f>
        <v/>
      </c>
    </row>
    <row r="192" spans="1:7" ht="12" customHeight="1" outlineLevel="2" x14ac:dyDescent="0.2">
      <c r="A192" s="14" t="s">
        <v>377</v>
      </c>
      <c r="B192" s="15" t="s">
        <v>378</v>
      </c>
      <c r="C192" s="16">
        <f>725.1/(1+B2)</f>
        <v>725.1</v>
      </c>
      <c r="D192" s="17" t="s">
        <v>11</v>
      </c>
      <c r="E192" s="17" t="s">
        <v>11</v>
      </c>
      <c r="F192" s="18"/>
      <c r="G192" s="36" t="str">
        <f>IF(ISNUMBER(F192),C192*F192,"")</f>
        <v/>
      </c>
    </row>
    <row r="193" spans="1:7" ht="12" customHeight="1" outlineLevel="2" x14ac:dyDescent="0.2">
      <c r="A193" s="14" t="s">
        <v>379</v>
      </c>
      <c r="B193" s="15" t="s">
        <v>380</v>
      </c>
      <c r="C193" s="16">
        <f>725.1/(1+B2)</f>
        <v>725.1</v>
      </c>
      <c r="D193" s="17" t="s">
        <v>11</v>
      </c>
      <c r="E193" s="17" t="s">
        <v>11</v>
      </c>
      <c r="F193" s="18"/>
      <c r="G193" s="36" t="str">
        <f>IF(ISNUMBER(F193),C193*F193,"")</f>
        <v/>
      </c>
    </row>
    <row r="194" spans="1:7" ht="12" customHeight="1" outlineLevel="2" x14ac:dyDescent="0.2">
      <c r="A194" s="14" t="s">
        <v>381</v>
      </c>
      <c r="B194" s="15" t="s">
        <v>382</v>
      </c>
      <c r="C194" s="16">
        <f>725.1/(1+B2)</f>
        <v>725.1</v>
      </c>
      <c r="D194" s="17" t="s">
        <v>11</v>
      </c>
      <c r="E194" s="17" t="s">
        <v>11</v>
      </c>
      <c r="F194" s="18"/>
      <c r="G194" s="36" t="str">
        <f>IF(ISNUMBER(F194),C194*F194,"")</f>
        <v/>
      </c>
    </row>
    <row r="195" spans="1:7" ht="12" customHeight="1" outlineLevel="2" x14ac:dyDescent="0.2">
      <c r="A195" s="14" t="s">
        <v>383</v>
      </c>
      <c r="B195" s="15" t="s">
        <v>384</v>
      </c>
      <c r="C195" s="16">
        <f>725.1/(1+B2)</f>
        <v>725.1</v>
      </c>
      <c r="D195" s="17" t="s">
        <v>11</v>
      </c>
      <c r="E195" s="17" t="s">
        <v>11</v>
      </c>
      <c r="F195" s="18"/>
      <c r="G195" s="36" t="str">
        <f>IF(ISNUMBER(F195),C195*F195,"")</f>
        <v/>
      </c>
    </row>
    <row r="196" spans="1:7" ht="12" customHeight="1" outlineLevel="2" x14ac:dyDescent="0.2">
      <c r="A196" s="14" t="s">
        <v>385</v>
      </c>
      <c r="B196" s="15" t="s">
        <v>386</v>
      </c>
      <c r="C196" s="16">
        <f>725.1/(1+B2)</f>
        <v>725.1</v>
      </c>
      <c r="D196" s="17"/>
      <c r="E196" s="17" t="s">
        <v>11</v>
      </c>
      <c r="F196" s="18"/>
      <c r="G196" s="36" t="str">
        <f>IF(ISNUMBER(F196),C196*F196,"")</f>
        <v/>
      </c>
    </row>
    <row r="197" spans="1:7" ht="12" customHeight="1" outlineLevel="2" x14ac:dyDescent="0.2">
      <c r="A197" s="14" t="s">
        <v>387</v>
      </c>
      <c r="B197" s="15" t="s">
        <v>388</v>
      </c>
      <c r="C197" s="16">
        <f>725.1/(1+B2)</f>
        <v>725.1</v>
      </c>
      <c r="D197" s="17" t="s">
        <v>11</v>
      </c>
      <c r="E197" s="17"/>
      <c r="F197" s="18"/>
      <c r="G197" s="36" t="str">
        <f>IF(ISNUMBER(F197),C197*F197,"")</f>
        <v/>
      </c>
    </row>
    <row r="198" spans="1:7" ht="12" customHeight="1" outlineLevel="2" x14ac:dyDescent="0.2">
      <c r="A198" s="14" t="s">
        <v>389</v>
      </c>
      <c r="B198" s="15" t="s">
        <v>390</v>
      </c>
      <c r="C198" s="16">
        <f>725.1/(1+B2)</f>
        <v>725.1</v>
      </c>
      <c r="D198" s="17" t="s">
        <v>11</v>
      </c>
      <c r="E198" s="17" t="s">
        <v>11</v>
      </c>
      <c r="F198" s="18"/>
      <c r="G198" s="36" t="str">
        <f>IF(ISNUMBER(F198),C198*F198,"")</f>
        <v/>
      </c>
    </row>
    <row r="199" spans="1:7" ht="12" customHeight="1" outlineLevel="2" x14ac:dyDescent="0.2">
      <c r="A199" s="14" t="s">
        <v>391</v>
      </c>
      <c r="B199" s="15" t="s">
        <v>392</v>
      </c>
      <c r="C199" s="16">
        <f>848.61/(1+B2)</f>
        <v>848.61</v>
      </c>
      <c r="D199" s="17" t="s">
        <v>11</v>
      </c>
      <c r="E199" s="17"/>
      <c r="F199" s="18"/>
      <c r="G199" s="36" t="str">
        <f>IF(ISNUMBER(F199),C199*F199,"")</f>
        <v/>
      </c>
    </row>
    <row r="200" spans="1:7" ht="12" customHeight="1" outlineLevel="2" x14ac:dyDescent="0.2">
      <c r="A200" s="14" t="s">
        <v>393</v>
      </c>
      <c r="B200" s="15" t="s">
        <v>394</v>
      </c>
      <c r="C200" s="16">
        <f>848.61/(1+B2)</f>
        <v>848.61</v>
      </c>
      <c r="D200" s="17" t="s">
        <v>11</v>
      </c>
      <c r="E200" s="17"/>
      <c r="F200" s="18"/>
      <c r="G200" s="36" t="str">
        <f>IF(ISNUMBER(F200),C200*F200,"")</f>
        <v/>
      </c>
    </row>
    <row r="201" spans="1:7" ht="12" customHeight="1" outlineLevel="2" x14ac:dyDescent="0.2">
      <c r="A201" s="14" t="s">
        <v>395</v>
      </c>
      <c r="B201" s="15" t="s">
        <v>396</v>
      </c>
      <c r="C201" s="16">
        <f>848.61/(1+B2)</f>
        <v>848.61</v>
      </c>
      <c r="D201" s="17" t="s">
        <v>11</v>
      </c>
      <c r="E201" s="17"/>
      <c r="F201" s="18"/>
      <c r="G201" s="36" t="str">
        <f>IF(ISNUMBER(F201),C201*F201,"")</f>
        <v/>
      </c>
    </row>
    <row r="202" spans="1:7" ht="12" customHeight="1" outlineLevel="2" x14ac:dyDescent="0.2">
      <c r="A202" s="14" t="s">
        <v>397</v>
      </c>
      <c r="B202" s="15" t="s">
        <v>398</v>
      </c>
      <c r="C202" s="16">
        <f>848.61/(1+B2)</f>
        <v>848.61</v>
      </c>
      <c r="D202" s="17" t="s">
        <v>11</v>
      </c>
      <c r="E202" s="17"/>
      <c r="F202" s="18"/>
      <c r="G202" s="36" t="str">
        <f>IF(ISNUMBER(F202),C202*F202,"")</f>
        <v/>
      </c>
    </row>
    <row r="203" spans="1:7" ht="12" customHeight="1" outlineLevel="2" x14ac:dyDescent="0.2">
      <c r="A203" s="14" t="s">
        <v>399</v>
      </c>
      <c r="B203" s="15" t="s">
        <v>400</v>
      </c>
      <c r="C203" s="16">
        <f>848.61/(1+B2)</f>
        <v>848.61</v>
      </c>
      <c r="D203" s="17" t="s">
        <v>11</v>
      </c>
      <c r="E203" s="17"/>
      <c r="F203" s="18"/>
      <c r="G203" s="36" t="str">
        <f>IF(ISNUMBER(F203),C203*F203,"")</f>
        <v/>
      </c>
    </row>
    <row r="204" spans="1:7" ht="12" customHeight="1" outlineLevel="2" x14ac:dyDescent="0.2">
      <c r="A204" s="14" t="s">
        <v>401</v>
      </c>
      <c r="B204" s="15" t="s">
        <v>402</v>
      </c>
      <c r="C204" s="16">
        <f>829.8/(1+B2)</f>
        <v>829.8</v>
      </c>
      <c r="D204" s="17"/>
      <c r="E204" s="17" t="s">
        <v>11</v>
      </c>
      <c r="F204" s="18"/>
      <c r="G204" s="36" t="str">
        <f>IF(ISNUMBER(F204),C204*F204,"")</f>
        <v/>
      </c>
    </row>
    <row r="205" spans="1:7" ht="12" customHeight="1" outlineLevel="2" x14ac:dyDescent="0.2">
      <c r="A205" s="14" t="s">
        <v>403</v>
      </c>
      <c r="B205" s="15" t="s">
        <v>404</v>
      </c>
      <c r="C205" s="16">
        <f>829.8/(1+B2)</f>
        <v>829.8</v>
      </c>
      <c r="D205" s="17" t="s">
        <v>11</v>
      </c>
      <c r="E205" s="17"/>
      <c r="F205" s="18"/>
      <c r="G205" s="36" t="str">
        <f>IF(ISNUMBER(F205),C205*F205,"")</f>
        <v/>
      </c>
    </row>
    <row r="206" spans="1:7" ht="12" customHeight="1" outlineLevel="2" x14ac:dyDescent="0.2">
      <c r="A206" s="14" t="s">
        <v>405</v>
      </c>
      <c r="B206" s="15" t="s">
        <v>406</v>
      </c>
      <c r="C206" s="16">
        <f>771.96/(1+B2)</f>
        <v>771.96</v>
      </c>
      <c r="D206" s="17"/>
      <c r="E206" s="17" t="s">
        <v>11</v>
      </c>
      <c r="F206" s="18"/>
      <c r="G206" s="36" t="str">
        <f>IF(ISNUMBER(F206),C206*F206,"")</f>
        <v/>
      </c>
    </row>
    <row r="207" spans="1:7" ht="12" customHeight="1" outlineLevel="2" x14ac:dyDescent="0.2">
      <c r="A207" s="14" t="s">
        <v>407</v>
      </c>
      <c r="B207" s="15" t="s">
        <v>408</v>
      </c>
      <c r="C207" s="16">
        <f>771.96/(1+B2)</f>
        <v>771.96</v>
      </c>
      <c r="D207" s="17" t="s">
        <v>11</v>
      </c>
      <c r="E207" s="17"/>
      <c r="F207" s="18"/>
      <c r="G207" s="36" t="str">
        <f>IF(ISNUMBER(F207),C207*F207,"")</f>
        <v/>
      </c>
    </row>
    <row r="208" spans="1:7" ht="12" customHeight="1" outlineLevel="2" x14ac:dyDescent="0.2">
      <c r="A208" s="14" t="s">
        <v>409</v>
      </c>
      <c r="B208" s="15" t="s">
        <v>410</v>
      </c>
      <c r="C208" s="16">
        <f>771.96/(1+B2)</f>
        <v>771.96</v>
      </c>
      <c r="D208" s="17" t="s">
        <v>11</v>
      </c>
      <c r="E208" s="17"/>
      <c r="F208" s="18"/>
      <c r="G208" s="36" t="str">
        <f>IF(ISNUMBER(F208),C208*F208,"")</f>
        <v/>
      </c>
    </row>
    <row r="209" spans="1:7" ht="12" customHeight="1" outlineLevel="2" x14ac:dyDescent="0.2">
      <c r="A209" s="14" t="s">
        <v>411</v>
      </c>
      <c r="B209" s="15" t="s">
        <v>412</v>
      </c>
      <c r="C209" s="16">
        <f>792.34/(1+B2)</f>
        <v>792.34</v>
      </c>
      <c r="D209" s="17" t="s">
        <v>11</v>
      </c>
      <c r="E209" s="17"/>
      <c r="F209" s="18"/>
      <c r="G209" s="36" t="str">
        <f>IF(ISNUMBER(F209),C209*F209,"")</f>
        <v/>
      </c>
    </row>
    <row r="210" spans="1:7" ht="12" customHeight="1" outlineLevel="2" x14ac:dyDescent="0.2">
      <c r="A210" s="14" t="s">
        <v>413</v>
      </c>
      <c r="B210" s="15" t="s">
        <v>414</v>
      </c>
      <c r="C210" s="16">
        <f>873.18/(1+B2)</f>
        <v>873.18</v>
      </c>
      <c r="D210" s="17" t="s">
        <v>11</v>
      </c>
      <c r="E210" s="17"/>
      <c r="F210" s="18"/>
      <c r="G210" s="36" t="str">
        <f>IF(ISNUMBER(F210),C210*F210,"")</f>
        <v/>
      </c>
    </row>
    <row r="211" spans="1:7" ht="12" customHeight="1" outlineLevel="2" x14ac:dyDescent="0.2">
      <c r="A211" s="14" t="s">
        <v>415</v>
      </c>
      <c r="B211" s="15" t="s">
        <v>416</v>
      </c>
      <c r="C211" s="16">
        <f>873.18/(1+B2)</f>
        <v>873.18</v>
      </c>
      <c r="D211" s="17"/>
      <c r="E211" s="17" t="s">
        <v>11</v>
      </c>
      <c r="F211" s="18"/>
      <c r="G211" s="36" t="str">
        <f>IF(ISNUMBER(F211),C211*F211,"")</f>
        <v/>
      </c>
    </row>
    <row r="212" spans="1:7" ht="12" customHeight="1" outlineLevel="2" x14ac:dyDescent="0.2">
      <c r="A212" s="14" t="s">
        <v>417</v>
      </c>
      <c r="B212" s="15" t="s">
        <v>418</v>
      </c>
      <c r="C212" s="19">
        <f>1155.65/(1+B2)</f>
        <v>1155.6500000000001</v>
      </c>
      <c r="D212" s="17" t="s">
        <v>11</v>
      </c>
      <c r="E212" s="17"/>
      <c r="F212" s="18"/>
      <c r="G212" s="36" t="str">
        <f>IF(ISNUMBER(F212),C212*F212,"")</f>
        <v/>
      </c>
    </row>
    <row r="213" spans="1:7" ht="12" customHeight="1" outlineLevel="2" x14ac:dyDescent="0.2">
      <c r="A213" s="14" t="s">
        <v>419</v>
      </c>
      <c r="B213" s="15" t="s">
        <v>420</v>
      </c>
      <c r="C213" s="19">
        <f>1155.65/(1+B2)</f>
        <v>1155.6500000000001</v>
      </c>
      <c r="D213" s="17"/>
      <c r="E213" s="17" t="s">
        <v>11</v>
      </c>
      <c r="F213" s="18"/>
      <c r="G213" s="36" t="str">
        <f>IF(ISNUMBER(F213),C213*F213,"")</f>
        <v/>
      </c>
    </row>
    <row r="214" spans="1:7" ht="12" customHeight="1" outlineLevel="2" x14ac:dyDescent="0.2">
      <c r="A214" s="14" t="s">
        <v>421</v>
      </c>
      <c r="B214" s="15" t="s">
        <v>422</v>
      </c>
      <c r="C214" s="16">
        <f>565.66/(1+B2)</f>
        <v>565.66</v>
      </c>
      <c r="D214" s="17" t="s">
        <v>11</v>
      </c>
      <c r="E214" s="17"/>
      <c r="F214" s="18"/>
      <c r="G214" s="36" t="str">
        <f>IF(ISNUMBER(F214),C214*F214,"")</f>
        <v/>
      </c>
    </row>
    <row r="215" spans="1:7" ht="12" customHeight="1" outlineLevel="2" x14ac:dyDescent="0.2">
      <c r="A215" s="14" t="s">
        <v>423</v>
      </c>
      <c r="B215" s="15" t="s">
        <v>424</v>
      </c>
      <c r="C215" s="19">
        <f>1001.01/(1+B2)</f>
        <v>1001.01</v>
      </c>
      <c r="D215" s="17" t="s">
        <v>11</v>
      </c>
      <c r="E215" s="17" t="s">
        <v>14</v>
      </c>
      <c r="F215" s="18"/>
      <c r="G215" s="36" t="str">
        <f>IF(ISNUMBER(F215),C215*F215,"")</f>
        <v/>
      </c>
    </row>
    <row r="216" spans="1:7" ht="12" customHeight="1" outlineLevel="2" x14ac:dyDescent="0.2">
      <c r="A216" s="14" t="s">
        <v>425</v>
      </c>
      <c r="B216" s="15" t="s">
        <v>426</v>
      </c>
      <c r="C216" s="19">
        <f>1144/(1+B2)</f>
        <v>1144</v>
      </c>
      <c r="D216" s="17" t="s">
        <v>11</v>
      </c>
      <c r="E216" s="17" t="s">
        <v>14</v>
      </c>
      <c r="F216" s="18"/>
      <c r="G216" s="36" t="str">
        <f>IF(ISNUMBER(F216),C216*F216,"")</f>
        <v/>
      </c>
    </row>
    <row r="217" spans="1:7" ht="12" customHeight="1" outlineLevel="2" x14ac:dyDescent="0.2">
      <c r="A217" s="14" t="s">
        <v>427</v>
      </c>
      <c r="B217" s="15" t="s">
        <v>428</v>
      </c>
      <c r="C217" s="16">
        <f>748.44/(1+B2)</f>
        <v>748.44</v>
      </c>
      <c r="D217" s="17" t="s">
        <v>11</v>
      </c>
      <c r="E217" s="17"/>
      <c r="F217" s="18"/>
      <c r="G217" s="36" t="str">
        <f>IF(ISNUMBER(F217),C217*F217,"")</f>
        <v/>
      </c>
    </row>
    <row r="218" spans="1:7" ht="12" customHeight="1" outlineLevel="2" x14ac:dyDescent="0.2">
      <c r="A218" s="14" t="s">
        <v>429</v>
      </c>
      <c r="B218" s="15" t="s">
        <v>430</v>
      </c>
      <c r="C218" s="16">
        <f>850.41/(1+B2)</f>
        <v>850.41</v>
      </c>
      <c r="D218" s="17"/>
      <c r="E218" s="17" t="s">
        <v>11</v>
      </c>
      <c r="F218" s="18"/>
      <c r="G218" s="36" t="str">
        <f>IF(ISNUMBER(F218),C218*F218,"")</f>
        <v/>
      </c>
    </row>
    <row r="219" spans="1:7" ht="12" customHeight="1" outlineLevel="2" x14ac:dyDescent="0.2">
      <c r="A219" s="14" t="s">
        <v>431</v>
      </c>
      <c r="B219" s="15" t="s">
        <v>432</v>
      </c>
      <c r="C219" s="16">
        <f>835.38/(1+B2)</f>
        <v>835.38</v>
      </c>
      <c r="D219" s="17" t="s">
        <v>11</v>
      </c>
      <c r="E219" s="17" t="s">
        <v>11</v>
      </c>
      <c r="F219" s="18"/>
      <c r="G219" s="36" t="str">
        <f>IF(ISNUMBER(F219),C219*F219,"")</f>
        <v/>
      </c>
    </row>
    <row r="220" spans="1:7" ht="12" customHeight="1" outlineLevel="2" x14ac:dyDescent="0.2">
      <c r="A220" s="14" t="s">
        <v>433</v>
      </c>
      <c r="B220" s="15" t="s">
        <v>434</v>
      </c>
      <c r="C220" s="16">
        <f>779.69/(1+B2)</f>
        <v>779.69</v>
      </c>
      <c r="D220" s="17"/>
      <c r="E220" s="17" t="s">
        <v>11</v>
      </c>
      <c r="F220" s="18"/>
      <c r="G220" s="36" t="str">
        <f>IF(ISNUMBER(F220),C220*F220,"")</f>
        <v/>
      </c>
    </row>
    <row r="221" spans="1:7" ht="12" customHeight="1" outlineLevel="2" x14ac:dyDescent="0.2">
      <c r="A221" s="14" t="s">
        <v>435</v>
      </c>
      <c r="B221" s="15" t="s">
        <v>436</v>
      </c>
      <c r="C221" s="19">
        <f>1424.69/(1+B2)</f>
        <v>1424.69</v>
      </c>
      <c r="D221" s="17" t="s">
        <v>11</v>
      </c>
      <c r="E221" s="17"/>
      <c r="F221" s="18"/>
      <c r="G221" s="36" t="str">
        <f>IF(ISNUMBER(F221),C221*F221,"")</f>
        <v/>
      </c>
    </row>
    <row r="222" spans="1:7" s="1" customFormat="1" ht="15.95" customHeight="1" outlineLevel="1" x14ac:dyDescent="0.25">
      <c r="A222" s="11"/>
      <c r="B222" s="12" t="s">
        <v>437</v>
      </c>
      <c r="C222" s="13"/>
      <c r="D222" s="13"/>
      <c r="E222" s="13"/>
      <c r="F222" s="13"/>
      <c r="G222" s="35"/>
    </row>
    <row r="223" spans="1:7" ht="12" customHeight="1" outlineLevel="2" x14ac:dyDescent="0.2">
      <c r="A223" s="14" t="s">
        <v>438</v>
      </c>
      <c r="B223" s="15" t="s">
        <v>439</v>
      </c>
      <c r="C223" s="16">
        <f>195.54/(1+B2)</f>
        <v>195.54</v>
      </c>
      <c r="D223" s="17" t="s">
        <v>11</v>
      </c>
      <c r="E223" s="17"/>
      <c r="F223" s="18"/>
      <c r="G223" s="36" t="str">
        <f>IF(ISNUMBER(F223),C223*F223,"")</f>
        <v/>
      </c>
    </row>
    <row r="224" spans="1:7" ht="12" customHeight="1" outlineLevel="2" x14ac:dyDescent="0.2">
      <c r="A224" s="14" t="s">
        <v>440</v>
      </c>
      <c r="B224" s="15" t="s">
        <v>441</v>
      </c>
      <c r="C224" s="19">
        <f>1264.75/(1+B2)</f>
        <v>1264.75</v>
      </c>
      <c r="D224" s="17" t="s">
        <v>11</v>
      </c>
      <c r="E224" s="17"/>
      <c r="F224" s="18"/>
      <c r="G224" s="36" t="str">
        <f>IF(ISNUMBER(F224),C224*F224,"")</f>
        <v/>
      </c>
    </row>
    <row r="225" spans="1:7" ht="12" customHeight="1" outlineLevel="2" x14ac:dyDescent="0.2">
      <c r="A225" s="14" t="s">
        <v>442</v>
      </c>
      <c r="B225" s="15" t="s">
        <v>443</v>
      </c>
      <c r="C225" s="19">
        <f>1176/(1+B2)</f>
        <v>1176</v>
      </c>
      <c r="D225" s="17" t="s">
        <v>11</v>
      </c>
      <c r="E225" s="17"/>
      <c r="F225" s="18"/>
      <c r="G225" s="36" t="str">
        <f>IF(ISNUMBER(F225),C225*F225,"")</f>
        <v/>
      </c>
    </row>
    <row r="226" spans="1:7" ht="12" customHeight="1" outlineLevel="2" x14ac:dyDescent="0.2">
      <c r="A226" s="14" t="s">
        <v>444</v>
      </c>
      <c r="B226" s="15" t="s">
        <v>445</v>
      </c>
      <c r="C226" s="19">
        <f>1802.34/(1+B2)</f>
        <v>1802.34</v>
      </c>
      <c r="D226" s="17" t="s">
        <v>11</v>
      </c>
      <c r="E226" s="17" t="s">
        <v>11</v>
      </c>
      <c r="F226" s="18"/>
      <c r="G226" s="36" t="str">
        <f>IF(ISNUMBER(F226),C226*F226,"")</f>
        <v/>
      </c>
    </row>
    <row r="227" spans="1:7" ht="12" customHeight="1" outlineLevel="2" x14ac:dyDescent="0.2">
      <c r="A227" s="14" t="s">
        <v>446</v>
      </c>
      <c r="B227" s="15" t="s">
        <v>447</v>
      </c>
      <c r="C227" s="19">
        <f>1775.84/(1+B2)</f>
        <v>1775.84</v>
      </c>
      <c r="D227" s="17" t="s">
        <v>11</v>
      </c>
      <c r="E227" s="17"/>
      <c r="F227" s="18"/>
      <c r="G227" s="36" t="str">
        <f>IF(ISNUMBER(F227),C227*F227,"")</f>
        <v/>
      </c>
    </row>
    <row r="228" spans="1:7" ht="12" customHeight="1" outlineLevel="2" x14ac:dyDescent="0.2">
      <c r="A228" s="14" t="s">
        <v>448</v>
      </c>
      <c r="B228" s="15" t="s">
        <v>449</v>
      </c>
      <c r="C228" s="19">
        <f>1855.35/(1+B2)</f>
        <v>1855.35</v>
      </c>
      <c r="D228" s="17"/>
      <c r="E228" s="17" t="s">
        <v>11</v>
      </c>
      <c r="F228" s="18"/>
      <c r="G228" s="36" t="str">
        <f>IF(ISNUMBER(F228),C228*F228,"")</f>
        <v/>
      </c>
    </row>
    <row r="229" spans="1:7" ht="12" customHeight="1" outlineLevel="2" x14ac:dyDescent="0.2">
      <c r="A229" s="14" t="s">
        <v>450</v>
      </c>
      <c r="B229" s="15" t="s">
        <v>451</v>
      </c>
      <c r="C229" s="19">
        <f>1987.88/(1+B2)</f>
        <v>1987.88</v>
      </c>
      <c r="D229" s="17" t="s">
        <v>11</v>
      </c>
      <c r="E229" s="17"/>
      <c r="F229" s="18"/>
      <c r="G229" s="36" t="str">
        <f>IF(ISNUMBER(F229),C229*F229,"")</f>
        <v/>
      </c>
    </row>
    <row r="230" spans="1:7" ht="12" customHeight="1" outlineLevel="2" x14ac:dyDescent="0.2">
      <c r="A230" s="14" t="s">
        <v>452</v>
      </c>
      <c r="B230" s="15" t="s">
        <v>453</v>
      </c>
      <c r="C230" s="19">
        <f>1948.11/(1+B2)</f>
        <v>1948.11</v>
      </c>
      <c r="D230" s="17" t="s">
        <v>11</v>
      </c>
      <c r="E230" s="17"/>
      <c r="F230" s="18"/>
      <c r="G230" s="36" t="str">
        <f>IF(ISNUMBER(F230),C230*F230,"")</f>
        <v/>
      </c>
    </row>
    <row r="231" spans="1:7" ht="12" customHeight="1" outlineLevel="2" x14ac:dyDescent="0.2">
      <c r="A231" s="14" t="s">
        <v>454</v>
      </c>
      <c r="B231" s="15" t="s">
        <v>455</v>
      </c>
      <c r="C231" s="19">
        <f>1870.19/(1+B2)</f>
        <v>1870.19</v>
      </c>
      <c r="D231" s="17" t="s">
        <v>11</v>
      </c>
      <c r="E231" s="17"/>
      <c r="F231" s="18"/>
      <c r="G231" s="36" t="str">
        <f>IF(ISNUMBER(F231),C231*F231,"")</f>
        <v/>
      </c>
    </row>
    <row r="232" spans="1:7" ht="12" customHeight="1" outlineLevel="2" x14ac:dyDescent="0.2">
      <c r="A232" s="14" t="s">
        <v>456</v>
      </c>
      <c r="B232" s="15" t="s">
        <v>457</v>
      </c>
      <c r="C232" s="19">
        <f>2120.4/(1+B2)</f>
        <v>2120.4</v>
      </c>
      <c r="D232" s="17" t="s">
        <v>11</v>
      </c>
      <c r="E232" s="17"/>
      <c r="F232" s="18"/>
      <c r="G232" s="36" t="str">
        <f>IF(ISNUMBER(F232),C232*F232,"")</f>
        <v/>
      </c>
    </row>
    <row r="233" spans="1:7" ht="12" customHeight="1" outlineLevel="2" x14ac:dyDescent="0.2">
      <c r="A233" s="14" t="s">
        <v>458</v>
      </c>
      <c r="B233" s="15" t="s">
        <v>459</v>
      </c>
      <c r="C233" s="19">
        <f>1825.59/(1+B2)</f>
        <v>1825.59</v>
      </c>
      <c r="D233" s="17" t="s">
        <v>11</v>
      </c>
      <c r="E233" s="17" t="s">
        <v>11</v>
      </c>
      <c r="F233" s="18"/>
      <c r="G233" s="36" t="str">
        <f>IF(ISNUMBER(F233),C233*F233,"")</f>
        <v/>
      </c>
    </row>
    <row r="234" spans="1:7" ht="12" customHeight="1" outlineLevel="2" x14ac:dyDescent="0.2">
      <c r="A234" s="14" t="s">
        <v>460</v>
      </c>
      <c r="B234" s="15" t="s">
        <v>461</v>
      </c>
      <c r="C234" s="19">
        <f>1746.28/(1+B2)</f>
        <v>1746.28</v>
      </c>
      <c r="D234" s="17" t="s">
        <v>11</v>
      </c>
      <c r="E234" s="17" t="s">
        <v>11</v>
      </c>
      <c r="F234" s="18"/>
      <c r="G234" s="36" t="str">
        <f>IF(ISNUMBER(F234),C234*F234,"")</f>
        <v/>
      </c>
    </row>
    <row r="235" spans="1:7" ht="12" customHeight="1" outlineLevel="2" x14ac:dyDescent="0.2">
      <c r="A235" s="14" t="s">
        <v>462</v>
      </c>
      <c r="B235" s="15" t="s">
        <v>463</v>
      </c>
      <c r="C235" s="19">
        <f>1902.04/(1+B2)</f>
        <v>1902.04</v>
      </c>
      <c r="D235" s="17" t="s">
        <v>11</v>
      </c>
      <c r="E235" s="17"/>
      <c r="F235" s="18"/>
      <c r="G235" s="36" t="str">
        <f>IF(ISNUMBER(F235),C235*F235,"")</f>
        <v/>
      </c>
    </row>
    <row r="236" spans="1:7" ht="12" customHeight="1" outlineLevel="2" x14ac:dyDescent="0.2">
      <c r="A236" s="14" t="s">
        <v>464</v>
      </c>
      <c r="B236" s="15" t="s">
        <v>465</v>
      </c>
      <c r="C236" s="19">
        <f>1431.05/(1+B2)</f>
        <v>1431.05</v>
      </c>
      <c r="D236" s="17" t="s">
        <v>11</v>
      </c>
      <c r="E236" s="17"/>
      <c r="F236" s="18"/>
      <c r="G236" s="36" t="str">
        <f>IF(ISNUMBER(F236),C236*F236,"")</f>
        <v/>
      </c>
    </row>
    <row r="237" spans="1:7" ht="12" customHeight="1" outlineLevel="2" x14ac:dyDescent="0.2">
      <c r="A237" s="14" t="s">
        <v>466</v>
      </c>
      <c r="B237" s="15" t="s">
        <v>467</v>
      </c>
      <c r="C237" s="19">
        <f>1505.89/(1+B2)</f>
        <v>1505.89</v>
      </c>
      <c r="D237" s="17" t="s">
        <v>11</v>
      </c>
      <c r="E237" s="17"/>
      <c r="F237" s="18"/>
      <c r="G237" s="36" t="str">
        <f>IF(ISNUMBER(F237),C237*F237,"")</f>
        <v/>
      </c>
    </row>
    <row r="238" spans="1:7" ht="12" customHeight="1" outlineLevel="2" x14ac:dyDescent="0.2">
      <c r="A238" s="14" t="s">
        <v>468</v>
      </c>
      <c r="B238" s="15" t="s">
        <v>469</v>
      </c>
      <c r="C238" s="19">
        <f>1558.05/(1+B2)</f>
        <v>1558.05</v>
      </c>
      <c r="D238" s="17" t="s">
        <v>11</v>
      </c>
      <c r="E238" s="17" t="s">
        <v>11</v>
      </c>
      <c r="F238" s="18"/>
      <c r="G238" s="36" t="str">
        <f>IF(ISNUMBER(F238),C238*F238,"")</f>
        <v/>
      </c>
    </row>
    <row r="239" spans="1:7" ht="12" customHeight="1" outlineLevel="2" x14ac:dyDescent="0.2">
      <c r="A239" s="14" t="s">
        <v>470</v>
      </c>
      <c r="B239" s="15" t="s">
        <v>471</v>
      </c>
      <c r="C239" s="19">
        <f>1759.54/(1+B2)</f>
        <v>1759.54</v>
      </c>
      <c r="D239" s="17" t="s">
        <v>11</v>
      </c>
      <c r="E239" s="17"/>
      <c r="F239" s="18"/>
      <c r="G239" s="36" t="str">
        <f>IF(ISNUMBER(F239),C239*F239,"")</f>
        <v/>
      </c>
    </row>
    <row r="240" spans="1:7" ht="12" customHeight="1" outlineLevel="2" x14ac:dyDescent="0.2">
      <c r="A240" s="14" t="s">
        <v>472</v>
      </c>
      <c r="B240" s="15" t="s">
        <v>473</v>
      </c>
      <c r="C240" s="19">
        <f>1792.69/(1+B2)</f>
        <v>1792.69</v>
      </c>
      <c r="D240" s="17" t="s">
        <v>11</v>
      </c>
      <c r="E240" s="17"/>
      <c r="F240" s="18"/>
      <c r="G240" s="36" t="str">
        <f>IF(ISNUMBER(F240),C240*F240,"")</f>
        <v/>
      </c>
    </row>
    <row r="241" spans="1:7" ht="12" customHeight="1" outlineLevel="2" x14ac:dyDescent="0.2">
      <c r="A241" s="14" t="s">
        <v>474</v>
      </c>
      <c r="B241" s="15" t="s">
        <v>475</v>
      </c>
      <c r="C241" s="19">
        <f>1124.55/(1+B2)</f>
        <v>1124.55</v>
      </c>
      <c r="D241" s="17" t="s">
        <v>11</v>
      </c>
      <c r="E241" s="17"/>
      <c r="F241" s="18"/>
      <c r="G241" s="36" t="str">
        <f>IF(ISNUMBER(F241),C241*F241,"")</f>
        <v/>
      </c>
    </row>
    <row r="242" spans="1:7" ht="12" customHeight="1" outlineLevel="2" x14ac:dyDescent="0.2">
      <c r="A242" s="14" t="s">
        <v>476</v>
      </c>
      <c r="B242" s="15" t="s">
        <v>477</v>
      </c>
      <c r="C242" s="16">
        <f>294.35/(1+B2)</f>
        <v>294.35000000000002</v>
      </c>
      <c r="D242" s="17" t="s">
        <v>11</v>
      </c>
      <c r="E242" s="17"/>
      <c r="F242" s="18"/>
      <c r="G242" s="36" t="str">
        <f>IF(ISNUMBER(F242),C242*F242,"")</f>
        <v/>
      </c>
    </row>
    <row r="243" spans="1:7" s="1" customFormat="1" ht="15.95" customHeight="1" outlineLevel="1" x14ac:dyDescent="0.25">
      <c r="A243" s="11"/>
      <c r="B243" s="12" t="s">
        <v>478</v>
      </c>
      <c r="C243" s="13"/>
      <c r="D243" s="13"/>
      <c r="E243" s="13"/>
      <c r="F243" s="13"/>
      <c r="G243" s="35"/>
    </row>
    <row r="244" spans="1:7" ht="12" customHeight="1" outlineLevel="2" x14ac:dyDescent="0.2">
      <c r="A244" s="14" t="s">
        <v>479</v>
      </c>
      <c r="B244" s="15" t="s">
        <v>480</v>
      </c>
      <c r="C244" s="16">
        <f>106.86/(1+B2)</f>
        <v>106.86</v>
      </c>
      <c r="D244" s="17" t="s">
        <v>14</v>
      </c>
      <c r="E244" s="17" t="s">
        <v>11</v>
      </c>
      <c r="F244" s="18"/>
      <c r="G244" s="36" t="str">
        <f>IF(ISNUMBER(F244),C244*F244,"")</f>
        <v/>
      </c>
    </row>
    <row r="245" spans="1:7" ht="12" customHeight="1" outlineLevel="2" x14ac:dyDescent="0.2">
      <c r="A245" s="14" t="s">
        <v>481</v>
      </c>
      <c r="B245" s="15" t="s">
        <v>482</v>
      </c>
      <c r="C245" s="16">
        <f>152.26/(1+B2)</f>
        <v>152.26</v>
      </c>
      <c r="D245" s="17" t="s">
        <v>14</v>
      </c>
      <c r="E245" s="17" t="s">
        <v>53</v>
      </c>
      <c r="F245" s="18"/>
      <c r="G245" s="36" t="str">
        <f>IF(ISNUMBER(F245),C245*F245,"")</f>
        <v/>
      </c>
    </row>
    <row r="246" spans="1:7" ht="12" customHeight="1" outlineLevel="2" x14ac:dyDescent="0.2">
      <c r="A246" s="14" t="s">
        <v>483</v>
      </c>
      <c r="B246" s="15" t="s">
        <v>484</v>
      </c>
      <c r="C246" s="16">
        <f>157.56/(1+B2)</f>
        <v>157.56</v>
      </c>
      <c r="D246" s="17" t="s">
        <v>14</v>
      </c>
      <c r="E246" s="17" t="s">
        <v>14</v>
      </c>
      <c r="F246" s="18"/>
      <c r="G246" s="36" t="str">
        <f>IF(ISNUMBER(F246),C246*F246,"")</f>
        <v/>
      </c>
    </row>
    <row r="247" spans="1:7" ht="12" customHeight="1" outlineLevel="2" x14ac:dyDescent="0.2">
      <c r="A247" s="14" t="s">
        <v>485</v>
      </c>
      <c r="B247" s="15" t="s">
        <v>486</v>
      </c>
      <c r="C247" s="16">
        <f>111.93/(1+B2)</f>
        <v>111.93</v>
      </c>
      <c r="D247" s="17" t="s">
        <v>106</v>
      </c>
      <c r="E247" s="17"/>
      <c r="F247" s="18"/>
      <c r="G247" s="36" t="str">
        <f>IF(ISNUMBER(F247),C247*F247,"")</f>
        <v/>
      </c>
    </row>
    <row r="248" spans="1:7" ht="12" customHeight="1" outlineLevel="2" x14ac:dyDescent="0.2">
      <c r="A248" s="14" t="s">
        <v>487</v>
      </c>
      <c r="B248" s="15" t="s">
        <v>488</v>
      </c>
      <c r="C248" s="16">
        <f>107.31/(1+B2)</f>
        <v>107.31</v>
      </c>
      <c r="D248" s="17" t="s">
        <v>11</v>
      </c>
      <c r="E248" s="17"/>
      <c r="F248" s="18"/>
      <c r="G248" s="36" t="str">
        <f>IF(ISNUMBER(F248),C248*F248,"")</f>
        <v/>
      </c>
    </row>
    <row r="249" spans="1:7" ht="12" customHeight="1" outlineLevel="2" x14ac:dyDescent="0.2">
      <c r="A249" s="14" t="s">
        <v>489</v>
      </c>
      <c r="B249" s="15" t="s">
        <v>490</v>
      </c>
      <c r="C249" s="16">
        <f>93.8/(1+B2)</f>
        <v>93.8</v>
      </c>
      <c r="D249" s="17" t="s">
        <v>14</v>
      </c>
      <c r="E249" s="17"/>
      <c r="F249" s="18"/>
      <c r="G249" s="36" t="str">
        <f>IF(ISNUMBER(F249),C249*F249,"")</f>
        <v/>
      </c>
    </row>
    <row r="250" spans="1:7" ht="12" customHeight="1" outlineLevel="2" x14ac:dyDescent="0.2">
      <c r="A250" s="14" t="s">
        <v>491</v>
      </c>
      <c r="B250" s="15" t="s">
        <v>492</v>
      </c>
      <c r="C250" s="16">
        <f>103.49/(1+B2)</f>
        <v>103.49</v>
      </c>
      <c r="D250" s="17" t="s">
        <v>11</v>
      </c>
      <c r="E250" s="17"/>
      <c r="F250" s="18"/>
      <c r="G250" s="36" t="str">
        <f>IF(ISNUMBER(F250),C250*F250,"")</f>
        <v/>
      </c>
    </row>
    <row r="251" spans="1:7" ht="12" customHeight="1" outlineLevel="2" x14ac:dyDescent="0.2">
      <c r="A251" s="14" t="s">
        <v>493</v>
      </c>
      <c r="B251" s="15" t="s">
        <v>494</v>
      </c>
      <c r="C251" s="16">
        <f>73.91/(1+B2)</f>
        <v>73.91</v>
      </c>
      <c r="D251" s="17" t="s">
        <v>11</v>
      </c>
      <c r="E251" s="17"/>
      <c r="F251" s="18"/>
      <c r="G251" s="36" t="str">
        <f>IF(ISNUMBER(F251),C251*F251,"")</f>
        <v/>
      </c>
    </row>
    <row r="252" spans="1:7" ht="12" customHeight="1" outlineLevel="2" x14ac:dyDescent="0.2">
      <c r="A252" s="14" t="s">
        <v>495</v>
      </c>
      <c r="B252" s="15" t="s">
        <v>496</v>
      </c>
      <c r="C252" s="16">
        <f>87.3/(1+B2)</f>
        <v>87.3</v>
      </c>
      <c r="D252" s="17" t="s">
        <v>11</v>
      </c>
      <c r="E252" s="17" t="s">
        <v>11</v>
      </c>
      <c r="F252" s="18"/>
      <c r="G252" s="36" t="str">
        <f>IF(ISNUMBER(F252),C252*F252,"")</f>
        <v/>
      </c>
    </row>
    <row r="253" spans="1:7" ht="12" customHeight="1" outlineLevel="2" x14ac:dyDescent="0.2">
      <c r="A253" s="14" t="s">
        <v>497</v>
      </c>
      <c r="B253" s="15" t="s">
        <v>498</v>
      </c>
      <c r="C253" s="16">
        <f>115.88/(1+B2)</f>
        <v>115.88</v>
      </c>
      <c r="D253" s="17" t="s">
        <v>11</v>
      </c>
      <c r="E253" s="17"/>
      <c r="F253" s="18"/>
      <c r="G253" s="36" t="str">
        <f>IF(ISNUMBER(F253),C253*F253,"")</f>
        <v/>
      </c>
    </row>
    <row r="254" spans="1:7" ht="12" customHeight="1" outlineLevel="2" x14ac:dyDescent="0.2">
      <c r="A254" s="14" t="s">
        <v>499</v>
      </c>
      <c r="B254" s="15" t="s">
        <v>500</v>
      </c>
      <c r="C254" s="16">
        <f>612.22/(1+B2)</f>
        <v>612.22</v>
      </c>
      <c r="D254" s="17" t="s">
        <v>11</v>
      </c>
      <c r="E254" s="17"/>
      <c r="F254" s="18"/>
      <c r="G254" s="36" t="str">
        <f>IF(ISNUMBER(F254),C254*F254,"")</f>
        <v/>
      </c>
    </row>
    <row r="255" spans="1:7" ht="12" customHeight="1" outlineLevel="2" x14ac:dyDescent="0.2">
      <c r="A255" s="14" t="s">
        <v>501</v>
      </c>
      <c r="B255" s="15" t="s">
        <v>502</v>
      </c>
      <c r="C255" s="16">
        <f>177.57/(1+B2)</f>
        <v>177.57</v>
      </c>
      <c r="D255" s="17" t="s">
        <v>106</v>
      </c>
      <c r="E255" s="17" t="s">
        <v>53</v>
      </c>
      <c r="F255" s="18"/>
      <c r="G255" s="36" t="str">
        <f>IF(ISNUMBER(F255),C255*F255,"")</f>
        <v/>
      </c>
    </row>
    <row r="256" spans="1:7" ht="12" customHeight="1" outlineLevel="2" x14ac:dyDescent="0.2">
      <c r="A256" s="14" t="s">
        <v>503</v>
      </c>
      <c r="B256" s="15" t="s">
        <v>504</v>
      </c>
      <c r="C256" s="16">
        <f>231.14/(1+B2)</f>
        <v>231.14</v>
      </c>
      <c r="D256" s="17" t="s">
        <v>106</v>
      </c>
      <c r="E256" s="17" t="s">
        <v>53</v>
      </c>
      <c r="F256" s="18"/>
      <c r="G256" s="36" t="str">
        <f>IF(ISNUMBER(F256),C256*F256,"")</f>
        <v/>
      </c>
    </row>
    <row r="257" spans="1:7" ht="12" customHeight="1" outlineLevel="2" x14ac:dyDescent="0.2">
      <c r="A257" s="14" t="s">
        <v>505</v>
      </c>
      <c r="B257" s="15" t="s">
        <v>506</v>
      </c>
      <c r="C257" s="16">
        <f>118.13/(1+B2)</f>
        <v>118.13</v>
      </c>
      <c r="D257" s="17" t="s">
        <v>11</v>
      </c>
      <c r="E257" s="17" t="s">
        <v>14</v>
      </c>
      <c r="F257" s="18"/>
      <c r="G257" s="36" t="str">
        <f>IF(ISNUMBER(F257),C257*F257,"")</f>
        <v/>
      </c>
    </row>
    <row r="258" spans="1:7" ht="12" customHeight="1" outlineLevel="2" x14ac:dyDescent="0.2">
      <c r="A258" s="14" t="s">
        <v>507</v>
      </c>
      <c r="B258" s="15" t="s">
        <v>508</v>
      </c>
      <c r="C258" s="16">
        <f>74.25/(1+B2)</f>
        <v>74.25</v>
      </c>
      <c r="D258" s="17" t="s">
        <v>11</v>
      </c>
      <c r="E258" s="17" t="s">
        <v>11</v>
      </c>
      <c r="F258" s="18"/>
      <c r="G258" s="36" t="str">
        <f>IF(ISNUMBER(F258),C258*F258,"")</f>
        <v/>
      </c>
    </row>
    <row r="259" spans="1:7" ht="12" customHeight="1" outlineLevel="2" x14ac:dyDescent="0.2">
      <c r="A259" s="14" t="s">
        <v>509</v>
      </c>
      <c r="B259" s="15" t="s">
        <v>510</v>
      </c>
      <c r="C259" s="16">
        <f>88.08/(1+B2)</f>
        <v>88.08</v>
      </c>
      <c r="D259" s="17" t="s">
        <v>14</v>
      </c>
      <c r="E259" s="17"/>
      <c r="F259" s="18"/>
      <c r="G259" s="36" t="str">
        <f>IF(ISNUMBER(F259),C259*F259,"")</f>
        <v/>
      </c>
    </row>
    <row r="260" spans="1:7" ht="12" customHeight="1" outlineLevel="2" x14ac:dyDescent="0.2">
      <c r="A260" s="14" t="s">
        <v>511</v>
      </c>
      <c r="B260" s="15" t="s">
        <v>512</v>
      </c>
      <c r="C260" s="16">
        <f>92.4/(1+B2)</f>
        <v>92.4</v>
      </c>
      <c r="D260" s="17" t="s">
        <v>14</v>
      </c>
      <c r="E260" s="17" t="s">
        <v>14</v>
      </c>
      <c r="F260" s="18"/>
      <c r="G260" s="36" t="str">
        <f>IF(ISNUMBER(F260),C260*F260,"")</f>
        <v/>
      </c>
    </row>
    <row r="261" spans="1:7" ht="12" customHeight="1" outlineLevel="2" x14ac:dyDescent="0.2">
      <c r="A261" s="14" t="s">
        <v>513</v>
      </c>
      <c r="B261" s="15" t="s">
        <v>514</v>
      </c>
      <c r="C261" s="16">
        <f>63.7/(1+B2)</f>
        <v>63.7</v>
      </c>
      <c r="D261" s="17"/>
      <c r="E261" s="17" t="s">
        <v>53</v>
      </c>
      <c r="F261" s="18"/>
      <c r="G261" s="36" t="str">
        <f>IF(ISNUMBER(F261),C261*F261,"")</f>
        <v/>
      </c>
    </row>
    <row r="262" spans="1:7" ht="12" customHeight="1" outlineLevel="2" x14ac:dyDescent="0.2">
      <c r="A262" s="14" t="s">
        <v>515</v>
      </c>
      <c r="B262" s="15" t="s">
        <v>516</v>
      </c>
      <c r="C262" s="16">
        <f>63.7/(1+B2)</f>
        <v>63.7</v>
      </c>
      <c r="D262" s="17" t="s">
        <v>11</v>
      </c>
      <c r="E262" s="17" t="s">
        <v>53</v>
      </c>
      <c r="F262" s="18"/>
      <c r="G262" s="36" t="str">
        <f>IF(ISNUMBER(F262),C262*F262,"")</f>
        <v/>
      </c>
    </row>
    <row r="263" spans="1:7" ht="12" customHeight="1" outlineLevel="2" x14ac:dyDescent="0.2">
      <c r="A263" s="14" t="s">
        <v>517</v>
      </c>
      <c r="B263" s="15" t="s">
        <v>518</v>
      </c>
      <c r="C263" s="16">
        <f>63.7/(1+B2)</f>
        <v>63.7</v>
      </c>
      <c r="D263" s="17"/>
      <c r="E263" s="17" t="s">
        <v>53</v>
      </c>
      <c r="F263" s="18"/>
      <c r="G263" s="36" t="str">
        <f>IF(ISNUMBER(F263),C263*F263,"")</f>
        <v/>
      </c>
    </row>
    <row r="264" spans="1:7" ht="12" customHeight="1" outlineLevel="2" x14ac:dyDescent="0.2">
      <c r="A264" s="14" t="s">
        <v>519</v>
      </c>
      <c r="B264" s="15" t="s">
        <v>520</v>
      </c>
      <c r="C264" s="16">
        <f>63.7/(1+B2)</f>
        <v>63.7</v>
      </c>
      <c r="D264" s="17"/>
      <c r="E264" s="17" t="s">
        <v>53</v>
      </c>
      <c r="F264" s="18"/>
      <c r="G264" s="36" t="str">
        <f>IF(ISNUMBER(F264),C264*F264,"")</f>
        <v/>
      </c>
    </row>
    <row r="265" spans="1:7" ht="12" customHeight="1" outlineLevel="2" x14ac:dyDescent="0.2">
      <c r="A265" s="14" t="s">
        <v>521</v>
      </c>
      <c r="B265" s="15" t="s">
        <v>522</v>
      </c>
      <c r="C265" s="16">
        <f>63.7/(1+B2)</f>
        <v>63.7</v>
      </c>
      <c r="D265" s="17"/>
      <c r="E265" s="17" t="s">
        <v>53</v>
      </c>
      <c r="F265" s="18"/>
      <c r="G265" s="36" t="str">
        <f>IF(ISNUMBER(F265),C265*F265,"")</f>
        <v/>
      </c>
    </row>
    <row r="266" spans="1:7" ht="12" customHeight="1" outlineLevel="2" x14ac:dyDescent="0.2">
      <c r="A266" s="14" t="s">
        <v>523</v>
      </c>
      <c r="B266" s="15" t="s">
        <v>524</v>
      </c>
      <c r="C266" s="16">
        <f>75.08/(1+B2)</f>
        <v>75.08</v>
      </c>
      <c r="D266" s="17"/>
      <c r="E266" s="17" t="s">
        <v>53</v>
      </c>
      <c r="F266" s="18"/>
      <c r="G266" s="36" t="str">
        <f>IF(ISNUMBER(F266),C266*F266,"")</f>
        <v/>
      </c>
    </row>
    <row r="267" spans="1:7" ht="12" customHeight="1" outlineLevel="2" x14ac:dyDescent="0.2">
      <c r="A267" s="14" t="s">
        <v>525</v>
      </c>
      <c r="B267" s="15" t="s">
        <v>526</v>
      </c>
      <c r="C267" s="16">
        <f>80.76/(1+B2)</f>
        <v>80.760000000000005</v>
      </c>
      <c r="D267" s="17"/>
      <c r="E267" s="17" t="s">
        <v>53</v>
      </c>
      <c r="F267" s="18"/>
      <c r="G267" s="36" t="str">
        <f>IF(ISNUMBER(F267),C267*F267,"")</f>
        <v/>
      </c>
    </row>
    <row r="268" spans="1:7" ht="12" customHeight="1" outlineLevel="2" x14ac:dyDescent="0.2">
      <c r="A268" s="14" t="s">
        <v>527</v>
      </c>
      <c r="B268" s="15" t="s">
        <v>528</v>
      </c>
      <c r="C268" s="16">
        <f>269.7/(1+B2)</f>
        <v>269.7</v>
      </c>
      <c r="D268" s="17" t="s">
        <v>106</v>
      </c>
      <c r="E268" s="17" t="s">
        <v>106</v>
      </c>
      <c r="F268" s="18"/>
      <c r="G268" s="36" t="str">
        <f>IF(ISNUMBER(F268),C268*F268,"")</f>
        <v/>
      </c>
    </row>
    <row r="269" spans="1:7" ht="12" customHeight="1" outlineLevel="2" x14ac:dyDescent="0.2">
      <c r="A269" s="14" t="s">
        <v>529</v>
      </c>
      <c r="B269" s="15" t="s">
        <v>530</v>
      </c>
      <c r="C269" s="16">
        <f>166.25/(1+B2)</f>
        <v>166.25</v>
      </c>
      <c r="D269" s="17" t="s">
        <v>11</v>
      </c>
      <c r="E269" s="17" t="s">
        <v>106</v>
      </c>
      <c r="F269" s="18"/>
      <c r="G269" s="36" t="str">
        <f>IF(ISNUMBER(F269),C269*F269,"")</f>
        <v/>
      </c>
    </row>
    <row r="270" spans="1:7" s="1" customFormat="1" ht="15.95" customHeight="1" outlineLevel="1" x14ac:dyDescent="0.25">
      <c r="A270" s="11"/>
      <c r="B270" s="12" t="s">
        <v>531</v>
      </c>
      <c r="C270" s="13"/>
      <c r="D270" s="13"/>
      <c r="E270" s="13"/>
      <c r="F270" s="13"/>
      <c r="G270" s="35"/>
    </row>
    <row r="271" spans="1:7" ht="12" customHeight="1" outlineLevel="2" x14ac:dyDescent="0.2">
      <c r="A271" s="14" t="s">
        <v>532</v>
      </c>
      <c r="B271" s="15" t="s">
        <v>533</v>
      </c>
      <c r="C271" s="16">
        <f>654.51/(1+B2)</f>
        <v>654.51</v>
      </c>
      <c r="D271" s="17" t="s">
        <v>11</v>
      </c>
      <c r="E271" s="17" t="s">
        <v>14</v>
      </c>
      <c r="F271" s="18"/>
      <c r="G271" s="36" t="str">
        <f>IF(ISNUMBER(F271),C271*F271,"")</f>
        <v/>
      </c>
    </row>
    <row r="272" spans="1:7" ht="12" customHeight="1" outlineLevel="2" x14ac:dyDescent="0.2">
      <c r="A272" s="14" t="s">
        <v>534</v>
      </c>
      <c r="B272" s="15" t="s">
        <v>535</v>
      </c>
      <c r="C272" s="16">
        <f>654.51/(1+B2)</f>
        <v>654.51</v>
      </c>
      <c r="D272" s="17" t="s">
        <v>11</v>
      </c>
      <c r="E272" s="17" t="s">
        <v>14</v>
      </c>
      <c r="F272" s="18"/>
      <c r="G272" s="36" t="str">
        <f>IF(ISNUMBER(F272),C272*F272,"")</f>
        <v/>
      </c>
    </row>
    <row r="273" spans="1:7" ht="12" customHeight="1" outlineLevel="2" x14ac:dyDescent="0.2">
      <c r="A273" s="14" t="s">
        <v>536</v>
      </c>
      <c r="B273" s="15" t="s">
        <v>537</v>
      </c>
      <c r="C273" s="16">
        <f>654.51/(1+B2)</f>
        <v>654.51</v>
      </c>
      <c r="D273" s="17" t="s">
        <v>11</v>
      </c>
      <c r="E273" s="17" t="s">
        <v>14</v>
      </c>
      <c r="F273" s="18"/>
      <c r="G273" s="36" t="str">
        <f>IF(ISNUMBER(F273),C273*F273,"")</f>
        <v/>
      </c>
    </row>
    <row r="274" spans="1:7" ht="12" customHeight="1" outlineLevel="2" x14ac:dyDescent="0.2">
      <c r="A274" s="14" t="s">
        <v>538</v>
      </c>
      <c r="B274" s="15" t="s">
        <v>539</v>
      </c>
      <c r="C274" s="16">
        <f>654.51/(1+B2)</f>
        <v>654.51</v>
      </c>
      <c r="D274" s="17" t="s">
        <v>11</v>
      </c>
      <c r="E274" s="17" t="s">
        <v>14</v>
      </c>
      <c r="F274" s="18"/>
      <c r="G274" s="36" t="str">
        <f>IF(ISNUMBER(F274),C274*F274,"")</f>
        <v/>
      </c>
    </row>
    <row r="275" spans="1:7" ht="12" customHeight="1" outlineLevel="2" x14ac:dyDescent="0.2">
      <c r="A275" s="14" t="s">
        <v>540</v>
      </c>
      <c r="B275" s="15" t="s">
        <v>541</v>
      </c>
      <c r="C275" s="16">
        <f>640.44/(1+B2)</f>
        <v>640.44000000000005</v>
      </c>
      <c r="D275" s="17" t="s">
        <v>11</v>
      </c>
      <c r="E275" s="17" t="s">
        <v>14</v>
      </c>
      <c r="F275" s="18"/>
      <c r="G275" s="36" t="str">
        <f>IF(ISNUMBER(F275),C275*F275,"")</f>
        <v/>
      </c>
    </row>
    <row r="276" spans="1:7" ht="12" customHeight="1" outlineLevel="2" x14ac:dyDescent="0.2">
      <c r="A276" s="14" t="s">
        <v>542</v>
      </c>
      <c r="B276" s="15" t="s">
        <v>543</v>
      </c>
      <c r="C276" s="16">
        <f>640.44/(1+B2)</f>
        <v>640.44000000000005</v>
      </c>
      <c r="D276" s="17" t="s">
        <v>11</v>
      </c>
      <c r="E276" s="17" t="s">
        <v>14</v>
      </c>
      <c r="F276" s="18"/>
      <c r="G276" s="36" t="str">
        <f>IF(ISNUMBER(F276),C276*F276,"")</f>
        <v/>
      </c>
    </row>
    <row r="277" spans="1:7" ht="12" customHeight="1" outlineLevel="2" x14ac:dyDescent="0.2">
      <c r="A277" s="14" t="s">
        <v>544</v>
      </c>
      <c r="B277" s="15" t="s">
        <v>545</v>
      </c>
      <c r="C277" s="16">
        <f>640.44/(1+B2)</f>
        <v>640.44000000000005</v>
      </c>
      <c r="D277" s="17" t="s">
        <v>11</v>
      </c>
      <c r="E277" s="17" t="s">
        <v>14</v>
      </c>
      <c r="F277" s="18"/>
      <c r="G277" s="36" t="str">
        <f>IF(ISNUMBER(F277),C277*F277,"")</f>
        <v/>
      </c>
    </row>
    <row r="278" spans="1:7" ht="12" customHeight="1" outlineLevel="2" x14ac:dyDescent="0.2">
      <c r="A278" s="14" t="s">
        <v>546</v>
      </c>
      <c r="B278" s="15" t="s">
        <v>547</v>
      </c>
      <c r="C278" s="16">
        <f>640.44/(1+B2)</f>
        <v>640.44000000000005</v>
      </c>
      <c r="D278" s="17" t="s">
        <v>11</v>
      </c>
      <c r="E278" s="17" t="s">
        <v>14</v>
      </c>
      <c r="F278" s="18"/>
      <c r="G278" s="36" t="str">
        <f>IF(ISNUMBER(F278),C278*F278,"")</f>
        <v/>
      </c>
    </row>
    <row r="279" spans="1:7" ht="12" customHeight="1" outlineLevel="2" x14ac:dyDescent="0.2">
      <c r="A279" s="14" t="s">
        <v>548</v>
      </c>
      <c r="B279" s="15" t="s">
        <v>549</v>
      </c>
      <c r="C279" s="16">
        <f>640.44/(1+B2)</f>
        <v>640.44000000000005</v>
      </c>
      <c r="D279" s="17" t="s">
        <v>11</v>
      </c>
      <c r="E279" s="17" t="s">
        <v>14</v>
      </c>
      <c r="F279" s="18"/>
      <c r="G279" s="36" t="str">
        <f>IF(ISNUMBER(F279),C279*F279,"")</f>
        <v/>
      </c>
    </row>
    <row r="280" spans="1:7" ht="12" customHeight="1" outlineLevel="2" x14ac:dyDescent="0.2">
      <c r="A280" s="14" t="s">
        <v>550</v>
      </c>
      <c r="B280" s="15" t="s">
        <v>551</v>
      </c>
      <c r="C280" s="16">
        <f>640.44/(1+B2)</f>
        <v>640.44000000000005</v>
      </c>
      <c r="D280" s="17" t="s">
        <v>11</v>
      </c>
      <c r="E280" s="17" t="s">
        <v>14</v>
      </c>
      <c r="F280" s="18"/>
      <c r="G280" s="36" t="str">
        <f>IF(ISNUMBER(F280),C280*F280,"")</f>
        <v/>
      </c>
    </row>
    <row r="281" spans="1:7" ht="12" customHeight="1" outlineLevel="2" x14ac:dyDescent="0.2">
      <c r="A281" s="14" t="s">
        <v>552</v>
      </c>
      <c r="B281" s="15" t="s">
        <v>553</v>
      </c>
      <c r="C281" s="16">
        <f>640.44/(1+B2)</f>
        <v>640.44000000000005</v>
      </c>
      <c r="D281" s="17" t="s">
        <v>11</v>
      </c>
      <c r="E281" s="17" t="s">
        <v>14</v>
      </c>
      <c r="F281" s="18"/>
      <c r="G281" s="36" t="str">
        <f>IF(ISNUMBER(F281),C281*F281,"")</f>
        <v/>
      </c>
    </row>
    <row r="282" spans="1:7" ht="12" customHeight="1" outlineLevel="2" x14ac:dyDescent="0.2">
      <c r="A282" s="14" t="s">
        <v>554</v>
      </c>
      <c r="B282" s="15" t="s">
        <v>555</v>
      </c>
      <c r="C282" s="16">
        <f>544.54/(1+B2)</f>
        <v>544.54</v>
      </c>
      <c r="D282" s="17" t="s">
        <v>11</v>
      </c>
      <c r="E282" s="17" t="s">
        <v>14</v>
      </c>
      <c r="F282" s="18"/>
      <c r="G282" s="36" t="str">
        <f>IF(ISNUMBER(F282),C282*F282,"")</f>
        <v/>
      </c>
    </row>
    <row r="283" spans="1:7" ht="12" customHeight="1" outlineLevel="2" x14ac:dyDescent="0.2">
      <c r="A283" s="14" t="s">
        <v>556</v>
      </c>
      <c r="B283" s="15" t="s">
        <v>557</v>
      </c>
      <c r="C283" s="16">
        <f>401.15/(1+B2)</f>
        <v>401.15</v>
      </c>
      <c r="D283" s="17" t="s">
        <v>11</v>
      </c>
      <c r="E283" s="17" t="s">
        <v>14</v>
      </c>
      <c r="F283" s="18"/>
      <c r="G283" s="36" t="str">
        <f>IF(ISNUMBER(F283),C283*F283,"")</f>
        <v/>
      </c>
    </row>
    <row r="284" spans="1:7" ht="12" customHeight="1" outlineLevel="2" x14ac:dyDescent="0.2">
      <c r="A284" s="14" t="s">
        <v>558</v>
      </c>
      <c r="B284" s="15" t="s">
        <v>559</v>
      </c>
      <c r="C284" s="16">
        <f>401.15/(1+B2)</f>
        <v>401.15</v>
      </c>
      <c r="D284" s="17" t="s">
        <v>11</v>
      </c>
      <c r="E284" s="17" t="s">
        <v>14</v>
      </c>
      <c r="F284" s="18"/>
      <c r="G284" s="36" t="str">
        <f>IF(ISNUMBER(F284),C284*F284,"")</f>
        <v/>
      </c>
    </row>
    <row r="285" spans="1:7" ht="12" customHeight="1" outlineLevel="2" x14ac:dyDescent="0.2">
      <c r="A285" s="14" t="s">
        <v>560</v>
      </c>
      <c r="B285" s="15" t="s">
        <v>561</v>
      </c>
      <c r="C285" s="16">
        <f>401.15/(1+B2)</f>
        <v>401.15</v>
      </c>
      <c r="D285" s="17" t="s">
        <v>11</v>
      </c>
      <c r="E285" s="17" t="s">
        <v>14</v>
      </c>
      <c r="F285" s="18"/>
      <c r="G285" s="36" t="str">
        <f>IF(ISNUMBER(F285),C285*F285,"")</f>
        <v/>
      </c>
    </row>
    <row r="286" spans="1:7" ht="12" customHeight="1" outlineLevel="2" x14ac:dyDescent="0.2">
      <c r="A286" s="14" t="s">
        <v>562</v>
      </c>
      <c r="B286" s="15" t="s">
        <v>563</v>
      </c>
      <c r="C286" s="16">
        <f>387.09/(1+B2)</f>
        <v>387.09</v>
      </c>
      <c r="D286" s="17" t="s">
        <v>11</v>
      </c>
      <c r="E286" s="17" t="s">
        <v>53</v>
      </c>
      <c r="F286" s="18"/>
      <c r="G286" s="36" t="str">
        <f>IF(ISNUMBER(F286),C286*F286,"")</f>
        <v/>
      </c>
    </row>
    <row r="287" spans="1:7" ht="12" customHeight="1" outlineLevel="2" x14ac:dyDescent="0.2">
      <c r="A287" s="14" t="s">
        <v>564</v>
      </c>
      <c r="B287" s="15" t="s">
        <v>565</v>
      </c>
      <c r="C287" s="16">
        <f>387.09/(1+B2)</f>
        <v>387.09</v>
      </c>
      <c r="D287" s="17" t="s">
        <v>11</v>
      </c>
      <c r="E287" s="17" t="s">
        <v>53</v>
      </c>
      <c r="F287" s="18"/>
      <c r="G287" s="36" t="str">
        <f>IF(ISNUMBER(F287),C287*F287,"")</f>
        <v/>
      </c>
    </row>
    <row r="288" spans="1:7" ht="12" customHeight="1" outlineLevel="2" x14ac:dyDescent="0.2">
      <c r="A288" s="14" t="s">
        <v>566</v>
      </c>
      <c r="B288" s="15" t="s">
        <v>567</v>
      </c>
      <c r="C288" s="16">
        <f>387.09/(1+B2)</f>
        <v>387.09</v>
      </c>
      <c r="D288" s="17" t="s">
        <v>11</v>
      </c>
      <c r="E288" s="17" t="s">
        <v>53</v>
      </c>
      <c r="F288" s="18"/>
      <c r="G288" s="36" t="str">
        <f>IF(ISNUMBER(F288),C288*F288,"")</f>
        <v/>
      </c>
    </row>
    <row r="289" spans="1:7" ht="12" customHeight="1" outlineLevel="2" x14ac:dyDescent="0.2">
      <c r="A289" s="14" t="s">
        <v>568</v>
      </c>
      <c r="B289" s="15" t="s">
        <v>569</v>
      </c>
      <c r="C289" s="16">
        <f>387.09/(1+B2)</f>
        <v>387.09</v>
      </c>
      <c r="D289" s="17" t="s">
        <v>11</v>
      </c>
      <c r="E289" s="17" t="s">
        <v>11</v>
      </c>
      <c r="F289" s="18"/>
      <c r="G289" s="36" t="str">
        <f>IF(ISNUMBER(F289),C289*F289,"")</f>
        <v/>
      </c>
    </row>
    <row r="290" spans="1:7" ht="12" customHeight="1" outlineLevel="2" x14ac:dyDescent="0.2">
      <c r="A290" s="14" t="s">
        <v>570</v>
      </c>
      <c r="B290" s="15" t="s">
        <v>571</v>
      </c>
      <c r="C290" s="16">
        <f>387.09/(1+B2)</f>
        <v>387.09</v>
      </c>
      <c r="D290" s="17" t="s">
        <v>11</v>
      </c>
      <c r="E290" s="17" t="s">
        <v>53</v>
      </c>
      <c r="F290" s="18"/>
      <c r="G290" s="36" t="str">
        <f>IF(ISNUMBER(F290),C290*F290,"")</f>
        <v/>
      </c>
    </row>
    <row r="291" spans="1:7" ht="12" customHeight="1" outlineLevel="2" x14ac:dyDescent="0.2">
      <c r="A291" s="14" t="s">
        <v>572</v>
      </c>
      <c r="B291" s="15" t="s">
        <v>573</v>
      </c>
      <c r="C291" s="16">
        <f>408.04/(1+B2)</f>
        <v>408.04</v>
      </c>
      <c r="D291" s="17" t="s">
        <v>11</v>
      </c>
      <c r="E291" s="17" t="s">
        <v>11</v>
      </c>
      <c r="F291" s="18"/>
      <c r="G291" s="36" t="str">
        <f>IF(ISNUMBER(F291),C291*F291,"")</f>
        <v/>
      </c>
    </row>
    <row r="292" spans="1:7" ht="12" customHeight="1" outlineLevel="2" x14ac:dyDescent="0.2">
      <c r="A292" s="14" t="s">
        <v>574</v>
      </c>
      <c r="B292" s="15" t="s">
        <v>575</v>
      </c>
      <c r="C292" s="16">
        <f>387.09/(1+B2)</f>
        <v>387.09</v>
      </c>
      <c r="D292" s="17" t="s">
        <v>11</v>
      </c>
      <c r="E292" s="17" t="s">
        <v>53</v>
      </c>
      <c r="F292" s="18"/>
      <c r="G292" s="36" t="str">
        <f>IF(ISNUMBER(F292),C292*F292,"")</f>
        <v/>
      </c>
    </row>
    <row r="293" spans="1:7" ht="12" customHeight="1" outlineLevel="2" x14ac:dyDescent="0.2">
      <c r="A293" s="14" t="s">
        <v>576</v>
      </c>
      <c r="B293" s="15" t="s">
        <v>577</v>
      </c>
      <c r="C293" s="16">
        <f>529.6/(1+B2)</f>
        <v>529.6</v>
      </c>
      <c r="D293" s="17" t="s">
        <v>11</v>
      </c>
      <c r="E293" s="17" t="s">
        <v>11</v>
      </c>
      <c r="F293" s="18"/>
      <c r="G293" s="36" t="str">
        <f>IF(ISNUMBER(F293),C293*F293,"")</f>
        <v/>
      </c>
    </row>
    <row r="294" spans="1:7" ht="12" customHeight="1" outlineLevel="2" x14ac:dyDescent="0.2">
      <c r="A294" s="14" t="s">
        <v>578</v>
      </c>
      <c r="B294" s="15" t="s">
        <v>579</v>
      </c>
      <c r="C294" s="16">
        <f>529.6/(1+B2)</f>
        <v>529.6</v>
      </c>
      <c r="D294" s="17" t="s">
        <v>11</v>
      </c>
      <c r="E294" s="17" t="s">
        <v>11</v>
      </c>
      <c r="F294" s="18"/>
      <c r="G294" s="36" t="str">
        <f>IF(ISNUMBER(F294),C294*F294,"")</f>
        <v/>
      </c>
    </row>
    <row r="295" spans="1:7" ht="12" customHeight="1" outlineLevel="2" x14ac:dyDescent="0.2">
      <c r="A295" s="14" t="s">
        <v>580</v>
      </c>
      <c r="B295" s="15" t="s">
        <v>581</v>
      </c>
      <c r="C295" s="16">
        <f>529.6/(1+B2)</f>
        <v>529.6</v>
      </c>
      <c r="D295" s="17" t="s">
        <v>11</v>
      </c>
      <c r="E295" s="17" t="s">
        <v>11</v>
      </c>
      <c r="F295" s="18"/>
      <c r="G295" s="36" t="str">
        <f>IF(ISNUMBER(F295),C295*F295,"")</f>
        <v/>
      </c>
    </row>
    <row r="296" spans="1:7" ht="12" customHeight="1" outlineLevel="2" x14ac:dyDescent="0.2">
      <c r="A296" s="14" t="s">
        <v>582</v>
      </c>
      <c r="B296" s="15" t="s">
        <v>583</v>
      </c>
      <c r="C296" s="16">
        <f>529.6/(1+B2)</f>
        <v>529.6</v>
      </c>
      <c r="D296" s="17" t="s">
        <v>11</v>
      </c>
      <c r="E296" s="17" t="s">
        <v>11</v>
      </c>
      <c r="F296" s="18"/>
      <c r="G296" s="36" t="str">
        <f>IF(ISNUMBER(F296),C296*F296,"")</f>
        <v/>
      </c>
    </row>
    <row r="297" spans="1:7" ht="12" customHeight="1" outlineLevel="2" x14ac:dyDescent="0.2">
      <c r="A297" s="14" t="s">
        <v>584</v>
      </c>
      <c r="B297" s="15" t="s">
        <v>585</v>
      </c>
      <c r="C297" s="16">
        <f>529.43/(1+B2)</f>
        <v>529.42999999999995</v>
      </c>
      <c r="D297" s="17" t="s">
        <v>11</v>
      </c>
      <c r="E297" s="17"/>
      <c r="F297" s="18"/>
      <c r="G297" s="36" t="str">
        <f>IF(ISNUMBER(F297),C297*F297,"")</f>
        <v/>
      </c>
    </row>
    <row r="298" spans="1:7" ht="12" customHeight="1" outlineLevel="2" x14ac:dyDescent="0.2">
      <c r="A298" s="14" t="s">
        <v>586</v>
      </c>
      <c r="B298" s="15" t="s">
        <v>587</v>
      </c>
      <c r="C298" s="16">
        <f>502.76/(1+B2)</f>
        <v>502.76</v>
      </c>
      <c r="D298" s="17" t="s">
        <v>11</v>
      </c>
      <c r="E298" s="17" t="s">
        <v>11</v>
      </c>
      <c r="F298" s="18"/>
      <c r="G298" s="36" t="str">
        <f>IF(ISNUMBER(F298),C298*F298,"")</f>
        <v/>
      </c>
    </row>
    <row r="299" spans="1:7" ht="12" customHeight="1" outlineLevel="2" x14ac:dyDescent="0.2">
      <c r="A299" s="14" t="s">
        <v>588</v>
      </c>
      <c r="B299" s="15" t="s">
        <v>589</v>
      </c>
      <c r="C299" s="16">
        <f>502.96/(1+B2)</f>
        <v>502.96</v>
      </c>
      <c r="D299" s="17" t="s">
        <v>11</v>
      </c>
      <c r="E299" s="17" t="s">
        <v>14</v>
      </c>
      <c r="F299" s="18"/>
      <c r="G299" s="36" t="str">
        <f>IF(ISNUMBER(F299),C299*F299,"")</f>
        <v/>
      </c>
    </row>
    <row r="300" spans="1:7" ht="12" customHeight="1" outlineLevel="2" x14ac:dyDescent="0.2">
      <c r="A300" s="14" t="s">
        <v>590</v>
      </c>
      <c r="B300" s="15" t="s">
        <v>591</v>
      </c>
      <c r="C300" s="16">
        <f>502.96/(1+B2)</f>
        <v>502.96</v>
      </c>
      <c r="D300" s="17" t="s">
        <v>11</v>
      </c>
      <c r="E300" s="17" t="s">
        <v>11</v>
      </c>
      <c r="F300" s="18"/>
      <c r="G300" s="36" t="str">
        <f>IF(ISNUMBER(F300),C300*F300,"")</f>
        <v/>
      </c>
    </row>
    <row r="301" spans="1:7" ht="12" customHeight="1" outlineLevel="2" x14ac:dyDescent="0.2">
      <c r="A301" s="14" t="s">
        <v>592</v>
      </c>
      <c r="B301" s="15" t="s">
        <v>593</v>
      </c>
      <c r="C301" s="16">
        <f>502.76/(1+B2)</f>
        <v>502.76</v>
      </c>
      <c r="D301" s="17" t="s">
        <v>11</v>
      </c>
      <c r="E301" s="17" t="s">
        <v>11</v>
      </c>
      <c r="F301" s="18"/>
      <c r="G301" s="36" t="str">
        <f>IF(ISNUMBER(F301),C301*F301,"")</f>
        <v/>
      </c>
    </row>
    <row r="302" spans="1:7" s="1" customFormat="1" ht="15.95" customHeight="1" outlineLevel="1" x14ac:dyDescent="0.25">
      <c r="A302" s="11"/>
      <c r="B302" s="12" t="s">
        <v>594</v>
      </c>
      <c r="C302" s="13"/>
      <c r="D302" s="13"/>
      <c r="E302" s="13"/>
      <c r="F302" s="13"/>
      <c r="G302" s="35"/>
    </row>
    <row r="303" spans="1:7" s="1" customFormat="1" ht="12.95" customHeight="1" outlineLevel="2" x14ac:dyDescent="0.2">
      <c r="A303" s="20"/>
      <c r="B303" s="21" t="s">
        <v>595</v>
      </c>
      <c r="C303" s="22"/>
      <c r="D303" s="22"/>
      <c r="E303" s="22"/>
      <c r="F303" s="22"/>
      <c r="G303" s="37"/>
    </row>
    <row r="304" spans="1:7" ht="12" customHeight="1" outlineLevel="3" x14ac:dyDescent="0.2">
      <c r="A304" s="14" t="s">
        <v>596</v>
      </c>
      <c r="B304" s="15" t="s">
        <v>597</v>
      </c>
      <c r="C304" s="16">
        <f>83.68/(1+B2)</f>
        <v>83.68</v>
      </c>
      <c r="D304" s="17"/>
      <c r="E304" s="17" t="s">
        <v>11</v>
      </c>
      <c r="F304" s="18"/>
      <c r="G304" s="36" t="str">
        <f>IF(ISNUMBER(F304),C304*F304,"")</f>
        <v/>
      </c>
    </row>
    <row r="305" spans="1:7" ht="12" customHeight="1" outlineLevel="3" x14ac:dyDescent="0.2">
      <c r="A305" s="14" t="s">
        <v>598</v>
      </c>
      <c r="B305" s="15" t="s">
        <v>599</v>
      </c>
      <c r="C305" s="16">
        <f>90.84/(1+B2)</f>
        <v>90.84</v>
      </c>
      <c r="D305" s="17" t="s">
        <v>11</v>
      </c>
      <c r="E305" s="17" t="s">
        <v>11</v>
      </c>
      <c r="F305" s="18"/>
      <c r="G305" s="36" t="str">
        <f>IF(ISNUMBER(F305),C305*F305,"")</f>
        <v/>
      </c>
    </row>
    <row r="306" spans="1:7" ht="12" customHeight="1" outlineLevel="3" x14ac:dyDescent="0.2">
      <c r="A306" s="14" t="s">
        <v>600</v>
      </c>
      <c r="B306" s="15" t="s">
        <v>601</v>
      </c>
      <c r="C306" s="16">
        <f>122.82/(1+B2)</f>
        <v>122.82</v>
      </c>
      <c r="D306" s="17" t="s">
        <v>11</v>
      </c>
      <c r="E306" s="17" t="s">
        <v>11</v>
      </c>
      <c r="F306" s="18"/>
      <c r="G306" s="36" t="str">
        <f>IF(ISNUMBER(F306),C306*F306,"")</f>
        <v/>
      </c>
    </row>
    <row r="307" spans="1:7" ht="12" customHeight="1" outlineLevel="3" x14ac:dyDescent="0.2">
      <c r="A307" s="14" t="s">
        <v>602</v>
      </c>
      <c r="B307" s="15" t="s">
        <v>603</v>
      </c>
      <c r="C307" s="16">
        <f>117.74/(1+B2)</f>
        <v>117.74</v>
      </c>
      <c r="D307" s="17" t="s">
        <v>11</v>
      </c>
      <c r="E307" s="17"/>
      <c r="F307" s="18"/>
      <c r="G307" s="36" t="str">
        <f>IF(ISNUMBER(F307),C307*F307,"")</f>
        <v/>
      </c>
    </row>
    <row r="308" spans="1:7" ht="12" customHeight="1" outlineLevel="3" x14ac:dyDescent="0.2">
      <c r="A308" s="14" t="s">
        <v>604</v>
      </c>
      <c r="B308" s="15" t="s">
        <v>605</v>
      </c>
      <c r="C308" s="16">
        <f>187.92/(1+B2)</f>
        <v>187.92</v>
      </c>
      <c r="D308" s="17" t="s">
        <v>11</v>
      </c>
      <c r="E308" s="17" t="s">
        <v>11</v>
      </c>
      <c r="F308" s="18"/>
      <c r="G308" s="36" t="str">
        <f>IF(ISNUMBER(F308),C308*F308,"")</f>
        <v/>
      </c>
    </row>
    <row r="309" spans="1:7" ht="12" customHeight="1" outlineLevel="3" x14ac:dyDescent="0.2">
      <c r="A309" s="14" t="s">
        <v>606</v>
      </c>
      <c r="B309" s="15" t="s">
        <v>607</v>
      </c>
      <c r="C309" s="16">
        <f>304.07/(1+B2)</f>
        <v>304.07</v>
      </c>
      <c r="D309" s="17" t="s">
        <v>11</v>
      </c>
      <c r="E309" s="17" t="s">
        <v>11</v>
      </c>
      <c r="F309" s="18"/>
      <c r="G309" s="36" t="str">
        <f>IF(ISNUMBER(F309),C309*F309,"")</f>
        <v/>
      </c>
    </row>
    <row r="310" spans="1:7" ht="12" customHeight="1" outlineLevel="3" x14ac:dyDescent="0.2">
      <c r="A310" s="14" t="s">
        <v>608</v>
      </c>
      <c r="B310" s="15" t="s">
        <v>609</v>
      </c>
      <c r="C310" s="16">
        <f>411.87/(1+B2)</f>
        <v>411.87</v>
      </c>
      <c r="D310" s="17" t="s">
        <v>11</v>
      </c>
      <c r="E310" s="17" t="s">
        <v>53</v>
      </c>
      <c r="F310" s="18"/>
      <c r="G310" s="36" t="str">
        <f>IF(ISNUMBER(F310),C310*F310,"")</f>
        <v/>
      </c>
    </row>
    <row r="311" spans="1:7" ht="12" customHeight="1" outlineLevel="3" x14ac:dyDescent="0.2">
      <c r="A311" s="14" t="s">
        <v>610</v>
      </c>
      <c r="B311" s="15" t="s">
        <v>611</v>
      </c>
      <c r="C311" s="16">
        <f>443.24/(1+B2)</f>
        <v>443.24</v>
      </c>
      <c r="D311" s="17" t="s">
        <v>11</v>
      </c>
      <c r="E311" s="17"/>
      <c r="F311" s="18"/>
      <c r="G311" s="36" t="str">
        <f>IF(ISNUMBER(F311),C311*F311,"")</f>
        <v/>
      </c>
    </row>
    <row r="312" spans="1:7" ht="12" customHeight="1" outlineLevel="3" x14ac:dyDescent="0.2">
      <c r="A312" s="14" t="s">
        <v>612</v>
      </c>
      <c r="B312" s="15" t="s">
        <v>613</v>
      </c>
      <c r="C312" s="16">
        <f>92.4/(1+B2)</f>
        <v>92.4</v>
      </c>
      <c r="D312" s="17" t="s">
        <v>11</v>
      </c>
      <c r="E312" s="17"/>
      <c r="F312" s="18"/>
      <c r="G312" s="36" t="str">
        <f>IF(ISNUMBER(F312),C312*F312,"")</f>
        <v/>
      </c>
    </row>
    <row r="313" spans="1:7" ht="12" customHeight="1" outlineLevel="3" x14ac:dyDescent="0.2">
      <c r="A313" s="14" t="s">
        <v>614</v>
      </c>
      <c r="B313" s="15" t="s">
        <v>615</v>
      </c>
      <c r="C313" s="16">
        <f>91/(1+B2)</f>
        <v>91</v>
      </c>
      <c r="D313" s="17" t="s">
        <v>11</v>
      </c>
      <c r="E313" s="17" t="s">
        <v>53</v>
      </c>
      <c r="F313" s="18"/>
      <c r="G313" s="36" t="str">
        <f>IF(ISNUMBER(F313),C313*F313,"")</f>
        <v/>
      </c>
    </row>
    <row r="314" spans="1:7" ht="12" customHeight="1" outlineLevel="3" x14ac:dyDescent="0.2">
      <c r="A314" s="14" t="s">
        <v>616</v>
      </c>
      <c r="B314" s="15" t="s">
        <v>617</v>
      </c>
      <c r="C314" s="16">
        <f>174/(1+B2)</f>
        <v>174</v>
      </c>
      <c r="D314" s="17" t="s">
        <v>11</v>
      </c>
      <c r="E314" s="17"/>
      <c r="F314" s="18"/>
      <c r="G314" s="36" t="str">
        <f>IF(ISNUMBER(F314),C314*F314,"")</f>
        <v/>
      </c>
    </row>
    <row r="315" spans="1:7" ht="12" customHeight="1" outlineLevel="3" x14ac:dyDescent="0.2">
      <c r="A315" s="14" t="s">
        <v>618</v>
      </c>
      <c r="B315" s="15" t="s">
        <v>619</v>
      </c>
      <c r="C315" s="16">
        <f>217.2/(1+B2)</f>
        <v>217.2</v>
      </c>
      <c r="D315" s="17" t="s">
        <v>11</v>
      </c>
      <c r="E315" s="17" t="s">
        <v>14</v>
      </c>
      <c r="F315" s="18"/>
      <c r="G315" s="36" t="str">
        <f>IF(ISNUMBER(F315),C315*F315,"")</f>
        <v/>
      </c>
    </row>
    <row r="316" spans="1:7" ht="12" customHeight="1" outlineLevel="3" x14ac:dyDescent="0.2">
      <c r="A316" s="14" t="s">
        <v>620</v>
      </c>
      <c r="B316" s="15" t="s">
        <v>621</v>
      </c>
      <c r="C316" s="16">
        <f>214.63/(1+B2)</f>
        <v>214.63</v>
      </c>
      <c r="D316" s="17" t="s">
        <v>11</v>
      </c>
      <c r="E316" s="17" t="s">
        <v>11</v>
      </c>
      <c r="F316" s="18"/>
      <c r="G316" s="36" t="str">
        <f>IF(ISNUMBER(F316),C316*F316,"")</f>
        <v/>
      </c>
    </row>
    <row r="317" spans="1:7" ht="12" customHeight="1" outlineLevel="3" x14ac:dyDescent="0.2">
      <c r="A317" s="14" t="s">
        <v>622</v>
      </c>
      <c r="B317" s="15" t="s">
        <v>623</v>
      </c>
      <c r="C317" s="16">
        <f>110.4/(1+B2)</f>
        <v>110.4</v>
      </c>
      <c r="D317" s="17" t="s">
        <v>11</v>
      </c>
      <c r="E317" s="17" t="s">
        <v>14</v>
      </c>
      <c r="F317" s="18"/>
      <c r="G317" s="36" t="str">
        <f>IF(ISNUMBER(F317),C317*F317,"")</f>
        <v/>
      </c>
    </row>
    <row r="318" spans="1:7" ht="12" customHeight="1" outlineLevel="3" x14ac:dyDescent="0.2">
      <c r="A318" s="14" t="s">
        <v>624</v>
      </c>
      <c r="B318" s="15" t="s">
        <v>625</v>
      </c>
      <c r="C318" s="16">
        <f>145.2/(1+B2)</f>
        <v>145.19999999999999</v>
      </c>
      <c r="D318" s="17" t="s">
        <v>11</v>
      </c>
      <c r="E318" s="17" t="s">
        <v>53</v>
      </c>
      <c r="F318" s="18"/>
      <c r="G318" s="36" t="str">
        <f>IF(ISNUMBER(F318),C318*F318,"")</f>
        <v/>
      </c>
    </row>
    <row r="319" spans="1:7" ht="12" customHeight="1" outlineLevel="3" x14ac:dyDescent="0.2">
      <c r="A319" s="14" t="s">
        <v>626</v>
      </c>
      <c r="B319" s="15" t="s">
        <v>627</v>
      </c>
      <c r="C319" s="16">
        <f>178.8/(1+B2)</f>
        <v>178.8</v>
      </c>
      <c r="D319" s="17" t="s">
        <v>11</v>
      </c>
      <c r="E319" s="17" t="s">
        <v>14</v>
      </c>
      <c r="F319" s="18"/>
      <c r="G319" s="36" t="str">
        <f>IF(ISNUMBER(F319),C319*F319,"")</f>
        <v/>
      </c>
    </row>
    <row r="320" spans="1:7" ht="12" customHeight="1" outlineLevel="3" x14ac:dyDescent="0.2">
      <c r="A320" s="14" t="s">
        <v>628</v>
      </c>
      <c r="B320" s="15" t="s">
        <v>629</v>
      </c>
      <c r="C320" s="16">
        <f>228/(1+B2)</f>
        <v>228</v>
      </c>
      <c r="D320" s="17" t="s">
        <v>11</v>
      </c>
      <c r="E320" s="17"/>
      <c r="F320" s="18"/>
      <c r="G320" s="36" t="str">
        <f>IF(ISNUMBER(F320),C320*F320,"")</f>
        <v/>
      </c>
    </row>
    <row r="321" spans="1:7" ht="12" customHeight="1" outlineLevel="3" x14ac:dyDescent="0.2">
      <c r="A321" s="14" t="s">
        <v>630</v>
      </c>
      <c r="B321" s="15" t="s">
        <v>631</v>
      </c>
      <c r="C321" s="16">
        <f>48.91/(1+B2)</f>
        <v>48.91</v>
      </c>
      <c r="D321" s="17"/>
      <c r="E321" s="17" t="s">
        <v>53</v>
      </c>
      <c r="F321" s="18"/>
      <c r="G321" s="36" t="str">
        <f>IF(ISNUMBER(F321),C321*F321,"")</f>
        <v/>
      </c>
    </row>
    <row r="322" spans="1:7" ht="12" customHeight="1" outlineLevel="3" x14ac:dyDescent="0.2">
      <c r="A322" s="14" t="s">
        <v>632</v>
      </c>
      <c r="B322" s="15" t="s">
        <v>633</v>
      </c>
      <c r="C322" s="16">
        <f>67.11/(1+B2)</f>
        <v>67.11</v>
      </c>
      <c r="D322" s="17" t="s">
        <v>11</v>
      </c>
      <c r="E322" s="17" t="s">
        <v>53</v>
      </c>
      <c r="F322" s="18"/>
      <c r="G322" s="36" t="str">
        <f>IF(ISNUMBER(F322),C322*F322,"")</f>
        <v/>
      </c>
    </row>
    <row r="323" spans="1:7" ht="12" customHeight="1" outlineLevel="3" x14ac:dyDescent="0.2">
      <c r="A323" s="14" t="s">
        <v>634</v>
      </c>
      <c r="B323" s="15" t="s">
        <v>635</v>
      </c>
      <c r="C323" s="16">
        <f>78.49/(1+B2)</f>
        <v>78.489999999999995</v>
      </c>
      <c r="D323" s="17"/>
      <c r="E323" s="17" t="s">
        <v>53</v>
      </c>
      <c r="F323" s="18"/>
      <c r="G323" s="36" t="str">
        <f>IF(ISNUMBER(F323),C323*F323,"")</f>
        <v/>
      </c>
    </row>
    <row r="324" spans="1:7" ht="12" customHeight="1" outlineLevel="3" x14ac:dyDescent="0.2">
      <c r="A324" s="14" t="s">
        <v>636</v>
      </c>
      <c r="B324" s="15" t="s">
        <v>637</v>
      </c>
      <c r="C324" s="16">
        <f>123.99/(1+B2)</f>
        <v>123.99</v>
      </c>
      <c r="D324" s="17" t="s">
        <v>11</v>
      </c>
      <c r="E324" s="17" t="s">
        <v>53</v>
      </c>
      <c r="F324" s="18"/>
      <c r="G324" s="36" t="str">
        <f>IF(ISNUMBER(F324),C324*F324,"")</f>
        <v/>
      </c>
    </row>
    <row r="325" spans="1:7" ht="12" customHeight="1" outlineLevel="3" x14ac:dyDescent="0.2">
      <c r="A325" s="14" t="s">
        <v>638</v>
      </c>
      <c r="B325" s="15" t="s">
        <v>639</v>
      </c>
      <c r="C325" s="16">
        <f>131.95/(1+B2)</f>
        <v>131.94999999999999</v>
      </c>
      <c r="D325" s="17" t="s">
        <v>11</v>
      </c>
      <c r="E325" s="17" t="s">
        <v>14</v>
      </c>
      <c r="F325" s="18"/>
      <c r="G325" s="36" t="str">
        <f>IF(ISNUMBER(F325),C325*F325,"")</f>
        <v/>
      </c>
    </row>
    <row r="326" spans="1:7" ht="12" customHeight="1" outlineLevel="3" x14ac:dyDescent="0.2">
      <c r="A326" s="14" t="s">
        <v>640</v>
      </c>
      <c r="B326" s="15" t="s">
        <v>641</v>
      </c>
      <c r="C326" s="16">
        <f>185.41/(1+B2)</f>
        <v>185.41</v>
      </c>
      <c r="D326" s="17" t="s">
        <v>11</v>
      </c>
      <c r="E326" s="17" t="s">
        <v>11</v>
      </c>
      <c r="F326" s="18"/>
      <c r="G326" s="36" t="str">
        <f>IF(ISNUMBER(F326),C326*F326,"")</f>
        <v/>
      </c>
    </row>
    <row r="327" spans="1:7" ht="12" customHeight="1" outlineLevel="3" x14ac:dyDescent="0.2">
      <c r="A327" s="14" t="s">
        <v>642</v>
      </c>
      <c r="B327" s="15" t="s">
        <v>643</v>
      </c>
      <c r="C327" s="16">
        <f>202.48/(1+B2)</f>
        <v>202.48</v>
      </c>
      <c r="D327" s="17" t="s">
        <v>11</v>
      </c>
      <c r="E327" s="17" t="s">
        <v>14</v>
      </c>
      <c r="F327" s="18"/>
      <c r="G327" s="36" t="str">
        <f>IF(ISNUMBER(F327),C327*F327,"")</f>
        <v/>
      </c>
    </row>
    <row r="328" spans="1:7" ht="12" customHeight="1" outlineLevel="3" x14ac:dyDescent="0.2">
      <c r="A328" s="14" t="s">
        <v>644</v>
      </c>
      <c r="B328" s="15" t="s">
        <v>645</v>
      </c>
      <c r="C328" s="16">
        <f>343.2/(1+B2)</f>
        <v>343.2</v>
      </c>
      <c r="D328" s="17" t="s">
        <v>14</v>
      </c>
      <c r="E328" s="17" t="s">
        <v>14</v>
      </c>
      <c r="F328" s="18"/>
      <c r="G328" s="36" t="str">
        <f>IF(ISNUMBER(F328),C328*F328,"")</f>
        <v/>
      </c>
    </row>
    <row r="329" spans="1:7" ht="12" customHeight="1" outlineLevel="3" x14ac:dyDescent="0.2">
      <c r="A329" s="14" t="s">
        <v>646</v>
      </c>
      <c r="B329" s="15" t="s">
        <v>647</v>
      </c>
      <c r="C329" s="16">
        <f>223.61/(1+B2)</f>
        <v>223.61</v>
      </c>
      <c r="D329" s="17" t="s">
        <v>14</v>
      </c>
      <c r="E329" s="17"/>
      <c r="F329" s="18"/>
      <c r="G329" s="36" t="str">
        <f>IF(ISNUMBER(F329),C329*F329,"")</f>
        <v/>
      </c>
    </row>
    <row r="330" spans="1:7" ht="24" customHeight="1" outlineLevel="3" x14ac:dyDescent="0.2">
      <c r="A330" s="14" t="s">
        <v>648</v>
      </c>
      <c r="B330" s="15" t="s">
        <v>649</v>
      </c>
      <c r="C330" s="16">
        <f>287.91/(1+B2)</f>
        <v>287.91000000000003</v>
      </c>
      <c r="D330" s="17" t="s">
        <v>11</v>
      </c>
      <c r="E330" s="17" t="s">
        <v>106</v>
      </c>
      <c r="F330" s="18"/>
      <c r="G330" s="36" t="str">
        <f>IF(ISNUMBER(F330),C330*F330,"")</f>
        <v/>
      </c>
    </row>
    <row r="331" spans="1:7" ht="12" customHeight="1" outlineLevel="3" x14ac:dyDescent="0.2">
      <c r="A331" s="14" t="s">
        <v>650</v>
      </c>
      <c r="B331" s="15" t="s">
        <v>651</v>
      </c>
      <c r="C331" s="16">
        <f>286.19/(1+B2)</f>
        <v>286.19</v>
      </c>
      <c r="D331" s="17" t="s">
        <v>11</v>
      </c>
      <c r="E331" s="17"/>
      <c r="F331" s="18"/>
      <c r="G331" s="36" t="str">
        <f>IF(ISNUMBER(F331),C331*F331,"")</f>
        <v/>
      </c>
    </row>
    <row r="332" spans="1:7" ht="12" customHeight="1" outlineLevel="3" x14ac:dyDescent="0.2">
      <c r="A332" s="14" t="s">
        <v>652</v>
      </c>
      <c r="B332" s="15" t="s">
        <v>653</v>
      </c>
      <c r="C332" s="16">
        <f>406.85/(1+B2)</f>
        <v>406.85</v>
      </c>
      <c r="D332" s="17" t="s">
        <v>11</v>
      </c>
      <c r="E332" s="17" t="s">
        <v>11</v>
      </c>
      <c r="F332" s="18"/>
      <c r="G332" s="36" t="str">
        <f>IF(ISNUMBER(F332),C332*F332,"")</f>
        <v/>
      </c>
    </row>
    <row r="333" spans="1:7" ht="12" customHeight="1" outlineLevel="3" x14ac:dyDescent="0.2">
      <c r="A333" s="14" t="s">
        <v>654</v>
      </c>
      <c r="B333" s="15" t="s">
        <v>655</v>
      </c>
      <c r="C333" s="16">
        <f>546.66/(1+B2)</f>
        <v>546.66</v>
      </c>
      <c r="D333" s="17" t="s">
        <v>14</v>
      </c>
      <c r="E333" s="17"/>
      <c r="F333" s="18"/>
      <c r="G333" s="36" t="str">
        <f>IF(ISNUMBER(F333),C333*F333,"")</f>
        <v/>
      </c>
    </row>
    <row r="334" spans="1:7" ht="12" customHeight="1" outlineLevel="3" x14ac:dyDescent="0.2">
      <c r="A334" s="14" t="s">
        <v>656</v>
      </c>
      <c r="B334" s="15" t="s">
        <v>657</v>
      </c>
      <c r="C334" s="16">
        <f>280.3/(1+B2)</f>
        <v>280.3</v>
      </c>
      <c r="D334" s="17" t="s">
        <v>53</v>
      </c>
      <c r="E334" s="17" t="s">
        <v>11</v>
      </c>
      <c r="F334" s="18"/>
      <c r="G334" s="36" t="str">
        <f>IF(ISNUMBER(F334),C334*F334,"")</f>
        <v/>
      </c>
    </row>
    <row r="335" spans="1:7" ht="12" customHeight="1" outlineLevel="3" x14ac:dyDescent="0.2">
      <c r="A335" s="14" t="s">
        <v>658</v>
      </c>
      <c r="B335" s="15" t="s">
        <v>659</v>
      </c>
      <c r="C335" s="16">
        <f>281.64/(1+B2)</f>
        <v>281.64</v>
      </c>
      <c r="D335" s="17" t="s">
        <v>11</v>
      </c>
      <c r="E335" s="17"/>
      <c r="F335" s="18"/>
      <c r="G335" s="36" t="str">
        <f>IF(ISNUMBER(F335),C335*F335,"")</f>
        <v/>
      </c>
    </row>
    <row r="336" spans="1:7" ht="12" customHeight="1" outlineLevel="3" x14ac:dyDescent="0.2">
      <c r="A336" s="14" t="s">
        <v>660</v>
      </c>
      <c r="B336" s="15" t="s">
        <v>661</v>
      </c>
      <c r="C336" s="16">
        <f>281.64/(1+B2)</f>
        <v>281.64</v>
      </c>
      <c r="D336" s="17" t="s">
        <v>53</v>
      </c>
      <c r="E336" s="17"/>
      <c r="F336" s="18"/>
      <c r="G336" s="36" t="str">
        <f>IF(ISNUMBER(F336),C336*F336,"")</f>
        <v/>
      </c>
    </row>
    <row r="337" spans="1:7" ht="12" customHeight="1" outlineLevel="3" x14ac:dyDescent="0.2">
      <c r="A337" s="14" t="s">
        <v>662</v>
      </c>
      <c r="B337" s="15" t="s">
        <v>663</v>
      </c>
      <c r="C337" s="16">
        <f>222.63/(1+B2)</f>
        <v>222.63</v>
      </c>
      <c r="D337" s="17" t="s">
        <v>11</v>
      </c>
      <c r="E337" s="17" t="s">
        <v>11</v>
      </c>
      <c r="F337" s="18"/>
      <c r="G337" s="36" t="str">
        <f>IF(ISNUMBER(F337),C337*F337,"")</f>
        <v/>
      </c>
    </row>
    <row r="338" spans="1:7" ht="12" customHeight="1" outlineLevel="3" x14ac:dyDescent="0.2">
      <c r="A338" s="14" t="s">
        <v>664</v>
      </c>
      <c r="B338" s="15" t="s">
        <v>665</v>
      </c>
      <c r="C338" s="16">
        <f>249.45/(1+B2)</f>
        <v>249.45</v>
      </c>
      <c r="D338" s="17" t="s">
        <v>106</v>
      </c>
      <c r="E338" s="17"/>
      <c r="F338" s="18"/>
      <c r="G338" s="36" t="str">
        <f>IF(ISNUMBER(F338),C338*F338,"")</f>
        <v/>
      </c>
    </row>
    <row r="339" spans="1:7" ht="12" customHeight="1" outlineLevel="3" x14ac:dyDescent="0.2">
      <c r="A339" s="14" t="s">
        <v>666</v>
      </c>
      <c r="B339" s="15" t="s">
        <v>667</v>
      </c>
      <c r="C339" s="16">
        <f>293.44/(1+B2)</f>
        <v>293.44</v>
      </c>
      <c r="D339" s="17" t="s">
        <v>11</v>
      </c>
      <c r="E339" s="17"/>
      <c r="F339" s="18"/>
      <c r="G339" s="36" t="str">
        <f>IF(ISNUMBER(F339),C339*F339,"")</f>
        <v/>
      </c>
    </row>
    <row r="340" spans="1:7" ht="12" customHeight="1" outlineLevel="3" x14ac:dyDescent="0.2">
      <c r="A340" s="14" t="s">
        <v>668</v>
      </c>
      <c r="B340" s="15" t="s">
        <v>669</v>
      </c>
      <c r="C340" s="16">
        <f>373.09/(1+B2)</f>
        <v>373.09</v>
      </c>
      <c r="D340" s="17" t="s">
        <v>11</v>
      </c>
      <c r="E340" s="17" t="s">
        <v>11</v>
      </c>
      <c r="F340" s="18"/>
      <c r="G340" s="36" t="str">
        <f>IF(ISNUMBER(F340),C340*F340,"")</f>
        <v/>
      </c>
    </row>
    <row r="341" spans="1:7" ht="12" customHeight="1" outlineLevel="3" x14ac:dyDescent="0.2">
      <c r="A341" s="14" t="s">
        <v>670</v>
      </c>
      <c r="B341" s="15" t="s">
        <v>671</v>
      </c>
      <c r="C341" s="16">
        <f>665.15/(1+B2)</f>
        <v>665.15</v>
      </c>
      <c r="D341" s="17" t="s">
        <v>11</v>
      </c>
      <c r="E341" s="17"/>
      <c r="F341" s="18"/>
      <c r="G341" s="36" t="str">
        <f>IF(ISNUMBER(F341),C341*F341,"")</f>
        <v/>
      </c>
    </row>
    <row r="342" spans="1:7" ht="12" customHeight="1" outlineLevel="3" x14ac:dyDescent="0.2">
      <c r="A342" s="14" t="s">
        <v>672</v>
      </c>
      <c r="B342" s="15" t="s">
        <v>673</v>
      </c>
      <c r="C342" s="16">
        <f>505.83/(1+B2)</f>
        <v>505.83</v>
      </c>
      <c r="D342" s="17" t="s">
        <v>11</v>
      </c>
      <c r="E342" s="17"/>
      <c r="F342" s="18"/>
      <c r="G342" s="36" t="str">
        <f>IF(ISNUMBER(F342),C342*F342,"")</f>
        <v/>
      </c>
    </row>
    <row r="343" spans="1:7" ht="12" customHeight="1" outlineLevel="3" x14ac:dyDescent="0.2">
      <c r="A343" s="14" t="s">
        <v>674</v>
      </c>
      <c r="B343" s="15" t="s">
        <v>675</v>
      </c>
      <c r="C343" s="16">
        <f>732.64/(1+B2)</f>
        <v>732.64</v>
      </c>
      <c r="D343" s="17" t="s">
        <v>11</v>
      </c>
      <c r="E343" s="17"/>
      <c r="F343" s="18"/>
      <c r="G343" s="36" t="str">
        <f>IF(ISNUMBER(F343),C343*F343,"")</f>
        <v/>
      </c>
    </row>
    <row r="344" spans="1:7" ht="12" customHeight="1" outlineLevel="3" x14ac:dyDescent="0.2">
      <c r="A344" s="14" t="s">
        <v>676</v>
      </c>
      <c r="B344" s="15" t="s">
        <v>677</v>
      </c>
      <c r="C344" s="16">
        <f>107.23/(1+B2)</f>
        <v>107.23</v>
      </c>
      <c r="D344" s="17" t="s">
        <v>53</v>
      </c>
      <c r="E344" s="17"/>
      <c r="F344" s="18"/>
      <c r="G344" s="36" t="str">
        <f>IF(ISNUMBER(F344),C344*F344,"")</f>
        <v/>
      </c>
    </row>
    <row r="345" spans="1:7" ht="12" customHeight="1" outlineLevel="3" x14ac:dyDescent="0.2">
      <c r="A345" s="14" t="s">
        <v>678</v>
      </c>
      <c r="B345" s="15" t="s">
        <v>679</v>
      </c>
      <c r="C345" s="16">
        <f>121.29/(1+B2)</f>
        <v>121.29</v>
      </c>
      <c r="D345" s="17" t="s">
        <v>11</v>
      </c>
      <c r="E345" s="17" t="s">
        <v>14</v>
      </c>
      <c r="F345" s="18"/>
      <c r="G345" s="36" t="str">
        <f>IF(ISNUMBER(F345),C345*F345,"")</f>
        <v/>
      </c>
    </row>
    <row r="346" spans="1:7" ht="12" customHeight="1" outlineLevel="3" x14ac:dyDescent="0.2">
      <c r="A346" s="14" t="s">
        <v>680</v>
      </c>
      <c r="B346" s="15" t="s">
        <v>681</v>
      </c>
      <c r="C346" s="16">
        <f>221.59/(1+B2)</f>
        <v>221.59</v>
      </c>
      <c r="D346" s="17" t="s">
        <v>11</v>
      </c>
      <c r="E346" s="17" t="s">
        <v>14</v>
      </c>
      <c r="F346" s="18"/>
      <c r="G346" s="36" t="str">
        <f>IF(ISNUMBER(F346),C346*F346,"")</f>
        <v/>
      </c>
    </row>
    <row r="347" spans="1:7" ht="12" customHeight="1" outlineLevel="3" x14ac:dyDescent="0.2">
      <c r="A347" s="14" t="s">
        <v>682</v>
      </c>
      <c r="B347" s="15" t="s">
        <v>683</v>
      </c>
      <c r="C347" s="16">
        <f>238.71/(1+B2)</f>
        <v>238.71</v>
      </c>
      <c r="D347" s="17" t="s">
        <v>11</v>
      </c>
      <c r="E347" s="17"/>
      <c r="F347" s="18"/>
      <c r="G347" s="36" t="str">
        <f>IF(ISNUMBER(F347),C347*F347,"")</f>
        <v/>
      </c>
    </row>
    <row r="348" spans="1:7" ht="12" customHeight="1" outlineLevel="3" x14ac:dyDescent="0.2">
      <c r="A348" s="14" t="s">
        <v>684</v>
      </c>
      <c r="B348" s="15" t="s">
        <v>685</v>
      </c>
      <c r="C348" s="16">
        <f>342.8/(1+B2)</f>
        <v>342.8</v>
      </c>
      <c r="D348" s="17" t="s">
        <v>11</v>
      </c>
      <c r="E348" s="17" t="s">
        <v>11</v>
      </c>
      <c r="F348" s="18"/>
      <c r="G348" s="36" t="str">
        <f>IF(ISNUMBER(F348),C348*F348,"")</f>
        <v/>
      </c>
    </row>
    <row r="349" spans="1:7" ht="12" customHeight="1" outlineLevel="3" x14ac:dyDescent="0.2">
      <c r="A349" s="14" t="s">
        <v>686</v>
      </c>
      <c r="B349" s="15" t="s">
        <v>687</v>
      </c>
      <c r="C349" s="16">
        <f>351.85/(1+B2)</f>
        <v>351.85</v>
      </c>
      <c r="D349" s="17" t="s">
        <v>11</v>
      </c>
      <c r="E349" s="17" t="s">
        <v>11</v>
      </c>
      <c r="F349" s="18"/>
      <c r="G349" s="36" t="str">
        <f>IF(ISNUMBER(F349),C349*F349,"")</f>
        <v/>
      </c>
    </row>
    <row r="350" spans="1:7" ht="12" customHeight="1" outlineLevel="3" x14ac:dyDescent="0.2">
      <c r="A350" s="14" t="s">
        <v>688</v>
      </c>
      <c r="B350" s="15" t="s">
        <v>689</v>
      </c>
      <c r="C350" s="16">
        <f>530.64/(1+B2)</f>
        <v>530.64</v>
      </c>
      <c r="D350" s="17" t="s">
        <v>11</v>
      </c>
      <c r="E350" s="17"/>
      <c r="F350" s="18"/>
      <c r="G350" s="36" t="str">
        <f>IF(ISNUMBER(F350),C350*F350,"")</f>
        <v/>
      </c>
    </row>
    <row r="351" spans="1:7" ht="12" customHeight="1" outlineLevel="3" x14ac:dyDescent="0.2">
      <c r="A351" s="14" t="s">
        <v>690</v>
      </c>
      <c r="B351" s="15" t="s">
        <v>691</v>
      </c>
      <c r="C351" s="16">
        <f>347.53/(1+B2)</f>
        <v>347.53</v>
      </c>
      <c r="D351" s="17" t="s">
        <v>11</v>
      </c>
      <c r="E351" s="17" t="s">
        <v>11</v>
      </c>
      <c r="F351" s="18"/>
      <c r="G351" s="36" t="str">
        <f>IF(ISNUMBER(F351),C351*F351,"")</f>
        <v/>
      </c>
    </row>
    <row r="352" spans="1:7" ht="12" customHeight="1" outlineLevel="3" x14ac:dyDescent="0.2">
      <c r="A352" s="14" t="s">
        <v>692</v>
      </c>
      <c r="B352" s="15" t="s">
        <v>693</v>
      </c>
      <c r="C352" s="16">
        <f>427/(1+B2)</f>
        <v>427</v>
      </c>
      <c r="D352" s="17" t="s">
        <v>11</v>
      </c>
      <c r="E352" s="17" t="s">
        <v>11</v>
      </c>
      <c r="F352" s="18"/>
      <c r="G352" s="36" t="str">
        <f>IF(ISNUMBER(F352),C352*F352,"")</f>
        <v/>
      </c>
    </row>
    <row r="353" spans="1:7" ht="12" customHeight="1" outlineLevel="3" x14ac:dyDescent="0.2">
      <c r="A353" s="14" t="s">
        <v>694</v>
      </c>
      <c r="B353" s="15" t="s">
        <v>695</v>
      </c>
      <c r="C353" s="16">
        <f>485.04/(1+B2)</f>
        <v>485.04</v>
      </c>
      <c r="D353" s="17" t="s">
        <v>11</v>
      </c>
      <c r="E353" s="17"/>
      <c r="F353" s="18"/>
      <c r="G353" s="36" t="str">
        <f>IF(ISNUMBER(F353),C353*F353,"")</f>
        <v/>
      </c>
    </row>
    <row r="354" spans="1:7" ht="12" customHeight="1" outlineLevel="3" x14ac:dyDescent="0.2">
      <c r="A354" s="14" t="s">
        <v>696</v>
      </c>
      <c r="B354" s="15" t="s">
        <v>697</v>
      </c>
      <c r="C354" s="16">
        <f>255.5/(1+B2)</f>
        <v>255.5</v>
      </c>
      <c r="D354" s="17" t="s">
        <v>11</v>
      </c>
      <c r="E354" s="17"/>
      <c r="F354" s="18"/>
      <c r="G354" s="36" t="str">
        <f>IF(ISNUMBER(F354),C354*F354,"")</f>
        <v/>
      </c>
    </row>
    <row r="355" spans="1:7" ht="12" customHeight="1" outlineLevel="3" x14ac:dyDescent="0.2">
      <c r="A355" s="14" t="s">
        <v>698</v>
      </c>
      <c r="B355" s="15" t="s">
        <v>699</v>
      </c>
      <c r="C355" s="16">
        <f>255.18/(1+B2)</f>
        <v>255.18</v>
      </c>
      <c r="D355" s="17" t="s">
        <v>11</v>
      </c>
      <c r="E355" s="17"/>
      <c r="F355" s="18"/>
      <c r="G355" s="36" t="str">
        <f>IF(ISNUMBER(F355),C355*F355,"")</f>
        <v/>
      </c>
    </row>
    <row r="356" spans="1:7" s="1" customFormat="1" ht="12.95" customHeight="1" outlineLevel="2" x14ac:dyDescent="0.2">
      <c r="A356" s="20"/>
      <c r="B356" s="21" t="s">
        <v>700</v>
      </c>
      <c r="C356" s="22"/>
      <c r="D356" s="22"/>
      <c r="E356" s="22"/>
      <c r="F356" s="22"/>
      <c r="G356" s="37"/>
    </row>
    <row r="357" spans="1:7" ht="12" customHeight="1" outlineLevel="3" x14ac:dyDescent="0.2">
      <c r="A357" s="14" t="s">
        <v>701</v>
      </c>
      <c r="B357" s="15" t="s">
        <v>702</v>
      </c>
      <c r="C357" s="16">
        <f>60.38/(1+B2)</f>
        <v>60.38</v>
      </c>
      <c r="D357" s="17" t="s">
        <v>11</v>
      </c>
      <c r="E357" s="17" t="s">
        <v>11</v>
      </c>
      <c r="F357" s="18"/>
      <c r="G357" s="36" t="str">
        <f>IF(ISNUMBER(F357),C357*F357,"")</f>
        <v/>
      </c>
    </row>
    <row r="358" spans="1:7" ht="12" customHeight="1" outlineLevel="3" x14ac:dyDescent="0.2">
      <c r="A358" s="14" t="s">
        <v>703</v>
      </c>
      <c r="B358" s="15" t="s">
        <v>704</v>
      </c>
      <c r="C358" s="16">
        <f>60.38/(1+B2)</f>
        <v>60.38</v>
      </c>
      <c r="D358" s="17" t="s">
        <v>11</v>
      </c>
      <c r="E358" s="17" t="s">
        <v>11</v>
      </c>
      <c r="F358" s="18"/>
      <c r="G358" s="36" t="str">
        <f>IF(ISNUMBER(F358),C358*F358,"")</f>
        <v/>
      </c>
    </row>
    <row r="359" spans="1:7" ht="12" customHeight="1" outlineLevel="3" x14ac:dyDescent="0.2">
      <c r="A359" s="14" t="s">
        <v>705</v>
      </c>
      <c r="B359" s="15" t="s">
        <v>706</v>
      </c>
      <c r="C359" s="16">
        <f>202.76/(1+B2)</f>
        <v>202.76</v>
      </c>
      <c r="D359" s="17" t="s">
        <v>11</v>
      </c>
      <c r="E359" s="17" t="s">
        <v>14</v>
      </c>
      <c r="F359" s="18"/>
      <c r="G359" s="36" t="str">
        <f>IF(ISNUMBER(F359),C359*F359,"")</f>
        <v/>
      </c>
    </row>
    <row r="360" spans="1:7" ht="12" customHeight="1" outlineLevel="3" x14ac:dyDescent="0.2">
      <c r="A360" s="14" t="s">
        <v>707</v>
      </c>
      <c r="B360" s="15" t="s">
        <v>708</v>
      </c>
      <c r="C360" s="16">
        <f>287.3/(1+B2)</f>
        <v>287.3</v>
      </c>
      <c r="D360" s="17" t="s">
        <v>11</v>
      </c>
      <c r="E360" s="17"/>
      <c r="F360" s="18"/>
      <c r="G360" s="36" t="str">
        <f>IF(ISNUMBER(F360),C360*F360,"")</f>
        <v/>
      </c>
    </row>
    <row r="361" spans="1:7" ht="12" customHeight="1" outlineLevel="3" x14ac:dyDescent="0.2">
      <c r="A361" s="14" t="s">
        <v>709</v>
      </c>
      <c r="B361" s="15" t="s">
        <v>710</v>
      </c>
      <c r="C361" s="16">
        <f>282.39/(1+B2)</f>
        <v>282.39</v>
      </c>
      <c r="D361" s="17" t="s">
        <v>11</v>
      </c>
      <c r="E361" s="17"/>
      <c r="F361" s="18"/>
      <c r="G361" s="36" t="str">
        <f>IF(ISNUMBER(F361),C361*F361,"")</f>
        <v/>
      </c>
    </row>
    <row r="362" spans="1:7" ht="12" customHeight="1" outlineLevel="3" x14ac:dyDescent="0.2">
      <c r="A362" s="14" t="s">
        <v>711</v>
      </c>
      <c r="B362" s="15" t="s">
        <v>712</v>
      </c>
      <c r="C362" s="16">
        <f>707.69/(1+B2)</f>
        <v>707.69</v>
      </c>
      <c r="D362" s="17" t="s">
        <v>11</v>
      </c>
      <c r="E362" s="17"/>
      <c r="F362" s="18"/>
      <c r="G362" s="36" t="str">
        <f>IF(ISNUMBER(F362),C362*F362,"")</f>
        <v/>
      </c>
    </row>
    <row r="363" spans="1:7" ht="12" customHeight="1" outlineLevel="3" x14ac:dyDescent="0.2">
      <c r="A363" s="14" t="s">
        <v>713</v>
      </c>
      <c r="B363" s="15" t="s">
        <v>714</v>
      </c>
      <c r="C363" s="16">
        <f>237.68/(1+B2)</f>
        <v>237.68</v>
      </c>
      <c r="D363" s="17" t="s">
        <v>11</v>
      </c>
      <c r="E363" s="17"/>
      <c r="F363" s="18"/>
      <c r="G363" s="36" t="str">
        <f>IF(ISNUMBER(F363),C363*F363,"")</f>
        <v/>
      </c>
    </row>
    <row r="364" spans="1:7" ht="12" customHeight="1" outlineLevel="3" x14ac:dyDescent="0.2">
      <c r="A364" s="14" t="s">
        <v>715</v>
      </c>
      <c r="B364" s="15" t="s">
        <v>716</v>
      </c>
      <c r="C364" s="16">
        <f>64.38/(1+B2)</f>
        <v>64.38</v>
      </c>
      <c r="D364" s="17" t="s">
        <v>53</v>
      </c>
      <c r="E364" s="17"/>
      <c r="F364" s="18"/>
      <c r="G364" s="36" t="str">
        <f>IF(ISNUMBER(F364),C364*F364,"")</f>
        <v/>
      </c>
    </row>
    <row r="365" spans="1:7" ht="12" customHeight="1" outlineLevel="3" x14ac:dyDescent="0.2">
      <c r="A365" s="14" t="s">
        <v>717</v>
      </c>
      <c r="B365" s="15" t="s">
        <v>718</v>
      </c>
      <c r="C365" s="16">
        <f>71.61/(1+B2)</f>
        <v>71.61</v>
      </c>
      <c r="D365" s="17" t="s">
        <v>106</v>
      </c>
      <c r="E365" s="17"/>
      <c r="F365" s="18"/>
      <c r="G365" s="36" t="str">
        <f>IF(ISNUMBER(F365),C365*F365,"")</f>
        <v/>
      </c>
    </row>
    <row r="366" spans="1:7" ht="12" customHeight="1" outlineLevel="3" x14ac:dyDescent="0.2">
      <c r="A366" s="14" t="s">
        <v>719</v>
      </c>
      <c r="B366" s="15" t="s">
        <v>720</v>
      </c>
      <c r="C366" s="16">
        <f>166.83/(1+B2)</f>
        <v>166.83</v>
      </c>
      <c r="D366" s="17" t="s">
        <v>14</v>
      </c>
      <c r="E366" s="17" t="s">
        <v>11</v>
      </c>
      <c r="F366" s="18"/>
      <c r="G366" s="36" t="str">
        <f>IF(ISNUMBER(F366),C366*F366,"")</f>
        <v/>
      </c>
    </row>
    <row r="367" spans="1:7" ht="12" customHeight="1" outlineLevel="3" x14ac:dyDescent="0.2">
      <c r="A367" s="14" t="s">
        <v>721</v>
      </c>
      <c r="B367" s="15" t="s">
        <v>722</v>
      </c>
      <c r="C367" s="16">
        <f>105.18/(1+B2)</f>
        <v>105.18</v>
      </c>
      <c r="D367" s="17"/>
      <c r="E367" s="17" t="s">
        <v>14</v>
      </c>
      <c r="F367" s="18"/>
      <c r="G367" s="36" t="str">
        <f>IF(ISNUMBER(F367),C367*F367,"")</f>
        <v/>
      </c>
    </row>
    <row r="368" spans="1:7" ht="12" customHeight="1" outlineLevel="3" x14ac:dyDescent="0.2">
      <c r="A368" s="14" t="s">
        <v>723</v>
      </c>
      <c r="B368" s="15" t="s">
        <v>724</v>
      </c>
      <c r="C368" s="16">
        <f>473.16/(1+B2)</f>
        <v>473.16</v>
      </c>
      <c r="D368" s="17" t="s">
        <v>11</v>
      </c>
      <c r="E368" s="17"/>
      <c r="F368" s="18"/>
      <c r="G368" s="36" t="str">
        <f>IF(ISNUMBER(F368),C368*F368,"")</f>
        <v/>
      </c>
    </row>
    <row r="369" spans="1:7" ht="12" customHeight="1" outlineLevel="3" x14ac:dyDescent="0.2">
      <c r="A369" s="14" t="s">
        <v>725</v>
      </c>
      <c r="B369" s="15" t="s">
        <v>726</v>
      </c>
      <c r="C369" s="16">
        <f>252.67/(1+B2)</f>
        <v>252.67</v>
      </c>
      <c r="D369" s="17" t="s">
        <v>11</v>
      </c>
      <c r="E369" s="17"/>
      <c r="F369" s="18"/>
      <c r="G369" s="36" t="str">
        <f>IF(ISNUMBER(F369),C369*F369,"")</f>
        <v/>
      </c>
    </row>
    <row r="370" spans="1:7" ht="12" customHeight="1" outlineLevel="3" x14ac:dyDescent="0.2">
      <c r="A370" s="14" t="s">
        <v>727</v>
      </c>
      <c r="B370" s="15" t="s">
        <v>728</v>
      </c>
      <c r="C370" s="16">
        <f>74.47/(1+B2)</f>
        <v>74.47</v>
      </c>
      <c r="D370" s="17" t="s">
        <v>11</v>
      </c>
      <c r="E370" s="17" t="s">
        <v>11</v>
      </c>
      <c r="F370" s="18"/>
      <c r="G370" s="36" t="str">
        <f>IF(ISNUMBER(F370),C370*F370,"")</f>
        <v/>
      </c>
    </row>
    <row r="371" spans="1:7" ht="12" customHeight="1" outlineLevel="3" x14ac:dyDescent="0.2">
      <c r="A371" s="14" t="s">
        <v>729</v>
      </c>
      <c r="B371" s="15" t="s">
        <v>730</v>
      </c>
      <c r="C371" s="16">
        <f>244.63/(1+B2)</f>
        <v>244.63</v>
      </c>
      <c r="D371" s="17" t="s">
        <v>11</v>
      </c>
      <c r="E371" s="17"/>
      <c r="F371" s="18"/>
      <c r="G371" s="36" t="str">
        <f>IF(ISNUMBER(F371),C371*F371,"")</f>
        <v/>
      </c>
    </row>
    <row r="372" spans="1:7" ht="12" customHeight="1" outlineLevel="3" x14ac:dyDescent="0.2">
      <c r="A372" s="14" t="s">
        <v>731</v>
      </c>
      <c r="B372" s="15" t="s">
        <v>732</v>
      </c>
      <c r="C372" s="16">
        <f>149.59/(1+B2)</f>
        <v>149.59</v>
      </c>
      <c r="D372" s="17" t="s">
        <v>11</v>
      </c>
      <c r="E372" s="17" t="s">
        <v>11</v>
      </c>
      <c r="F372" s="18"/>
      <c r="G372" s="36" t="str">
        <f>IF(ISNUMBER(F372),C372*F372,"")</f>
        <v/>
      </c>
    </row>
    <row r="373" spans="1:7" ht="12" customHeight="1" outlineLevel="3" x14ac:dyDescent="0.2">
      <c r="A373" s="14" t="s">
        <v>733</v>
      </c>
      <c r="B373" s="15" t="s">
        <v>734</v>
      </c>
      <c r="C373" s="16">
        <f>162.2/(1+B2)</f>
        <v>162.19999999999999</v>
      </c>
      <c r="D373" s="17" t="s">
        <v>11</v>
      </c>
      <c r="E373" s="17" t="s">
        <v>11</v>
      </c>
      <c r="F373" s="18"/>
      <c r="G373" s="36" t="str">
        <f>IF(ISNUMBER(F373),C373*F373,"")</f>
        <v/>
      </c>
    </row>
    <row r="374" spans="1:7" ht="24" customHeight="1" outlineLevel="3" x14ac:dyDescent="0.2">
      <c r="A374" s="14" t="s">
        <v>735</v>
      </c>
      <c r="B374" s="15" t="s">
        <v>736</v>
      </c>
      <c r="C374" s="16">
        <f>162/(1+B2)</f>
        <v>162</v>
      </c>
      <c r="D374" s="17" t="s">
        <v>11</v>
      </c>
      <c r="E374" s="17" t="s">
        <v>14</v>
      </c>
      <c r="F374" s="18"/>
      <c r="G374" s="36" t="str">
        <f>IF(ISNUMBER(F374),C374*F374,"")</f>
        <v/>
      </c>
    </row>
    <row r="375" spans="1:7" ht="24" customHeight="1" outlineLevel="3" x14ac:dyDescent="0.2">
      <c r="A375" s="14" t="s">
        <v>737</v>
      </c>
      <c r="B375" s="15" t="s">
        <v>738</v>
      </c>
      <c r="C375" s="16">
        <f>611.24/(1+B2)</f>
        <v>611.24</v>
      </c>
      <c r="D375" s="17" t="s">
        <v>11</v>
      </c>
      <c r="E375" s="17"/>
      <c r="F375" s="18"/>
      <c r="G375" s="36" t="str">
        <f>IF(ISNUMBER(F375),C375*F375,"")</f>
        <v/>
      </c>
    </row>
    <row r="376" spans="1:7" ht="12" customHeight="1" outlineLevel="3" x14ac:dyDescent="0.2">
      <c r="A376" s="14" t="s">
        <v>739</v>
      </c>
      <c r="B376" s="15" t="s">
        <v>740</v>
      </c>
      <c r="C376" s="16">
        <f>291.6/(1+B2)</f>
        <v>291.60000000000002</v>
      </c>
      <c r="D376" s="17" t="s">
        <v>53</v>
      </c>
      <c r="E376" s="17" t="s">
        <v>11</v>
      </c>
      <c r="F376" s="18"/>
      <c r="G376" s="36" t="str">
        <f>IF(ISNUMBER(F376),C376*F376,"")</f>
        <v/>
      </c>
    </row>
    <row r="377" spans="1:7" ht="12" customHeight="1" outlineLevel="3" x14ac:dyDescent="0.2">
      <c r="A377" s="14" t="s">
        <v>741</v>
      </c>
      <c r="B377" s="15" t="s">
        <v>742</v>
      </c>
      <c r="C377" s="16">
        <f>399.28/(1+B2)</f>
        <v>399.28</v>
      </c>
      <c r="D377" s="17" t="s">
        <v>11</v>
      </c>
      <c r="E377" s="17"/>
      <c r="F377" s="18"/>
      <c r="G377" s="36" t="str">
        <f>IF(ISNUMBER(F377),C377*F377,"")</f>
        <v/>
      </c>
    </row>
    <row r="378" spans="1:7" ht="12" customHeight="1" outlineLevel="3" x14ac:dyDescent="0.2">
      <c r="A378" s="14" t="s">
        <v>743</v>
      </c>
      <c r="B378" s="15" t="s">
        <v>744</v>
      </c>
      <c r="C378" s="16">
        <f>241.45/(1+B2)</f>
        <v>241.45</v>
      </c>
      <c r="D378" s="17" t="s">
        <v>11</v>
      </c>
      <c r="E378" s="17" t="s">
        <v>11</v>
      </c>
      <c r="F378" s="18"/>
      <c r="G378" s="36" t="str">
        <f>IF(ISNUMBER(F378),C378*F378,"")</f>
        <v/>
      </c>
    </row>
    <row r="379" spans="1:7" ht="12" customHeight="1" outlineLevel="3" x14ac:dyDescent="0.2">
      <c r="A379" s="14" t="s">
        <v>745</v>
      </c>
      <c r="B379" s="15" t="s">
        <v>746</v>
      </c>
      <c r="C379" s="16">
        <f>249.88/(1+B2)</f>
        <v>249.88</v>
      </c>
      <c r="D379" s="17" t="s">
        <v>11</v>
      </c>
      <c r="E379" s="17" t="s">
        <v>14</v>
      </c>
      <c r="F379" s="18"/>
      <c r="G379" s="36" t="str">
        <f>IF(ISNUMBER(F379),C379*F379,"")</f>
        <v/>
      </c>
    </row>
    <row r="380" spans="1:7" ht="12" customHeight="1" outlineLevel="3" x14ac:dyDescent="0.2">
      <c r="A380" s="14" t="s">
        <v>747</v>
      </c>
      <c r="B380" s="15" t="s">
        <v>748</v>
      </c>
      <c r="C380" s="16">
        <f>118.31/(1+B2)</f>
        <v>118.31</v>
      </c>
      <c r="D380" s="17" t="s">
        <v>11</v>
      </c>
      <c r="E380" s="17"/>
      <c r="F380" s="18"/>
      <c r="G380" s="36" t="str">
        <f>IF(ISNUMBER(F380),C380*F380,"")</f>
        <v/>
      </c>
    </row>
    <row r="381" spans="1:7" ht="12" customHeight="1" outlineLevel="3" x14ac:dyDescent="0.2">
      <c r="A381" s="14" t="s">
        <v>749</v>
      </c>
      <c r="B381" s="15" t="s">
        <v>750</v>
      </c>
      <c r="C381" s="16">
        <f>190.48/(1+B2)</f>
        <v>190.48</v>
      </c>
      <c r="D381" s="17" t="s">
        <v>11</v>
      </c>
      <c r="E381" s="17" t="s">
        <v>11</v>
      </c>
      <c r="F381" s="18"/>
      <c r="G381" s="36" t="str">
        <f>IF(ISNUMBER(F381),C381*F381,"")</f>
        <v/>
      </c>
    </row>
    <row r="382" spans="1:7" ht="12" customHeight="1" outlineLevel="3" x14ac:dyDescent="0.2">
      <c r="A382" s="14" t="s">
        <v>751</v>
      </c>
      <c r="B382" s="15" t="s">
        <v>752</v>
      </c>
      <c r="C382" s="16">
        <f>306.32/(1+B2)</f>
        <v>306.32</v>
      </c>
      <c r="D382" s="17" t="s">
        <v>11</v>
      </c>
      <c r="E382" s="17" t="s">
        <v>11</v>
      </c>
      <c r="F382" s="18"/>
      <c r="G382" s="36" t="str">
        <f>IF(ISNUMBER(F382),C382*F382,"")</f>
        <v/>
      </c>
    </row>
    <row r="383" spans="1:7" ht="24" customHeight="1" outlineLevel="3" x14ac:dyDescent="0.2">
      <c r="A383" s="14" t="s">
        <v>753</v>
      </c>
      <c r="B383" s="15" t="s">
        <v>754</v>
      </c>
      <c r="C383" s="16">
        <f>316.22/(1+B2)</f>
        <v>316.22000000000003</v>
      </c>
      <c r="D383" s="17" t="s">
        <v>11</v>
      </c>
      <c r="E383" s="17"/>
      <c r="F383" s="18"/>
      <c r="G383" s="36" t="str">
        <f>IF(ISNUMBER(F383),C383*F383,"")</f>
        <v/>
      </c>
    </row>
    <row r="384" spans="1:7" ht="12" customHeight="1" outlineLevel="3" x14ac:dyDescent="0.2">
      <c r="A384" s="14" t="s">
        <v>755</v>
      </c>
      <c r="B384" s="15" t="s">
        <v>756</v>
      </c>
      <c r="C384" s="16">
        <f>296.15/(1+B2)</f>
        <v>296.14999999999998</v>
      </c>
      <c r="D384" s="17" t="s">
        <v>11</v>
      </c>
      <c r="E384" s="17"/>
      <c r="F384" s="18"/>
      <c r="G384" s="36" t="str">
        <f>IF(ISNUMBER(F384),C384*F384,"")</f>
        <v/>
      </c>
    </row>
    <row r="385" spans="1:7" ht="12" customHeight="1" outlineLevel="3" x14ac:dyDescent="0.2">
      <c r="A385" s="14" t="s">
        <v>757</v>
      </c>
      <c r="B385" s="15" t="s">
        <v>758</v>
      </c>
      <c r="C385" s="16">
        <f>267.04/(1+B2)</f>
        <v>267.04000000000002</v>
      </c>
      <c r="D385" s="17" t="s">
        <v>53</v>
      </c>
      <c r="E385" s="17"/>
      <c r="F385" s="18"/>
      <c r="G385" s="36" t="str">
        <f>IF(ISNUMBER(F385),C385*F385,"")</f>
        <v/>
      </c>
    </row>
    <row r="386" spans="1:7" ht="12" customHeight="1" outlineLevel="3" x14ac:dyDescent="0.2">
      <c r="A386" s="14" t="s">
        <v>759</v>
      </c>
      <c r="B386" s="15" t="s">
        <v>760</v>
      </c>
      <c r="C386" s="16">
        <f>137.59/(1+B2)</f>
        <v>137.59</v>
      </c>
      <c r="D386" s="17"/>
      <c r="E386" s="17" t="s">
        <v>14</v>
      </c>
      <c r="F386" s="18"/>
      <c r="G386" s="36" t="str">
        <f>IF(ISNUMBER(F386),C386*F386,"")</f>
        <v/>
      </c>
    </row>
    <row r="387" spans="1:7" ht="12" customHeight="1" outlineLevel="3" x14ac:dyDescent="0.2">
      <c r="A387" s="14" t="s">
        <v>761</v>
      </c>
      <c r="B387" s="15" t="s">
        <v>762</v>
      </c>
      <c r="C387" s="16">
        <f>209.79/(1+B2)</f>
        <v>209.79</v>
      </c>
      <c r="D387" s="17" t="s">
        <v>11</v>
      </c>
      <c r="E387" s="17"/>
      <c r="F387" s="18"/>
      <c r="G387" s="36" t="str">
        <f>IF(ISNUMBER(F387),C387*F387,"")</f>
        <v/>
      </c>
    </row>
    <row r="388" spans="1:7" ht="12" customHeight="1" outlineLevel="3" x14ac:dyDescent="0.2">
      <c r="A388" s="14" t="s">
        <v>763</v>
      </c>
      <c r="B388" s="15" t="s">
        <v>764</v>
      </c>
      <c r="C388" s="16">
        <f>116.03/(1+B2)</f>
        <v>116.03</v>
      </c>
      <c r="D388" s="17"/>
      <c r="E388" s="17" t="s">
        <v>11</v>
      </c>
      <c r="F388" s="18"/>
      <c r="G388" s="36" t="str">
        <f>IF(ISNUMBER(F388),C388*F388,"")</f>
        <v/>
      </c>
    </row>
    <row r="389" spans="1:7" ht="12" customHeight="1" outlineLevel="3" x14ac:dyDescent="0.2">
      <c r="A389" s="14" t="s">
        <v>765</v>
      </c>
      <c r="B389" s="15" t="s">
        <v>766</v>
      </c>
      <c r="C389" s="16">
        <f>131.32/(1+B2)</f>
        <v>131.32</v>
      </c>
      <c r="D389" s="17" t="s">
        <v>11</v>
      </c>
      <c r="E389" s="17" t="s">
        <v>11</v>
      </c>
      <c r="F389" s="18"/>
      <c r="G389" s="36" t="str">
        <f>IF(ISNUMBER(F389),C389*F389,"")</f>
        <v/>
      </c>
    </row>
    <row r="390" spans="1:7" ht="12" customHeight="1" outlineLevel="3" x14ac:dyDescent="0.2">
      <c r="A390" s="14" t="s">
        <v>767</v>
      </c>
      <c r="B390" s="15" t="s">
        <v>768</v>
      </c>
      <c r="C390" s="16">
        <f>135.66/(1+B2)</f>
        <v>135.66</v>
      </c>
      <c r="D390" s="17" t="s">
        <v>11</v>
      </c>
      <c r="E390" s="17" t="s">
        <v>11</v>
      </c>
      <c r="F390" s="18"/>
      <c r="G390" s="36" t="str">
        <f>IF(ISNUMBER(F390),C390*F390,"")</f>
        <v/>
      </c>
    </row>
    <row r="391" spans="1:7" ht="12" customHeight="1" outlineLevel="3" x14ac:dyDescent="0.2">
      <c r="A391" s="14" t="s">
        <v>769</v>
      </c>
      <c r="B391" s="15" t="s">
        <v>770</v>
      </c>
      <c r="C391" s="16">
        <f>202.55/(1+B2)</f>
        <v>202.55</v>
      </c>
      <c r="D391" s="17" t="s">
        <v>11</v>
      </c>
      <c r="E391" s="17" t="s">
        <v>11</v>
      </c>
      <c r="F391" s="18"/>
      <c r="G391" s="36" t="str">
        <f>IF(ISNUMBER(F391),C391*F391,"")</f>
        <v/>
      </c>
    </row>
    <row r="392" spans="1:7" ht="12" customHeight="1" outlineLevel="3" x14ac:dyDescent="0.2">
      <c r="A392" s="14" t="s">
        <v>771</v>
      </c>
      <c r="B392" s="15" t="s">
        <v>772</v>
      </c>
      <c r="C392" s="16">
        <f>159.5/(1+B2)</f>
        <v>159.5</v>
      </c>
      <c r="D392" s="17" t="s">
        <v>11</v>
      </c>
      <c r="E392" s="17" t="s">
        <v>11</v>
      </c>
      <c r="F392" s="18"/>
      <c r="G392" s="36" t="str">
        <f>IF(ISNUMBER(F392),C392*F392,"")</f>
        <v/>
      </c>
    </row>
    <row r="393" spans="1:7" ht="12" customHeight="1" outlineLevel="3" x14ac:dyDescent="0.2">
      <c r="A393" s="14" t="s">
        <v>773</v>
      </c>
      <c r="B393" s="15" t="s">
        <v>774</v>
      </c>
      <c r="C393" s="16">
        <f>162.02/(1+B2)</f>
        <v>162.02000000000001</v>
      </c>
      <c r="D393" s="17" t="s">
        <v>11</v>
      </c>
      <c r="E393" s="17" t="s">
        <v>11</v>
      </c>
      <c r="F393" s="18"/>
      <c r="G393" s="36" t="str">
        <f>IF(ISNUMBER(F393),C393*F393,"")</f>
        <v/>
      </c>
    </row>
    <row r="394" spans="1:7" ht="12" customHeight="1" outlineLevel="3" x14ac:dyDescent="0.2">
      <c r="A394" s="14" t="s">
        <v>775</v>
      </c>
      <c r="B394" s="15" t="s">
        <v>776</v>
      </c>
      <c r="C394" s="16">
        <f>181.26/(1+B2)</f>
        <v>181.26</v>
      </c>
      <c r="D394" s="17" t="s">
        <v>11</v>
      </c>
      <c r="E394" s="17" t="s">
        <v>14</v>
      </c>
      <c r="F394" s="18"/>
      <c r="G394" s="36" t="str">
        <f>IF(ISNUMBER(F394),C394*F394,"")</f>
        <v/>
      </c>
    </row>
    <row r="395" spans="1:7" ht="12" customHeight="1" outlineLevel="3" x14ac:dyDescent="0.2">
      <c r="A395" s="14" t="s">
        <v>777</v>
      </c>
      <c r="B395" s="15" t="s">
        <v>778</v>
      </c>
      <c r="C395" s="16">
        <f>363.05/(1+B2)</f>
        <v>363.05</v>
      </c>
      <c r="D395" s="17" t="s">
        <v>11</v>
      </c>
      <c r="E395" s="17"/>
      <c r="F395" s="18"/>
      <c r="G395" s="36" t="str">
        <f>IF(ISNUMBER(F395),C395*F395,"")</f>
        <v/>
      </c>
    </row>
    <row r="396" spans="1:7" ht="12" customHeight="1" outlineLevel="3" x14ac:dyDescent="0.2">
      <c r="A396" s="14" t="s">
        <v>779</v>
      </c>
      <c r="B396" s="15" t="s">
        <v>780</v>
      </c>
      <c r="C396" s="16">
        <f>178.38/(1+B2)</f>
        <v>178.38</v>
      </c>
      <c r="D396" s="17" t="s">
        <v>11</v>
      </c>
      <c r="E396" s="17" t="s">
        <v>14</v>
      </c>
      <c r="F396" s="18"/>
      <c r="G396" s="36" t="str">
        <f>IF(ISNUMBER(F396),C396*F396,"")</f>
        <v/>
      </c>
    </row>
    <row r="397" spans="1:7" ht="12" customHeight="1" outlineLevel="3" x14ac:dyDescent="0.2">
      <c r="A397" s="14" t="s">
        <v>781</v>
      </c>
      <c r="B397" s="15" t="s">
        <v>782</v>
      </c>
      <c r="C397" s="16">
        <f>329.59/(1+B2)</f>
        <v>329.59</v>
      </c>
      <c r="D397" s="17" t="s">
        <v>11</v>
      </c>
      <c r="E397" s="17" t="s">
        <v>11</v>
      </c>
      <c r="F397" s="18"/>
      <c r="G397" s="36" t="str">
        <f>IF(ISNUMBER(F397),C397*F397,"")</f>
        <v/>
      </c>
    </row>
    <row r="398" spans="1:7" ht="12" customHeight="1" outlineLevel="3" x14ac:dyDescent="0.2">
      <c r="A398" s="14" t="s">
        <v>783</v>
      </c>
      <c r="B398" s="15" t="s">
        <v>784</v>
      </c>
      <c r="C398" s="16">
        <f>244.78/(1+B2)</f>
        <v>244.78</v>
      </c>
      <c r="D398" s="17" t="s">
        <v>14</v>
      </c>
      <c r="E398" s="17"/>
      <c r="F398" s="18"/>
      <c r="G398" s="36" t="str">
        <f>IF(ISNUMBER(F398),C398*F398,"")</f>
        <v/>
      </c>
    </row>
    <row r="399" spans="1:7" ht="12" customHeight="1" outlineLevel="3" x14ac:dyDescent="0.2">
      <c r="A399" s="14" t="s">
        <v>785</v>
      </c>
      <c r="B399" s="15" t="s">
        <v>786</v>
      </c>
      <c r="C399" s="16">
        <f>260.98/(1+B2)</f>
        <v>260.98</v>
      </c>
      <c r="D399" s="17" t="s">
        <v>11</v>
      </c>
      <c r="E399" s="17" t="s">
        <v>11</v>
      </c>
      <c r="F399" s="18"/>
      <c r="G399" s="36" t="str">
        <f>IF(ISNUMBER(F399),C399*F399,"")</f>
        <v/>
      </c>
    </row>
    <row r="400" spans="1:7" ht="12" customHeight="1" outlineLevel="3" x14ac:dyDescent="0.2">
      <c r="A400" s="14" t="s">
        <v>787</v>
      </c>
      <c r="B400" s="15" t="s">
        <v>788</v>
      </c>
      <c r="C400" s="16">
        <f>163.28/(1+B2)</f>
        <v>163.28</v>
      </c>
      <c r="D400" s="17" t="s">
        <v>11</v>
      </c>
      <c r="E400" s="17"/>
      <c r="F400" s="18"/>
      <c r="G400" s="36" t="str">
        <f>IF(ISNUMBER(F400),C400*F400,"")</f>
        <v/>
      </c>
    </row>
    <row r="401" spans="1:7" ht="12" customHeight="1" outlineLevel="3" x14ac:dyDescent="0.2">
      <c r="A401" s="14" t="s">
        <v>789</v>
      </c>
      <c r="B401" s="15" t="s">
        <v>790</v>
      </c>
      <c r="C401" s="16">
        <f>170.28/(1+B2)</f>
        <v>170.28</v>
      </c>
      <c r="D401" s="17"/>
      <c r="E401" s="17" t="s">
        <v>14</v>
      </c>
      <c r="F401" s="18"/>
      <c r="G401" s="36" t="str">
        <f>IF(ISNUMBER(F401),C401*F401,"")</f>
        <v/>
      </c>
    </row>
    <row r="402" spans="1:7" ht="12" customHeight="1" outlineLevel="3" x14ac:dyDescent="0.2">
      <c r="A402" s="14" t="s">
        <v>791</v>
      </c>
      <c r="B402" s="15" t="s">
        <v>792</v>
      </c>
      <c r="C402" s="16">
        <f>408.18/(1+B2)</f>
        <v>408.18</v>
      </c>
      <c r="D402" s="17" t="s">
        <v>11</v>
      </c>
      <c r="E402" s="17"/>
      <c r="F402" s="18"/>
      <c r="G402" s="36" t="str">
        <f>IF(ISNUMBER(F402),C402*F402,"")</f>
        <v/>
      </c>
    </row>
    <row r="403" spans="1:7" ht="12" customHeight="1" outlineLevel="3" x14ac:dyDescent="0.2">
      <c r="A403" s="14" t="s">
        <v>793</v>
      </c>
      <c r="B403" s="15" t="s">
        <v>794</v>
      </c>
      <c r="C403" s="16">
        <f>212.04/(1+B2)</f>
        <v>212.04</v>
      </c>
      <c r="D403" s="17" t="s">
        <v>11</v>
      </c>
      <c r="E403" s="17"/>
      <c r="F403" s="18"/>
      <c r="G403" s="36" t="str">
        <f>IF(ISNUMBER(F403),C403*F403,"")</f>
        <v/>
      </c>
    </row>
    <row r="404" spans="1:7" ht="12" customHeight="1" outlineLevel="3" x14ac:dyDescent="0.2">
      <c r="A404" s="14" t="s">
        <v>795</v>
      </c>
      <c r="B404" s="15" t="s">
        <v>796</v>
      </c>
      <c r="C404" s="16">
        <f>212.04/(1+B2)</f>
        <v>212.04</v>
      </c>
      <c r="D404" s="17" t="s">
        <v>11</v>
      </c>
      <c r="E404" s="17"/>
      <c r="F404" s="18"/>
      <c r="G404" s="36" t="str">
        <f>IF(ISNUMBER(F404),C404*F404,"")</f>
        <v/>
      </c>
    </row>
    <row r="405" spans="1:7" ht="12" customHeight="1" outlineLevel="3" x14ac:dyDescent="0.2">
      <c r="A405" s="14" t="s">
        <v>797</v>
      </c>
      <c r="B405" s="15" t="s">
        <v>798</v>
      </c>
      <c r="C405" s="16">
        <f>423.34/(1+B2)</f>
        <v>423.34</v>
      </c>
      <c r="D405" s="17" t="s">
        <v>11</v>
      </c>
      <c r="E405" s="17"/>
      <c r="F405" s="18"/>
      <c r="G405" s="36" t="str">
        <f>IF(ISNUMBER(F405),C405*F405,"")</f>
        <v/>
      </c>
    </row>
    <row r="406" spans="1:7" s="1" customFormat="1" ht="12.95" customHeight="1" outlineLevel="2" x14ac:dyDescent="0.2">
      <c r="A406" s="20"/>
      <c r="B406" s="21" t="s">
        <v>799</v>
      </c>
      <c r="C406" s="22"/>
      <c r="D406" s="22"/>
      <c r="E406" s="22"/>
      <c r="F406" s="22"/>
      <c r="G406" s="37"/>
    </row>
    <row r="407" spans="1:7" ht="12" customHeight="1" outlineLevel="3" x14ac:dyDescent="0.2">
      <c r="A407" s="14" t="s">
        <v>800</v>
      </c>
      <c r="B407" s="15" t="s">
        <v>801</v>
      </c>
      <c r="C407" s="16">
        <f>100.01/(1+B2)</f>
        <v>100.01</v>
      </c>
      <c r="D407" s="17" t="s">
        <v>14</v>
      </c>
      <c r="E407" s="17" t="s">
        <v>14</v>
      </c>
      <c r="F407" s="18"/>
      <c r="G407" s="36" t="str">
        <f>IF(ISNUMBER(F407),C407*F407,"")</f>
        <v/>
      </c>
    </row>
    <row r="408" spans="1:7" ht="12" customHeight="1" outlineLevel="3" x14ac:dyDescent="0.2">
      <c r="A408" s="14" t="s">
        <v>802</v>
      </c>
      <c r="B408" s="15" t="s">
        <v>803</v>
      </c>
      <c r="C408" s="16">
        <f>120.38/(1+B2)</f>
        <v>120.38</v>
      </c>
      <c r="D408" s="17" t="s">
        <v>11</v>
      </c>
      <c r="E408" s="17" t="s">
        <v>53</v>
      </c>
      <c r="F408" s="18"/>
      <c r="G408" s="36" t="str">
        <f>IF(ISNUMBER(F408),C408*F408,"")</f>
        <v/>
      </c>
    </row>
    <row r="409" spans="1:7" ht="12" customHeight="1" outlineLevel="3" x14ac:dyDescent="0.2">
      <c r="A409" s="14" t="s">
        <v>804</v>
      </c>
      <c r="B409" s="15" t="s">
        <v>805</v>
      </c>
      <c r="C409" s="16">
        <f>155.36/(1+B2)</f>
        <v>155.36000000000001</v>
      </c>
      <c r="D409" s="17" t="s">
        <v>11</v>
      </c>
      <c r="E409" s="17" t="s">
        <v>106</v>
      </c>
      <c r="F409" s="18"/>
      <c r="G409" s="36" t="str">
        <f>IF(ISNUMBER(F409),C409*F409,"")</f>
        <v/>
      </c>
    </row>
    <row r="410" spans="1:7" ht="12" customHeight="1" outlineLevel="3" x14ac:dyDescent="0.2">
      <c r="A410" s="14" t="s">
        <v>806</v>
      </c>
      <c r="B410" s="15" t="s">
        <v>807</v>
      </c>
      <c r="C410" s="16">
        <f>180.34/(1+B2)</f>
        <v>180.34</v>
      </c>
      <c r="D410" s="17" t="s">
        <v>11</v>
      </c>
      <c r="E410" s="17" t="s">
        <v>53</v>
      </c>
      <c r="F410" s="18"/>
      <c r="G410" s="36" t="str">
        <f>IF(ISNUMBER(F410),C410*F410,"")</f>
        <v/>
      </c>
    </row>
    <row r="411" spans="1:7" ht="12" customHeight="1" outlineLevel="3" x14ac:dyDescent="0.2">
      <c r="A411" s="14" t="s">
        <v>808</v>
      </c>
      <c r="B411" s="15" t="s">
        <v>809</v>
      </c>
      <c r="C411" s="16">
        <f>234/(1+B2)</f>
        <v>234</v>
      </c>
      <c r="D411" s="17" t="s">
        <v>11</v>
      </c>
      <c r="E411" s="17" t="s">
        <v>53</v>
      </c>
      <c r="F411" s="18"/>
      <c r="G411" s="36" t="str">
        <f>IF(ISNUMBER(F411),C411*F411,"")</f>
        <v/>
      </c>
    </row>
    <row r="412" spans="1:7" ht="12" customHeight="1" outlineLevel="3" x14ac:dyDescent="0.2">
      <c r="A412" s="14" t="s">
        <v>810</v>
      </c>
      <c r="B412" s="15" t="s">
        <v>811</v>
      </c>
      <c r="C412" s="16">
        <f>294.05/(1+B2)</f>
        <v>294.05</v>
      </c>
      <c r="D412" s="17" t="s">
        <v>11</v>
      </c>
      <c r="E412" s="17"/>
      <c r="F412" s="18"/>
      <c r="G412" s="36" t="str">
        <f>IF(ISNUMBER(F412),C412*F412,"")</f>
        <v/>
      </c>
    </row>
    <row r="413" spans="1:7" ht="12" customHeight="1" outlineLevel="3" x14ac:dyDescent="0.2">
      <c r="A413" s="14" t="s">
        <v>812</v>
      </c>
      <c r="B413" s="15" t="s">
        <v>813</v>
      </c>
      <c r="C413" s="16">
        <f>319.61/(1+B2)</f>
        <v>319.61</v>
      </c>
      <c r="D413" s="17" t="s">
        <v>11</v>
      </c>
      <c r="E413" s="17" t="s">
        <v>11</v>
      </c>
      <c r="F413" s="18"/>
      <c r="G413" s="36" t="str">
        <f>IF(ISNUMBER(F413),C413*F413,"")</f>
        <v/>
      </c>
    </row>
    <row r="414" spans="1:7" ht="12" customHeight="1" outlineLevel="3" x14ac:dyDescent="0.2">
      <c r="A414" s="14" t="s">
        <v>814</v>
      </c>
      <c r="B414" s="15" t="s">
        <v>815</v>
      </c>
      <c r="C414" s="16">
        <f>201.13/(1+B2)</f>
        <v>201.13</v>
      </c>
      <c r="D414" s="17" t="s">
        <v>11</v>
      </c>
      <c r="E414" s="17" t="s">
        <v>11</v>
      </c>
      <c r="F414" s="18"/>
      <c r="G414" s="36" t="str">
        <f>IF(ISNUMBER(F414),C414*F414,"")</f>
        <v/>
      </c>
    </row>
    <row r="415" spans="1:7" ht="12" customHeight="1" outlineLevel="3" x14ac:dyDescent="0.2">
      <c r="A415" s="14" t="s">
        <v>816</v>
      </c>
      <c r="B415" s="15" t="s">
        <v>817</v>
      </c>
      <c r="C415" s="16">
        <f>130.5/(1+B2)</f>
        <v>130.5</v>
      </c>
      <c r="D415" s="17" t="s">
        <v>11</v>
      </c>
      <c r="E415" s="17"/>
      <c r="F415" s="18"/>
      <c r="G415" s="36" t="str">
        <f>IF(ISNUMBER(F415),C415*F415,"")</f>
        <v/>
      </c>
    </row>
    <row r="416" spans="1:7" ht="12" customHeight="1" outlineLevel="3" x14ac:dyDescent="0.2">
      <c r="A416" s="14" t="s">
        <v>818</v>
      </c>
      <c r="B416" s="15" t="s">
        <v>819</v>
      </c>
      <c r="C416" s="16">
        <f>217.8/(1+B2)</f>
        <v>217.8</v>
      </c>
      <c r="D416" s="17" t="s">
        <v>11</v>
      </c>
      <c r="E416" s="17"/>
      <c r="F416" s="18"/>
      <c r="G416" s="36" t="str">
        <f>IF(ISNUMBER(F416),C416*F416,"")</f>
        <v/>
      </c>
    </row>
    <row r="417" spans="1:7" ht="12" customHeight="1" outlineLevel="3" x14ac:dyDescent="0.2">
      <c r="A417" s="14" t="s">
        <v>820</v>
      </c>
      <c r="B417" s="15" t="s">
        <v>821</v>
      </c>
      <c r="C417" s="16">
        <f>212.63/(1+B2)</f>
        <v>212.63</v>
      </c>
      <c r="D417" s="17" t="s">
        <v>11</v>
      </c>
      <c r="E417" s="17"/>
      <c r="F417" s="18"/>
      <c r="G417" s="36" t="str">
        <f>IF(ISNUMBER(F417),C417*F417,"")</f>
        <v/>
      </c>
    </row>
    <row r="418" spans="1:7" ht="12" customHeight="1" outlineLevel="3" x14ac:dyDescent="0.2">
      <c r="A418" s="14" t="s">
        <v>822</v>
      </c>
      <c r="B418" s="15" t="s">
        <v>823</v>
      </c>
      <c r="C418" s="16">
        <f>335.7/(1+B2)</f>
        <v>335.7</v>
      </c>
      <c r="D418" s="17" t="s">
        <v>11</v>
      </c>
      <c r="E418" s="17"/>
      <c r="F418" s="18"/>
      <c r="G418" s="36" t="str">
        <f>IF(ISNUMBER(F418),C418*F418,"")</f>
        <v/>
      </c>
    </row>
    <row r="419" spans="1:7" ht="12" customHeight="1" outlineLevel="3" x14ac:dyDescent="0.2">
      <c r="A419" s="14" t="s">
        <v>824</v>
      </c>
      <c r="B419" s="15" t="s">
        <v>825</v>
      </c>
      <c r="C419" s="16">
        <f>353.48/(1+B2)</f>
        <v>353.48</v>
      </c>
      <c r="D419" s="17" t="s">
        <v>11</v>
      </c>
      <c r="E419" s="17"/>
      <c r="F419" s="18"/>
      <c r="G419" s="36" t="str">
        <f>IF(ISNUMBER(F419),C419*F419,"")</f>
        <v/>
      </c>
    </row>
    <row r="420" spans="1:7" ht="12" customHeight="1" outlineLevel="3" x14ac:dyDescent="0.2">
      <c r="A420" s="14" t="s">
        <v>826</v>
      </c>
      <c r="B420" s="15" t="s">
        <v>827</v>
      </c>
      <c r="C420" s="16">
        <f>342.94/(1+B2)</f>
        <v>342.94</v>
      </c>
      <c r="D420" s="17" t="s">
        <v>11</v>
      </c>
      <c r="E420" s="17" t="s">
        <v>106</v>
      </c>
      <c r="F420" s="18"/>
      <c r="G420" s="36" t="str">
        <f>IF(ISNUMBER(F420),C420*F420,"")</f>
        <v/>
      </c>
    </row>
    <row r="421" spans="1:7" ht="12" customHeight="1" outlineLevel="3" x14ac:dyDescent="0.2">
      <c r="A421" s="14" t="s">
        <v>828</v>
      </c>
      <c r="B421" s="15" t="s">
        <v>829</v>
      </c>
      <c r="C421" s="16">
        <f>521.31/(1+B2)</f>
        <v>521.30999999999995</v>
      </c>
      <c r="D421" s="17" t="s">
        <v>11</v>
      </c>
      <c r="E421" s="17" t="s">
        <v>53</v>
      </c>
      <c r="F421" s="18"/>
      <c r="G421" s="36" t="str">
        <f>IF(ISNUMBER(F421),C421*F421,"")</f>
        <v/>
      </c>
    </row>
    <row r="422" spans="1:7" ht="12" customHeight="1" outlineLevel="3" x14ac:dyDescent="0.2">
      <c r="A422" s="14" t="s">
        <v>830</v>
      </c>
      <c r="B422" s="15" t="s">
        <v>831</v>
      </c>
      <c r="C422" s="16">
        <f>255.21/(1+B2)</f>
        <v>255.21</v>
      </c>
      <c r="D422" s="17" t="s">
        <v>11</v>
      </c>
      <c r="E422" s="17" t="s">
        <v>14</v>
      </c>
      <c r="F422" s="18"/>
      <c r="G422" s="36" t="str">
        <f>IF(ISNUMBER(F422),C422*F422,"")</f>
        <v/>
      </c>
    </row>
    <row r="423" spans="1:7" ht="24" customHeight="1" outlineLevel="3" x14ac:dyDescent="0.2">
      <c r="A423" s="14" t="s">
        <v>832</v>
      </c>
      <c r="B423" s="15" t="s">
        <v>833</v>
      </c>
      <c r="C423" s="16">
        <f>371.14/(1+B2)</f>
        <v>371.14</v>
      </c>
      <c r="D423" s="17" t="s">
        <v>11</v>
      </c>
      <c r="E423" s="17" t="s">
        <v>53</v>
      </c>
      <c r="F423" s="18"/>
      <c r="G423" s="36" t="str">
        <f>IF(ISNUMBER(F423),C423*F423,"")</f>
        <v/>
      </c>
    </row>
    <row r="424" spans="1:7" ht="24" customHeight="1" outlineLevel="3" x14ac:dyDescent="0.2">
      <c r="A424" s="14" t="s">
        <v>834</v>
      </c>
      <c r="B424" s="15" t="s">
        <v>835</v>
      </c>
      <c r="C424" s="16">
        <f>521.31/(1+B2)</f>
        <v>521.30999999999995</v>
      </c>
      <c r="D424" s="17" t="s">
        <v>11</v>
      </c>
      <c r="E424" s="17" t="s">
        <v>11</v>
      </c>
      <c r="F424" s="18"/>
      <c r="G424" s="36" t="str">
        <f>IF(ISNUMBER(F424),C424*F424,"")</f>
        <v/>
      </c>
    </row>
    <row r="425" spans="1:7" ht="12" customHeight="1" outlineLevel="3" x14ac:dyDescent="0.2">
      <c r="A425" s="14" t="s">
        <v>836</v>
      </c>
      <c r="B425" s="15" t="s">
        <v>837</v>
      </c>
      <c r="C425" s="16">
        <f>365.15/(1+B2)</f>
        <v>365.15</v>
      </c>
      <c r="D425" s="17" t="s">
        <v>53</v>
      </c>
      <c r="E425" s="17"/>
      <c r="F425" s="18"/>
      <c r="G425" s="36" t="str">
        <f>IF(ISNUMBER(F425),C425*F425,"")</f>
        <v/>
      </c>
    </row>
    <row r="426" spans="1:7" ht="24" customHeight="1" outlineLevel="3" x14ac:dyDescent="0.2">
      <c r="A426" s="14" t="s">
        <v>838</v>
      </c>
      <c r="B426" s="15" t="s">
        <v>839</v>
      </c>
      <c r="C426" s="16">
        <f>356.23/(1+B2)</f>
        <v>356.23</v>
      </c>
      <c r="D426" s="17" t="s">
        <v>14</v>
      </c>
      <c r="E426" s="17"/>
      <c r="F426" s="18"/>
      <c r="G426" s="36" t="str">
        <f>IF(ISNUMBER(F426),C426*F426,"")</f>
        <v/>
      </c>
    </row>
    <row r="427" spans="1:7" ht="12" customHeight="1" outlineLevel="3" x14ac:dyDescent="0.2">
      <c r="A427" s="14" t="s">
        <v>840</v>
      </c>
      <c r="B427" s="15" t="s">
        <v>841</v>
      </c>
      <c r="C427" s="16">
        <f>336.9/(1+B2)</f>
        <v>336.9</v>
      </c>
      <c r="D427" s="17" t="s">
        <v>14</v>
      </c>
      <c r="E427" s="17"/>
      <c r="F427" s="18"/>
      <c r="G427" s="36" t="str">
        <f>IF(ISNUMBER(F427),C427*F427,"")</f>
        <v/>
      </c>
    </row>
    <row r="428" spans="1:7" ht="24" customHeight="1" outlineLevel="3" x14ac:dyDescent="0.2">
      <c r="A428" s="14" t="s">
        <v>842</v>
      </c>
      <c r="B428" s="15" t="s">
        <v>843</v>
      </c>
      <c r="C428" s="16">
        <f>451.27/(1+B2)</f>
        <v>451.27</v>
      </c>
      <c r="D428" s="17" t="s">
        <v>14</v>
      </c>
      <c r="E428" s="17"/>
      <c r="F428" s="18"/>
      <c r="G428" s="36" t="str">
        <f>IF(ISNUMBER(F428),C428*F428,"")</f>
        <v/>
      </c>
    </row>
    <row r="429" spans="1:7" ht="12" customHeight="1" outlineLevel="3" x14ac:dyDescent="0.2">
      <c r="A429" s="14" t="s">
        <v>844</v>
      </c>
      <c r="B429" s="15" t="s">
        <v>845</v>
      </c>
      <c r="C429" s="16">
        <f>975/(1+B2)</f>
        <v>975</v>
      </c>
      <c r="D429" s="17" t="s">
        <v>11</v>
      </c>
      <c r="E429" s="17"/>
      <c r="F429" s="18"/>
      <c r="G429" s="36" t="str">
        <f>IF(ISNUMBER(F429),C429*F429,"")</f>
        <v/>
      </c>
    </row>
    <row r="430" spans="1:7" ht="12" customHeight="1" outlineLevel="3" x14ac:dyDescent="0.2">
      <c r="A430" s="14" t="s">
        <v>846</v>
      </c>
      <c r="B430" s="15" t="s">
        <v>847</v>
      </c>
      <c r="C430" s="16">
        <f>144.53/(1+B2)</f>
        <v>144.53</v>
      </c>
      <c r="D430" s="17" t="s">
        <v>11</v>
      </c>
      <c r="E430" s="17" t="s">
        <v>14</v>
      </c>
      <c r="F430" s="18"/>
      <c r="G430" s="36" t="str">
        <f>IF(ISNUMBER(F430),C430*F430,"")</f>
        <v/>
      </c>
    </row>
    <row r="431" spans="1:7" ht="12" customHeight="1" outlineLevel="3" x14ac:dyDescent="0.2">
      <c r="A431" s="14" t="s">
        <v>848</v>
      </c>
      <c r="B431" s="15" t="s">
        <v>849</v>
      </c>
      <c r="C431" s="16">
        <f>147.07/(1+B2)</f>
        <v>147.07</v>
      </c>
      <c r="D431" s="17" t="s">
        <v>11</v>
      </c>
      <c r="E431" s="17"/>
      <c r="F431" s="18"/>
      <c r="G431" s="36" t="str">
        <f>IF(ISNUMBER(F431),C431*F431,"")</f>
        <v/>
      </c>
    </row>
    <row r="432" spans="1:7" ht="12" customHeight="1" outlineLevel="3" x14ac:dyDescent="0.2">
      <c r="A432" s="14" t="s">
        <v>850</v>
      </c>
      <c r="B432" s="15" t="s">
        <v>851</v>
      </c>
      <c r="C432" s="16">
        <f>188.88/(1+B2)</f>
        <v>188.88</v>
      </c>
      <c r="D432" s="17" t="s">
        <v>11</v>
      </c>
      <c r="E432" s="17" t="s">
        <v>11</v>
      </c>
      <c r="F432" s="18"/>
      <c r="G432" s="36" t="str">
        <f>IF(ISNUMBER(F432),C432*F432,"")</f>
        <v/>
      </c>
    </row>
    <row r="433" spans="1:7" ht="12" customHeight="1" outlineLevel="3" x14ac:dyDescent="0.2">
      <c r="A433" s="14" t="s">
        <v>852</v>
      </c>
      <c r="B433" s="15" t="s">
        <v>853</v>
      </c>
      <c r="C433" s="16">
        <f>220.39/(1+B2)</f>
        <v>220.39</v>
      </c>
      <c r="D433" s="17" t="s">
        <v>11</v>
      </c>
      <c r="E433" s="17" t="s">
        <v>11</v>
      </c>
      <c r="F433" s="18"/>
      <c r="G433" s="36" t="str">
        <f>IF(ISNUMBER(F433),C433*F433,"")</f>
        <v/>
      </c>
    </row>
    <row r="434" spans="1:7" ht="12" customHeight="1" outlineLevel="3" x14ac:dyDescent="0.2">
      <c r="A434" s="14" t="s">
        <v>854</v>
      </c>
      <c r="B434" s="15" t="s">
        <v>855</v>
      </c>
      <c r="C434" s="16">
        <f>248.83/(1+B2)</f>
        <v>248.83</v>
      </c>
      <c r="D434" s="17" t="s">
        <v>11</v>
      </c>
      <c r="E434" s="17" t="s">
        <v>11</v>
      </c>
      <c r="F434" s="18"/>
      <c r="G434" s="36" t="str">
        <f>IF(ISNUMBER(F434),C434*F434,"")</f>
        <v/>
      </c>
    </row>
    <row r="435" spans="1:7" ht="12" customHeight="1" outlineLevel="3" x14ac:dyDescent="0.2">
      <c r="A435" s="14" t="s">
        <v>856</v>
      </c>
      <c r="B435" s="15" t="s">
        <v>857</v>
      </c>
      <c r="C435" s="16">
        <f>92.6/(1+B2)</f>
        <v>92.6</v>
      </c>
      <c r="D435" s="17" t="s">
        <v>11</v>
      </c>
      <c r="E435" s="17" t="s">
        <v>106</v>
      </c>
      <c r="F435" s="18"/>
      <c r="G435" s="36" t="str">
        <f>IF(ISNUMBER(F435),C435*F435,"")</f>
        <v/>
      </c>
    </row>
    <row r="436" spans="1:7" ht="12" customHeight="1" outlineLevel="3" x14ac:dyDescent="0.2">
      <c r="A436" s="14" t="s">
        <v>858</v>
      </c>
      <c r="B436" s="15" t="s">
        <v>859</v>
      </c>
      <c r="C436" s="16">
        <f>136.86/(1+B2)</f>
        <v>136.86000000000001</v>
      </c>
      <c r="D436" s="17" t="s">
        <v>11</v>
      </c>
      <c r="E436" s="17" t="s">
        <v>53</v>
      </c>
      <c r="F436" s="18"/>
      <c r="G436" s="36" t="str">
        <f>IF(ISNUMBER(F436),C436*F436,"")</f>
        <v/>
      </c>
    </row>
    <row r="437" spans="1:7" ht="12" customHeight="1" outlineLevel="3" x14ac:dyDescent="0.2">
      <c r="A437" s="14" t="s">
        <v>860</v>
      </c>
      <c r="B437" s="15" t="s">
        <v>861</v>
      </c>
      <c r="C437" s="16">
        <f>189.79/(1+B2)</f>
        <v>189.79</v>
      </c>
      <c r="D437" s="17" t="s">
        <v>11</v>
      </c>
      <c r="E437" s="17" t="s">
        <v>11</v>
      </c>
      <c r="F437" s="18"/>
      <c r="G437" s="36" t="str">
        <f>IF(ISNUMBER(F437),C437*F437,"")</f>
        <v/>
      </c>
    </row>
    <row r="438" spans="1:7" ht="12" customHeight="1" outlineLevel="3" x14ac:dyDescent="0.2">
      <c r="A438" s="14" t="s">
        <v>862</v>
      </c>
      <c r="B438" s="15" t="s">
        <v>863</v>
      </c>
      <c r="C438" s="16">
        <f>193.81/(1+B2)</f>
        <v>193.81</v>
      </c>
      <c r="D438" s="17" t="s">
        <v>11</v>
      </c>
      <c r="E438" s="17" t="s">
        <v>11</v>
      </c>
      <c r="F438" s="18"/>
      <c r="G438" s="36" t="str">
        <f>IF(ISNUMBER(F438),C438*F438,"")</f>
        <v/>
      </c>
    </row>
    <row r="439" spans="1:7" ht="12" customHeight="1" outlineLevel="3" x14ac:dyDescent="0.2">
      <c r="A439" s="14" t="s">
        <v>864</v>
      </c>
      <c r="B439" s="15" t="s">
        <v>865</v>
      </c>
      <c r="C439" s="16">
        <f>290.16/(1+B2)</f>
        <v>290.16000000000003</v>
      </c>
      <c r="D439" s="17" t="s">
        <v>11</v>
      </c>
      <c r="E439" s="17" t="s">
        <v>11</v>
      </c>
      <c r="F439" s="18"/>
      <c r="G439" s="36" t="str">
        <f>IF(ISNUMBER(F439),C439*F439,"")</f>
        <v/>
      </c>
    </row>
    <row r="440" spans="1:7" ht="12" customHeight="1" outlineLevel="3" x14ac:dyDescent="0.2">
      <c r="A440" s="14" t="s">
        <v>866</v>
      </c>
      <c r="B440" s="15" t="s">
        <v>867</v>
      </c>
      <c r="C440" s="16">
        <f>50.2/(1+B2)</f>
        <v>50.2</v>
      </c>
      <c r="D440" s="17" t="s">
        <v>11</v>
      </c>
      <c r="E440" s="17" t="s">
        <v>11</v>
      </c>
      <c r="F440" s="18"/>
      <c r="G440" s="36" t="str">
        <f>IF(ISNUMBER(F440),C440*F440,"")</f>
        <v/>
      </c>
    </row>
    <row r="441" spans="1:7" ht="12" customHeight="1" outlineLevel="3" x14ac:dyDescent="0.2">
      <c r="A441" s="14" t="s">
        <v>868</v>
      </c>
      <c r="B441" s="15" t="s">
        <v>869</v>
      </c>
      <c r="C441" s="16">
        <f>214.72/(1+B2)</f>
        <v>214.72</v>
      </c>
      <c r="D441" s="17" t="s">
        <v>11</v>
      </c>
      <c r="E441" s="17"/>
      <c r="F441" s="18"/>
      <c r="G441" s="36" t="str">
        <f>IF(ISNUMBER(F441),C441*F441,"")</f>
        <v/>
      </c>
    </row>
    <row r="442" spans="1:7" ht="12" customHeight="1" outlineLevel="3" x14ac:dyDescent="0.2">
      <c r="A442" s="14" t="s">
        <v>870</v>
      </c>
      <c r="B442" s="15" t="s">
        <v>871</v>
      </c>
      <c r="C442" s="16">
        <f>254.01/(1+B2)</f>
        <v>254.01</v>
      </c>
      <c r="D442" s="17" t="s">
        <v>11</v>
      </c>
      <c r="E442" s="17"/>
      <c r="F442" s="18"/>
      <c r="G442" s="36" t="str">
        <f>IF(ISNUMBER(F442),C442*F442,"")</f>
        <v/>
      </c>
    </row>
    <row r="443" spans="1:7" ht="12" customHeight="1" outlineLevel="3" x14ac:dyDescent="0.2">
      <c r="A443" s="14" t="s">
        <v>872</v>
      </c>
      <c r="B443" s="15" t="s">
        <v>873</v>
      </c>
      <c r="C443" s="16">
        <f>302.54/(1+B2)</f>
        <v>302.54000000000002</v>
      </c>
      <c r="D443" s="17" t="s">
        <v>11</v>
      </c>
      <c r="E443" s="17"/>
      <c r="F443" s="18"/>
      <c r="G443" s="36" t="str">
        <f>IF(ISNUMBER(F443),C443*F443,"")</f>
        <v/>
      </c>
    </row>
    <row r="444" spans="1:7" ht="12" customHeight="1" outlineLevel="3" x14ac:dyDescent="0.2">
      <c r="A444" s="14" t="s">
        <v>874</v>
      </c>
      <c r="B444" s="15" t="s">
        <v>875</v>
      </c>
      <c r="C444" s="16">
        <f>203.52/(1+B2)</f>
        <v>203.52</v>
      </c>
      <c r="D444" s="17" t="s">
        <v>11</v>
      </c>
      <c r="E444" s="17" t="s">
        <v>14</v>
      </c>
      <c r="F444" s="18"/>
      <c r="G444" s="36" t="str">
        <f>IF(ISNUMBER(F444),C444*F444,"")</f>
        <v/>
      </c>
    </row>
    <row r="445" spans="1:7" ht="12" customHeight="1" outlineLevel="3" x14ac:dyDescent="0.2">
      <c r="A445" s="14" t="s">
        <v>876</v>
      </c>
      <c r="B445" s="15" t="s">
        <v>877</v>
      </c>
      <c r="C445" s="16">
        <f>102.77/(1+B2)</f>
        <v>102.77</v>
      </c>
      <c r="D445" s="17" t="s">
        <v>11</v>
      </c>
      <c r="E445" s="17" t="s">
        <v>53</v>
      </c>
      <c r="F445" s="18"/>
      <c r="G445" s="36" t="str">
        <f>IF(ISNUMBER(F445),C445*F445,"")</f>
        <v/>
      </c>
    </row>
    <row r="446" spans="1:7" ht="12" customHeight="1" outlineLevel="3" x14ac:dyDescent="0.2">
      <c r="A446" s="14" t="s">
        <v>878</v>
      </c>
      <c r="B446" s="15" t="s">
        <v>879</v>
      </c>
      <c r="C446" s="16">
        <f>174.37/(1+B2)</f>
        <v>174.37</v>
      </c>
      <c r="D446" s="17" t="s">
        <v>11</v>
      </c>
      <c r="E446" s="17" t="s">
        <v>53</v>
      </c>
      <c r="F446" s="18"/>
      <c r="G446" s="36" t="str">
        <f>IF(ISNUMBER(F446),C446*F446,"")</f>
        <v/>
      </c>
    </row>
    <row r="447" spans="1:7" ht="12" customHeight="1" outlineLevel="3" x14ac:dyDescent="0.2">
      <c r="A447" s="14" t="s">
        <v>880</v>
      </c>
      <c r="B447" s="15" t="s">
        <v>881</v>
      </c>
      <c r="C447" s="16">
        <f>100.99/(1+B2)</f>
        <v>100.99</v>
      </c>
      <c r="D447" s="17" t="s">
        <v>11</v>
      </c>
      <c r="E447" s="17" t="s">
        <v>14</v>
      </c>
      <c r="F447" s="18"/>
      <c r="G447" s="36" t="str">
        <f>IF(ISNUMBER(F447),C447*F447,"")</f>
        <v/>
      </c>
    </row>
    <row r="448" spans="1:7" ht="12" customHeight="1" outlineLevel="3" x14ac:dyDescent="0.2">
      <c r="A448" s="14" t="s">
        <v>882</v>
      </c>
      <c r="B448" s="15" t="s">
        <v>883</v>
      </c>
      <c r="C448" s="16">
        <f>167.71/(1+B2)</f>
        <v>167.71</v>
      </c>
      <c r="D448" s="17" t="s">
        <v>11</v>
      </c>
      <c r="E448" s="17"/>
      <c r="F448" s="18"/>
      <c r="G448" s="36" t="str">
        <f>IF(ISNUMBER(F448),C448*F448,"")</f>
        <v/>
      </c>
    </row>
    <row r="449" spans="1:7" ht="12" customHeight="1" outlineLevel="3" x14ac:dyDescent="0.2">
      <c r="A449" s="14" t="s">
        <v>884</v>
      </c>
      <c r="B449" s="15" t="s">
        <v>885</v>
      </c>
      <c r="C449" s="16">
        <f>164.27/(1+B2)</f>
        <v>164.27</v>
      </c>
      <c r="D449" s="17" t="s">
        <v>11</v>
      </c>
      <c r="E449" s="17" t="s">
        <v>11</v>
      </c>
      <c r="F449" s="18"/>
      <c r="G449" s="36" t="str">
        <f>IF(ISNUMBER(F449),C449*F449,"")</f>
        <v/>
      </c>
    </row>
    <row r="450" spans="1:7" s="1" customFormat="1" ht="12.95" customHeight="1" outlineLevel="2" x14ac:dyDescent="0.2">
      <c r="A450" s="20"/>
      <c r="B450" s="21" t="s">
        <v>886</v>
      </c>
      <c r="C450" s="22"/>
      <c r="D450" s="22"/>
      <c r="E450" s="22"/>
      <c r="F450" s="22"/>
      <c r="G450" s="37"/>
    </row>
    <row r="451" spans="1:7" ht="12" customHeight="1" outlineLevel="3" x14ac:dyDescent="0.2">
      <c r="A451" s="14" t="s">
        <v>887</v>
      </c>
      <c r="B451" s="15" t="s">
        <v>888</v>
      </c>
      <c r="C451" s="16">
        <f>791.89/(1+B2)</f>
        <v>791.89</v>
      </c>
      <c r="D451" s="17" t="s">
        <v>11</v>
      </c>
      <c r="E451" s="17"/>
      <c r="F451" s="18"/>
      <c r="G451" s="36" t="str">
        <f>IF(ISNUMBER(F451),C451*F451,"")</f>
        <v/>
      </c>
    </row>
    <row r="452" spans="1:7" ht="12" customHeight="1" outlineLevel="3" x14ac:dyDescent="0.2">
      <c r="A452" s="14" t="s">
        <v>889</v>
      </c>
      <c r="B452" s="15" t="s">
        <v>890</v>
      </c>
      <c r="C452" s="19">
        <f>1048.61/(1+B2)</f>
        <v>1048.6099999999999</v>
      </c>
      <c r="D452" s="17" t="s">
        <v>11</v>
      </c>
      <c r="E452" s="17" t="s">
        <v>11</v>
      </c>
      <c r="F452" s="18"/>
      <c r="G452" s="36" t="str">
        <f>IF(ISNUMBER(F452),C452*F452,"")</f>
        <v/>
      </c>
    </row>
    <row r="453" spans="1:7" ht="12" customHeight="1" outlineLevel="3" x14ac:dyDescent="0.2">
      <c r="A453" s="14" t="s">
        <v>891</v>
      </c>
      <c r="B453" s="15" t="s">
        <v>892</v>
      </c>
      <c r="C453" s="19">
        <f>1430.96/(1+B2)</f>
        <v>1430.96</v>
      </c>
      <c r="D453" s="17" t="s">
        <v>11</v>
      </c>
      <c r="E453" s="17" t="s">
        <v>14</v>
      </c>
      <c r="F453" s="18"/>
      <c r="G453" s="36" t="str">
        <f>IF(ISNUMBER(F453),C453*F453,"")</f>
        <v/>
      </c>
    </row>
    <row r="454" spans="1:7" ht="12" customHeight="1" outlineLevel="3" x14ac:dyDescent="0.2">
      <c r="A454" s="14" t="s">
        <v>893</v>
      </c>
      <c r="B454" s="15" t="s">
        <v>894</v>
      </c>
      <c r="C454" s="19">
        <f>1010.54/(1+B2)</f>
        <v>1010.54</v>
      </c>
      <c r="D454" s="17" t="s">
        <v>11</v>
      </c>
      <c r="E454" s="17" t="s">
        <v>14</v>
      </c>
      <c r="F454" s="18"/>
      <c r="G454" s="36" t="str">
        <f>IF(ISNUMBER(F454),C454*F454,"")</f>
        <v/>
      </c>
    </row>
    <row r="455" spans="1:7" ht="12" customHeight="1" outlineLevel="3" x14ac:dyDescent="0.2">
      <c r="A455" s="14" t="s">
        <v>895</v>
      </c>
      <c r="B455" s="15" t="s">
        <v>896</v>
      </c>
      <c r="C455" s="19">
        <f>1364.43/(1+B2)</f>
        <v>1364.43</v>
      </c>
      <c r="D455" s="17" t="s">
        <v>11</v>
      </c>
      <c r="E455" s="17" t="s">
        <v>11</v>
      </c>
      <c r="F455" s="18"/>
      <c r="G455" s="36" t="str">
        <f>IF(ISNUMBER(F455),C455*F455,"")</f>
        <v/>
      </c>
    </row>
    <row r="456" spans="1:7" ht="12" customHeight="1" outlineLevel="3" x14ac:dyDescent="0.2">
      <c r="A456" s="14" t="s">
        <v>897</v>
      </c>
      <c r="B456" s="15" t="s">
        <v>898</v>
      </c>
      <c r="C456" s="19">
        <f>1704.33/(1+B2)</f>
        <v>1704.33</v>
      </c>
      <c r="D456" s="17" t="s">
        <v>11</v>
      </c>
      <c r="E456" s="17" t="s">
        <v>11</v>
      </c>
      <c r="F456" s="18"/>
      <c r="G456" s="36" t="str">
        <f>IF(ISNUMBER(F456),C456*F456,"")</f>
        <v/>
      </c>
    </row>
    <row r="457" spans="1:7" ht="12" customHeight="1" outlineLevel="3" x14ac:dyDescent="0.2">
      <c r="A457" s="14" t="s">
        <v>899</v>
      </c>
      <c r="B457" s="15" t="s">
        <v>900</v>
      </c>
      <c r="C457" s="16">
        <f>797.91/(1+B2)</f>
        <v>797.91</v>
      </c>
      <c r="D457" s="17" t="s">
        <v>11</v>
      </c>
      <c r="E457" s="17" t="s">
        <v>106</v>
      </c>
      <c r="F457" s="18"/>
      <c r="G457" s="36" t="str">
        <f>IF(ISNUMBER(F457),C457*F457,"")</f>
        <v/>
      </c>
    </row>
    <row r="458" spans="1:7" ht="12" customHeight="1" outlineLevel="3" x14ac:dyDescent="0.2">
      <c r="A458" s="14" t="s">
        <v>901</v>
      </c>
      <c r="B458" s="15" t="s">
        <v>902</v>
      </c>
      <c r="C458" s="16">
        <f>877.94/(1+B2)</f>
        <v>877.94</v>
      </c>
      <c r="D458" s="17" t="s">
        <v>11</v>
      </c>
      <c r="E458" s="17" t="s">
        <v>11</v>
      </c>
      <c r="F458" s="18"/>
      <c r="G458" s="36" t="str">
        <f>IF(ISNUMBER(F458),C458*F458,"")</f>
        <v/>
      </c>
    </row>
    <row r="459" spans="1:7" ht="12" customHeight="1" outlineLevel="3" x14ac:dyDescent="0.2">
      <c r="A459" s="14" t="s">
        <v>903</v>
      </c>
      <c r="B459" s="15" t="s">
        <v>904</v>
      </c>
      <c r="C459" s="16">
        <f>592.46/(1+B2)</f>
        <v>592.46</v>
      </c>
      <c r="D459" s="17" t="s">
        <v>11</v>
      </c>
      <c r="E459" s="17" t="s">
        <v>53</v>
      </c>
      <c r="F459" s="18"/>
      <c r="G459" s="36" t="str">
        <f>IF(ISNUMBER(F459),C459*F459,"")</f>
        <v/>
      </c>
    </row>
    <row r="460" spans="1:7" ht="12" customHeight="1" outlineLevel="3" x14ac:dyDescent="0.2">
      <c r="A460" s="14" t="s">
        <v>905</v>
      </c>
      <c r="B460" s="15" t="s">
        <v>906</v>
      </c>
      <c r="C460" s="19">
        <f>1631.69/(1+B2)</f>
        <v>1631.69</v>
      </c>
      <c r="D460" s="17" t="s">
        <v>11</v>
      </c>
      <c r="E460" s="17" t="s">
        <v>11</v>
      </c>
      <c r="F460" s="18"/>
      <c r="G460" s="36" t="str">
        <f>IF(ISNUMBER(F460),C460*F460,"")</f>
        <v/>
      </c>
    </row>
    <row r="461" spans="1:7" ht="12" customHeight="1" outlineLevel="3" x14ac:dyDescent="0.2">
      <c r="A461" s="14" t="s">
        <v>907</v>
      </c>
      <c r="B461" s="15" t="s">
        <v>908</v>
      </c>
      <c r="C461" s="16">
        <f>241/(1+B2)</f>
        <v>241</v>
      </c>
      <c r="D461" s="17" t="s">
        <v>11</v>
      </c>
      <c r="E461" s="17" t="s">
        <v>106</v>
      </c>
      <c r="F461" s="18"/>
      <c r="G461" s="36" t="str">
        <f>IF(ISNUMBER(F461),C461*F461,"")</f>
        <v/>
      </c>
    </row>
    <row r="462" spans="1:7" ht="12" customHeight="1" outlineLevel="3" x14ac:dyDescent="0.2">
      <c r="A462" s="14" t="s">
        <v>909</v>
      </c>
      <c r="B462" s="15" t="s">
        <v>910</v>
      </c>
      <c r="C462" s="16">
        <f>324.9/(1+B2)</f>
        <v>324.89999999999998</v>
      </c>
      <c r="D462" s="17" t="s">
        <v>14</v>
      </c>
      <c r="E462" s="17" t="s">
        <v>106</v>
      </c>
      <c r="F462" s="18"/>
      <c r="G462" s="36" t="str">
        <f>IF(ISNUMBER(F462),C462*F462,"")</f>
        <v/>
      </c>
    </row>
    <row r="463" spans="1:7" ht="12" customHeight="1" outlineLevel="3" x14ac:dyDescent="0.2">
      <c r="A463" s="14" t="s">
        <v>911</v>
      </c>
      <c r="B463" s="15" t="s">
        <v>912</v>
      </c>
      <c r="C463" s="19">
        <f>1410.35/(1+B2)</f>
        <v>1410.35</v>
      </c>
      <c r="D463" s="17" t="s">
        <v>11</v>
      </c>
      <c r="E463" s="17" t="s">
        <v>53</v>
      </c>
      <c r="F463" s="18"/>
      <c r="G463" s="36" t="str">
        <f>IF(ISNUMBER(F463),C463*F463,"")</f>
        <v/>
      </c>
    </row>
    <row r="464" spans="1:7" ht="12" customHeight="1" outlineLevel="3" x14ac:dyDescent="0.2">
      <c r="A464" s="14" t="s">
        <v>913</v>
      </c>
      <c r="B464" s="15" t="s">
        <v>914</v>
      </c>
      <c r="C464" s="19">
        <f>2142.45/(1+B2)</f>
        <v>2142.4499999999998</v>
      </c>
      <c r="D464" s="17" t="s">
        <v>11</v>
      </c>
      <c r="E464" s="17" t="s">
        <v>11</v>
      </c>
      <c r="F464" s="18"/>
      <c r="G464" s="36" t="str">
        <f>IF(ISNUMBER(F464),C464*F464,"")</f>
        <v/>
      </c>
    </row>
    <row r="465" spans="1:7" ht="12" customHeight="1" outlineLevel="3" x14ac:dyDescent="0.2">
      <c r="A465" s="14" t="s">
        <v>915</v>
      </c>
      <c r="B465" s="15" t="s">
        <v>916</v>
      </c>
      <c r="C465" s="16">
        <f>877.94/(1+B2)</f>
        <v>877.94</v>
      </c>
      <c r="D465" s="17" t="s">
        <v>11</v>
      </c>
      <c r="E465" s="17" t="s">
        <v>53</v>
      </c>
      <c r="F465" s="18"/>
      <c r="G465" s="36" t="str">
        <f>IF(ISNUMBER(F465),C465*F465,"")</f>
        <v/>
      </c>
    </row>
    <row r="466" spans="1:7" ht="12" customHeight="1" outlineLevel="3" x14ac:dyDescent="0.2">
      <c r="A466" s="14" t="s">
        <v>917</v>
      </c>
      <c r="B466" s="15" t="s">
        <v>918</v>
      </c>
      <c r="C466" s="16">
        <f>585.3/(1+B2)</f>
        <v>585.29999999999995</v>
      </c>
      <c r="D466" s="17" t="s">
        <v>14</v>
      </c>
      <c r="E466" s="17" t="s">
        <v>14</v>
      </c>
      <c r="F466" s="18"/>
      <c r="G466" s="36" t="str">
        <f>IF(ISNUMBER(F466),C466*F466,"")</f>
        <v/>
      </c>
    </row>
    <row r="467" spans="1:7" ht="12" customHeight="1" outlineLevel="3" x14ac:dyDescent="0.2">
      <c r="A467" s="14" t="s">
        <v>919</v>
      </c>
      <c r="B467" s="15" t="s">
        <v>920</v>
      </c>
      <c r="C467" s="16">
        <f>317.7/(1+B2)</f>
        <v>317.7</v>
      </c>
      <c r="D467" s="17" t="s">
        <v>14</v>
      </c>
      <c r="E467" s="17" t="s">
        <v>106</v>
      </c>
      <c r="F467" s="18"/>
      <c r="G467" s="36" t="str">
        <f>IF(ISNUMBER(F467),C467*F467,"")</f>
        <v/>
      </c>
    </row>
    <row r="468" spans="1:7" ht="12" customHeight="1" outlineLevel="3" x14ac:dyDescent="0.2">
      <c r="A468" s="14" t="s">
        <v>921</v>
      </c>
      <c r="B468" s="15" t="s">
        <v>922</v>
      </c>
      <c r="C468" s="16">
        <f>356.83/(1+B2)</f>
        <v>356.83</v>
      </c>
      <c r="D468" s="17" t="s">
        <v>14</v>
      </c>
      <c r="E468" s="17" t="s">
        <v>106</v>
      </c>
      <c r="F468" s="18"/>
      <c r="G468" s="36" t="str">
        <f>IF(ISNUMBER(F468),C468*F468,"")</f>
        <v/>
      </c>
    </row>
    <row r="469" spans="1:7" ht="12" customHeight="1" outlineLevel="3" x14ac:dyDescent="0.2">
      <c r="A469" s="14" t="s">
        <v>923</v>
      </c>
      <c r="B469" s="15" t="s">
        <v>924</v>
      </c>
      <c r="C469" s="16">
        <f>338.69/(1+B2)</f>
        <v>338.69</v>
      </c>
      <c r="D469" s="17" t="s">
        <v>53</v>
      </c>
      <c r="E469" s="17" t="s">
        <v>106</v>
      </c>
      <c r="F469" s="18"/>
      <c r="G469" s="36" t="str">
        <f>IF(ISNUMBER(F469),C469*F469,"")</f>
        <v/>
      </c>
    </row>
    <row r="470" spans="1:7" ht="12" customHeight="1" outlineLevel="3" x14ac:dyDescent="0.2">
      <c r="A470" s="14" t="s">
        <v>925</v>
      </c>
      <c r="B470" s="15" t="s">
        <v>926</v>
      </c>
      <c r="C470" s="16">
        <f>362.87/(1+B2)</f>
        <v>362.87</v>
      </c>
      <c r="D470" s="17" t="s">
        <v>14</v>
      </c>
      <c r="E470" s="17" t="s">
        <v>106</v>
      </c>
      <c r="F470" s="18"/>
      <c r="G470" s="36" t="str">
        <f>IF(ISNUMBER(F470),C470*F470,"")</f>
        <v/>
      </c>
    </row>
    <row r="471" spans="1:7" ht="12" customHeight="1" outlineLevel="3" x14ac:dyDescent="0.2">
      <c r="A471" s="14" t="s">
        <v>927</v>
      </c>
      <c r="B471" s="15" t="s">
        <v>928</v>
      </c>
      <c r="C471" s="16">
        <f>672.54/(1+B2)</f>
        <v>672.54</v>
      </c>
      <c r="D471" s="17" t="s">
        <v>11</v>
      </c>
      <c r="E471" s="17" t="s">
        <v>106</v>
      </c>
      <c r="F471" s="18"/>
      <c r="G471" s="36" t="str">
        <f>IF(ISNUMBER(F471),C471*F471,"")</f>
        <v/>
      </c>
    </row>
    <row r="472" spans="1:7" ht="12" customHeight="1" outlineLevel="3" x14ac:dyDescent="0.2">
      <c r="A472" s="14" t="s">
        <v>929</v>
      </c>
      <c r="B472" s="15" t="s">
        <v>930</v>
      </c>
      <c r="C472" s="16">
        <f>463.45/(1+B2)</f>
        <v>463.45</v>
      </c>
      <c r="D472" s="17" t="s">
        <v>11</v>
      </c>
      <c r="E472" s="17" t="s">
        <v>53</v>
      </c>
      <c r="F472" s="18"/>
      <c r="G472" s="36" t="str">
        <f>IF(ISNUMBER(F472),C472*F472,"")</f>
        <v/>
      </c>
    </row>
    <row r="473" spans="1:7" ht="12" customHeight="1" outlineLevel="3" x14ac:dyDescent="0.2">
      <c r="A473" s="14" t="s">
        <v>931</v>
      </c>
      <c r="B473" s="15" t="s">
        <v>932</v>
      </c>
      <c r="C473" s="16">
        <f>430/(1+B2)</f>
        <v>430</v>
      </c>
      <c r="D473" s="17" t="s">
        <v>14</v>
      </c>
      <c r="E473" s="17"/>
      <c r="F473" s="18"/>
      <c r="G473" s="36" t="str">
        <f>IF(ISNUMBER(F473),C473*F473,"")</f>
        <v/>
      </c>
    </row>
    <row r="474" spans="1:7" ht="12" customHeight="1" outlineLevel="3" x14ac:dyDescent="0.2">
      <c r="A474" s="14" t="s">
        <v>933</v>
      </c>
      <c r="B474" s="15" t="s">
        <v>934</v>
      </c>
      <c r="C474" s="16">
        <f>607.99/(1+B2)</f>
        <v>607.99</v>
      </c>
      <c r="D474" s="17" t="s">
        <v>11</v>
      </c>
      <c r="E474" s="17" t="s">
        <v>53</v>
      </c>
      <c r="F474" s="18"/>
      <c r="G474" s="36" t="str">
        <f>IF(ISNUMBER(F474),C474*F474,"")</f>
        <v/>
      </c>
    </row>
    <row r="475" spans="1:7" ht="12" customHeight="1" outlineLevel="3" x14ac:dyDescent="0.2">
      <c r="A475" s="14" t="s">
        <v>935</v>
      </c>
      <c r="B475" s="15" t="s">
        <v>936</v>
      </c>
      <c r="C475" s="16">
        <f>408.5/(1+B2)</f>
        <v>408.5</v>
      </c>
      <c r="D475" s="17" t="s">
        <v>53</v>
      </c>
      <c r="E475" s="17" t="s">
        <v>14</v>
      </c>
      <c r="F475" s="18"/>
      <c r="G475" s="36" t="str">
        <f>IF(ISNUMBER(F475),C475*F475,"")</f>
        <v/>
      </c>
    </row>
    <row r="476" spans="1:7" ht="12" customHeight="1" outlineLevel="3" x14ac:dyDescent="0.2">
      <c r="A476" s="14" t="s">
        <v>937</v>
      </c>
      <c r="B476" s="15" t="s">
        <v>938</v>
      </c>
      <c r="C476" s="16">
        <f>640.24/(1+B2)</f>
        <v>640.24</v>
      </c>
      <c r="D476" s="17" t="s">
        <v>11</v>
      </c>
      <c r="E476" s="17" t="s">
        <v>53</v>
      </c>
      <c r="F476" s="18"/>
      <c r="G476" s="36" t="str">
        <f>IF(ISNUMBER(F476),C476*F476,"")</f>
        <v/>
      </c>
    </row>
    <row r="477" spans="1:7" ht="12" customHeight="1" outlineLevel="3" x14ac:dyDescent="0.2">
      <c r="A477" s="14" t="s">
        <v>939</v>
      </c>
      <c r="B477" s="15" t="s">
        <v>940</v>
      </c>
      <c r="C477" s="16">
        <f>512.35/(1+B2)</f>
        <v>512.35</v>
      </c>
      <c r="D477" s="17" t="s">
        <v>11</v>
      </c>
      <c r="E477" s="17" t="s">
        <v>106</v>
      </c>
      <c r="F477" s="18"/>
      <c r="G477" s="36" t="str">
        <f>IF(ISNUMBER(F477),C477*F477,"")</f>
        <v/>
      </c>
    </row>
    <row r="478" spans="1:7" ht="12" customHeight="1" outlineLevel="3" x14ac:dyDescent="0.2">
      <c r="A478" s="14" t="s">
        <v>941</v>
      </c>
      <c r="B478" s="15" t="s">
        <v>942</v>
      </c>
      <c r="C478" s="16">
        <f>555.43/(1+B2)</f>
        <v>555.42999999999995</v>
      </c>
      <c r="D478" s="17" t="s">
        <v>53</v>
      </c>
      <c r="E478" s="17" t="s">
        <v>106</v>
      </c>
      <c r="F478" s="18"/>
      <c r="G478" s="36" t="str">
        <f>IF(ISNUMBER(F478),C478*F478,"")</f>
        <v/>
      </c>
    </row>
    <row r="479" spans="1:7" ht="12" customHeight="1" outlineLevel="3" x14ac:dyDescent="0.2">
      <c r="A479" s="14" t="s">
        <v>943</v>
      </c>
      <c r="B479" s="15" t="s">
        <v>944</v>
      </c>
      <c r="C479" s="16">
        <f>336.85/(1+B2)</f>
        <v>336.85</v>
      </c>
      <c r="D479" s="17" t="s">
        <v>11</v>
      </c>
      <c r="E479" s="17" t="s">
        <v>106</v>
      </c>
      <c r="F479" s="18"/>
      <c r="G479" s="36" t="str">
        <f>IF(ISNUMBER(F479),C479*F479,"")</f>
        <v/>
      </c>
    </row>
    <row r="480" spans="1:7" ht="12" customHeight="1" outlineLevel="3" x14ac:dyDescent="0.2">
      <c r="A480" s="14" t="s">
        <v>945</v>
      </c>
      <c r="B480" s="15" t="s">
        <v>946</v>
      </c>
      <c r="C480" s="16">
        <f>345.1/(1+B2)</f>
        <v>345.1</v>
      </c>
      <c r="D480" s="17" t="s">
        <v>14</v>
      </c>
      <c r="E480" s="17" t="s">
        <v>106</v>
      </c>
      <c r="F480" s="18"/>
      <c r="G480" s="36" t="str">
        <f>IF(ISNUMBER(F480),C480*F480,"")</f>
        <v/>
      </c>
    </row>
    <row r="481" spans="1:7" ht="12" customHeight="1" outlineLevel="3" x14ac:dyDescent="0.2">
      <c r="A481" s="14" t="s">
        <v>947</v>
      </c>
      <c r="B481" s="15" t="s">
        <v>948</v>
      </c>
      <c r="C481" s="16">
        <f>335.66/(1+B2)</f>
        <v>335.66</v>
      </c>
      <c r="D481" s="17" t="s">
        <v>11</v>
      </c>
      <c r="E481" s="17" t="s">
        <v>106</v>
      </c>
      <c r="F481" s="18"/>
      <c r="G481" s="36" t="str">
        <f>IF(ISNUMBER(F481),C481*F481,"")</f>
        <v/>
      </c>
    </row>
    <row r="482" spans="1:7" ht="12" customHeight="1" outlineLevel="3" x14ac:dyDescent="0.2">
      <c r="A482" s="14" t="s">
        <v>949</v>
      </c>
      <c r="B482" s="15" t="s">
        <v>950</v>
      </c>
      <c r="C482" s="16">
        <f>345.2/(1+B2)</f>
        <v>345.2</v>
      </c>
      <c r="D482" s="17" t="s">
        <v>11</v>
      </c>
      <c r="E482" s="17" t="s">
        <v>106</v>
      </c>
      <c r="F482" s="18"/>
      <c r="G482" s="36" t="str">
        <f>IF(ISNUMBER(F482),C482*F482,"")</f>
        <v/>
      </c>
    </row>
    <row r="483" spans="1:7" ht="12" customHeight="1" outlineLevel="3" x14ac:dyDescent="0.2">
      <c r="A483" s="14" t="s">
        <v>951</v>
      </c>
      <c r="B483" s="15" t="s">
        <v>952</v>
      </c>
      <c r="C483" s="16">
        <f>457.11/(1+B2)</f>
        <v>457.11</v>
      </c>
      <c r="D483" s="17" t="s">
        <v>11</v>
      </c>
      <c r="E483" s="17" t="s">
        <v>106</v>
      </c>
      <c r="F483" s="18"/>
      <c r="G483" s="36" t="str">
        <f>IF(ISNUMBER(F483),C483*F483,"")</f>
        <v/>
      </c>
    </row>
    <row r="484" spans="1:7" ht="12" customHeight="1" outlineLevel="3" x14ac:dyDescent="0.2">
      <c r="A484" s="14" t="s">
        <v>953</v>
      </c>
      <c r="B484" s="15" t="s">
        <v>954</v>
      </c>
      <c r="C484" s="16">
        <f>473.03/(1+B2)</f>
        <v>473.03</v>
      </c>
      <c r="D484" s="17" t="s">
        <v>11</v>
      </c>
      <c r="E484" s="17" t="s">
        <v>11</v>
      </c>
      <c r="F484" s="18"/>
      <c r="G484" s="36" t="str">
        <f>IF(ISNUMBER(F484),C484*F484,"")</f>
        <v/>
      </c>
    </row>
    <row r="485" spans="1:7" ht="12" customHeight="1" outlineLevel="3" x14ac:dyDescent="0.2">
      <c r="A485" s="14" t="s">
        <v>955</v>
      </c>
      <c r="B485" s="15" t="s">
        <v>956</v>
      </c>
      <c r="C485" s="16">
        <f>330.25/(1+B2)</f>
        <v>330.25</v>
      </c>
      <c r="D485" s="17" t="s">
        <v>14</v>
      </c>
      <c r="E485" s="17" t="s">
        <v>106</v>
      </c>
      <c r="F485" s="18"/>
      <c r="G485" s="36" t="str">
        <f>IF(ISNUMBER(F485),C485*F485,"")</f>
        <v/>
      </c>
    </row>
    <row r="486" spans="1:7" ht="12" customHeight="1" outlineLevel="3" x14ac:dyDescent="0.2">
      <c r="A486" s="14" t="s">
        <v>957</v>
      </c>
      <c r="B486" s="15" t="s">
        <v>958</v>
      </c>
      <c r="C486" s="16">
        <f>359.76/(1+B2)</f>
        <v>359.76</v>
      </c>
      <c r="D486" s="17" t="s">
        <v>14</v>
      </c>
      <c r="E486" s="17" t="s">
        <v>106</v>
      </c>
      <c r="F486" s="18"/>
      <c r="G486" s="36" t="str">
        <f>IF(ISNUMBER(F486),C486*F486,"")</f>
        <v/>
      </c>
    </row>
    <row r="487" spans="1:7" ht="12" customHeight="1" outlineLevel="3" x14ac:dyDescent="0.2">
      <c r="A487" s="14" t="s">
        <v>959</v>
      </c>
      <c r="B487" s="15" t="s">
        <v>960</v>
      </c>
      <c r="C487" s="16">
        <f>450.32/(1+B2)</f>
        <v>450.32</v>
      </c>
      <c r="D487" s="17" t="s">
        <v>14</v>
      </c>
      <c r="E487" s="17" t="s">
        <v>106</v>
      </c>
      <c r="F487" s="18"/>
      <c r="G487" s="36" t="str">
        <f>IF(ISNUMBER(F487),C487*F487,"")</f>
        <v/>
      </c>
    </row>
    <row r="488" spans="1:7" ht="12" customHeight="1" outlineLevel="3" x14ac:dyDescent="0.2">
      <c r="A488" s="14" t="s">
        <v>961</v>
      </c>
      <c r="B488" s="15" t="s">
        <v>962</v>
      </c>
      <c r="C488" s="16">
        <f>212.52/(1+B2)</f>
        <v>212.52</v>
      </c>
      <c r="D488" s="17" t="s">
        <v>11</v>
      </c>
      <c r="E488" s="17" t="s">
        <v>106</v>
      </c>
      <c r="F488" s="18"/>
      <c r="G488" s="36" t="str">
        <f>IF(ISNUMBER(F488),C488*F488,"")</f>
        <v/>
      </c>
    </row>
    <row r="489" spans="1:7" ht="12" customHeight="1" outlineLevel="3" x14ac:dyDescent="0.2">
      <c r="A489" s="14" t="s">
        <v>963</v>
      </c>
      <c r="B489" s="15" t="s">
        <v>964</v>
      </c>
      <c r="C489" s="16">
        <f>877.84/(1+B2)</f>
        <v>877.84</v>
      </c>
      <c r="D489" s="17" t="s">
        <v>11</v>
      </c>
      <c r="E489" s="17" t="s">
        <v>53</v>
      </c>
      <c r="F489" s="18"/>
      <c r="G489" s="36" t="str">
        <f>IF(ISNUMBER(F489),C489*F489,"")</f>
        <v/>
      </c>
    </row>
    <row r="490" spans="1:7" ht="12" customHeight="1" outlineLevel="3" x14ac:dyDescent="0.2">
      <c r="A490" s="14" t="s">
        <v>965</v>
      </c>
      <c r="B490" s="15" t="s">
        <v>966</v>
      </c>
      <c r="C490" s="16">
        <f>729.83/(1+B2)</f>
        <v>729.83</v>
      </c>
      <c r="D490" s="17" t="s">
        <v>14</v>
      </c>
      <c r="E490" s="17" t="s">
        <v>53</v>
      </c>
      <c r="F490" s="18"/>
      <c r="G490" s="36" t="str">
        <f>IF(ISNUMBER(F490),C490*F490,"")</f>
        <v/>
      </c>
    </row>
    <row r="491" spans="1:7" ht="12" customHeight="1" outlineLevel="3" x14ac:dyDescent="0.2">
      <c r="A491" s="14" t="s">
        <v>967</v>
      </c>
      <c r="B491" s="15" t="s">
        <v>968</v>
      </c>
      <c r="C491" s="16">
        <f>891.08/(1+B2)</f>
        <v>891.08</v>
      </c>
      <c r="D491" s="17" t="s">
        <v>11</v>
      </c>
      <c r="E491" s="17" t="s">
        <v>53</v>
      </c>
      <c r="F491" s="18"/>
      <c r="G491" s="36" t="str">
        <f>IF(ISNUMBER(F491),C491*F491,"")</f>
        <v/>
      </c>
    </row>
    <row r="492" spans="1:7" ht="12" customHeight="1" outlineLevel="3" x14ac:dyDescent="0.2">
      <c r="A492" s="14" t="s">
        <v>969</v>
      </c>
      <c r="B492" s="15" t="s">
        <v>970</v>
      </c>
      <c r="C492" s="16">
        <f>414.48/(1+B2)</f>
        <v>414.48</v>
      </c>
      <c r="D492" s="17" t="s">
        <v>11</v>
      </c>
      <c r="E492" s="17" t="s">
        <v>106</v>
      </c>
      <c r="F492" s="18"/>
      <c r="G492" s="36" t="str">
        <f>IF(ISNUMBER(F492),C492*F492,"")</f>
        <v/>
      </c>
    </row>
    <row r="493" spans="1:7" ht="12" customHeight="1" outlineLevel="3" x14ac:dyDescent="0.2">
      <c r="A493" s="14" t="s">
        <v>971</v>
      </c>
      <c r="B493" s="15" t="s">
        <v>972</v>
      </c>
      <c r="C493" s="16">
        <f>374.89/(1+B2)</f>
        <v>374.89</v>
      </c>
      <c r="D493" s="17" t="s">
        <v>11</v>
      </c>
      <c r="E493" s="17" t="s">
        <v>106</v>
      </c>
      <c r="F493" s="18"/>
      <c r="G493" s="36" t="str">
        <f>IF(ISNUMBER(F493),C493*F493,"")</f>
        <v/>
      </c>
    </row>
    <row r="494" spans="1:7" ht="12" customHeight="1" outlineLevel="3" x14ac:dyDescent="0.2">
      <c r="A494" s="14" t="s">
        <v>973</v>
      </c>
      <c r="B494" s="15" t="s">
        <v>974</v>
      </c>
      <c r="C494" s="16">
        <f>409.72/(1+B2)</f>
        <v>409.72</v>
      </c>
      <c r="D494" s="17" t="s">
        <v>11</v>
      </c>
      <c r="E494" s="17" t="s">
        <v>106</v>
      </c>
      <c r="F494" s="18"/>
      <c r="G494" s="36" t="str">
        <f>IF(ISNUMBER(F494),C494*F494,"")</f>
        <v/>
      </c>
    </row>
    <row r="495" spans="1:7" ht="12" customHeight="1" outlineLevel="3" x14ac:dyDescent="0.2">
      <c r="A495" s="14" t="s">
        <v>975</v>
      </c>
      <c r="B495" s="15" t="s">
        <v>976</v>
      </c>
      <c r="C495" s="16">
        <f>407.48/(1+B2)</f>
        <v>407.48</v>
      </c>
      <c r="D495" s="17" t="s">
        <v>11</v>
      </c>
      <c r="E495" s="17" t="s">
        <v>106</v>
      </c>
      <c r="F495" s="18"/>
      <c r="G495" s="36" t="str">
        <f>IF(ISNUMBER(F495),C495*F495,"")</f>
        <v/>
      </c>
    </row>
    <row r="496" spans="1:7" s="1" customFormat="1" ht="15.95" customHeight="1" x14ac:dyDescent="0.25">
      <c r="A496" s="8"/>
      <c r="B496" s="9" t="s">
        <v>977</v>
      </c>
      <c r="C496" s="10"/>
      <c r="D496" s="10"/>
      <c r="E496" s="10"/>
      <c r="F496" s="10"/>
      <c r="G496" s="34"/>
    </row>
    <row r="497" spans="1:7" s="1" customFormat="1" ht="15.95" customHeight="1" outlineLevel="1" x14ac:dyDescent="0.25">
      <c r="A497" s="11"/>
      <c r="B497" s="12" t="s">
        <v>978</v>
      </c>
      <c r="C497" s="13"/>
      <c r="D497" s="13"/>
      <c r="E497" s="13"/>
      <c r="F497" s="13"/>
      <c r="G497" s="35"/>
    </row>
    <row r="498" spans="1:7" ht="12" customHeight="1" outlineLevel="2" x14ac:dyDescent="0.2">
      <c r="A498" s="14" t="s">
        <v>979</v>
      </c>
      <c r="B498" s="15" t="s">
        <v>980</v>
      </c>
      <c r="C498" s="16">
        <f>150.37/(1+B2)</f>
        <v>150.37</v>
      </c>
      <c r="D498" s="17" t="s">
        <v>11</v>
      </c>
      <c r="E498" s="17"/>
      <c r="F498" s="18"/>
      <c r="G498" s="36" t="str">
        <f>IF(ISNUMBER(F498),C498*F498,"")</f>
        <v/>
      </c>
    </row>
    <row r="499" spans="1:7" ht="12" customHeight="1" outlineLevel="2" x14ac:dyDescent="0.2">
      <c r="A499" s="14" t="s">
        <v>981</v>
      </c>
      <c r="B499" s="15" t="s">
        <v>982</v>
      </c>
      <c r="C499" s="16">
        <f>239.95/(1+B2)</f>
        <v>239.95</v>
      </c>
      <c r="D499" s="17" t="s">
        <v>11</v>
      </c>
      <c r="E499" s="17"/>
      <c r="F499" s="18"/>
      <c r="G499" s="36" t="str">
        <f>IF(ISNUMBER(F499),C499*F499,"")</f>
        <v/>
      </c>
    </row>
    <row r="500" spans="1:7" ht="12" customHeight="1" outlineLevel="2" x14ac:dyDescent="0.2">
      <c r="A500" s="14" t="s">
        <v>983</v>
      </c>
      <c r="B500" s="15" t="s">
        <v>984</v>
      </c>
      <c r="C500" s="16">
        <f>131.24/(1+B2)</f>
        <v>131.24</v>
      </c>
      <c r="D500" s="17" t="s">
        <v>14</v>
      </c>
      <c r="E500" s="17" t="s">
        <v>11</v>
      </c>
      <c r="F500" s="18"/>
      <c r="G500" s="36" t="str">
        <f>IF(ISNUMBER(F500),C500*F500,"")</f>
        <v/>
      </c>
    </row>
    <row r="501" spans="1:7" ht="12" customHeight="1" outlineLevel="2" x14ac:dyDescent="0.2">
      <c r="A501" s="14" t="s">
        <v>985</v>
      </c>
      <c r="B501" s="15" t="s">
        <v>986</v>
      </c>
      <c r="C501" s="16">
        <f>131.24/(1+B2)</f>
        <v>131.24</v>
      </c>
      <c r="D501" s="17" t="s">
        <v>11</v>
      </c>
      <c r="E501" s="17"/>
      <c r="F501" s="18"/>
      <c r="G501" s="36" t="str">
        <f>IF(ISNUMBER(F501),C501*F501,"")</f>
        <v/>
      </c>
    </row>
    <row r="502" spans="1:7" ht="24" customHeight="1" outlineLevel="2" x14ac:dyDescent="0.2">
      <c r="A502" s="14" t="s">
        <v>987</v>
      </c>
      <c r="B502" s="15" t="s">
        <v>988</v>
      </c>
      <c r="C502" s="16">
        <f>131.24/(1+B2)</f>
        <v>131.24</v>
      </c>
      <c r="D502" s="17" t="s">
        <v>14</v>
      </c>
      <c r="E502" s="17" t="s">
        <v>11</v>
      </c>
      <c r="F502" s="18"/>
      <c r="G502" s="36" t="str">
        <f>IF(ISNUMBER(F502),C502*F502,"")</f>
        <v/>
      </c>
    </row>
    <row r="503" spans="1:7" ht="12" customHeight="1" outlineLevel="2" x14ac:dyDescent="0.2">
      <c r="A503" s="14" t="s">
        <v>989</v>
      </c>
      <c r="B503" s="15" t="s">
        <v>990</v>
      </c>
      <c r="C503" s="16">
        <f>131.24/(1+B2)</f>
        <v>131.24</v>
      </c>
      <c r="D503" s="17" t="s">
        <v>14</v>
      </c>
      <c r="E503" s="17" t="s">
        <v>11</v>
      </c>
      <c r="F503" s="18"/>
      <c r="G503" s="36" t="str">
        <f>IF(ISNUMBER(F503),C503*F503,"")</f>
        <v/>
      </c>
    </row>
    <row r="504" spans="1:7" ht="12" customHeight="1" outlineLevel="2" x14ac:dyDescent="0.2">
      <c r="A504" s="14" t="s">
        <v>991</v>
      </c>
      <c r="B504" s="15" t="s">
        <v>992</v>
      </c>
      <c r="C504" s="16">
        <f>216.56/(1+B2)</f>
        <v>216.56</v>
      </c>
      <c r="D504" s="17" t="s">
        <v>11</v>
      </c>
      <c r="E504" s="17"/>
      <c r="F504" s="18"/>
      <c r="G504" s="36" t="str">
        <f>IF(ISNUMBER(F504),C504*F504,"")</f>
        <v/>
      </c>
    </row>
    <row r="505" spans="1:7" ht="12" customHeight="1" outlineLevel="2" x14ac:dyDescent="0.2">
      <c r="A505" s="14" t="s">
        <v>993</v>
      </c>
      <c r="B505" s="15" t="s">
        <v>994</v>
      </c>
      <c r="C505" s="16">
        <f>95.6/(1+B2)</f>
        <v>95.6</v>
      </c>
      <c r="D505" s="17" t="s">
        <v>11</v>
      </c>
      <c r="E505" s="17" t="s">
        <v>11</v>
      </c>
      <c r="F505" s="18"/>
      <c r="G505" s="36" t="str">
        <f>IF(ISNUMBER(F505),C505*F505,"")</f>
        <v/>
      </c>
    </row>
    <row r="506" spans="1:7" ht="12" customHeight="1" outlineLevel="2" x14ac:dyDescent="0.2">
      <c r="A506" s="14" t="s">
        <v>995</v>
      </c>
      <c r="B506" s="15" t="s">
        <v>996</v>
      </c>
      <c r="C506" s="16">
        <f>95.6/(1+B2)</f>
        <v>95.6</v>
      </c>
      <c r="D506" s="17" t="s">
        <v>11</v>
      </c>
      <c r="E506" s="17" t="s">
        <v>11</v>
      </c>
      <c r="F506" s="18"/>
      <c r="G506" s="36" t="str">
        <f>IF(ISNUMBER(F506),C506*F506,"")</f>
        <v/>
      </c>
    </row>
    <row r="507" spans="1:7" ht="12" customHeight="1" outlineLevel="2" x14ac:dyDescent="0.2">
      <c r="A507" s="14" t="s">
        <v>997</v>
      </c>
      <c r="B507" s="15" t="s">
        <v>998</v>
      </c>
      <c r="C507" s="16">
        <f>95.6/(1+B2)</f>
        <v>95.6</v>
      </c>
      <c r="D507" s="17" t="s">
        <v>11</v>
      </c>
      <c r="E507" s="17" t="s">
        <v>11</v>
      </c>
      <c r="F507" s="18"/>
      <c r="G507" s="36" t="str">
        <f>IF(ISNUMBER(F507),C507*F507,"")</f>
        <v/>
      </c>
    </row>
    <row r="508" spans="1:7" ht="12" customHeight="1" outlineLevel="2" x14ac:dyDescent="0.2">
      <c r="A508" s="14" t="s">
        <v>999</v>
      </c>
      <c r="B508" s="15" t="s">
        <v>1000</v>
      </c>
      <c r="C508" s="16">
        <f>74.46/(1+B2)</f>
        <v>74.459999999999994</v>
      </c>
      <c r="D508" s="17" t="s">
        <v>11</v>
      </c>
      <c r="E508" s="17"/>
      <c r="F508" s="18"/>
      <c r="G508" s="36" t="str">
        <f>IF(ISNUMBER(F508),C508*F508,"")</f>
        <v/>
      </c>
    </row>
    <row r="509" spans="1:7" s="1" customFormat="1" ht="15.95" customHeight="1" outlineLevel="1" x14ac:dyDescent="0.25">
      <c r="A509" s="11"/>
      <c r="B509" s="12" t="s">
        <v>1001</v>
      </c>
      <c r="C509" s="13"/>
      <c r="D509" s="13"/>
      <c r="E509" s="13"/>
      <c r="F509" s="13"/>
      <c r="G509" s="35"/>
    </row>
    <row r="510" spans="1:7" ht="12" customHeight="1" outlineLevel="2" x14ac:dyDescent="0.2">
      <c r="A510" s="14" t="s">
        <v>1002</v>
      </c>
      <c r="B510" s="15" t="s">
        <v>1003</v>
      </c>
      <c r="C510" s="16">
        <f>44.34/(1+B2)</f>
        <v>44.34</v>
      </c>
      <c r="D510" s="17" t="s">
        <v>11</v>
      </c>
      <c r="E510" s="17" t="s">
        <v>14</v>
      </c>
      <c r="F510" s="18"/>
      <c r="G510" s="36" t="str">
        <f>IF(ISNUMBER(F510),C510*F510,"")</f>
        <v/>
      </c>
    </row>
    <row r="511" spans="1:7" ht="12" customHeight="1" outlineLevel="2" x14ac:dyDescent="0.2">
      <c r="A511" s="14" t="s">
        <v>1004</v>
      </c>
      <c r="B511" s="15" t="s">
        <v>1005</v>
      </c>
      <c r="C511" s="16">
        <f>40.74/(1+B2)</f>
        <v>40.74</v>
      </c>
      <c r="D511" s="17" t="s">
        <v>11</v>
      </c>
      <c r="E511" s="17" t="s">
        <v>14</v>
      </c>
      <c r="F511" s="18"/>
      <c r="G511" s="36" t="str">
        <f>IF(ISNUMBER(F511),C511*F511,"")</f>
        <v/>
      </c>
    </row>
    <row r="512" spans="1:7" ht="12" customHeight="1" outlineLevel="2" x14ac:dyDescent="0.2">
      <c r="A512" s="14" t="s">
        <v>1006</v>
      </c>
      <c r="B512" s="15" t="s">
        <v>1007</v>
      </c>
      <c r="C512" s="16">
        <f>57/(1+B2)</f>
        <v>57</v>
      </c>
      <c r="D512" s="17" t="s">
        <v>14</v>
      </c>
      <c r="E512" s="17"/>
      <c r="F512" s="18"/>
      <c r="G512" s="36" t="str">
        <f>IF(ISNUMBER(F512),C512*F512,"")</f>
        <v/>
      </c>
    </row>
    <row r="513" spans="1:7" ht="12" customHeight="1" outlineLevel="2" x14ac:dyDescent="0.2">
      <c r="A513" s="14" t="s">
        <v>1008</v>
      </c>
      <c r="B513" s="15" t="s">
        <v>1009</v>
      </c>
      <c r="C513" s="16">
        <f>48.24/(1+B2)</f>
        <v>48.24</v>
      </c>
      <c r="D513" s="17" t="s">
        <v>14</v>
      </c>
      <c r="E513" s="17" t="s">
        <v>53</v>
      </c>
      <c r="F513" s="18"/>
      <c r="G513" s="36" t="str">
        <f>IF(ISNUMBER(F513),C513*F513,"")</f>
        <v/>
      </c>
    </row>
    <row r="514" spans="1:7" ht="12" customHeight="1" outlineLevel="2" x14ac:dyDescent="0.2">
      <c r="A514" s="14" t="s">
        <v>1010</v>
      </c>
      <c r="B514" s="15" t="s">
        <v>1011</v>
      </c>
      <c r="C514" s="16">
        <f>59.29/(1+B2)</f>
        <v>59.29</v>
      </c>
      <c r="D514" s="17" t="s">
        <v>14</v>
      </c>
      <c r="E514" s="17" t="s">
        <v>11</v>
      </c>
      <c r="F514" s="18"/>
      <c r="G514" s="36" t="str">
        <f>IF(ISNUMBER(F514),C514*F514,"")</f>
        <v/>
      </c>
    </row>
    <row r="515" spans="1:7" ht="12" customHeight="1" outlineLevel="2" x14ac:dyDescent="0.2">
      <c r="A515" s="14" t="s">
        <v>1012</v>
      </c>
      <c r="B515" s="15" t="s">
        <v>1013</v>
      </c>
      <c r="C515" s="16">
        <f>65.31/(1+B2)</f>
        <v>65.31</v>
      </c>
      <c r="D515" s="17" t="s">
        <v>11</v>
      </c>
      <c r="E515" s="17"/>
      <c r="F515" s="18"/>
      <c r="G515" s="36" t="str">
        <f>IF(ISNUMBER(F515),C515*F515,"")</f>
        <v/>
      </c>
    </row>
    <row r="516" spans="1:7" ht="12" customHeight="1" outlineLevel="2" x14ac:dyDescent="0.2">
      <c r="A516" s="14" t="s">
        <v>1014</v>
      </c>
      <c r="B516" s="15" t="s">
        <v>1015</v>
      </c>
      <c r="C516" s="16">
        <f>40.79/(1+B2)</f>
        <v>40.79</v>
      </c>
      <c r="D516" s="17" t="s">
        <v>11</v>
      </c>
      <c r="E516" s="17" t="s">
        <v>53</v>
      </c>
      <c r="F516" s="18"/>
      <c r="G516" s="36" t="str">
        <f>IF(ISNUMBER(F516),C516*F516,"")</f>
        <v/>
      </c>
    </row>
    <row r="517" spans="1:7" ht="12" customHeight="1" outlineLevel="2" x14ac:dyDescent="0.2">
      <c r="A517" s="14" t="s">
        <v>1016</v>
      </c>
      <c r="B517" s="15" t="s">
        <v>1017</v>
      </c>
      <c r="C517" s="16">
        <f>42.84/(1+B2)</f>
        <v>42.84</v>
      </c>
      <c r="D517" s="17" t="s">
        <v>14</v>
      </c>
      <c r="E517" s="17" t="s">
        <v>11</v>
      </c>
      <c r="F517" s="18"/>
      <c r="G517" s="36" t="str">
        <f>IF(ISNUMBER(F517),C517*F517,"")</f>
        <v/>
      </c>
    </row>
    <row r="518" spans="1:7" ht="12" customHeight="1" outlineLevel="2" x14ac:dyDescent="0.2">
      <c r="A518" s="14" t="s">
        <v>1018</v>
      </c>
      <c r="B518" s="15" t="s">
        <v>1019</v>
      </c>
      <c r="C518" s="16">
        <f>41.12/(1+B2)</f>
        <v>41.12</v>
      </c>
      <c r="D518" s="17" t="s">
        <v>11</v>
      </c>
      <c r="E518" s="17"/>
      <c r="F518" s="18"/>
      <c r="G518" s="36" t="str">
        <f>IF(ISNUMBER(F518),C518*F518,"")</f>
        <v/>
      </c>
    </row>
    <row r="519" spans="1:7" ht="12" customHeight="1" outlineLevel="2" x14ac:dyDescent="0.2">
      <c r="A519" s="14" t="s">
        <v>1020</v>
      </c>
      <c r="B519" s="15" t="s">
        <v>1021</v>
      </c>
      <c r="C519" s="16">
        <f>33.66/(1+B2)</f>
        <v>33.659999999999997</v>
      </c>
      <c r="D519" s="17" t="s">
        <v>14</v>
      </c>
      <c r="E519" s="17"/>
      <c r="F519" s="18"/>
      <c r="G519" s="36" t="str">
        <f>IF(ISNUMBER(F519),C519*F519,"")</f>
        <v/>
      </c>
    </row>
    <row r="520" spans="1:7" ht="12" customHeight="1" outlineLevel="2" x14ac:dyDescent="0.2">
      <c r="A520" s="14" t="s">
        <v>1022</v>
      </c>
      <c r="B520" s="15" t="s">
        <v>1023</v>
      </c>
      <c r="C520" s="16">
        <f>35.21/(1+B2)</f>
        <v>35.21</v>
      </c>
      <c r="D520" s="17" t="s">
        <v>11</v>
      </c>
      <c r="E520" s="17"/>
      <c r="F520" s="18"/>
      <c r="G520" s="36" t="str">
        <f>IF(ISNUMBER(F520),C520*F520,"")</f>
        <v/>
      </c>
    </row>
    <row r="521" spans="1:7" ht="12" customHeight="1" outlineLevel="2" x14ac:dyDescent="0.2">
      <c r="A521" s="14" t="s">
        <v>1024</v>
      </c>
      <c r="B521" s="15" t="s">
        <v>1025</v>
      </c>
      <c r="C521" s="16">
        <f>44.56/(1+B2)</f>
        <v>44.56</v>
      </c>
      <c r="D521" s="17" t="s">
        <v>11</v>
      </c>
      <c r="E521" s="17" t="s">
        <v>14</v>
      </c>
      <c r="F521" s="18"/>
      <c r="G521" s="36" t="str">
        <f>IF(ISNUMBER(F521),C521*F521,"")</f>
        <v/>
      </c>
    </row>
    <row r="522" spans="1:7" ht="12" customHeight="1" outlineLevel="2" x14ac:dyDescent="0.2">
      <c r="A522" s="14" t="s">
        <v>1026</v>
      </c>
      <c r="B522" s="15" t="s">
        <v>1027</v>
      </c>
      <c r="C522" s="16">
        <f>17.12/(1+B2)</f>
        <v>17.12</v>
      </c>
      <c r="D522" s="17" t="s">
        <v>14</v>
      </c>
      <c r="E522" s="17" t="s">
        <v>14</v>
      </c>
      <c r="F522" s="18"/>
      <c r="G522" s="36" t="str">
        <f>IF(ISNUMBER(F522),C522*F522,"")</f>
        <v/>
      </c>
    </row>
    <row r="523" spans="1:7" ht="12" customHeight="1" outlineLevel="2" x14ac:dyDescent="0.2">
      <c r="A523" s="14" t="s">
        <v>1028</v>
      </c>
      <c r="B523" s="15" t="s">
        <v>1029</v>
      </c>
      <c r="C523" s="16">
        <f>16.63/(1+B2)</f>
        <v>16.63</v>
      </c>
      <c r="D523" s="17" t="s">
        <v>11</v>
      </c>
      <c r="E523" s="17"/>
      <c r="F523" s="18"/>
      <c r="G523" s="36" t="str">
        <f>IF(ISNUMBER(F523),C523*F523,"")</f>
        <v/>
      </c>
    </row>
    <row r="524" spans="1:7" ht="12" customHeight="1" outlineLevel="2" x14ac:dyDescent="0.2">
      <c r="A524" s="14" t="s">
        <v>1030</v>
      </c>
      <c r="B524" s="15" t="s">
        <v>1031</v>
      </c>
      <c r="C524" s="16">
        <f>11.92/(1+B2)</f>
        <v>11.92</v>
      </c>
      <c r="D524" s="17" t="s">
        <v>11</v>
      </c>
      <c r="E524" s="17" t="s">
        <v>53</v>
      </c>
      <c r="F524" s="18"/>
      <c r="G524" s="36" t="str">
        <f>IF(ISNUMBER(F524),C524*F524,"")</f>
        <v/>
      </c>
    </row>
    <row r="525" spans="1:7" ht="12" customHeight="1" outlineLevel="2" x14ac:dyDescent="0.2">
      <c r="A525" s="14" t="s">
        <v>1032</v>
      </c>
      <c r="B525" s="15" t="s">
        <v>1033</v>
      </c>
      <c r="C525" s="16">
        <f>24.11/(1+B2)</f>
        <v>24.11</v>
      </c>
      <c r="D525" s="17" t="s">
        <v>11</v>
      </c>
      <c r="E525" s="17" t="s">
        <v>53</v>
      </c>
      <c r="F525" s="18"/>
      <c r="G525" s="36" t="str">
        <f>IF(ISNUMBER(F525),C525*F525,"")</f>
        <v/>
      </c>
    </row>
    <row r="526" spans="1:7" ht="12" customHeight="1" outlineLevel="2" x14ac:dyDescent="0.2">
      <c r="A526" s="14" t="s">
        <v>1034</v>
      </c>
      <c r="B526" s="15" t="s">
        <v>1035</v>
      </c>
      <c r="C526" s="16">
        <f>20.06/(1+B2)</f>
        <v>20.059999999999999</v>
      </c>
      <c r="D526" s="17" t="s">
        <v>11</v>
      </c>
      <c r="E526" s="17"/>
      <c r="F526" s="18"/>
      <c r="G526" s="36" t="str">
        <f>IF(ISNUMBER(F526),C526*F526,"")</f>
        <v/>
      </c>
    </row>
    <row r="527" spans="1:7" ht="12" customHeight="1" outlineLevel="2" x14ac:dyDescent="0.2">
      <c r="A527" s="14" t="s">
        <v>1036</v>
      </c>
      <c r="B527" s="15" t="s">
        <v>1037</v>
      </c>
      <c r="C527" s="16">
        <f>60.32/(1+B2)</f>
        <v>60.32</v>
      </c>
      <c r="D527" s="17" t="s">
        <v>11</v>
      </c>
      <c r="E527" s="17" t="s">
        <v>11</v>
      </c>
      <c r="F527" s="18"/>
      <c r="G527" s="36" t="str">
        <f>IF(ISNUMBER(F527),C527*F527,"")</f>
        <v/>
      </c>
    </row>
    <row r="528" spans="1:7" ht="12" customHeight="1" outlineLevel="2" x14ac:dyDescent="0.2">
      <c r="A528" s="14" t="s">
        <v>1038</v>
      </c>
      <c r="B528" s="15" t="s">
        <v>1039</v>
      </c>
      <c r="C528" s="16">
        <f>44.34/(1+B2)</f>
        <v>44.34</v>
      </c>
      <c r="D528" s="17" t="s">
        <v>11</v>
      </c>
      <c r="E528" s="17" t="s">
        <v>14</v>
      </c>
      <c r="F528" s="18"/>
      <c r="G528" s="36" t="str">
        <f>IF(ISNUMBER(F528),C528*F528,"")</f>
        <v/>
      </c>
    </row>
    <row r="529" spans="1:7" ht="12" customHeight="1" outlineLevel="2" x14ac:dyDescent="0.2">
      <c r="A529" s="14" t="s">
        <v>1040</v>
      </c>
      <c r="B529" s="15" t="s">
        <v>1041</v>
      </c>
      <c r="C529" s="16">
        <f>30.85/(1+B2)</f>
        <v>30.85</v>
      </c>
      <c r="D529" s="17" t="s">
        <v>11</v>
      </c>
      <c r="E529" s="17"/>
      <c r="F529" s="18"/>
      <c r="G529" s="36" t="str">
        <f>IF(ISNUMBER(F529),C529*F529,"")</f>
        <v/>
      </c>
    </row>
    <row r="530" spans="1:7" ht="12" customHeight="1" outlineLevel="2" x14ac:dyDescent="0.2">
      <c r="A530" s="14" t="s">
        <v>1042</v>
      </c>
      <c r="B530" s="15" t="s">
        <v>1043</v>
      </c>
      <c r="C530" s="16">
        <f>24.01/(1+B2)</f>
        <v>24.01</v>
      </c>
      <c r="D530" s="17" t="s">
        <v>14</v>
      </c>
      <c r="E530" s="17" t="s">
        <v>14</v>
      </c>
      <c r="F530" s="18"/>
      <c r="G530" s="36" t="str">
        <f>IF(ISNUMBER(F530),C530*F530,"")</f>
        <v/>
      </c>
    </row>
    <row r="531" spans="1:7" ht="12" customHeight="1" outlineLevel="2" x14ac:dyDescent="0.2">
      <c r="A531" s="14" t="s">
        <v>1044</v>
      </c>
      <c r="B531" s="15" t="s">
        <v>1045</v>
      </c>
      <c r="C531" s="16">
        <f>32.4/(1+B2)</f>
        <v>32.4</v>
      </c>
      <c r="D531" s="17" t="s">
        <v>11</v>
      </c>
      <c r="E531" s="17" t="s">
        <v>14</v>
      </c>
      <c r="F531" s="18"/>
      <c r="G531" s="36" t="str">
        <f>IF(ISNUMBER(F531),C531*F531,"")</f>
        <v/>
      </c>
    </row>
    <row r="532" spans="1:7" ht="12" customHeight="1" outlineLevel="2" x14ac:dyDescent="0.2">
      <c r="A532" s="14" t="s">
        <v>1046</v>
      </c>
      <c r="B532" s="15" t="s">
        <v>1047</v>
      </c>
      <c r="C532" s="16">
        <f>20.09/(1+B2)</f>
        <v>20.09</v>
      </c>
      <c r="D532" s="17" t="s">
        <v>14</v>
      </c>
      <c r="E532" s="17"/>
      <c r="F532" s="18"/>
      <c r="G532" s="36" t="str">
        <f>IF(ISNUMBER(F532),C532*F532,"")</f>
        <v/>
      </c>
    </row>
    <row r="533" spans="1:7" ht="12" customHeight="1" outlineLevel="2" x14ac:dyDescent="0.2">
      <c r="A533" s="14" t="s">
        <v>1048</v>
      </c>
      <c r="B533" s="15" t="s">
        <v>1049</v>
      </c>
      <c r="C533" s="16">
        <f>19.45/(1+B2)</f>
        <v>19.45</v>
      </c>
      <c r="D533" s="17" t="s">
        <v>14</v>
      </c>
      <c r="E533" s="17" t="s">
        <v>14</v>
      </c>
      <c r="F533" s="18"/>
      <c r="G533" s="36" t="str">
        <f>IF(ISNUMBER(F533),C533*F533,"")</f>
        <v/>
      </c>
    </row>
    <row r="534" spans="1:7" ht="12" customHeight="1" outlineLevel="2" x14ac:dyDescent="0.2">
      <c r="A534" s="14" t="s">
        <v>1050</v>
      </c>
      <c r="B534" s="15" t="s">
        <v>1051</v>
      </c>
      <c r="C534" s="16">
        <f>19.45/(1+B2)</f>
        <v>19.45</v>
      </c>
      <c r="D534" s="17" t="s">
        <v>11</v>
      </c>
      <c r="E534" s="17" t="s">
        <v>11</v>
      </c>
      <c r="F534" s="18"/>
      <c r="G534" s="36" t="str">
        <f>IF(ISNUMBER(F534),C534*F534,"")</f>
        <v/>
      </c>
    </row>
    <row r="535" spans="1:7" ht="12" customHeight="1" outlineLevel="2" x14ac:dyDescent="0.2">
      <c r="A535" s="14" t="s">
        <v>1052</v>
      </c>
      <c r="B535" s="15" t="s">
        <v>1053</v>
      </c>
      <c r="C535" s="16">
        <f>18.28/(1+B2)</f>
        <v>18.28</v>
      </c>
      <c r="D535" s="17" t="s">
        <v>11</v>
      </c>
      <c r="E535" s="17"/>
      <c r="F535" s="18"/>
      <c r="G535" s="36" t="str">
        <f>IF(ISNUMBER(F535),C535*F535,"")</f>
        <v/>
      </c>
    </row>
    <row r="536" spans="1:7" ht="12" customHeight="1" outlineLevel="2" x14ac:dyDescent="0.2">
      <c r="A536" s="14" t="s">
        <v>1054</v>
      </c>
      <c r="B536" s="15" t="s">
        <v>1055</v>
      </c>
      <c r="C536" s="16">
        <f>23.75/(1+B2)</f>
        <v>23.75</v>
      </c>
      <c r="D536" s="17" t="s">
        <v>14</v>
      </c>
      <c r="E536" s="17"/>
      <c r="F536" s="18"/>
      <c r="G536" s="36" t="str">
        <f>IF(ISNUMBER(F536),C536*F536,"")</f>
        <v/>
      </c>
    </row>
    <row r="537" spans="1:7" ht="12" customHeight="1" outlineLevel="2" x14ac:dyDescent="0.2">
      <c r="A537" s="14" t="s">
        <v>1056</v>
      </c>
      <c r="B537" s="15" t="s">
        <v>1057</v>
      </c>
      <c r="C537" s="16">
        <f>13.64/(1+B2)</f>
        <v>13.64</v>
      </c>
      <c r="D537" s="17" t="s">
        <v>11</v>
      </c>
      <c r="E537" s="17"/>
      <c r="F537" s="18"/>
      <c r="G537" s="36" t="str">
        <f>IF(ISNUMBER(F537),C537*F537,"")</f>
        <v/>
      </c>
    </row>
    <row r="538" spans="1:7" ht="12" customHeight="1" outlineLevel="2" x14ac:dyDescent="0.2">
      <c r="A538" s="14" t="s">
        <v>1058</v>
      </c>
      <c r="B538" s="15" t="s">
        <v>1059</v>
      </c>
      <c r="C538" s="16">
        <f>17.12/(1+B2)</f>
        <v>17.12</v>
      </c>
      <c r="D538" s="17" t="s">
        <v>14</v>
      </c>
      <c r="E538" s="17"/>
      <c r="F538" s="18"/>
      <c r="G538" s="36" t="str">
        <f>IF(ISNUMBER(F538),C538*F538,"")</f>
        <v/>
      </c>
    </row>
    <row r="539" spans="1:7" ht="12" customHeight="1" outlineLevel="2" x14ac:dyDescent="0.2">
      <c r="A539" s="14" t="s">
        <v>1060</v>
      </c>
      <c r="B539" s="15" t="s">
        <v>1061</v>
      </c>
      <c r="C539" s="16">
        <f>23.75/(1+B2)</f>
        <v>23.75</v>
      </c>
      <c r="D539" s="17" t="s">
        <v>11</v>
      </c>
      <c r="E539" s="17"/>
      <c r="F539" s="18"/>
      <c r="G539" s="36" t="str">
        <f>IF(ISNUMBER(F539),C539*F539,"")</f>
        <v/>
      </c>
    </row>
    <row r="540" spans="1:7" ht="12" customHeight="1" outlineLevel="2" x14ac:dyDescent="0.2">
      <c r="A540" s="14" t="s">
        <v>1062</v>
      </c>
      <c r="B540" s="15" t="s">
        <v>1063</v>
      </c>
      <c r="C540" s="16">
        <f>38/(1+B2)</f>
        <v>38</v>
      </c>
      <c r="D540" s="17" t="s">
        <v>11</v>
      </c>
      <c r="E540" s="17" t="s">
        <v>14</v>
      </c>
      <c r="F540" s="18"/>
      <c r="G540" s="36" t="str">
        <f>IF(ISNUMBER(F540),C540*F540,"")</f>
        <v/>
      </c>
    </row>
    <row r="541" spans="1:7" ht="12" customHeight="1" outlineLevel="2" x14ac:dyDescent="0.2">
      <c r="A541" s="14" t="s">
        <v>1064</v>
      </c>
      <c r="B541" s="15" t="s">
        <v>1065</v>
      </c>
      <c r="C541" s="16">
        <f>40.56/(1+B2)</f>
        <v>40.56</v>
      </c>
      <c r="D541" s="17" t="s">
        <v>53</v>
      </c>
      <c r="E541" s="17" t="s">
        <v>14</v>
      </c>
      <c r="F541" s="18"/>
      <c r="G541" s="36" t="str">
        <f>IF(ISNUMBER(F541),C541*F541,"")</f>
        <v/>
      </c>
    </row>
    <row r="542" spans="1:7" ht="12" customHeight="1" outlineLevel="2" x14ac:dyDescent="0.2">
      <c r="A542" s="14" t="s">
        <v>1066</v>
      </c>
      <c r="B542" s="15" t="s">
        <v>1067</v>
      </c>
      <c r="C542" s="16">
        <f>137.23/(1+B2)</f>
        <v>137.22999999999999</v>
      </c>
      <c r="D542" s="17" t="s">
        <v>11</v>
      </c>
      <c r="E542" s="17"/>
      <c r="F542" s="18"/>
      <c r="G542" s="36" t="str">
        <f>IF(ISNUMBER(F542),C542*F542,"")</f>
        <v/>
      </c>
    </row>
    <row r="543" spans="1:7" ht="24" customHeight="1" outlineLevel="2" x14ac:dyDescent="0.2">
      <c r="A543" s="14" t="s">
        <v>1068</v>
      </c>
      <c r="B543" s="15" t="s">
        <v>1069</v>
      </c>
      <c r="C543" s="16">
        <f>137.23/(1+B2)</f>
        <v>137.22999999999999</v>
      </c>
      <c r="D543" s="17" t="s">
        <v>11</v>
      </c>
      <c r="E543" s="17"/>
      <c r="F543" s="18"/>
      <c r="G543" s="36" t="str">
        <f>IF(ISNUMBER(F543),C543*F543,"")</f>
        <v/>
      </c>
    </row>
    <row r="544" spans="1:7" ht="12" customHeight="1" outlineLevel="2" x14ac:dyDescent="0.2">
      <c r="A544" s="14" t="s">
        <v>1070</v>
      </c>
      <c r="B544" s="15" t="s">
        <v>1071</v>
      </c>
      <c r="C544" s="16">
        <f>150.31/(1+B2)</f>
        <v>150.31</v>
      </c>
      <c r="D544" s="17" t="s">
        <v>11</v>
      </c>
      <c r="E544" s="17"/>
      <c r="F544" s="18"/>
      <c r="G544" s="36" t="str">
        <f>IF(ISNUMBER(F544),C544*F544,"")</f>
        <v/>
      </c>
    </row>
    <row r="545" spans="1:7" ht="24" customHeight="1" outlineLevel="2" x14ac:dyDescent="0.2">
      <c r="A545" s="14" t="s">
        <v>1072</v>
      </c>
      <c r="B545" s="15" t="s">
        <v>1073</v>
      </c>
      <c r="C545" s="16">
        <f>128.25/(1+B2)</f>
        <v>128.25</v>
      </c>
      <c r="D545" s="17" t="s">
        <v>11</v>
      </c>
      <c r="E545" s="17"/>
      <c r="F545" s="18"/>
      <c r="G545" s="36" t="str">
        <f>IF(ISNUMBER(F545),C545*F545,"")</f>
        <v/>
      </c>
    </row>
    <row r="546" spans="1:7" s="1" customFormat="1" ht="15.95" customHeight="1" outlineLevel="1" x14ac:dyDescent="0.25">
      <c r="A546" s="11"/>
      <c r="B546" s="12" t="s">
        <v>1074</v>
      </c>
      <c r="C546" s="13"/>
      <c r="D546" s="13"/>
      <c r="E546" s="13"/>
      <c r="F546" s="13"/>
      <c r="G546" s="35"/>
    </row>
    <row r="547" spans="1:7" ht="24" customHeight="1" outlineLevel="2" x14ac:dyDescent="0.2">
      <c r="A547" s="14" t="s">
        <v>1075</v>
      </c>
      <c r="B547" s="15" t="s">
        <v>1076</v>
      </c>
      <c r="C547" s="16">
        <f>140.44/(1+B2)</f>
        <v>140.44</v>
      </c>
      <c r="D547" s="17" t="s">
        <v>11</v>
      </c>
      <c r="E547" s="17"/>
      <c r="F547" s="18"/>
      <c r="G547" s="36" t="str">
        <f>IF(ISNUMBER(F547),C547*F547,"")</f>
        <v/>
      </c>
    </row>
    <row r="548" spans="1:7" ht="12" customHeight="1" outlineLevel="2" x14ac:dyDescent="0.2">
      <c r="A548" s="14" t="s">
        <v>1077</v>
      </c>
      <c r="B548" s="15" t="s">
        <v>1078</v>
      </c>
      <c r="C548" s="16">
        <f>68.89/(1+B2)</f>
        <v>68.89</v>
      </c>
      <c r="D548" s="17" t="s">
        <v>11</v>
      </c>
      <c r="E548" s="17" t="s">
        <v>14</v>
      </c>
      <c r="F548" s="18"/>
      <c r="G548" s="36" t="str">
        <f>IF(ISNUMBER(F548),C548*F548,"")</f>
        <v/>
      </c>
    </row>
    <row r="549" spans="1:7" ht="12" customHeight="1" outlineLevel="2" x14ac:dyDescent="0.2">
      <c r="A549" s="14" t="s">
        <v>1079</v>
      </c>
      <c r="B549" s="15" t="s">
        <v>1080</v>
      </c>
      <c r="C549" s="16">
        <f>68.89/(1+B2)</f>
        <v>68.89</v>
      </c>
      <c r="D549" s="17" t="s">
        <v>11</v>
      </c>
      <c r="E549" s="17" t="s">
        <v>53</v>
      </c>
      <c r="F549" s="18"/>
      <c r="G549" s="36" t="str">
        <f>IF(ISNUMBER(F549),C549*F549,"")</f>
        <v/>
      </c>
    </row>
    <row r="550" spans="1:7" ht="12" customHeight="1" outlineLevel="2" x14ac:dyDescent="0.2">
      <c r="A550" s="14" t="s">
        <v>1081</v>
      </c>
      <c r="B550" s="15" t="s">
        <v>1082</v>
      </c>
      <c r="C550" s="16">
        <f>68.89/(1+B2)</f>
        <v>68.89</v>
      </c>
      <c r="D550" s="17" t="s">
        <v>11</v>
      </c>
      <c r="E550" s="17" t="s">
        <v>53</v>
      </c>
      <c r="F550" s="18"/>
      <c r="G550" s="36" t="str">
        <f>IF(ISNUMBER(F550),C550*F550,"")</f>
        <v/>
      </c>
    </row>
    <row r="551" spans="1:7" ht="12" customHeight="1" outlineLevel="2" x14ac:dyDescent="0.2">
      <c r="A551" s="14" t="s">
        <v>1083</v>
      </c>
      <c r="B551" s="15" t="s">
        <v>1084</v>
      </c>
      <c r="C551" s="16">
        <f>68.89/(1+B2)</f>
        <v>68.89</v>
      </c>
      <c r="D551" s="17" t="s">
        <v>11</v>
      </c>
      <c r="E551" s="17" t="s">
        <v>11</v>
      </c>
      <c r="F551" s="18"/>
      <c r="G551" s="36" t="str">
        <f>IF(ISNUMBER(F551),C551*F551,"")</f>
        <v/>
      </c>
    </row>
    <row r="552" spans="1:7" ht="12" customHeight="1" outlineLevel="2" x14ac:dyDescent="0.2">
      <c r="A552" s="14" t="s">
        <v>1085</v>
      </c>
      <c r="B552" s="15" t="s">
        <v>1086</v>
      </c>
      <c r="C552" s="16">
        <f>30.38/(1+B2)</f>
        <v>30.38</v>
      </c>
      <c r="D552" s="17" t="s">
        <v>53</v>
      </c>
      <c r="E552" s="17"/>
      <c r="F552" s="18"/>
      <c r="G552" s="36" t="str">
        <f>IF(ISNUMBER(F552),C552*F552,"")</f>
        <v/>
      </c>
    </row>
    <row r="553" spans="1:7" ht="24" customHeight="1" outlineLevel="2" x14ac:dyDescent="0.2">
      <c r="A553" s="14" t="s">
        <v>1087</v>
      </c>
      <c r="B553" s="15" t="s">
        <v>1088</v>
      </c>
      <c r="C553" s="16">
        <f>39.13/(1+B2)</f>
        <v>39.130000000000003</v>
      </c>
      <c r="D553" s="17" t="s">
        <v>14</v>
      </c>
      <c r="E553" s="17"/>
      <c r="F553" s="18"/>
      <c r="G553" s="36" t="str">
        <f>IF(ISNUMBER(F553),C553*F553,"")</f>
        <v/>
      </c>
    </row>
    <row r="554" spans="1:7" ht="12" customHeight="1" outlineLevel="2" x14ac:dyDescent="0.2">
      <c r="A554" s="14" t="s">
        <v>1089</v>
      </c>
      <c r="B554" s="15" t="s">
        <v>1090</v>
      </c>
      <c r="C554" s="16">
        <f>30.38/(1+B2)</f>
        <v>30.38</v>
      </c>
      <c r="D554" s="17" t="s">
        <v>53</v>
      </c>
      <c r="E554" s="17"/>
      <c r="F554" s="18"/>
      <c r="G554" s="36" t="str">
        <f>IF(ISNUMBER(F554),C554*F554,"")</f>
        <v/>
      </c>
    </row>
    <row r="555" spans="1:7" ht="12" customHeight="1" outlineLevel="2" x14ac:dyDescent="0.2">
      <c r="A555" s="14" t="s">
        <v>1091</v>
      </c>
      <c r="B555" s="15" t="s">
        <v>1092</v>
      </c>
      <c r="C555" s="16">
        <f>39.13/(1+B2)</f>
        <v>39.130000000000003</v>
      </c>
      <c r="D555" s="17" t="s">
        <v>53</v>
      </c>
      <c r="E555" s="17" t="s">
        <v>14</v>
      </c>
      <c r="F555" s="18"/>
      <c r="G555" s="36" t="str">
        <f>IF(ISNUMBER(F555),C555*F555,"")</f>
        <v/>
      </c>
    </row>
    <row r="556" spans="1:7" ht="12" customHeight="1" outlineLevel="2" x14ac:dyDescent="0.2">
      <c r="A556" s="14" t="s">
        <v>1093</v>
      </c>
      <c r="B556" s="15" t="s">
        <v>1094</v>
      </c>
      <c r="C556" s="16">
        <f>65.63/(1+B2)</f>
        <v>65.63</v>
      </c>
      <c r="D556" s="17" t="s">
        <v>14</v>
      </c>
      <c r="E556" s="17"/>
      <c r="F556" s="18"/>
      <c r="G556" s="36" t="str">
        <f>IF(ISNUMBER(F556),C556*F556,"")</f>
        <v/>
      </c>
    </row>
    <row r="557" spans="1:7" ht="12" customHeight="1" outlineLevel="2" x14ac:dyDescent="0.2">
      <c r="A557" s="14" t="s">
        <v>1095</v>
      </c>
      <c r="B557" s="15" t="s">
        <v>1096</v>
      </c>
      <c r="C557" s="16">
        <f>180.48/(1+B2)</f>
        <v>180.48</v>
      </c>
      <c r="D557" s="17" t="s">
        <v>11</v>
      </c>
      <c r="E557" s="17"/>
      <c r="F557" s="18"/>
      <c r="G557" s="36" t="str">
        <f>IF(ISNUMBER(F557),C557*F557,"")</f>
        <v/>
      </c>
    </row>
    <row r="558" spans="1:7" ht="24" customHeight="1" outlineLevel="2" x14ac:dyDescent="0.2">
      <c r="A558" s="14" t="s">
        <v>1097</v>
      </c>
      <c r="B558" s="15" t="s">
        <v>1098</v>
      </c>
      <c r="C558" s="16">
        <f>53.39/(1+B2)</f>
        <v>53.39</v>
      </c>
      <c r="D558" s="17" t="s">
        <v>14</v>
      </c>
      <c r="E558" s="17" t="s">
        <v>14</v>
      </c>
      <c r="F558" s="18"/>
      <c r="G558" s="36" t="str">
        <f>IF(ISNUMBER(F558),C558*F558,"")</f>
        <v/>
      </c>
    </row>
    <row r="559" spans="1:7" ht="24" customHeight="1" outlineLevel="2" x14ac:dyDescent="0.2">
      <c r="A559" s="14" t="s">
        <v>1099</v>
      </c>
      <c r="B559" s="15" t="s">
        <v>1100</v>
      </c>
      <c r="C559" s="16">
        <f>53.39/(1+B2)</f>
        <v>53.39</v>
      </c>
      <c r="D559" s="17" t="s">
        <v>14</v>
      </c>
      <c r="E559" s="17" t="s">
        <v>14</v>
      </c>
      <c r="F559" s="18"/>
      <c r="G559" s="36" t="str">
        <f>IF(ISNUMBER(F559),C559*F559,"")</f>
        <v/>
      </c>
    </row>
    <row r="560" spans="1:7" ht="24" customHeight="1" outlineLevel="2" x14ac:dyDescent="0.2">
      <c r="A560" s="14" t="s">
        <v>1101</v>
      </c>
      <c r="B560" s="15" t="s">
        <v>1102</v>
      </c>
      <c r="C560" s="16">
        <f>53.39/(1+B2)</f>
        <v>53.39</v>
      </c>
      <c r="D560" s="17" t="s">
        <v>14</v>
      </c>
      <c r="E560" s="17" t="s">
        <v>14</v>
      </c>
      <c r="F560" s="18"/>
      <c r="G560" s="36" t="str">
        <f>IF(ISNUMBER(F560),C560*F560,"")</f>
        <v/>
      </c>
    </row>
    <row r="561" spans="1:7" ht="24" customHeight="1" outlineLevel="2" x14ac:dyDescent="0.2">
      <c r="A561" s="14" t="s">
        <v>1103</v>
      </c>
      <c r="B561" s="15" t="s">
        <v>1104</v>
      </c>
      <c r="C561" s="16">
        <f>53.39/(1+B2)</f>
        <v>53.39</v>
      </c>
      <c r="D561" s="17" t="s">
        <v>14</v>
      </c>
      <c r="E561" s="17" t="s">
        <v>14</v>
      </c>
      <c r="F561" s="18"/>
      <c r="G561" s="36" t="str">
        <f>IF(ISNUMBER(F561),C561*F561,"")</f>
        <v/>
      </c>
    </row>
    <row r="562" spans="1:7" ht="24" customHeight="1" outlineLevel="2" x14ac:dyDescent="0.2">
      <c r="A562" s="14" t="s">
        <v>1105</v>
      </c>
      <c r="B562" s="15" t="s">
        <v>1106</v>
      </c>
      <c r="C562" s="16">
        <f>92.43/(1+B2)</f>
        <v>92.43</v>
      </c>
      <c r="D562" s="17" t="s">
        <v>11</v>
      </c>
      <c r="E562" s="17" t="s">
        <v>53</v>
      </c>
      <c r="F562" s="18"/>
      <c r="G562" s="36" t="str">
        <f>IF(ISNUMBER(F562),C562*F562,"")</f>
        <v/>
      </c>
    </row>
    <row r="563" spans="1:7" ht="24" customHeight="1" outlineLevel="2" x14ac:dyDescent="0.2">
      <c r="A563" s="14" t="s">
        <v>1107</v>
      </c>
      <c r="B563" s="15" t="s">
        <v>1108</v>
      </c>
      <c r="C563" s="16">
        <f>100.93/(1+B2)</f>
        <v>100.93</v>
      </c>
      <c r="D563" s="17" t="s">
        <v>11</v>
      </c>
      <c r="E563" s="17"/>
      <c r="F563" s="18"/>
      <c r="G563" s="36" t="str">
        <f>IF(ISNUMBER(F563),C563*F563,"")</f>
        <v/>
      </c>
    </row>
    <row r="564" spans="1:7" ht="24" customHeight="1" outlineLevel="2" x14ac:dyDescent="0.2">
      <c r="A564" s="14" t="s">
        <v>1109</v>
      </c>
      <c r="B564" s="15" t="s">
        <v>1110</v>
      </c>
      <c r="C564" s="16">
        <f>100.93/(1+B2)</f>
        <v>100.93</v>
      </c>
      <c r="D564" s="17" t="s">
        <v>11</v>
      </c>
      <c r="E564" s="17"/>
      <c r="F564" s="18"/>
      <c r="G564" s="36" t="str">
        <f>IF(ISNUMBER(F564),C564*F564,"")</f>
        <v/>
      </c>
    </row>
    <row r="565" spans="1:7" ht="24" customHeight="1" outlineLevel="2" x14ac:dyDescent="0.2">
      <c r="A565" s="14" t="s">
        <v>1111</v>
      </c>
      <c r="B565" s="15" t="s">
        <v>1112</v>
      </c>
      <c r="C565" s="16">
        <f>100.93/(1+B2)</f>
        <v>100.93</v>
      </c>
      <c r="D565" s="17" t="s">
        <v>11</v>
      </c>
      <c r="E565" s="17"/>
      <c r="F565" s="18"/>
      <c r="G565" s="36" t="str">
        <f>IF(ISNUMBER(F565),C565*F565,"")</f>
        <v/>
      </c>
    </row>
    <row r="566" spans="1:7" ht="24" customHeight="1" outlineLevel="2" x14ac:dyDescent="0.2">
      <c r="A566" s="14" t="s">
        <v>1113</v>
      </c>
      <c r="B566" s="15" t="s">
        <v>1114</v>
      </c>
      <c r="C566" s="16">
        <f>100.93/(1+B2)</f>
        <v>100.93</v>
      </c>
      <c r="D566" s="17" t="s">
        <v>11</v>
      </c>
      <c r="E566" s="17"/>
      <c r="F566" s="18"/>
      <c r="G566" s="36" t="str">
        <f>IF(ISNUMBER(F566),C566*F566,"")</f>
        <v/>
      </c>
    </row>
    <row r="567" spans="1:7" ht="24" customHeight="1" outlineLevel="2" x14ac:dyDescent="0.2">
      <c r="A567" s="14" t="s">
        <v>1115</v>
      </c>
      <c r="B567" s="15" t="s">
        <v>1116</v>
      </c>
      <c r="C567" s="16">
        <f>100.93/(1+B2)</f>
        <v>100.93</v>
      </c>
      <c r="D567" s="17" t="s">
        <v>11</v>
      </c>
      <c r="E567" s="17"/>
      <c r="F567" s="18"/>
      <c r="G567" s="36" t="str">
        <f>IF(ISNUMBER(F567),C567*F567,"")</f>
        <v/>
      </c>
    </row>
    <row r="568" spans="1:7" ht="24" customHeight="1" outlineLevel="2" x14ac:dyDescent="0.2">
      <c r="A568" s="14" t="s">
        <v>1117</v>
      </c>
      <c r="B568" s="15" t="s">
        <v>1118</v>
      </c>
      <c r="C568" s="16">
        <f>100.93/(1+B2)</f>
        <v>100.93</v>
      </c>
      <c r="D568" s="17" t="s">
        <v>11</v>
      </c>
      <c r="E568" s="17"/>
      <c r="F568" s="18"/>
      <c r="G568" s="36" t="str">
        <f>IF(ISNUMBER(F568),C568*F568,"")</f>
        <v/>
      </c>
    </row>
    <row r="569" spans="1:7" ht="24" customHeight="1" outlineLevel="2" x14ac:dyDescent="0.2">
      <c r="A569" s="14" t="s">
        <v>1119</v>
      </c>
      <c r="B569" s="15" t="s">
        <v>1120</v>
      </c>
      <c r="C569" s="16">
        <f>100.93/(1+B2)</f>
        <v>100.93</v>
      </c>
      <c r="D569" s="17" t="s">
        <v>11</v>
      </c>
      <c r="E569" s="17" t="s">
        <v>11</v>
      </c>
      <c r="F569" s="18"/>
      <c r="G569" s="36" t="str">
        <f>IF(ISNUMBER(F569),C569*F569,"")</f>
        <v/>
      </c>
    </row>
    <row r="570" spans="1:7" ht="24" customHeight="1" outlineLevel="2" x14ac:dyDescent="0.2">
      <c r="A570" s="14" t="s">
        <v>1121</v>
      </c>
      <c r="B570" s="15" t="s">
        <v>1122</v>
      </c>
      <c r="C570" s="16">
        <f>100.93/(1+B2)</f>
        <v>100.93</v>
      </c>
      <c r="D570" s="17" t="s">
        <v>11</v>
      </c>
      <c r="E570" s="17"/>
      <c r="F570" s="18"/>
      <c r="G570" s="36" t="str">
        <f>IF(ISNUMBER(F570),C570*F570,"")</f>
        <v/>
      </c>
    </row>
    <row r="571" spans="1:7" ht="12" customHeight="1" outlineLevel="2" x14ac:dyDescent="0.2">
      <c r="A571" s="14" t="s">
        <v>1123</v>
      </c>
      <c r="B571" s="15" t="s">
        <v>1124</v>
      </c>
      <c r="C571" s="16">
        <f>101.31/(1+B2)</f>
        <v>101.31</v>
      </c>
      <c r="D571" s="17" t="s">
        <v>11</v>
      </c>
      <c r="E571" s="17"/>
      <c r="F571" s="18"/>
      <c r="G571" s="36" t="str">
        <f>IF(ISNUMBER(F571),C571*F571,"")</f>
        <v/>
      </c>
    </row>
    <row r="572" spans="1:7" ht="12" customHeight="1" outlineLevel="2" x14ac:dyDescent="0.2">
      <c r="A572" s="14" t="s">
        <v>1125</v>
      </c>
      <c r="B572" s="15" t="s">
        <v>1126</v>
      </c>
      <c r="C572" s="16">
        <f>92.2/(1+B2)</f>
        <v>92.2</v>
      </c>
      <c r="D572" s="17" t="s">
        <v>11</v>
      </c>
      <c r="E572" s="17" t="s">
        <v>11</v>
      </c>
      <c r="F572" s="18"/>
      <c r="G572" s="36" t="str">
        <f>IF(ISNUMBER(F572),C572*F572,"")</f>
        <v/>
      </c>
    </row>
    <row r="573" spans="1:7" ht="12" customHeight="1" outlineLevel="2" x14ac:dyDescent="0.2">
      <c r="A573" s="14" t="s">
        <v>1127</v>
      </c>
      <c r="B573" s="15" t="s">
        <v>1128</v>
      </c>
      <c r="C573" s="16">
        <f>101.31/(1+B2)</f>
        <v>101.31</v>
      </c>
      <c r="D573" s="17" t="s">
        <v>11</v>
      </c>
      <c r="E573" s="17" t="s">
        <v>11</v>
      </c>
      <c r="F573" s="18"/>
      <c r="G573" s="36" t="str">
        <f>IF(ISNUMBER(F573),C573*F573,"")</f>
        <v/>
      </c>
    </row>
    <row r="574" spans="1:7" ht="24" customHeight="1" outlineLevel="2" x14ac:dyDescent="0.2">
      <c r="A574" s="14" t="s">
        <v>1129</v>
      </c>
      <c r="B574" s="15" t="s">
        <v>1130</v>
      </c>
      <c r="C574" s="16">
        <f>179.81/(1+B2)</f>
        <v>179.81</v>
      </c>
      <c r="D574" s="17" t="s">
        <v>11</v>
      </c>
      <c r="E574" s="17"/>
      <c r="F574" s="18"/>
      <c r="G574" s="36" t="str">
        <f>IF(ISNUMBER(F574),C574*F574,"")</f>
        <v/>
      </c>
    </row>
    <row r="575" spans="1:7" ht="12" customHeight="1" outlineLevel="2" x14ac:dyDescent="0.2">
      <c r="A575" s="14" t="s">
        <v>1131</v>
      </c>
      <c r="B575" s="15" t="s">
        <v>1132</v>
      </c>
      <c r="C575" s="16">
        <f>110.61/(1+B2)</f>
        <v>110.61</v>
      </c>
      <c r="D575" s="17" t="s">
        <v>14</v>
      </c>
      <c r="E575" s="17"/>
      <c r="F575" s="18"/>
      <c r="G575" s="36" t="str">
        <f>IF(ISNUMBER(F575),C575*F575,"")</f>
        <v/>
      </c>
    </row>
    <row r="576" spans="1:7" ht="12" customHeight="1" outlineLevel="2" x14ac:dyDescent="0.2">
      <c r="A576" s="14" t="s">
        <v>1133</v>
      </c>
      <c r="B576" s="15" t="s">
        <v>1134</v>
      </c>
      <c r="C576" s="16">
        <f>121.41/(1+B2)</f>
        <v>121.41</v>
      </c>
      <c r="D576" s="17" t="s">
        <v>11</v>
      </c>
      <c r="E576" s="17"/>
      <c r="F576" s="18"/>
      <c r="G576" s="36" t="str">
        <f>IF(ISNUMBER(F576),C576*F576,"")</f>
        <v/>
      </c>
    </row>
    <row r="577" spans="1:7" ht="12" customHeight="1" outlineLevel="2" x14ac:dyDescent="0.2">
      <c r="A577" s="14" t="s">
        <v>1135</v>
      </c>
      <c r="B577" s="15" t="s">
        <v>1136</v>
      </c>
      <c r="C577" s="16">
        <f>82.6/(1+B2)</f>
        <v>82.6</v>
      </c>
      <c r="D577" s="17" t="s">
        <v>11</v>
      </c>
      <c r="E577" s="17"/>
      <c r="F577" s="18"/>
      <c r="G577" s="36" t="str">
        <f>IF(ISNUMBER(F577),C577*F577,"")</f>
        <v/>
      </c>
    </row>
    <row r="578" spans="1:7" ht="12" customHeight="1" outlineLevel="2" x14ac:dyDescent="0.2">
      <c r="A578" s="14" t="s">
        <v>1137</v>
      </c>
      <c r="B578" s="15" t="s">
        <v>1138</v>
      </c>
      <c r="C578" s="16">
        <f>74.35/(1+B2)</f>
        <v>74.349999999999994</v>
      </c>
      <c r="D578" s="17" t="s">
        <v>11</v>
      </c>
      <c r="E578" s="17"/>
      <c r="F578" s="18"/>
      <c r="G578" s="36" t="str">
        <f>IF(ISNUMBER(F578),C578*F578,"")</f>
        <v/>
      </c>
    </row>
    <row r="579" spans="1:7" ht="12" customHeight="1" outlineLevel="2" x14ac:dyDescent="0.2">
      <c r="A579" s="14" t="s">
        <v>1139</v>
      </c>
      <c r="B579" s="15" t="s">
        <v>1140</v>
      </c>
      <c r="C579" s="16">
        <f>292.94/(1+B2)</f>
        <v>292.94</v>
      </c>
      <c r="D579" s="17" t="s">
        <v>11</v>
      </c>
      <c r="E579" s="17"/>
      <c r="F579" s="18"/>
      <c r="G579" s="36" t="str">
        <f>IF(ISNUMBER(F579),C579*F579,"")</f>
        <v/>
      </c>
    </row>
    <row r="580" spans="1:7" ht="12" customHeight="1" outlineLevel="2" x14ac:dyDescent="0.2">
      <c r="A580" s="14" t="s">
        <v>1141</v>
      </c>
      <c r="B580" s="15" t="s">
        <v>1142</v>
      </c>
      <c r="C580" s="16">
        <f>65.65/(1+B2)</f>
        <v>65.650000000000006</v>
      </c>
      <c r="D580" s="17" t="s">
        <v>11</v>
      </c>
      <c r="E580" s="17"/>
      <c r="F580" s="18"/>
      <c r="G580" s="36" t="str">
        <f>IF(ISNUMBER(F580),C580*F580,"")</f>
        <v/>
      </c>
    </row>
    <row r="581" spans="1:7" ht="12" customHeight="1" outlineLevel="2" x14ac:dyDescent="0.2">
      <c r="A581" s="14" t="s">
        <v>1143</v>
      </c>
      <c r="B581" s="15" t="s">
        <v>1144</v>
      </c>
      <c r="C581" s="16">
        <f>65.65/(1+B2)</f>
        <v>65.650000000000006</v>
      </c>
      <c r="D581" s="17" t="s">
        <v>14</v>
      </c>
      <c r="E581" s="17"/>
      <c r="F581" s="18"/>
      <c r="G581" s="36" t="str">
        <f>IF(ISNUMBER(F581),C581*F581,"")</f>
        <v/>
      </c>
    </row>
    <row r="582" spans="1:7" ht="12" customHeight="1" outlineLevel="2" x14ac:dyDescent="0.2">
      <c r="A582" s="14" t="s">
        <v>1145</v>
      </c>
      <c r="B582" s="15" t="s">
        <v>1146</v>
      </c>
      <c r="C582" s="16">
        <f>65.65/(1+B2)</f>
        <v>65.650000000000006</v>
      </c>
      <c r="D582" s="17" t="s">
        <v>14</v>
      </c>
      <c r="E582" s="17"/>
      <c r="F582" s="18"/>
      <c r="G582" s="36" t="str">
        <f>IF(ISNUMBER(F582),C582*F582,"")</f>
        <v/>
      </c>
    </row>
    <row r="583" spans="1:7" ht="12" customHeight="1" outlineLevel="2" x14ac:dyDescent="0.2">
      <c r="A583" s="14" t="s">
        <v>1147</v>
      </c>
      <c r="B583" s="15" t="s">
        <v>1148</v>
      </c>
      <c r="C583" s="16">
        <f>132.77/(1+B2)</f>
        <v>132.77000000000001</v>
      </c>
      <c r="D583" s="17" t="s">
        <v>11</v>
      </c>
      <c r="E583" s="17"/>
      <c r="F583" s="18"/>
      <c r="G583" s="36" t="str">
        <f>IF(ISNUMBER(F583),C583*F583,"")</f>
        <v/>
      </c>
    </row>
    <row r="584" spans="1:7" ht="12" customHeight="1" outlineLevel="2" x14ac:dyDescent="0.2">
      <c r="A584" s="14" t="s">
        <v>1149</v>
      </c>
      <c r="B584" s="15" t="s">
        <v>1150</v>
      </c>
      <c r="C584" s="16">
        <f>311.58/(1+B2)</f>
        <v>311.58</v>
      </c>
      <c r="D584" s="17" t="s">
        <v>11</v>
      </c>
      <c r="E584" s="17"/>
      <c r="F584" s="18"/>
      <c r="G584" s="36" t="str">
        <f>IF(ISNUMBER(F584),C584*F584,"")</f>
        <v/>
      </c>
    </row>
    <row r="585" spans="1:7" ht="12" customHeight="1" outlineLevel="2" x14ac:dyDescent="0.2">
      <c r="A585" s="14" t="s">
        <v>1151</v>
      </c>
      <c r="B585" s="15" t="s">
        <v>1152</v>
      </c>
      <c r="C585" s="16">
        <f>309.49/(1+B2)</f>
        <v>309.49</v>
      </c>
      <c r="D585" s="17" t="s">
        <v>11</v>
      </c>
      <c r="E585" s="17"/>
      <c r="F585" s="18"/>
      <c r="G585" s="36" t="str">
        <f>IF(ISNUMBER(F585),C585*F585,"")</f>
        <v/>
      </c>
    </row>
    <row r="586" spans="1:7" ht="12" customHeight="1" outlineLevel="2" x14ac:dyDescent="0.2">
      <c r="A586" s="14" t="s">
        <v>1153</v>
      </c>
      <c r="B586" s="15" t="s">
        <v>1154</v>
      </c>
      <c r="C586" s="16">
        <f>219.24/(1+B2)</f>
        <v>219.24</v>
      </c>
      <c r="D586" s="17" t="s">
        <v>11</v>
      </c>
      <c r="E586" s="17"/>
      <c r="F586" s="18"/>
      <c r="G586" s="36" t="str">
        <f>IF(ISNUMBER(F586),C586*F586,"")</f>
        <v/>
      </c>
    </row>
    <row r="587" spans="1:7" ht="12" customHeight="1" outlineLevel="2" x14ac:dyDescent="0.2">
      <c r="A587" s="14" t="s">
        <v>1155</v>
      </c>
      <c r="B587" s="15" t="s">
        <v>1156</v>
      </c>
      <c r="C587" s="16">
        <f>178.14/(1+B2)</f>
        <v>178.14</v>
      </c>
      <c r="D587" s="17" t="s">
        <v>11</v>
      </c>
      <c r="E587" s="17" t="s">
        <v>11</v>
      </c>
      <c r="F587" s="18"/>
      <c r="G587" s="36" t="str">
        <f>IF(ISNUMBER(F587),C587*F587,"")</f>
        <v/>
      </c>
    </row>
    <row r="588" spans="1:7" ht="12" customHeight="1" outlineLevel="2" x14ac:dyDescent="0.2">
      <c r="A588" s="14" t="s">
        <v>1157</v>
      </c>
      <c r="B588" s="15" t="s">
        <v>1158</v>
      </c>
      <c r="C588" s="16">
        <f>114/(1+B2)</f>
        <v>114</v>
      </c>
      <c r="D588" s="17" t="s">
        <v>11</v>
      </c>
      <c r="E588" s="17"/>
      <c r="F588" s="18"/>
      <c r="G588" s="36" t="str">
        <f>IF(ISNUMBER(F588),C588*F588,"")</f>
        <v/>
      </c>
    </row>
    <row r="589" spans="1:7" ht="12" customHeight="1" outlineLevel="2" x14ac:dyDescent="0.2">
      <c r="A589" s="14" t="s">
        <v>1159</v>
      </c>
      <c r="B589" s="15" t="s">
        <v>1160</v>
      </c>
      <c r="C589" s="16">
        <f>80.4/(1+B2)</f>
        <v>80.400000000000006</v>
      </c>
      <c r="D589" s="17" t="s">
        <v>11</v>
      </c>
      <c r="E589" s="17"/>
      <c r="F589" s="18"/>
      <c r="G589" s="36" t="str">
        <f>IF(ISNUMBER(F589),C589*F589,"")</f>
        <v/>
      </c>
    </row>
    <row r="590" spans="1:7" ht="12" customHeight="1" outlineLevel="2" x14ac:dyDescent="0.2">
      <c r="A590" s="14" t="s">
        <v>1161</v>
      </c>
      <c r="B590" s="15" t="s">
        <v>1162</v>
      </c>
      <c r="C590" s="16">
        <f>80.4/(1+B2)</f>
        <v>80.400000000000006</v>
      </c>
      <c r="D590" s="17" t="s">
        <v>11</v>
      </c>
      <c r="E590" s="17"/>
      <c r="F590" s="18"/>
      <c r="G590" s="36" t="str">
        <f>IF(ISNUMBER(F590),C590*F590,"")</f>
        <v/>
      </c>
    </row>
    <row r="591" spans="1:7" ht="24" customHeight="1" outlineLevel="2" x14ac:dyDescent="0.2">
      <c r="A591" s="14" t="s">
        <v>1163</v>
      </c>
      <c r="B591" s="15" t="s">
        <v>1164</v>
      </c>
      <c r="C591" s="16">
        <f>61.25/(1+B2)</f>
        <v>61.25</v>
      </c>
      <c r="D591" s="17" t="s">
        <v>11</v>
      </c>
      <c r="E591" s="17"/>
      <c r="F591" s="18"/>
      <c r="G591" s="36" t="str">
        <f>IF(ISNUMBER(F591),C591*F591,"")</f>
        <v/>
      </c>
    </row>
    <row r="592" spans="1:7" ht="24" customHeight="1" outlineLevel="2" x14ac:dyDescent="0.2">
      <c r="A592" s="14" t="s">
        <v>1165</v>
      </c>
      <c r="B592" s="15" t="s">
        <v>1166</v>
      </c>
      <c r="C592" s="16">
        <f>61.25/(1+B2)</f>
        <v>61.25</v>
      </c>
      <c r="D592" s="17" t="s">
        <v>11</v>
      </c>
      <c r="E592" s="17" t="s">
        <v>14</v>
      </c>
      <c r="F592" s="18"/>
      <c r="G592" s="36" t="str">
        <f>IF(ISNUMBER(F592),C592*F592,"")</f>
        <v/>
      </c>
    </row>
    <row r="593" spans="1:7" ht="24" customHeight="1" outlineLevel="2" x14ac:dyDescent="0.2">
      <c r="A593" s="14" t="s">
        <v>1167</v>
      </c>
      <c r="B593" s="15" t="s">
        <v>1168</v>
      </c>
      <c r="C593" s="16">
        <f>61.25/(1+B2)</f>
        <v>61.25</v>
      </c>
      <c r="D593" s="17" t="s">
        <v>11</v>
      </c>
      <c r="E593" s="17" t="s">
        <v>11</v>
      </c>
      <c r="F593" s="18"/>
      <c r="G593" s="36" t="str">
        <f>IF(ISNUMBER(F593),C593*F593,"")</f>
        <v/>
      </c>
    </row>
    <row r="594" spans="1:7" ht="12" customHeight="1" outlineLevel="2" x14ac:dyDescent="0.2">
      <c r="A594" s="14" t="s">
        <v>1169</v>
      </c>
      <c r="B594" s="15" t="s">
        <v>1170</v>
      </c>
      <c r="C594" s="16">
        <f>104/(1+B2)</f>
        <v>104</v>
      </c>
      <c r="D594" s="17" t="s">
        <v>11</v>
      </c>
      <c r="E594" s="17"/>
      <c r="F594" s="18"/>
      <c r="G594" s="36" t="str">
        <f>IF(ISNUMBER(F594),C594*F594,"")</f>
        <v/>
      </c>
    </row>
    <row r="595" spans="1:7" ht="12" customHeight="1" outlineLevel="2" x14ac:dyDescent="0.2">
      <c r="A595" s="14" t="s">
        <v>1171</v>
      </c>
      <c r="B595" s="15" t="s">
        <v>1172</v>
      </c>
      <c r="C595" s="16">
        <f>104/(1+B2)</f>
        <v>104</v>
      </c>
      <c r="D595" s="17" t="s">
        <v>11</v>
      </c>
      <c r="E595" s="17"/>
      <c r="F595" s="18"/>
      <c r="G595" s="36" t="str">
        <f>IF(ISNUMBER(F595),C595*F595,"")</f>
        <v/>
      </c>
    </row>
    <row r="596" spans="1:7" ht="12" customHeight="1" outlineLevel="2" x14ac:dyDescent="0.2">
      <c r="A596" s="14" t="s">
        <v>1173</v>
      </c>
      <c r="B596" s="15" t="s">
        <v>1174</v>
      </c>
      <c r="C596" s="16">
        <f>70.8/(1+B2)</f>
        <v>70.8</v>
      </c>
      <c r="D596" s="17" t="s">
        <v>11</v>
      </c>
      <c r="E596" s="17"/>
      <c r="F596" s="18"/>
      <c r="G596" s="36" t="str">
        <f>IF(ISNUMBER(F596),C596*F596,"")</f>
        <v/>
      </c>
    </row>
    <row r="597" spans="1:7" ht="12" customHeight="1" outlineLevel="2" x14ac:dyDescent="0.2">
      <c r="A597" s="14" t="s">
        <v>1175</v>
      </c>
      <c r="B597" s="15" t="s">
        <v>1176</v>
      </c>
      <c r="C597" s="16">
        <f>70.8/(1+B2)</f>
        <v>70.8</v>
      </c>
      <c r="D597" s="17" t="s">
        <v>11</v>
      </c>
      <c r="E597" s="17"/>
      <c r="F597" s="18"/>
      <c r="G597" s="36" t="str">
        <f>IF(ISNUMBER(F597),C597*F597,"")</f>
        <v/>
      </c>
    </row>
    <row r="598" spans="1:7" ht="12" customHeight="1" outlineLevel="2" x14ac:dyDescent="0.2">
      <c r="A598" s="14" t="s">
        <v>1177</v>
      </c>
      <c r="B598" s="15" t="s">
        <v>1178</v>
      </c>
      <c r="C598" s="16">
        <f>39.14/(1+B2)</f>
        <v>39.14</v>
      </c>
      <c r="D598" s="17" t="s">
        <v>14</v>
      </c>
      <c r="E598" s="17"/>
      <c r="F598" s="18"/>
      <c r="G598" s="36" t="str">
        <f>IF(ISNUMBER(F598),C598*F598,"")</f>
        <v/>
      </c>
    </row>
    <row r="599" spans="1:7" ht="12" customHeight="1" outlineLevel="2" x14ac:dyDescent="0.2">
      <c r="A599" s="14" t="s">
        <v>1179</v>
      </c>
      <c r="B599" s="15" t="s">
        <v>1180</v>
      </c>
      <c r="C599" s="16">
        <f>39.14/(1+B2)</f>
        <v>39.14</v>
      </c>
      <c r="D599" s="17" t="s">
        <v>14</v>
      </c>
      <c r="E599" s="17" t="s">
        <v>14</v>
      </c>
      <c r="F599" s="18"/>
      <c r="G599" s="36" t="str">
        <f>IF(ISNUMBER(F599),C599*F599,"")</f>
        <v/>
      </c>
    </row>
    <row r="600" spans="1:7" ht="12" customHeight="1" outlineLevel="2" x14ac:dyDescent="0.2">
      <c r="A600" s="14" t="s">
        <v>1181</v>
      </c>
      <c r="B600" s="15" t="s">
        <v>1182</v>
      </c>
      <c r="C600" s="16">
        <f>39.14/(1+B2)</f>
        <v>39.14</v>
      </c>
      <c r="D600" s="17" t="s">
        <v>11</v>
      </c>
      <c r="E600" s="17" t="s">
        <v>53</v>
      </c>
      <c r="F600" s="18"/>
      <c r="G600" s="36" t="str">
        <f>IF(ISNUMBER(F600),C600*F600,"")</f>
        <v/>
      </c>
    </row>
    <row r="601" spans="1:7" ht="12" customHeight="1" outlineLevel="2" x14ac:dyDescent="0.2">
      <c r="A601" s="14" t="s">
        <v>1183</v>
      </c>
      <c r="B601" s="15" t="s">
        <v>1184</v>
      </c>
      <c r="C601" s="16">
        <f>39.14/(1+B2)</f>
        <v>39.14</v>
      </c>
      <c r="D601" s="17" t="s">
        <v>14</v>
      </c>
      <c r="E601" s="17" t="s">
        <v>53</v>
      </c>
      <c r="F601" s="18"/>
      <c r="G601" s="36" t="str">
        <f>IF(ISNUMBER(F601),C601*F601,"")</f>
        <v/>
      </c>
    </row>
    <row r="602" spans="1:7" ht="12" customHeight="1" outlineLevel="2" x14ac:dyDescent="0.2">
      <c r="A602" s="14" t="s">
        <v>1185</v>
      </c>
      <c r="B602" s="15" t="s">
        <v>1186</v>
      </c>
      <c r="C602" s="16">
        <f>116.66/(1+B2)</f>
        <v>116.66</v>
      </c>
      <c r="D602" s="17" t="s">
        <v>11</v>
      </c>
      <c r="E602" s="17" t="s">
        <v>14</v>
      </c>
      <c r="F602" s="18"/>
      <c r="G602" s="36" t="str">
        <f>IF(ISNUMBER(F602),C602*F602,"")</f>
        <v/>
      </c>
    </row>
    <row r="603" spans="1:7" ht="12" customHeight="1" outlineLevel="2" x14ac:dyDescent="0.2">
      <c r="A603" s="14" t="s">
        <v>1187</v>
      </c>
      <c r="B603" s="15" t="s">
        <v>1188</v>
      </c>
      <c r="C603" s="16">
        <f>116.65/(1+B2)</f>
        <v>116.65</v>
      </c>
      <c r="D603" s="17" t="s">
        <v>11</v>
      </c>
      <c r="E603" s="17"/>
      <c r="F603" s="18"/>
      <c r="G603" s="36" t="str">
        <f>IF(ISNUMBER(F603),C603*F603,"")</f>
        <v/>
      </c>
    </row>
    <row r="604" spans="1:7" ht="12" customHeight="1" outlineLevel="2" x14ac:dyDescent="0.2">
      <c r="A604" s="14" t="s">
        <v>1189</v>
      </c>
      <c r="B604" s="15" t="s">
        <v>1190</v>
      </c>
      <c r="C604" s="16">
        <f>116.65/(1+B2)</f>
        <v>116.65</v>
      </c>
      <c r="D604" s="17" t="s">
        <v>11</v>
      </c>
      <c r="E604" s="17" t="s">
        <v>11</v>
      </c>
      <c r="F604" s="18"/>
      <c r="G604" s="36" t="str">
        <f>IF(ISNUMBER(F604),C604*F604,"")</f>
        <v/>
      </c>
    </row>
    <row r="605" spans="1:7" ht="12" customHeight="1" outlineLevel="2" x14ac:dyDescent="0.2">
      <c r="A605" s="14" t="s">
        <v>1191</v>
      </c>
      <c r="B605" s="15" t="s">
        <v>1192</v>
      </c>
      <c r="C605" s="16">
        <f>121.93/(1+B2)</f>
        <v>121.93</v>
      </c>
      <c r="D605" s="17" t="s">
        <v>11</v>
      </c>
      <c r="E605" s="17"/>
      <c r="F605" s="18"/>
      <c r="G605" s="36" t="str">
        <f>IF(ISNUMBER(F605),C605*F605,"")</f>
        <v/>
      </c>
    </row>
    <row r="606" spans="1:7" ht="24" customHeight="1" outlineLevel="2" x14ac:dyDescent="0.2">
      <c r="A606" s="14" t="s">
        <v>1193</v>
      </c>
      <c r="B606" s="15" t="s">
        <v>1194</v>
      </c>
      <c r="C606" s="16">
        <f>121.93/(1+B2)</f>
        <v>121.93</v>
      </c>
      <c r="D606" s="17" t="s">
        <v>11</v>
      </c>
      <c r="E606" s="17"/>
      <c r="F606" s="18"/>
      <c r="G606" s="36" t="str">
        <f>IF(ISNUMBER(F606),C606*F606,"")</f>
        <v/>
      </c>
    </row>
    <row r="607" spans="1:7" ht="12" customHeight="1" outlineLevel="2" x14ac:dyDescent="0.2">
      <c r="A607" s="14" t="s">
        <v>1195</v>
      </c>
      <c r="B607" s="15" t="s">
        <v>1196</v>
      </c>
      <c r="C607" s="16">
        <f>121.93/(1+B2)</f>
        <v>121.93</v>
      </c>
      <c r="D607" s="17" t="s">
        <v>11</v>
      </c>
      <c r="E607" s="17" t="s">
        <v>11</v>
      </c>
      <c r="F607" s="18"/>
      <c r="G607" s="36" t="str">
        <f>IF(ISNUMBER(F607),C607*F607,"")</f>
        <v/>
      </c>
    </row>
    <row r="608" spans="1:7" ht="12" customHeight="1" outlineLevel="2" x14ac:dyDescent="0.2">
      <c r="A608" s="14" t="s">
        <v>1197</v>
      </c>
      <c r="B608" s="15" t="s">
        <v>1198</v>
      </c>
      <c r="C608" s="16">
        <f>123.9/(1+B2)</f>
        <v>123.9</v>
      </c>
      <c r="D608" s="17" t="s">
        <v>14</v>
      </c>
      <c r="E608" s="17"/>
      <c r="F608" s="18"/>
      <c r="G608" s="36" t="str">
        <f>IF(ISNUMBER(F608),C608*F608,"")</f>
        <v/>
      </c>
    </row>
    <row r="609" spans="1:7" ht="12" customHeight="1" outlineLevel="2" x14ac:dyDescent="0.2">
      <c r="A609" s="14" t="s">
        <v>1199</v>
      </c>
      <c r="B609" s="15" t="s">
        <v>1200</v>
      </c>
      <c r="C609" s="16">
        <f>124.8/(1+B2)</f>
        <v>124.8</v>
      </c>
      <c r="D609" s="17" t="s">
        <v>11</v>
      </c>
      <c r="E609" s="17"/>
      <c r="F609" s="18"/>
      <c r="G609" s="36" t="str">
        <f>IF(ISNUMBER(F609),C609*F609,"")</f>
        <v/>
      </c>
    </row>
    <row r="610" spans="1:7" ht="12" customHeight="1" outlineLevel="2" x14ac:dyDescent="0.2">
      <c r="A610" s="14" t="s">
        <v>1201</v>
      </c>
      <c r="B610" s="15" t="s">
        <v>1202</v>
      </c>
      <c r="C610" s="16">
        <f>154.83/(1+B2)</f>
        <v>154.83000000000001</v>
      </c>
      <c r="D610" s="17" t="s">
        <v>11</v>
      </c>
      <c r="E610" s="17"/>
      <c r="F610" s="18"/>
      <c r="G610" s="36" t="str">
        <f>IF(ISNUMBER(F610),C610*F610,"")</f>
        <v/>
      </c>
    </row>
    <row r="611" spans="1:7" ht="12" customHeight="1" outlineLevel="2" x14ac:dyDescent="0.2">
      <c r="A611" s="14" t="s">
        <v>1203</v>
      </c>
      <c r="B611" s="15" t="s">
        <v>1204</v>
      </c>
      <c r="C611" s="16">
        <f>154.83/(1+B2)</f>
        <v>154.83000000000001</v>
      </c>
      <c r="D611" s="17" t="s">
        <v>11</v>
      </c>
      <c r="E611" s="17"/>
      <c r="F611" s="18"/>
      <c r="G611" s="36" t="str">
        <f>IF(ISNUMBER(F611),C611*F611,"")</f>
        <v/>
      </c>
    </row>
    <row r="612" spans="1:7" ht="12" customHeight="1" outlineLevel="2" x14ac:dyDescent="0.2">
      <c r="A612" s="14" t="s">
        <v>1205</v>
      </c>
      <c r="B612" s="15" t="s">
        <v>1206</v>
      </c>
      <c r="C612" s="16">
        <f>85.48/(1+B2)</f>
        <v>85.48</v>
      </c>
      <c r="D612" s="17" t="s">
        <v>11</v>
      </c>
      <c r="E612" s="17" t="s">
        <v>11</v>
      </c>
      <c r="F612" s="18"/>
      <c r="G612" s="36" t="str">
        <f>IF(ISNUMBER(F612),C612*F612,"")</f>
        <v/>
      </c>
    </row>
    <row r="613" spans="1:7" s="1" customFormat="1" ht="15.95" customHeight="1" outlineLevel="1" x14ac:dyDescent="0.25">
      <c r="A613" s="11"/>
      <c r="B613" s="12" t="s">
        <v>1207</v>
      </c>
      <c r="C613" s="13"/>
      <c r="D613" s="13"/>
      <c r="E613" s="13"/>
      <c r="F613" s="13"/>
      <c r="G613" s="35"/>
    </row>
    <row r="614" spans="1:7" ht="12" customHeight="1" outlineLevel="2" x14ac:dyDescent="0.2">
      <c r="A614" s="14" t="s">
        <v>1208</v>
      </c>
      <c r="B614" s="15" t="s">
        <v>1209</v>
      </c>
      <c r="C614" s="16">
        <f>22.98/(1+B2)</f>
        <v>22.98</v>
      </c>
      <c r="D614" s="17" t="s">
        <v>14</v>
      </c>
      <c r="E614" s="17" t="s">
        <v>14</v>
      </c>
      <c r="F614" s="18"/>
      <c r="G614" s="36" t="str">
        <f>IF(ISNUMBER(F614),C614*F614,"")</f>
        <v/>
      </c>
    </row>
    <row r="615" spans="1:7" ht="12" customHeight="1" outlineLevel="2" x14ac:dyDescent="0.2">
      <c r="A615" s="14" t="s">
        <v>1210</v>
      </c>
      <c r="B615" s="15" t="s">
        <v>1211</v>
      </c>
      <c r="C615" s="16">
        <f>107.29/(1+B2)</f>
        <v>107.29</v>
      </c>
      <c r="D615" s="17" t="s">
        <v>11</v>
      </c>
      <c r="E615" s="17"/>
      <c r="F615" s="18"/>
      <c r="G615" s="36" t="str">
        <f>IF(ISNUMBER(F615),C615*F615,"")</f>
        <v/>
      </c>
    </row>
    <row r="616" spans="1:7" ht="12" customHeight="1" outlineLevel="2" x14ac:dyDescent="0.2">
      <c r="A616" s="14" t="s">
        <v>1212</v>
      </c>
      <c r="B616" s="15" t="s">
        <v>1213</v>
      </c>
      <c r="C616" s="16">
        <f>50.46/(1+B2)</f>
        <v>50.46</v>
      </c>
      <c r="D616" s="17" t="s">
        <v>11</v>
      </c>
      <c r="E616" s="17" t="s">
        <v>14</v>
      </c>
      <c r="F616" s="18"/>
      <c r="G616" s="36" t="str">
        <f>IF(ISNUMBER(F616),C616*F616,"")</f>
        <v/>
      </c>
    </row>
    <row r="617" spans="1:7" ht="12" customHeight="1" outlineLevel="2" x14ac:dyDescent="0.2">
      <c r="A617" s="14" t="s">
        <v>1214</v>
      </c>
      <c r="B617" s="15" t="s">
        <v>1215</v>
      </c>
      <c r="C617" s="16">
        <f>24.34/(1+B2)</f>
        <v>24.34</v>
      </c>
      <c r="D617" s="17" t="s">
        <v>11</v>
      </c>
      <c r="E617" s="17"/>
      <c r="F617" s="18"/>
      <c r="G617" s="36" t="str">
        <f>IF(ISNUMBER(F617),C617*F617,"")</f>
        <v/>
      </c>
    </row>
    <row r="618" spans="1:7" ht="12" customHeight="1" outlineLevel="2" x14ac:dyDescent="0.2">
      <c r="A618" s="14" t="s">
        <v>1216</v>
      </c>
      <c r="B618" s="15" t="s">
        <v>1217</v>
      </c>
      <c r="C618" s="16">
        <f>47.71/(1+B2)</f>
        <v>47.71</v>
      </c>
      <c r="D618" s="17" t="s">
        <v>11</v>
      </c>
      <c r="E618" s="17"/>
      <c r="F618" s="18"/>
      <c r="G618" s="36" t="str">
        <f>IF(ISNUMBER(F618),C618*F618,"")</f>
        <v/>
      </c>
    </row>
    <row r="619" spans="1:7" ht="12" customHeight="1" outlineLevel="2" x14ac:dyDescent="0.2">
      <c r="A619" s="14" t="s">
        <v>1218</v>
      </c>
      <c r="B619" s="15" t="s">
        <v>1219</v>
      </c>
      <c r="C619" s="16">
        <f>41.18/(1+B2)</f>
        <v>41.18</v>
      </c>
      <c r="D619" s="17" t="s">
        <v>11</v>
      </c>
      <c r="E619" s="17"/>
      <c r="F619" s="18"/>
      <c r="G619" s="36" t="str">
        <f>IF(ISNUMBER(F619),C619*F619,"")</f>
        <v/>
      </c>
    </row>
    <row r="620" spans="1:7" ht="24" customHeight="1" outlineLevel="2" x14ac:dyDescent="0.2">
      <c r="A620" s="14" t="s">
        <v>1220</v>
      </c>
      <c r="B620" s="15" t="s">
        <v>1221</v>
      </c>
      <c r="C620" s="16">
        <f>65.34/(1+B2)</f>
        <v>65.34</v>
      </c>
      <c r="D620" s="17" t="s">
        <v>11</v>
      </c>
      <c r="E620" s="17"/>
      <c r="F620" s="18"/>
      <c r="G620" s="36" t="str">
        <f>IF(ISNUMBER(F620),C620*F620,"")</f>
        <v/>
      </c>
    </row>
    <row r="621" spans="1:7" ht="24" customHeight="1" outlineLevel="2" x14ac:dyDescent="0.2">
      <c r="A621" s="14" t="s">
        <v>1222</v>
      </c>
      <c r="B621" s="15" t="s">
        <v>1223</v>
      </c>
      <c r="C621" s="16">
        <f>47.33/(1+B2)</f>
        <v>47.33</v>
      </c>
      <c r="D621" s="17" t="s">
        <v>11</v>
      </c>
      <c r="E621" s="17"/>
      <c r="F621" s="18"/>
      <c r="G621" s="36" t="str">
        <f>IF(ISNUMBER(F621),C621*F621,"")</f>
        <v/>
      </c>
    </row>
    <row r="622" spans="1:7" ht="12" customHeight="1" outlineLevel="2" x14ac:dyDescent="0.2">
      <c r="A622" s="14" t="s">
        <v>1224</v>
      </c>
      <c r="B622" s="15" t="s">
        <v>1225</v>
      </c>
      <c r="C622" s="16">
        <f>65.34/(1+B2)</f>
        <v>65.34</v>
      </c>
      <c r="D622" s="17" t="s">
        <v>11</v>
      </c>
      <c r="E622" s="17"/>
      <c r="F622" s="18"/>
      <c r="G622" s="36" t="str">
        <f>IF(ISNUMBER(F622),C622*F622,"")</f>
        <v/>
      </c>
    </row>
    <row r="623" spans="1:7" ht="12" customHeight="1" outlineLevel="2" x14ac:dyDescent="0.2">
      <c r="A623" s="14" t="s">
        <v>1226</v>
      </c>
      <c r="B623" s="15" t="s">
        <v>1227</v>
      </c>
      <c r="C623" s="16">
        <f>65.34/(1+B2)</f>
        <v>65.34</v>
      </c>
      <c r="D623" s="17" t="s">
        <v>11</v>
      </c>
      <c r="E623" s="17"/>
      <c r="F623" s="18"/>
      <c r="G623" s="36" t="str">
        <f>IF(ISNUMBER(F623),C623*F623,"")</f>
        <v/>
      </c>
    </row>
    <row r="624" spans="1:7" ht="12" customHeight="1" outlineLevel="2" x14ac:dyDescent="0.2">
      <c r="A624" s="14" t="s">
        <v>1228</v>
      </c>
      <c r="B624" s="15" t="s">
        <v>1229</v>
      </c>
      <c r="C624" s="16">
        <f>54/(1+B2)</f>
        <v>54</v>
      </c>
      <c r="D624" s="17" t="s">
        <v>14</v>
      </c>
      <c r="E624" s="17"/>
      <c r="F624" s="18"/>
      <c r="G624" s="36" t="str">
        <f>IF(ISNUMBER(F624),C624*F624,"")</f>
        <v/>
      </c>
    </row>
    <row r="625" spans="1:7" ht="12" customHeight="1" outlineLevel="2" x14ac:dyDescent="0.2">
      <c r="A625" s="14" t="s">
        <v>1230</v>
      </c>
      <c r="B625" s="15" t="s">
        <v>1231</v>
      </c>
      <c r="C625" s="16">
        <f>65.79/(1+B2)</f>
        <v>65.790000000000006</v>
      </c>
      <c r="D625" s="17" t="s">
        <v>11</v>
      </c>
      <c r="E625" s="17"/>
      <c r="F625" s="18"/>
      <c r="G625" s="36" t="str">
        <f>IF(ISNUMBER(F625),C625*F625,"")</f>
        <v/>
      </c>
    </row>
    <row r="626" spans="1:7" ht="12" customHeight="1" outlineLevel="2" x14ac:dyDescent="0.2">
      <c r="A626" s="14" t="s">
        <v>1232</v>
      </c>
      <c r="B626" s="15" t="s">
        <v>1233</v>
      </c>
      <c r="C626" s="16">
        <f>168.75/(1+B2)</f>
        <v>168.75</v>
      </c>
      <c r="D626" s="17" t="s">
        <v>11</v>
      </c>
      <c r="E626" s="17"/>
      <c r="F626" s="18"/>
      <c r="G626" s="36" t="str">
        <f>IF(ISNUMBER(F626),C626*F626,"")</f>
        <v/>
      </c>
    </row>
    <row r="627" spans="1:7" ht="24" customHeight="1" outlineLevel="2" x14ac:dyDescent="0.2">
      <c r="A627" s="14" t="s">
        <v>1234</v>
      </c>
      <c r="B627" s="15" t="s">
        <v>1235</v>
      </c>
      <c r="C627" s="16">
        <f>168.75/(1+B2)</f>
        <v>168.75</v>
      </c>
      <c r="D627" s="17" t="s">
        <v>11</v>
      </c>
      <c r="E627" s="17"/>
      <c r="F627" s="18"/>
      <c r="G627" s="36" t="str">
        <f>IF(ISNUMBER(F627),C627*F627,"")</f>
        <v/>
      </c>
    </row>
    <row r="628" spans="1:7" ht="12" customHeight="1" outlineLevel="2" x14ac:dyDescent="0.2">
      <c r="A628" s="14" t="s">
        <v>1236</v>
      </c>
      <c r="B628" s="15" t="s">
        <v>1237</v>
      </c>
      <c r="C628" s="16">
        <f>122.85/(1+B2)</f>
        <v>122.85</v>
      </c>
      <c r="D628" s="17" t="s">
        <v>11</v>
      </c>
      <c r="E628" s="17"/>
      <c r="F628" s="18"/>
      <c r="G628" s="36" t="str">
        <f>IF(ISNUMBER(F628),C628*F628,"")</f>
        <v/>
      </c>
    </row>
    <row r="629" spans="1:7" ht="24" customHeight="1" outlineLevel="2" x14ac:dyDescent="0.2">
      <c r="A629" s="14" t="s">
        <v>1238</v>
      </c>
      <c r="B629" s="15" t="s">
        <v>1239</v>
      </c>
      <c r="C629" s="16">
        <f>12.81/(1+B2)</f>
        <v>12.81</v>
      </c>
      <c r="D629" s="17" t="s">
        <v>11</v>
      </c>
      <c r="E629" s="17"/>
      <c r="F629" s="18"/>
      <c r="G629" s="36" t="str">
        <f>IF(ISNUMBER(F629),C629*F629,"")</f>
        <v/>
      </c>
    </row>
    <row r="630" spans="1:7" ht="12" customHeight="1" outlineLevel="2" x14ac:dyDescent="0.2">
      <c r="A630" s="14" t="s">
        <v>1240</v>
      </c>
      <c r="B630" s="15" t="s">
        <v>1241</v>
      </c>
      <c r="C630" s="16">
        <f>124.04/(1+B2)</f>
        <v>124.04</v>
      </c>
      <c r="D630" s="17" t="s">
        <v>11</v>
      </c>
      <c r="E630" s="17"/>
      <c r="F630" s="18"/>
      <c r="G630" s="36" t="str">
        <f>IF(ISNUMBER(F630),C630*F630,"")</f>
        <v/>
      </c>
    </row>
    <row r="631" spans="1:7" ht="12" customHeight="1" outlineLevel="2" x14ac:dyDescent="0.2">
      <c r="A631" s="14" t="s">
        <v>1242</v>
      </c>
      <c r="B631" s="15" t="s">
        <v>1243</v>
      </c>
      <c r="C631" s="16">
        <f>118.25/(1+B2)</f>
        <v>118.25</v>
      </c>
      <c r="D631" s="17" t="s">
        <v>11</v>
      </c>
      <c r="E631" s="17"/>
      <c r="F631" s="18"/>
      <c r="G631" s="36" t="str">
        <f>IF(ISNUMBER(F631),C631*F631,"")</f>
        <v/>
      </c>
    </row>
    <row r="632" spans="1:7" ht="12" customHeight="1" outlineLevel="2" x14ac:dyDescent="0.2">
      <c r="A632" s="14" t="s">
        <v>1244</v>
      </c>
      <c r="B632" s="15" t="s">
        <v>1245</v>
      </c>
      <c r="C632" s="16">
        <f>124.04/(1+B2)</f>
        <v>124.04</v>
      </c>
      <c r="D632" s="17" t="s">
        <v>11</v>
      </c>
      <c r="E632" s="17"/>
      <c r="F632" s="18"/>
      <c r="G632" s="36" t="str">
        <f>IF(ISNUMBER(F632),C632*F632,"")</f>
        <v/>
      </c>
    </row>
    <row r="633" spans="1:7" ht="12" customHeight="1" outlineLevel="2" x14ac:dyDescent="0.2">
      <c r="A633" s="14" t="s">
        <v>1246</v>
      </c>
      <c r="B633" s="15" t="s">
        <v>1247</v>
      </c>
      <c r="C633" s="16">
        <f>74.74/(1+B2)</f>
        <v>74.739999999999995</v>
      </c>
      <c r="D633" s="17" t="s">
        <v>11</v>
      </c>
      <c r="E633" s="17"/>
      <c r="F633" s="18"/>
      <c r="G633" s="36" t="str">
        <f>IF(ISNUMBER(F633),C633*F633,"")</f>
        <v/>
      </c>
    </row>
    <row r="634" spans="1:7" ht="12" customHeight="1" outlineLevel="2" x14ac:dyDescent="0.2">
      <c r="A634" s="14" t="s">
        <v>1248</v>
      </c>
      <c r="B634" s="15" t="s">
        <v>1249</v>
      </c>
      <c r="C634" s="16">
        <f>74.74/(1+B2)</f>
        <v>74.739999999999995</v>
      </c>
      <c r="D634" s="17" t="s">
        <v>11</v>
      </c>
      <c r="E634" s="17" t="s">
        <v>14</v>
      </c>
      <c r="F634" s="18"/>
      <c r="G634" s="36" t="str">
        <f>IF(ISNUMBER(F634),C634*F634,"")</f>
        <v/>
      </c>
    </row>
    <row r="635" spans="1:7" ht="24" customHeight="1" outlineLevel="2" x14ac:dyDescent="0.2">
      <c r="A635" s="14" t="s">
        <v>1250</v>
      </c>
      <c r="B635" s="15" t="s">
        <v>1251</v>
      </c>
      <c r="C635" s="16">
        <f>108.86/(1+B2)</f>
        <v>108.86</v>
      </c>
      <c r="D635" s="17" t="s">
        <v>11</v>
      </c>
      <c r="E635" s="17" t="s">
        <v>11</v>
      </c>
      <c r="F635" s="18"/>
      <c r="G635" s="36" t="str">
        <f>IF(ISNUMBER(F635),C635*F635,"")</f>
        <v/>
      </c>
    </row>
    <row r="636" spans="1:7" ht="24" customHeight="1" outlineLevel="2" x14ac:dyDescent="0.2">
      <c r="A636" s="14" t="s">
        <v>1252</v>
      </c>
      <c r="B636" s="15" t="s">
        <v>1253</v>
      </c>
      <c r="C636" s="16">
        <f>108.86/(1+B2)</f>
        <v>108.86</v>
      </c>
      <c r="D636" s="17" t="s">
        <v>11</v>
      </c>
      <c r="E636" s="17" t="s">
        <v>11</v>
      </c>
      <c r="F636" s="18"/>
      <c r="G636" s="36" t="str">
        <f>IF(ISNUMBER(F636),C636*F636,"")</f>
        <v/>
      </c>
    </row>
    <row r="637" spans="1:7" ht="12" customHeight="1" outlineLevel="2" x14ac:dyDescent="0.2">
      <c r="A637" s="14" t="s">
        <v>1254</v>
      </c>
      <c r="B637" s="15" t="s">
        <v>1255</v>
      </c>
      <c r="C637" s="16">
        <f>102.82/(1+B2)</f>
        <v>102.82</v>
      </c>
      <c r="D637" s="17" t="s">
        <v>11</v>
      </c>
      <c r="E637" s="17"/>
      <c r="F637" s="18"/>
      <c r="G637" s="36" t="str">
        <f>IF(ISNUMBER(F637),C637*F637,"")</f>
        <v/>
      </c>
    </row>
    <row r="638" spans="1:7" ht="12" customHeight="1" outlineLevel="2" x14ac:dyDescent="0.2">
      <c r="A638" s="14" t="s">
        <v>1256</v>
      </c>
      <c r="B638" s="15" t="s">
        <v>1257</v>
      </c>
      <c r="C638" s="16">
        <f>97.87/(1+B2)</f>
        <v>97.87</v>
      </c>
      <c r="D638" s="17" t="s">
        <v>11</v>
      </c>
      <c r="E638" s="17" t="s">
        <v>11</v>
      </c>
      <c r="F638" s="18"/>
      <c r="G638" s="36" t="str">
        <f>IF(ISNUMBER(F638),C638*F638,"")</f>
        <v/>
      </c>
    </row>
    <row r="639" spans="1:7" ht="12" customHeight="1" outlineLevel="2" x14ac:dyDescent="0.2">
      <c r="A639" s="14" t="s">
        <v>1258</v>
      </c>
      <c r="B639" s="15" t="s">
        <v>1259</v>
      </c>
      <c r="C639" s="16">
        <f>97.88/(1+B2)</f>
        <v>97.88</v>
      </c>
      <c r="D639" s="17" t="s">
        <v>11</v>
      </c>
      <c r="E639" s="17"/>
      <c r="F639" s="18"/>
      <c r="G639" s="36" t="str">
        <f>IF(ISNUMBER(F639),C639*F639,"")</f>
        <v/>
      </c>
    </row>
    <row r="640" spans="1:7" ht="12" customHeight="1" outlineLevel="2" x14ac:dyDescent="0.2">
      <c r="A640" s="14" t="s">
        <v>1260</v>
      </c>
      <c r="B640" s="15" t="s">
        <v>1261</v>
      </c>
      <c r="C640" s="16">
        <f>97.87/(1+B2)</f>
        <v>97.87</v>
      </c>
      <c r="D640" s="17" t="s">
        <v>11</v>
      </c>
      <c r="E640" s="17" t="s">
        <v>11</v>
      </c>
      <c r="F640" s="18"/>
      <c r="G640" s="36" t="str">
        <f>IF(ISNUMBER(F640),C640*F640,"")</f>
        <v/>
      </c>
    </row>
    <row r="641" spans="1:7" ht="12" customHeight="1" outlineLevel="2" x14ac:dyDescent="0.2">
      <c r="A641" s="14" t="s">
        <v>1262</v>
      </c>
      <c r="B641" s="15" t="s">
        <v>1263</v>
      </c>
      <c r="C641" s="16">
        <f>97.87/(1+B2)</f>
        <v>97.87</v>
      </c>
      <c r="D641" s="17" t="s">
        <v>11</v>
      </c>
      <c r="E641" s="17" t="s">
        <v>11</v>
      </c>
      <c r="F641" s="18"/>
      <c r="G641" s="36" t="str">
        <f>IF(ISNUMBER(F641),C641*F641,"")</f>
        <v/>
      </c>
    </row>
    <row r="642" spans="1:7" ht="12" customHeight="1" outlineLevel="2" x14ac:dyDescent="0.2">
      <c r="A642" s="14" t="s">
        <v>1264</v>
      </c>
      <c r="B642" s="15" t="s">
        <v>1265</v>
      </c>
      <c r="C642" s="16">
        <f>92.19/(1+B2)</f>
        <v>92.19</v>
      </c>
      <c r="D642" s="17" t="s">
        <v>11</v>
      </c>
      <c r="E642" s="17"/>
      <c r="F642" s="18"/>
      <c r="G642" s="36" t="str">
        <f>IF(ISNUMBER(F642),C642*F642,"")</f>
        <v/>
      </c>
    </row>
    <row r="643" spans="1:7" ht="12" customHeight="1" outlineLevel="2" x14ac:dyDescent="0.2">
      <c r="A643" s="14" t="s">
        <v>1266</v>
      </c>
      <c r="B643" s="15" t="s">
        <v>1267</v>
      </c>
      <c r="C643" s="16">
        <f>92.19/(1+B2)</f>
        <v>92.19</v>
      </c>
      <c r="D643" s="17" t="s">
        <v>11</v>
      </c>
      <c r="E643" s="17"/>
      <c r="F643" s="18"/>
      <c r="G643" s="36" t="str">
        <f>IF(ISNUMBER(F643),C643*F643,"")</f>
        <v/>
      </c>
    </row>
    <row r="644" spans="1:7" ht="12" customHeight="1" outlineLevel="2" x14ac:dyDescent="0.2">
      <c r="A644" s="14" t="s">
        <v>1268</v>
      </c>
      <c r="B644" s="15" t="s">
        <v>1269</v>
      </c>
      <c r="C644" s="16">
        <f>92.19/(1+B2)</f>
        <v>92.19</v>
      </c>
      <c r="D644" s="17" t="s">
        <v>11</v>
      </c>
      <c r="E644" s="17"/>
      <c r="F644" s="18"/>
      <c r="G644" s="36" t="str">
        <f>IF(ISNUMBER(F644),C644*F644,"")</f>
        <v/>
      </c>
    </row>
    <row r="645" spans="1:7" ht="12" customHeight="1" outlineLevel="2" x14ac:dyDescent="0.2">
      <c r="A645" s="14" t="s">
        <v>1270</v>
      </c>
      <c r="B645" s="15" t="s">
        <v>1271</v>
      </c>
      <c r="C645" s="16">
        <f>104.78/(1+B2)</f>
        <v>104.78</v>
      </c>
      <c r="D645" s="17" t="s">
        <v>11</v>
      </c>
      <c r="E645" s="17" t="s">
        <v>11</v>
      </c>
      <c r="F645" s="18"/>
      <c r="G645" s="36" t="str">
        <f>IF(ISNUMBER(F645),C645*F645,"")</f>
        <v/>
      </c>
    </row>
    <row r="646" spans="1:7" ht="12" customHeight="1" outlineLevel="2" x14ac:dyDescent="0.2">
      <c r="A646" s="14" t="s">
        <v>1272</v>
      </c>
      <c r="B646" s="15" t="s">
        <v>1273</v>
      </c>
      <c r="C646" s="16">
        <f>92.19/(1+B2)</f>
        <v>92.19</v>
      </c>
      <c r="D646" s="17" t="s">
        <v>11</v>
      </c>
      <c r="E646" s="17" t="s">
        <v>11</v>
      </c>
      <c r="F646" s="18"/>
      <c r="G646" s="36" t="str">
        <f>IF(ISNUMBER(F646),C646*F646,"")</f>
        <v/>
      </c>
    </row>
    <row r="647" spans="1:7" ht="12" customHeight="1" outlineLevel="2" x14ac:dyDescent="0.2">
      <c r="A647" s="14" t="s">
        <v>1274</v>
      </c>
      <c r="B647" s="15" t="s">
        <v>1275</v>
      </c>
      <c r="C647" s="16">
        <f>133.26/(1+B2)</f>
        <v>133.26</v>
      </c>
      <c r="D647" s="17" t="s">
        <v>11</v>
      </c>
      <c r="E647" s="17"/>
      <c r="F647" s="18"/>
      <c r="G647" s="36" t="str">
        <f>IF(ISNUMBER(F647),C647*F647,"")</f>
        <v/>
      </c>
    </row>
    <row r="648" spans="1:7" ht="12" customHeight="1" outlineLevel="2" x14ac:dyDescent="0.2">
      <c r="A648" s="14" t="s">
        <v>1276</v>
      </c>
      <c r="B648" s="15" t="s">
        <v>1277</v>
      </c>
      <c r="C648" s="16">
        <f>133.26/(1+B2)</f>
        <v>133.26</v>
      </c>
      <c r="D648" s="17" t="s">
        <v>11</v>
      </c>
      <c r="E648" s="17"/>
      <c r="F648" s="18"/>
      <c r="G648" s="36" t="str">
        <f>IF(ISNUMBER(F648),C648*F648,"")</f>
        <v/>
      </c>
    </row>
    <row r="649" spans="1:7" ht="12" customHeight="1" outlineLevel="2" x14ac:dyDescent="0.2">
      <c r="A649" s="14" t="s">
        <v>1278</v>
      </c>
      <c r="B649" s="15" t="s">
        <v>1279</v>
      </c>
      <c r="C649" s="16">
        <f>138.75/(1+B2)</f>
        <v>138.75</v>
      </c>
      <c r="D649" s="17" t="s">
        <v>11</v>
      </c>
      <c r="E649" s="17" t="s">
        <v>14</v>
      </c>
      <c r="F649" s="18"/>
      <c r="G649" s="36" t="str">
        <f>IF(ISNUMBER(F649),C649*F649,"")</f>
        <v/>
      </c>
    </row>
    <row r="650" spans="1:7" ht="12" customHeight="1" outlineLevel="2" x14ac:dyDescent="0.2">
      <c r="A650" s="14" t="s">
        <v>1280</v>
      </c>
      <c r="B650" s="15" t="s">
        <v>1281</v>
      </c>
      <c r="C650" s="16">
        <f>138.75/(1+B2)</f>
        <v>138.75</v>
      </c>
      <c r="D650" s="17" t="s">
        <v>11</v>
      </c>
      <c r="E650" s="17" t="s">
        <v>11</v>
      </c>
      <c r="F650" s="18"/>
      <c r="G650" s="36" t="str">
        <f>IF(ISNUMBER(F650),C650*F650,"")</f>
        <v/>
      </c>
    </row>
    <row r="651" spans="1:7" ht="12" customHeight="1" outlineLevel="2" x14ac:dyDescent="0.2">
      <c r="A651" s="14" t="s">
        <v>1282</v>
      </c>
      <c r="B651" s="15" t="s">
        <v>1283</v>
      </c>
      <c r="C651" s="16">
        <f>79.1/(1+B2)</f>
        <v>79.099999999999994</v>
      </c>
      <c r="D651" s="17" t="s">
        <v>11</v>
      </c>
      <c r="E651" s="17" t="s">
        <v>11</v>
      </c>
      <c r="F651" s="18"/>
      <c r="G651" s="36" t="str">
        <f>IF(ISNUMBER(F651),C651*F651,"")</f>
        <v/>
      </c>
    </row>
    <row r="652" spans="1:7" ht="12" customHeight="1" outlineLevel="2" x14ac:dyDescent="0.2">
      <c r="A652" s="14" t="s">
        <v>1284</v>
      </c>
      <c r="B652" s="15" t="s">
        <v>1285</v>
      </c>
      <c r="C652" s="16">
        <f>79.1/(1+B2)</f>
        <v>79.099999999999994</v>
      </c>
      <c r="D652" s="17" t="s">
        <v>11</v>
      </c>
      <c r="E652" s="17"/>
      <c r="F652" s="18"/>
      <c r="G652" s="36" t="str">
        <f>IF(ISNUMBER(F652),C652*F652,"")</f>
        <v/>
      </c>
    </row>
    <row r="653" spans="1:7" ht="24" customHeight="1" outlineLevel="2" x14ac:dyDescent="0.2">
      <c r="A653" s="14" t="s">
        <v>1286</v>
      </c>
      <c r="B653" s="15" t="s">
        <v>1287</v>
      </c>
      <c r="C653" s="16">
        <f>79.1/(1+B2)</f>
        <v>79.099999999999994</v>
      </c>
      <c r="D653" s="17" t="s">
        <v>11</v>
      </c>
      <c r="E653" s="17"/>
      <c r="F653" s="18"/>
      <c r="G653" s="36" t="str">
        <f>IF(ISNUMBER(F653),C653*F653,"")</f>
        <v/>
      </c>
    </row>
    <row r="654" spans="1:7" ht="24" customHeight="1" outlineLevel="2" x14ac:dyDescent="0.2">
      <c r="A654" s="14" t="s">
        <v>1288</v>
      </c>
      <c r="B654" s="15" t="s">
        <v>1289</v>
      </c>
      <c r="C654" s="16">
        <f>82.65/(1+B2)</f>
        <v>82.65</v>
      </c>
      <c r="D654" s="17" t="s">
        <v>11</v>
      </c>
      <c r="E654" s="17"/>
      <c r="F654" s="18"/>
      <c r="G654" s="36" t="str">
        <f>IF(ISNUMBER(F654),C654*F654,"")</f>
        <v/>
      </c>
    </row>
    <row r="655" spans="1:7" ht="12" customHeight="1" outlineLevel="2" x14ac:dyDescent="0.2">
      <c r="A655" s="14" t="s">
        <v>1290</v>
      </c>
      <c r="B655" s="15" t="s">
        <v>1291</v>
      </c>
      <c r="C655" s="16">
        <f>82.65/(1+B2)</f>
        <v>82.65</v>
      </c>
      <c r="D655" s="17" t="s">
        <v>11</v>
      </c>
      <c r="E655" s="17"/>
      <c r="F655" s="18"/>
      <c r="G655" s="36" t="str">
        <f>IF(ISNUMBER(F655),C655*F655,"")</f>
        <v/>
      </c>
    </row>
    <row r="656" spans="1:7" ht="12" customHeight="1" outlineLevel="2" x14ac:dyDescent="0.2">
      <c r="A656" s="14" t="s">
        <v>1292</v>
      </c>
      <c r="B656" s="15" t="s">
        <v>1293</v>
      </c>
      <c r="C656" s="16">
        <f>82.65/(1+B2)</f>
        <v>82.65</v>
      </c>
      <c r="D656" s="17" t="s">
        <v>11</v>
      </c>
      <c r="E656" s="17"/>
      <c r="F656" s="18"/>
      <c r="G656" s="36" t="str">
        <f>IF(ISNUMBER(F656),C656*F656,"")</f>
        <v/>
      </c>
    </row>
    <row r="657" spans="1:7" ht="12" customHeight="1" outlineLevel="2" x14ac:dyDescent="0.2">
      <c r="A657" s="14" t="s">
        <v>1294</v>
      </c>
      <c r="B657" s="15" t="s">
        <v>1295</v>
      </c>
      <c r="C657" s="16">
        <f>49.04/(1+B2)</f>
        <v>49.04</v>
      </c>
      <c r="D657" s="17" t="s">
        <v>11</v>
      </c>
      <c r="E657" s="17" t="s">
        <v>11</v>
      </c>
      <c r="F657" s="18"/>
      <c r="G657" s="36" t="str">
        <f>IF(ISNUMBER(F657),C657*F657,"")</f>
        <v/>
      </c>
    </row>
    <row r="658" spans="1:7" ht="12" customHeight="1" outlineLevel="2" x14ac:dyDescent="0.2">
      <c r="A658" s="14" t="s">
        <v>1296</v>
      </c>
      <c r="B658" s="15" t="s">
        <v>1297</v>
      </c>
      <c r="C658" s="16">
        <f>49.04/(1+B2)</f>
        <v>49.04</v>
      </c>
      <c r="D658" s="17" t="s">
        <v>11</v>
      </c>
      <c r="E658" s="17" t="s">
        <v>11</v>
      </c>
      <c r="F658" s="18"/>
      <c r="G658" s="36" t="str">
        <f>IF(ISNUMBER(F658),C658*F658,"")</f>
        <v/>
      </c>
    </row>
    <row r="659" spans="1:7" ht="12" customHeight="1" outlineLevel="2" x14ac:dyDescent="0.2">
      <c r="A659" s="14" t="s">
        <v>1298</v>
      </c>
      <c r="B659" s="15" t="s">
        <v>1299</v>
      </c>
      <c r="C659" s="16">
        <f>49.04/(1+B2)</f>
        <v>49.04</v>
      </c>
      <c r="D659" s="17" t="s">
        <v>11</v>
      </c>
      <c r="E659" s="17"/>
      <c r="F659" s="18"/>
      <c r="G659" s="36" t="str">
        <f>IF(ISNUMBER(F659),C659*F659,"")</f>
        <v/>
      </c>
    </row>
    <row r="660" spans="1:7" ht="12" customHeight="1" outlineLevel="2" x14ac:dyDescent="0.2">
      <c r="A660" s="14" t="s">
        <v>1300</v>
      </c>
      <c r="B660" s="15" t="s">
        <v>1301</v>
      </c>
      <c r="C660" s="16">
        <f>49.04/(1+B2)</f>
        <v>49.04</v>
      </c>
      <c r="D660" s="17" t="s">
        <v>11</v>
      </c>
      <c r="E660" s="17"/>
      <c r="F660" s="18"/>
      <c r="G660" s="36" t="str">
        <f>IF(ISNUMBER(F660),C660*F660,"")</f>
        <v/>
      </c>
    </row>
    <row r="661" spans="1:7" ht="12" customHeight="1" outlineLevel="2" x14ac:dyDescent="0.2">
      <c r="A661" s="14" t="s">
        <v>1302</v>
      </c>
      <c r="B661" s="15" t="s">
        <v>1303</v>
      </c>
      <c r="C661" s="16">
        <f>62.01/(1+B2)</f>
        <v>62.01</v>
      </c>
      <c r="D661" s="17" t="s">
        <v>11</v>
      </c>
      <c r="E661" s="17"/>
      <c r="F661" s="18"/>
      <c r="G661" s="36" t="str">
        <f>IF(ISNUMBER(F661),C661*F661,"")</f>
        <v/>
      </c>
    </row>
    <row r="662" spans="1:7" ht="12" customHeight="1" outlineLevel="2" x14ac:dyDescent="0.2">
      <c r="A662" s="14" t="s">
        <v>1304</v>
      </c>
      <c r="B662" s="15" t="s">
        <v>1305</v>
      </c>
      <c r="C662" s="16">
        <f>18.24/(1+B2)</f>
        <v>18.239999999999998</v>
      </c>
      <c r="D662" s="17" t="s">
        <v>53</v>
      </c>
      <c r="E662" s="17"/>
      <c r="F662" s="18"/>
      <c r="G662" s="36" t="str">
        <f>IF(ISNUMBER(F662),C662*F662,"")</f>
        <v/>
      </c>
    </row>
    <row r="663" spans="1:7" s="1" customFormat="1" ht="15.95" customHeight="1" outlineLevel="1" x14ac:dyDescent="0.25">
      <c r="A663" s="11"/>
      <c r="B663" s="12" t="s">
        <v>1306</v>
      </c>
      <c r="C663" s="13"/>
      <c r="D663" s="13"/>
      <c r="E663" s="13"/>
      <c r="F663" s="13"/>
      <c r="G663" s="35"/>
    </row>
    <row r="664" spans="1:7" s="1" customFormat="1" ht="12.95" customHeight="1" outlineLevel="2" x14ac:dyDescent="0.2">
      <c r="A664" s="20"/>
      <c r="B664" s="21" t="s">
        <v>1307</v>
      </c>
      <c r="C664" s="22"/>
      <c r="D664" s="22"/>
      <c r="E664" s="22"/>
      <c r="F664" s="22"/>
      <c r="G664" s="37"/>
    </row>
    <row r="665" spans="1:7" ht="12" customHeight="1" outlineLevel="3" x14ac:dyDescent="0.2">
      <c r="A665" s="14" t="s">
        <v>1308</v>
      </c>
      <c r="B665" s="15" t="s">
        <v>1309</v>
      </c>
      <c r="C665" s="16">
        <f>205.76/(1+B2)</f>
        <v>205.76</v>
      </c>
      <c r="D665" s="17" t="s">
        <v>11</v>
      </c>
      <c r="E665" s="17" t="s">
        <v>11</v>
      </c>
      <c r="F665" s="18"/>
      <c r="G665" s="36" t="str">
        <f>IF(ISNUMBER(F665),C665*F665,"")</f>
        <v/>
      </c>
    </row>
    <row r="666" spans="1:7" ht="12" customHeight="1" outlineLevel="3" x14ac:dyDescent="0.2">
      <c r="A666" s="14" t="s">
        <v>1310</v>
      </c>
      <c r="B666" s="15" t="s">
        <v>1311</v>
      </c>
      <c r="C666" s="16">
        <f>205.76/(1+B2)</f>
        <v>205.76</v>
      </c>
      <c r="D666" s="17" t="s">
        <v>11</v>
      </c>
      <c r="E666" s="17"/>
      <c r="F666" s="18"/>
      <c r="G666" s="36" t="str">
        <f>IF(ISNUMBER(F666),C666*F666,"")</f>
        <v/>
      </c>
    </row>
    <row r="667" spans="1:7" ht="12" customHeight="1" outlineLevel="3" x14ac:dyDescent="0.2">
      <c r="A667" s="14" t="s">
        <v>1312</v>
      </c>
      <c r="B667" s="15" t="s">
        <v>1313</v>
      </c>
      <c r="C667" s="16">
        <f>205.76/(1+B2)</f>
        <v>205.76</v>
      </c>
      <c r="D667" s="17" t="s">
        <v>11</v>
      </c>
      <c r="E667" s="17" t="s">
        <v>11</v>
      </c>
      <c r="F667" s="18"/>
      <c r="G667" s="36" t="str">
        <f>IF(ISNUMBER(F667),C667*F667,"")</f>
        <v/>
      </c>
    </row>
    <row r="668" spans="1:7" ht="12" customHeight="1" outlineLevel="3" x14ac:dyDescent="0.2">
      <c r="A668" s="14" t="s">
        <v>1314</v>
      </c>
      <c r="B668" s="15" t="s">
        <v>1315</v>
      </c>
      <c r="C668" s="16">
        <f>205.76/(1+B2)</f>
        <v>205.76</v>
      </c>
      <c r="D668" s="17" t="s">
        <v>11</v>
      </c>
      <c r="E668" s="17" t="s">
        <v>11</v>
      </c>
      <c r="F668" s="18"/>
      <c r="G668" s="36" t="str">
        <f>IF(ISNUMBER(F668),C668*F668,"")</f>
        <v/>
      </c>
    </row>
    <row r="669" spans="1:7" ht="12" customHeight="1" outlineLevel="3" x14ac:dyDescent="0.2">
      <c r="A669" s="14" t="s">
        <v>1316</v>
      </c>
      <c r="B669" s="15" t="s">
        <v>1317</v>
      </c>
      <c r="C669" s="16">
        <f>205.76/(1+B2)</f>
        <v>205.76</v>
      </c>
      <c r="D669" s="17" t="s">
        <v>11</v>
      </c>
      <c r="E669" s="17" t="s">
        <v>11</v>
      </c>
      <c r="F669" s="18"/>
      <c r="G669" s="36" t="str">
        <f>IF(ISNUMBER(F669),C669*F669,"")</f>
        <v/>
      </c>
    </row>
    <row r="670" spans="1:7" ht="12" customHeight="1" outlineLevel="3" x14ac:dyDescent="0.2">
      <c r="A670" s="14" t="s">
        <v>1318</v>
      </c>
      <c r="B670" s="15" t="s">
        <v>1319</v>
      </c>
      <c r="C670" s="16">
        <f>205.76/(1+B2)</f>
        <v>205.76</v>
      </c>
      <c r="D670" s="17" t="s">
        <v>11</v>
      </c>
      <c r="E670" s="17" t="s">
        <v>11</v>
      </c>
      <c r="F670" s="18"/>
      <c r="G670" s="36" t="str">
        <f>IF(ISNUMBER(F670),C670*F670,"")</f>
        <v/>
      </c>
    </row>
    <row r="671" spans="1:7" ht="12" customHeight="1" outlineLevel="3" x14ac:dyDescent="0.2">
      <c r="A671" s="14" t="s">
        <v>1320</v>
      </c>
      <c r="B671" s="15" t="s">
        <v>1321</v>
      </c>
      <c r="C671" s="16">
        <f>248.71/(1+B2)</f>
        <v>248.71</v>
      </c>
      <c r="D671" s="17" t="s">
        <v>11</v>
      </c>
      <c r="E671" s="17"/>
      <c r="F671" s="18"/>
      <c r="G671" s="36" t="str">
        <f>IF(ISNUMBER(F671),C671*F671,"")</f>
        <v/>
      </c>
    </row>
    <row r="672" spans="1:7" ht="12" customHeight="1" outlineLevel="3" x14ac:dyDescent="0.2">
      <c r="A672" s="14" t="s">
        <v>1322</v>
      </c>
      <c r="B672" s="15" t="s">
        <v>1323</v>
      </c>
      <c r="C672" s="16">
        <f>214.45/(1+B2)</f>
        <v>214.45</v>
      </c>
      <c r="D672" s="17" t="s">
        <v>11</v>
      </c>
      <c r="E672" s="17" t="s">
        <v>11</v>
      </c>
      <c r="F672" s="18"/>
      <c r="G672" s="36" t="str">
        <f>IF(ISNUMBER(F672),C672*F672,"")</f>
        <v/>
      </c>
    </row>
    <row r="673" spans="1:7" ht="12" customHeight="1" outlineLevel="3" x14ac:dyDescent="0.2">
      <c r="A673" s="14" t="s">
        <v>1324</v>
      </c>
      <c r="B673" s="15" t="s">
        <v>1325</v>
      </c>
      <c r="C673" s="16">
        <f>208.11/(1+B2)</f>
        <v>208.11</v>
      </c>
      <c r="D673" s="17" t="s">
        <v>11</v>
      </c>
      <c r="E673" s="17"/>
      <c r="F673" s="18"/>
      <c r="G673" s="36" t="str">
        <f>IF(ISNUMBER(F673),C673*F673,"")</f>
        <v/>
      </c>
    </row>
    <row r="674" spans="1:7" ht="12" customHeight="1" outlineLevel="3" x14ac:dyDescent="0.2">
      <c r="A674" s="14" t="s">
        <v>1326</v>
      </c>
      <c r="B674" s="15" t="s">
        <v>1327</v>
      </c>
      <c r="C674" s="16">
        <f>248.71/(1+B2)</f>
        <v>248.71</v>
      </c>
      <c r="D674" s="17" t="s">
        <v>11</v>
      </c>
      <c r="E674" s="17"/>
      <c r="F674" s="18"/>
      <c r="G674" s="36" t="str">
        <f>IF(ISNUMBER(F674),C674*F674,"")</f>
        <v/>
      </c>
    </row>
    <row r="675" spans="1:7" ht="12" customHeight="1" outlineLevel="3" x14ac:dyDescent="0.2">
      <c r="A675" s="14" t="s">
        <v>1328</v>
      </c>
      <c r="B675" s="15" t="s">
        <v>1329</v>
      </c>
      <c r="C675" s="16">
        <f>192.11/(1+B2)</f>
        <v>192.11</v>
      </c>
      <c r="D675" s="17" t="s">
        <v>11</v>
      </c>
      <c r="E675" s="17" t="s">
        <v>11</v>
      </c>
      <c r="F675" s="18"/>
      <c r="G675" s="36" t="str">
        <f>IF(ISNUMBER(F675),C675*F675,"")</f>
        <v/>
      </c>
    </row>
    <row r="676" spans="1:7" ht="12" customHeight="1" outlineLevel="3" x14ac:dyDescent="0.2">
      <c r="A676" s="14" t="s">
        <v>1330</v>
      </c>
      <c r="B676" s="15" t="s">
        <v>1331</v>
      </c>
      <c r="C676" s="16">
        <f>248.71/(1+B2)</f>
        <v>248.71</v>
      </c>
      <c r="D676" s="17" t="s">
        <v>11</v>
      </c>
      <c r="E676" s="17"/>
      <c r="F676" s="18"/>
      <c r="G676" s="36" t="str">
        <f>IF(ISNUMBER(F676),C676*F676,"")</f>
        <v/>
      </c>
    </row>
    <row r="677" spans="1:7" ht="12" customHeight="1" outlineLevel="3" x14ac:dyDescent="0.2">
      <c r="A677" s="14" t="s">
        <v>1332</v>
      </c>
      <c r="B677" s="15" t="s">
        <v>1333</v>
      </c>
      <c r="C677" s="16">
        <f>248.71/(1+B2)</f>
        <v>248.71</v>
      </c>
      <c r="D677" s="17" t="s">
        <v>11</v>
      </c>
      <c r="E677" s="17"/>
      <c r="F677" s="18"/>
      <c r="G677" s="36" t="str">
        <f>IF(ISNUMBER(F677),C677*F677,"")</f>
        <v/>
      </c>
    </row>
    <row r="678" spans="1:7" ht="12" customHeight="1" outlineLevel="3" x14ac:dyDescent="0.2">
      <c r="A678" s="14" t="s">
        <v>1334</v>
      </c>
      <c r="B678" s="15" t="s">
        <v>1335</v>
      </c>
      <c r="C678" s="16">
        <f>265.55/(1+B2)</f>
        <v>265.55</v>
      </c>
      <c r="D678" s="17" t="s">
        <v>11</v>
      </c>
      <c r="E678" s="17"/>
      <c r="F678" s="18"/>
      <c r="G678" s="36" t="str">
        <f>IF(ISNUMBER(F678),C678*F678,"")</f>
        <v/>
      </c>
    </row>
    <row r="679" spans="1:7" ht="12" customHeight="1" outlineLevel="3" x14ac:dyDescent="0.2">
      <c r="A679" s="14" t="s">
        <v>1336</v>
      </c>
      <c r="B679" s="15" t="s">
        <v>1337</v>
      </c>
      <c r="C679" s="16">
        <f>243.11/(1+B2)</f>
        <v>243.11</v>
      </c>
      <c r="D679" s="17" t="s">
        <v>11</v>
      </c>
      <c r="E679" s="17" t="s">
        <v>11</v>
      </c>
      <c r="F679" s="18"/>
      <c r="G679" s="36" t="str">
        <f>IF(ISNUMBER(F679),C679*F679,"")</f>
        <v/>
      </c>
    </row>
    <row r="680" spans="1:7" ht="12" customHeight="1" outlineLevel="3" x14ac:dyDescent="0.2">
      <c r="A680" s="14" t="s">
        <v>1338</v>
      </c>
      <c r="B680" s="15" t="s">
        <v>1339</v>
      </c>
      <c r="C680" s="16">
        <f>243.11/(1+B2)</f>
        <v>243.11</v>
      </c>
      <c r="D680" s="17" t="s">
        <v>11</v>
      </c>
      <c r="E680" s="17" t="s">
        <v>11</v>
      </c>
      <c r="F680" s="18"/>
      <c r="G680" s="36" t="str">
        <f>IF(ISNUMBER(F680),C680*F680,"")</f>
        <v/>
      </c>
    </row>
    <row r="681" spans="1:7" ht="12" customHeight="1" outlineLevel="3" x14ac:dyDescent="0.2">
      <c r="A681" s="14" t="s">
        <v>1340</v>
      </c>
      <c r="B681" s="15" t="s">
        <v>1341</v>
      </c>
      <c r="C681" s="16">
        <f>243.11/(1+B2)</f>
        <v>243.11</v>
      </c>
      <c r="D681" s="17" t="s">
        <v>11</v>
      </c>
      <c r="E681" s="17"/>
      <c r="F681" s="18"/>
      <c r="G681" s="36" t="str">
        <f>IF(ISNUMBER(F681),C681*F681,"")</f>
        <v/>
      </c>
    </row>
    <row r="682" spans="1:7" ht="12" customHeight="1" outlineLevel="3" x14ac:dyDescent="0.2">
      <c r="A682" s="14" t="s">
        <v>1342</v>
      </c>
      <c r="B682" s="15" t="s">
        <v>1343</v>
      </c>
      <c r="C682" s="16">
        <f>243.11/(1+B2)</f>
        <v>243.11</v>
      </c>
      <c r="D682" s="17" t="s">
        <v>11</v>
      </c>
      <c r="E682" s="17"/>
      <c r="F682" s="18"/>
      <c r="G682" s="36" t="str">
        <f>IF(ISNUMBER(F682),C682*F682,"")</f>
        <v/>
      </c>
    </row>
    <row r="683" spans="1:7" ht="12" customHeight="1" outlineLevel="3" x14ac:dyDescent="0.2">
      <c r="A683" s="14" t="s">
        <v>1344</v>
      </c>
      <c r="B683" s="15" t="s">
        <v>1345</v>
      </c>
      <c r="C683" s="16">
        <f>243.11/(1+B2)</f>
        <v>243.11</v>
      </c>
      <c r="D683" s="17" t="s">
        <v>11</v>
      </c>
      <c r="E683" s="17" t="s">
        <v>11</v>
      </c>
      <c r="F683" s="18"/>
      <c r="G683" s="36" t="str">
        <f>IF(ISNUMBER(F683),C683*F683,"")</f>
        <v/>
      </c>
    </row>
    <row r="684" spans="1:7" ht="12" customHeight="1" outlineLevel="3" x14ac:dyDescent="0.2">
      <c r="A684" s="14" t="s">
        <v>1346</v>
      </c>
      <c r="B684" s="15" t="s">
        <v>1347</v>
      </c>
      <c r="C684" s="16">
        <f>243.11/(1+B2)</f>
        <v>243.11</v>
      </c>
      <c r="D684" s="17" t="s">
        <v>11</v>
      </c>
      <c r="E684" s="17" t="s">
        <v>11</v>
      </c>
      <c r="F684" s="18"/>
      <c r="G684" s="36" t="str">
        <f>IF(ISNUMBER(F684),C684*F684,"")</f>
        <v/>
      </c>
    </row>
    <row r="685" spans="1:7" ht="12" customHeight="1" outlineLevel="3" x14ac:dyDescent="0.2">
      <c r="A685" s="14" t="s">
        <v>1348</v>
      </c>
      <c r="B685" s="15" t="s">
        <v>1349</v>
      </c>
      <c r="C685" s="16">
        <f>243.11/(1+B2)</f>
        <v>243.11</v>
      </c>
      <c r="D685" s="17" t="s">
        <v>11</v>
      </c>
      <c r="E685" s="17"/>
      <c r="F685" s="18"/>
      <c r="G685" s="36" t="str">
        <f>IF(ISNUMBER(F685),C685*F685,"")</f>
        <v/>
      </c>
    </row>
    <row r="686" spans="1:7" ht="12" customHeight="1" outlineLevel="3" x14ac:dyDescent="0.2">
      <c r="A686" s="14" t="s">
        <v>1350</v>
      </c>
      <c r="B686" s="15" t="s">
        <v>1351</v>
      </c>
      <c r="C686" s="16">
        <f>243.11/(1+B2)</f>
        <v>243.11</v>
      </c>
      <c r="D686" s="17" t="s">
        <v>11</v>
      </c>
      <c r="E686" s="17"/>
      <c r="F686" s="18"/>
      <c r="G686" s="36" t="str">
        <f>IF(ISNUMBER(F686),C686*F686,"")</f>
        <v/>
      </c>
    </row>
    <row r="687" spans="1:7" ht="12" customHeight="1" outlineLevel="3" x14ac:dyDescent="0.2">
      <c r="A687" s="14" t="s">
        <v>1352</v>
      </c>
      <c r="B687" s="15" t="s">
        <v>1353</v>
      </c>
      <c r="C687" s="16">
        <f>234.59/(1+B2)</f>
        <v>234.59</v>
      </c>
      <c r="D687" s="17" t="s">
        <v>11</v>
      </c>
      <c r="E687" s="17"/>
      <c r="F687" s="18"/>
      <c r="G687" s="36" t="str">
        <f>IF(ISNUMBER(F687),C687*F687,"")</f>
        <v/>
      </c>
    </row>
    <row r="688" spans="1:7" ht="12" customHeight="1" outlineLevel="3" x14ac:dyDescent="0.2">
      <c r="A688" s="14" t="s">
        <v>1354</v>
      </c>
      <c r="B688" s="15" t="s">
        <v>1355</v>
      </c>
      <c r="C688" s="16">
        <f>218.42/(1+B2)</f>
        <v>218.42</v>
      </c>
      <c r="D688" s="17" t="s">
        <v>11</v>
      </c>
      <c r="E688" s="17"/>
      <c r="F688" s="18"/>
      <c r="G688" s="36" t="str">
        <f>IF(ISNUMBER(F688),C688*F688,"")</f>
        <v/>
      </c>
    </row>
    <row r="689" spans="1:7" s="1" customFormat="1" ht="12.95" customHeight="1" outlineLevel="2" x14ac:dyDescent="0.2">
      <c r="A689" s="20"/>
      <c r="B689" s="21" t="s">
        <v>1356</v>
      </c>
      <c r="C689" s="22"/>
      <c r="D689" s="22"/>
      <c r="E689" s="22"/>
      <c r="F689" s="22"/>
      <c r="G689" s="37"/>
    </row>
    <row r="690" spans="1:7" ht="24" customHeight="1" outlineLevel="3" x14ac:dyDescent="0.2">
      <c r="A690" s="14" t="s">
        <v>1357</v>
      </c>
      <c r="B690" s="15" t="s">
        <v>1358</v>
      </c>
      <c r="C690" s="16">
        <f>169.08/(1+B2)</f>
        <v>169.08</v>
      </c>
      <c r="D690" s="17" t="s">
        <v>11</v>
      </c>
      <c r="E690" s="17"/>
      <c r="F690" s="18"/>
      <c r="G690" s="36" t="str">
        <f>IF(ISNUMBER(F690),C690*F690,"")</f>
        <v/>
      </c>
    </row>
    <row r="691" spans="1:7" ht="24" customHeight="1" outlineLevel="3" x14ac:dyDescent="0.2">
      <c r="A691" s="14" t="s">
        <v>1359</v>
      </c>
      <c r="B691" s="15" t="s">
        <v>1360</v>
      </c>
      <c r="C691" s="16">
        <f>169.08/(1+B2)</f>
        <v>169.08</v>
      </c>
      <c r="D691" s="17" t="s">
        <v>11</v>
      </c>
      <c r="E691" s="17"/>
      <c r="F691" s="18"/>
      <c r="G691" s="36" t="str">
        <f>IF(ISNUMBER(F691),C691*F691,"")</f>
        <v/>
      </c>
    </row>
    <row r="692" spans="1:7" ht="12" customHeight="1" outlineLevel="3" x14ac:dyDescent="0.2">
      <c r="A692" s="14" t="s">
        <v>1361</v>
      </c>
      <c r="B692" s="15" t="s">
        <v>1362</v>
      </c>
      <c r="C692" s="16">
        <f>198.41/(1+B2)</f>
        <v>198.41</v>
      </c>
      <c r="D692" s="17" t="s">
        <v>11</v>
      </c>
      <c r="E692" s="17" t="s">
        <v>11</v>
      </c>
      <c r="F692" s="18"/>
      <c r="G692" s="36" t="str">
        <f>IF(ISNUMBER(F692),C692*F692,"")</f>
        <v/>
      </c>
    </row>
    <row r="693" spans="1:7" ht="12" customHeight="1" outlineLevel="3" x14ac:dyDescent="0.2">
      <c r="A693" s="14" t="s">
        <v>1363</v>
      </c>
      <c r="B693" s="15" t="s">
        <v>1364</v>
      </c>
      <c r="C693" s="16">
        <f>198.41/(1+B2)</f>
        <v>198.41</v>
      </c>
      <c r="D693" s="17" t="s">
        <v>11</v>
      </c>
      <c r="E693" s="17"/>
      <c r="F693" s="18"/>
      <c r="G693" s="36" t="str">
        <f>IF(ISNUMBER(F693),C693*F693,"")</f>
        <v/>
      </c>
    </row>
    <row r="694" spans="1:7" ht="12" customHeight="1" outlineLevel="3" x14ac:dyDescent="0.2">
      <c r="A694" s="14" t="s">
        <v>1365</v>
      </c>
      <c r="B694" s="15" t="s">
        <v>1366</v>
      </c>
      <c r="C694" s="16">
        <f>232.34/(1+B2)</f>
        <v>232.34</v>
      </c>
      <c r="D694" s="17" t="s">
        <v>11</v>
      </c>
      <c r="E694" s="17"/>
      <c r="F694" s="18"/>
      <c r="G694" s="36" t="str">
        <f>IF(ISNUMBER(F694),C694*F694,"")</f>
        <v/>
      </c>
    </row>
    <row r="695" spans="1:7" ht="12" customHeight="1" outlineLevel="3" x14ac:dyDescent="0.2">
      <c r="A695" s="14" t="s">
        <v>1367</v>
      </c>
      <c r="B695" s="15" t="s">
        <v>1368</v>
      </c>
      <c r="C695" s="16">
        <f>232.34/(1+B2)</f>
        <v>232.34</v>
      </c>
      <c r="D695" s="17" t="s">
        <v>11</v>
      </c>
      <c r="E695" s="17"/>
      <c r="F695" s="18"/>
      <c r="G695" s="36" t="str">
        <f>IF(ISNUMBER(F695),C695*F695,"")</f>
        <v/>
      </c>
    </row>
    <row r="696" spans="1:7" ht="12" customHeight="1" outlineLevel="3" x14ac:dyDescent="0.2">
      <c r="A696" s="14" t="s">
        <v>1369</v>
      </c>
      <c r="B696" s="15" t="s">
        <v>1370</v>
      </c>
      <c r="C696" s="16">
        <f>232.34/(1+B2)</f>
        <v>232.34</v>
      </c>
      <c r="D696" s="17" t="s">
        <v>11</v>
      </c>
      <c r="E696" s="17"/>
      <c r="F696" s="18"/>
      <c r="G696" s="36" t="str">
        <f>IF(ISNUMBER(F696),C696*F696,"")</f>
        <v/>
      </c>
    </row>
    <row r="697" spans="1:7" ht="12" customHeight="1" outlineLevel="3" x14ac:dyDescent="0.2">
      <c r="A697" s="14" t="s">
        <v>1371</v>
      </c>
      <c r="B697" s="15" t="s">
        <v>1372</v>
      </c>
      <c r="C697" s="16">
        <f>232.34/(1+B2)</f>
        <v>232.34</v>
      </c>
      <c r="D697" s="17" t="s">
        <v>11</v>
      </c>
      <c r="E697" s="17"/>
      <c r="F697" s="18"/>
      <c r="G697" s="36" t="str">
        <f>IF(ISNUMBER(F697),C697*F697,"")</f>
        <v/>
      </c>
    </row>
    <row r="698" spans="1:7" ht="12" customHeight="1" outlineLevel="3" x14ac:dyDescent="0.2">
      <c r="A698" s="14" t="s">
        <v>1373</v>
      </c>
      <c r="B698" s="15" t="s">
        <v>1374</v>
      </c>
      <c r="C698" s="16">
        <f>234.55/(1+B2)</f>
        <v>234.55</v>
      </c>
      <c r="D698" s="17" t="s">
        <v>11</v>
      </c>
      <c r="E698" s="17"/>
      <c r="F698" s="18"/>
      <c r="G698" s="36" t="str">
        <f>IF(ISNUMBER(F698),C698*F698,"")</f>
        <v/>
      </c>
    </row>
    <row r="699" spans="1:7" ht="12" customHeight="1" outlineLevel="3" x14ac:dyDescent="0.2">
      <c r="A699" s="14" t="s">
        <v>1375</v>
      </c>
      <c r="B699" s="15" t="s">
        <v>1376</v>
      </c>
      <c r="C699" s="16">
        <f>232.34/(1+B2)</f>
        <v>232.34</v>
      </c>
      <c r="D699" s="17" t="s">
        <v>11</v>
      </c>
      <c r="E699" s="17"/>
      <c r="F699" s="18"/>
      <c r="G699" s="36" t="str">
        <f>IF(ISNUMBER(F699),C699*F699,"")</f>
        <v/>
      </c>
    </row>
    <row r="700" spans="1:7" ht="12" customHeight="1" outlineLevel="3" x14ac:dyDescent="0.2">
      <c r="A700" s="14" t="s">
        <v>1377</v>
      </c>
      <c r="B700" s="15" t="s">
        <v>1378</v>
      </c>
      <c r="C700" s="16">
        <f>164.89/(1+B2)</f>
        <v>164.89</v>
      </c>
      <c r="D700" s="17" t="s">
        <v>11</v>
      </c>
      <c r="E700" s="17" t="s">
        <v>11</v>
      </c>
      <c r="F700" s="18"/>
      <c r="G700" s="36" t="str">
        <f>IF(ISNUMBER(F700),C700*F700,"")</f>
        <v/>
      </c>
    </row>
    <row r="701" spans="1:7" ht="12" customHeight="1" outlineLevel="3" x14ac:dyDescent="0.2">
      <c r="A701" s="14" t="s">
        <v>1379</v>
      </c>
      <c r="B701" s="15" t="s">
        <v>1380</v>
      </c>
      <c r="C701" s="16">
        <f>164.89/(1+B2)</f>
        <v>164.89</v>
      </c>
      <c r="D701" s="17" t="s">
        <v>11</v>
      </c>
      <c r="E701" s="17" t="s">
        <v>11</v>
      </c>
      <c r="F701" s="18"/>
      <c r="G701" s="36" t="str">
        <f>IF(ISNUMBER(F701),C701*F701,"")</f>
        <v/>
      </c>
    </row>
    <row r="702" spans="1:7" ht="12" customHeight="1" outlineLevel="3" x14ac:dyDescent="0.2">
      <c r="A702" s="14" t="s">
        <v>1381</v>
      </c>
      <c r="B702" s="15" t="s">
        <v>1382</v>
      </c>
      <c r="C702" s="16">
        <f>220.45/(1+B2)</f>
        <v>220.45</v>
      </c>
      <c r="D702" s="17" t="s">
        <v>11</v>
      </c>
      <c r="E702" s="17"/>
      <c r="F702" s="18"/>
      <c r="G702" s="36" t="str">
        <f>IF(ISNUMBER(F702),C702*F702,"")</f>
        <v/>
      </c>
    </row>
    <row r="703" spans="1:7" ht="12" customHeight="1" outlineLevel="3" x14ac:dyDescent="0.2">
      <c r="A703" s="14" t="s">
        <v>1383</v>
      </c>
      <c r="B703" s="15" t="s">
        <v>1384</v>
      </c>
      <c r="C703" s="16">
        <f>220.45/(1+B2)</f>
        <v>220.45</v>
      </c>
      <c r="D703" s="17" t="s">
        <v>11</v>
      </c>
      <c r="E703" s="17"/>
      <c r="F703" s="18"/>
      <c r="G703" s="36" t="str">
        <f>IF(ISNUMBER(F703),C703*F703,"")</f>
        <v/>
      </c>
    </row>
    <row r="704" spans="1:7" ht="12" customHeight="1" outlineLevel="3" x14ac:dyDescent="0.2">
      <c r="A704" s="14" t="s">
        <v>1385</v>
      </c>
      <c r="B704" s="15" t="s">
        <v>1386</v>
      </c>
      <c r="C704" s="16">
        <f>224.94/(1+B2)</f>
        <v>224.94</v>
      </c>
      <c r="D704" s="17" t="s">
        <v>11</v>
      </c>
      <c r="E704" s="17"/>
      <c r="F704" s="18"/>
      <c r="G704" s="36" t="str">
        <f>IF(ISNUMBER(F704),C704*F704,"")</f>
        <v/>
      </c>
    </row>
    <row r="705" spans="1:7" ht="12" customHeight="1" outlineLevel="3" x14ac:dyDescent="0.2">
      <c r="A705" s="14" t="s">
        <v>1387</v>
      </c>
      <c r="B705" s="15" t="s">
        <v>1388</v>
      </c>
      <c r="C705" s="16">
        <f>224.94/(1+B2)</f>
        <v>224.94</v>
      </c>
      <c r="D705" s="17" t="s">
        <v>11</v>
      </c>
      <c r="E705" s="17" t="s">
        <v>11</v>
      </c>
      <c r="F705" s="18"/>
      <c r="G705" s="36" t="str">
        <f>IF(ISNUMBER(F705),C705*F705,"")</f>
        <v/>
      </c>
    </row>
    <row r="706" spans="1:7" ht="12" customHeight="1" outlineLevel="3" x14ac:dyDescent="0.2">
      <c r="A706" s="14" t="s">
        <v>1389</v>
      </c>
      <c r="B706" s="15" t="s">
        <v>1390</v>
      </c>
      <c r="C706" s="16">
        <f>198.41/(1+B2)</f>
        <v>198.41</v>
      </c>
      <c r="D706" s="17" t="s">
        <v>11</v>
      </c>
      <c r="E706" s="17"/>
      <c r="F706" s="18"/>
      <c r="G706" s="36" t="str">
        <f>IF(ISNUMBER(F706),C706*F706,"")</f>
        <v/>
      </c>
    </row>
    <row r="707" spans="1:7" ht="12" customHeight="1" outlineLevel="3" x14ac:dyDescent="0.2">
      <c r="A707" s="14" t="s">
        <v>1391</v>
      </c>
      <c r="B707" s="15" t="s">
        <v>1392</v>
      </c>
      <c r="C707" s="16">
        <f>198.41/(1+B2)</f>
        <v>198.41</v>
      </c>
      <c r="D707" s="17" t="s">
        <v>11</v>
      </c>
      <c r="E707" s="17" t="s">
        <v>11</v>
      </c>
      <c r="F707" s="18"/>
      <c r="G707" s="36" t="str">
        <f>IF(ISNUMBER(F707),C707*F707,"")</f>
        <v/>
      </c>
    </row>
    <row r="708" spans="1:7" ht="12" customHeight="1" outlineLevel="3" x14ac:dyDescent="0.2">
      <c r="A708" s="14" t="s">
        <v>1393</v>
      </c>
      <c r="B708" s="15" t="s">
        <v>1394</v>
      </c>
      <c r="C708" s="16">
        <f>198.41/(1+B2)</f>
        <v>198.41</v>
      </c>
      <c r="D708" s="17" t="s">
        <v>11</v>
      </c>
      <c r="E708" s="17" t="s">
        <v>11</v>
      </c>
      <c r="F708" s="18"/>
      <c r="G708" s="36" t="str">
        <f>IF(ISNUMBER(F708),C708*F708,"")</f>
        <v/>
      </c>
    </row>
    <row r="709" spans="1:7" ht="12" customHeight="1" outlineLevel="3" x14ac:dyDescent="0.2">
      <c r="A709" s="14" t="s">
        <v>1395</v>
      </c>
      <c r="B709" s="15" t="s">
        <v>1396</v>
      </c>
      <c r="C709" s="16">
        <f>220.45/(1+B2)</f>
        <v>220.45</v>
      </c>
      <c r="D709" s="17" t="s">
        <v>11</v>
      </c>
      <c r="E709" s="17" t="s">
        <v>11</v>
      </c>
      <c r="F709" s="18"/>
      <c r="G709" s="36" t="str">
        <f>IF(ISNUMBER(F709),C709*F709,"")</f>
        <v/>
      </c>
    </row>
    <row r="710" spans="1:7" ht="12" customHeight="1" outlineLevel="3" x14ac:dyDescent="0.2">
      <c r="A710" s="14" t="s">
        <v>1397</v>
      </c>
      <c r="B710" s="15" t="s">
        <v>1398</v>
      </c>
      <c r="C710" s="16">
        <f>224.94/(1+B2)</f>
        <v>224.94</v>
      </c>
      <c r="D710" s="17" t="s">
        <v>11</v>
      </c>
      <c r="E710" s="17" t="s">
        <v>11</v>
      </c>
      <c r="F710" s="18"/>
      <c r="G710" s="36" t="str">
        <f>IF(ISNUMBER(F710),C710*F710,"")</f>
        <v/>
      </c>
    </row>
    <row r="711" spans="1:7" ht="12" customHeight="1" outlineLevel="3" x14ac:dyDescent="0.2">
      <c r="A711" s="14" t="s">
        <v>1399</v>
      </c>
      <c r="B711" s="15" t="s">
        <v>1400</v>
      </c>
      <c r="C711" s="16">
        <f>198.41/(1+B2)</f>
        <v>198.41</v>
      </c>
      <c r="D711" s="17" t="s">
        <v>11</v>
      </c>
      <c r="E711" s="17" t="s">
        <v>11</v>
      </c>
      <c r="F711" s="18"/>
      <c r="G711" s="36" t="str">
        <f>IF(ISNUMBER(F711),C711*F711,"")</f>
        <v/>
      </c>
    </row>
    <row r="712" spans="1:7" ht="12" customHeight="1" outlineLevel="3" x14ac:dyDescent="0.2">
      <c r="A712" s="14" t="s">
        <v>1401</v>
      </c>
      <c r="B712" s="15" t="s">
        <v>1402</v>
      </c>
      <c r="C712" s="16">
        <f>224.94/(1+B2)</f>
        <v>224.94</v>
      </c>
      <c r="D712" s="17" t="s">
        <v>11</v>
      </c>
      <c r="E712" s="17" t="s">
        <v>11</v>
      </c>
      <c r="F712" s="18"/>
      <c r="G712" s="36" t="str">
        <f>IF(ISNUMBER(F712),C712*F712,"")</f>
        <v/>
      </c>
    </row>
    <row r="713" spans="1:7" ht="12" customHeight="1" outlineLevel="3" x14ac:dyDescent="0.2">
      <c r="A713" s="14" t="s">
        <v>1403</v>
      </c>
      <c r="B713" s="15" t="s">
        <v>1404</v>
      </c>
      <c r="C713" s="16">
        <f>224.94/(1+B2)</f>
        <v>224.94</v>
      </c>
      <c r="D713" s="17" t="s">
        <v>11</v>
      </c>
      <c r="E713" s="17"/>
      <c r="F713" s="18"/>
      <c r="G713" s="36" t="str">
        <f>IF(ISNUMBER(F713),C713*F713,"")</f>
        <v/>
      </c>
    </row>
    <row r="714" spans="1:7" ht="12" customHeight="1" outlineLevel="3" x14ac:dyDescent="0.2">
      <c r="A714" s="14" t="s">
        <v>1405</v>
      </c>
      <c r="B714" s="15" t="s">
        <v>1406</v>
      </c>
      <c r="C714" s="16">
        <f>224.94/(1+B2)</f>
        <v>224.94</v>
      </c>
      <c r="D714" s="17" t="s">
        <v>11</v>
      </c>
      <c r="E714" s="17"/>
      <c r="F714" s="18"/>
      <c r="G714" s="36" t="str">
        <f>IF(ISNUMBER(F714),C714*F714,"")</f>
        <v/>
      </c>
    </row>
    <row r="715" spans="1:7" ht="12" customHeight="1" outlineLevel="3" x14ac:dyDescent="0.2">
      <c r="A715" s="14" t="s">
        <v>1407</v>
      </c>
      <c r="B715" s="15" t="s">
        <v>1408</v>
      </c>
      <c r="C715" s="16">
        <f>224.94/(1+B2)</f>
        <v>224.94</v>
      </c>
      <c r="D715" s="17" t="s">
        <v>11</v>
      </c>
      <c r="E715" s="17"/>
      <c r="F715" s="18"/>
      <c r="G715" s="36" t="str">
        <f>IF(ISNUMBER(F715),C715*F715,"")</f>
        <v/>
      </c>
    </row>
    <row r="716" spans="1:7" ht="12" customHeight="1" outlineLevel="3" x14ac:dyDescent="0.2">
      <c r="A716" s="14" t="s">
        <v>1409</v>
      </c>
      <c r="B716" s="15" t="s">
        <v>1410</v>
      </c>
      <c r="C716" s="16">
        <f>204.2/(1+B2)</f>
        <v>204.2</v>
      </c>
      <c r="D716" s="17" t="s">
        <v>11</v>
      </c>
      <c r="E716" s="17"/>
      <c r="F716" s="18"/>
      <c r="G716" s="36" t="str">
        <f>IF(ISNUMBER(F716),C716*F716,"")</f>
        <v/>
      </c>
    </row>
    <row r="717" spans="1:7" ht="12" customHeight="1" outlineLevel="3" x14ac:dyDescent="0.2">
      <c r="A717" s="14" t="s">
        <v>1411</v>
      </c>
      <c r="B717" s="15" t="s">
        <v>1412</v>
      </c>
      <c r="C717" s="16">
        <f>224.94/(1+B2)</f>
        <v>224.94</v>
      </c>
      <c r="D717" s="17" t="s">
        <v>11</v>
      </c>
      <c r="E717" s="17"/>
      <c r="F717" s="18"/>
      <c r="G717" s="36" t="str">
        <f>IF(ISNUMBER(F717),C717*F717,"")</f>
        <v/>
      </c>
    </row>
    <row r="718" spans="1:7" ht="12" customHeight="1" outlineLevel="3" x14ac:dyDescent="0.2">
      <c r="A718" s="14" t="s">
        <v>1413</v>
      </c>
      <c r="B718" s="15" t="s">
        <v>1414</v>
      </c>
      <c r="C718" s="16">
        <f>204.2/(1+B2)</f>
        <v>204.2</v>
      </c>
      <c r="D718" s="17" t="s">
        <v>11</v>
      </c>
      <c r="E718" s="17" t="s">
        <v>11</v>
      </c>
      <c r="F718" s="18"/>
      <c r="G718" s="36" t="str">
        <f>IF(ISNUMBER(F718),C718*F718,"")</f>
        <v/>
      </c>
    </row>
    <row r="719" spans="1:7" ht="12" customHeight="1" outlineLevel="3" x14ac:dyDescent="0.2">
      <c r="A719" s="14" t="s">
        <v>1415</v>
      </c>
      <c r="B719" s="15" t="s">
        <v>1416</v>
      </c>
      <c r="C719" s="16">
        <f>224.94/(1+B2)</f>
        <v>224.94</v>
      </c>
      <c r="D719" s="17" t="s">
        <v>11</v>
      </c>
      <c r="E719" s="17" t="s">
        <v>11</v>
      </c>
      <c r="F719" s="18"/>
      <c r="G719" s="36" t="str">
        <f>IF(ISNUMBER(F719),C719*F719,"")</f>
        <v/>
      </c>
    </row>
    <row r="720" spans="1:7" ht="12" customHeight="1" outlineLevel="3" x14ac:dyDescent="0.2">
      <c r="A720" s="14" t="s">
        <v>1417</v>
      </c>
      <c r="B720" s="15" t="s">
        <v>1418</v>
      </c>
      <c r="C720" s="16">
        <f>224.94/(1+B2)</f>
        <v>224.94</v>
      </c>
      <c r="D720" s="17" t="s">
        <v>11</v>
      </c>
      <c r="E720" s="17"/>
      <c r="F720" s="18"/>
      <c r="G720" s="36" t="str">
        <f>IF(ISNUMBER(F720),C720*F720,"")</f>
        <v/>
      </c>
    </row>
    <row r="721" spans="1:7" ht="24" customHeight="1" outlineLevel="3" x14ac:dyDescent="0.2">
      <c r="A721" s="14" t="s">
        <v>1419</v>
      </c>
      <c r="B721" s="15" t="s">
        <v>1420</v>
      </c>
      <c r="C721" s="16">
        <f>198.41/(1+B2)</f>
        <v>198.41</v>
      </c>
      <c r="D721" s="17" t="s">
        <v>11</v>
      </c>
      <c r="E721" s="17"/>
      <c r="F721" s="18"/>
      <c r="G721" s="36" t="str">
        <f>IF(ISNUMBER(F721),C721*F721,"")</f>
        <v/>
      </c>
    </row>
    <row r="722" spans="1:7" ht="12" customHeight="1" outlineLevel="3" x14ac:dyDescent="0.2">
      <c r="A722" s="14" t="s">
        <v>1421</v>
      </c>
      <c r="B722" s="15" t="s">
        <v>1422</v>
      </c>
      <c r="C722" s="16">
        <f>201.04/(1+B2)</f>
        <v>201.04</v>
      </c>
      <c r="D722" s="17" t="s">
        <v>11</v>
      </c>
      <c r="E722" s="17"/>
      <c r="F722" s="18"/>
      <c r="G722" s="36" t="str">
        <f>IF(ISNUMBER(F722),C722*F722,"")</f>
        <v/>
      </c>
    </row>
    <row r="723" spans="1:7" ht="12" customHeight="1" outlineLevel="3" x14ac:dyDescent="0.2">
      <c r="A723" s="14" t="s">
        <v>1423</v>
      </c>
      <c r="B723" s="15" t="s">
        <v>1424</v>
      </c>
      <c r="C723" s="16">
        <f>224.94/(1+B2)</f>
        <v>224.94</v>
      </c>
      <c r="D723" s="17" t="s">
        <v>11</v>
      </c>
      <c r="E723" s="17"/>
      <c r="F723" s="18"/>
      <c r="G723" s="36" t="str">
        <f>IF(ISNUMBER(F723),C723*F723,"")</f>
        <v/>
      </c>
    </row>
    <row r="724" spans="1:7" ht="12" customHeight="1" outlineLevel="3" x14ac:dyDescent="0.2">
      <c r="A724" s="14" t="s">
        <v>1425</v>
      </c>
      <c r="B724" s="15" t="s">
        <v>1426</v>
      </c>
      <c r="C724" s="16">
        <f>204.2/(1+B2)</f>
        <v>204.2</v>
      </c>
      <c r="D724" s="17" t="s">
        <v>11</v>
      </c>
      <c r="E724" s="17"/>
      <c r="F724" s="18"/>
      <c r="G724" s="36" t="str">
        <f>IF(ISNUMBER(F724),C724*F724,"")</f>
        <v/>
      </c>
    </row>
    <row r="725" spans="1:7" ht="12" customHeight="1" outlineLevel="3" x14ac:dyDescent="0.2">
      <c r="A725" s="14" t="s">
        <v>1427</v>
      </c>
      <c r="B725" s="15" t="s">
        <v>1428</v>
      </c>
      <c r="C725" s="16">
        <f>204.2/(1+B2)</f>
        <v>204.2</v>
      </c>
      <c r="D725" s="17" t="s">
        <v>11</v>
      </c>
      <c r="E725" s="17"/>
      <c r="F725" s="18"/>
      <c r="G725" s="36" t="str">
        <f>IF(ISNUMBER(F725),C725*F725,"")</f>
        <v/>
      </c>
    </row>
    <row r="726" spans="1:7" ht="12" customHeight="1" outlineLevel="3" x14ac:dyDescent="0.2">
      <c r="A726" s="14" t="s">
        <v>1429</v>
      </c>
      <c r="B726" s="15" t="s">
        <v>1430</v>
      </c>
      <c r="C726" s="16">
        <f>185.26/(1+B2)</f>
        <v>185.26</v>
      </c>
      <c r="D726" s="17" t="s">
        <v>11</v>
      </c>
      <c r="E726" s="17" t="s">
        <v>11</v>
      </c>
      <c r="F726" s="18"/>
      <c r="G726" s="36" t="str">
        <f>IF(ISNUMBER(F726),C726*F726,"")</f>
        <v/>
      </c>
    </row>
    <row r="727" spans="1:7" ht="24" customHeight="1" outlineLevel="3" x14ac:dyDescent="0.2">
      <c r="A727" s="14" t="s">
        <v>1431</v>
      </c>
      <c r="B727" s="15" t="s">
        <v>1432</v>
      </c>
      <c r="C727" s="16">
        <f>185.26/(1+B2)</f>
        <v>185.26</v>
      </c>
      <c r="D727" s="17" t="s">
        <v>11</v>
      </c>
      <c r="E727" s="17"/>
      <c r="F727" s="18"/>
      <c r="G727" s="36" t="str">
        <f>IF(ISNUMBER(F727),C727*F727,"")</f>
        <v/>
      </c>
    </row>
    <row r="728" spans="1:7" ht="12" customHeight="1" outlineLevel="3" x14ac:dyDescent="0.2">
      <c r="A728" s="14" t="s">
        <v>1433</v>
      </c>
      <c r="B728" s="15" t="s">
        <v>1434</v>
      </c>
      <c r="C728" s="16">
        <f>185.26/(1+B2)</f>
        <v>185.26</v>
      </c>
      <c r="D728" s="17" t="s">
        <v>11</v>
      </c>
      <c r="E728" s="17" t="s">
        <v>11</v>
      </c>
      <c r="F728" s="18"/>
      <c r="G728" s="36" t="str">
        <f>IF(ISNUMBER(F728),C728*F728,"")</f>
        <v/>
      </c>
    </row>
    <row r="729" spans="1:7" ht="12" customHeight="1" outlineLevel="3" x14ac:dyDescent="0.2">
      <c r="A729" s="14" t="s">
        <v>1435</v>
      </c>
      <c r="B729" s="15" t="s">
        <v>1436</v>
      </c>
      <c r="C729" s="16">
        <f>185.26/(1+B2)</f>
        <v>185.26</v>
      </c>
      <c r="D729" s="17" t="s">
        <v>11</v>
      </c>
      <c r="E729" s="17" t="s">
        <v>11</v>
      </c>
      <c r="F729" s="18"/>
      <c r="G729" s="36" t="str">
        <f>IF(ISNUMBER(F729),C729*F729,"")</f>
        <v/>
      </c>
    </row>
    <row r="730" spans="1:7" ht="12" customHeight="1" outlineLevel="3" x14ac:dyDescent="0.2">
      <c r="A730" s="14" t="s">
        <v>1437</v>
      </c>
      <c r="B730" s="15" t="s">
        <v>1438</v>
      </c>
      <c r="C730" s="16">
        <f>214.43/(1+B2)</f>
        <v>214.43</v>
      </c>
      <c r="D730" s="17" t="s">
        <v>11</v>
      </c>
      <c r="E730" s="17" t="s">
        <v>11</v>
      </c>
      <c r="F730" s="18"/>
      <c r="G730" s="36" t="str">
        <f>IF(ISNUMBER(F730),C730*F730,"")</f>
        <v/>
      </c>
    </row>
    <row r="731" spans="1:7" ht="12" customHeight="1" outlineLevel="3" x14ac:dyDescent="0.2">
      <c r="A731" s="14" t="s">
        <v>1439</v>
      </c>
      <c r="B731" s="15" t="s">
        <v>1440</v>
      </c>
      <c r="C731" s="16">
        <f>214.43/(1+B2)</f>
        <v>214.43</v>
      </c>
      <c r="D731" s="17" t="s">
        <v>11</v>
      </c>
      <c r="E731" s="17"/>
      <c r="F731" s="18"/>
      <c r="G731" s="36" t="str">
        <f>IF(ISNUMBER(F731),C731*F731,"")</f>
        <v/>
      </c>
    </row>
    <row r="732" spans="1:7" ht="12" customHeight="1" outlineLevel="3" x14ac:dyDescent="0.2">
      <c r="A732" s="14" t="s">
        <v>1441</v>
      </c>
      <c r="B732" s="15" t="s">
        <v>1442</v>
      </c>
      <c r="C732" s="16">
        <f>182.75/(1+B2)</f>
        <v>182.75</v>
      </c>
      <c r="D732" s="17" t="s">
        <v>11</v>
      </c>
      <c r="E732" s="17" t="s">
        <v>11</v>
      </c>
      <c r="F732" s="18"/>
      <c r="G732" s="36" t="str">
        <f>IF(ISNUMBER(F732),C732*F732,"")</f>
        <v/>
      </c>
    </row>
    <row r="733" spans="1:7" ht="12" customHeight="1" outlineLevel="3" x14ac:dyDescent="0.2">
      <c r="A733" s="14" t="s">
        <v>1443</v>
      </c>
      <c r="B733" s="15" t="s">
        <v>1444</v>
      </c>
      <c r="C733" s="16">
        <f>182.75/(1+B2)</f>
        <v>182.75</v>
      </c>
      <c r="D733" s="17" t="s">
        <v>11</v>
      </c>
      <c r="E733" s="17" t="s">
        <v>11</v>
      </c>
      <c r="F733" s="18"/>
      <c r="G733" s="36" t="str">
        <f>IF(ISNUMBER(F733),C733*F733,"")</f>
        <v/>
      </c>
    </row>
    <row r="734" spans="1:7" s="1" customFormat="1" ht="12.95" customHeight="1" outlineLevel="2" x14ac:dyDescent="0.2">
      <c r="A734" s="20"/>
      <c r="B734" s="21" t="s">
        <v>1445</v>
      </c>
      <c r="C734" s="22"/>
      <c r="D734" s="22"/>
      <c r="E734" s="22"/>
      <c r="F734" s="22"/>
      <c r="G734" s="37"/>
    </row>
    <row r="735" spans="1:7" ht="24" customHeight="1" outlineLevel="3" x14ac:dyDescent="0.2">
      <c r="A735" s="14" t="s">
        <v>1446</v>
      </c>
      <c r="B735" s="15" t="s">
        <v>1447</v>
      </c>
      <c r="C735" s="16">
        <f>91.89/(1+B2)</f>
        <v>91.89</v>
      </c>
      <c r="D735" s="17" t="s">
        <v>11</v>
      </c>
      <c r="E735" s="17"/>
      <c r="F735" s="18"/>
      <c r="G735" s="36" t="str">
        <f>IF(ISNUMBER(F735),C735*F735,"")</f>
        <v/>
      </c>
    </row>
    <row r="736" spans="1:7" ht="12" customHeight="1" outlineLevel="3" x14ac:dyDescent="0.2">
      <c r="A736" s="14" t="s">
        <v>1448</v>
      </c>
      <c r="B736" s="15" t="s">
        <v>1449</v>
      </c>
      <c r="C736" s="16">
        <f>230.36/(1+B2)</f>
        <v>230.36</v>
      </c>
      <c r="D736" s="17" t="s">
        <v>11</v>
      </c>
      <c r="E736" s="17" t="s">
        <v>11</v>
      </c>
      <c r="F736" s="18"/>
      <c r="G736" s="36" t="str">
        <f>IF(ISNUMBER(F736),C736*F736,"")</f>
        <v/>
      </c>
    </row>
    <row r="737" spans="1:7" ht="12" customHeight="1" outlineLevel="3" x14ac:dyDescent="0.2">
      <c r="A737" s="14" t="s">
        <v>1450</v>
      </c>
      <c r="B737" s="15" t="s">
        <v>1451</v>
      </c>
      <c r="C737" s="16">
        <f>230.36/(1+B2)</f>
        <v>230.36</v>
      </c>
      <c r="D737" s="17" t="s">
        <v>11</v>
      </c>
      <c r="E737" s="17" t="s">
        <v>11</v>
      </c>
      <c r="F737" s="18"/>
      <c r="G737" s="36" t="str">
        <f>IF(ISNUMBER(F737),C737*F737,"")</f>
        <v/>
      </c>
    </row>
    <row r="738" spans="1:7" ht="24" customHeight="1" outlineLevel="3" x14ac:dyDescent="0.2">
      <c r="A738" s="14" t="s">
        <v>1452</v>
      </c>
      <c r="B738" s="15" t="s">
        <v>1453</v>
      </c>
      <c r="C738" s="16">
        <f>98.66/(1+B2)</f>
        <v>98.66</v>
      </c>
      <c r="D738" s="17" t="s">
        <v>11</v>
      </c>
      <c r="E738" s="17"/>
      <c r="F738" s="18"/>
      <c r="G738" s="36" t="str">
        <f>IF(ISNUMBER(F738),C738*F738,"")</f>
        <v/>
      </c>
    </row>
    <row r="739" spans="1:7" ht="24" customHeight="1" outlineLevel="3" x14ac:dyDescent="0.2">
      <c r="A739" s="14" t="s">
        <v>1454</v>
      </c>
      <c r="B739" s="15" t="s">
        <v>1455</v>
      </c>
      <c r="C739" s="16">
        <f>110.91/(1+B2)</f>
        <v>110.91</v>
      </c>
      <c r="D739" s="17" t="s">
        <v>11</v>
      </c>
      <c r="E739" s="17"/>
      <c r="F739" s="18"/>
      <c r="G739" s="36" t="str">
        <f>IF(ISNUMBER(F739),C739*F739,"")</f>
        <v/>
      </c>
    </row>
    <row r="740" spans="1:7" ht="24" customHeight="1" outlineLevel="3" x14ac:dyDescent="0.2">
      <c r="A740" s="14" t="s">
        <v>1456</v>
      </c>
      <c r="B740" s="15" t="s">
        <v>1457</v>
      </c>
      <c r="C740" s="16">
        <f>98.66/(1+B2)</f>
        <v>98.66</v>
      </c>
      <c r="D740" s="17" t="s">
        <v>11</v>
      </c>
      <c r="E740" s="17"/>
      <c r="F740" s="18"/>
      <c r="G740" s="36" t="str">
        <f>IF(ISNUMBER(F740),C740*F740,"")</f>
        <v/>
      </c>
    </row>
    <row r="741" spans="1:7" ht="12" customHeight="1" outlineLevel="3" x14ac:dyDescent="0.2">
      <c r="A741" s="14" t="s">
        <v>1458</v>
      </c>
      <c r="B741" s="15" t="s">
        <v>1459</v>
      </c>
      <c r="C741" s="16">
        <f>112.16/(1+B2)</f>
        <v>112.16</v>
      </c>
      <c r="D741" s="17" t="s">
        <v>11</v>
      </c>
      <c r="E741" s="17"/>
      <c r="F741" s="18"/>
      <c r="G741" s="36" t="str">
        <f>IF(ISNUMBER(F741),C741*F741,"")</f>
        <v/>
      </c>
    </row>
    <row r="742" spans="1:7" ht="12" customHeight="1" outlineLevel="3" x14ac:dyDescent="0.2">
      <c r="A742" s="14" t="s">
        <v>1460</v>
      </c>
      <c r="B742" s="15" t="s">
        <v>1461</v>
      </c>
      <c r="C742" s="16">
        <f>122.93/(1+B2)</f>
        <v>122.93</v>
      </c>
      <c r="D742" s="17" t="s">
        <v>11</v>
      </c>
      <c r="E742" s="17" t="s">
        <v>11</v>
      </c>
      <c r="F742" s="18"/>
      <c r="G742" s="36" t="str">
        <f>IF(ISNUMBER(F742),C742*F742,"")</f>
        <v/>
      </c>
    </row>
    <row r="743" spans="1:7" ht="12" customHeight="1" outlineLevel="3" x14ac:dyDescent="0.2">
      <c r="A743" s="14" t="s">
        <v>1462</v>
      </c>
      <c r="B743" s="15" t="s">
        <v>1463</v>
      </c>
      <c r="C743" s="16">
        <f>306.09/(1+B2)</f>
        <v>306.08999999999997</v>
      </c>
      <c r="D743" s="17" t="s">
        <v>14</v>
      </c>
      <c r="E743" s="17" t="s">
        <v>14</v>
      </c>
      <c r="F743" s="18"/>
      <c r="G743" s="36" t="str">
        <f>IF(ISNUMBER(F743),C743*F743,"")</f>
        <v/>
      </c>
    </row>
    <row r="744" spans="1:7" ht="12" customHeight="1" outlineLevel="3" x14ac:dyDescent="0.2">
      <c r="A744" s="14" t="s">
        <v>1464</v>
      </c>
      <c r="B744" s="15" t="s">
        <v>1465</v>
      </c>
      <c r="C744" s="16">
        <f>306.09/(1+B2)</f>
        <v>306.08999999999997</v>
      </c>
      <c r="D744" s="17" t="s">
        <v>11</v>
      </c>
      <c r="E744" s="17"/>
      <c r="F744" s="18"/>
      <c r="G744" s="36" t="str">
        <f>IF(ISNUMBER(F744),C744*F744,"")</f>
        <v/>
      </c>
    </row>
    <row r="745" spans="1:7" ht="12" customHeight="1" outlineLevel="3" x14ac:dyDescent="0.2">
      <c r="A745" s="14" t="s">
        <v>1466</v>
      </c>
      <c r="B745" s="15" t="s">
        <v>1467</v>
      </c>
      <c r="C745" s="16">
        <f>285.34/(1+B2)</f>
        <v>285.33999999999997</v>
      </c>
      <c r="D745" s="17" t="s">
        <v>11</v>
      </c>
      <c r="E745" s="17"/>
      <c r="F745" s="18"/>
      <c r="G745" s="36" t="str">
        <f>IF(ISNUMBER(F745),C745*F745,"")</f>
        <v/>
      </c>
    </row>
    <row r="746" spans="1:7" ht="12" customHeight="1" outlineLevel="3" x14ac:dyDescent="0.2">
      <c r="A746" s="14" t="s">
        <v>1468</v>
      </c>
      <c r="B746" s="15" t="s">
        <v>1469</v>
      </c>
      <c r="C746" s="16">
        <f>306.09/(1+B2)</f>
        <v>306.08999999999997</v>
      </c>
      <c r="D746" s="17" t="s">
        <v>11</v>
      </c>
      <c r="E746" s="17" t="s">
        <v>11</v>
      </c>
      <c r="F746" s="18"/>
      <c r="G746" s="36" t="str">
        <f>IF(ISNUMBER(F746),C746*F746,"")</f>
        <v/>
      </c>
    </row>
    <row r="747" spans="1:7" ht="12" customHeight="1" outlineLevel="3" x14ac:dyDescent="0.2">
      <c r="A747" s="14" t="s">
        <v>1470</v>
      </c>
      <c r="B747" s="15" t="s">
        <v>1471</v>
      </c>
      <c r="C747" s="16">
        <f>285.34/(1+B2)</f>
        <v>285.33999999999997</v>
      </c>
      <c r="D747" s="17" t="s">
        <v>11</v>
      </c>
      <c r="E747" s="17"/>
      <c r="F747" s="18"/>
      <c r="G747" s="36" t="str">
        <f>IF(ISNUMBER(F747),C747*F747,"")</f>
        <v/>
      </c>
    </row>
    <row r="748" spans="1:7" ht="12" customHeight="1" outlineLevel="3" x14ac:dyDescent="0.2">
      <c r="A748" s="14" t="s">
        <v>1472</v>
      </c>
      <c r="B748" s="15" t="s">
        <v>1473</v>
      </c>
      <c r="C748" s="16">
        <f>285.34/(1+B2)</f>
        <v>285.33999999999997</v>
      </c>
      <c r="D748" s="17" t="s">
        <v>11</v>
      </c>
      <c r="E748" s="17"/>
      <c r="F748" s="18"/>
      <c r="G748" s="36" t="str">
        <f>IF(ISNUMBER(F748),C748*F748,"")</f>
        <v/>
      </c>
    </row>
    <row r="749" spans="1:7" ht="12" customHeight="1" outlineLevel="3" x14ac:dyDescent="0.2">
      <c r="A749" s="14" t="s">
        <v>1474</v>
      </c>
      <c r="B749" s="15" t="s">
        <v>1475</v>
      </c>
      <c r="C749" s="16">
        <f>306.09/(1+B2)</f>
        <v>306.08999999999997</v>
      </c>
      <c r="D749" s="17" t="s">
        <v>11</v>
      </c>
      <c r="E749" s="17" t="s">
        <v>11</v>
      </c>
      <c r="F749" s="18"/>
      <c r="G749" s="36" t="str">
        <f>IF(ISNUMBER(F749),C749*F749,"")</f>
        <v/>
      </c>
    </row>
    <row r="750" spans="1:7" ht="12" customHeight="1" outlineLevel="3" x14ac:dyDescent="0.2">
      <c r="A750" s="14" t="s">
        <v>1476</v>
      </c>
      <c r="B750" s="15" t="s">
        <v>1477</v>
      </c>
      <c r="C750" s="16">
        <f>342.81/(1+B2)</f>
        <v>342.81</v>
      </c>
      <c r="D750" s="17" t="s">
        <v>11</v>
      </c>
      <c r="E750" s="17"/>
      <c r="F750" s="18"/>
      <c r="G750" s="36" t="str">
        <f>IF(ISNUMBER(F750),C750*F750,"")</f>
        <v/>
      </c>
    </row>
    <row r="751" spans="1:7" ht="12" customHeight="1" outlineLevel="3" x14ac:dyDescent="0.2">
      <c r="A751" s="14" t="s">
        <v>1478</v>
      </c>
      <c r="B751" s="15" t="s">
        <v>1479</v>
      </c>
      <c r="C751" s="16">
        <f>306.09/(1+B2)</f>
        <v>306.08999999999997</v>
      </c>
      <c r="D751" s="17" t="s">
        <v>11</v>
      </c>
      <c r="E751" s="17" t="s">
        <v>11</v>
      </c>
      <c r="F751" s="18"/>
      <c r="G751" s="36" t="str">
        <f>IF(ISNUMBER(F751),C751*F751,"")</f>
        <v/>
      </c>
    </row>
    <row r="752" spans="1:7" ht="12" customHeight="1" outlineLevel="3" x14ac:dyDescent="0.2">
      <c r="A752" s="14" t="s">
        <v>1480</v>
      </c>
      <c r="B752" s="15" t="s">
        <v>1481</v>
      </c>
      <c r="C752" s="16">
        <f>306.09/(1+B2)</f>
        <v>306.08999999999997</v>
      </c>
      <c r="D752" s="17" t="s">
        <v>11</v>
      </c>
      <c r="E752" s="17"/>
      <c r="F752" s="18"/>
      <c r="G752" s="36" t="str">
        <f>IF(ISNUMBER(F752),C752*F752,"")</f>
        <v/>
      </c>
    </row>
    <row r="753" spans="1:7" ht="12" customHeight="1" outlineLevel="3" x14ac:dyDescent="0.2">
      <c r="A753" s="14" t="s">
        <v>1482</v>
      </c>
      <c r="B753" s="15" t="s">
        <v>1483</v>
      </c>
      <c r="C753" s="16">
        <f>285.34/(1+B2)</f>
        <v>285.33999999999997</v>
      </c>
      <c r="D753" s="17" t="s">
        <v>11</v>
      </c>
      <c r="E753" s="17"/>
      <c r="F753" s="18"/>
      <c r="G753" s="36" t="str">
        <f>IF(ISNUMBER(F753),C753*F753,"")</f>
        <v/>
      </c>
    </row>
    <row r="754" spans="1:7" ht="12" customHeight="1" outlineLevel="3" x14ac:dyDescent="0.2">
      <c r="A754" s="14" t="s">
        <v>1484</v>
      </c>
      <c r="B754" s="15" t="s">
        <v>1485</v>
      </c>
      <c r="C754" s="16">
        <f>285.34/(1+B2)</f>
        <v>285.33999999999997</v>
      </c>
      <c r="D754" s="17" t="s">
        <v>11</v>
      </c>
      <c r="E754" s="17"/>
      <c r="F754" s="18"/>
      <c r="G754" s="36" t="str">
        <f>IF(ISNUMBER(F754),C754*F754,"")</f>
        <v/>
      </c>
    </row>
    <row r="755" spans="1:7" ht="12" customHeight="1" outlineLevel="3" x14ac:dyDescent="0.2">
      <c r="A755" s="14" t="s">
        <v>1486</v>
      </c>
      <c r="B755" s="15" t="s">
        <v>1487</v>
      </c>
      <c r="C755" s="16">
        <f>306.09/(1+B2)</f>
        <v>306.08999999999997</v>
      </c>
      <c r="D755" s="17" t="s">
        <v>11</v>
      </c>
      <c r="E755" s="17" t="s">
        <v>53</v>
      </c>
      <c r="F755" s="18"/>
      <c r="G755" s="36" t="str">
        <f>IF(ISNUMBER(F755),C755*F755,"")</f>
        <v/>
      </c>
    </row>
    <row r="756" spans="1:7" ht="12" customHeight="1" outlineLevel="3" x14ac:dyDescent="0.2">
      <c r="A756" s="14" t="s">
        <v>1488</v>
      </c>
      <c r="B756" s="15" t="s">
        <v>1489</v>
      </c>
      <c r="C756" s="16">
        <f>81.13/(1+B2)</f>
        <v>81.13</v>
      </c>
      <c r="D756" s="17" t="s">
        <v>11</v>
      </c>
      <c r="E756" s="17"/>
      <c r="F756" s="18"/>
      <c r="G756" s="36" t="str">
        <f>IF(ISNUMBER(F756),C756*F756,"")</f>
        <v/>
      </c>
    </row>
    <row r="757" spans="1:7" ht="12" customHeight="1" outlineLevel="3" x14ac:dyDescent="0.2">
      <c r="A757" s="14" t="s">
        <v>1490</v>
      </c>
      <c r="B757" s="15" t="s">
        <v>1491</v>
      </c>
      <c r="C757" s="16">
        <f>81.13/(1+B2)</f>
        <v>81.13</v>
      </c>
      <c r="D757" s="17" t="s">
        <v>11</v>
      </c>
      <c r="E757" s="17" t="s">
        <v>14</v>
      </c>
      <c r="F757" s="18"/>
      <c r="G757" s="36" t="str">
        <f>IF(ISNUMBER(F757),C757*F757,"")</f>
        <v/>
      </c>
    </row>
    <row r="758" spans="1:7" ht="12" customHeight="1" outlineLevel="3" x14ac:dyDescent="0.2">
      <c r="A758" s="14" t="s">
        <v>1492</v>
      </c>
      <c r="B758" s="15" t="s">
        <v>1493</v>
      </c>
      <c r="C758" s="16">
        <f>64.06/(1+B2)</f>
        <v>64.06</v>
      </c>
      <c r="D758" s="17" t="s">
        <v>11</v>
      </c>
      <c r="E758" s="17"/>
      <c r="F758" s="18"/>
      <c r="G758" s="36" t="str">
        <f>IF(ISNUMBER(F758),C758*F758,"")</f>
        <v/>
      </c>
    </row>
    <row r="759" spans="1:7" ht="12" customHeight="1" outlineLevel="3" x14ac:dyDescent="0.2">
      <c r="A759" s="14" t="s">
        <v>1494</v>
      </c>
      <c r="B759" s="15" t="s">
        <v>1495</v>
      </c>
      <c r="C759" s="16">
        <f>64.06/(1+B2)</f>
        <v>64.06</v>
      </c>
      <c r="D759" s="17" t="s">
        <v>11</v>
      </c>
      <c r="E759" s="17"/>
      <c r="F759" s="18"/>
      <c r="G759" s="36" t="str">
        <f>IF(ISNUMBER(F759),C759*F759,"")</f>
        <v/>
      </c>
    </row>
    <row r="760" spans="1:7" ht="12" customHeight="1" outlineLevel="3" x14ac:dyDescent="0.2">
      <c r="A760" s="14" t="s">
        <v>1496</v>
      </c>
      <c r="B760" s="15" t="s">
        <v>1497</v>
      </c>
      <c r="C760" s="16">
        <f>130.29/(1+B2)</f>
        <v>130.29</v>
      </c>
      <c r="D760" s="17" t="s">
        <v>11</v>
      </c>
      <c r="E760" s="17" t="s">
        <v>11</v>
      </c>
      <c r="F760" s="18"/>
      <c r="G760" s="36" t="str">
        <f>IF(ISNUMBER(F760),C760*F760,"")</f>
        <v/>
      </c>
    </row>
    <row r="761" spans="1:7" ht="12" customHeight="1" outlineLevel="3" x14ac:dyDescent="0.2">
      <c r="A761" s="14" t="s">
        <v>1498</v>
      </c>
      <c r="B761" s="15" t="s">
        <v>1499</v>
      </c>
      <c r="C761" s="16">
        <f>236.12/(1+B2)</f>
        <v>236.12</v>
      </c>
      <c r="D761" s="17" t="s">
        <v>11</v>
      </c>
      <c r="E761" s="17"/>
      <c r="F761" s="18"/>
      <c r="G761" s="36" t="str">
        <f>IF(ISNUMBER(F761),C761*F761,"")</f>
        <v/>
      </c>
    </row>
    <row r="762" spans="1:7" ht="12" customHeight="1" outlineLevel="3" x14ac:dyDescent="0.2">
      <c r="A762" s="14" t="s">
        <v>1500</v>
      </c>
      <c r="B762" s="15" t="s">
        <v>1501</v>
      </c>
      <c r="C762" s="16">
        <f>214.65/(1+B2)</f>
        <v>214.65</v>
      </c>
      <c r="D762" s="17" t="s">
        <v>11</v>
      </c>
      <c r="E762" s="17"/>
      <c r="F762" s="18"/>
      <c r="G762" s="36" t="str">
        <f>IF(ISNUMBER(F762),C762*F762,"")</f>
        <v/>
      </c>
    </row>
    <row r="763" spans="1:7" ht="12" customHeight="1" outlineLevel="3" x14ac:dyDescent="0.2">
      <c r="A763" s="14" t="s">
        <v>1502</v>
      </c>
      <c r="B763" s="15" t="s">
        <v>1503</v>
      </c>
      <c r="C763" s="16">
        <f>214.65/(1+B2)</f>
        <v>214.65</v>
      </c>
      <c r="D763" s="17" t="s">
        <v>11</v>
      </c>
      <c r="E763" s="17"/>
      <c r="F763" s="18"/>
      <c r="G763" s="36" t="str">
        <f>IF(ISNUMBER(F763),C763*F763,"")</f>
        <v/>
      </c>
    </row>
    <row r="764" spans="1:7" ht="12" customHeight="1" outlineLevel="3" x14ac:dyDescent="0.2">
      <c r="A764" s="14" t="s">
        <v>1504</v>
      </c>
      <c r="B764" s="15" t="s">
        <v>1505</v>
      </c>
      <c r="C764" s="16">
        <f>231.89/(1+B2)</f>
        <v>231.89</v>
      </c>
      <c r="D764" s="17" t="s">
        <v>11</v>
      </c>
      <c r="E764" s="17" t="s">
        <v>11</v>
      </c>
      <c r="F764" s="18"/>
      <c r="G764" s="36" t="str">
        <f>IF(ISNUMBER(F764),C764*F764,"")</f>
        <v/>
      </c>
    </row>
    <row r="765" spans="1:7" ht="12" customHeight="1" outlineLevel="3" x14ac:dyDescent="0.2">
      <c r="A765" s="14" t="s">
        <v>1506</v>
      </c>
      <c r="B765" s="15" t="s">
        <v>1507</v>
      </c>
      <c r="C765" s="16">
        <f>231.89/(1+B2)</f>
        <v>231.89</v>
      </c>
      <c r="D765" s="17" t="s">
        <v>11</v>
      </c>
      <c r="E765" s="17"/>
      <c r="F765" s="18"/>
      <c r="G765" s="36" t="str">
        <f>IF(ISNUMBER(F765),C765*F765,"")</f>
        <v/>
      </c>
    </row>
    <row r="766" spans="1:7" ht="12" customHeight="1" outlineLevel="3" x14ac:dyDescent="0.2">
      <c r="A766" s="14" t="s">
        <v>1508</v>
      </c>
      <c r="B766" s="15" t="s">
        <v>1509</v>
      </c>
      <c r="C766" s="16">
        <f>106.81/(1+B2)</f>
        <v>106.81</v>
      </c>
      <c r="D766" s="17" t="s">
        <v>11</v>
      </c>
      <c r="E766" s="17" t="s">
        <v>11</v>
      </c>
      <c r="F766" s="18"/>
      <c r="G766" s="36" t="str">
        <f>IF(ISNUMBER(F766),C766*F766,"")</f>
        <v/>
      </c>
    </row>
    <row r="767" spans="1:7" ht="12" customHeight="1" outlineLevel="3" x14ac:dyDescent="0.2">
      <c r="A767" s="14" t="s">
        <v>1510</v>
      </c>
      <c r="B767" s="15" t="s">
        <v>1511</v>
      </c>
      <c r="C767" s="16">
        <f>106.81/(1+B2)</f>
        <v>106.81</v>
      </c>
      <c r="D767" s="17" t="s">
        <v>11</v>
      </c>
      <c r="E767" s="17" t="s">
        <v>11</v>
      </c>
      <c r="F767" s="18"/>
      <c r="G767" s="36" t="str">
        <f>IF(ISNUMBER(F767),C767*F767,"")</f>
        <v/>
      </c>
    </row>
    <row r="768" spans="1:7" ht="12" customHeight="1" outlineLevel="3" x14ac:dyDescent="0.2">
      <c r="A768" s="14" t="s">
        <v>1512</v>
      </c>
      <c r="B768" s="15" t="s">
        <v>1513</v>
      </c>
      <c r="C768" s="16">
        <f>105.54/(1+B2)</f>
        <v>105.54</v>
      </c>
      <c r="D768" s="17" t="s">
        <v>11</v>
      </c>
      <c r="E768" s="17"/>
      <c r="F768" s="18"/>
      <c r="G768" s="36" t="str">
        <f>IF(ISNUMBER(F768),C768*F768,"")</f>
        <v/>
      </c>
    </row>
    <row r="769" spans="1:7" ht="24" customHeight="1" outlineLevel="3" x14ac:dyDescent="0.2">
      <c r="A769" s="14" t="s">
        <v>1514</v>
      </c>
      <c r="B769" s="15" t="s">
        <v>1515</v>
      </c>
      <c r="C769" s="16">
        <f>105.54/(1+B2)</f>
        <v>105.54</v>
      </c>
      <c r="D769" s="17" t="s">
        <v>11</v>
      </c>
      <c r="E769" s="17" t="s">
        <v>11</v>
      </c>
      <c r="F769" s="18"/>
      <c r="G769" s="36" t="str">
        <f>IF(ISNUMBER(F769),C769*F769,"")</f>
        <v/>
      </c>
    </row>
    <row r="770" spans="1:7" ht="12" customHeight="1" outlineLevel="3" x14ac:dyDescent="0.2">
      <c r="A770" s="14" t="s">
        <v>1516</v>
      </c>
      <c r="B770" s="15" t="s">
        <v>1517</v>
      </c>
      <c r="C770" s="16">
        <f>105.54/(1+B2)</f>
        <v>105.54</v>
      </c>
      <c r="D770" s="17" t="s">
        <v>11</v>
      </c>
      <c r="E770" s="17" t="s">
        <v>11</v>
      </c>
      <c r="F770" s="18"/>
      <c r="G770" s="36" t="str">
        <f>IF(ISNUMBER(F770),C770*F770,"")</f>
        <v/>
      </c>
    </row>
    <row r="771" spans="1:7" ht="12" customHeight="1" outlineLevel="3" x14ac:dyDescent="0.2">
      <c r="A771" s="14" t="s">
        <v>1518</v>
      </c>
      <c r="B771" s="15" t="s">
        <v>1519</v>
      </c>
      <c r="C771" s="16">
        <f>105.54/(1+B2)</f>
        <v>105.54</v>
      </c>
      <c r="D771" s="17" t="s">
        <v>11</v>
      </c>
      <c r="E771" s="17"/>
      <c r="F771" s="18"/>
      <c r="G771" s="36" t="str">
        <f>IF(ISNUMBER(F771),C771*F771,"")</f>
        <v/>
      </c>
    </row>
    <row r="772" spans="1:7" ht="12" customHeight="1" outlineLevel="3" x14ac:dyDescent="0.2">
      <c r="A772" s="14" t="s">
        <v>1520</v>
      </c>
      <c r="B772" s="15" t="s">
        <v>1521</v>
      </c>
      <c r="C772" s="16">
        <f>174.25/(1+B2)</f>
        <v>174.25</v>
      </c>
      <c r="D772" s="17" t="s">
        <v>11</v>
      </c>
      <c r="E772" s="17"/>
      <c r="F772" s="18"/>
      <c r="G772" s="36" t="str">
        <f>IF(ISNUMBER(F772),C772*F772,"")</f>
        <v/>
      </c>
    </row>
    <row r="773" spans="1:7" ht="12" customHeight="1" outlineLevel="3" x14ac:dyDescent="0.2">
      <c r="A773" s="14" t="s">
        <v>1522</v>
      </c>
      <c r="B773" s="15" t="s">
        <v>1523</v>
      </c>
      <c r="C773" s="16">
        <f>174.25/(1+B2)</f>
        <v>174.25</v>
      </c>
      <c r="D773" s="17" t="s">
        <v>11</v>
      </c>
      <c r="E773" s="17"/>
      <c r="F773" s="18"/>
      <c r="G773" s="36" t="str">
        <f>IF(ISNUMBER(F773),C773*F773,"")</f>
        <v/>
      </c>
    </row>
    <row r="774" spans="1:7" ht="12" customHeight="1" outlineLevel="3" x14ac:dyDescent="0.2">
      <c r="A774" s="14" t="s">
        <v>1524</v>
      </c>
      <c r="B774" s="15" t="s">
        <v>1525</v>
      </c>
      <c r="C774" s="16">
        <f>174.25/(1+B2)</f>
        <v>174.25</v>
      </c>
      <c r="D774" s="17" t="s">
        <v>11</v>
      </c>
      <c r="E774" s="17"/>
      <c r="F774" s="18"/>
      <c r="G774" s="36" t="str">
        <f>IF(ISNUMBER(F774),C774*F774,"")</f>
        <v/>
      </c>
    </row>
    <row r="775" spans="1:7" ht="12" customHeight="1" outlineLevel="3" x14ac:dyDescent="0.2">
      <c r="A775" s="14" t="s">
        <v>1526</v>
      </c>
      <c r="B775" s="15" t="s">
        <v>1527</v>
      </c>
      <c r="C775" s="16">
        <f>117.84/(1+B2)</f>
        <v>117.84</v>
      </c>
      <c r="D775" s="17" t="s">
        <v>11</v>
      </c>
      <c r="E775" s="17" t="s">
        <v>11</v>
      </c>
      <c r="F775" s="18"/>
      <c r="G775" s="36" t="str">
        <f>IF(ISNUMBER(F775),C775*F775,"")</f>
        <v/>
      </c>
    </row>
    <row r="776" spans="1:7" ht="12" customHeight="1" outlineLevel="3" x14ac:dyDescent="0.2">
      <c r="A776" s="14" t="s">
        <v>1528</v>
      </c>
      <c r="B776" s="15" t="s">
        <v>1529</v>
      </c>
      <c r="C776" s="16">
        <f>117.84/(1+B2)</f>
        <v>117.84</v>
      </c>
      <c r="D776" s="17" t="s">
        <v>11</v>
      </c>
      <c r="E776" s="17" t="s">
        <v>11</v>
      </c>
      <c r="F776" s="18"/>
      <c r="G776" s="36" t="str">
        <f>IF(ISNUMBER(F776),C776*F776,"")</f>
        <v/>
      </c>
    </row>
    <row r="777" spans="1:7" ht="12" customHeight="1" outlineLevel="3" x14ac:dyDescent="0.2">
      <c r="A777" s="14" t="s">
        <v>1530</v>
      </c>
      <c r="B777" s="15" t="s">
        <v>1531</v>
      </c>
      <c r="C777" s="16">
        <f>117.84/(1+B2)</f>
        <v>117.84</v>
      </c>
      <c r="D777" s="17" t="s">
        <v>11</v>
      </c>
      <c r="E777" s="17" t="s">
        <v>11</v>
      </c>
      <c r="F777" s="18"/>
      <c r="G777" s="36" t="str">
        <f>IF(ISNUMBER(F777),C777*F777,"")</f>
        <v/>
      </c>
    </row>
    <row r="778" spans="1:7" ht="12" customHeight="1" outlineLevel="3" x14ac:dyDescent="0.2">
      <c r="A778" s="14" t="s">
        <v>1532</v>
      </c>
      <c r="B778" s="15" t="s">
        <v>1533</v>
      </c>
      <c r="C778" s="16">
        <f>190.65/(1+B2)</f>
        <v>190.65</v>
      </c>
      <c r="D778" s="17" t="s">
        <v>11</v>
      </c>
      <c r="E778" s="17"/>
      <c r="F778" s="18"/>
      <c r="G778" s="36" t="str">
        <f>IF(ISNUMBER(F778),C778*F778,"")</f>
        <v/>
      </c>
    </row>
    <row r="779" spans="1:7" ht="24" customHeight="1" outlineLevel="3" x14ac:dyDescent="0.2">
      <c r="A779" s="14" t="s">
        <v>1534</v>
      </c>
      <c r="B779" s="15" t="s">
        <v>1535</v>
      </c>
      <c r="C779" s="16">
        <f>190.65/(1+B2)</f>
        <v>190.65</v>
      </c>
      <c r="D779" s="17" t="s">
        <v>14</v>
      </c>
      <c r="E779" s="17"/>
      <c r="F779" s="18"/>
      <c r="G779" s="36" t="str">
        <f>IF(ISNUMBER(F779),C779*F779,"")</f>
        <v/>
      </c>
    </row>
    <row r="780" spans="1:7" ht="12" customHeight="1" outlineLevel="3" x14ac:dyDescent="0.2">
      <c r="A780" s="14" t="s">
        <v>1536</v>
      </c>
      <c r="B780" s="15" t="s">
        <v>1537</v>
      </c>
      <c r="C780" s="16">
        <f>103.89/(1+B2)</f>
        <v>103.89</v>
      </c>
      <c r="D780" s="17" t="s">
        <v>11</v>
      </c>
      <c r="E780" s="17"/>
      <c r="F780" s="18"/>
      <c r="G780" s="36" t="str">
        <f>IF(ISNUMBER(F780),C780*F780,"")</f>
        <v/>
      </c>
    </row>
    <row r="781" spans="1:7" ht="12" customHeight="1" outlineLevel="3" x14ac:dyDescent="0.2">
      <c r="A781" s="14" t="s">
        <v>1538</v>
      </c>
      <c r="B781" s="15" t="s">
        <v>1539</v>
      </c>
      <c r="C781" s="16">
        <f>105.44/(1+B2)</f>
        <v>105.44</v>
      </c>
      <c r="D781" s="17" t="s">
        <v>11</v>
      </c>
      <c r="E781" s="17"/>
      <c r="F781" s="18"/>
      <c r="G781" s="36" t="str">
        <f>IF(ISNUMBER(F781),C781*F781,"")</f>
        <v/>
      </c>
    </row>
    <row r="782" spans="1:7" ht="12" customHeight="1" outlineLevel="3" x14ac:dyDescent="0.2">
      <c r="A782" s="14" t="s">
        <v>1540</v>
      </c>
      <c r="B782" s="15" t="s">
        <v>1541</v>
      </c>
      <c r="C782" s="16">
        <f>105.44/(1+B2)</f>
        <v>105.44</v>
      </c>
      <c r="D782" s="17" t="s">
        <v>11</v>
      </c>
      <c r="E782" s="17"/>
      <c r="F782" s="18"/>
      <c r="G782" s="36" t="str">
        <f>IF(ISNUMBER(F782),C782*F782,"")</f>
        <v/>
      </c>
    </row>
    <row r="783" spans="1:7" ht="24" customHeight="1" outlineLevel="3" x14ac:dyDescent="0.2">
      <c r="A783" s="14" t="s">
        <v>1542</v>
      </c>
      <c r="B783" s="15" t="s">
        <v>1543</v>
      </c>
      <c r="C783" s="16">
        <f>106.04/(1+B2)</f>
        <v>106.04</v>
      </c>
      <c r="D783" s="17" t="s">
        <v>11</v>
      </c>
      <c r="E783" s="17" t="s">
        <v>11</v>
      </c>
      <c r="F783" s="18"/>
      <c r="G783" s="36" t="str">
        <f>IF(ISNUMBER(F783),C783*F783,"")</f>
        <v/>
      </c>
    </row>
    <row r="784" spans="1:7" ht="24" customHeight="1" outlineLevel="3" x14ac:dyDescent="0.2">
      <c r="A784" s="14" t="s">
        <v>1544</v>
      </c>
      <c r="B784" s="15" t="s">
        <v>1545</v>
      </c>
      <c r="C784" s="16">
        <f>111.03/(1+B2)</f>
        <v>111.03</v>
      </c>
      <c r="D784" s="17" t="s">
        <v>11</v>
      </c>
      <c r="E784" s="17"/>
      <c r="F784" s="18"/>
      <c r="G784" s="36" t="str">
        <f>IF(ISNUMBER(F784),C784*F784,"")</f>
        <v/>
      </c>
    </row>
    <row r="785" spans="1:7" ht="24" customHeight="1" outlineLevel="3" x14ac:dyDescent="0.2">
      <c r="A785" s="14" t="s">
        <v>1546</v>
      </c>
      <c r="B785" s="15" t="s">
        <v>1547</v>
      </c>
      <c r="C785" s="16">
        <f>109.96/(1+B2)</f>
        <v>109.96</v>
      </c>
      <c r="D785" s="17" t="s">
        <v>11</v>
      </c>
      <c r="E785" s="17"/>
      <c r="F785" s="18"/>
      <c r="G785" s="36" t="str">
        <f>IF(ISNUMBER(F785),C785*F785,"")</f>
        <v/>
      </c>
    </row>
    <row r="786" spans="1:7" ht="24" customHeight="1" outlineLevel="3" x14ac:dyDescent="0.2">
      <c r="A786" s="14" t="s">
        <v>1548</v>
      </c>
      <c r="B786" s="15" t="s">
        <v>1549</v>
      </c>
      <c r="C786" s="16">
        <f>115.46/(1+B2)</f>
        <v>115.46</v>
      </c>
      <c r="D786" s="17" t="s">
        <v>11</v>
      </c>
      <c r="E786" s="17" t="s">
        <v>11</v>
      </c>
      <c r="F786" s="18"/>
      <c r="G786" s="36" t="str">
        <f>IF(ISNUMBER(F786),C786*F786,"")</f>
        <v/>
      </c>
    </row>
    <row r="787" spans="1:7" ht="24" customHeight="1" outlineLevel="3" x14ac:dyDescent="0.2">
      <c r="A787" s="14" t="s">
        <v>1550</v>
      </c>
      <c r="B787" s="15" t="s">
        <v>1551</v>
      </c>
      <c r="C787" s="16">
        <f>115.46/(1+B2)</f>
        <v>115.46</v>
      </c>
      <c r="D787" s="17" t="s">
        <v>11</v>
      </c>
      <c r="E787" s="17" t="s">
        <v>11</v>
      </c>
      <c r="F787" s="18"/>
      <c r="G787" s="36" t="str">
        <f>IF(ISNUMBER(F787),C787*F787,"")</f>
        <v/>
      </c>
    </row>
    <row r="788" spans="1:7" ht="24" customHeight="1" outlineLevel="3" x14ac:dyDescent="0.2">
      <c r="A788" s="14" t="s">
        <v>1552</v>
      </c>
      <c r="B788" s="15" t="s">
        <v>1553</v>
      </c>
      <c r="C788" s="16">
        <f>99.91/(1+B2)</f>
        <v>99.91</v>
      </c>
      <c r="D788" s="17" t="s">
        <v>11</v>
      </c>
      <c r="E788" s="17" t="s">
        <v>11</v>
      </c>
      <c r="F788" s="18"/>
      <c r="G788" s="36" t="str">
        <f>IF(ISNUMBER(F788),C788*F788,"")</f>
        <v/>
      </c>
    </row>
    <row r="789" spans="1:7" ht="24" customHeight="1" outlineLevel="3" x14ac:dyDescent="0.2">
      <c r="A789" s="14" t="s">
        <v>1554</v>
      </c>
      <c r="B789" s="15" t="s">
        <v>1555</v>
      </c>
      <c r="C789" s="16">
        <f>115.46/(1+B2)</f>
        <v>115.46</v>
      </c>
      <c r="D789" s="17" t="s">
        <v>11</v>
      </c>
      <c r="E789" s="17" t="s">
        <v>11</v>
      </c>
      <c r="F789" s="18"/>
      <c r="G789" s="36" t="str">
        <f>IF(ISNUMBER(F789),C789*F789,"")</f>
        <v/>
      </c>
    </row>
    <row r="790" spans="1:7" ht="12" customHeight="1" outlineLevel="3" x14ac:dyDescent="0.2">
      <c r="A790" s="14" t="s">
        <v>1556</v>
      </c>
      <c r="B790" s="15" t="s">
        <v>1557</v>
      </c>
      <c r="C790" s="16">
        <f>76.09/(1+B2)</f>
        <v>76.09</v>
      </c>
      <c r="D790" s="17" t="s">
        <v>11</v>
      </c>
      <c r="E790" s="17"/>
      <c r="F790" s="18"/>
      <c r="G790" s="36" t="str">
        <f>IF(ISNUMBER(F790),C790*F790,"")</f>
        <v/>
      </c>
    </row>
    <row r="791" spans="1:7" ht="12" customHeight="1" outlineLevel="3" x14ac:dyDescent="0.2">
      <c r="A791" s="14" t="s">
        <v>1558</v>
      </c>
      <c r="B791" s="15" t="s">
        <v>1559</v>
      </c>
      <c r="C791" s="16">
        <f>76.09/(1+B2)</f>
        <v>76.09</v>
      </c>
      <c r="D791" s="17" t="s">
        <v>11</v>
      </c>
      <c r="E791" s="17"/>
      <c r="F791" s="18"/>
      <c r="G791" s="36" t="str">
        <f>IF(ISNUMBER(F791),C791*F791,"")</f>
        <v/>
      </c>
    </row>
    <row r="792" spans="1:7" ht="12" customHeight="1" outlineLevel="3" x14ac:dyDescent="0.2">
      <c r="A792" s="14" t="s">
        <v>1560</v>
      </c>
      <c r="B792" s="15" t="s">
        <v>1561</v>
      </c>
      <c r="C792" s="16">
        <f>76.09/(1+B2)</f>
        <v>76.09</v>
      </c>
      <c r="D792" s="17" t="s">
        <v>11</v>
      </c>
      <c r="E792" s="17"/>
      <c r="F792" s="18"/>
      <c r="G792" s="36" t="str">
        <f>IF(ISNUMBER(F792),C792*F792,"")</f>
        <v/>
      </c>
    </row>
    <row r="793" spans="1:7" ht="12" customHeight="1" outlineLevel="3" x14ac:dyDescent="0.2">
      <c r="A793" s="14" t="s">
        <v>1562</v>
      </c>
      <c r="B793" s="15" t="s">
        <v>1563</v>
      </c>
      <c r="C793" s="16">
        <f>76.09/(1+B2)</f>
        <v>76.09</v>
      </c>
      <c r="D793" s="17" t="s">
        <v>14</v>
      </c>
      <c r="E793" s="17"/>
      <c r="F793" s="18"/>
      <c r="G793" s="36" t="str">
        <f>IF(ISNUMBER(F793),C793*F793,"")</f>
        <v/>
      </c>
    </row>
    <row r="794" spans="1:7" ht="12" customHeight="1" outlineLevel="3" x14ac:dyDescent="0.2">
      <c r="A794" s="14" t="s">
        <v>1564</v>
      </c>
      <c r="B794" s="15" t="s">
        <v>1565</v>
      </c>
      <c r="C794" s="16">
        <f>163.18/(1+B2)</f>
        <v>163.18</v>
      </c>
      <c r="D794" s="17" t="s">
        <v>11</v>
      </c>
      <c r="E794" s="17" t="s">
        <v>11</v>
      </c>
      <c r="F794" s="18"/>
      <c r="G794" s="36" t="str">
        <f>IF(ISNUMBER(F794),C794*F794,"")</f>
        <v/>
      </c>
    </row>
    <row r="795" spans="1:7" ht="12" customHeight="1" outlineLevel="3" x14ac:dyDescent="0.2">
      <c r="A795" s="14" t="s">
        <v>1566</v>
      </c>
      <c r="B795" s="15" t="s">
        <v>1567</v>
      </c>
      <c r="C795" s="16">
        <f>163.18/(1+B2)</f>
        <v>163.18</v>
      </c>
      <c r="D795" s="17" t="s">
        <v>11</v>
      </c>
      <c r="E795" s="17" t="s">
        <v>11</v>
      </c>
      <c r="F795" s="18"/>
      <c r="G795" s="36" t="str">
        <f>IF(ISNUMBER(F795),C795*F795,"")</f>
        <v/>
      </c>
    </row>
    <row r="796" spans="1:7" ht="12" customHeight="1" outlineLevel="3" x14ac:dyDescent="0.2">
      <c r="A796" s="14" t="s">
        <v>1568</v>
      </c>
      <c r="B796" s="15" t="s">
        <v>1569</v>
      </c>
      <c r="C796" s="16">
        <f>163.18/(1+B2)</f>
        <v>163.18</v>
      </c>
      <c r="D796" s="17" t="s">
        <v>11</v>
      </c>
      <c r="E796" s="17" t="s">
        <v>11</v>
      </c>
      <c r="F796" s="18"/>
      <c r="G796" s="36" t="str">
        <f>IF(ISNUMBER(F796),C796*F796,"")</f>
        <v/>
      </c>
    </row>
    <row r="797" spans="1:7" ht="12" customHeight="1" outlineLevel="3" x14ac:dyDescent="0.2">
      <c r="A797" s="14" t="s">
        <v>1570</v>
      </c>
      <c r="B797" s="15" t="s">
        <v>1571</v>
      </c>
      <c r="C797" s="16">
        <f>163.18/(1+B2)</f>
        <v>163.18</v>
      </c>
      <c r="D797" s="17" t="s">
        <v>11</v>
      </c>
      <c r="E797" s="17" t="s">
        <v>11</v>
      </c>
      <c r="F797" s="18"/>
      <c r="G797" s="36" t="str">
        <f>IF(ISNUMBER(F797),C797*F797,"")</f>
        <v/>
      </c>
    </row>
    <row r="798" spans="1:7" ht="12" customHeight="1" outlineLevel="3" x14ac:dyDescent="0.2">
      <c r="A798" s="14" t="s">
        <v>1572</v>
      </c>
      <c r="B798" s="15" t="s">
        <v>1573</v>
      </c>
      <c r="C798" s="16">
        <f>163.18/(1+B2)</f>
        <v>163.18</v>
      </c>
      <c r="D798" s="17" t="s">
        <v>11</v>
      </c>
      <c r="E798" s="17" t="s">
        <v>11</v>
      </c>
      <c r="F798" s="18"/>
      <c r="G798" s="36" t="str">
        <f>IF(ISNUMBER(F798),C798*F798,"")</f>
        <v/>
      </c>
    </row>
    <row r="799" spans="1:7" ht="12" customHeight="1" outlineLevel="3" x14ac:dyDescent="0.2">
      <c r="A799" s="14" t="s">
        <v>1574</v>
      </c>
      <c r="B799" s="15" t="s">
        <v>1575</v>
      </c>
      <c r="C799" s="16">
        <f>163.18/(1+B2)</f>
        <v>163.18</v>
      </c>
      <c r="D799" s="17" t="s">
        <v>11</v>
      </c>
      <c r="E799" s="17" t="s">
        <v>14</v>
      </c>
      <c r="F799" s="18"/>
      <c r="G799" s="36" t="str">
        <f>IF(ISNUMBER(F799),C799*F799,"")</f>
        <v/>
      </c>
    </row>
    <row r="800" spans="1:7" ht="12" customHeight="1" outlineLevel="3" x14ac:dyDescent="0.2">
      <c r="A800" s="14" t="s">
        <v>1576</v>
      </c>
      <c r="B800" s="15" t="s">
        <v>1577</v>
      </c>
      <c r="C800" s="16">
        <f>163.18/(1+B2)</f>
        <v>163.18</v>
      </c>
      <c r="D800" s="17" t="s">
        <v>11</v>
      </c>
      <c r="E800" s="17" t="s">
        <v>11</v>
      </c>
      <c r="F800" s="18"/>
      <c r="G800" s="36" t="str">
        <f>IF(ISNUMBER(F800),C800*F800,"")</f>
        <v/>
      </c>
    </row>
    <row r="801" spans="1:7" ht="12" customHeight="1" outlineLevel="3" x14ac:dyDescent="0.2">
      <c r="A801" s="14" t="s">
        <v>1578</v>
      </c>
      <c r="B801" s="15" t="s">
        <v>1579</v>
      </c>
      <c r="C801" s="16">
        <f>152.65/(1+B2)</f>
        <v>152.65</v>
      </c>
      <c r="D801" s="17" t="s">
        <v>11</v>
      </c>
      <c r="E801" s="17" t="s">
        <v>11</v>
      </c>
      <c r="F801" s="18"/>
      <c r="G801" s="36" t="str">
        <f>IF(ISNUMBER(F801),C801*F801,"")</f>
        <v/>
      </c>
    </row>
    <row r="802" spans="1:7" ht="12" customHeight="1" outlineLevel="3" x14ac:dyDescent="0.2">
      <c r="A802" s="14" t="s">
        <v>1580</v>
      </c>
      <c r="B802" s="15" t="s">
        <v>1581</v>
      </c>
      <c r="C802" s="16">
        <f>163.18/(1+B2)</f>
        <v>163.18</v>
      </c>
      <c r="D802" s="17" t="s">
        <v>11</v>
      </c>
      <c r="E802" s="17" t="s">
        <v>14</v>
      </c>
      <c r="F802" s="18"/>
      <c r="G802" s="36" t="str">
        <f>IF(ISNUMBER(F802),C802*F802,"")</f>
        <v/>
      </c>
    </row>
    <row r="803" spans="1:7" ht="12" customHeight="1" outlineLevel="3" x14ac:dyDescent="0.2">
      <c r="A803" s="14" t="s">
        <v>1582</v>
      </c>
      <c r="B803" s="15" t="s">
        <v>1583</v>
      </c>
      <c r="C803" s="16">
        <f>163.18/(1+B2)</f>
        <v>163.18</v>
      </c>
      <c r="D803" s="17" t="s">
        <v>11</v>
      </c>
      <c r="E803" s="17" t="s">
        <v>53</v>
      </c>
      <c r="F803" s="18"/>
      <c r="G803" s="36" t="str">
        <f>IF(ISNUMBER(F803),C803*F803,"")</f>
        <v/>
      </c>
    </row>
    <row r="804" spans="1:7" ht="12" customHeight="1" outlineLevel="3" x14ac:dyDescent="0.2">
      <c r="A804" s="14" t="s">
        <v>1584</v>
      </c>
      <c r="B804" s="15" t="s">
        <v>1585</v>
      </c>
      <c r="C804" s="16">
        <f>163.18/(1+B2)</f>
        <v>163.18</v>
      </c>
      <c r="D804" s="17" t="s">
        <v>11</v>
      </c>
      <c r="E804" s="17" t="s">
        <v>11</v>
      </c>
      <c r="F804" s="18"/>
      <c r="G804" s="36" t="str">
        <f>IF(ISNUMBER(F804),C804*F804,"")</f>
        <v/>
      </c>
    </row>
    <row r="805" spans="1:7" ht="12" customHeight="1" outlineLevel="3" x14ac:dyDescent="0.2">
      <c r="A805" s="14" t="s">
        <v>1586</v>
      </c>
      <c r="B805" s="15" t="s">
        <v>1587</v>
      </c>
      <c r="C805" s="16">
        <f>163.18/(1+B2)</f>
        <v>163.18</v>
      </c>
      <c r="D805" s="17" t="s">
        <v>11</v>
      </c>
      <c r="E805" s="17"/>
      <c r="F805" s="18"/>
      <c r="G805" s="36" t="str">
        <f>IF(ISNUMBER(F805),C805*F805,"")</f>
        <v/>
      </c>
    </row>
    <row r="806" spans="1:7" ht="12" customHeight="1" outlineLevel="3" x14ac:dyDescent="0.2">
      <c r="A806" s="14" t="s">
        <v>1588</v>
      </c>
      <c r="B806" s="15" t="s">
        <v>1589</v>
      </c>
      <c r="C806" s="16">
        <f>163.18/(1+B2)</f>
        <v>163.18</v>
      </c>
      <c r="D806" s="17" t="s">
        <v>11</v>
      </c>
      <c r="E806" s="17" t="s">
        <v>11</v>
      </c>
      <c r="F806" s="18"/>
      <c r="G806" s="36" t="str">
        <f>IF(ISNUMBER(F806),C806*F806,"")</f>
        <v/>
      </c>
    </row>
    <row r="807" spans="1:7" ht="12" customHeight="1" outlineLevel="3" x14ac:dyDescent="0.2">
      <c r="A807" s="14" t="s">
        <v>1590</v>
      </c>
      <c r="B807" s="15" t="s">
        <v>1591</v>
      </c>
      <c r="C807" s="16">
        <f>156.98/(1+B2)</f>
        <v>156.97999999999999</v>
      </c>
      <c r="D807" s="17" t="s">
        <v>11</v>
      </c>
      <c r="E807" s="17"/>
      <c r="F807" s="18"/>
      <c r="G807" s="36" t="str">
        <f>IF(ISNUMBER(F807),C807*F807,"")</f>
        <v/>
      </c>
    </row>
    <row r="808" spans="1:7" ht="24" customHeight="1" outlineLevel="3" x14ac:dyDescent="0.2">
      <c r="A808" s="14" t="s">
        <v>1592</v>
      </c>
      <c r="B808" s="15" t="s">
        <v>1593</v>
      </c>
      <c r="C808" s="16">
        <f>163.18/(1+B2)</f>
        <v>163.18</v>
      </c>
      <c r="D808" s="17" t="s">
        <v>11</v>
      </c>
      <c r="E808" s="17" t="s">
        <v>11</v>
      </c>
      <c r="F808" s="18"/>
      <c r="G808" s="36" t="str">
        <f>IF(ISNUMBER(F808),C808*F808,"")</f>
        <v/>
      </c>
    </row>
    <row r="809" spans="1:7" ht="12" customHeight="1" outlineLevel="3" x14ac:dyDescent="0.2">
      <c r="A809" s="14" t="s">
        <v>1594</v>
      </c>
      <c r="B809" s="15" t="s">
        <v>1595</v>
      </c>
      <c r="C809" s="16">
        <f>163.18/(1+B2)</f>
        <v>163.18</v>
      </c>
      <c r="D809" s="17" t="s">
        <v>11</v>
      </c>
      <c r="E809" s="17" t="s">
        <v>11</v>
      </c>
      <c r="F809" s="18"/>
      <c r="G809" s="36" t="str">
        <f>IF(ISNUMBER(F809),C809*F809,"")</f>
        <v/>
      </c>
    </row>
    <row r="810" spans="1:7" ht="12" customHeight="1" outlineLevel="3" x14ac:dyDescent="0.2">
      <c r="A810" s="14" t="s">
        <v>1596</v>
      </c>
      <c r="B810" s="15" t="s">
        <v>1597</v>
      </c>
      <c r="C810" s="16">
        <f>163.18/(1+B2)</f>
        <v>163.18</v>
      </c>
      <c r="D810" s="17" t="s">
        <v>11</v>
      </c>
      <c r="E810" s="17"/>
      <c r="F810" s="18"/>
      <c r="G810" s="36" t="str">
        <f>IF(ISNUMBER(F810),C810*F810,"")</f>
        <v/>
      </c>
    </row>
    <row r="811" spans="1:7" ht="12" customHeight="1" outlineLevel="3" x14ac:dyDescent="0.2">
      <c r="A811" s="14" t="s">
        <v>1598</v>
      </c>
      <c r="B811" s="15" t="s">
        <v>1599</v>
      </c>
      <c r="C811" s="16">
        <f>163.18/(1+B2)</f>
        <v>163.18</v>
      </c>
      <c r="D811" s="17" t="s">
        <v>11</v>
      </c>
      <c r="E811" s="17"/>
      <c r="F811" s="18"/>
      <c r="G811" s="36" t="str">
        <f>IF(ISNUMBER(F811),C811*F811,"")</f>
        <v/>
      </c>
    </row>
    <row r="812" spans="1:7" ht="12" customHeight="1" outlineLevel="3" x14ac:dyDescent="0.2">
      <c r="A812" s="14" t="s">
        <v>1600</v>
      </c>
      <c r="B812" s="15" t="s">
        <v>1601</v>
      </c>
      <c r="C812" s="16">
        <f>100.89/(1+B2)</f>
        <v>100.89</v>
      </c>
      <c r="D812" s="17" t="s">
        <v>11</v>
      </c>
      <c r="E812" s="17"/>
      <c r="F812" s="18"/>
      <c r="G812" s="36" t="str">
        <f>IF(ISNUMBER(F812),C812*F812,"")</f>
        <v/>
      </c>
    </row>
    <row r="813" spans="1:7" ht="12" customHeight="1" outlineLevel="3" x14ac:dyDescent="0.2">
      <c r="A813" s="14" t="s">
        <v>1602</v>
      </c>
      <c r="B813" s="15" t="s">
        <v>1603</v>
      </c>
      <c r="C813" s="16">
        <f>126.25/(1+B2)</f>
        <v>126.25</v>
      </c>
      <c r="D813" s="17" t="s">
        <v>14</v>
      </c>
      <c r="E813" s="17" t="s">
        <v>53</v>
      </c>
      <c r="F813" s="18"/>
      <c r="G813" s="36" t="str">
        <f>IF(ISNUMBER(F813),C813*F813,"")</f>
        <v/>
      </c>
    </row>
    <row r="814" spans="1:7" ht="24" customHeight="1" outlineLevel="3" x14ac:dyDescent="0.2">
      <c r="A814" s="14" t="s">
        <v>1604</v>
      </c>
      <c r="B814" s="15" t="s">
        <v>1605</v>
      </c>
      <c r="C814" s="16">
        <f>85.88/(1+B2)</f>
        <v>85.88</v>
      </c>
      <c r="D814" s="17" t="s">
        <v>11</v>
      </c>
      <c r="E814" s="17"/>
      <c r="F814" s="18"/>
      <c r="G814" s="36" t="str">
        <f>IF(ISNUMBER(F814),C814*F814,"")</f>
        <v/>
      </c>
    </row>
    <row r="815" spans="1:7" ht="12" customHeight="1" outlineLevel="3" x14ac:dyDescent="0.2">
      <c r="A815" s="14" t="s">
        <v>1606</v>
      </c>
      <c r="B815" s="15" t="s">
        <v>1607</v>
      </c>
      <c r="C815" s="16">
        <f>106.25/(1+B2)</f>
        <v>106.25</v>
      </c>
      <c r="D815" s="17" t="s">
        <v>11</v>
      </c>
      <c r="E815" s="17" t="s">
        <v>11</v>
      </c>
      <c r="F815" s="18"/>
      <c r="G815" s="36" t="str">
        <f>IF(ISNUMBER(F815),C815*F815,"")</f>
        <v/>
      </c>
    </row>
    <row r="816" spans="1:7" s="1" customFormat="1" ht="12.95" customHeight="1" outlineLevel="2" x14ac:dyDescent="0.2">
      <c r="A816" s="20"/>
      <c r="B816" s="21" t="s">
        <v>1608</v>
      </c>
      <c r="C816" s="22"/>
      <c r="D816" s="22"/>
      <c r="E816" s="22"/>
      <c r="F816" s="22"/>
      <c r="G816" s="37"/>
    </row>
    <row r="817" spans="1:7" ht="12" customHeight="1" outlineLevel="3" x14ac:dyDescent="0.2">
      <c r="A817" s="14" t="s">
        <v>1609</v>
      </c>
      <c r="B817" s="15" t="s">
        <v>1610</v>
      </c>
      <c r="C817" s="16">
        <f>207.84/(1+B2)</f>
        <v>207.84</v>
      </c>
      <c r="D817" s="17" t="s">
        <v>11</v>
      </c>
      <c r="E817" s="17" t="s">
        <v>11</v>
      </c>
      <c r="F817" s="18"/>
      <c r="G817" s="36" t="str">
        <f>IF(ISNUMBER(F817),C817*F817,"")</f>
        <v/>
      </c>
    </row>
    <row r="818" spans="1:7" ht="12" customHeight="1" outlineLevel="3" x14ac:dyDescent="0.2">
      <c r="A818" s="14" t="s">
        <v>1611</v>
      </c>
      <c r="B818" s="15" t="s">
        <v>1612</v>
      </c>
      <c r="C818" s="16">
        <f>207.84/(1+B2)</f>
        <v>207.84</v>
      </c>
      <c r="D818" s="17" t="s">
        <v>11</v>
      </c>
      <c r="E818" s="17" t="s">
        <v>11</v>
      </c>
      <c r="F818" s="18"/>
      <c r="G818" s="36" t="str">
        <f>IF(ISNUMBER(F818),C818*F818,"")</f>
        <v/>
      </c>
    </row>
    <row r="819" spans="1:7" ht="12" customHeight="1" outlineLevel="3" x14ac:dyDescent="0.2">
      <c r="A819" s="14" t="s">
        <v>1613</v>
      </c>
      <c r="B819" s="15" t="s">
        <v>1614</v>
      </c>
      <c r="C819" s="16">
        <f>207.84/(1+B2)</f>
        <v>207.84</v>
      </c>
      <c r="D819" s="17" t="s">
        <v>11</v>
      </c>
      <c r="E819" s="17" t="s">
        <v>11</v>
      </c>
      <c r="F819" s="18"/>
      <c r="G819" s="36" t="str">
        <f>IF(ISNUMBER(F819),C819*F819,"")</f>
        <v/>
      </c>
    </row>
    <row r="820" spans="1:7" ht="12" customHeight="1" outlineLevel="3" x14ac:dyDescent="0.2">
      <c r="A820" s="14" t="s">
        <v>1615</v>
      </c>
      <c r="B820" s="15" t="s">
        <v>1616</v>
      </c>
      <c r="C820" s="16">
        <f>207.84/(1+B2)</f>
        <v>207.84</v>
      </c>
      <c r="D820" s="17" t="s">
        <v>11</v>
      </c>
      <c r="E820" s="17" t="s">
        <v>11</v>
      </c>
      <c r="F820" s="18"/>
      <c r="G820" s="36" t="str">
        <f>IF(ISNUMBER(F820),C820*F820,"")</f>
        <v/>
      </c>
    </row>
    <row r="821" spans="1:7" ht="12" customHeight="1" outlineLevel="3" x14ac:dyDescent="0.2">
      <c r="A821" s="14" t="s">
        <v>1617</v>
      </c>
      <c r="B821" s="15" t="s">
        <v>1618</v>
      </c>
      <c r="C821" s="16">
        <f>207.84/(1+B2)</f>
        <v>207.84</v>
      </c>
      <c r="D821" s="17" t="s">
        <v>11</v>
      </c>
      <c r="E821" s="17" t="s">
        <v>11</v>
      </c>
      <c r="F821" s="18"/>
      <c r="G821" s="36" t="str">
        <f>IF(ISNUMBER(F821),C821*F821,"")</f>
        <v/>
      </c>
    </row>
    <row r="822" spans="1:7" ht="12" customHeight="1" outlineLevel="3" x14ac:dyDescent="0.2">
      <c r="A822" s="14" t="s">
        <v>1619</v>
      </c>
      <c r="B822" s="15" t="s">
        <v>1620</v>
      </c>
      <c r="C822" s="16">
        <f>207.84/(1+B2)</f>
        <v>207.84</v>
      </c>
      <c r="D822" s="17" t="s">
        <v>11</v>
      </c>
      <c r="E822" s="17" t="s">
        <v>11</v>
      </c>
      <c r="F822" s="18"/>
      <c r="G822" s="36" t="str">
        <f>IF(ISNUMBER(F822),C822*F822,"")</f>
        <v/>
      </c>
    </row>
    <row r="823" spans="1:7" ht="12" customHeight="1" outlineLevel="3" x14ac:dyDescent="0.2">
      <c r="A823" s="14" t="s">
        <v>1621</v>
      </c>
      <c r="B823" s="15" t="s">
        <v>1622</v>
      </c>
      <c r="C823" s="16">
        <f>207.84/(1+B2)</f>
        <v>207.84</v>
      </c>
      <c r="D823" s="17" t="s">
        <v>11</v>
      </c>
      <c r="E823" s="17" t="s">
        <v>11</v>
      </c>
      <c r="F823" s="18"/>
      <c r="G823" s="36" t="str">
        <f>IF(ISNUMBER(F823),C823*F823,"")</f>
        <v/>
      </c>
    </row>
    <row r="824" spans="1:7" ht="12" customHeight="1" outlineLevel="3" x14ac:dyDescent="0.2">
      <c r="A824" s="14" t="s">
        <v>1623</v>
      </c>
      <c r="B824" s="15" t="s">
        <v>1624</v>
      </c>
      <c r="C824" s="16">
        <f>229.71/(1+B2)</f>
        <v>229.71</v>
      </c>
      <c r="D824" s="17" t="s">
        <v>11</v>
      </c>
      <c r="E824" s="17"/>
      <c r="F824" s="18"/>
      <c r="G824" s="36" t="str">
        <f>IF(ISNUMBER(F824),C824*F824,"")</f>
        <v/>
      </c>
    </row>
    <row r="825" spans="1:7" ht="12" customHeight="1" outlineLevel="3" x14ac:dyDescent="0.2">
      <c r="A825" s="14" t="s">
        <v>1625</v>
      </c>
      <c r="B825" s="15" t="s">
        <v>1626</v>
      </c>
      <c r="C825" s="16">
        <f>207.84/(1+B2)</f>
        <v>207.84</v>
      </c>
      <c r="D825" s="17" t="s">
        <v>11</v>
      </c>
      <c r="E825" s="17" t="s">
        <v>11</v>
      </c>
      <c r="F825" s="18"/>
      <c r="G825" s="36" t="str">
        <f>IF(ISNUMBER(F825),C825*F825,"")</f>
        <v/>
      </c>
    </row>
    <row r="826" spans="1:7" ht="12" customHeight="1" outlineLevel="3" x14ac:dyDescent="0.2">
      <c r="A826" s="14" t="s">
        <v>1627</v>
      </c>
      <c r="B826" s="15" t="s">
        <v>1628</v>
      </c>
      <c r="C826" s="16">
        <f>207.84/(1+B2)</f>
        <v>207.84</v>
      </c>
      <c r="D826" s="17" t="s">
        <v>11</v>
      </c>
      <c r="E826" s="17" t="s">
        <v>11</v>
      </c>
      <c r="F826" s="18"/>
      <c r="G826" s="36" t="str">
        <f>IF(ISNUMBER(F826),C826*F826,"")</f>
        <v/>
      </c>
    </row>
    <row r="827" spans="1:7" ht="12" customHeight="1" outlineLevel="3" x14ac:dyDescent="0.2">
      <c r="A827" s="14" t="s">
        <v>1629</v>
      </c>
      <c r="B827" s="15" t="s">
        <v>1630</v>
      </c>
      <c r="C827" s="16">
        <f>207.84/(1+B2)</f>
        <v>207.84</v>
      </c>
      <c r="D827" s="17" t="s">
        <v>11</v>
      </c>
      <c r="E827" s="17" t="s">
        <v>11</v>
      </c>
      <c r="F827" s="18"/>
      <c r="G827" s="36" t="str">
        <f>IF(ISNUMBER(F827),C827*F827,"")</f>
        <v/>
      </c>
    </row>
    <row r="828" spans="1:7" ht="12" customHeight="1" outlineLevel="3" x14ac:dyDescent="0.2">
      <c r="A828" s="14" t="s">
        <v>1631</v>
      </c>
      <c r="B828" s="15" t="s">
        <v>1632</v>
      </c>
      <c r="C828" s="16">
        <f>207.84/(1+B2)</f>
        <v>207.84</v>
      </c>
      <c r="D828" s="17" t="s">
        <v>11</v>
      </c>
      <c r="E828" s="17" t="s">
        <v>11</v>
      </c>
      <c r="F828" s="18"/>
      <c r="G828" s="36" t="str">
        <f>IF(ISNUMBER(F828),C828*F828,"")</f>
        <v/>
      </c>
    </row>
    <row r="829" spans="1:7" ht="12" customHeight="1" outlineLevel="3" x14ac:dyDescent="0.2">
      <c r="A829" s="14" t="s">
        <v>1633</v>
      </c>
      <c r="B829" s="15" t="s">
        <v>1634</v>
      </c>
      <c r="C829" s="16">
        <f>207.84/(1+B2)</f>
        <v>207.84</v>
      </c>
      <c r="D829" s="17" t="s">
        <v>11</v>
      </c>
      <c r="E829" s="17" t="s">
        <v>11</v>
      </c>
      <c r="F829" s="18"/>
      <c r="G829" s="36" t="str">
        <f>IF(ISNUMBER(F829),C829*F829,"")</f>
        <v/>
      </c>
    </row>
    <row r="830" spans="1:7" ht="12" customHeight="1" outlineLevel="3" x14ac:dyDescent="0.2">
      <c r="A830" s="14" t="s">
        <v>1635</v>
      </c>
      <c r="B830" s="15" t="s">
        <v>1636</v>
      </c>
      <c r="C830" s="16">
        <f>207.84/(1+B2)</f>
        <v>207.84</v>
      </c>
      <c r="D830" s="17" t="s">
        <v>11</v>
      </c>
      <c r="E830" s="17" t="s">
        <v>11</v>
      </c>
      <c r="F830" s="18"/>
      <c r="G830" s="36" t="str">
        <f>IF(ISNUMBER(F830),C830*F830,"")</f>
        <v/>
      </c>
    </row>
    <row r="831" spans="1:7" ht="12" customHeight="1" outlineLevel="3" x14ac:dyDescent="0.2">
      <c r="A831" s="14" t="s">
        <v>1637</v>
      </c>
      <c r="B831" s="15" t="s">
        <v>1638</v>
      </c>
      <c r="C831" s="16">
        <f>263.94/(1+B2)</f>
        <v>263.94</v>
      </c>
      <c r="D831" s="17" t="s">
        <v>11</v>
      </c>
      <c r="E831" s="17"/>
      <c r="F831" s="18"/>
      <c r="G831" s="36" t="str">
        <f>IF(ISNUMBER(F831),C831*F831,"")</f>
        <v/>
      </c>
    </row>
    <row r="832" spans="1:7" ht="24" customHeight="1" outlineLevel="3" x14ac:dyDescent="0.2">
      <c r="A832" s="14" t="s">
        <v>1639</v>
      </c>
      <c r="B832" s="15" t="s">
        <v>1640</v>
      </c>
      <c r="C832" s="16">
        <f>263.94/(1+B2)</f>
        <v>263.94</v>
      </c>
      <c r="D832" s="17" t="s">
        <v>11</v>
      </c>
      <c r="E832" s="17"/>
      <c r="F832" s="18"/>
      <c r="G832" s="36" t="str">
        <f>IF(ISNUMBER(F832),C832*F832,"")</f>
        <v/>
      </c>
    </row>
    <row r="833" spans="1:7" ht="12" customHeight="1" outlineLevel="3" x14ac:dyDescent="0.2">
      <c r="A833" s="14" t="s">
        <v>1641</v>
      </c>
      <c r="B833" s="15" t="s">
        <v>1642</v>
      </c>
      <c r="C833" s="16">
        <f>195.58/(1+B2)</f>
        <v>195.58</v>
      </c>
      <c r="D833" s="17" t="s">
        <v>11</v>
      </c>
      <c r="E833" s="17" t="s">
        <v>11</v>
      </c>
      <c r="F833" s="18"/>
      <c r="G833" s="36" t="str">
        <f>IF(ISNUMBER(F833),C833*F833,"")</f>
        <v/>
      </c>
    </row>
    <row r="834" spans="1:7" ht="24" customHeight="1" outlineLevel="3" x14ac:dyDescent="0.2">
      <c r="A834" s="14" t="s">
        <v>1643</v>
      </c>
      <c r="B834" s="15" t="s">
        <v>1644</v>
      </c>
      <c r="C834" s="16">
        <f>195.58/(1+B2)</f>
        <v>195.58</v>
      </c>
      <c r="D834" s="17" t="s">
        <v>11</v>
      </c>
      <c r="E834" s="17" t="s">
        <v>11</v>
      </c>
      <c r="F834" s="18"/>
      <c r="G834" s="36" t="str">
        <f>IF(ISNUMBER(F834),C834*F834,"")</f>
        <v/>
      </c>
    </row>
    <row r="835" spans="1:7" ht="12" customHeight="1" outlineLevel="3" x14ac:dyDescent="0.2">
      <c r="A835" s="14" t="s">
        <v>1645</v>
      </c>
      <c r="B835" s="15" t="s">
        <v>1646</v>
      </c>
      <c r="C835" s="16">
        <f>195.58/(1+B2)</f>
        <v>195.58</v>
      </c>
      <c r="D835" s="17" t="s">
        <v>11</v>
      </c>
      <c r="E835" s="17" t="s">
        <v>11</v>
      </c>
      <c r="F835" s="18"/>
      <c r="G835" s="36" t="str">
        <f>IF(ISNUMBER(F835),C835*F835,"")</f>
        <v/>
      </c>
    </row>
    <row r="836" spans="1:7" ht="12" customHeight="1" outlineLevel="3" x14ac:dyDescent="0.2">
      <c r="A836" s="14" t="s">
        <v>1647</v>
      </c>
      <c r="B836" s="15" t="s">
        <v>1648</v>
      </c>
      <c r="C836" s="16">
        <f>195.58/(1+B2)</f>
        <v>195.58</v>
      </c>
      <c r="D836" s="17" t="s">
        <v>11</v>
      </c>
      <c r="E836" s="17"/>
      <c r="F836" s="18"/>
      <c r="G836" s="36" t="str">
        <f>IF(ISNUMBER(F836),C836*F836,"")</f>
        <v/>
      </c>
    </row>
    <row r="837" spans="1:7" ht="12" customHeight="1" outlineLevel="3" x14ac:dyDescent="0.2">
      <c r="A837" s="14" t="s">
        <v>1649</v>
      </c>
      <c r="B837" s="15" t="s">
        <v>1650</v>
      </c>
      <c r="C837" s="16">
        <f>195.58/(1+B2)</f>
        <v>195.58</v>
      </c>
      <c r="D837" s="17" t="s">
        <v>11</v>
      </c>
      <c r="E837" s="17"/>
      <c r="F837" s="18"/>
      <c r="G837" s="36" t="str">
        <f>IF(ISNUMBER(F837),C837*F837,"")</f>
        <v/>
      </c>
    </row>
    <row r="838" spans="1:7" ht="12" customHeight="1" outlineLevel="3" x14ac:dyDescent="0.2">
      <c r="A838" s="14" t="s">
        <v>1651</v>
      </c>
      <c r="B838" s="15" t="s">
        <v>1652</v>
      </c>
      <c r="C838" s="16">
        <f>195.58/(1+B2)</f>
        <v>195.58</v>
      </c>
      <c r="D838" s="17" t="s">
        <v>11</v>
      </c>
      <c r="E838" s="17" t="s">
        <v>11</v>
      </c>
      <c r="F838" s="18"/>
      <c r="G838" s="36" t="str">
        <f>IF(ISNUMBER(F838),C838*F838,"")</f>
        <v/>
      </c>
    </row>
    <row r="839" spans="1:7" s="1" customFormat="1" ht="15.95" customHeight="1" outlineLevel="1" x14ac:dyDescent="0.25">
      <c r="A839" s="11"/>
      <c r="B839" s="12" t="s">
        <v>1653</v>
      </c>
      <c r="C839" s="13"/>
      <c r="D839" s="13"/>
      <c r="E839" s="13"/>
      <c r="F839" s="13"/>
      <c r="G839" s="35"/>
    </row>
    <row r="840" spans="1:7" ht="12" customHeight="1" outlineLevel="2" x14ac:dyDescent="0.2">
      <c r="A840" s="14" t="s">
        <v>1654</v>
      </c>
      <c r="B840" s="15" t="s">
        <v>1655</v>
      </c>
      <c r="C840" s="16">
        <f>257.71/(1+B2)</f>
        <v>257.70999999999998</v>
      </c>
      <c r="D840" s="17" t="s">
        <v>11</v>
      </c>
      <c r="E840" s="17" t="s">
        <v>11</v>
      </c>
      <c r="F840" s="18"/>
      <c r="G840" s="36" t="str">
        <f>IF(ISNUMBER(F840),C840*F840,"")</f>
        <v/>
      </c>
    </row>
    <row r="841" spans="1:7" ht="12" customHeight="1" outlineLevel="2" x14ac:dyDescent="0.2">
      <c r="A841" s="14" t="s">
        <v>1656</v>
      </c>
      <c r="B841" s="15" t="s">
        <v>1657</v>
      </c>
      <c r="C841" s="16">
        <f>257.71/(1+B2)</f>
        <v>257.70999999999998</v>
      </c>
      <c r="D841" s="17" t="s">
        <v>11</v>
      </c>
      <c r="E841" s="17" t="s">
        <v>53</v>
      </c>
      <c r="F841" s="18"/>
      <c r="G841" s="36" t="str">
        <f>IF(ISNUMBER(F841),C841*F841,"")</f>
        <v/>
      </c>
    </row>
    <row r="842" spans="1:7" ht="12" customHeight="1" outlineLevel="2" x14ac:dyDescent="0.2">
      <c r="A842" s="14" t="s">
        <v>1658</v>
      </c>
      <c r="B842" s="15" t="s">
        <v>1659</v>
      </c>
      <c r="C842" s="16">
        <f>257.71/(1+B2)</f>
        <v>257.70999999999998</v>
      </c>
      <c r="D842" s="17" t="s">
        <v>14</v>
      </c>
      <c r="E842" s="17"/>
      <c r="F842" s="18"/>
      <c r="G842" s="36" t="str">
        <f>IF(ISNUMBER(F842),C842*F842,"")</f>
        <v/>
      </c>
    </row>
    <row r="843" spans="1:7" ht="12" customHeight="1" outlineLevel="2" x14ac:dyDescent="0.2">
      <c r="A843" s="14" t="s">
        <v>1660</v>
      </c>
      <c r="B843" s="15" t="s">
        <v>1661</v>
      </c>
      <c r="C843" s="16">
        <f>303.24/(1+B2)</f>
        <v>303.24</v>
      </c>
      <c r="D843" s="17" t="s">
        <v>11</v>
      </c>
      <c r="E843" s="17"/>
      <c r="F843" s="18"/>
      <c r="G843" s="36" t="str">
        <f>IF(ISNUMBER(F843),C843*F843,"")</f>
        <v/>
      </c>
    </row>
    <row r="844" spans="1:7" ht="24" customHeight="1" outlineLevel="2" x14ac:dyDescent="0.2">
      <c r="A844" s="14" t="s">
        <v>1662</v>
      </c>
      <c r="B844" s="15" t="s">
        <v>1663</v>
      </c>
      <c r="C844" s="16">
        <f>354.06/(1+B2)</f>
        <v>354.06</v>
      </c>
      <c r="D844" s="17" t="s">
        <v>11</v>
      </c>
      <c r="E844" s="17"/>
      <c r="F844" s="18"/>
      <c r="G844" s="36" t="str">
        <f>IF(ISNUMBER(F844),C844*F844,"")</f>
        <v/>
      </c>
    </row>
    <row r="845" spans="1:7" ht="24" customHeight="1" outlineLevel="2" x14ac:dyDescent="0.2">
      <c r="A845" s="14" t="s">
        <v>1664</v>
      </c>
      <c r="B845" s="15" t="s">
        <v>1665</v>
      </c>
      <c r="C845" s="16">
        <f>354.06/(1+B2)</f>
        <v>354.06</v>
      </c>
      <c r="D845" s="17" t="s">
        <v>11</v>
      </c>
      <c r="E845" s="17"/>
      <c r="F845" s="18"/>
      <c r="G845" s="36" t="str">
        <f>IF(ISNUMBER(F845),C845*F845,"")</f>
        <v/>
      </c>
    </row>
    <row r="846" spans="1:7" ht="12" customHeight="1" outlineLevel="2" x14ac:dyDescent="0.2">
      <c r="A846" s="14" t="s">
        <v>1666</v>
      </c>
      <c r="B846" s="15" t="s">
        <v>1667</v>
      </c>
      <c r="C846" s="16">
        <f>354.06/(1+B2)</f>
        <v>354.06</v>
      </c>
      <c r="D846" s="17" t="s">
        <v>11</v>
      </c>
      <c r="E846" s="17" t="s">
        <v>11</v>
      </c>
      <c r="F846" s="18"/>
      <c r="G846" s="36" t="str">
        <f>IF(ISNUMBER(F846),C846*F846,"")</f>
        <v/>
      </c>
    </row>
    <row r="847" spans="1:7" ht="12" customHeight="1" outlineLevel="2" x14ac:dyDescent="0.2">
      <c r="A847" s="14" t="s">
        <v>1668</v>
      </c>
      <c r="B847" s="15" t="s">
        <v>1669</v>
      </c>
      <c r="C847" s="16">
        <f>354.06/(1+B2)</f>
        <v>354.06</v>
      </c>
      <c r="D847" s="17" t="s">
        <v>11</v>
      </c>
      <c r="E847" s="17" t="s">
        <v>11</v>
      </c>
      <c r="F847" s="18"/>
      <c r="G847" s="36" t="str">
        <f>IF(ISNUMBER(F847),C847*F847,"")</f>
        <v/>
      </c>
    </row>
    <row r="848" spans="1:7" ht="12" customHeight="1" outlineLevel="2" x14ac:dyDescent="0.2">
      <c r="A848" s="14" t="s">
        <v>1670</v>
      </c>
      <c r="B848" s="15" t="s">
        <v>1671</v>
      </c>
      <c r="C848" s="16">
        <f>354.06/(1+B2)</f>
        <v>354.06</v>
      </c>
      <c r="D848" s="17" t="s">
        <v>11</v>
      </c>
      <c r="E848" s="17" t="s">
        <v>11</v>
      </c>
      <c r="F848" s="18"/>
      <c r="G848" s="36" t="str">
        <f>IF(ISNUMBER(F848),C848*F848,"")</f>
        <v/>
      </c>
    </row>
    <row r="849" spans="1:7" ht="12" customHeight="1" outlineLevel="2" x14ac:dyDescent="0.2">
      <c r="A849" s="14" t="s">
        <v>1672</v>
      </c>
      <c r="B849" s="15" t="s">
        <v>1673</v>
      </c>
      <c r="C849" s="16">
        <f>77.83/(1+B2)</f>
        <v>77.83</v>
      </c>
      <c r="D849" s="17" t="s">
        <v>11</v>
      </c>
      <c r="E849" s="17" t="s">
        <v>11</v>
      </c>
      <c r="F849" s="18"/>
      <c r="G849" s="36" t="str">
        <f>IF(ISNUMBER(F849),C849*F849,"")</f>
        <v/>
      </c>
    </row>
    <row r="850" spans="1:7" ht="12" customHeight="1" outlineLevel="2" x14ac:dyDescent="0.2">
      <c r="A850" s="14" t="s">
        <v>1674</v>
      </c>
      <c r="B850" s="15" t="s">
        <v>1675</v>
      </c>
      <c r="C850" s="16">
        <f>77.83/(1+B2)</f>
        <v>77.83</v>
      </c>
      <c r="D850" s="17" t="s">
        <v>11</v>
      </c>
      <c r="E850" s="17"/>
      <c r="F850" s="18"/>
      <c r="G850" s="36" t="str">
        <f>IF(ISNUMBER(F850),C850*F850,"")</f>
        <v/>
      </c>
    </row>
    <row r="851" spans="1:7" ht="12" customHeight="1" outlineLevel="2" x14ac:dyDescent="0.2">
      <c r="A851" s="14" t="s">
        <v>1676</v>
      </c>
      <c r="B851" s="15" t="s">
        <v>1677</v>
      </c>
      <c r="C851" s="16">
        <f>91.33/(1+B2)</f>
        <v>91.33</v>
      </c>
      <c r="D851" s="17" t="s">
        <v>11</v>
      </c>
      <c r="E851" s="17"/>
      <c r="F851" s="18"/>
      <c r="G851" s="36" t="str">
        <f>IF(ISNUMBER(F851),C851*F851,"")</f>
        <v/>
      </c>
    </row>
    <row r="852" spans="1:7" ht="12" customHeight="1" outlineLevel="2" x14ac:dyDescent="0.2">
      <c r="A852" s="14" t="s">
        <v>1678</v>
      </c>
      <c r="B852" s="15" t="s">
        <v>1679</v>
      </c>
      <c r="C852" s="16">
        <f>87.86/(1+B2)</f>
        <v>87.86</v>
      </c>
      <c r="D852" s="17" t="s">
        <v>11</v>
      </c>
      <c r="E852" s="17"/>
      <c r="F852" s="18"/>
      <c r="G852" s="36" t="str">
        <f>IF(ISNUMBER(F852),C852*F852,"")</f>
        <v/>
      </c>
    </row>
    <row r="853" spans="1:7" ht="24" customHeight="1" outlineLevel="2" x14ac:dyDescent="0.2">
      <c r="A853" s="14" t="s">
        <v>1680</v>
      </c>
      <c r="B853" s="15" t="s">
        <v>1681</v>
      </c>
      <c r="C853" s="16">
        <f>55.09/(1+B2)</f>
        <v>55.09</v>
      </c>
      <c r="D853" s="17" t="s">
        <v>14</v>
      </c>
      <c r="E853" s="17"/>
      <c r="F853" s="18"/>
      <c r="G853" s="36" t="str">
        <f>IF(ISNUMBER(F853),C853*F853,"")</f>
        <v/>
      </c>
    </row>
    <row r="854" spans="1:7" ht="12" customHeight="1" outlineLevel="2" x14ac:dyDescent="0.2">
      <c r="A854" s="14" t="s">
        <v>1682</v>
      </c>
      <c r="B854" s="15" t="s">
        <v>1683</v>
      </c>
      <c r="C854" s="16">
        <f>61.18/(1+B2)</f>
        <v>61.18</v>
      </c>
      <c r="D854" s="17" t="s">
        <v>11</v>
      </c>
      <c r="E854" s="17" t="s">
        <v>11</v>
      </c>
      <c r="F854" s="18"/>
      <c r="G854" s="36" t="str">
        <f>IF(ISNUMBER(F854),C854*F854,"")</f>
        <v/>
      </c>
    </row>
    <row r="855" spans="1:7" ht="12" customHeight="1" outlineLevel="2" x14ac:dyDescent="0.2">
      <c r="A855" s="14" t="s">
        <v>1684</v>
      </c>
      <c r="B855" s="15" t="s">
        <v>1685</v>
      </c>
      <c r="C855" s="16">
        <f>436.46/(1+B2)</f>
        <v>436.46</v>
      </c>
      <c r="D855" s="17" t="s">
        <v>11</v>
      </c>
      <c r="E855" s="17"/>
      <c r="F855" s="18"/>
      <c r="G855" s="36" t="str">
        <f>IF(ISNUMBER(F855),C855*F855,"")</f>
        <v/>
      </c>
    </row>
    <row r="856" spans="1:7" ht="24" customHeight="1" outlineLevel="2" x14ac:dyDescent="0.2">
      <c r="A856" s="14" t="s">
        <v>1686</v>
      </c>
      <c r="B856" s="15" t="s">
        <v>1687</v>
      </c>
      <c r="C856" s="16">
        <f>71.33/(1+B2)</f>
        <v>71.33</v>
      </c>
      <c r="D856" s="17" t="s">
        <v>11</v>
      </c>
      <c r="E856" s="17" t="s">
        <v>14</v>
      </c>
      <c r="F856" s="18"/>
      <c r="G856" s="36" t="str">
        <f>IF(ISNUMBER(F856),C856*F856,"")</f>
        <v/>
      </c>
    </row>
    <row r="857" spans="1:7" ht="12" customHeight="1" outlineLevel="2" x14ac:dyDescent="0.2">
      <c r="A857" s="14" t="s">
        <v>1688</v>
      </c>
      <c r="B857" s="15" t="s">
        <v>1689</v>
      </c>
      <c r="C857" s="16">
        <f>71.74/(1+B2)</f>
        <v>71.739999999999995</v>
      </c>
      <c r="D857" s="17" t="s">
        <v>11</v>
      </c>
      <c r="E857" s="17" t="s">
        <v>14</v>
      </c>
      <c r="F857" s="18"/>
      <c r="G857" s="36" t="str">
        <f>IF(ISNUMBER(F857),C857*F857,"")</f>
        <v/>
      </c>
    </row>
    <row r="858" spans="1:7" ht="12" customHeight="1" outlineLevel="2" x14ac:dyDescent="0.2">
      <c r="A858" s="14" t="s">
        <v>1690</v>
      </c>
      <c r="B858" s="15" t="s">
        <v>1691</v>
      </c>
      <c r="C858" s="16">
        <f>146.78/(1+B2)</f>
        <v>146.78</v>
      </c>
      <c r="D858" s="17" t="s">
        <v>11</v>
      </c>
      <c r="E858" s="17" t="s">
        <v>14</v>
      </c>
      <c r="F858" s="18"/>
      <c r="G858" s="36" t="str">
        <f>IF(ISNUMBER(F858),C858*F858,"")</f>
        <v/>
      </c>
    </row>
    <row r="859" spans="1:7" ht="12" customHeight="1" outlineLevel="2" x14ac:dyDescent="0.2">
      <c r="A859" s="14" t="s">
        <v>1692</v>
      </c>
      <c r="B859" s="15" t="s">
        <v>1693</v>
      </c>
      <c r="C859" s="16">
        <f>146.78/(1+B2)</f>
        <v>146.78</v>
      </c>
      <c r="D859" s="17"/>
      <c r="E859" s="17" t="s">
        <v>53</v>
      </c>
      <c r="F859" s="18"/>
      <c r="G859" s="36" t="str">
        <f>IF(ISNUMBER(F859),C859*F859,"")</f>
        <v/>
      </c>
    </row>
    <row r="860" spans="1:7" ht="12" customHeight="1" outlineLevel="2" x14ac:dyDescent="0.2">
      <c r="A860" s="14" t="s">
        <v>1694</v>
      </c>
      <c r="B860" s="15" t="s">
        <v>1695</v>
      </c>
      <c r="C860" s="16">
        <f>147.13/(1+B2)</f>
        <v>147.13</v>
      </c>
      <c r="D860" s="17" t="s">
        <v>11</v>
      </c>
      <c r="E860" s="17" t="s">
        <v>11</v>
      </c>
      <c r="F860" s="18"/>
      <c r="G860" s="36" t="str">
        <f>IF(ISNUMBER(F860),C860*F860,"")</f>
        <v/>
      </c>
    </row>
    <row r="861" spans="1:7" ht="12" customHeight="1" outlineLevel="2" x14ac:dyDescent="0.2">
      <c r="A861" s="14" t="s">
        <v>1696</v>
      </c>
      <c r="B861" s="15" t="s">
        <v>1697</v>
      </c>
      <c r="C861" s="16">
        <f>147.13/(1+B2)</f>
        <v>147.13</v>
      </c>
      <c r="D861" s="17" t="s">
        <v>11</v>
      </c>
      <c r="E861" s="17" t="s">
        <v>11</v>
      </c>
      <c r="F861" s="18"/>
      <c r="G861" s="36" t="str">
        <f>IF(ISNUMBER(F861),C861*F861,"")</f>
        <v/>
      </c>
    </row>
    <row r="862" spans="1:7" ht="12" customHeight="1" outlineLevel="2" x14ac:dyDescent="0.2">
      <c r="A862" s="14" t="s">
        <v>1698</v>
      </c>
      <c r="B862" s="15" t="s">
        <v>1699</v>
      </c>
      <c r="C862" s="16">
        <f>146.78/(1+B2)</f>
        <v>146.78</v>
      </c>
      <c r="D862" s="17" t="s">
        <v>11</v>
      </c>
      <c r="E862" s="17" t="s">
        <v>14</v>
      </c>
      <c r="F862" s="18"/>
      <c r="G862" s="36" t="str">
        <f>IF(ISNUMBER(F862),C862*F862,"")</f>
        <v/>
      </c>
    </row>
    <row r="863" spans="1:7" ht="12" customHeight="1" outlineLevel="2" x14ac:dyDescent="0.2">
      <c r="A863" s="14" t="s">
        <v>1700</v>
      </c>
      <c r="B863" s="15" t="s">
        <v>1701</v>
      </c>
      <c r="C863" s="16">
        <f>114.89/(1+B2)</f>
        <v>114.89</v>
      </c>
      <c r="D863" s="17" t="s">
        <v>14</v>
      </c>
      <c r="E863" s="17" t="s">
        <v>14</v>
      </c>
      <c r="F863" s="18"/>
      <c r="G863" s="36" t="str">
        <f>IF(ISNUMBER(F863),C863*F863,"")</f>
        <v/>
      </c>
    </row>
    <row r="864" spans="1:7" ht="12" customHeight="1" outlineLevel="2" x14ac:dyDescent="0.2">
      <c r="A864" s="14" t="s">
        <v>1702</v>
      </c>
      <c r="B864" s="15" t="s">
        <v>1703</v>
      </c>
      <c r="C864" s="16">
        <f>109.93/(1+B2)</f>
        <v>109.93</v>
      </c>
      <c r="D864" s="17" t="s">
        <v>11</v>
      </c>
      <c r="E864" s="17" t="s">
        <v>11</v>
      </c>
      <c r="F864" s="18"/>
      <c r="G864" s="36" t="str">
        <f>IF(ISNUMBER(F864),C864*F864,"")</f>
        <v/>
      </c>
    </row>
    <row r="865" spans="1:7" ht="12" customHeight="1" outlineLevel="2" x14ac:dyDescent="0.2">
      <c r="A865" s="14" t="s">
        <v>1704</v>
      </c>
      <c r="B865" s="15" t="s">
        <v>1705</v>
      </c>
      <c r="C865" s="16">
        <f>301.47/(1+B2)</f>
        <v>301.47000000000003</v>
      </c>
      <c r="D865" s="17" t="s">
        <v>11</v>
      </c>
      <c r="E865" s="17"/>
      <c r="F865" s="18"/>
      <c r="G865" s="36" t="str">
        <f>IF(ISNUMBER(F865),C865*F865,"")</f>
        <v/>
      </c>
    </row>
    <row r="866" spans="1:7" s="1" customFormat="1" ht="15.95" customHeight="1" outlineLevel="1" x14ac:dyDescent="0.25">
      <c r="A866" s="11"/>
      <c r="B866" s="12" t="s">
        <v>1706</v>
      </c>
      <c r="C866" s="13"/>
      <c r="D866" s="13"/>
      <c r="E866" s="13"/>
      <c r="F866" s="13"/>
      <c r="G866" s="35"/>
    </row>
    <row r="867" spans="1:7" ht="12" customHeight="1" outlineLevel="2" x14ac:dyDescent="0.2">
      <c r="A867" s="14" t="s">
        <v>1707</v>
      </c>
      <c r="B867" s="15" t="s">
        <v>1708</v>
      </c>
      <c r="C867" s="16">
        <f>272.59/(1+B2)</f>
        <v>272.58999999999997</v>
      </c>
      <c r="D867" s="17" t="s">
        <v>11</v>
      </c>
      <c r="E867" s="17" t="s">
        <v>11</v>
      </c>
      <c r="F867" s="18"/>
      <c r="G867" s="36" t="str">
        <f>IF(ISNUMBER(F867),C867*F867,"")</f>
        <v/>
      </c>
    </row>
    <row r="868" spans="1:7" ht="12" customHeight="1" outlineLevel="2" x14ac:dyDescent="0.2">
      <c r="A868" s="14" t="s">
        <v>1709</v>
      </c>
      <c r="B868" s="15" t="s">
        <v>1710</v>
      </c>
      <c r="C868" s="16">
        <f>272.59/(1+B2)</f>
        <v>272.58999999999997</v>
      </c>
      <c r="D868" s="17" t="s">
        <v>11</v>
      </c>
      <c r="E868" s="17" t="s">
        <v>14</v>
      </c>
      <c r="F868" s="18"/>
      <c r="G868" s="36" t="str">
        <f>IF(ISNUMBER(F868),C868*F868,"")</f>
        <v/>
      </c>
    </row>
    <row r="869" spans="1:7" ht="12" customHeight="1" outlineLevel="2" x14ac:dyDescent="0.2">
      <c r="A869" s="14" t="s">
        <v>1711</v>
      </c>
      <c r="B869" s="15" t="s">
        <v>1712</v>
      </c>
      <c r="C869" s="16">
        <f>294.05/(1+B2)</f>
        <v>294.05</v>
      </c>
      <c r="D869" s="17" t="s">
        <v>11</v>
      </c>
      <c r="E869" s="17" t="s">
        <v>11</v>
      </c>
      <c r="F869" s="18"/>
      <c r="G869" s="36" t="str">
        <f>IF(ISNUMBER(F869),C869*F869,"")</f>
        <v/>
      </c>
    </row>
    <row r="870" spans="1:7" ht="12" customHeight="1" outlineLevel="2" x14ac:dyDescent="0.2">
      <c r="A870" s="14" t="s">
        <v>1713</v>
      </c>
      <c r="B870" s="15" t="s">
        <v>1714</v>
      </c>
      <c r="C870" s="16">
        <f>272.59/(1+B2)</f>
        <v>272.58999999999997</v>
      </c>
      <c r="D870" s="17" t="s">
        <v>11</v>
      </c>
      <c r="E870" s="17"/>
      <c r="F870" s="18"/>
      <c r="G870" s="36" t="str">
        <f>IF(ISNUMBER(F870),C870*F870,"")</f>
        <v/>
      </c>
    </row>
    <row r="871" spans="1:7" ht="12" customHeight="1" outlineLevel="2" x14ac:dyDescent="0.2">
      <c r="A871" s="14" t="s">
        <v>1715</v>
      </c>
      <c r="B871" s="15" t="s">
        <v>1716</v>
      </c>
      <c r="C871" s="16">
        <f>272.59/(1+B2)</f>
        <v>272.58999999999997</v>
      </c>
      <c r="D871" s="17" t="s">
        <v>11</v>
      </c>
      <c r="E871" s="17"/>
      <c r="F871" s="18"/>
      <c r="G871" s="36" t="str">
        <f>IF(ISNUMBER(F871),C871*F871,"")</f>
        <v/>
      </c>
    </row>
    <row r="872" spans="1:7" ht="12" customHeight="1" outlineLevel="2" x14ac:dyDescent="0.2">
      <c r="A872" s="14" t="s">
        <v>1717</v>
      </c>
      <c r="B872" s="15" t="s">
        <v>1718</v>
      </c>
      <c r="C872" s="16">
        <f>272.59/(1+B2)</f>
        <v>272.58999999999997</v>
      </c>
      <c r="D872" s="17" t="s">
        <v>11</v>
      </c>
      <c r="E872" s="17" t="s">
        <v>11</v>
      </c>
      <c r="F872" s="18"/>
      <c r="G872" s="36" t="str">
        <f>IF(ISNUMBER(F872),C872*F872,"")</f>
        <v/>
      </c>
    </row>
    <row r="873" spans="1:7" ht="12" customHeight="1" outlineLevel="2" x14ac:dyDescent="0.2">
      <c r="A873" s="14" t="s">
        <v>1719</v>
      </c>
      <c r="B873" s="15" t="s">
        <v>1720</v>
      </c>
      <c r="C873" s="16">
        <f>272.59/(1+B2)</f>
        <v>272.58999999999997</v>
      </c>
      <c r="D873" s="17" t="s">
        <v>11</v>
      </c>
      <c r="E873" s="17"/>
      <c r="F873" s="18"/>
      <c r="G873" s="36" t="str">
        <f>IF(ISNUMBER(F873),C873*F873,"")</f>
        <v/>
      </c>
    </row>
    <row r="874" spans="1:7" ht="12" customHeight="1" outlineLevel="2" x14ac:dyDescent="0.2">
      <c r="A874" s="14" t="s">
        <v>1721</v>
      </c>
      <c r="B874" s="15" t="s">
        <v>1722</v>
      </c>
      <c r="C874" s="16">
        <f>272.59/(1+B2)</f>
        <v>272.58999999999997</v>
      </c>
      <c r="D874" s="17" t="s">
        <v>11</v>
      </c>
      <c r="E874" s="17" t="s">
        <v>11</v>
      </c>
      <c r="F874" s="18"/>
      <c r="G874" s="36" t="str">
        <f>IF(ISNUMBER(F874),C874*F874,"")</f>
        <v/>
      </c>
    </row>
    <row r="875" spans="1:7" ht="12" customHeight="1" outlineLevel="2" x14ac:dyDescent="0.2">
      <c r="A875" s="14" t="s">
        <v>1723</v>
      </c>
      <c r="B875" s="15" t="s">
        <v>1724</v>
      </c>
      <c r="C875" s="16">
        <f>272.59/(1+B2)</f>
        <v>272.58999999999997</v>
      </c>
      <c r="D875" s="17" t="s">
        <v>11</v>
      </c>
      <c r="E875" s="17"/>
      <c r="F875" s="18"/>
      <c r="G875" s="36" t="str">
        <f>IF(ISNUMBER(F875),C875*F875,"")</f>
        <v/>
      </c>
    </row>
    <row r="876" spans="1:7" ht="12" customHeight="1" outlineLevel="2" x14ac:dyDescent="0.2">
      <c r="A876" s="14" t="s">
        <v>1725</v>
      </c>
      <c r="B876" s="15" t="s">
        <v>1726</v>
      </c>
      <c r="C876" s="16">
        <f>272.59/(1+B2)</f>
        <v>272.58999999999997</v>
      </c>
      <c r="D876" s="17" t="s">
        <v>11</v>
      </c>
      <c r="E876" s="17"/>
      <c r="F876" s="18"/>
      <c r="G876" s="36" t="str">
        <f>IF(ISNUMBER(F876),C876*F876,"")</f>
        <v/>
      </c>
    </row>
    <row r="877" spans="1:7" ht="12" customHeight="1" outlineLevel="2" x14ac:dyDescent="0.2">
      <c r="A877" s="14" t="s">
        <v>1727</v>
      </c>
      <c r="B877" s="15" t="s">
        <v>1728</v>
      </c>
      <c r="C877" s="16">
        <f>294.05/(1+B2)</f>
        <v>294.05</v>
      </c>
      <c r="D877" s="17" t="s">
        <v>11</v>
      </c>
      <c r="E877" s="17"/>
      <c r="F877" s="18"/>
      <c r="G877" s="36" t="str">
        <f>IF(ISNUMBER(F877),C877*F877,"")</f>
        <v/>
      </c>
    </row>
    <row r="878" spans="1:7" ht="12" customHeight="1" outlineLevel="2" x14ac:dyDescent="0.2">
      <c r="A878" s="14" t="s">
        <v>1729</v>
      </c>
      <c r="B878" s="15" t="s">
        <v>1730</v>
      </c>
      <c r="C878" s="16">
        <f>272.59/(1+B2)</f>
        <v>272.58999999999997</v>
      </c>
      <c r="D878" s="17" t="s">
        <v>11</v>
      </c>
      <c r="E878" s="17"/>
      <c r="F878" s="18"/>
      <c r="G878" s="36" t="str">
        <f>IF(ISNUMBER(F878),C878*F878,"")</f>
        <v/>
      </c>
    </row>
    <row r="879" spans="1:7" ht="12" customHeight="1" outlineLevel="2" x14ac:dyDescent="0.2">
      <c r="A879" s="14" t="s">
        <v>1731</v>
      </c>
      <c r="B879" s="15" t="s">
        <v>1732</v>
      </c>
      <c r="C879" s="16">
        <f>272.59/(1+B2)</f>
        <v>272.58999999999997</v>
      </c>
      <c r="D879" s="17" t="s">
        <v>11</v>
      </c>
      <c r="E879" s="17" t="s">
        <v>11</v>
      </c>
      <c r="F879" s="18"/>
      <c r="G879" s="36" t="str">
        <f>IF(ISNUMBER(F879),C879*F879,"")</f>
        <v/>
      </c>
    </row>
    <row r="880" spans="1:7" ht="12" customHeight="1" outlineLevel="2" x14ac:dyDescent="0.2">
      <c r="A880" s="14" t="s">
        <v>1733</v>
      </c>
      <c r="B880" s="15" t="s">
        <v>1734</v>
      </c>
      <c r="C880" s="16">
        <f>272.59/(1+B2)</f>
        <v>272.58999999999997</v>
      </c>
      <c r="D880" s="17" t="s">
        <v>11</v>
      </c>
      <c r="E880" s="17" t="s">
        <v>11</v>
      </c>
      <c r="F880" s="18"/>
      <c r="G880" s="36" t="str">
        <f>IF(ISNUMBER(F880),C880*F880,"")</f>
        <v/>
      </c>
    </row>
    <row r="881" spans="1:7" ht="12" customHeight="1" outlineLevel="2" x14ac:dyDescent="0.2">
      <c r="A881" s="14" t="s">
        <v>1735</v>
      </c>
      <c r="B881" s="15" t="s">
        <v>1736</v>
      </c>
      <c r="C881" s="16">
        <f>272.59/(1+B2)</f>
        <v>272.58999999999997</v>
      </c>
      <c r="D881" s="17" t="s">
        <v>11</v>
      </c>
      <c r="E881" s="17"/>
      <c r="F881" s="18"/>
      <c r="G881" s="36" t="str">
        <f>IF(ISNUMBER(F881),C881*F881,"")</f>
        <v/>
      </c>
    </row>
    <row r="882" spans="1:7" ht="12" customHeight="1" outlineLevel="2" x14ac:dyDescent="0.2">
      <c r="A882" s="14" t="s">
        <v>1737</v>
      </c>
      <c r="B882" s="15" t="s">
        <v>1738</v>
      </c>
      <c r="C882" s="16">
        <f>272.59/(1+B2)</f>
        <v>272.58999999999997</v>
      </c>
      <c r="D882" s="17" t="s">
        <v>11</v>
      </c>
      <c r="E882" s="17"/>
      <c r="F882" s="18"/>
      <c r="G882" s="36" t="str">
        <f>IF(ISNUMBER(F882),C882*F882,"")</f>
        <v/>
      </c>
    </row>
    <row r="883" spans="1:7" ht="12" customHeight="1" outlineLevel="2" x14ac:dyDescent="0.2">
      <c r="A883" s="14" t="s">
        <v>1739</v>
      </c>
      <c r="B883" s="15" t="s">
        <v>1740</v>
      </c>
      <c r="C883" s="16">
        <f>203.46/(1+B2)</f>
        <v>203.46</v>
      </c>
      <c r="D883" s="17" t="s">
        <v>11</v>
      </c>
      <c r="E883" s="17"/>
      <c r="F883" s="18"/>
      <c r="G883" s="36" t="str">
        <f>IF(ISNUMBER(F883),C883*F883,"")</f>
        <v/>
      </c>
    </row>
    <row r="884" spans="1:7" ht="24" customHeight="1" outlineLevel="2" x14ac:dyDescent="0.2">
      <c r="A884" s="14" t="s">
        <v>1741</v>
      </c>
      <c r="B884" s="15" t="s">
        <v>1742</v>
      </c>
      <c r="C884" s="16">
        <f>355.2/(1+B2)</f>
        <v>355.2</v>
      </c>
      <c r="D884" s="17" t="s">
        <v>11</v>
      </c>
      <c r="E884" s="17"/>
      <c r="F884" s="18"/>
      <c r="G884" s="36" t="str">
        <f>IF(ISNUMBER(F884),C884*F884,"")</f>
        <v/>
      </c>
    </row>
    <row r="885" spans="1:7" ht="12" customHeight="1" outlineLevel="2" x14ac:dyDescent="0.2">
      <c r="A885" s="14" t="s">
        <v>1743</v>
      </c>
      <c r="B885" s="15" t="s">
        <v>1744</v>
      </c>
      <c r="C885" s="16">
        <f>103.36/(1+B2)</f>
        <v>103.36</v>
      </c>
      <c r="D885" s="17" t="s">
        <v>11</v>
      </c>
      <c r="E885" s="17"/>
      <c r="F885" s="18"/>
      <c r="G885" s="36" t="str">
        <f>IF(ISNUMBER(F885),C885*F885,"")</f>
        <v/>
      </c>
    </row>
    <row r="886" spans="1:7" ht="12" customHeight="1" outlineLevel="2" x14ac:dyDescent="0.2">
      <c r="A886" s="14" t="s">
        <v>1745</v>
      </c>
      <c r="B886" s="15" t="s">
        <v>1746</v>
      </c>
      <c r="C886" s="16">
        <f>120.03/(1+B2)</f>
        <v>120.03</v>
      </c>
      <c r="D886" s="17" t="s">
        <v>11</v>
      </c>
      <c r="E886" s="17"/>
      <c r="F886" s="18"/>
      <c r="G886" s="36" t="str">
        <f>IF(ISNUMBER(F886),C886*F886,"")</f>
        <v/>
      </c>
    </row>
    <row r="887" spans="1:7" ht="12" customHeight="1" outlineLevel="2" x14ac:dyDescent="0.2">
      <c r="A887" s="14" t="s">
        <v>1747</v>
      </c>
      <c r="B887" s="15" t="s">
        <v>1748</v>
      </c>
      <c r="C887" s="16">
        <f>120.03/(1+B2)</f>
        <v>120.03</v>
      </c>
      <c r="D887" s="17" t="s">
        <v>11</v>
      </c>
      <c r="E887" s="17" t="s">
        <v>11</v>
      </c>
      <c r="F887" s="18"/>
      <c r="G887" s="36" t="str">
        <f>IF(ISNUMBER(F887),C887*F887,"")</f>
        <v/>
      </c>
    </row>
    <row r="888" spans="1:7" ht="12" customHeight="1" outlineLevel="2" x14ac:dyDescent="0.2">
      <c r="A888" s="14" t="s">
        <v>1749</v>
      </c>
      <c r="B888" s="15" t="s">
        <v>1750</v>
      </c>
      <c r="C888" s="16">
        <f>120.03/(1+B2)</f>
        <v>120.03</v>
      </c>
      <c r="D888" s="17" t="s">
        <v>11</v>
      </c>
      <c r="E888" s="17"/>
      <c r="F888" s="18"/>
      <c r="G888" s="36" t="str">
        <f>IF(ISNUMBER(F888),C888*F888,"")</f>
        <v/>
      </c>
    </row>
    <row r="889" spans="1:7" ht="12" customHeight="1" outlineLevel="2" x14ac:dyDescent="0.2">
      <c r="A889" s="14" t="s">
        <v>1751</v>
      </c>
      <c r="B889" s="15" t="s">
        <v>1752</v>
      </c>
      <c r="C889" s="16">
        <f>120.03/(1+B2)</f>
        <v>120.03</v>
      </c>
      <c r="D889" s="17" t="s">
        <v>11</v>
      </c>
      <c r="E889" s="17" t="s">
        <v>11</v>
      </c>
      <c r="F889" s="18"/>
      <c r="G889" s="36" t="str">
        <f>IF(ISNUMBER(F889),C889*F889,"")</f>
        <v/>
      </c>
    </row>
    <row r="890" spans="1:7" ht="12" customHeight="1" outlineLevel="2" x14ac:dyDescent="0.2">
      <c r="A890" s="14" t="s">
        <v>1753</v>
      </c>
      <c r="B890" s="15" t="s">
        <v>1754</v>
      </c>
      <c r="C890" s="16">
        <f>108.03/(1+B2)</f>
        <v>108.03</v>
      </c>
      <c r="D890" s="17" t="s">
        <v>11</v>
      </c>
      <c r="E890" s="17"/>
      <c r="F890" s="18"/>
      <c r="G890" s="36" t="str">
        <f>IF(ISNUMBER(F890),C890*F890,"")</f>
        <v/>
      </c>
    </row>
    <row r="891" spans="1:7" ht="12" customHeight="1" outlineLevel="2" x14ac:dyDescent="0.2">
      <c r="A891" s="14" t="s">
        <v>1755</v>
      </c>
      <c r="B891" s="15" t="s">
        <v>1756</v>
      </c>
      <c r="C891" s="16">
        <f>108.03/(1+B2)</f>
        <v>108.03</v>
      </c>
      <c r="D891" s="17" t="s">
        <v>11</v>
      </c>
      <c r="E891" s="17" t="s">
        <v>11</v>
      </c>
      <c r="F891" s="18"/>
      <c r="G891" s="36" t="str">
        <f>IF(ISNUMBER(F891),C891*F891,"")</f>
        <v/>
      </c>
    </row>
    <row r="892" spans="1:7" ht="12" customHeight="1" outlineLevel="2" x14ac:dyDescent="0.2">
      <c r="A892" s="14" t="s">
        <v>1757</v>
      </c>
      <c r="B892" s="15" t="s">
        <v>1758</v>
      </c>
      <c r="C892" s="16">
        <f>108.03/(1+B2)</f>
        <v>108.03</v>
      </c>
      <c r="D892" s="17" t="s">
        <v>11</v>
      </c>
      <c r="E892" s="17"/>
      <c r="F892" s="18"/>
      <c r="G892" s="36" t="str">
        <f>IF(ISNUMBER(F892),C892*F892,"")</f>
        <v/>
      </c>
    </row>
    <row r="893" spans="1:7" ht="12" customHeight="1" outlineLevel="2" x14ac:dyDescent="0.2">
      <c r="A893" s="14" t="s">
        <v>1759</v>
      </c>
      <c r="B893" s="15" t="s">
        <v>1760</v>
      </c>
      <c r="C893" s="16">
        <f>108.03/(1+B2)</f>
        <v>108.03</v>
      </c>
      <c r="D893" s="17" t="s">
        <v>11</v>
      </c>
      <c r="E893" s="17"/>
      <c r="F893" s="18"/>
      <c r="G893" s="36" t="str">
        <f>IF(ISNUMBER(F893),C893*F893,"")</f>
        <v/>
      </c>
    </row>
    <row r="894" spans="1:7" ht="12" customHeight="1" outlineLevel="2" x14ac:dyDescent="0.2">
      <c r="A894" s="14" t="s">
        <v>1761</v>
      </c>
      <c r="B894" s="15" t="s">
        <v>1762</v>
      </c>
      <c r="C894" s="16">
        <f>185.03/(1+B2)</f>
        <v>185.03</v>
      </c>
      <c r="D894" s="17" t="s">
        <v>11</v>
      </c>
      <c r="E894" s="17" t="s">
        <v>11</v>
      </c>
      <c r="F894" s="18"/>
      <c r="G894" s="36" t="str">
        <f>IF(ISNUMBER(F894),C894*F894,"")</f>
        <v/>
      </c>
    </row>
    <row r="895" spans="1:7" ht="12" customHeight="1" outlineLevel="2" x14ac:dyDescent="0.2">
      <c r="A895" s="14" t="s">
        <v>1763</v>
      </c>
      <c r="B895" s="15" t="s">
        <v>1764</v>
      </c>
      <c r="C895" s="16">
        <f>185.03/(1+B2)</f>
        <v>185.03</v>
      </c>
      <c r="D895" s="17" t="s">
        <v>11</v>
      </c>
      <c r="E895" s="17"/>
      <c r="F895" s="18"/>
      <c r="G895" s="36" t="str">
        <f>IF(ISNUMBER(F895),C895*F895,"")</f>
        <v/>
      </c>
    </row>
    <row r="896" spans="1:7" ht="12" customHeight="1" outlineLevel="2" x14ac:dyDescent="0.2">
      <c r="A896" s="14" t="s">
        <v>1765</v>
      </c>
      <c r="B896" s="15" t="s">
        <v>1766</v>
      </c>
      <c r="C896" s="16">
        <f>185.03/(1+B2)</f>
        <v>185.03</v>
      </c>
      <c r="D896" s="17" t="s">
        <v>11</v>
      </c>
      <c r="E896" s="17"/>
      <c r="F896" s="18"/>
      <c r="G896" s="36" t="str">
        <f>IF(ISNUMBER(F896),C896*F896,"")</f>
        <v/>
      </c>
    </row>
    <row r="897" spans="1:7" ht="12" customHeight="1" outlineLevel="2" x14ac:dyDescent="0.2">
      <c r="A897" s="14" t="s">
        <v>1767</v>
      </c>
      <c r="B897" s="15" t="s">
        <v>1768</v>
      </c>
      <c r="C897" s="16">
        <f>166.66/(1+B2)</f>
        <v>166.66</v>
      </c>
      <c r="D897" s="17" t="s">
        <v>11</v>
      </c>
      <c r="E897" s="17"/>
      <c r="F897" s="18"/>
      <c r="G897" s="36" t="str">
        <f>IF(ISNUMBER(F897),C897*F897,"")</f>
        <v/>
      </c>
    </row>
    <row r="898" spans="1:7" ht="12" customHeight="1" outlineLevel="2" x14ac:dyDescent="0.2">
      <c r="A898" s="14" t="s">
        <v>1769</v>
      </c>
      <c r="B898" s="15" t="s">
        <v>1770</v>
      </c>
      <c r="C898" s="16">
        <f>171.8/(1+B2)</f>
        <v>171.8</v>
      </c>
      <c r="D898" s="17" t="s">
        <v>11</v>
      </c>
      <c r="E898" s="17" t="s">
        <v>11</v>
      </c>
      <c r="F898" s="18"/>
      <c r="G898" s="36" t="str">
        <f>IF(ISNUMBER(F898),C898*F898,"")</f>
        <v/>
      </c>
    </row>
    <row r="899" spans="1:7" ht="12" customHeight="1" outlineLevel="2" x14ac:dyDescent="0.2">
      <c r="A899" s="14" t="s">
        <v>1771</v>
      </c>
      <c r="B899" s="15" t="s">
        <v>1772</v>
      </c>
      <c r="C899" s="16">
        <f>224.13/(1+B2)</f>
        <v>224.13</v>
      </c>
      <c r="D899" s="17" t="s">
        <v>11</v>
      </c>
      <c r="E899" s="17" t="s">
        <v>11</v>
      </c>
      <c r="F899" s="18"/>
      <c r="G899" s="36" t="str">
        <f>IF(ISNUMBER(F899),C899*F899,"")</f>
        <v/>
      </c>
    </row>
    <row r="900" spans="1:7" ht="12" customHeight="1" outlineLevel="2" x14ac:dyDescent="0.2">
      <c r="A900" s="14" t="s">
        <v>1773</v>
      </c>
      <c r="B900" s="15" t="s">
        <v>1774</v>
      </c>
      <c r="C900" s="16">
        <f>222.35/(1+B2)</f>
        <v>222.35</v>
      </c>
      <c r="D900" s="17" t="s">
        <v>11</v>
      </c>
      <c r="E900" s="17"/>
      <c r="F900" s="18"/>
      <c r="G900" s="36" t="str">
        <f>IF(ISNUMBER(F900),C900*F900,"")</f>
        <v/>
      </c>
    </row>
    <row r="901" spans="1:7" ht="12" customHeight="1" outlineLevel="2" x14ac:dyDescent="0.2">
      <c r="A901" s="14" t="s">
        <v>1775</v>
      </c>
      <c r="B901" s="15" t="s">
        <v>1776</v>
      </c>
      <c r="C901" s="16">
        <f>224.13/(1+B2)</f>
        <v>224.13</v>
      </c>
      <c r="D901" s="17" t="s">
        <v>11</v>
      </c>
      <c r="E901" s="17" t="s">
        <v>11</v>
      </c>
      <c r="F901" s="18"/>
      <c r="G901" s="36" t="str">
        <f>IF(ISNUMBER(F901),C901*F901,"")</f>
        <v/>
      </c>
    </row>
    <row r="902" spans="1:7" ht="12" customHeight="1" outlineLevel="2" x14ac:dyDescent="0.2">
      <c r="A902" s="14" t="s">
        <v>1777</v>
      </c>
      <c r="B902" s="15" t="s">
        <v>1778</v>
      </c>
      <c r="C902" s="16">
        <f>222.35/(1+B2)</f>
        <v>222.35</v>
      </c>
      <c r="D902" s="17" t="s">
        <v>11</v>
      </c>
      <c r="E902" s="17"/>
      <c r="F902" s="18"/>
      <c r="G902" s="36" t="str">
        <f>IF(ISNUMBER(F902),C902*F902,"")</f>
        <v/>
      </c>
    </row>
    <row r="903" spans="1:7" ht="12" customHeight="1" outlineLevel="2" x14ac:dyDescent="0.2">
      <c r="A903" s="14" t="s">
        <v>1779</v>
      </c>
      <c r="B903" s="15" t="s">
        <v>1780</v>
      </c>
      <c r="C903" s="16">
        <f>128.06/(1+B2)</f>
        <v>128.06</v>
      </c>
      <c r="D903" s="17" t="s">
        <v>11</v>
      </c>
      <c r="E903" s="17" t="s">
        <v>11</v>
      </c>
      <c r="F903" s="18"/>
      <c r="G903" s="36" t="str">
        <f>IF(ISNUMBER(F903),C903*F903,"")</f>
        <v/>
      </c>
    </row>
    <row r="904" spans="1:7" ht="12" customHeight="1" outlineLevel="2" x14ac:dyDescent="0.2">
      <c r="A904" s="14" t="s">
        <v>1781</v>
      </c>
      <c r="B904" s="15" t="s">
        <v>1782</v>
      </c>
      <c r="C904" s="16">
        <f>222.35/(1+B2)</f>
        <v>222.35</v>
      </c>
      <c r="D904" s="17" t="s">
        <v>11</v>
      </c>
      <c r="E904" s="17"/>
      <c r="F904" s="18"/>
      <c r="G904" s="36" t="str">
        <f>IF(ISNUMBER(F904),C904*F904,"")</f>
        <v/>
      </c>
    </row>
    <row r="905" spans="1:7" ht="12" customHeight="1" outlineLevel="2" x14ac:dyDescent="0.2">
      <c r="A905" s="14" t="s">
        <v>1783</v>
      </c>
      <c r="B905" s="15" t="s">
        <v>1784</v>
      </c>
      <c r="C905" s="16">
        <f>160.09/(1+B2)</f>
        <v>160.09</v>
      </c>
      <c r="D905" s="17" t="s">
        <v>11</v>
      </c>
      <c r="E905" s="17" t="s">
        <v>11</v>
      </c>
      <c r="F905" s="18"/>
      <c r="G905" s="36" t="str">
        <f>IF(ISNUMBER(F905),C905*F905,"")</f>
        <v/>
      </c>
    </row>
    <row r="906" spans="1:7" ht="12" customHeight="1" outlineLevel="2" x14ac:dyDescent="0.2">
      <c r="A906" s="14" t="s">
        <v>1785</v>
      </c>
      <c r="B906" s="15" t="s">
        <v>1786</v>
      </c>
      <c r="C906" s="16">
        <f>185.03/(1+B2)</f>
        <v>185.03</v>
      </c>
      <c r="D906" s="17" t="s">
        <v>11</v>
      </c>
      <c r="E906" s="17"/>
      <c r="F906" s="18"/>
      <c r="G906" s="36" t="str">
        <f>IF(ISNUMBER(F906),C906*F906,"")</f>
        <v/>
      </c>
    </row>
    <row r="907" spans="1:7" ht="12" customHeight="1" outlineLevel="2" x14ac:dyDescent="0.2">
      <c r="A907" s="14" t="s">
        <v>1787</v>
      </c>
      <c r="B907" s="15" t="s">
        <v>1788</v>
      </c>
      <c r="C907" s="16">
        <f>185.01/(1+B2)</f>
        <v>185.01</v>
      </c>
      <c r="D907" s="17" t="s">
        <v>11</v>
      </c>
      <c r="E907" s="17" t="s">
        <v>11</v>
      </c>
      <c r="F907" s="18"/>
      <c r="G907" s="36" t="str">
        <f>IF(ISNUMBER(F907),C907*F907,"")</f>
        <v/>
      </c>
    </row>
    <row r="908" spans="1:7" ht="12" customHeight="1" outlineLevel="2" x14ac:dyDescent="0.2">
      <c r="A908" s="14" t="s">
        <v>1789</v>
      </c>
      <c r="B908" s="15" t="s">
        <v>1790</v>
      </c>
      <c r="C908" s="16">
        <f>171.8/(1+B2)</f>
        <v>171.8</v>
      </c>
      <c r="D908" s="17" t="s">
        <v>11</v>
      </c>
      <c r="E908" s="17" t="s">
        <v>11</v>
      </c>
      <c r="F908" s="18"/>
      <c r="G908" s="36" t="str">
        <f>IF(ISNUMBER(F908),C908*F908,"")</f>
        <v/>
      </c>
    </row>
    <row r="909" spans="1:7" ht="12" customHeight="1" outlineLevel="2" x14ac:dyDescent="0.2">
      <c r="A909" s="14" t="s">
        <v>1791</v>
      </c>
      <c r="B909" s="15" t="s">
        <v>1792</v>
      </c>
      <c r="C909" s="16">
        <f>185.03/(1+B2)</f>
        <v>185.03</v>
      </c>
      <c r="D909" s="17" t="s">
        <v>11</v>
      </c>
      <c r="E909" s="17"/>
      <c r="F909" s="18"/>
      <c r="G909" s="36" t="str">
        <f>IF(ISNUMBER(F909),C909*F909,"")</f>
        <v/>
      </c>
    </row>
    <row r="910" spans="1:7" ht="12" customHeight="1" outlineLevel="2" x14ac:dyDescent="0.2">
      <c r="A910" s="14" t="s">
        <v>1793</v>
      </c>
      <c r="B910" s="15" t="s">
        <v>1794</v>
      </c>
      <c r="C910" s="16">
        <f>171.8/(1+B2)</f>
        <v>171.8</v>
      </c>
      <c r="D910" s="17" t="s">
        <v>11</v>
      </c>
      <c r="E910" s="17" t="s">
        <v>11</v>
      </c>
      <c r="F910" s="18"/>
      <c r="G910" s="36" t="str">
        <f>IF(ISNUMBER(F910),C910*F910,"")</f>
        <v/>
      </c>
    </row>
    <row r="911" spans="1:7" ht="12" customHeight="1" outlineLevel="2" x14ac:dyDescent="0.2">
      <c r="A911" s="14" t="s">
        <v>1795</v>
      </c>
      <c r="B911" s="15" t="s">
        <v>1796</v>
      </c>
      <c r="C911" s="16">
        <f>185.03/(1+B2)</f>
        <v>185.03</v>
      </c>
      <c r="D911" s="17" t="s">
        <v>11</v>
      </c>
      <c r="E911" s="17"/>
      <c r="F911" s="18"/>
      <c r="G911" s="36" t="str">
        <f>IF(ISNUMBER(F911),C911*F911,"")</f>
        <v/>
      </c>
    </row>
    <row r="912" spans="1:7" ht="12" customHeight="1" outlineLevel="2" x14ac:dyDescent="0.2">
      <c r="A912" s="14" t="s">
        <v>1797</v>
      </c>
      <c r="B912" s="15" t="s">
        <v>1798</v>
      </c>
      <c r="C912" s="16">
        <f>185.01/(1+B2)</f>
        <v>185.01</v>
      </c>
      <c r="D912" s="17" t="s">
        <v>11</v>
      </c>
      <c r="E912" s="17" t="s">
        <v>11</v>
      </c>
      <c r="F912" s="18"/>
      <c r="G912" s="36" t="str">
        <f>IF(ISNUMBER(F912),C912*F912,"")</f>
        <v/>
      </c>
    </row>
    <row r="913" spans="1:7" ht="12" customHeight="1" outlineLevel="2" x14ac:dyDescent="0.2">
      <c r="A913" s="14" t="s">
        <v>1799</v>
      </c>
      <c r="B913" s="15" t="s">
        <v>1800</v>
      </c>
      <c r="C913" s="16">
        <f>185.01/(1+B2)</f>
        <v>185.01</v>
      </c>
      <c r="D913" s="17" t="s">
        <v>11</v>
      </c>
      <c r="E913" s="17" t="s">
        <v>11</v>
      </c>
      <c r="F913" s="18"/>
      <c r="G913" s="36" t="str">
        <f>IF(ISNUMBER(F913),C913*F913,"")</f>
        <v/>
      </c>
    </row>
    <row r="914" spans="1:7" ht="12" customHeight="1" outlineLevel="2" x14ac:dyDescent="0.2">
      <c r="A914" s="14" t="s">
        <v>1801</v>
      </c>
      <c r="B914" s="15" t="s">
        <v>1802</v>
      </c>
      <c r="C914" s="16">
        <f>185.01/(1+B2)</f>
        <v>185.01</v>
      </c>
      <c r="D914" s="17" t="s">
        <v>11</v>
      </c>
      <c r="E914" s="17" t="s">
        <v>11</v>
      </c>
      <c r="F914" s="18"/>
      <c r="G914" s="36" t="str">
        <f>IF(ISNUMBER(F914),C914*F914,"")</f>
        <v/>
      </c>
    </row>
    <row r="915" spans="1:7" ht="12" customHeight="1" outlineLevel="2" x14ac:dyDescent="0.2">
      <c r="A915" s="14" t="s">
        <v>1803</v>
      </c>
      <c r="B915" s="15" t="s">
        <v>1804</v>
      </c>
      <c r="C915" s="16">
        <f>90.07/(1+B2)</f>
        <v>90.07</v>
      </c>
      <c r="D915" s="17" t="s">
        <v>11</v>
      </c>
      <c r="E915" s="17" t="s">
        <v>11</v>
      </c>
      <c r="F915" s="18"/>
      <c r="G915" s="36" t="str">
        <f>IF(ISNUMBER(F915),C915*F915,"")</f>
        <v/>
      </c>
    </row>
    <row r="916" spans="1:7" ht="12" customHeight="1" outlineLevel="2" x14ac:dyDescent="0.2">
      <c r="A916" s="14" t="s">
        <v>1805</v>
      </c>
      <c r="B916" s="15" t="s">
        <v>1806</v>
      </c>
      <c r="C916" s="16">
        <f>201.99/(1+B2)</f>
        <v>201.99</v>
      </c>
      <c r="D916" s="17" t="s">
        <v>11</v>
      </c>
      <c r="E916" s="17" t="s">
        <v>11</v>
      </c>
      <c r="F916" s="18"/>
      <c r="G916" s="36" t="str">
        <f>IF(ISNUMBER(F916),C916*F916,"")</f>
        <v/>
      </c>
    </row>
    <row r="917" spans="1:7" ht="12" customHeight="1" outlineLevel="2" x14ac:dyDescent="0.2">
      <c r="A917" s="14" t="s">
        <v>1807</v>
      </c>
      <c r="B917" s="15" t="s">
        <v>1808</v>
      </c>
      <c r="C917" s="16">
        <f>201.99/(1+B2)</f>
        <v>201.99</v>
      </c>
      <c r="D917" s="17" t="s">
        <v>11</v>
      </c>
      <c r="E917" s="17" t="s">
        <v>11</v>
      </c>
      <c r="F917" s="18"/>
      <c r="G917" s="36" t="str">
        <f>IF(ISNUMBER(F917),C917*F917,"")</f>
        <v/>
      </c>
    </row>
    <row r="918" spans="1:7" ht="12" customHeight="1" outlineLevel="2" x14ac:dyDescent="0.2">
      <c r="A918" s="14" t="s">
        <v>1809</v>
      </c>
      <c r="B918" s="15" t="s">
        <v>1810</v>
      </c>
      <c r="C918" s="16">
        <f>201.99/(1+B2)</f>
        <v>201.99</v>
      </c>
      <c r="D918" s="17" t="s">
        <v>11</v>
      </c>
      <c r="E918" s="17" t="s">
        <v>11</v>
      </c>
      <c r="F918" s="18"/>
      <c r="G918" s="36" t="str">
        <f>IF(ISNUMBER(F918),C918*F918,"")</f>
        <v/>
      </c>
    </row>
    <row r="919" spans="1:7" ht="24" customHeight="1" outlineLevel="2" x14ac:dyDescent="0.2">
      <c r="A919" s="14" t="s">
        <v>1811</v>
      </c>
      <c r="B919" s="15" t="s">
        <v>1812</v>
      </c>
      <c r="C919" s="16">
        <f>201.99/(1+B2)</f>
        <v>201.99</v>
      </c>
      <c r="D919" s="17" t="s">
        <v>11</v>
      </c>
      <c r="E919" s="17" t="s">
        <v>11</v>
      </c>
      <c r="F919" s="18"/>
      <c r="G919" s="36" t="str">
        <f>IF(ISNUMBER(F919),C919*F919,"")</f>
        <v/>
      </c>
    </row>
    <row r="920" spans="1:7" ht="24" customHeight="1" outlineLevel="2" x14ac:dyDescent="0.2">
      <c r="A920" s="14" t="s">
        <v>1813</v>
      </c>
      <c r="B920" s="15" t="s">
        <v>1814</v>
      </c>
      <c r="C920" s="16">
        <f>201.99/(1+B2)</f>
        <v>201.99</v>
      </c>
      <c r="D920" s="17" t="s">
        <v>11</v>
      </c>
      <c r="E920" s="17" t="s">
        <v>11</v>
      </c>
      <c r="F920" s="18"/>
      <c r="G920" s="36" t="str">
        <f>IF(ISNUMBER(F920),C920*F920,"")</f>
        <v/>
      </c>
    </row>
    <row r="921" spans="1:7" ht="24" customHeight="1" outlineLevel="2" x14ac:dyDescent="0.2">
      <c r="A921" s="14" t="s">
        <v>1815</v>
      </c>
      <c r="B921" s="15" t="s">
        <v>1816</v>
      </c>
      <c r="C921" s="16">
        <f>201.99/(1+B2)</f>
        <v>201.99</v>
      </c>
      <c r="D921" s="17" t="s">
        <v>11</v>
      </c>
      <c r="E921" s="17" t="s">
        <v>11</v>
      </c>
      <c r="F921" s="18"/>
      <c r="G921" s="36" t="str">
        <f>IF(ISNUMBER(F921),C921*F921,"")</f>
        <v/>
      </c>
    </row>
    <row r="922" spans="1:7" ht="12" customHeight="1" outlineLevel="2" x14ac:dyDescent="0.2">
      <c r="A922" s="14" t="s">
        <v>1817</v>
      </c>
      <c r="B922" s="15" t="s">
        <v>1818</v>
      </c>
      <c r="C922" s="16">
        <f>201.99/(1+B2)</f>
        <v>201.99</v>
      </c>
      <c r="D922" s="17" t="s">
        <v>11</v>
      </c>
      <c r="E922" s="17" t="s">
        <v>11</v>
      </c>
      <c r="F922" s="18"/>
      <c r="G922" s="36" t="str">
        <f>IF(ISNUMBER(F922),C922*F922,"")</f>
        <v/>
      </c>
    </row>
    <row r="923" spans="1:7" ht="12" customHeight="1" outlineLevel="2" x14ac:dyDescent="0.2">
      <c r="A923" s="14" t="s">
        <v>1819</v>
      </c>
      <c r="B923" s="15" t="s">
        <v>1820</v>
      </c>
      <c r="C923" s="16">
        <f>201.96/(1+B2)</f>
        <v>201.96</v>
      </c>
      <c r="D923" s="17" t="s">
        <v>11</v>
      </c>
      <c r="E923" s="17"/>
      <c r="F923" s="18"/>
      <c r="G923" s="36" t="str">
        <f>IF(ISNUMBER(F923),C923*F923,"")</f>
        <v/>
      </c>
    </row>
    <row r="924" spans="1:7" ht="12" customHeight="1" outlineLevel="2" x14ac:dyDescent="0.2">
      <c r="A924" s="14" t="s">
        <v>1821</v>
      </c>
      <c r="B924" s="15" t="s">
        <v>1822</v>
      </c>
      <c r="C924" s="16">
        <f>295.3/(1+B2)</f>
        <v>295.3</v>
      </c>
      <c r="D924" s="17" t="s">
        <v>14</v>
      </c>
      <c r="E924" s="17"/>
      <c r="F924" s="18"/>
      <c r="G924" s="36" t="str">
        <f>IF(ISNUMBER(F924),C924*F924,"")</f>
        <v/>
      </c>
    </row>
    <row r="925" spans="1:7" ht="12" customHeight="1" outlineLevel="2" x14ac:dyDescent="0.2">
      <c r="A925" s="14" t="s">
        <v>1823</v>
      </c>
      <c r="B925" s="15" t="s">
        <v>1824</v>
      </c>
      <c r="C925" s="16">
        <f>295.3/(1+B2)</f>
        <v>295.3</v>
      </c>
      <c r="D925" s="17" t="s">
        <v>11</v>
      </c>
      <c r="E925" s="17"/>
      <c r="F925" s="18"/>
      <c r="G925" s="36" t="str">
        <f>IF(ISNUMBER(F925),C925*F925,"")</f>
        <v/>
      </c>
    </row>
    <row r="926" spans="1:7" ht="24" customHeight="1" outlineLevel="2" x14ac:dyDescent="0.2">
      <c r="A926" s="14" t="s">
        <v>1825</v>
      </c>
      <c r="B926" s="15" t="s">
        <v>1826</v>
      </c>
      <c r="C926" s="16">
        <f>298.61/(1+B2)</f>
        <v>298.61</v>
      </c>
      <c r="D926" s="17" t="s">
        <v>11</v>
      </c>
      <c r="E926" s="17" t="s">
        <v>11</v>
      </c>
      <c r="F926" s="18"/>
      <c r="G926" s="36" t="str">
        <f>IF(ISNUMBER(F926),C926*F926,"")</f>
        <v/>
      </c>
    </row>
    <row r="927" spans="1:7" ht="12" customHeight="1" outlineLevel="2" x14ac:dyDescent="0.2">
      <c r="A927" s="14" t="s">
        <v>1827</v>
      </c>
      <c r="B927" s="15" t="s">
        <v>1828</v>
      </c>
      <c r="C927" s="16">
        <f>295.3/(1+B2)</f>
        <v>295.3</v>
      </c>
      <c r="D927" s="17" t="s">
        <v>11</v>
      </c>
      <c r="E927" s="17"/>
      <c r="F927" s="18"/>
      <c r="G927" s="36" t="str">
        <f>IF(ISNUMBER(F927),C927*F927,"")</f>
        <v/>
      </c>
    </row>
    <row r="928" spans="1:7" ht="12" customHeight="1" outlineLevel="2" x14ac:dyDescent="0.2">
      <c r="A928" s="14" t="s">
        <v>1829</v>
      </c>
      <c r="B928" s="15" t="s">
        <v>1830</v>
      </c>
      <c r="C928" s="16">
        <f>298.61/(1+B2)</f>
        <v>298.61</v>
      </c>
      <c r="D928" s="17" t="s">
        <v>11</v>
      </c>
      <c r="E928" s="17" t="s">
        <v>11</v>
      </c>
      <c r="F928" s="18"/>
      <c r="G928" s="36" t="str">
        <f>IF(ISNUMBER(F928),C928*F928,"")</f>
        <v/>
      </c>
    </row>
    <row r="929" spans="1:7" ht="12" customHeight="1" outlineLevel="2" x14ac:dyDescent="0.2">
      <c r="A929" s="14" t="s">
        <v>1831</v>
      </c>
      <c r="B929" s="15" t="s">
        <v>1832</v>
      </c>
      <c r="C929" s="16">
        <f>295.3/(1+B2)</f>
        <v>295.3</v>
      </c>
      <c r="D929" s="17" t="s">
        <v>11</v>
      </c>
      <c r="E929" s="17"/>
      <c r="F929" s="18"/>
      <c r="G929" s="36" t="str">
        <f>IF(ISNUMBER(F929),C929*F929,"")</f>
        <v/>
      </c>
    </row>
    <row r="930" spans="1:7" ht="12" customHeight="1" outlineLevel="2" x14ac:dyDescent="0.2">
      <c r="A930" s="14" t="s">
        <v>1833</v>
      </c>
      <c r="B930" s="15" t="s">
        <v>1834</v>
      </c>
      <c r="C930" s="16">
        <f>94.9/(1+B2)</f>
        <v>94.9</v>
      </c>
      <c r="D930" s="17" t="s">
        <v>11</v>
      </c>
      <c r="E930" s="17"/>
      <c r="F930" s="18"/>
      <c r="G930" s="36" t="str">
        <f>IF(ISNUMBER(F930),C930*F930,"")</f>
        <v/>
      </c>
    </row>
    <row r="931" spans="1:7" ht="12" customHeight="1" outlineLevel="2" x14ac:dyDescent="0.2">
      <c r="A931" s="14" t="s">
        <v>1835</v>
      </c>
      <c r="B931" s="15" t="s">
        <v>1836</v>
      </c>
      <c r="C931" s="16">
        <f>94.9/(1+B2)</f>
        <v>94.9</v>
      </c>
      <c r="D931" s="17" t="s">
        <v>11</v>
      </c>
      <c r="E931" s="17" t="s">
        <v>11</v>
      </c>
      <c r="F931" s="18"/>
      <c r="G931" s="36" t="str">
        <f>IF(ISNUMBER(F931),C931*F931,"")</f>
        <v/>
      </c>
    </row>
    <row r="932" spans="1:7" ht="12" customHeight="1" outlineLevel="2" x14ac:dyDescent="0.2">
      <c r="A932" s="14" t="s">
        <v>1837</v>
      </c>
      <c r="B932" s="15" t="s">
        <v>1838</v>
      </c>
      <c r="C932" s="16">
        <f>94.9/(1+B2)</f>
        <v>94.9</v>
      </c>
      <c r="D932" s="17" t="s">
        <v>11</v>
      </c>
      <c r="E932" s="17" t="s">
        <v>11</v>
      </c>
      <c r="F932" s="18"/>
      <c r="G932" s="36" t="str">
        <f>IF(ISNUMBER(F932),C932*F932,"")</f>
        <v/>
      </c>
    </row>
    <row r="933" spans="1:7" ht="12" customHeight="1" outlineLevel="2" x14ac:dyDescent="0.2">
      <c r="A933" s="14" t="s">
        <v>1839</v>
      </c>
      <c r="B933" s="15" t="s">
        <v>1840</v>
      </c>
      <c r="C933" s="16">
        <f>183.33/(1+B2)</f>
        <v>183.33</v>
      </c>
      <c r="D933" s="17" t="s">
        <v>11</v>
      </c>
      <c r="E933" s="17"/>
      <c r="F933" s="18"/>
      <c r="G933" s="36" t="str">
        <f>IF(ISNUMBER(F933),C933*F933,"")</f>
        <v/>
      </c>
    </row>
    <row r="934" spans="1:7" ht="12" customHeight="1" outlineLevel="2" x14ac:dyDescent="0.2">
      <c r="A934" s="14" t="s">
        <v>1841</v>
      </c>
      <c r="B934" s="15" t="s">
        <v>1842</v>
      </c>
      <c r="C934" s="16">
        <f>171.43/(1+B2)</f>
        <v>171.43</v>
      </c>
      <c r="D934" s="17" t="s">
        <v>11</v>
      </c>
      <c r="E934" s="17" t="s">
        <v>11</v>
      </c>
      <c r="F934" s="18"/>
      <c r="G934" s="36" t="str">
        <f>IF(ISNUMBER(F934),C934*F934,"")</f>
        <v/>
      </c>
    </row>
    <row r="935" spans="1:7" ht="12" customHeight="1" outlineLevel="2" x14ac:dyDescent="0.2">
      <c r="A935" s="14" t="s">
        <v>1843</v>
      </c>
      <c r="B935" s="15" t="s">
        <v>1844</v>
      </c>
      <c r="C935" s="16">
        <f>183.33/(1+B2)</f>
        <v>183.33</v>
      </c>
      <c r="D935" s="17" t="s">
        <v>11</v>
      </c>
      <c r="E935" s="17" t="s">
        <v>11</v>
      </c>
      <c r="F935" s="18"/>
      <c r="G935" s="36" t="str">
        <f>IF(ISNUMBER(F935),C935*F935,"")</f>
        <v/>
      </c>
    </row>
    <row r="936" spans="1:7" ht="12" customHeight="1" outlineLevel="2" x14ac:dyDescent="0.2">
      <c r="A936" s="14" t="s">
        <v>1845</v>
      </c>
      <c r="B936" s="15" t="s">
        <v>1846</v>
      </c>
      <c r="C936" s="16">
        <f>177.71/(1+B2)</f>
        <v>177.71</v>
      </c>
      <c r="D936" s="17" t="s">
        <v>11</v>
      </c>
      <c r="E936" s="17" t="s">
        <v>11</v>
      </c>
      <c r="F936" s="18"/>
      <c r="G936" s="36" t="str">
        <f>IF(ISNUMBER(F936),C936*F936,"")</f>
        <v/>
      </c>
    </row>
    <row r="937" spans="1:7" ht="24" customHeight="1" outlineLevel="2" x14ac:dyDescent="0.2">
      <c r="A937" s="14" t="s">
        <v>1847</v>
      </c>
      <c r="B937" s="15" t="s">
        <v>1848</v>
      </c>
      <c r="C937" s="16">
        <f>177.71/(1+B2)</f>
        <v>177.71</v>
      </c>
      <c r="D937" s="17" t="s">
        <v>11</v>
      </c>
      <c r="E937" s="17" t="s">
        <v>11</v>
      </c>
      <c r="F937" s="18"/>
      <c r="G937" s="36" t="str">
        <f>IF(ISNUMBER(F937),C937*F937,"")</f>
        <v/>
      </c>
    </row>
    <row r="938" spans="1:7" ht="12" customHeight="1" outlineLevel="2" x14ac:dyDescent="0.2">
      <c r="A938" s="14" t="s">
        <v>1849</v>
      </c>
      <c r="B938" s="15" t="s">
        <v>1850</v>
      </c>
      <c r="C938" s="16">
        <f>184.6/(1+B2)</f>
        <v>184.6</v>
      </c>
      <c r="D938" s="17" t="s">
        <v>11</v>
      </c>
      <c r="E938" s="17"/>
      <c r="F938" s="18"/>
      <c r="G938" s="36" t="str">
        <f>IF(ISNUMBER(F938),C938*F938,"")</f>
        <v/>
      </c>
    </row>
    <row r="939" spans="1:7" ht="12" customHeight="1" outlineLevel="2" x14ac:dyDescent="0.2">
      <c r="A939" s="14" t="s">
        <v>1851</v>
      </c>
      <c r="B939" s="15" t="s">
        <v>1852</v>
      </c>
      <c r="C939" s="16">
        <f>183.33/(1+B2)</f>
        <v>183.33</v>
      </c>
      <c r="D939" s="17" t="s">
        <v>11</v>
      </c>
      <c r="E939" s="17"/>
      <c r="F939" s="18"/>
      <c r="G939" s="36" t="str">
        <f>IF(ISNUMBER(F939),C939*F939,"")</f>
        <v/>
      </c>
    </row>
    <row r="940" spans="1:7" ht="12" customHeight="1" outlineLevel="2" x14ac:dyDescent="0.2">
      <c r="A940" s="14" t="s">
        <v>1853</v>
      </c>
      <c r="B940" s="15" t="s">
        <v>1854</v>
      </c>
      <c r="C940" s="16">
        <f>183.33/(1+B2)</f>
        <v>183.33</v>
      </c>
      <c r="D940" s="17" t="s">
        <v>11</v>
      </c>
      <c r="E940" s="17"/>
      <c r="F940" s="18"/>
      <c r="G940" s="36" t="str">
        <f>IF(ISNUMBER(F940),C940*F940,"")</f>
        <v/>
      </c>
    </row>
    <row r="941" spans="1:7" ht="12" customHeight="1" outlineLevel="2" x14ac:dyDescent="0.2">
      <c r="A941" s="14" t="s">
        <v>1855</v>
      </c>
      <c r="B941" s="15" t="s">
        <v>1856</v>
      </c>
      <c r="C941" s="16">
        <f>183.33/(1+B2)</f>
        <v>183.33</v>
      </c>
      <c r="D941" s="17" t="s">
        <v>11</v>
      </c>
      <c r="E941" s="17" t="s">
        <v>11</v>
      </c>
      <c r="F941" s="18"/>
      <c r="G941" s="36" t="str">
        <f>IF(ISNUMBER(F941),C941*F941,"")</f>
        <v/>
      </c>
    </row>
    <row r="942" spans="1:7" ht="12" customHeight="1" outlineLevel="2" x14ac:dyDescent="0.2">
      <c r="A942" s="14" t="s">
        <v>1857</v>
      </c>
      <c r="B942" s="15" t="s">
        <v>1858</v>
      </c>
      <c r="C942" s="16">
        <f>171.43/(1+B2)</f>
        <v>171.43</v>
      </c>
      <c r="D942" s="17" t="s">
        <v>11</v>
      </c>
      <c r="E942" s="17" t="s">
        <v>11</v>
      </c>
      <c r="F942" s="18"/>
      <c r="G942" s="36" t="str">
        <f>IF(ISNUMBER(F942),C942*F942,"")</f>
        <v/>
      </c>
    </row>
    <row r="943" spans="1:7" ht="12" customHeight="1" outlineLevel="2" x14ac:dyDescent="0.2">
      <c r="A943" s="14" t="s">
        <v>1859</v>
      </c>
      <c r="B943" s="15" t="s">
        <v>1860</v>
      </c>
      <c r="C943" s="16">
        <f>183.33/(1+B2)</f>
        <v>183.33</v>
      </c>
      <c r="D943" s="17" t="s">
        <v>11</v>
      </c>
      <c r="E943" s="17" t="s">
        <v>11</v>
      </c>
      <c r="F943" s="18"/>
      <c r="G943" s="36" t="str">
        <f>IF(ISNUMBER(F943),C943*F943,"")</f>
        <v/>
      </c>
    </row>
    <row r="944" spans="1:7" ht="12" customHeight="1" outlineLevel="2" x14ac:dyDescent="0.2">
      <c r="A944" s="14" t="s">
        <v>1861</v>
      </c>
      <c r="B944" s="15" t="s">
        <v>1862</v>
      </c>
      <c r="C944" s="16">
        <f>171.43/(1+B2)</f>
        <v>171.43</v>
      </c>
      <c r="D944" s="17" t="s">
        <v>11</v>
      </c>
      <c r="E944" s="17" t="s">
        <v>11</v>
      </c>
      <c r="F944" s="18"/>
      <c r="G944" s="36" t="str">
        <f>IF(ISNUMBER(F944),C944*F944,"")</f>
        <v/>
      </c>
    </row>
    <row r="945" spans="1:7" ht="12" customHeight="1" outlineLevel="2" x14ac:dyDescent="0.2">
      <c r="A945" s="14" t="s">
        <v>1863</v>
      </c>
      <c r="B945" s="15" t="s">
        <v>1864</v>
      </c>
      <c r="C945" s="16">
        <f>183.33/(1+B2)</f>
        <v>183.33</v>
      </c>
      <c r="D945" s="17" t="s">
        <v>11</v>
      </c>
      <c r="E945" s="17"/>
      <c r="F945" s="18"/>
      <c r="G945" s="36" t="str">
        <f>IF(ISNUMBER(F945),C945*F945,"")</f>
        <v/>
      </c>
    </row>
    <row r="946" spans="1:7" ht="12" customHeight="1" outlineLevel="2" x14ac:dyDescent="0.2">
      <c r="A946" s="14" t="s">
        <v>1865</v>
      </c>
      <c r="B946" s="15" t="s">
        <v>1866</v>
      </c>
      <c r="C946" s="16">
        <f>171.43/(1+B2)</f>
        <v>171.43</v>
      </c>
      <c r="D946" s="17" t="s">
        <v>11</v>
      </c>
      <c r="E946" s="17" t="s">
        <v>11</v>
      </c>
      <c r="F946" s="18"/>
      <c r="G946" s="36" t="str">
        <f>IF(ISNUMBER(F946),C946*F946,"")</f>
        <v/>
      </c>
    </row>
    <row r="947" spans="1:7" ht="12" customHeight="1" outlineLevel="2" x14ac:dyDescent="0.2">
      <c r="A947" s="14" t="s">
        <v>1867</v>
      </c>
      <c r="B947" s="15" t="s">
        <v>1868</v>
      </c>
      <c r="C947" s="16">
        <f>183.33/(1+B2)</f>
        <v>183.33</v>
      </c>
      <c r="D947" s="17" t="s">
        <v>11</v>
      </c>
      <c r="E947" s="17"/>
      <c r="F947" s="18"/>
      <c r="G947" s="36" t="str">
        <f>IF(ISNUMBER(F947),C947*F947,"")</f>
        <v/>
      </c>
    </row>
    <row r="948" spans="1:7" ht="12" customHeight="1" outlineLevel="2" x14ac:dyDescent="0.2">
      <c r="A948" s="14" t="s">
        <v>1869</v>
      </c>
      <c r="B948" s="15" t="s">
        <v>1870</v>
      </c>
      <c r="C948" s="16">
        <f>183.33/(1+B2)</f>
        <v>183.33</v>
      </c>
      <c r="D948" s="17" t="s">
        <v>11</v>
      </c>
      <c r="E948" s="17"/>
      <c r="F948" s="18"/>
      <c r="G948" s="36" t="str">
        <f>IF(ISNUMBER(F948),C948*F948,"")</f>
        <v/>
      </c>
    </row>
    <row r="949" spans="1:7" ht="12" customHeight="1" outlineLevel="2" x14ac:dyDescent="0.2">
      <c r="A949" s="14" t="s">
        <v>1871</v>
      </c>
      <c r="B949" s="15" t="s">
        <v>1872</v>
      </c>
      <c r="C949" s="16">
        <f>183.33/(1+B2)</f>
        <v>183.33</v>
      </c>
      <c r="D949" s="17" t="s">
        <v>11</v>
      </c>
      <c r="E949" s="17" t="s">
        <v>11</v>
      </c>
      <c r="F949" s="18"/>
      <c r="G949" s="36" t="str">
        <f>IF(ISNUMBER(F949),C949*F949,"")</f>
        <v/>
      </c>
    </row>
    <row r="950" spans="1:7" ht="12" customHeight="1" outlineLevel="2" x14ac:dyDescent="0.2">
      <c r="A950" s="14" t="s">
        <v>1873</v>
      </c>
      <c r="B950" s="15" t="s">
        <v>1874</v>
      </c>
      <c r="C950" s="16">
        <f>272.79/(1+B2)</f>
        <v>272.79000000000002</v>
      </c>
      <c r="D950" s="17" t="s">
        <v>11</v>
      </c>
      <c r="E950" s="17"/>
      <c r="F950" s="18"/>
      <c r="G950" s="36" t="str">
        <f>IF(ISNUMBER(F950),C950*F950,"")</f>
        <v/>
      </c>
    </row>
    <row r="951" spans="1:7" ht="12" customHeight="1" outlineLevel="2" x14ac:dyDescent="0.2">
      <c r="A951" s="14" t="s">
        <v>1875</v>
      </c>
      <c r="B951" s="15" t="s">
        <v>1876</v>
      </c>
      <c r="C951" s="16">
        <f>272.79/(1+B2)</f>
        <v>272.79000000000002</v>
      </c>
      <c r="D951" s="17" t="s">
        <v>11</v>
      </c>
      <c r="E951" s="17"/>
      <c r="F951" s="18"/>
      <c r="G951" s="36" t="str">
        <f>IF(ISNUMBER(F951),C951*F951,"")</f>
        <v/>
      </c>
    </row>
    <row r="952" spans="1:7" ht="12" customHeight="1" outlineLevel="2" x14ac:dyDescent="0.2">
      <c r="A952" s="14" t="s">
        <v>1877</v>
      </c>
      <c r="B952" s="15" t="s">
        <v>1878</v>
      </c>
      <c r="C952" s="16">
        <f>272.79/(1+B2)</f>
        <v>272.79000000000002</v>
      </c>
      <c r="D952" s="17" t="s">
        <v>11</v>
      </c>
      <c r="E952" s="17"/>
      <c r="F952" s="18"/>
      <c r="G952" s="36" t="str">
        <f>IF(ISNUMBER(F952),C952*F952,"")</f>
        <v/>
      </c>
    </row>
    <row r="953" spans="1:7" ht="12" customHeight="1" outlineLevel="2" x14ac:dyDescent="0.2">
      <c r="A953" s="14" t="s">
        <v>1879</v>
      </c>
      <c r="B953" s="15" t="s">
        <v>1880</v>
      </c>
      <c r="C953" s="16">
        <f>227.18/(1+B2)</f>
        <v>227.18</v>
      </c>
      <c r="D953" s="17" t="s">
        <v>11</v>
      </c>
      <c r="E953" s="17"/>
      <c r="F953" s="18"/>
      <c r="G953" s="36" t="str">
        <f>IF(ISNUMBER(F953),C953*F953,"")</f>
        <v/>
      </c>
    </row>
    <row r="954" spans="1:7" ht="12" customHeight="1" outlineLevel="2" x14ac:dyDescent="0.2">
      <c r="A954" s="14" t="s">
        <v>1881</v>
      </c>
      <c r="B954" s="15" t="s">
        <v>1882</v>
      </c>
      <c r="C954" s="16">
        <f>272.79/(1+B2)</f>
        <v>272.79000000000002</v>
      </c>
      <c r="D954" s="17" t="s">
        <v>11</v>
      </c>
      <c r="E954" s="17"/>
      <c r="F954" s="18"/>
      <c r="G954" s="36" t="str">
        <f>IF(ISNUMBER(F954),C954*F954,"")</f>
        <v/>
      </c>
    </row>
    <row r="955" spans="1:7" ht="12" customHeight="1" outlineLevel="2" x14ac:dyDescent="0.2">
      <c r="A955" s="14" t="s">
        <v>1883</v>
      </c>
      <c r="B955" s="15" t="s">
        <v>1884</v>
      </c>
      <c r="C955" s="16">
        <f>272.79/(1+B2)</f>
        <v>272.79000000000002</v>
      </c>
      <c r="D955" s="17" t="s">
        <v>11</v>
      </c>
      <c r="E955" s="17"/>
      <c r="F955" s="18"/>
      <c r="G955" s="36" t="str">
        <f>IF(ISNUMBER(F955),C955*F955,"")</f>
        <v/>
      </c>
    </row>
    <row r="956" spans="1:7" ht="12" customHeight="1" outlineLevel="2" x14ac:dyDescent="0.2">
      <c r="A956" s="14" t="s">
        <v>1885</v>
      </c>
      <c r="B956" s="15" t="s">
        <v>1886</v>
      </c>
      <c r="C956" s="16">
        <f>272.79/(1+B2)</f>
        <v>272.79000000000002</v>
      </c>
      <c r="D956" s="17" t="s">
        <v>11</v>
      </c>
      <c r="E956" s="17"/>
      <c r="F956" s="18"/>
      <c r="G956" s="36" t="str">
        <f>IF(ISNUMBER(F956),C956*F956,"")</f>
        <v/>
      </c>
    </row>
    <row r="957" spans="1:7" ht="12" customHeight="1" outlineLevel="2" x14ac:dyDescent="0.2">
      <c r="A957" s="14" t="s">
        <v>1887</v>
      </c>
      <c r="B957" s="15" t="s">
        <v>1888</v>
      </c>
      <c r="C957" s="16">
        <f>98.78/(1+B2)</f>
        <v>98.78</v>
      </c>
      <c r="D957" s="17" t="s">
        <v>11</v>
      </c>
      <c r="E957" s="17" t="s">
        <v>11</v>
      </c>
      <c r="F957" s="18"/>
      <c r="G957" s="36" t="str">
        <f>IF(ISNUMBER(F957),C957*F957,"")</f>
        <v/>
      </c>
    </row>
    <row r="958" spans="1:7" ht="12" customHeight="1" outlineLevel="2" x14ac:dyDescent="0.2">
      <c r="A958" s="14" t="s">
        <v>1889</v>
      </c>
      <c r="B958" s="15" t="s">
        <v>1890</v>
      </c>
      <c r="C958" s="16">
        <f>98.78/(1+B2)</f>
        <v>98.78</v>
      </c>
      <c r="D958" s="17" t="s">
        <v>11</v>
      </c>
      <c r="E958" s="17"/>
      <c r="F958" s="18"/>
      <c r="G958" s="36" t="str">
        <f>IF(ISNUMBER(F958),C958*F958,"")</f>
        <v/>
      </c>
    </row>
    <row r="959" spans="1:7" ht="12" customHeight="1" outlineLevel="2" x14ac:dyDescent="0.2">
      <c r="A959" s="14" t="s">
        <v>1891</v>
      </c>
      <c r="B959" s="15" t="s">
        <v>1892</v>
      </c>
      <c r="C959" s="16">
        <f>98.78/(1+B2)</f>
        <v>98.78</v>
      </c>
      <c r="D959" s="17" t="s">
        <v>11</v>
      </c>
      <c r="E959" s="17"/>
      <c r="F959" s="18"/>
      <c r="G959" s="36" t="str">
        <f>IF(ISNUMBER(F959),C959*F959,"")</f>
        <v/>
      </c>
    </row>
    <row r="960" spans="1:7" ht="12" customHeight="1" outlineLevel="2" x14ac:dyDescent="0.2">
      <c r="A960" s="14" t="s">
        <v>1893</v>
      </c>
      <c r="B960" s="15" t="s">
        <v>1894</v>
      </c>
      <c r="C960" s="16">
        <f>98.78/(1+B2)</f>
        <v>98.78</v>
      </c>
      <c r="D960" s="17" t="s">
        <v>11</v>
      </c>
      <c r="E960" s="17"/>
      <c r="F960" s="18"/>
      <c r="G960" s="36" t="str">
        <f>IF(ISNUMBER(F960),C960*F960,"")</f>
        <v/>
      </c>
    </row>
    <row r="961" spans="1:7" ht="12" customHeight="1" outlineLevel="2" x14ac:dyDescent="0.2">
      <c r="A961" s="14" t="s">
        <v>1895</v>
      </c>
      <c r="B961" s="15" t="s">
        <v>1896</v>
      </c>
      <c r="C961" s="16">
        <f>98.78/(1+B2)</f>
        <v>98.78</v>
      </c>
      <c r="D961" s="17" t="s">
        <v>11</v>
      </c>
      <c r="E961" s="17"/>
      <c r="F961" s="18"/>
      <c r="G961" s="36" t="str">
        <f>IF(ISNUMBER(F961),C961*F961,"")</f>
        <v/>
      </c>
    </row>
    <row r="962" spans="1:7" ht="12" customHeight="1" outlineLevel="2" x14ac:dyDescent="0.2">
      <c r="A962" s="14" t="s">
        <v>1897</v>
      </c>
      <c r="B962" s="15" t="s">
        <v>1898</v>
      </c>
      <c r="C962" s="16">
        <f>201.99/(1+B2)</f>
        <v>201.99</v>
      </c>
      <c r="D962" s="17" t="s">
        <v>11</v>
      </c>
      <c r="E962" s="17"/>
      <c r="F962" s="18"/>
      <c r="G962" s="36" t="str">
        <f>IF(ISNUMBER(F962),C962*F962,"")</f>
        <v/>
      </c>
    </row>
    <row r="963" spans="1:7" s="1" customFormat="1" ht="15.95" customHeight="1" outlineLevel="1" x14ac:dyDescent="0.25">
      <c r="A963" s="11"/>
      <c r="B963" s="12" t="s">
        <v>1899</v>
      </c>
      <c r="C963" s="13"/>
      <c r="D963" s="13"/>
      <c r="E963" s="13"/>
      <c r="F963" s="13"/>
      <c r="G963" s="35"/>
    </row>
    <row r="964" spans="1:7" ht="12" customHeight="1" outlineLevel="2" x14ac:dyDescent="0.2">
      <c r="A964" s="14" t="s">
        <v>1900</v>
      </c>
      <c r="B964" s="15" t="s">
        <v>1901</v>
      </c>
      <c r="C964" s="16">
        <f>31.31/(1+B2)</f>
        <v>31.31</v>
      </c>
      <c r="D964" s="17" t="s">
        <v>53</v>
      </c>
      <c r="E964" s="17" t="s">
        <v>14</v>
      </c>
      <c r="F964" s="18"/>
      <c r="G964" s="36" t="str">
        <f>IF(ISNUMBER(F964),C964*F964,"")</f>
        <v/>
      </c>
    </row>
    <row r="965" spans="1:7" ht="12" customHeight="1" outlineLevel="2" x14ac:dyDescent="0.2">
      <c r="A965" s="14" t="s">
        <v>1902</v>
      </c>
      <c r="B965" s="15" t="s">
        <v>1903</v>
      </c>
      <c r="C965" s="16">
        <f>65.52/(1+B2)</f>
        <v>65.52</v>
      </c>
      <c r="D965" s="17" t="s">
        <v>11</v>
      </c>
      <c r="E965" s="17" t="s">
        <v>53</v>
      </c>
      <c r="F965" s="18"/>
      <c r="G965" s="36" t="str">
        <f>IF(ISNUMBER(F965),C965*F965,"")</f>
        <v/>
      </c>
    </row>
    <row r="966" spans="1:7" ht="12" customHeight="1" outlineLevel="2" x14ac:dyDescent="0.2">
      <c r="A966" s="14" t="s">
        <v>1904</v>
      </c>
      <c r="B966" s="15" t="s">
        <v>1905</v>
      </c>
      <c r="C966" s="16">
        <f>97.41/(1+B2)</f>
        <v>97.41</v>
      </c>
      <c r="D966" s="17" t="s">
        <v>11</v>
      </c>
      <c r="E966" s="17" t="s">
        <v>11</v>
      </c>
      <c r="F966" s="18"/>
      <c r="G966" s="36" t="str">
        <f>IF(ISNUMBER(F966),C966*F966,"")</f>
        <v/>
      </c>
    </row>
    <row r="967" spans="1:7" ht="24" customHeight="1" outlineLevel="2" x14ac:dyDescent="0.2">
      <c r="A967" s="14" t="s">
        <v>1906</v>
      </c>
      <c r="B967" s="15" t="s">
        <v>1907</v>
      </c>
      <c r="C967" s="16">
        <f>97.41/(1+B2)</f>
        <v>97.41</v>
      </c>
      <c r="D967" s="17" t="s">
        <v>11</v>
      </c>
      <c r="E967" s="17" t="s">
        <v>11</v>
      </c>
      <c r="F967" s="18"/>
      <c r="G967" s="36" t="str">
        <f>IF(ISNUMBER(F967),C967*F967,"")</f>
        <v/>
      </c>
    </row>
    <row r="968" spans="1:7" ht="12" customHeight="1" outlineLevel="2" x14ac:dyDescent="0.2">
      <c r="A968" s="14" t="s">
        <v>1908</v>
      </c>
      <c r="B968" s="15" t="s">
        <v>1909</v>
      </c>
      <c r="C968" s="16">
        <f>123.33/(1+B2)</f>
        <v>123.33</v>
      </c>
      <c r="D968" s="17" t="s">
        <v>11</v>
      </c>
      <c r="E968" s="17"/>
      <c r="F968" s="18"/>
      <c r="G968" s="36" t="str">
        <f>IF(ISNUMBER(F968),C968*F968,"")</f>
        <v/>
      </c>
    </row>
    <row r="969" spans="1:7" ht="12" customHeight="1" outlineLevel="2" x14ac:dyDescent="0.2">
      <c r="A969" s="14" t="s">
        <v>1910</v>
      </c>
      <c r="B969" s="15" t="s">
        <v>1911</v>
      </c>
      <c r="C969" s="16">
        <f>42.06/(1+B2)</f>
        <v>42.06</v>
      </c>
      <c r="D969" s="17" t="s">
        <v>11</v>
      </c>
      <c r="E969" s="17"/>
      <c r="F969" s="18"/>
      <c r="G969" s="36" t="str">
        <f>IF(ISNUMBER(F969),C969*F969,"")</f>
        <v/>
      </c>
    </row>
    <row r="970" spans="1:7" ht="12" customHeight="1" outlineLevel="2" x14ac:dyDescent="0.2">
      <c r="A970" s="14" t="s">
        <v>1912</v>
      </c>
      <c r="B970" s="15" t="s">
        <v>1913</v>
      </c>
      <c r="C970" s="16">
        <f>42.06/(1+B2)</f>
        <v>42.06</v>
      </c>
      <c r="D970" s="17" t="s">
        <v>14</v>
      </c>
      <c r="E970" s="17"/>
      <c r="F970" s="18"/>
      <c r="G970" s="36" t="str">
        <f>IF(ISNUMBER(F970),C970*F970,"")</f>
        <v/>
      </c>
    </row>
    <row r="971" spans="1:7" ht="12" customHeight="1" outlineLevel="2" x14ac:dyDescent="0.2">
      <c r="A971" s="14" t="s">
        <v>1914</v>
      </c>
      <c r="B971" s="15" t="s">
        <v>1915</v>
      </c>
      <c r="C971" s="16">
        <f>42.06/(1+B2)</f>
        <v>42.06</v>
      </c>
      <c r="D971" s="17" t="s">
        <v>11</v>
      </c>
      <c r="E971" s="17"/>
      <c r="F971" s="18"/>
      <c r="G971" s="36" t="str">
        <f>IF(ISNUMBER(F971),C971*F971,"")</f>
        <v/>
      </c>
    </row>
    <row r="972" spans="1:7" ht="12" customHeight="1" outlineLevel="2" x14ac:dyDescent="0.2">
      <c r="A972" s="14" t="s">
        <v>1916</v>
      </c>
      <c r="B972" s="15" t="s">
        <v>1917</v>
      </c>
      <c r="C972" s="16">
        <f>85.61/(1+B2)</f>
        <v>85.61</v>
      </c>
      <c r="D972" s="17" t="s">
        <v>11</v>
      </c>
      <c r="E972" s="17" t="s">
        <v>53</v>
      </c>
      <c r="F972" s="18"/>
      <c r="G972" s="36" t="str">
        <f>IF(ISNUMBER(F972),C972*F972,"")</f>
        <v/>
      </c>
    </row>
    <row r="973" spans="1:7" ht="12" customHeight="1" outlineLevel="2" x14ac:dyDescent="0.2">
      <c r="A973" s="14" t="s">
        <v>1918</v>
      </c>
      <c r="B973" s="15" t="s">
        <v>1919</v>
      </c>
      <c r="C973" s="16">
        <f>85.61/(1+B2)</f>
        <v>85.61</v>
      </c>
      <c r="D973" s="17" t="s">
        <v>14</v>
      </c>
      <c r="E973" s="17" t="s">
        <v>14</v>
      </c>
      <c r="F973" s="18"/>
      <c r="G973" s="36" t="str">
        <f>IF(ISNUMBER(F973),C973*F973,"")</f>
        <v/>
      </c>
    </row>
    <row r="974" spans="1:7" ht="12" customHeight="1" outlineLevel="2" x14ac:dyDescent="0.2">
      <c r="A974" s="14" t="s">
        <v>1920</v>
      </c>
      <c r="B974" s="15" t="s">
        <v>1921</v>
      </c>
      <c r="C974" s="16">
        <f>85.61/(1+B2)</f>
        <v>85.61</v>
      </c>
      <c r="D974" s="17" t="s">
        <v>11</v>
      </c>
      <c r="E974" s="17" t="s">
        <v>53</v>
      </c>
      <c r="F974" s="18"/>
      <c r="G974" s="36" t="str">
        <f>IF(ISNUMBER(F974),C974*F974,"")</f>
        <v/>
      </c>
    </row>
    <row r="975" spans="1:7" ht="12" customHeight="1" outlineLevel="2" x14ac:dyDescent="0.2">
      <c r="A975" s="14" t="s">
        <v>1922</v>
      </c>
      <c r="B975" s="15" t="s">
        <v>1923</v>
      </c>
      <c r="C975" s="16">
        <f>85.61/(1+B2)</f>
        <v>85.61</v>
      </c>
      <c r="D975" s="17" t="s">
        <v>11</v>
      </c>
      <c r="E975" s="17" t="s">
        <v>53</v>
      </c>
      <c r="F975" s="18"/>
      <c r="G975" s="36" t="str">
        <f>IF(ISNUMBER(F975),C975*F975,"")</f>
        <v/>
      </c>
    </row>
    <row r="976" spans="1:7" ht="12" customHeight="1" outlineLevel="2" x14ac:dyDescent="0.2">
      <c r="A976" s="14" t="s">
        <v>1924</v>
      </c>
      <c r="B976" s="15" t="s">
        <v>1925</v>
      </c>
      <c r="C976" s="16">
        <f>85.61/(1+B2)</f>
        <v>85.61</v>
      </c>
      <c r="D976" s="17" t="s">
        <v>11</v>
      </c>
      <c r="E976" s="17" t="s">
        <v>14</v>
      </c>
      <c r="F976" s="18"/>
      <c r="G976" s="36" t="str">
        <f>IF(ISNUMBER(F976),C976*F976,"")</f>
        <v/>
      </c>
    </row>
    <row r="977" spans="1:7" ht="12" customHeight="1" outlineLevel="2" x14ac:dyDescent="0.2">
      <c r="A977" s="14" t="s">
        <v>1926</v>
      </c>
      <c r="B977" s="15" t="s">
        <v>1927</v>
      </c>
      <c r="C977" s="16">
        <f>85.61/(1+B2)</f>
        <v>85.61</v>
      </c>
      <c r="D977" s="17" t="s">
        <v>11</v>
      </c>
      <c r="E977" s="17" t="s">
        <v>53</v>
      </c>
      <c r="F977" s="18"/>
      <c r="G977" s="36" t="str">
        <f>IF(ISNUMBER(F977),C977*F977,"")</f>
        <v/>
      </c>
    </row>
    <row r="978" spans="1:7" ht="24" customHeight="1" outlineLevel="2" x14ac:dyDescent="0.2">
      <c r="A978" s="14" t="s">
        <v>1928</v>
      </c>
      <c r="B978" s="15" t="s">
        <v>1929</v>
      </c>
      <c r="C978" s="16">
        <f>180.65/(1+B2)</f>
        <v>180.65</v>
      </c>
      <c r="D978" s="17" t="s">
        <v>11</v>
      </c>
      <c r="E978" s="17"/>
      <c r="F978" s="18"/>
      <c r="G978" s="36" t="str">
        <f>IF(ISNUMBER(F978),C978*F978,"")</f>
        <v/>
      </c>
    </row>
    <row r="979" spans="1:7" ht="12" customHeight="1" outlineLevel="2" x14ac:dyDescent="0.2">
      <c r="A979" s="14" t="s">
        <v>1930</v>
      </c>
      <c r="B979" s="15" t="s">
        <v>1931</v>
      </c>
      <c r="C979" s="16">
        <f>294.28/(1+B2)</f>
        <v>294.27999999999997</v>
      </c>
      <c r="D979" s="17" t="s">
        <v>11</v>
      </c>
      <c r="E979" s="17"/>
      <c r="F979" s="18"/>
      <c r="G979" s="36" t="str">
        <f>IF(ISNUMBER(F979),C979*F979,"")</f>
        <v/>
      </c>
    </row>
    <row r="980" spans="1:7" ht="12" customHeight="1" outlineLevel="2" x14ac:dyDescent="0.2">
      <c r="A980" s="14" t="s">
        <v>1932</v>
      </c>
      <c r="B980" s="15" t="s">
        <v>1933</v>
      </c>
      <c r="C980" s="16">
        <f>33.7/(1+B2)</f>
        <v>33.700000000000003</v>
      </c>
      <c r="D980" s="17" t="s">
        <v>11</v>
      </c>
      <c r="E980" s="17" t="s">
        <v>11</v>
      </c>
      <c r="F980" s="18"/>
      <c r="G980" s="36" t="str">
        <f>IF(ISNUMBER(F980),C980*F980,"")</f>
        <v/>
      </c>
    </row>
    <row r="981" spans="1:7" ht="12" customHeight="1" outlineLevel="2" x14ac:dyDescent="0.2">
      <c r="A981" s="14" t="s">
        <v>1934</v>
      </c>
      <c r="B981" s="15" t="s">
        <v>1935</v>
      </c>
      <c r="C981" s="16">
        <f>76.43/(1+B2)</f>
        <v>76.430000000000007</v>
      </c>
      <c r="D981" s="17" t="s">
        <v>11</v>
      </c>
      <c r="E981" s="17"/>
      <c r="F981" s="18"/>
      <c r="G981" s="36" t="str">
        <f>IF(ISNUMBER(F981),C981*F981,"")</f>
        <v/>
      </c>
    </row>
    <row r="982" spans="1:7" ht="12" customHeight="1" outlineLevel="2" x14ac:dyDescent="0.2">
      <c r="A982" s="14" t="s">
        <v>1936</v>
      </c>
      <c r="B982" s="15" t="s">
        <v>1937</v>
      </c>
      <c r="C982" s="16">
        <f>48.71/(1+B2)</f>
        <v>48.71</v>
      </c>
      <c r="D982" s="17" t="s">
        <v>11</v>
      </c>
      <c r="E982" s="17"/>
      <c r="F982" s="18"/>
      <c r="G982" s="36" t="str">
        <f>IF(ISNUMBER(F982),C982*F982,"")</f>
        <v/>
      </c>
    </row>
    <row r="983" spans="1:7" ht="12" customHeight="1" outlineLevel="2" x14ac:dyDescent="0.2">
      <c r="A983" s="14" t="s">
        <v>1938</v>
      </c>
      <c r="B983" s="15" t="s">
        <v>1939</v>
      </c>
      <c r="C983" s="16">
        <f>98.04/(1+B2)</f>
        <v>98.04</v>
      </c>
      <c r="D983" s="17" t="s">
        <v>11</v>
      </c>
      <c r="E983" s="17"/>
      <c r="F983" s="18"/>
      <c r="G983" s="36" t="str">
        <f>IF(ISNUMBER(F983),C983*F983,"")</f>
        <v/>
      </c>
    </row>
    <row r="984" spans="1:7" ht="12" customHeight="1" outlineLevel="2" x14ac:dyDescent="0.2">
      <c r="A984" s="14" t="s">
        <v>1940</v>
      </c>
      <c r="B984" s="15" t="s">
        <v>1941</v>
      </c>
      <c r="C984" s="16">
        <f>96.95/(1+B2)</f>
        <v>96.95</v>
      </c>
      <c r="D984" s="17" t="s">
        <v>11</v>
      </c>
      <c r="E984" s="17"/>
      <c r="F984" s="18"/>
      <c r="G984" s="36" t="str">
        <f>IF(ISNUMBER(F984),C984*F984,"")</f>
        <v/>
      </c>
    </row>
    <row r="985" spans="1:7" ht="12" customHeight="1" outlineLevel="2" x14ac:dyDescent="0.2">
      <c r="A985" s="14" t="s">
        <v>1942</v>
      </c>
      <c r="B985" s="15" t="s">
        <v>1943</v>
      </c>
      <c r="C985" s="16">
        <f>100.59/(1+B2)</f>
        <v>100.59</v>
      </c>
      <c r="D985" s="17" t="s">
        <v>11</v>
      </c>
      <c r="E985" s="17"/>
      <c r="F985" s="18"/>
      <c r="G985" s="36" t="str">
        <f>IF(ISNUMBER(F985),C985*F985,"")</f>
        <v/>
      </c>
    </row>
    <row r="986" spans="1:7" ht="12" customHeight="1" outlineLevel="2" x14ac:dyDescent="0.2">
      <c r="A986" s="14" t="s">
        <v>1944</v>
      </c>
      <c r="B986" s="15" t="s">
        <v>1945</v>
      </c>
      <c r="C986" s="16">
        <f>100.59/(1+B2)</f>
        <v>100.59</v>
      </c>
      <c r="D986" s="17" t="s">
        <v>11</v>
      </c>
      <c r="E986" s="17" t="s">
        <v>11</v>
      </c>
      <c r="F986" s="18"/>
      <c r="G986" s="36" t="str">
        <f>IF(ISNUMBER(F986),C986*F986,"")</f>
        <v/>
      </c>
    </row>
    <row r="987" spans="1:7" ht="12" customHeight="1" outlineLevel="2" x14ac:dyDescent="0.2">
      <c r="A987" s="14" t="s">
        <v>1946</v>
      </c>
      <c r="B987" s="15" t="s">
        <v>1947</v>
      </c>
      <c r="C987" s="16">
        <f>106.95/(1+B2)</f>
        <v>106.95</v>
      </c>
      <c r="D987" s="17" t="s">
        <v>11</v>
      </c>
      <c r="E987" s="17" t="s">
        <v>14</v>
      </c>
      <c r="F987" s="18"/>
      <c r="G987" s="36" t="str">
        <f>IF(ISNUMBER(F987),C987*F987,"")</f>
        <v/>
      </c>
    </row>
    <row r="988" spans="1:7" ht="12" customHeight="1" outlineLevel="2" x14ac:dyDescent="0.2">
      <c r="A988" s="14" t="s">
        <v>1948</v>
      </c>
      <c r="B988" s="15" t="s">
        <v>1949</v>
      </c>
      <c r="C988" s="16">
        <f>78.76/(1+B2)</f>
        <v>78.760000000000005</v>
      </c>
      <c r="D988" s="17" t="s">
        <v>14</v>
      </c>
      <c r="E988" s="17"/>
      <c r="F988" s="18"/>
      <c r="G988" s="36" t="str">
        <f>IF(ISNUMBER(F988),C988*F988,"")</f>
        <v/>
      </c>
    </row>
    <row r="989" spans="1:7" ht="12" customHeight="1" outlineLevel="2" x14ac:dyDescent="0.2">
      <c r="A989" s="14" t="s">
        <v>1950</v>
      </c>
      <c r="B989" s="15" t="s">
        <v>1951</v>
      </c>
      <c r="C989" s="16">
        <f>88/(1+B2)</f>
        <v>88</v>
      </c>
      <c r="D989" s="17" t="s">
        <v>14</v>
      </c>
      <c r="E989" s="17"/>
      <c r="F989" s="18"/>
      <c r="G989" s="36" t="str">
        <f>IF(ISNUMBER(F989),C989*F989,"")</f>
        <v/>
      </c>
    </row>
    <row r="990" spans="1:7" ht="12" customHeight="1" outlineLevel="2" x14ac:dyDescent="0.2">
      <c r="A990" s="14" t="s">
        <v>1952</v>
      </c>
      <c r="B990" s="15" t="s">
        <v>1953</v>
      </c>
      <c r="C990" s="16">
        <f>74.29/(1+B2)</f>
        <v>74.290000000000006</v>
      </c>
      <c r="D990" s="17" t="s">
        <v>11</v>
      </c>
      <c r="E990" s="17"/>
      <c r="F990" s="18"/>
      <c r="G990" s="36" t="str">
        <f>IF(ISNUMBER(F990),C990*F990,"")</f>
        <v/>
      </c>
    </row>
    <row r="991" spans="1:7" ht="12" customHeight="1" outlineLevel="2" x14ac:dyDescent="0.2">
      <c r="A991" s="14" t="s">
        <v>1954</v>
      </c>
      <c r="B991" s="15" t="s">
        <v>1955</v>
      </c>
      <c r="C991" s="16">
        <f>72.23/(1+B2)</f>
        <v>72.23</v>
      </c>
      <c r="D991" s="17" t="s">
        <v>14</v>
      </c>
      <c r="E991" s="17" t="s">
        <v>14</v>
      </c>
      <c r="F991" s="18"/>
      <c r="G991" s="36" t="str">
        <f>IF(ISNUMBER(F991),C991*F991,"")</f>
        <v/>
      </c>
    </row>
    <row r="992" spans="1:7" ht="12" customHeight="1" outlineLevel="2" x14ac:dyDescent="0.2">
      <c r="A992" s="14" t="s">
        <v>1956</v>
      </c>
      <c r="B992" s="15" t="s">
        <v>1957</v>
      </c>
      <c r="C992" s="16">
        <f>74.29/(1+B2)</f>
        <v>74.290000000000006</v>
      </c>
      <c r="D992" s="17" t="s">
        <v>14</v>
      </c>
      <c r="E992" s="17"/>
      <c r="F992" s="18"/>
      <c r="G992" s="36" t="str">
        <f>IF(ISNUMBER(F992),C992*F992,"")</f>
        <v/>
      </c>
    </row>
    <row r="993" spans="1:7" ht="12" customHeight="1" outlineLevel="2" x14ac:dyDescent="0.2">
      <c r="A993" s="14" t="s">
        <v>1958</v>
      </c>
      <c r="B993" s="15" t="s">
        <v>1959</v>
      </c>
      <c r="C993" s="16">
        <f>88/(1+B2)</f>
        <v>88</v>
      </c>
      <c r="D993" s="17" t="s">
        <v>14</v>
      </c>
      <c r="E993" s="17"/>
      <c r="F993" s="18"/>
      <c r="G993" s="36" t="str">
        <f>IF(ISNUMBER(F993),C993*F993,"")</f>
        <v/>
      </c>
    </row>
    <row r="994" spans="1:7" ht="12" customHeight="1" outlineLevel="2" x14ac:dyDescent="0.2">
      <c r="A994" s="14" t="s">
        <v>1960</v>
      </c>
      <c r="B994" s="15" t="s">
        <v>1961</v>
      </c>
      <c r="C994" s="16">
        <f>78.76/(1+B2)</f>
        <v>78.760000000000005</v>
      </c>
      <c r="D994" s="17" t="s">
        <v>11</v>
      </c>
      <c r="E994" s="17"/>
      <c r="F994" s="18"/>
      <c r="G994" s="36" t="str">
        <f>IF(ISNUMBER(F994),C994*F994,"")</f>
        <v/>
      </c>
    </row>
    <row r="995" spans="1:7" ht="12" customHeight="1" outlineLevel="2" x14ac:dyDescent="0.2">
      <c r="A995" s="14" t="s">
        <v>1962</v>
      </c>
      <c r="B995" s="15" t="s">
        <v>1963</v>
      </c>
      <c r="C995" s="16">
        <f>77.28/(1+B2)</f>
        <v>77.28</v>
      </c>
      <c r="D995" s="17" t="s">
        <v>11</v>
      </c>
      <c r="E995" s="17"/>
      <c r="F995" s="18"/>
      <c r="G995" s="36" t="str">
        <f>IF(ISNUMBER(F995),C995*F995,"")</f>
        <v/>
      </c>
    </row>
    <row r="996" spans="1:7" ht="12" customHeight="1" outlineLevel="2" x14ac:dyDescent="0.2">
      <c r="A996" s="14" t="s">
        <v>1964</v>
      </c>
      <c r="B996" s="15" t="s">
        <v>1965</v>
      </c>
      <c r="C996" s="16">
        <f>29.39/(1+B2)</f>
        <v>29.39</v>
      </c>
      <c r="D996" s="17" t="s">
        <v>14</v>
      </c>
      <c r="E996" s="17" t="s">
        <v>53</v>
      </c>
      <c r="F996" s="18"/>
      <c r="G996" s="36" t="str">
        <f>IF(ISNUMBER(F996),C996*F996,"")</f>
        <v/>
      </c>
    </row>
    <row r="997" spans="1:7" ht="12" customHeight="1" outlineLevel="2" x14ac:dyDescent="0.2">
      <c r="A997" s="14" t="s">
        <v>1966</v>
      </c>
      <c r="B997" s="15" t="s">
        <v>1967</v>
      </c>
      <c r="C997" s="16">
        <f>75.09/(1+B2)</f>
        <v>75.09</v>
      </c>
      <c r="D997" s="17" t="s">
        <v>11</v>
      </c>
      <c r="E997" s="17"/>
      <c r="F997" s="18"/>
      <c r="G997" s="36" t="str">
        <f>IF(ISNUMBER(F997),C997*F997,"")</f>
        <v/>
      </c>
    </row>
    <row r="998" spans="1:7" ht="12" customHeight="1" outlineLevel="2" x14ac:dyDescent="0.2">
      <c r="A998" s="14" t="s">
        <v>1968</v>
      </c>
      <c r="B998" s="15" t="s">
        <v>1969</v>
      </c>
      <c r="C998" s="16">
        <f>75.09/(1+B2)</f>
        <v>75.09</v>
      </c>
      <c r="D998" s="17" t="s">
        <v>11</v>
      </c>
      <c r="E998" s="17" t="s">
        <v>11</v>
      </c>
      <c r="F998" s="18"/>
      <c r="G998" s="36" t="str">
        <f>IF(ISNUMBER(F998),C998*F998,"")</f>
        <v/>
      </c>
    </row>
    <row r="999" spans="1:7" ht="12" customHeight="1" outlineLevel="2" x14ac:dyDescent="0.2">
      <c r="A999" s="14" t="s">
        <v>1970</v>
      </c>
      <c r="B999" s="15" t="s">
        <v>1971</v>
      </c>
      <c r="C999" s="16">
        <f>104/(1+B2)</f>
        <v>104</v>
      </c>
      <c r="D999" s="17" t="s">
        <v>11</v>
      </c>
      <c r="E999" s="17"/>
      <c r="F999" s="18"/>
      <c r="G999" s="36" t="str">
        <f>IF(ISNUMBER(F999),C999*F999,"")</f>
        <v/>
      </c>
    </row>
    <row r="1000" spans="1:7" ht="12" customHeight="1" outlineLevel="2" x14ac:dyDescent="0.2">
      <c r="A1000" s="14" t="s">
        <v>1972</v>
      </c>
      <c r="B1000" s="15" t="s">
        <v>1973</v>
      </c>
      <c r="C1000" s="16">
        <f>72.23/(1+B2)</f>
        <v>72.23</v>
      </c>
      <c r="D1000" s="17" t="s">
        <v>11</v>
      </c>
      <c r="E1000" s="17" t="s">
        <v>53</v>
      </c>
      <c r="F1000" s="18"/>
      <c r="G1000" s="36" t="str">
        <f>IF(ISNUMBER(F1000),C1000*F1000,"")</f>
        <v/>
      </c>
    </row>
    <row r="1001" spans="1:7" ht="12" customHeight="1" outlineLevel="2" x14ac:dyDescent="0.2">
      <c r="A1001" s="14" t="s">
        <v>1974</v>
      </c>
      <c r="B1001" s="15" t="s">
        <v>1975</v>
      </c>
      <c r="C1001" s="16">
        <f>54/(1+B2)</f>
        <v>54</v>
      </c>
      <c r="D1001" s="17" t="s">
        <v>14</v>
      </c>
      <c r="E1001" s="17" t="s">
        <v>11</v>
      </c>
      <c r="F1001" s="18"/>
      <c r="G1001" s="36" t="str">
        <f>IF(ISNUMBER(F1001),C1001*F1001,"")</f>
        <v/>
      </c>
    </row>
    <row r="1002" spans="1:7" ht="12" customHeight="1" outlineLevel="2" x14ac:dyDescent="0.2">
      <c r="A1002" s="14" t="s">
        <v>1976</v>
      </c>
      <c r="B1002" s="15" t="s">
        <v>1977</v>
      </c>
      <c r="C1002" s="16">
        <f>106.66/(1+B2)</f>
        <v>106.66</v>
      </c>
      <c r="D1002" s="17" t="s">
        <v>11</v>
      </c>
      <c r="E1002" s="17"/>
      <c r="F1002" s="18"/>
      <c r="G1002" s="36" t="str">
        <f>IF(ISNUMBER(F1002),C1002*F1002,"")</f>
        <v/>
      </c>
    </row>
    <row r="1003" spans="1:7" ht="12" customHeight="1" outlineLevel="2" x14ac:dyDescent="0.2">
      <c r="A1003" s="14" t="s">
        <v>1978</v>
      </c>
      <c r="B1003" s="15" t="s">
        <v>1979</v>
      </c>
      <c r="C1003" s="16">
        <f>36.1/(1+B2)</f>
        <v>36.1</v>
      </c>
      <c r="D1003" s="17" t="s">
        <v>14</v>
      </c>
      <c r="E1003" s="17"/>
      <c r="F1003" s="18"/>
      <c r="G1003" s="36" t="str">
        <f>IF(ISNUMBER(F1003),C1003*F1003,"")</f>
        <v/>
      </c>
    </row>
    <row r="1004" spans="1:7" ht="12" customHeight="1" outlineLevel="2" x14ac:dyDescent="0.2">
      <c r="A1004" s="14" t="s">
        <v>1980</v>
      </c>
      <c r="B1004" s="15" t="s">
        <v>1981</v>
      </c>
      <c r="C1004" s="16">
        <f>36.1/(1+B2)</f>
        <v>36.1</v>
      </c>
      <c r="D1004" s="17" t="s">
        <v>11</v>
      </c>
      <c r="E1004" s="17" t="s">
        <v>53</v>
      </c>
      <c r="F1004" s="18"/>
      <c r="G1004" s="36" t="str">
        <f>IF(ISNUMBER(F1004),C1004*F1004,"")</f>
        <v/>
      </c>
    </row>
    <row r="1005" spans="1:7" ht="12" customHeight="1" outlineLevel="2" x14ac:dyDescent="0.2">
      <c r="A1005" s="14" t="s">
        <v>1982</v>
      </c>
      <c r="B1005" s="15" t="s">
        <v>1983</v>
      </c>
      <c r="C1005" s="16">
        <f>72.04/(1+B2)</f>
        <v>72.040000000000006</v>
      </c>
      <c r="D1005" s="17" t="s">
        <v>11</v>
      </c>
      <c r="E1005" s="17" t="s">
        <v>53</v>
      </c>
      <c r="F1005" s="18"/>
      <c r="G1005" s="36" t="str">
        <f>IF(ISNUMBER(F1005),C1005*F1005,"")</f>
        <v/>
      </c>
    </row>
    <row r="1006" spans="1:7" ht="12" customHeight="1" outlineLevel="2" x14ac:dyDescent="0.2">
      <c r="A1006" s="14" t="s">
        <v>1984</v>
      </c>
      <c r="B1006" s="15" t="s">
        <v>1985</v>
      </c>
      <c r="C1006" s="16">
        <f>72.04/(1+B2)</f>
        <v>72.040000000000006</v>
      </c>
      <c r="D1006" s="17" t="s">
        <v>11</v>
      </c>
      <c r="E1006" s="17" t="s">
        <v>53</v>
      </c>
      <c r="F1006" s="18"/>
      <c r="G1006" s="36" t="str">
        <f>IF(ISNUMBER(F1006),C1006*F1006,"")</f>
        <v/>
      </c>
    </row>
    <row r="1007" spans="1:7" ht="12" customHeight="1" outlineLevel="2" x14ac:dyDescent="0.2">
      <c r="A1007" s="14" t="s">
        <v>1986</v>
      </c>
      <c r="B1007" s="15" t="s">
        <v>1987</v>
      </c>
      <c r="C1007" s="16">
        <f>180.16/(1+B2)</f>
        <v>180.16</v>
      </c>
      <c r="D1007" s="17" t="s">
        <v>11</v>
      </c>
      <c r="E1007" s="17"/>
      <c r="F1007" s="18"/>
      <c r="G1007" s="36" t="str">
        <f>IF(ISNUMBER(F1007),C1007*F1007,"")</f>
        <v/>
      </c>
    </row>
    <row r="1008" spans="1:7" ht="12" customHeight="1" outlineLevel="2" x14ac:dyDescent="0.2">
      <c r="A1008" s="14" t="s">
        <v>1988</v>
      </c>
      <c r="B1008" s="15" t="s">
        <v>1989</v>
      </c>
      <c r="C1008" s="16">
        <f>129.65/(1+B2)</f>
        <v>129.65</v>
      </c>
      <c r="D1008" s="17" t="s">
        <v>11</v>
      </c>
      <c r="E1008" s="17"/>
      <c r="F1008" s="18"/>
      <c r="G1008" s="36" t="str">
        <f>IF(ISNUMBER(F1008),C1008*F1008,"")</f>
        <v/>
      </c>
    </row>
    <row r="1009" spans="1:7" ht="12" customHeight="1" outlineLevel="2" x14ac:dyDescent="0.2">
      <c r="A1009" s="14" t="s">
        <v>1990</v>
      </c>
      <c r="B1009" s="15" t="s">
        <v>1991</v>
      </c>
      <c r="C1009" s="16">
        <f>129.65/(1+B2)</f>
        <v>129.65</v>
      </c>
      <c r="D1009" s="17" t="s">
        <v>11</v>
      </c>
      <c r="E1009" s="17" t="s">
        <v>11</v>
      </c>
      <c r="F1009" s="18"/>
      <c r="G1009" s="36" t="str">
        <f>IF(ISNUMBER(F1009),C1009*F1009,"")</f>
        <v/>
      </c>
    </row>
    <row r="1010" spans="1:7" ht="12" customHeight="1" outlineLevel="2" x14ac:dyDescent="0.2">
      <c r="A1010" s="14" t="s">
        <v>1992</v>
      </c>
      <c r="B1010" s="15" t="s">
        <v>1993</v>
      </c>
      <c r="C1010" s="16">
        <f>130.33/(1+B2)</f>
        <v>130.33000000000001</v>
      </c>
      <c r="D1010" s="17" t="s">
        <v>11</v>
      </c>
      <c r="E1010" s="17"/>
      <c r="F1010" s="18"/>
      <c r="G1010" s="36" t="str">
        <f>IF(ISNUMBER(F1010),C1010*F1010,"")</f>
        <v/>
      </c>
    </row>
    <row r="1011" spans="1:7" ht="12" customHeight="1" outlineLevel="2" x14ac:dyDescent="0.2">
      <c r="A1011" s="14" t="s">
        <v>1994</v>
      </c>
      <c r="B1011" s="15" t="s">
        <v>1995</v>
      </c>
      <c r="C1011" s="16">
        <f>204.31/(1+B2)</f>
        <v>204.31</v>
      </c>
      <c r="D1011" s="17" t="s">
        <v>11</v>
      </c>
      <c r="E1011" s="17"/>
      <c r="F1011" s="18"/>
      <c r="G1011" s="36" t="str">
        <f>IF(ISNUMBER(F1011),C1011*F1011,"")</f>
        <v/>
      </c>
    </row>
    <row r="1012" spans="1:7" ht="12" customHeight="1" outlineLevel="2" x14ac:dyDescent="0.2">
      <c r="A1012" s="14" t="s">
        <v>1996</v>
      </c>
      <c r="B1012" s="15" t="s">
        <v>1997</v>
      </c>
      <c r="C1012" s="16">
        <f>52.55/(1+B2)</f>
        <v>52.55</v>
      </c>
      <c r="D1012" s="17" t="s">
        <v>14</v>
      </c>
      <c r="E1012" s="17" t="s">
        <v>11</v>
      </c>
      <c r="F1012" s="18"/>
      <c r="G1012" s="36" t="str">
        <f>IF(ISNUMBER(F1012),C1012*F1012,"")</f>
        <v/>
      </c>
    </row>
    <row r="1013" spans="1:7" ht="12" customHeight="1" outlineLevel="2" x14ac:dyDescent="0.2">
      <c r="A1013" s="14" t="s">
        <v>1998</v>
      </c>
      <c r="B1013" s="15" t="s">
        <v>1999</v>
      </c>
      <c r="C1013" s="16">
        <f>252.49/(1+B2)</f>
        <v>252.49</v>
      </c>
      <c r="D1013" s="17" t="s">
        <v>11</v>
      </c>
      <c r="E1013" s="17"/>
      <c r="F1013" s="18"/>
      <c r="G1013" s="36" t="str">
        <f>IF(ISNUMBER(F1013),C1013*F1013,"")</f>
        <v/>
      </c>
    </row>
    <row r="1014" spans="1:7" ht="12" customHeight="1" outlineLevel="2" x14ac:dyDescent="0.2">
      <c r="A1014" s="14" t="s">
        <v>2000</v>
      </c>
      <c r="B1014" s="15" t="s">
        <v>2001</v>
      </c>
      <c r="C1014" s="16">
        <f>252.49/(1+B2)</f>
        <v>252.49</v>
      </c>
      <c r="D1014" s="17" t="s">
        <v>11</v>
      </c>
      <c r="E1014" s="17"/>
      <c r="F1014" s="18"/>
      <c r="G1014" s="36" t="str">
        <f>IF(ISNUMBER(F1014),C1014*F1014,"")</f>
        <v/>
      </c>
    </row>
    <row r="1015" spans="1:7" ht="12" customHeight="1" outlineLevel="2" x14ac:dyDescent="0.2">
      <c r="A1015" s="14" t="s">
        <v>2002</v>
      </c>
      <c r="B1015" s="15" t="s">
        <v>2003</v>
      </c>
      <c r="C1015" s="16">
        <f>192.64/(1+B2)</f>
        <v>192.64</v>
      </c>
      <c r="D1015" s="17" t="s">
        <v>11</v>
      </c>
      <c r="E1015" s="17" t="s">
        <v>14</v>
      </c>
      <c r="F1015" s="18"/>
      <c r="G1015" s="36" t="str">
        <f>IF(ISNUMBER(F1015),C1015*F1015,"")</f>
        <v/>
      </c>
    </row>
    <row r="1016" spans="1:7" ht="12" customHeight="1" outlineLevel="2" x14ac:dyDescent="0.2">
      <c r="A1016" s="14" t="s">
        <v>2004</v>
      </c>
      <c r="B1016" s="15" t="s">
        <v>2005</v>
      </c>
      <c r="C1016" s="16">
        <f>120.04/(1+B2)</f>
        <v>120.04</v>
      </c>
      <c r="D1016" s="17" t="s">
        <v>11</v>
      </c>
      <c r="E1016" s="17"/>
      <c r="F1016" s="18"/>
      <c r="G1016" s="36" t="str">
        <f>IF(ISNUMBER(F1016),C1016*F1016,"")</f>
        <v/>
      </c>
    </row>
    <row r="1017" spans="1:7" ht="12" customHeight="1" outlineLevel="2" x14ac:dyDescent="0.2">
      <c r="A1017" s="14" t="s">
        <v>2006</v>
      </c>
      <c r="B1017" s="15" t="s">
        <v>2007</v>
      </c>
      <c r="C1017" s="16">
        <f>158.43/(1+B2)</f>
        <v>158.43</v>
      </c>
      <c r="D1017" s="17" t="s">
        <v>11</v>
      </c>
      <c r="E1017" s="17"/>
      <c r="F1017" s="18"/>
      <c r="G1017" s="36" t="str">
        <f>IF(ISNUMBER(F1017),C1017*F1017,"")</f>
        <v/>
      </c>
    </row>
    <row r="1018" spans="1:7" ht="12" customHeight="1" outlineLevel="2" x14ac:dyDescent="0.2">
      <c r="A1018" s="14" t="s">
        <v>2008</v>
      </c>
      <c r="B1018" s="15" t="s">
        <v>2009</v>
      </c>
      <c r="C1018" s="16">
        <f>77.71/(1+B2)</f>
        <v>77.709999999999994</v>
      </c>
      <c r="D1018" s="17" t="s">
        <v>11</v>
      </c>
      <c r="E1018" s="17"/>
      <c r="F1018" s="18"/>
      <c r="G1018" s="36" t="str">
        <f>IF(ISNUMBER(F1018),C1018*F1018,"")</f>
        <v/>
      </c>
    </row>
    <row r="1019" spans="1:7" ht="12" customHeight="1" outlineLevel="2" x14ac:dyDescent="0.2">
      <c r="A1019" s="14" t="s">
        <v>2010</v>
      </c>
      <c r="B1019" s="15" t="s">
        <v>2011</v>
      </c>
      <c r="C1019" s="16">
        <f>109.4/(1+B2)</f>
        <v>109.4</v>
      </c>
      <c r="D1019" s="17" t="s">
        <v>11</v>
      </c>
      <c r="E1019" s="17" t="s">
        <v>11</v>
      </c>
      <c r="F1019" s="18"/>
      <c r="G1019" s="36" t="str">
        <f>IF(ISNUMBER(F1019),C1019*F1019,"")</f>
        <v/>
      </c>
    </row>
    <row r="1020" spans="1:7" s="1" customFormat="1" ht="15.95" customHeight="1" outlineLevel="1" x14ac:dyDescent="0.25">
      <c r="A1020" s="11"/>
      <c r="B1020" s="12" t="s">
        <v>2012</v>
      </c>
      <c r="C1020" s="13"/>
      <c r="D1020" s="13"/>
      <c r="E1020" s="13"/>
      <c r="F1020" s="13"/>
      <c r="G1020" s="35"/>
    </row>
    <row r="1021" spans="1:7" ht="12" customHeight="1" outlineLevel="2" x14ac:dyDescent="0.2">
      <c r="A1021" s="14" t="s">
        <v>2013</v>
      </c>
      <c r="B1021" s="15" t="s">
        <v>2014</v>
      </c>
      <c r="C1021" s="16">
        <f>36.8/(1+B2)</f>
        <v>36.799999999999997</v>
      </c>
      <c r="D1021" s="17" t="s">
        <v>11</v>
      </c>
      <c r="E1021" s="17" t="s">
        <v>14</v>
      </c>
      <c r="F1021" s="18"/>
      <c r="G1021" s="36" t="str">
        <f>IF(ISNUMBER(F1021),C1021*F1021,"")</f>
        <v/>
      </c>
    </row>
    <row r="1022" spans="1:7" ht="12" customHeight="1" outlineLevel="2" x14ac:dyDescent="0.2">
      <c r="A1022" s="14" t="s">
        <v>2015</v>
      </c>
      <c r="B1022" s="15" t="s">
        <v>2016</v>
      </c>
      <c r="C1022" s="16">
        <f>61.05/(1+B2)</f>
        <v>61.05</v>
      </c>
      <c r="D1022" s="17" t="s">
        <v>14</v>
      </c>
      <c r="E1022" s="17"/>
      <c r="F1022" s="18"/>
      <c r="G1022" s="36" t="str">
        <f>IF(ISNUMBER(F1022),C1022*F1022,"")</f>
        <v/>
      </c>
    </row>
    <row r="1023" spans="1:7" ht="12" customHeight="1" outlineLevel="2" x14ac:dyDescent="0.2">
      <c r="A1023" s="14" t="s">
        <v>2017</v>
      </c>
      <c r="B1023" s="15" t="s">
        <v>2018</v>
      </c>
      <c r="C1023" s="16">
        <f>61.05/(1+B2)</f>
        <v>61.05</v>
      </c>
      <c r="D1023" s="17" t="s">
        <v>14</v>
      </c>
      <c r="E1023" s="17"/>
      <c r="F1023" s="18"/>
      <c r="G1023" s="36" t="str">
        <f>IF(ISNUMBER(F1023),C1023*F1023,"")</f>
        <v/>
      </c>
    </row>
    <row r="1024" spans="1:7" ht="12" customHeight="1" outlineLevel="2" x14ac:dyDescent="0.2">
      <c r="A1024" s="14" t="s">
        <v>2019</v>
      </c>
      <c r="B1024" s="15" t="s">
        <v>2020</v>
      </c>
      <c r="C1024" s="16">
        <f>61.05/(1+B2)</f>
        <v>61.05</v>
      </c>
      <c r="D1024" s="17" t="s">
        <v>11</v>
      </c>
      <c r="E1024" s="17"/>
      <c r="F1024" s="18"/>
      <c r="G1024" s="36" t="str">
        <f>IF(ISNUMBER(F1024),C1024*F1024,"")</f>
        <v/>
      </c>
    </row>
    <row r="1025" spans="1:7" ht="12" customHeight="1" outlineLevel="2" x14ac:dyDescent="0.2">
      <c r="A1025" s="14" t="s">
        <v>2021</v>
      </c>
      <c r="B1025" s="15" t="s">
        <v>2022</v>
      </c>
      <c r="C1025" s="16">
        <f>61.05/(1+B2)</f>
        <v>61.05</v>
      </c>
      <c r="D1025" s="17" t="s">
        <v>14</v>
      </c>
      <c r="E1025" s="17"/>
      <c r="F1025" s="18"/>
      <c r="G1025" s="36" t="str">
        <f>IF(ISNUMBER(F1025),C1025*F1025,"")</f>
        <v/>
      </c>
    </row>
    <row r="1026" spans="1:7" ht="12" customHeight="1" outlineLevel="2" x14ac:dyDescent="0.2">
      <c r="A1026" s="14" t="s">
        <v>2023</v>
      </c>
      <c r="B1026" s="15" t="s">
        <v>2024</v>
      </c>
      <c r="C1026" s="16">
        <f>36.28/(1+B2)</f>
        <v>36.28</v>
      </c>
      <c r="D1026" s="17" t="s">
        <v>11</v>
      </c>
      <c r="E1026" s="17" t="s">
        <v>53</v>
      </c>
      <c r="F1026" s="18"/>
      <c r="G1026" s="36" t="str">
        <f>IF(ISNUMBER(F1026),C1026*F1026,"")</f>
        <v/>
      </c>
    </row>
    <row r="1027" spans="1:7" ht="12" customHeight="1" outlineLevel="2" x14ac:dyDescent="0.2">
      <c r="A1027" s="14" t="s">
        <v>2025</v>
      </c>
      <c r="B1027" s="15" t="s">
        <v>2026</v>
      </c>
      <c r="C1027" s="16">
        <f>34.2/(1+B2)</f>
        <v>34.200000000000003</v>
      </c>
      <c r="D1027" s="17" t="s">
        <v>106</v>
      </c>
      <c r="E1027" s="17"/>
      <c r="F1027" s="18"/>
      <c r="G1027" s="36" t="str">
        <f>IF(ISNUMBER(F1027),C1027*F1027,"")</f>
        <v/>
      </c>
    </row>
    <row r="1028" spans="1:7" ht="12" customHeight="1" outlineLevel="2" x14ac:dyDescent="0.2">
      <c r="A1028" s="14" t="s">
        <v>2027</v>
      </c>
      <c r="B1028" s="15" t="s">
        <v>2028</v>
      </c>
      <c r="C1028" s="16">
        <f>70.65/(1+B2)</f>
        <v>70.650000000000006</v>
      </c>
      <c r="D1028" s="17" t="s">
        <v>11</v>
      </c>
      <c r="E1028" s="17" t="s">
        <v>53</v>
      </c>
      <c r="F1028" s="18"/>
      <c r="G1028" s="36" t="str">
        <f>IF(ISNUMBER(F1028),C1028*F1028,"")</f>
        <v/>
      </c>
    </row>
    <row r="1029" spans="1:7" ht="12" customHeight="1" outlineLevel="2" x14ac:dyDescent="0.2">
      <c r="A1029" s="14" t="s">
        <v>2029</v>
      </c>
      <c r="B1029" s="15" t="s">
        <v>2030</v>
      </c>
      <c r="C1029" s="16">
        <f>71.58/(1+B2)</f>
        <v>71.58</v>
      </c>
      <c r="D1029" s="17" t="s">
        <v>11</v>
      </c>
      <c r="E1029" s="17" t="s">
        <v>53</v>
      </c>
      <c r="F1029" s="18"/>
      <c r="G1029" s="36" t="str">
        <f>IF(ISNUMBER(F1029),C1029*F1029,"")</f>
        <v/>
      </c>
    </row>
    <row r="1030" spans="1:7" ht="12" customHeight="1" outlineLevel="2" x14ac:dyDescent="0.2">
      <c r="A1030" s="14" t="s">
        <v>2031</v>
      </c>
      <c r="B1030" s="15" t="s">
        <v>2032</v>
      </c>
      <c r="C1030" s="16">
        <f>65.06/(1+B2)</f>
        <v>65.06</v>
      </c>
      <c r="D1030" s="17" t="s">
        <v>11</v>
      </c>
      <c r="E1030" s="17"/>
      <c r="F1030" s="18"/>
      <c r="G1030" s="36" t="str">
        <f>IF(ISNUMBER(F1030),C1030*F1030,"")</f>
        <v/>
      </c>
    </row>
    <row r="1031" spans="1:7" ht="12" customHeight="1" outlineLevel="2" x14ac:dyDescent="0.2">
      <c r="A1031" s="14" t="s">
        <v>2033</v>
      </c>
      <c r="B1031" s="15" t="s">
        <v>2034</v>
      </c>
      <c r="C1031" s="16">
        <f>70.65/(1+B2)</f>
        <v>70.650000000000006</v>
      </c>
      <c r="D1031" s="17" t="s">
        <v>11</v>
      </c>
      <c r="E1031" s="17" t="s">
        <v>14</v>
      </c>
      <c r="F1031" s="18"/>
      <c r="G1031" s="36" t="str">
        <f>IF(ISNUMBER(F1031),C1031*F1031,"")</f>
        <v/>
      </c>
    </row>
    <row r="1032" spans="1:7" ht="12" customHeight="1" outlineLevel="2" x14ac:dyDescent="0.2">
      <c r="A1032" s="14" t="s">
        <v>2035</v>
      </c>
      <c r="B1032" s="15" t="s">
        <v>2036</v>
      </c>
      <c r="C1032" s="16">
        <f>57.93/(1+B2)</f>
        <v>57.93</v>
      </c>
      <c r="D1032" s="17" t="s">
        <v>11</v>
      </c>
      <c r="E1032" s="17" t="s">
        <v>53</v>
      </c>
      <c r="F1032" s="18"/>
      <c r="G1032" s="36" t="str">
        <f>IF(ISNUMBER(F1032),C1032*F1032,"")</f>
        <v/>
      </c>
    </row>
    <row r="1033" spans="1:7" ht="12" customHeight="1" outlineLevel="2" x14ac:dyDescent="0.2">
      <c r="A1033" s="14" t="s">
        <v>2037</v>
      </c>
      <c r="B1033" s="15" t="s">
        <v>2038</v>
      </c>
      <c r="C1033" s="16">
        <f>65.06/(1+B2)</f>
        <v>65.06</v>
      </c>
      <c r="D1033" s="17" t="s">
        <v>11</v>
      </c>
      <c r="E1033" s="17" t="s">
        <v>106</v>
      </c>
      <c r="F1033" s="18"/>
      <c r="G1033" s="36" t="str">
        <f>IF(ISNUMBER(F1033),C1033*F1033,"")</f>
        <v/>
      </c>
    </row>
    <row r="1034" spans="1:7" ht="12" customHeight="1" outlineLevel="2" x14ac:dyDescent="0.2">
      <c r="A1034" s="14" t="s">
        <v>2039</v>
      </c>
      <c r="B1034" s="15" t="s">
        <v>2040</v>
      </c>
      <c r="C1034" s="16">
        <f>64.14/(1+B2)</f>
        <v>64.14</v>
      </c>
      <c r="D1034" s="17" t="s">
        <v>11</v>
      </c>
      <c r="E1034" s="17" t="s">
        <v>11</v>
      </c>
      <c r="F1034" s="18"/>
      <c r="G1034" s="36" t="str">
        <f>IF(ISNUMBER(F1034),C1034*F1034,"")</f>
        <v/>
      </c>
    </row>
    <row r="1035" spans="1:7" ht="12" customHeight="1" outlineLevel="2" x14ac:dyDescent="0.2">
      <c r="A1035" s="14" t="s">
        <v>2041</v>
      </c>
      <c r="B1035" s="15" t="s">
        <v>2042</v>
      </c>
      <c r="C1035" s="16">
        <f>74.6/(1+B2)</f>
        <v>74.599999999999994</v>
      </c>
      <c r="D1035" s="17" t="s">
        <v>14</v>
      </c>
      <c r="E1035" s="17" t="s">
        <v>53</v>
      </c>
      <c r="F1035" s="18"/>
      <c r="G1035" s="36" t="str">
        <f>IF(ISNUMBER(F1035),C1035*F1035,"")</f>
        <v/>
      </c>
    </row>
    <row r="1036" spans="1:7" ht="12" customHeight="1" outlineLevel="2" x14ac:dyDescent="0.2">
      <c r="A1036" s="14" t="s">
        <v>2043</v>
      </c>
      <c r="B1036" s="15" t="s">
        <v>2044</v>
      </c>
      <c r="C1036" s="16">
        <f>74.6/(1+B2)</f>
        <v>74.599999999999994</v>
      </c>
      <c r="D1036" s="17" t="s">
        <v>14</v>
      </c>
      <c r="E1036" s="17" t="s">
        <v>53</v>
      </c>
      <c r="F1036" s="18"/>
      <c r="G1036" s="36" t="str">
        <f>IF(ISNUMBER(F1036),C1036*F1036,"")</f>
        <v/>
      </c>
    </row>
    <row r="1037" spans="1:7" ht="12" customHeight="1" outlineLevel="2" x14ac:dyDescent="0.2">
      <c r="A1037" s="14" t="s">
        <v>2045</v>
      </c>
      <c r="B1037" s="15" t="s">
        <v>2046</v>
      </c>
      <c r="C1037" s="16">
        <f>74.6/(1+B2)</f>
        <v>74.599999999999994</v>
      </c>
      <c r="D1037" s="17" t="s">
        <v>14</v>
      </c>
      <c r="E1037" s="17" t="s">
        <v>106</v>
      </c>
      <c r="F1037" s="18"/>
      <c r="G1037" s="36" t="str">
        <f>IF(ISNUMBER(F1037),C1037*F1037,"")</f>
        <v/>
      </c>
    </row>
    <row r="1038" spans="1:7" ht="12" customHeight="1" outlineLevel="2" x14ac:dyDescent="0.2">
      <c r="A1038" s="14" t="s">
        <v>2047</v>
      </c>
      <c r="B1038" s="15" t="s">
        <v>2048</v>
      </c>
      <c r="C1038" s="16">
        <f>74.6/(1+B2)</f>
        <v>74.599999999999994</v>
      </c>
      <c r="D1038" s="17" t="s">
        <v>14</v>
      </c>
      <c r="E1038" s="17" t="s">
        <v>53</v>
      </c>
      <c r="F1038" s="18"/>
      <c r="G1038" s="36" t="str">
        <f>IF(ISNUMBER(F1038),C1038*F1038,"")</f>
        <v/>
      </c>
    </row>
    <row r="1039" spans="1:7" ht="12" customHeight="1" outlineLevel="2" x14ac:dyDescent="0.2">
      <c r="A1039" s="14" t="s">
        <v>2049</v>
      </c>
      <c r="B1039" s="15" t="s">
        <v>2050</v>
      </c>
      <c r="C1039" s="16">
        <f>74.6/(1+B2)</f>
        <v>74.599999999999994</v>
      </c>
      <c r="D1039" s="17" t="s">
        <v>14</v>
      </c>
      <c r="E1039" s="17" t="s">
        <v>14</v>
      </c>
      <c r="F1039" s="18"/>
      <c r="G1039" s="36" t="str">
        <f>IF(ISNUMBER(F1039),C1039*F1039,"")</f>
        <v/>
      </c>
    </row>
    <row r="1040" spans="1:7" ht="12" customHeight="1" outlineLevel="2" x14ac:dyDescent="0.2">
      <c r="A1040" s="14" t="s">
        <v>2051</v>
      </c>
      <c r="B1040" s="15" t="s">
        <v>2052</v>
      </c>
      <c r="C1040" s="16">
        <f>74.6/(1+B2)</f>
        <v>74.599999999999994</v>
      </c>
      <c r="D1040" s="17" t="s">
        <v>11</v>
      </c>
      <c r="E1040" s="17" t="s">
        <v>53</v>
      </c>
      <c r="F1040" s="18"/>
      <c r="G1040" s="36" t="str">
        <f>IF(ISNUMBER(F1040),C1040*F1040,"")</f>
        <v/>
      </c>
    </row>
    <row r="1041" spans="1:7" ht="12" customHeight="1" outlineLevel="2" x14ac:dyDescent="0.2">
      <c r="A1041" s="14" t="s">
        <v>2053</v>
      </c>
      <c r="B1041" s="15" t="s">
        <v>2054</v>
      </c>
      <c r="C1041" s="16">
        <f>74.6/(1+B2)</f>
        <v>74.599999999999994</v>
      </c>
      <c r="D1041" s="17" t="s">
        <v>14</v>
      </c>
      <c r="E1041" s="17" t="s">
        <v>53</v>
      </c>
      <c r="F1041" s="18"/>
      <c r="G1041" s="36" t="str">
        <f>IF(ISNUMBER(F1041),C1041*F1041,"")</f>
        <v/>
      </c>
    </row>
    <row r="1042" spans="1:7" ht="12" customHeight="1" outlineLevel="2" x14ac:dyDescent="0.2">
      <c r="A1042" s="14" t="s">
        <v>2055</v>
      </c>
      <c r="B1042" s="15" t="s">
        <v>2056</v>
      </c>
      <c r="C1042" s="16">
        <f>74.6/(1+B2)</f>
        <v>74.599999999999994</v>
      </c>
      <c r="D1042" s="17" t="s">
        <v>11</v>
      </c>
      <c r="E1042" s="17" t="s">
        <v>11</v>
      </c>
      <c r="F1042" s="18"/>
      <c r="G1042" s="36" t="str">
        <f>IF(ISNUMBER(F1042),C1042*F1042,"")</f>
        <v/>
      </c>
    </row>
    <row r="1043" spans="1:7" ht="12" customHeight="1" outlineLevel="2" x14ac:dyDescent="0.2">
      <c r="A1043" s="14" t="s">
        <v>2057</v>
      </c>
      <c r="B1043" s="15" t="s">
        <v>2058</v>
      </c>
      <c r="C1043" s="16">
        <f>66.31/(1+B2)</f>
        <v>66.31</v>
      </c>
      <c r="D1043" s="17" t="s">
        <v>14</v>
      </c>
      <c r="E1043" s="17" t="s">
        <v>14</v>
      </c>
      <c r="F1043" s="18"/>
      <c r="G1043" s="36" t="str">
        <f>IF(ISNUMBER(F1043),C1043*F1043,"")</f>
        <v/>
      </c>
    </row>
    <row r="1044" spans="1:7" ht="12" customHeight="1" outlineLevel="2" x14ac:dyDescent="0.2">
      <c r="A1044" s="14" t="s">
        <v>2059</v>
      </c>
      <c r="B1044" s="15" t="s">
        <v>2060</v>
      </c>
      <c r="C1044" s="16">
        <f>74.6/(1+B2)</f>
        <v>74.599999999999994</v>
      </c>
      <c r="D1044" s="17" t="s">
        <v>11</v>
      </c>
      <c r="E1044" s="17" t="s">
        <v>53</v>
      </c>
      <c r="F1044" s="18"/>
      <c r="G1044" s="36" t="str">
        <f>IF(ISNUMBER(F1044),C1044*F1044,"")</f>
        <v/>
      </c>
    </row>
    <row r="1045" spans="1:7" ht="12" customHeight="1" outlineLevel="2" x14ac:dyDescent="0.2">
      <c r="A1045" s="14" t="s">
        <v>2061</v>
      </c>
      <c r="B1045" s="15" t="s">
        <v>2062</v>
      </c>
      <c r="C1045" s="16">
        <f>74.6/(1+B2)</f>
        <v>74.599999999999994</v>
      </c>
      <c r="D1045" s="17" t="s">
        <v>11</v>
      </c>
      <c r="E1045" s="17" t="s">
        <v>11</v>
      </c>
      <c r="F1045" s="18"/>
      <c r="G1045" s="36" t="str">
        <f>IF(ISNUMBER(F1045),C1045*F1045,"")</f>
        <v/>
      </c>
    </row>
    <row r="1046" spans="1:7" ht="12" customHeight="1" outlineLevel="2" x14ac:dyDescent="0.2">
      <c r="A1046" s="14" t="s">
        <v>2063</v>
      </c>
      <c r="B1046" s="15" t="s">
        <v>2064</v>
      </c>
      <c r="C1046" s="16">
        <f>20.26/(1+B2)</f>
        <v>20.260000000000002</v>
      </c>
      <c r="D1046" s="17" t="s">
        <v>14</v>
      </c>
      <c r="E1046" s="17"/>
      <c r="F1046" s="18"/>
      <c r="G1046" s="36" t="str">
        <f>IF(ISNUMBER(F1046),C1046*F1046,"")</f>
        <v/>
      </c>
    </row>
    <row r="1047" spans="1:7" ht="12" customHeight="1" outlineLevel="2" x14ac:dyDescent="0.2">
      <c r="A1047" s="14" t="s">
        <v>2065</v>
      </c>
      <c r="B1047" s="15" t="s">
        <v>2066</v>
      </c>
      <c r="C1047" s="16">
        <f>20.26/(1+B2)</f>
        <v>20.260000000000002</v>
      </c>
      <c r="D1047" s="17" t="s">
        <v>106</v>
      </c>
      <c r="E1047" s="17"/>
      <c r="F1047" s="18"/>
      <c r="G1047" s="36" t="str">
        <f>IF(ISNUMBER(F1047),C1047*F1047,"")</f>
        <v/>
      </c>
    </row>
    <row r="1048" spans="1:7" ht="12" customHeight="1" outlineLevel="2" x14ac:dyDescent="0.2">
      <c r="A1048" s="14" t="s">
        <v>2067</v>
      </c>
      <c r="B1048" s="15" t="s">
        <v>2068</v>
      </c>
      <c r="C1048" s="16">
        <f>20.26/(1+B2)</f>
        <v>20.260000000000002</v>
      </c>
      <c r="D1048" s="17" t="s">
        <v>53</v>
      </c>
      <c r="E1048" s="17"/>
      <c r="F1048" s="18"/>
      <c r="G1048" s="36" t="str">
        <f>IF(ISNUMBER(F1048),C1048*F1048,"")</f>
        <v/>
      </c>
    </row>
    <row r="1049" spans="1:7" ht="12" customHeight="1" outlineLevel="2" x14ac:dyDescent="0.2">
      <c r="A1049" s="14" t="s">
        <v>2069</v>
      </c>
      <c r="B1049" s="15" t="s">
        <v>2070</v>
      </c>
      <c r="C1049" s="16">
        <f>20.26/(1+B2)</f>
        <v>20.260000000000002</v>
      </c>
      <c r="D1049" s="17" t="s">
        <v>106</v>
      </c>
      <c r="E1049" s="17"/>
      <c r="F1049" s="18"/>
      <c r="G1049" s="36" t="str">
        <f>IF(ISNUMBER(F1049),C1049*F1049,"")</f>
        <v/>
      </c>
    </row>
    <row r="1050" spans="1:7" ht="12" customHeight="1" outlineLevel="2" x14ac:dyDescent="0.2">
      <c r="A1050" s="14" t="s">
        <v>2071</v>
      </c>
      <c r="B1050" s="15" t="s">
        <v>2072</v>
      </c>
      <c r="C1050" s="16">
        <f>17.04/(1+B2)</f>
        <v>17.04</v>
      </c>
      <c r="D1050" s="17" t="s">
        <v>11</v>
      </c>
      <c r="E1050" s="17" t="s">
        <v>106</v>
      </c>
      <c r="F1050" s="18"/>
      <c r="G1050" s="36" t="str">
        <f>IF(ISNUMBER(F1050),C1050*F1050,"")</f>
        <v/>
      </c>
    </row>
    <row r="1051" spans="1:7" ht="12" customHeight="1" outlineLevel="2" x14ac:dyDescent="0.2">
      <c r="A1051" s="14" t="s">
        <v>2073</v>
      </c>
      <c r="B1051" s="15" t="s">
        <v>2074</v>
      </c>
      <c r="C1051" s="16">
        <f>17.04/(1+B2)</f>
        <v>17.04</v>
      </c>
      <c r="D1051" s="17" t="s">
        <v>53</v>
      </c>
      <c r="E1051" s="17"/>
      <c r="F1051" s="18"/>
      <c r="G1051" s="36" t="str">
        <f>IF(ISNUMBER(F1051),C1051*F1051,"")</f>
        <v/>
      </c>
    </row>
    <row r="1052" spans="1:7" ht="12" customHeight="1" outlineLevel="2" x14ac:dyDescent="0.2">
      <c r="A1052" s="14" t="s">
        <v>2075</v>
      </c>
      <c r="B1052" s="15" t="s">
        <v>2076</v>
      </c>
      <c r="C1052" s="16">
        <f>17.04/(1+B2)</f>
        <v>17.04</v>
      </c>
      <c r="D1052" s="17" t="s">
        <v>106</v>
      </c>
      <c r="E1052" s="17"/>
      <c r="F1052" s="18"/>
      <c r="G1052" s="36" t="str">
        <f>IF(ISNUMBER(F1052),C1052*F1052,"")</f>
        <v/>
      </c>
    </row>
    <row r="1053" spans="1:7" ht="12" customHeight="1" outlineLevel="2" x14ac:dyDescent="0.2">
      <c r="A1053" s="14" t="s">
        <v>2077</v>
      </c>
      <c r="B1053" s="15" t="s">
        <v>2078</v>
      </c>
      <c r="C1053" s="16">
        <f>24.74/(1+B2)</f>
        <v>24.74</v>
      </c>
      <c r="D1053" s="17" t="s">
        <v>14</v>
      </c>
      <c r="E1053" s="17" t="s">
        <v>11</v>
      </c>
      <c r="F1053" s="18"/>
      <c r="G1053" s="36" t="str">
        <f>IF(ISNUMBER(F1053),C1053*F1053,"")</f>
        <v/>
      </c>
    </row>
    <row r="1054" spans="1:7" ht="12" customHeight="1" outlineLevel="2" x14ac:dyDescent="0.2">
      <c r="A1054" s="14" t="s">
        <v>2079</v>
      </c>
      <c r="B1054" s="15" t="s">
        <v>2080</v>
      </c>
      <c r="C1054" s="16">
        <f>25.74/(1+B2)</f>
        <v>25.74</v>
      </c>
      <c r="D1054" s="17" t="s">
        <v>14</v>
      </c>
      <c r="E1054" s="17" t="s">
        <v>106</v>
      </c>
      <c r="F1054" s="18"/>
      <c r="G1054" s="36" t="str">
        <f>IF(ISNUMBER(F1054),C1054*F1054,"")</f>
        <v/>
      </c>
    </row>
    <row r="1055" spans="1:7" ht="12" customHeight="1" outlineLevel="2" x14ac:dyDescent="0.2">
      <c r="A1055" s="14" t="s">
        <v>2081</v>
      </c>
      <c r="B1055" s="15" t="s">
        <v>2082</v>
      </c>
      <c r="C1055" s="16">
        <f>32.72/(1+B2)</f>
        <v>32.72</v>
      </c>
      <c r="D1055" s="17" t="s">
        <v>11</v>
      </c>
      <c r="E1055" s="17" t="s">
        <v>11</v>
      </c>
      <c r="F1055" s="18"/>
      <c r="G1055" s="36" t="str">
        <f>IF(ISNUMBER(F1055),C1055*F1055,"")</f>
        <v/>
      </c>
    </row>
    <row r="1056" spans="1:7" ht="12" customHeight="1" outlineLevel="2" x14ac:dyDescent="0.2">
      <c r="A1056" s="14" t="s">
        <v>2083</v>
      </c>
      <c r="B1056" s="15" t="s">
        <v>2084</v>
      </c>
      <c r="C1056" s="16">
        <f>28.34/(1+B2)</f>
        <v>28.34</v>
      </c>
      <c r="D1056" s="17" t="s">
        <v>11</v>
      </c>
      <c r="E1056" s="17" t="s">
        <v>106</v>
      </c>
      <c r="F1056" s="18"/>
      <c r="G1056" s="36" t="str">
        <f>IF(ISNUMBER(F1056),C1056*F1056,"")</f>
        <v/>
      </c>
    </row>
    <row r="1057" spans="1:7" ht="12" customHeight="1" outlineLevel="2" x14ac:dyDescent="0.2">
      <c r="A1057" s="14" t="s">
        <v>2085</v>
      </c>
      <c r="B1057" s="15" t="s">
        <v>2086</v>
      </c>
      <c r="C1057" s="16">
        <f>32.72/(1+B2)</f>
        <v>32.72</v>
      </c>
      <c r="D1057" s="17" t="s">
        <v>11</v>
      </c>
      <c r="E1057" s="17"/>
      <c r="F1057" s="18"/>
      <c r="G1057" s="36" t="str">
        <f>IF(ISNUMBER(F1057),C1057*F1057,"")</f>
        <v/>
      </c>
    </row>
    <row r="1058" spans="1:7" ht="12" customHeight="1" outlineLevel="2" x14ac:dyDescent="0.2">
      <c r="A1058" s="14" t="s">
        <v>2087</v>
      </c>
      <c r="B1058" s="15" t="s">
        <v>2088</v>
      </c>
      <c r="C1058" s="16">
        <f>24.74/(1+B2)</f>
        <v>24.74</v>
      </c>
      <c r="D1058" s="17" t="s">
        <v>11</v>
      </c>
      <c r="E1058" s="17"/>
      <c r="F1058" s="18"/>
      <c r="G1058" s="36" t="str">
        <f>IF(ISNUMBER(F1058),C1058*F1058,"")</f>
        <v/>
      </c>
    </row>
    <row r="1059" spans="1:7" ht="12" customHeight="1" outlineLevel="2" x14ac:dyDescent="0.2">
      <c r="A1059" s="14" t="s">
        <v>2089</v>
      </c>
      <c r="B1059" s="15" t="s">
        <v>2090</v>
      </c>
      <c r="C1059" s="16">
        <f>21.86/(1+B2)</f>
        <v>21.86</v>
      </c>
      <c r="D1059" s="17" t="s">
        <v>11</v>
      </c>
      <c r="E1059" s="17"/>
      <c r="F1059" s="18"/>
      <c r="G1059" s="36" t="str">
        <f>IF(ISNUMBER(F1059),C1059*F1059,"")</f>
        <v/>
      </c>
    </row>
    <row r="1060" spans="1:7" ht="12" customHeight="1" outlineLevel="2" x14ac:dyDescent="0.2">
      <c r="A1060" s="14" t="s">
        <v>2091</v>
      </c>
      <c r="B1060" s="15" t="s">
        <v>2092</v>
      </c>
      <c r="C1060" s="16">
        <f>45.97/(1+B2)</f>
        <v>45.97</v>
      </c>
      <c r="D1060" s="17" t="s">
        <v>11</v>
      </c>
      <c r="E1060" s="17"/>
      <c r="F1060" s="18"/>
      <c r="G1060" s="36" t="str">
        <f>IF(ISNUMBER(F1060),C1060*F1060,"")</f>
        <v/>
      </c>
    </row>
    <row r="1061" spans="1:7" ht="12" customHeight="1" outlineLevel="2" x14ac:dyDescent="0.2">
      <c r="A1061" s="14" t="s">
        <v>2093</v>
      </c>
      <c r="B1061" s="15" t="s">
        <v>2094</v>
      </c>
      <c r="C1061" s="16">
        <f>47.47/(1+B2)</f>
        <v>47.47</v>
      </c>
      <c r="D1061" s="17" t="s">
        <v>11</v>
      </c>
      <c r="E1061" s="17"/>
      <c r="F1061" s="18"/>
      <c r="G1061" s="36" t="str">
        <f>IF(ISNUMBER(F1061),C1061*F1061,"")</f>
        <v/>
      </c>
    </row>
    <row r="1062" spans="1:7" ht="12" customHeight="1" outlineLevel="2" x14ac:dyDescent="0.2">
      <c r="A1062" s="14" t="s">
        <v>2095</v>
      </c>
      <c r="B1062" s="15" t="s">
        <v>2096</v>
      </c>
      <c r="C1062" s="16">
        <f>49.63/(1+B2)</f>
        <v>49.63</v>
      </c>
      <c r="D1062" s="17" t="s">
        <v>11</v>
      </c>
      <c r="E1062" s="17"/>
      <c r="F1062" s="18"/>
      <c r="G1062" s="36" t="str">
        <f>IF(ISNUMBER(F1062),C1062*F1062,"")</f>
        <v/>
      </c>
    </row>
    <row r="1063" spans="1:7" ht="12" customHeight="1" outlineLevel="2" x14ac:dyDescent="0.2">
      <c r="A1063" s="14" t="s">
        <v>2097</v>
      </c>
      <c r="B1063" s="15" t="s">
        <v>2098</v>
      </c>
      <c r="C1063" s="16">
        <f>42.86/(1+B2)</f>
        <v>42.86</v>
      </c>
      <c r="D1063" s="17" t="s">
        <v>11</v>
      </c>
      <c r="E1063" s="17"/>
      <c r="F1063" s="18"/>
      <c r="G1063" s="36" t="str">
        <f>IF(ISNUMBER(F1063),C1063*F1063,"")</f>
        <v/>
      </c>
    </row>
    <row r="1064" spans="1:7" ht="12" customHeight="1" outlineLevel="2" x14ac:dyDescent="0.2">
      <c r="A1064" s="14" t="s">
        <v>2099</v>
      </c>
      <c r="B1064" s="15" t="s">
        <v>2100</v>
      </c>
      <c r="C1064" s="16">
        <f>50.21/(1+B2)</f>
        <v>50.21</v>
      </c>
      <c r="D1064" s="17" t="s">
        <v>53</v>
      </c>
      <c r="E1064" s="17"/>
      <c r="F1064" s="18"/>
      <c r="G1064" s="36" t="str">
        <f>IF(ISNUMBER(F1064),C1064*F1064,"")</f>
        <v/>
      </c>
    </row>
    <row r="1065" spans="1:7" ht="12" customHeight="1" outlineLevel="2" x14ac:dyDescent="0.2">
      <c r="A1065" s="14" t="s">
        <v>2101</v>
      </c>
      <c r="B1065" s="15" t="s">
        <v>2102</v>
      </c>
      <c r="C1065" s="16">
        <f>19.8/(1+B2)</f>
        <v>19.8</v>
      </c>
      <c r="D1065" s="17" t="s">
        <v>53</v>
      </c>
      <c r="E1065" s="17"/>
      <c r="F1065" s="18"/>
      <c r="G1065" s="36" t="str">
        <f>IF(ISNUMBER(F1065),C1065*F1065,"")</f>
        <v/>
      </c>
    </row>
    <row r="1066" spans="1:7" ht="12" customHeight="1" outlineLevel="2" x14ac:dyDescent="0.2">
      <c r="A1066" s="14" t="s">
        <v>2103</v>
      </c>
      <c r="B1066" s="15" t="s">
        <v>2104</v>
      </c>
      <c r="C1066" s="16">
        <f>19.65/(1+B2)</f>
        <v>19.649999999999999</v>
      </c>
      <c r="D1066" s="17" t="s">
        <v>11</v>
      </c>
      <c r="E1066" s="17"/>
      <c r="F1066" s="18"/>
      <c r="G1066" s="36" t="str">
        <f>IF(ISNUMBER(F1066),C1066*F1066,"")</f>
        <v/>
      </c>
    </row>
    <row r="1067" spans="1:7" ht="12" customHeight="1" outlineLevel="2" x14ac:dyDescent="0.2">
      <c r="A1067" s="14" t="s">
        <v>2105</v>
      </c>
      <c r="B1067" s="15" t="s">
        <v>2106</v>
      </c>
      <c r="C1067" s="16">
        <f>18.93/(1+B2)</f>
        <v>18.93</v>
      </c>
      <c r="D1067" s="17" t="s">
        <v>53</v>
      </c>
      <c r="E1067" s="17"/>
      <c r="F1067" s="18"/>
      <c r="G1067" s="36" t="str">
        <f>IF(ISNUMBER(F1067),C1067*F1067,"")</f>
        <v/>
      </c>
    </row>
    <row r="1068" spans="1:7" ht="12" customHeight="1" outlineLevel="2" x14ac:dyDescent="0.2">
      <c r="A1068" s="14" t="s">
        <v>2107</v>
      </c>
      <c r="B1068" s="15" t="s">
        <v>2108</v>
      </c>
      <c r="C1068" s="16">
        <f>19.06/(1+B2)</f>
        <v>19.059999999999999</v>
      </c>
      <c r="D1068" s="17" t="s">
        <v>11</v>
      </c>
      <c r="E1068" s="17" t="s">
        <v>106</v>
      </c>
      <c r="F1068" s="18"/>
      <c r="G1068" s="36" t="str">
        <f>IF(ISNUMBER(F1068),C1068*F1068,"")</f>
        <v/>
      </c>
    </row>
    <row r="1069" spans="1:7" ht="12" customHeight="1" outlineLevel="2" x14ac:dyDescent="0.2">
      <c r="A1069" s="14" t="s">
        <v>2109</v>
      </c>
      <c r="B1069" s="15" t="s">
        <v>2110</v>
      </c>
      <c r="C1069" s="16">
        <f>18.93/(1+B2)</f>
        <v>18.93</v>
      </c>
      <c r="D1069" s="17" t="s">
        <v>11</v>
      </c>
      <c r="E1069" s="17"/>
      <c r="F1069" s="18"/>
      <c r="G1069" s="36" t="str">
        <f>IF(ISNUMBER(F1069),C1069*F1069,"")</f>
        <v/>
      </c>
    </row>
    <row r="1070" spans="1:7" ht="12" customHeight="1" outlineLevel="2" x14ac:dyDescent="0.2">
      <c r="A1070" s="14" t="s">
        <v>2111</v>
      </c>
      <c r="B1070" s="15" t="s">
        <v>2112</v>
      </c>
      <c r="C1070" s="16">
        <f>18.93/(1+B2)</f>
        <v>18.93</v>
      </c>
      <c r="D1070" s="17" t="s">
        <v>53</v>
      </c>
      <c r="E1070" s="17"/>
      <c r="F1070" s="18"/>
      <c r="G1070" s="36" t="str">
        <f>IF(ISNUMBER(F1070),C1070*F1070,"")</f>
        <v/>
      </c>
    </row>
    <row r="1071" spans="1:7" ht="12" customHeight="1" outlineLevel="2" x14ac:dyDescent="0.2">
      <c r="A1071" s="14" t="s">
        <v>2113</v>
      </c>
      <c r="B1071" s="15" t="s">
        <v>2114</v>
      </c>
      <c r="C1071" s="16">
        <f>18.93/(1+B2)</f>
        <v>18.93</v>
      </c>
      <c r="D1071" s="17" t="s">
        <v>11</v>
      </c>
      <c r="E1071" s="17" t="s">
        <v>11</v>
      </c>
      <c r="F1071" s="18"/>
      <c r="G1071" s="36" t="str">
        <f>IF(ISNUMBER(F1071),C1071*F1071,"")</f>
        <v/>
      </c>
    </row>
    <row r="1072" spans="1:7" ht="12" customHeight="1" outlineLevel="2" x14ac:dyDescent="0.2">
      <c r="A1072" s="14" t="s">
        <v>2115</v>
      </c>
      <c r="B1072" s="15" t="s">
        <v>2116</v>
      </c>
      <c r="C1072" s="16">
        <f>17.46/(1+B2)</f>
        <v>17.46</v>
      </c>
      <c r="D1072" s="17" t="s">
        <v>11</v>
      </c>
      <c r="E1072" s="17" t="s">
        <v>11</v>
      </c>
      <c r="F1072" s="18"/>
      <c r="G1072" s="36" t="str">
        <f>IF(ISNUMBER(F1072),C1072*F1072,"")</f>
        <v/>
      </c>
    </row>
    <row r="1073" spans="1:7" ht="12" customHeight="1" outlineLevel="2" x14ac:dyDescent="0.2">
      <c r="A1073" s="14" t="s">
        <v>2117</v>
      </c>
      <c r="B1073" s="15" t="s">
        <v>2118</v>
      </c>
      <c r="C1073" s="16">
        <f>50.85/(1+B2)</f>
        <v>50.85</v>
      </c>
      <c r="D1073" s="17" t="s">
        <v>14</v>
      </c>
      <c r="E1073" s="17"/>
      <c r="F1073" s="18"/>
      <c r="G1073" s="36" t="str">
        <f>IF(ISNUMBER(F1073),C1073*F1073,"")</f>
        <v/>
      </c>
    </row>
    <row r="1074" spans="1:7" ht="12" customHeight="1" outlineLevel="2" x14ac:dyDescent="0.2">
      <c r="A1074" s="14" t="s">
        <v>2119</v>
      </c>
      <c r="B1074" s="15" t="s">
        <v>2120</v>
      </c>
      <c r="C1074" s="16">
        <f>38.51/(1+B2)</f>
        <v>38.51</v>
      </c>
      <c r="D1074" s="17" t="s">
        <v>11</v>
      </c>
      <c r="E1074" s="17" t="s">
        <v>11</v>
      </c>
      <c r="F1074" s="18"/>
      <c r="G1074" s="36" t="str">
        <f>IF(ISNUMBER(F1074),C1074*F1074,"")</f>
        <v/>
      </c>
    </row>
    <row r="1075" spans="1:7" ht="12" customHeight="1" outlineLevel="2" x14ac:dyDescent="0.2">
      <c r="A1075" s="14" t="s">
        <v>2121</v>
      </c>
      <c r="B1075" s="15" t="s">
        <v>2122</v>
      </c>
      <c r="C1075" s="16">
        <f>47.28/(1+B2)</f>
        <v>47.28</v>
      </c>
      <c r="D1075" s="17" t="s">
        <v>11</v>
      </c>
      <c r="E1075" s="17"/>
      <c r="F1075" s="18"/>
      <c r="G1075" s="36" t="str">
        <f>IF(ISNUMBER(F1075),C1075*F1075,"")</f>
        <v/>
      </c>
    </row>
    <row r="1076" spans="1:7" ht="12" customHeight="1" outlineLevel="2" x14ac:dyDescent="0.2">
      <c r="A1076" s="14" t="s">
        <v>2123</v>
      </c>
      <c r="B1076" s="15" t="s">
        <v>2124</v>
      </c>
      <c r="C1076" s="16">
        <f>32.49/(1+B2)</f>
        <v>32.49</v>
      </c>
      <c r="D1076" s="17" t="s">
        <v>11</v>
      </c>
      <c r="E1076" s="17" t="s">
        <v>53</v>
      </c>
      <c r="F1076" s="18"/>
      <c r="G1076" s="36" t="str">
        <f>IF(ISNUMBER(F1076),C1076*F1076,"")</f>
        <v/>
      </c>
    </row>
    <row r="1077" spans="1:7" ht="12" customHeight="1" outlineLevel="2" x14ac:dyDescent="0.2">
      <c r="A1077" s="14" t="s">
        <v>2125</v>
      </c>
      <c r="B1077" s="15" t="s">
        <v>2126</v>
      </c>
      <c r="C1077" s="16">
        <f>30.95/(1+B2)</f>
        <v>30.95</v>
      </c>
      <c r="D1077" s="17" t="s">
        <v>11</v>
      </c>
      <c r="E1077" s="17" t="s">
        <v>106</v>
      </c>
      <c r="F1077" s="18"/>
      <c r="G1077" s="36" t="str">
        <f>IF(ISNUMBER(F1077),C1077*F1077,"")</f>
        <v/>
      </c>
    </row>
    <row r="1078" spans="1:7" ht="12" customHeight="1" outlineLevel="2" x14ac:dyDescent="0.2">
      <c r="A1078" s="14" t="s">
        <v>2127</v>
      </c>
      <c r="B1078" s="15" t="s">
        <v>2128</v>
      </c>
      <c r="C1078" s="16">
        <f>34.03/(1+B2)</f>
        <v>34.03</v>
      </c>
      <c r="D1078" s="17" t="s">
        <v>14</v>
      </c>
      <c r="E1078" s="17" t="s">
        <v>53</v>
      </c>
      <c r="F1078" s="18"/>
      <c r="G1078" s="36" t="str">
        <f>IF(ISNUMBER(F1078),C1078*F1078,"")</f>
        <v/>
      </c>
    </row>
    <row r="1079" spans="1:7" ht="12" customHeight="1" outlineLevel="2" x14ac:dyDescent="0.2">
      <c r="A1079" s="14" t="s">
        <v>2129</v>
      </c>
      <c r="B1079" s="15" t="s">
        <v>2130</v>
      </c>
      <c r="C1079" s="16">
        <f>34.03/(1+B2)</f>
        <v>34.03</v>
      </c>
      <c r="D1079" s="17" t="s">
        <v>14</v>
      </c>
      <c r="E1079" s="17" t="s">
        <v>53</v>
      </c>
      <c r="F1079" s="18"/>
      <c r="G1079" s="36" t="str">
        <f>IF(ISNUMBER(F1079),C1079*F1079,"")</f>
        <v/>
      </c>
    </row>
    <row r="1080" spans="1:7" ht="12" customHeight="1" outlineLevel="2" x14ac:dyDescent="0.2">
      <c r="A1080" s="14" t="s">
        <v>2131</v>
      </c>
      <c r="B1080" s="15" t="s">
        <v>2132</v>
      </c>
      <c r="C1080" s="16">
        <f>34.03/(1+B2)</f>
        <v>34.03</v>
      </c>
      <c r="D1080" s="17" t="s">
        <v>106</v>
      </c>
      <c r="E1080" s="17"/>
      <c r="F1080" s="18"/>
      <c r="G1080" s="36" t="str">
        <f>IF(ISNUMBER(F1080),C1080*F1080,"")</f>
        <v/>
      </c>
    </row>
    <row r="1081" spans="1:7" ht="12" customHeight="1" outlineLevel="2" x14ac:dyDescent="0.2">
      <c r="A1081" s="14" t="s">
        <v>2133</v>
      </c>
      <c r="B1081" s="15" t="s">
        <v>2134</v>
      </c>
      <c r="C1081" s="16">
        <f>32.49/(1+B2)</f>
        <v>32.49</v>
      </c>
      <c r="D1081" s="17" t="s">
        <v>106</v>
      </c>
      <c r="E1081" s="17"/>
      <c r="F1081" s="18"/>
      <c r="G1081" s="36" t="str">
        <f>IF(ISNUMBER(F1081),C1081*F1081,"")</f>
        <v/>
      </c>
    </row>
    <row r="1082" spans="1:7" ht="12" customHeight="1" outlineLevel="2" x14ac:dyDescent="0.2">
      <c r="A1082" s="14" t="s">
        <v>2135</v>
      </c>
      <c r="B1082" s="15" t="s">
        <v>2136</v>
      </c>
      <c r="C1082" s="16">
        <f>32.49/(1+B2)</f>
        <v>32.49</v>
      </c>
      <c r="D1082" s="17" t="s">
        <v>106</v>
      </c>
      <c r="E1082" s="17"/>
      <c r="F1082" s="18"/>
      <c r="G1082" s="36" t="str">
        <f>IF(ISNUMBER(F1082),C1082*F1082,"")</f>
        <v/>
      </c>
    </row>
    <row r="1083" spans="1:7" ht="12" customHeight="1" outlineLevel="2" x14ac:dyDescent="0.2">
      <c r="A1083" s="14" t="s">
        <v>2137</v>
      </c>
      <c r="B1083" s="15" t="s">
        <v>2138</v>
      </c>
      <c r="C1083" s="16">
        <f>32.49/(1+B2)</f>
        <v>32.49</v>
      </c>
      <c r="D1083" s="17" t="s">
        <v>106</v>
      </c>
      <c r="E1083" s="17"/>
      <c r="F1083" s="18"/>
      <c r="G1083" s="36" t="str">
        <f>IF(ISNUMBER(F1083),C1083*F1083,"")</f>
        <v/>
      </c>
    </row>
    <row r="1084" spans="1:7" ht="12" customHeight="1" outlineLevel="2" x14ac:dyDescent="0.2">
      <c r="A1084" s="14" t="s">
        <v>2139</v>
      </c>
      <c r="B1084" s="15" t="s">
        <v>2140</v>
      </c>
      <c r="C1084" s="16">
        <f>32.49/(1+B2)</f>
        <v>32.49</v>
      </c>
      <c r="D1084" s="17" t="s">
        <v>14</v>
      </c>
      <c r="E1084" s="17" t="s">
        <v>53</v>
      </c>
      <c r="F1084" s="18"/>
      <c r="G1084" s="36" t="str">
        <f>IF(ISNUMBER(F1084),C1084*F1084,"")</f>
        <v/>
      </c>
    </row>
    <row r="1085" spans="1:7" ht="12" customHeight="1" outlineLevel="2" x14ac:dyDescent="0.2">
      <c r="A1085" s="14" t="s">
        <v>2141</v>
      </c>
      <c r="B1085" s="15" t="s">
        <v>2142</v>
      </c>
      <c r="C1085" s="16">
        <f>32.49/(1+B2)</f>
        <v>32.49</v>
      </c>
      <c r="D1085" s="17" t="s">
        <v>11</v>
      </c>
      <c r="E1085" s="17" t="s">
        <v>53</v>
      </c>
      <c r="F1085" s="18"/>
      <c r="G1085" s="36" t="str">
        <f>IF(ISNUMBER(F1085),C1085*F1085,"")</f>
        <v/>
      </c>
    </row>
    <row r="1086" spans="1:7" ht="12" customHeight="1" outlineLevel="2" x14ac:dyDescent="0.2">
      <c r="A1086" s="14" t="s">
        <v>2143</v>
      </c>
      <c r="B1086" s="15" t="s">
        <v>2144</v>
      </c>
      <c r="C1086" s="16">
        <f>32.49/(1+B2)</f>
        <v>32.49</v>
      </c>
      <c r="D1086" s="17" t="s">
        <v>14</v>
      </c>
      <c r="E1086" s="17" t="s">
        <v>53</v>
      </c>
      <c r="F1086" s="18"/>
      <c r="G1086" s="36" t="str">
        <f>IF(ISNUMBER(F1086),C1086*F1086,"")</f>
        <v/>
      </c>
    </row>
    <row r="1087" spans="1:7" ht="12" customHeight="1" outlineLevel="2" x14ac:dyDescent="0.2">
      <c r="A1087" s="14" t="s">
        <v>2145</v>
      </c>
      <c r="B1087" s="15" t="s">
        <v>2146</v>
      </c>
      <c r="C1087" s="16">
        <f>32.49/(1+B2)</f>
        <v>32.49</v>
      </c>
      <c r="D1087" s="17" t="s">
        <v>11</v>
      </c>
      <c r="E1087" s="17" t="s">
        <v>53</v>
      </c>
      <c r="F1087" s="18"/>
      <c r="G1087" s="36" t="str">
        <f>IF(ISNUMBER(F1087),C1087*F1087,"")</f>
        <v/>
      </c>
    </row>
    <row r="1088" spans="1:7" ht="12" customHeight="1" outlineLevel="2" x14ac:dyDescent="0.2">
      <c r="A1088" s="14" t="s">
        <v>2147</v>
      </c>
      <c r="B1088" s="15" t="s">
        <v>2148</v>
      </c>
      <c r="C1088" s="16">
        <f>32.49/(1+B2)</f>
        <v>32.49</v>
      </c>
      <c r="D1088" s="17" t="s">
        <v>14</v>
      </c>
      <c r="E1088" s="17" t="s">
        <v>14</v>
      </c>
      <c r="F1088" s="18"/>
      <c r="G1088" s="36" t="str">
        <f>IF(ISNUMBER(F1088),C1088*F1088,"")</f>
        <v/>
      </c>
    </row>
    <row r="1089" spans="1:7" ht="12" customHeight="1" outlineLevel="2" x14ac:dyDescent="0.2">
      <c r="A1089" s="14" t="s">
        <v>2149</v>
      </c>
      <c r="B1089" s="15" t="s">
        <v>2150</v>
      </c>
      <c r="C1089" s="16">
        <f>32.49/(1+B2)</f>
        <v>32.49</v>
      </c>
      <c r="D1089" s="17"/>
      <c r="E1089" s="17" t="s">
        <v>106</v>
      </c>
      <c r="F1089" s="18"/>
      <c r="G1089" s="36" t="str">
        <f>IF(ISNUMBER(F1089),C1089*F1089,"")</f>
        <v/>
      </c>
    </row>
    <row r="1090" spans="1:7" ht="12" customHeight="1" outlineLevel="2" x14ac:dyDescent="0.2">
      <c r="A1090" s="14" t="s">
        <v>2151</v>
      </c>
      <c r="B1090" s="15" t="s">
        <v>2152</v>
      </c>
      <c r="C1090" s="16">
        <f>32.49/(1+B2)</f>
        <v>32.49</v>
      </c>
      <c r="D1090" s="17"/>
      <c r="E1090" s="17" t="s">
        <v>53</v>
      </c>
      <c r="F1090" s="18"/>
      <c r="G1090" s="36" t="str">
        <f>IF(ISNUMBER(F1090),C1090*F1090,"")</f>
        <v/>
      </c>
    </row>
    <row r="1091" spans="1:7" ht="12" customHeight="1" outlineLevel="2" x14ac:dyDescent="0.2">
      <c r="A1091" s="14" t="s">
        <v>2153</v>
      </c>
      <c r="B1091" s="15" t="s">
        <v>2154</v>
      </c>
      <c r="C1091" s="16">
        <f>29.88/(1+B2)</f>
        <v>29.88</v>
      </c>
      <c r="D1091" s="17" t="s">
        <v>11</v>
      </c>
      <c r="E1091" s="17"/>
      <c r="F1091" s="18"/>
      <c r="G1091" s="36" t="str">
        <f>IF(ISNUMBER(F1091),C1091*F1091,"")</f>
        <v/>
      </c>
    </row>
    <row r="1092" spans="1:7" ht="12" customHeight="1" outlineLevel="2" x14ac:dyDescent="0.2">
      <c r="A1092" s="14" t="s">
        <v>2155</v>
      </c>
      <c r="B1092" s="15" t="s">
        <v>2156</v>
      </c>
      <c r="C1092" s="16">
        <f>43.6/(1+B2)</f>
        <v>43.6</v>
      </c>
      <c r="D1092" s="17" t="s">
        <v>11</v>
      </c>
      <c r="E1092" s="17"/>
      <c r="F1092" s="18"/>
      <c r="G1092" s="36" t="str">
        <f>IF(ISNUMBER(F1092),C1092*F1092,"")</f>
        <v/>
      </c>
    </row>
    <row r="1093" spans="1:7" ht="12" customHeight="1" outlineLevel="2" x14ac:dyDescent="0.2">
      <c r="A1093" s="14" t="s">
        <v>2157</v>
      </c>
      <c r="B1093" s="15" t="s">
        <v>2158</v>
      </c>
      <c r="C1093" s="16">
        <f>48.23/(1+B2)</f>
        <v>48.23</v>
      </c>
      <c r="D1093" s="17" t="s">
        <v>11</v>
      </c>
      <c r="E1093" s="17"/>
      <c r="F1093" s="18"/>
      <c r="G1093" s="36" t="str">
        <f>IF(ISNUMBER(F1093),C1093*F1093,"")</f>
        <v/>
      </c>
    </row>
    <row r="1094" spans="1:7" ht="12" customHeight="1" outlineLevel="2" x14ac:dyDescent="0.2">
      <c r="A1094" s="14" t="s">
        <v>2159</v>
      </c>
      <c r="B1094" s="15" t="s">
        <v>2160</v>
      </c>
      <c r="C1094" s="16">
        <f>48.23/(1+B2)</f>
        <v>48.23</v>
      </c>
      <c r="D1094" s="17" t="s">
        <v>11</v>
      </c>
      <c r="E1094" s="17" t="s">
        <v>53</v>
      </c>
      <c r="F1094" s="18"/>
      <c r="G1094" s="36" t="str">
        <f>IF(ISNUMBER(F1094),C1094*F1094,"")</f>
        <v/>
      </c>
    </row>
    <row r="1095" spans="1:7" ht="12" customHeight="1" outlineLevel="2" x14ac:dyDescent="0.2">
      <c r="A1095" s="14" t="s">
        <v>2161</v>
      </c>
      <c r="B1095" s="15" t="s">
        <v>2162</v>
      </c>
      <c r="C1095" s="16">
        <f>45.95/(1+B2)</f>
        <v>45.95</v>
      </c>
      <c r="D1095" s="17" t="s">
        <v>14</v>
      </c>
      <c r="E1095" s="17"/>
      <c r="F1095" s="18"/>
      <c r="G1095" s="36" t="str">
        <f>IF(ISNUMBER(F1095),C1095*F1095,"")</f>
        <v/>
      </c>
    </row>
    <row r="1096" spans="1:7" ht="12" customHeight="1" outlineLevel="2" x14ac:dyDescent="0.2">
      <c r="A1096" s="14" t="s">
        <v>2163</v>
      </c>
      <c r="B1096" s="15" t="s">
        <v>2164</v>
      </c>
      <c r="C1096" s="16">
        <f>55.15/(1+B2)</f>
        <v>55.15</v>
      </c>
      <c r="D1096" s="17" t="s">
        <v>11</v>
      </c>
      <c r="E1096" s="17"/>
      <c r="F1096" s="18"/>
      <c r="G1096" s="36" t="str">
        <f>IF(ISNUMBER(F1096),C1096*F1096,"")</f>
        <v/>
      </c>
    </row>
    <row r="1097" spans="1:7" ht="12" customHeight="1" outlineLevel="2" x14ac:dyDescent="0.2">
      <c r="A1097" s="14" t="s">
        <v>2165</v>
      </c>
      <c r="B1097" s="15" t="s">
        <v>2166</v>
      </c>
      <c r="C1097" s="16">
        <f>61.68/(1+B2)</f>
        <v>61.68</v>
      </c>
      <c r="D1097" s="17" t="s">
        <v>11</v>
      </c>
      <c r="E1097" s="17" t="s">
        <v>11</v>
      </c>
      <c r="F1097" s="18"/>
      <c r="G1097" s="36" t="str">
        <f>IF(ISNUMBER(F1097),C1097*F1097,"")</f>
        <v/>
      </c>
    </row>
    <row r="1098" spans="1:7" ht="12" customHeight="1" outlineLevel="2" x14ac:dyDescent="0.2">
      <c r="A1098" s="14" t="s">
        <v>2167</v>
      </c>
      <c r="B1098" s="15" t="s">
        <v>2168</v>
      </c>
      <c r="C1098" s="16">
        <f>65.1/(1+B2)</f>
        <v>65.099999999999994</v>
      </c>
      <c r="D1098" s="17" t="s">
        <v>11</v>
      </c>
      <c r="E1098" s="17" t="s">
        <v>11</v>
      </c>
      <c r="F1098" s="18"/>
      <c r="G1098" s="36" t="str">
        <f>IF(ISNUMBER(F1098),C1098*F1098,"")</f>
        <v/>
      </c>
    </row>
    <row r="1099" spans="1:7" ht="12" customHeight="1" outlineLevel="2" x14ac:dyDescent="0.2">
      <c r="A1099" s="14" t="s">
        <v>2169</v>
      </c>
      <c r="B1099" s="15" t="s">
        <v>2170</v>
      </c>
      <c r="C1099" s="16">
        <f>61.68/(1+B2)</f>
        <v>61.68</v>
      </c>
      <c r="D1099" s="17" t="s">
        <v>11</v>
      </c>
      <c r="E1099" s="17"/>
      <c r="F1099" s="18"/>
      <c r="G1099" s="36" t="str">
        <f>IF(ISNUMBER(F1099),C1099*F1099,"")</f>
        <v/>
      </c>
    </row>
    <row r="1100" spans="1:7" ht="12" customHeight="1" outlineLevel="2" x14ac:dyDescent="0.2">
      <c r="A1100" s="14" t="s">
        <v>2171</v>
      </c>
      <c r="B1100" s="15" t="s">
        <v>2172</v>
      </c>
      <c r="C1100" s="16">
        <f>29.24/(1+B2)</f>
        <v>29.24</v>
      </c>
      <c r="D1100" s="17" t="s">
        <v>11</v>
      </c>
      <c r="E1100" s="17" t="s">
        <v>53</v>
      </c>
      <c r="F1100" s="18"/>
      <c r="G1100" s="36" t="str">
        <f>IF(ISNUMBER(F1100),C1100*F1100,"")</f>
        <v/>
      </c>
    </row>
    <row r="1101" spans="1:7" ht="12" customHeight="1" outlineLevel="2" x14ac:dyDescent="0.2">
      <c r="A1101" s="14" t="s">
        <v>2173</v>
      </c>
      <c r="B1101" s="15" t="s">
        <v>2174</v>
      </c>
      <c r="C1101" s="16">
        <f>29.24/(1+B2)</f>
        <v>29.24</v>
      </c>
      <c r="D1101" s="17" t="s">
        <v>11</v>
      </c>
      <c r="E1101" s="17"/>
      <c r="F1101" s="18"/>
      <c r="G1101" s="36" t="str">
        <f>IF(ISNUMBER(F1101),C1101*F1101,"")</f>
        <v/>
      </c>
    </row>
    <row r="1102" spans="1:7" ht="12" customHeight="1" outlineLevel="2" x14ac:dyDescent="0.2">
      <c r="A1102" s="14" t="s">
        <v>2175</v>
      </c>
      <c r="B1102" s="15" t="s">
        <v>2176</v>
      </c>
      <c r="C1102" s="16">
        <f>29.24/(1+B2)</f>
        <v>29.24</v>
      </c>
      <c r="D1102" s="17" t="s">
        <v>14</v>
      </c>
      <c r="E1102" s="17"/>
      <c r="F1102" s="18"/>
      <c r="G1102" s="36" t="str">
        <f>IF(ISNUMBER(F1102),C1102*F1102,"")</f>
        <v/>
      </c>
    </row>
    <row r="1103" spans="1:7" s="1" customFormat="1" ht="15.95" customHeight="1" outlineLevel="1" x14ac:dyDescent="0.25">
      <c r="A1103" s="11"/>
      <c r="B1103" s="12" t="s">
        <v>2177</v>
      </c>
      <c r="C1103" s="13"/>
      <c r="D1103" s="13"/>
      <c r="E1103" s="13"/>
      <c r="F1103" s="13"/>
      <c r="G1103" s="35"/>
    </row>
    <row r="1104" spans="1:7" ht="12" customHeight="1" outlineLevel="2" x14ac:dyDescent="0.2">
      <c r="A1104" s="14" t="s">
        <v>2178</v>
      </c>
      <c r="B1104" s="15" t="s">
        <v>2179</v>
      </c>
      <c r="C1104" s="16">
        <f>103.4/(1+B2)</f>
        <v>103.4</v>
      </c>
      <c r="D1104" s="17" t="s">
        <v>11</v>
      </c>
      <c r="E1104" s="17" t="s">
        <v>11</v>
      </c>
      <c r="F1104" s="18"/>
      <c r="G1104" s="36" t="str">
        <f>IF(ISNUMBER(F1104),C1104*F1104,"")</f>
        <v/>
      </c>
    </row>
    <row r="1105" spans="1:7" ht="12" customHeight="1" outlineLevel="2" x14ac:dyDescent="0.2">
      <c r="A1105" s="14" t="s">
        <v>2180</v>
      </c>
      <c r="B1105" s="15" t="s">
        <v>2181</v>
      </c>
      <c r="C1105" s="16">
        <f>93.35/(1+B2)</f>
        <v>93.35</v>
      </c>
      <c r="D1105" s="17" t="s">
        <v>11</v>
      </c>
      <c r="E1105" s="17" t="s">
        <v>14</v>
      </c>
      <c r="F1105" s="18"/>
      <c r="G1105" s="36" t="str">
        <f>IF(ISNUMBER(F1105),C1105*F1105,"")</f>
        <v/>
      </c>
    </row>
    <row r="1106" spans="1:7" ht="12" customHeight="1" outlineLevel="2" x14ac:dyDescent="0.2">
      <c r="A1106" s="14" t="s">
        <v>2182</v>
      </c>
      <c r="B1106" s="15" t="s">
        <v>2183</v>
      </c>
      <c r="C1106" s="16">
        <f>97.21/(1+B2)</f>
        <v>97.21</v>
      </c>
      <c r="D1106" s="17" t="s">
        <v>11</v>
      </c>
      <c r="E1106" s="17"/>
      <c r="F1106" s="18"/>
      <c r="G1106" s="36" t="str">
        <f>IF(ISNUMBER(F1106),C1106*F1106,"")</f>
        <v/>
      </c>
    </row>
    <row r="1107" spans="1:7" ht="12" customHeight="1" outlineLevel="2" x14ac:dyDescent="0.2">
      <c r="A1107" s="14" t="s">
        <v>2184</v>
      </c>
      <c r="B1107" s="15" t="s">
        <v>2185</v>
      </c>
      <c r="C1107" s="16">
        <f>107.06/(1+B2)</f>
        <v>107.06</v>
      </c>
      <c r="D1107" s="17" t="s">
        <v>11</v>
      </c>
      <c r="E1107" s="17"/>
      <c r="F1107" s="18"/>
      <c r="G1107" s="36" t="str">
        <f>IF(ISNUMBER(F1107),C1107*F1107,"")</f>
        <v/>
      </c>
    </row>
    <row r="1108" spans="1:7" ht="12" customHeight="1" outlineLevel="2" x14ac:dyDescent="0.2">
      <c r="A1108" s="14" t="s">
        <v>2186</v>
      </c>
      <c r="B1108" s="15" t="s">
        <v>2187</v>
      </c>
      <c r="C1108" s="16">
        <f>107.55/(1+B2)</f>
        <v>107.55</v>
      </c>
      <c r="D1108" s="17" t="s">
        <v>11</v>
      </c>
      <c r="E1108" s="17"/>
      <c r="F1108" s="18"/>
      <c r="G1108" s="36" t="str">
        <f>IF(ISNUMBER(F1108),C1108*F1108,"")</f>
        <v/>
      </c>
    </row>
    <row r="1109" spans="1:7" ht="12" customHeight="1" outlineLevel="2" x14ac:dyDescent="0.2">
      <c r="A1109" s="14" t="s">
        <v>2188</v>
      </c>
      <c r="B1109" s="15" t="s">
        <v>2189</v>
      </c>
      <c r="C1109" s="16">
        <f>64.25/(1+B2)</f>
        <v>64.25</v>
      </c>
      <c r="D1109" s="17" t="s">
        <v>11</v>
      </c>
      <c r="E1109" s="17" t="s">
        <v>11</v>
      </c>
      <c r="F1109" s="18"/>
      <c r="G1109" s="36" t="str">
        <f>IF(ISNUMBER(F1109),C1109*F1109,"")</f>
        <v/>
      </c>
    </row>
    <row r="1110" spans="1:7" ht="12" customHeight="1" outlineLevel="2" x14ac:dyDescent="0.2">
      <c r="A1110" s="14" t="s">
        <v>2190</v>
      </c>
      <c r="B1110" s="15" t="s">
        <v>2191</v>
      </c>
      <c r="C1110" s="16">
        <f>68.39/(1+B2)</f>
        <v>68.39</v>
      </c>
      <c r="D1110" s="17" t="s">
        <v>11</v>
      </c>
      <c r="E1110" s="17" t="s">
        <v>14</v>
      </c>
      <c r="F1110" s="18"/>
      <c r="G1110" s="36" t="str">
        <f>IF(ISNUMBER(F1110),C1110*F1110,"")</f>
        <v/>
      </c>
    </row>
    <row r="1111" spans="1:7" ht="12" customHeight="1" outlineLevel="2" x14ac:dyDescent="0.2">
      <c r="A1111" s="14" t="s">
        <v>2192</v>
      </c>
      <c r="B1111" s="15" t="s">
        <v>2193</v>
      </c>
      <c r="C1111" s="16">
        <f>139.56/(1+B2)</f>
        <v>139.56</v>
      </c>
      <c r="D1111" s="17" t="s">
        <v>14</v>
      </c>
      <c r="E1111" s="17" t="s">
        <v>53</v>
      </c>
      <c r="F1111" s="18"/>
      <c r="G1111" s="36" t="str">
        <f>IF(ISNUMBER(F1111),C1111*F1111,"")</f>
        <v/>
      </c>
    </row>
    <row r="1112" spans="1:7" ht="12" customHeight="1" outlineLevel="2" x14ac:dyDescent="0.2">
      <c r="A1112" s="14" t="s">
        <v>2194</v>
      </c>
      <c r="B1112" s="15" t="s">
        <v>2195</v>
      </c>
      <c r="C1112" s="16">
        <f>101.01/(1+B2)</f>
        <v>101.01</v>
      </c>
      <c r="D1112" s="17" t="s">
        <v>11</v>
      </c>
      <c r="E1112" s="17" t="s">
        <v>53</v>
      </c>
      <c r="F1112" s="18"/>
      <c r="G1112" s="36" t="str">
        <f>IF(ISNUMBER(F1112),C1112*F1112,"")</f>
        <v/>
      </c>
    </row>
    <row r="1113" spans="1:7" ht="12" customHeight="1" outlineLevel="2" x14ac:dyDescent="0.2">
      <c r="A1113" s="14" t="s">
        <v>2196</v>
      </c>
      <c r="B1113" s="15" t="s">
        <v>2197</v>
      </c>
      <c r="C1113" s="16">
        <f>95.99/(1+B2)</f>
        <v>95.99</v>
      </c>
      <c r="D1113" s="17" t="s">
        <v>14</v>
      </c>
      <c r="E1113" s="17" t="s">
        <v>11</v>
      </c>
      <c r="F1113" s="18"/>
      <c r="G1113" s="36" t="str">
        <f>IF(ISNUMBER(F1113),C1113*F1113,"")</f>
        <v/>
      </c>
    </row>
    <row r="1114" spans="1:7" ht="12" customHeight="1" outlineLevel="2" x14ac:dyDescent="0.2">
      <c r="A1114" s="14" t="s">
        <v>2198</v>
      </c>
      <c r="B1114" s="15" t="s">
        <v>2199</v>
      </c>
      <c r="C1114" s="16">
        <f>95.99/(1+B2)</f>
        <v>95.99</v>
      </c>
      <c r="D1114" s="17" t="s">
        <v>14</v>
      </c>
      <c r="E1114" s="17" t="s">
        <v>53</v>
      </c>
      <c r="F1114" s="18"/>
      <c r="G1114" s="36" t="str">
        <f>IF(ISNUMBER(F1114),C1114*F1114,"")</f>
        <v/>
      </c>
    </row>
    <row r="1115" spans="1:7" ht="12" customHeight="1" outlineLevel="2" x14ac:dyDescent="0.2">
      <c r="A1115" s="14" t="s">
        <v>2200</v>
      </c>
      <c r="B1115" s="15" t="s">
        <v>2201</v>
      </c>
      <c r="C1115" s="16">
        <f>139.56/(1+B2)</f>
        <v>139.56</v>
      </c>
      <c r="D1115" s="17" t="s">
        <v>14</v>
      </c>
      <c r="E1115" s="17" t="s">
        <v>53</v>
      </c>
      <c r="F1115" s="18"/>
      <c r="G1115" s="36" t="str">
        <f>IF(ISNUMBER(F1115),C1115*F1115,"")</f>
        <v/>
      </c>
    </row>
    <row r="1116" spans="1:7" ht="24" customHeight="1" outlineLevel="2" x14ac:dyDescent="0.2">
      <c r="A1116" s="14" t="s">
        <v>2202</v>
      </c>
      <c r="B1116" s="15" t="s">
        <v>2203</v>
      </c>
      <c r="C1116" s="16">
        <f>139.56/(1+B2)</f>
        <v>139.56</v>
      </c>
      <c r="D1116" s="17" t="s">
        <v>11</v>
      </c>
      <c r="E1116" s="17" t="s">
        <v>14</v>
      </c>
      <c r="F1116" s="18"/>
      <c r="G1116" s="36" t="str">
        <f>IF(ISNUMBER(F1116),C1116*F1116,"")</f>
        <v/>
      </c>
    </row>
    <row r="1117" spans="1:7" ht="12" customHeight="1" outlineLevel="2" x14ac:dyDescent="0.2">
      <c r="A1117" s="14" t="s">
        <v>2204</v>
      </c>
      <c r="B1117" s="15" t="s">
        <v>2205</v>
      </c>
      <c r="C1117" s="16">
        <f>95.99/(1+B2)</f>
        <v>95.99</v>
      </c>
      <c r="D1117" s="17" t="s">
        <v>14</v>
      </c>
      <c r="E1117" s="17" t="s">
        <v>53</v>
      </c>
      <c r="F1117" s="18"/>
      <c r="G1117" s="36" t="str">
        <f>IF(ISNUMBER(F1117),C1117*F1117,"")</f>
        <v/>
      </c>
    </row>
    <row r="1118" spans="1:7" ht="12" customHeight="1" outlineLevel="2" x14ac:dyDescent="0.2">
      <c r="A1118" s="14" t="s">
        <v>2206</v>
      </c>
      <c r="B1118" s="15" t="s">
        <v>2207</v>
      </c>
      <c r="C1118" s="16">
        <f>139.56/(1+B2)</f>
        <v>139.56</v>
      </c>
      <c r="D1118" s="17" t="s">
        <v>14</v>
      </c>
      <c r="E1118" s="17" t="s">
        <v>53</v>
      </c>
      <c r="F1118" s="18"/>
      <c r="G1118" s="36" t="str">
        <f>IF(ISNUMBER(F1118),C1118*F1118,"")</f>
        <v/>
      </c>
    </row>
    <row r="1119" spans="1:7" ht="12" customHeight="1" outlineLevel="2" x14ac:dyDescent="0.2">
      <c r="A1119" s="14" t="s">
        <v>2208</v>
      </c>
      <c r="B1119" s="15" t="s">
        <v>2209</v>
      </c>
      <c r="C1119" s="16">
        <f>139.56/(1+B2)</f>
        <v>139.56</v>
      </c>
      <c r="D1119" s="17" t="s">
        <v>11</v>
      </c>
      <c r="E1119" s="17" t="s">
        <v>106</v>
      </c>
      <c r="F1119" s="18"/>
      <c r="G1119" s="36" t="str">
        <f>IF(ISNUMBER(F1119),C1119*F1119,"")</f>
        <v/>
      </c>
    </row>
    <row r="1120" spans="1:7" ht="12" customHeight="1" outlineLevel="2" x14ac:dyDescent="0.2">
      <c r="A1120" s="14" t="s">
        <v>2210</v>
      </c>
      <c r="B1120" s="15" t="s">
        <v>2211</v>
      </c>
      <c r="C1120" s="16">
        <f>139.56/(1+B2)</f>
        <v>139.56</v>
      </c>
      <c r="D1120" s="17" t="s">
        <v>11</v>
      </c>
      <c r="E1120" s="17" t="s">
        <v>14</v>
      </c>
      <c r="F1120" s="18"/>
      <c r="G1120" s="36" t="str">
        <f>IF(ISNUMBER(F1120),C1120*F1120,"")</f>
        <v/>
      </c>
    </row>
    <row r="1121" spans="1:7" ht="12" customHeight="1" outlineLevel="2" x14ac:dyDescent="0.2">
      <c r="A1121" s="14" t="s">
        <v>2212</v>
      </c>
      <c r="B1121" s="15" t="s">
        <v>2213</v>
      </c>
      <c r="C1121" s="16">
        <f>139.56/(1+B2)</f>
        <v>139.56</v>
      </c>
      <c r="D1121" s="17" t="s">
        <v>11</v>
      </c>
      <c r="E1121" s="17" t="s">
        <v>14</v>
      </c>
      <c r="F1121" s="18"/>
      <c r="G1121" s="36" t="str">
        <f>IF(ISNUMBER(F1121),C1121*F1121,"")</f>
        <v/>
      </c>
    </row>
    <row r="1122" spans="1:7" ht="12" customHeight="1" outlineLevel="2" x14ac:dyDescent="0.2">
      <c r="A1122" s="14" t="s">
        <v>2214</v>
      </c>
      <c r="B1122" s="15" t="s">
        <v>2215</v>
      </c>
      <c r="C1122" s="16">
        <f>85.11/(1+B2)</f>
        <v>85.11</v>
      </c>
      <c r="D1122" s="17" t="s">
        <v>53</v>
      </c>
      <c r="E1122" s="17" t="s">
        <v>53</v>
      </c>
      <c r="F1122" s="18"/>
      <c r="G1122" s="36" t="str">
        <f>IF(ISNUMBER(F1122),C1122*F1122,"")</f>
        <v/>
      </c>
    </row>
    <row r="1123" spans="1:7" ht="12" customHeight="1" outlineLevel="2" x14ac:dyDescent="0.2">
      <c r="A1123" s="14" t="s">
        <v>2216</v>
      </c>
      <c r="B1123" s="15" t="s">
        <v>2217</v>
      </c>
      <c r="C1123" s="16">
        <f>93.08/(1+B2)</f>
        <v>93.08</v>
      </c>
      <c r="D1123" s="17" t="s">
        <v>14</v>
      </c>
      <c r="E1123" s="17"/>
      <c r="F1123" s="18"/>
      <c r="G1123" s="36" t="str">
        <f>IF(ISNUMBER(F1123),C1123*F1123,"")</f>
        <v/>
      </c>
    </row>
    <row r="1124" spans="1:7" ht="12" customHeight="1" outlineLevel="2" x14ac:dyDescent="0.2">
      <c r="A1124" s="14" t="s">
        <v>2218</v>
      </c>
      <c r="B1124" s="15" t="s">
        <v>2219</v>
      </c>
      <c r="C1124" s="16">
        <f>93.08/(1+B2)</f>
        <v>93.08</v>
      </c>
      <c r="D1124" s="17" t="s">
        <v>11</v>
      </c>
      <c r="E1124" s="17" t="s">
        <v>11</v>
      </c>
      <c r="F1124" s="18"/>
      <c r="G1124" s="36" t="str">
        <f>IF(ISNUMBER(F1124),C1124*F1124,"")</f>
        <v/>
      </c>
    </row>
    <row r="1125" spans="1:7" ht="12" customHeight="1" outlineLevel="2" x14ac:dyDescent="0.2">
      <c r="A1125" s="14" t="s">
        <v>2220</v>
      </c>
      <c r="B1125" s="15" t="s">
        <v>2221</v>
      </c>
      <c r="C1125" s="16">
        <f>63.31/(1+B2)</f>
        <v>63.31</v>
      </c>
      <c r="D1125" s="17" t="s">
        <v>11</v>
      </c>
      <c r="E1125" s="17" t="s">
        <v>53</v>
      </c>
      <c r="F1125" s="18"/>
      <c r="G1125" s="36" t="str">
        <f>IF(ISNUMBER(F1125),C1125*F1125,"")</f>
        <v/>
      </c>
    </row>
    <row r="1126" spans="1:7" ht="12" customHeight="1" outlineLevel="2" x14ac:dyDescent="0.2">
      <c r="A1126" s="14" t="s">
        <v>2222</v>
      </c>
      <c r="B1126" s="15" t="s">
        <v>2223</v>
      </c>
      <c r="C1126" s="16">
        <f>85.11/(1+B2)</f>
        <v>85.11</v>
      </c>
      <c r="D1126" s="17" t="s">
        <v>53</v>
      </c>
      <c r="E1126" s="17" t="s">
        <v>106</v>
      </c>
      <c r="F1126" s="18"/>
      <c r="G1126" s="36" t="str">
        <f>IF(ISNUMBER(F1126),C1126*F1126,"")</f>
        <v/>
      </c>
    </row>
    <row r="1127" spans="1:7" ht="12" customHeight="1" outlineLevel="2" x14ac:dyDescent="0.2">
      <c r="A1127" s="14" t="s">
        <v>2224</v>
      </c>
      <c r="B1127" s="15" t="s">
        <v>2225</v>
      </c>
      <c r="C1127" s="16">
        <f>50/(1+B2)</f>
        <v>50</v>
      </c>
      <c r="D1127" s="17" t="s">
        <v>11</v>
      </c>
      <c r="E1127" s="17"/>
      <c r="F1127" s="18"/>
      <c r="G1127" s="36" t="str">
        <f>IF(ISNUMBER(F1127),C1127*F1127,"")</f>
        <v/>
      </c>
    </row>
    <row r="1128" spans="1:7" ht="12" customHeight="1" outlineLevel="2" x14ac:dyDescent="0.2">
      <c r="A1128" s="14" t="s">
        <v>2226</v>
      </c>
      <c r="B1128" s="15" t="s">
        <v>2227</v>
      </c>
      <c r="C1128" s="16">
        <f>239.09/(1+B2)</f>
        <v>239.09</v>
      </c>
      <c r="D1128" s="17" t="s">
        <v>11</v>
      </c>
      <c r="E1128" s="17"/>
      <c r="F1128" s="18"/>
      <c r="G1128" s="36" t="str">
        <f>IF(ISNUMBER(F1128),C1128*F1128,"")</f>
        <v/>
      </c>
    </row>
    <row r="1129" spans="1:7" ht="12" customHeight="1" outlineLevel="2" x14ac:dyDescent="0.2">
      <c r="A1129" s="14" t="s">
        <v>2228</v>
      </c>
      <c r="B1129" s="15" t="s">
        <v>2229</v>
      </c>
      <c r="C1129" s="16">
        <f>180/(1+B2)</f>
        <v>180</v>
      </c>
      <c r="D1129" s="17" t="s">
        <v>11</v>
      </c>
      <c r="E1129" s="17" t="s">
        <v>11</v>
      </c>
      <c r="F1129" s="18"/>
      <c r="G1129" s="36" t="str">
        <f>IF(ISNUMBER(F1129),C1129*F1129,"")</f>
        <v/>
      </c>
    </row>
    <row r="1130" spans="1:7" ht="12" customHeight="1" outlineLevel="2" x14ac:dyDescent="0.2">
      <c r="A1130" s="14" t="s">
        <v>2230</v>
      </c>
      <c r="B1130" s="15" t="s">
        <v>2231</v>
      </c>
      <c r="C1130" s="16">
        <f>214.35/(1+B2)</f>
        <v>214.35</v>
      </c>
      <c r="D1130" s="17" t="s">
        <v>11</v>
      </c>
      <c r="E1130" s="17"/>
      <c r="F1130" s="18"/>
      <c r="G1130" s="36" t="str">
        <f>IF(ISNUMBER(F1130),C1130*F1130,"")</f>
        <v/>
      </c>
    </row>
    <row r="1131" spans="1:7" ht="12" customHeight="1" outlineLevel="2" x14ac:dyDescent="0.2">
      <c r="A1131" s="14" t="s">
        <v>2232</v>
      </c>
      <c r="B1131" s="15" t="s">
        <v>2233</v>
      </c>
      <c r="C1131" s="16">
        <f>228.34/(1+B2)</f>
        <v>228.34</v>
      </c>
      <c r="D1131" s="17" t="s">
        <v>11</v>
      </c>
      <c r="E1131" s="17" t="s">
        <v>11</v>
      </c>
      <c r="F1131" s="18"/>
      <c r="G1131" s="36" t="str">
        <f>IF(ISNUMBER(F1131),C1131*F1131,"")</f>
        <v/>
      </c>
    </row>
    <row r="1132" spans="1:7" ht="12" customHeight="1" outlineLevel="2" x14ac:dyDescent="0.2">
      <c r="A1132" s="14" t="s">
        <v>2234</v>
      </c>
      <c r="B1132" s="15" t="s">
        <v>2235</v>
      </c>
      <c r="C1132" s="16">
        <f>248.03/(1+B2)</f>
        <v>248.03</v>
      </c>
      <c r="D1132" s="17" t="s">
        <v>11</v>
      </c>
      <c r="E1132" s="17"/>
      <c r="F1132" s="18"/>
      <c r="G1132" s="36" t="str">
        <f>IF(ISNUMBER(F1132),C1132*F1132,"")</f>
        <v/>
      </c>
    </row>
    <row r="1133" spans="1:7" ht="12" customHeight="1" outlineLevel="2" x14ac:dyDescent="0.2">
      <c r="A1133" s="14" t="s">
        <v>2236</v>
      </c>
      <c r="B1133" s="15" t="s">
        <v>2237</v>
      </c>
      <c r="C1133" s="16">
        <f>70/(1+B2)</f>
        <v>70</v>
      </c>
      <c r="D1133" s="17" t="s">
        <v>11</v>
      </c>
      <c r="E1133" s="17" t="s">
        <v>11</v>
      </c>
      <c r="F1133" s="18"/>
      <c r="G1133" s="36" t="str">
        <f>IF(ISNUMBER(F1133),C1133*F1133,"")</f>
        <v/>
      </c>
    </row>
    <row r="1134" spans="1:7" ht="12" customHeight="1" outlineLevel="2" x14ac:dyDescent="0.2">
      <c r="A1134" s="14" t="s">
        <v>2238</v>
      </c>
      <c r="B1134" s="15" t="s">
        <v>2239</v>
      </c>
      <c r="C1134" s="16">
        <f>173.81/(1+B2)</f>
        <v>173.81</v>
      </c>
      <c r="D1134" s="17" t="s">
        <v>11</v>
      </c>
      <c r="E1134" s="17" t="s">
        <v>14</v>
      </c>
      <c r="F1134" s="18"/>
      <c r="G1134" s="36" t="str">
        <f>IF(ISNUMBER(F1134),C1134*F1134,"")</f>
        <v/>
      </c>
    </row>
    <row r="1135" spans="1:7" ht="12" customHeight="1" outlineLevel="2" x14ac:dyDescent="0.2">
      <c r="A1135" s="14" t="s">
        <v>2240</v>
      </c>
      <c r="B1135" s="15" t="s">
        <v>2241</v>
      </c>
      <c r="C1135" s="16">
        <f>173.81/(1+B2)</f>
        <v>173.81</v>
      </c>
      <c r="D1135" s="17" t="s">
        <v>11</v>
      </c>
      <c r="E1135" s="17" t="s">
        <v>14</v>
      </c>
      <c r="F1135" s="18"/>
      <c r="G1135" s="36" t="str">
        <f>IF(ISNUMBER(F1135),C1135*F1135,"")</f>
        <v/>
      </c>
    </row>
    <row r="1136" spans="1:7" ht="12" customHeight="1" outlineLevel="2" x14ac:dyDescent="0.2">
      <c r="A1136" s="14" t="s">
        <v>2242</v>
      </c>
      <c r="B1136" s="15" t="s">
        <v>2243</v>
      </c>
      <c r="C1136" s="16">
        <f>173.81/(1+B2)</f>
        <v>173.81</v>
      </c>
      <c r="D1136" s="17" t="s">
        <v>11</v>
      </c>
      <c r="E1136" s="17" t="s">
        <v>11</v>
      </c>
      <c r="F1136" s="18"/>
      <c r="G1136" s="36" t="str">
        <f>IF(ISNUMBER(F1136),C1136*F1136,"")</f>
        <v/>
      </c>
    </row>
    <row r="1137" spans="1:7" ht="12" customHeight="1" outlineLevel="2" x14ac:dyDescent="0.2">
      <c r="A1137" s="14" t="s">
        <v>2244</v>
      </c>
      <c r="B1137" s="15" t="s">
        <v>2245</v>
      </c>
      <c r="C1137" s="16">
        <f>173.81/(1+B2)</f>
        <v>173.81</v>
      </c>
      <c r="D1137" s="17" t="s">
        <v>14</v>
      </c>
      <c r="E1137" s="17"/>
      <c r="F1137" s="18"/>
      <c r="G1137" s="36" t="str">
        <f>IF(ISNUMBER(F1137),C1137*F1137,"")</f>
        <v/>
      </c>
    </row>
    <row r="1138" spans="1:7" ht="12" customHeight="1" outlineLevel="2" x14ac:dyDescent="0.2">
      <c r="A1138" s="14" t="s">
        <v>2246</v>
      </c>
      <c r="B1138" s="15" t="s">
        <v>2247</v>
      </c>
      <c r="C1138" s="16">
        <f>173.81/(1+B2)</f>
        <v>173.81</v>
      </c>
      <c r="D1138" s="17" t="s">
        <v>11</v>
      </c>
      <c r="E1138" s="17" t="s">
        <v>14</v>
      </c>
      <c r="F1138" s="18"/>
      <c r="G1138" s="36" t="str">
        <f>IF(ISNUMBER(F1138),C1138*F1138,"")</f>
        <v/>
      </c>
    </row>
    <row r="1139" spans="1:7" ht="12" customHeight="1" outlineLevel="2" x14ac:dyDescent="0.2">
      <c r="A1139" s="14" t="s">
        <v>2248</v>
      </c>
      <c r="B1139" s="15" t="s">
        <v>2249</v>
      </c>
      <c r="C1139" s="16">
        <f>173.81/(1+B2)</f>
        <v>173.81</v>
      </c>
      <c r="D1139" s="17" t="s">
        <v>53</v>
      </c>
      <c r="E1139" s="17"/>
      <c r="F1139" s="18"/>
      <c r="G1139" s="36" t="str">
        <f>IF(ISNUMBER(F1139),C1139*F1139,"")</f>
        <v/>
      </c>
    </row>
    <row r="1140" spans="1:7" ht="12" customHeight="1" outlineLevel="2" x14ac:dyDescent="0.2">
      <c r="A1140" s="14" t="s">
        <v>2250</v>
      </c>
      <c r="B1140" s="15" t="s">
        <v>2251</v>
      </c>
      <c r="C1140" s="16">
        <f>149.25/(1+B2)</f>
        <v>149.25</v>
      </c>
      <c r="D1140" s="17" t="s">
        <v>11</v>
      </c>
      <c r="E1140" s="17" t="s">
        <v>14</v>
      </c>
      <c r="F1140" s="18"/>
      <c r="G1140" s="36" t="str">
        <f>IF(ISNUMBER(F1140),C1140*F1140,"")</f>
        <v/>
      </c>
    </row>
    <row r="1141" spans="1:7" ht="12" customHeight="1" outlineLevel="2" x14ac:dyDescent="0.2">
      <c r="A1141" s="14" t="s">
        <v>2252</v>
      </c>
      <c r="B1141" s="15" t="s">
        <v>2253</v>
      </c>
      <c r="C1141" s="16">
        <f>79.55/(1+B2)</f>
        <v>79.55</v>
      </c>
      <c r="D1141" s="17" t="s">
        <v>11</v>
      </c>
      <c r="E1141" s="17"/>
      <c r="F1141" s="18"/>
      <c r="G1141" s="36" t="str">
        <f>IF(ISNUMBER(F1141),C1141*F1141,"")</f>
        <v/>
      </c>
    </row>
    <row r="1142" spans="1:7" ht="12" customHeight="1" outlineLevel="2" x14ac:dyDescent="0.2">
      <c r="A1142" s="14" t="s">
        <v>2254</v>
      </c>
      <c r="B1142" s="15" t="s">
        <v>2255</v>
      </c>
      <c r="C1142" s="16">
        <f>37.32/(1+B2)</f>
        <v>37.32</v>
      </c>
      <c r="D1142" s="17" t="s">
        <v>53</v>
      </c>
      <c r="E1142" s="17"/>
      <c r="F1142" s="18"/>
      <c r="G1142" s="36" t="str">
        <f>IF(ISNUMBER(F1142),C1142*F1142,"")</f>
        <v/>
      </c>
    </row>
    <row r="1143" spans="1:7" ht="12" customHeight="1" outlineLevel="2" x14ac:dyDescent="0.2">
      <c r="A1143" s="14" t="s">
        <v>2256</v>
      </c>
      <c r="B1143" s="15" t="s">
        <v>2257</v>
      </c>
      <c r="C1143" s="16">
        <f>118.93/(1+B2)</f>
        <v>118.93</v>
      </c>
      <c r="D1143" s="17" t="s">
        <v>14</v>
      </c>
      <c r="E1143" s="17" t="s">
        <v>53</v>
      </c>
      <c r="F1143" s="18"/>
      <c r="G1143" s="36" t="str">
        <f>IF(ISNUMBER(F1143),C1143*F1143,"")</f>
        <v/>
      </c>
    </row>
    <row r="1144" spans="1:7" ht="12" customHeight="1" outlineLevel="2" x14ac:dyDescent="0.2">
      <c r="A1144" s="14" t="s">
        <v>2258</v>
      </c>
      <c r="B1144" s="15" t="s">
        <v>2259</v>
      </c>
      <c r="C1144" s="16">
        <f>154.62/(1+B2)</f>
        <v>154.62</v>
      </c>
      <c r="D1144" s="17" t="s">
        <v>53</v>
      </c>
      <c r="E1144" s="17"/>
      <c r="F1144" s="18"/>
      <c r="G1144" s="36" t="str">
        <f>IF(ISNUMBER(F1144),C1144*F1144,"")</f>
        <v/>
      </c>
    </row>
    <row r="1145" spans="1:7" ht="24" customHeight="1" outlineLevel="2" x14ac:dyDescent="0.2">
      <c r="A1145" s="14" t="s">
        <v>2260</v>
      </c>
      <c r="B1145" s="15" t="s">
        <v>2261</v>
      </c>
      <c r="C1145" s="16">
        <f>134/(1+B2)</f>
        <v>134</v>
      </c>
      <c r="D1145" s="17" t="s">
        <v>53</v>
      </c>
      <c r="E1145" s="17" t="s">
        <v>53</v>
      </c>
      <c r="F1145" s="18"/>
      <c r="G1145" s="36" t="str">
        <f>IF(ISNUMBER(F1145),C1145*F1145,"")</f>
        <v/>
      </c>
    </row>
    <row r="1146" spans="1:7" ht="12" customHeight="1" outlineLevel="2" x14ac:dyDescent="0.2">
      <c r="A1146" s="14" t="s">
        <v>2262</v>
      </c>
      <c r="B1146" s="15" t="s">
        <v>2263</v>
      </c>
      <c r="C1146" s="16">
        <f>118.93/(1+B2)</f>
        <v>118.93</v>
      </c>
      <c r="D1146" s="17" t="s">
        <v>14</v>
      </c>
      <c r="E1146" s="17" t="s">
        <v>53</v>
      </c>
      <c r="F1146" s="18"/>
      <c r="G1146" s="36" t="str">
        <f>IF(ISNUMBER(F1146),C1146*F1146,"")</f>
        <v/>
      </c>
    </row>
    <row r="1147" spans="1:7" ht="12" customHeight="1" outlineLevel="2" x14ac:dyDescent="0.2">
      <c r="A1147" s="14" t="s">
        <v>2264</v>
      </c>
      <c r="B1147" s="15" t="s">
        <v>2265</v>
      </c>
      <c r="C1147" s="16">
        <f>95.51/(1+B2)</f>
        <v>95.51</v>
      </c>
      <c r="D1147" s="17" t="s">
        <v>14</v>
      </c>
      <c r="E1147" s="17" t="s">
        <v>53</v>
      </c>
      <c r="F1147" s="18"/>
      <c r="G1147" s="36" t="str">
        <f>IF(ISNUMBER(F1147),C1147*F1147,"")</f>
        <v/>
      </c>
    </row>
    <row r="1148" spans="1:7" ht="12" customHeight="1" outlineLevel="2" x14ac:dyDescent="0.2">
      <c r="A1148" s="14" t="s">
        <v>2266</v>
      </c>
      <c r="B1148" s="15" t="s">
        <v>2267</v>
      </c>
      <c r="C1148" s="16">
        <f>73.19/(1+B2)</f>
        <v>73.19</v>
      </c>
      <c r="D1148" s="17" t="s">
        <v>11</v>
      </c>
      <c r="E1148" s="17" t="s">
        <v>53</v>
      </c>
      <c r="F1148" s="18"/>
      <c r="G1148" s="36" t="str">
        <f>IF(ISNUMBER(F1148),C1148*F1148,"")</f>
        <v/>
      </c>
    </row>
    <row r="1149" spans="1:7" ht="12" customHeight="1" outlineLevel="2" x14ac:dyDescent="0.2">
      <c r="A1149" s="14" t="s">
        <v>2268</v>
      </c>
      <c r="B1149" s="15" t="s">
        <v>2269</v>
      </c>
      <c r="C1149" s="16">
        <f>95.51/(1+B2)</f>
        <v>95.51</v>
      </c>
      <c r="D1149" s="17" t="s">
        <v>11</v>
      </c>
      <c r="E1149" s="17"/>
      <c r="F1149" s="18"/>
      <c r="G1149" s="36" t="str">
        <f>IF(ISNUMBER(F1149),C1149*F1149,"")</f>
        <v/>
      </c>
    </row>
    <row r="1150" spans="1:7" ht="12" customHeight="1" outlineLevel="2" x14ac:dyDescent="0.2">
      <c r="A1150" s="14" t="s">
        <v>2270</v>
      </c>
      <c r="B1150" s="15" t="s">
        <v>2271</v>
      </c>
      <c r="C1150" s="16">
        <f>95.51/(1+B2)</f>
        <v>95.51</v>
      </c>
      <c r="D1150" s="17" t="s">
        <v>11</v>
      </c>
      <c r="E1150" s="17" t="s">
        <v>14</v>
      </c>
      <c r="F1150" s="18"/>
      <c r="G1150" s="36" t="str">
        <f>IF(ISNUMBER(F1150),C1150*F1150,"")</f>
        <v/>
      </c>
    </row>
    <row r="1151" spans="1:7" ht="12" customHeight="1" outlineLevel="2" x14ac:dyDescent="0.2">
      <c r="A1151" s="14" t="s">
        <v>2272</v>
      </c>
      <c r="B1151" s="15" t="s">
        <v>2273</v>
      </c>
      <c r="C1151" s="16">
        <f>95.51/(1+B2)</f>
        <v>95.51</v>
      </c>
      <c r="D1151" s="17" t="s">
        <v>14</v>
      </c>
      <c r="E1151" s="17" t="s">
        <v>11</v>
      </c>
      <c r="F1151" s="18"/>
      <c r="G1151" s="36" t="str">
        <f>IF(ISNUMBER(F1151),C1151*F1151,"")</f>
        <v/>
      </c>
    </row>
    <row r="1152" spans="1:7" ht="12" customHeight="1" outlineLevel="2" x14ac:dyDescent="0.2">
      <c r="A1152" s="14" t="s">
        <v>2274</v>
      </c>
      <c r="B1152" s="15" t="s">
        <v>2275</v>
      </c>
      <c r="C1152" s="16">
        <f>70.58/(1+B2)</f>
        <v>70.58</v>
      </c>
      <c r="D1152" s="17" t="s">
        <v>14</v>
      </c>
      <c r="E1152" s="17" t="s">
        <v>53</v>
      </c>
      <c r="F1152" s="18"/>
      <c r="G1152" s="36" t="str">
        <f>IF(ISNUMBER(F1152),C1152*F1152,"")</f>
        <v/>
      </c>
    </row>
    <row r="1153" spans="1:7" ht="12" customHeight="1" outlineLevel="2" x14ac:dyDescent="0.2">
      <c r="A1153" s="14" t="s">
        <v>2276</v>
      </c>
      <c r="B1153" s="15" t="s">
        <v>2277</v>
      </c>
      <c r="C1153" s="16">
        <f>70.58/(1+B2)</f>
        <v>70.58</v>
      </c>
      <c r="D1153" s="17" t="s">
        <v>11</v>
      </c>
      <c r="E1153" s="17" t="s">
        <v>53</v>
      </c>
      <c r="F1153" s="18"/>
      <c r="G1153" s="36" t="str">
        <f>IF(ISNUMBER(F1153),C1153*F1153,"")</f>
        <v/>
      </c>
    </row>
    <row r="1154" spans="1:7" ht="12" customHeight="1" outlineLevel="2" x14ac:dyDescent="0.2">
      <c r="A1154" s="14" t="s">
        <v>2278</v>
      </c>
      <c r="B1154" s="15" t="s">
        <v>2279</v>
      </c>
      <c r="C1154" s="16">
        <f>70.58/(1+B2)</f>
        <v>70.58</v>
      </c>
      <c r="D1154" s="17" t="s">
        <v>11</v>
      </c>
      <c r="E1154" s="17" t="s">
        <v>106</v>
      </c>
      <c r="F1154" s="18"/>
      <c r="G1154" s="36" t="str">
        <f>IF(ISNUMBER(F1154),C1154*F1154,"")</f>
        <v/>
      </c>
    </row>
    <row r="1155" spans="1:7" ht="12" customHeight="1" outlineLevel="2" x14ac:dyDescent="0.2">
      <c r="A1155" s="14" t="s">
        <v>2280</v>
      </c>
      <c r="B1155" s="15" t="s">
        <v>2281</v>
      </c>
      <c r="C1155" s="16">
        <f>70.58/(1+B2)</f>
        <v>70.58</v>
      </c>
      <c r="D1155" s="17" t="s">
        <v>11</v>
      </c>
      <c r="E1155" s="17" t="s">
        <v>106</v>
      </c>
      <c r="F1155" s="18"/>
      <c r="G1155" s="36" t="str">
        <f>IF(ISNUMBER(F1155),C1155*F1155,"")</f>
        <v/>
      </c>
    </row>
    <row r="1156" spans="1:7" ht="12" customHeight="1" outlineLevel="2" x14ac:dyDescent="0.2">
      <c r="A1156" s="14" t="s">
        <v>2282</v>
      </c>
      <c r="B1156" s="15" t="s">
        <v>2283</v>
      </c>
      <c r="C1156" s="16">
        <f>113.28/(1+B2)</f>
        <v>113.28</v>
      </c>
      <c r="D1156" s="17" t="s">
        <v>11</v>
      </c>
      <c r="E1156" s="17" t="s">
        <v>106</v>
      </c>
      <c r="F1156" s="18"/>
      <c r="G1156" s="36" t="str">
        <f>IF(ISNUMBER(F1156),C1156*F1156,"")</f>
        <v/>
      </c>
    </row>
    <row r="1157" spans="1:7" ht="12" customHeight="1" outlineLevel="2" x14ac:dyDescent="0.2">
      <c r="A1157" s="14" t="s">
        <v>2284</v>
      </c>
      <c r="B1157" s="15" t="s">
        <v>2285</v>
      </c>
      <c r="C1157" s="16">
        <f>70.58/(1+B2)</f>
        <v>70.58</v>
      </c>
      <c r="D1157" s="17" t="s">
        <v>11</v>
      </c>
      <c r="E1157" s="17" t="s">
        <v>53</v>
      </c>
      <c r="F1157" s="18"/>
      <c r="G1157" s="36" t="str">
        <f>IF(ISNUMBER(F1157),C1157*F1157,"")</f>
        <v/>
      </c>
    </row>
    <row r="1158" spans="1:7" ht="12" customHeight="1" outlineLevel="2" x14ac:dyDescent="0.2">
      <c r="A1158" s="14" t="s">
        <v>2286</v>
      </c>
      <c r="B1158" s="15" t="s">
        <v>2287</v>
      </c>
      <c r="C1158" s="16">
        <f>77.6/(1+B2)</f>
        <v>77.599999999999994</v>
      </c>
      <c r="D1158" s="17" t="s">
        <v>14</v>
      </c>
      <c r="E1158" s="17" t="s">
        <v>14</v>
      </c>
      <c r="F1158" s="18"/>
      <c r="G1158" s="36" t="str">
        <f>IF(ISNUMBER(F1158),C1158*F1158,"")</f>
        <v/>
      </c>
    </row>
    <row r="1159" spans="1:7" ht="12" customHeight="1" outlineLevel="2" x14ac:dyDescent="0.2">
      <c r="A1159" s="14" t="s">
        <v>2288</v>
      </c>
      <c r="B1159" s="15" t="s">
        <v>2289</v>
      </c>
      <c r="C1159" s="16">
        <f>77.6/(1+B2)</f>
        <v>77.599999999999994</v>
      </c>
      <c r="D1159" s="17" t="s">
        <v>14</v>
      </c>
      <c r="E1159" s="17" t="s">
        <v>53</v>
      </c>
      <c r="F1159" s="18"/>
      <c r="G1159" s="36" t="str">
        <f>IF(ISNUMBER(F1159),C1159*F1159,"")</f>
        <v/>
      </c>
    </row>
    <row r="1160" spans="1:7" ht="12" customHeight="1" outlineLevel="2" x14ac:dyDescent="0.2">
      <c r="A1160" s="14" t="s">
        <v>2290</v>
      </c>
      <c r="B1160" s="15" t="s">
        <v>2291</v>
      </c>
      <c r="C1160" s="16">
        <f>69.85/(1+B2)</f>
        <v>69.849999999999994</v>
      </c>
      <c r="D1160" s="17" t="s">
        <v>11</v>
      </c>
      <c r="E1160" s="17" t="s">
        <v>14</v>
      </c>
      <c r="F1160" s="18"/>
      <c r="G1160" s="36" t="str">
        <f>IF(ISNUMBER(F1160),C1160*F1160,"")</f>
        <v/>
      </c>
    </row>
    <row r="1161" spans="1:7" ht="12" customHeight="1" outlineLevel="2" x14ac:dyDescent="0.2">
      <c r="A1161" s="14" t="s">
        <v>2292</v>
      </c>
      <c r="B1161" s="15" t="s">
        <v>2293</v>
      </c>
      <c r="C1161" s="16">
        <f>69.85/(1+B2)</f>
        <v>69.849999999999994</v>
      </c>
      <c r="D1161" s="17" t="s">
        <v>11</v>
      </c>
      <c r="E1161" s="17" t="s">
        <v>11</v>
      </c>
      <c r="F1161" s="18"/>
      <c r="G1161" s="36" t="str">
        <f>IF(ISNUMBER(F1161),C1161*F1161,"")</f>
        <v/>
      </c>
    </row>
    <row r="1162" spans="1:7" ht="12" customHeight="1" outlineLevel="2" x14ac:dyDescent="0.2">
      <c r="A1162" s="14" t="s">
        <v>2294</v>
      </c>
      <c r="B1162" s="15" t="s">
        <v>2295</v>
      </c>
      <c r="C1162" s="16">
        <f>50.21/(1+B2)</f>
        <v>50.21</v>
      </c>
      <c r="D1162" s="17" t="s">
        <v>11</v>
      </c>
      <c r="E1162" s="17" t="s">
        <v>14</v>
      </c>
      <c r="F1162" s="18"/>
      <c r="G1162" s="36" t="str">
        <f>IF(ISNUMBER(F1162),C1162*F1162,"")</f>
        <v/>
      </c>
    </row>
    <row r="1163" spans="1:7" ht="12" customHeight="1" outlineLevel="2" x14ac:dyDescent="0.2">
      <c r="A1163" s="14" t="s">
        <v>2296</v>
      </c>
      <c r="B1163" s="15" t="s">
        <v>2297</v>
      </c>
      <c r="C1163" s="16">
        <f>50.21/(1+B2)</f>
        <v>50.21</v>
      </c>
      <c r="D1163" s="17" t="s">
        <v>11</v>
      </c>
      <c r="E1163" s="17" t="s">
        <v>14</v>
      </c>
      <c r="F1163" s="18"/>
      <c r="G1163" s="36" t="str">
        <f>IF(ISNUMBER(F1163),C1163*F1163,"")</f>
        <v/>
      </c>
    </row>
    <row r="1164" spans="1:7" ht="12" customHeight="1" outlineLevel="2" x14ac:dyDescent="0.2">
      <c r="A1164" s="14" t="s">
        <v>2298</v>
      </c>
      <c r="B1164" s="15" t="s">
        <v>2299</v>
      </c>
      <c r="C1164" s="16">
        <f>50.21/(1+B2)</f>
        <v>50.21</v>
      </c>
      <c r="D1164" s="17" t="s">
        <v>11</v>
      </c>
      <c r="E1164" s="17"/>
      <c r="F1164" s="18"/>
      <c r="G1164" s="36" t="str">
        <f>IF(ISNUMBER(F1164),C1164*F1164,"")</f>
        <v/>
      </c>
    </row>
    <row r="1165" spans="1:7" ht="12" customHeight="1" outlineLevel="2" x14ac:dyDescent="0.2">
      <c r="A1165" s="14" t="s">
        <v>2300</v>
      </c>
      <c r="B1165" s="15" t="s">
        <v>2301</v>
      </c>
      <c r="C1165" s="16">
        <f>50.21/(1+B2)</f>
        <v>50.21</v>
      </c>
      <c r="D1165" s="17" t="s">
        <v>11</v>
      </c>
      <c r="E1165" s="17" t="s">
        <v>11</v>
      </c>
      <c r="F1165" s="18"/>
      <c r="G1165" s="36" t="str">
        <f>IF(ISNUMBER(F1165),C1165*F1165,"")</f>
        <v/>
      </c>
    </row>
    <row r="1166" spans="1:7" ht="12" customHeight="1" outlineLevel="2" x14ac:dyDescent="0.2">
      <c r="A1166" s="14" t="s">
        <v>2302</v>
      </c>
      <c r="B1166" s="15" t="s">
        <v>2303</v>
      </c>
      <c r="C1166" s="16">
        <f>48.63/(1+B2)</f>
        <v>48.63</v>
      </c>
      <c r="D1166" s="17" t="s">
        <v>11</v>
      </c>
      <c r="E1166" s="17"/>
      <c r="F1166" s="18"/>
      <c r="G1166" s="36" t="str">
        <f>IF(ISNUMBER(F1166),C1166*F1166,"")</f>
        <v/>
      </c>
    </row>
    <row r="1167" spans="1:7" ht="12" customHeight="1" outlineLevel="2" x14ac:dyDescent="0.2">
      <c r="A1167" s="14" t="s">
        <v>2304</v>
      </c>
      <c r="B1167" s="15" t="s">
        <v>2305</v>
      </c>
      <c r="C1167" s="16">
        <f>52.92/(1+B2)</f>
        <v>52.92</v>
      </c>
      <c r="D1167" s="17" t="s">
        <v>11</v>
      </c>
      <c r="E1167" s="17" t="s">
        <v>53</v>
      </c>
      <c r="F1167" s="18"/>
      <c r="G1167" s="36" t="str">
        <f>IF(ISNUMBER(F1167),C1167*F1167,"")</f>
        <v/>
      </c>
    </row>
    <row r="1168" spans="1:7" s="1" customFormat="1" ht="15.95" customHeight="1" outlineLevel="1" x14ac:dyDescent="0.25">
      <c r="A1168" s="11"/>
      <c r="B1168" s="12" t="s">
        <v>2306</v>
      </c>
      <c r="C1168" s="13"/>
      <c r="D1168" s="13"/>
      <c r="E1168" s="13"/>
      <c r="F1168" s="13"/>
      <c r="G1168" s="35"/>
    </row>
    <row r="1169" spans="1:7" ht="12" customHeight="1" outlineLevel="2" x14ac:dyDescent="0.2">
      <c r="A1169" s="14" t="s">
        <v>2307</v>
      </c>
      <c r="B1169" s="15" t="s">
        <v>2308</v>
      </c>
      <c r="C1169" s="16">
        <f>234.85/(1+B2)</f>
        <v>234.85</v>
      </c>
      <c r="D1169" s="17" t="s">
        <v>11</v>
      </c>
      <c r="E1169" s="17" t="s">
        <v>11</v>
      </c>
      <c r="F1169" s="18"/>
      <c r="G1169" s="36" t="str">
        <f>IF(ISNUMBER(F1169),C1169*F1169,"")</f>
        <v/>
      </c>
    </row>
    <row r="1170" spans="1:7" ht="12" customHeight="1" outlineLevel="2" x14ac:dyDescent="0.2">
      <c r="A1170" s="14" t="s">
        <v>2309</v>
      </c>
      <c r="B1170" s="15" t="s">
        <v>2310</v>
      </c>
      <c r="C1170" s="16">
        <f>234.85/(1+B2)</f>
        <v>234.85</v>
      </c>
      <c r="D1170" s="17" t="s">
        <v>11</v>
      </c>
      <c r="E1170" s="17"/>
      <c r="F1170" s="18"/>
      <c r="G1170" s="36" t="str">
        <f>IF(ISNUMBER(F1170),C1170*F1170,"")</f>
        <v/>
      </c>
    </row>
    <row r="1171" spans="1:7" ht="12" customHeight="1" outlineLevel="2" x14ac:dyDescent="0.2">
      <c r="A1171" s="14" t="s">
        <v>2311</v>
      </c>
      <c r="B1171" s="15" t="s">
        <v>2312</v>
      </c>
      <c r="C1171" s="16">
        <f>234.85/(1+B2)</f>
        <v>234.85</v>
      </c>
      <c r="D1171" s="17" t="s">
        <v>11</v>
      </c>
      <c r="E1171" s="17"/>
      <c r="F1171" s="18"/>
      <c r="G1171" s="36" t="str">
        <f>IF(ISNUMBER(F1171),C1171*F1171,"")</f>
        <v/>
      </c>
    </row>
    <row r="1172" spans="1:7" ht="12" customHeight="1" outlineLevel="2" x14ac:dyDescent="0.2">
      <c r="A1172" s="14" t="s">
        <v>2313</v>
      </c>
      <c r="B1172" s="15" t="s">
        <v>2314</v>
      </c>
      <c r="C1172" s="16">
        <f>234.85/(1+B2)</f>
        <v>234.85</v>
      </c>
      <c r="D1172" s="17" t="s">
        <v>11</v>
      </c>
      <c r="E1172" s="17" t="s">
        <v>11</v>
      </c>
      <c r="F1172" s="18"/>
      <c r="G1172" s="36" t="str">
        <f>IF(ISNUMBER(F1172),C1172*F1172,"")</f>
        <v/>
      </c>
    </row>
    <row r="1173" spans="1:7" ht="12" customHeight="1" outlineLevel="2" x14ac:dyDescent="0.2">
      <c r="A1173" s="14" t="s">
        <v>2315</v>
      </c>
      <c r="B1173" s="15" t="s">
        <v>2316</v>
      </c>
      <c r="C1173" s="16">
        <f>226/(1+B2)</f>
        <v>226</v>
      </c>
      <c r="D1173" s="17" t="s">
        <v>11</v>
      </c>
      <c r="E1173" s="17" t="s">
        <v>11</v>
      </c>
      <c r="F1173" s="18"/>
      <c r="G1173" s="36" t="str">
        <f>IF(ISNUMBER(F1173),C1173*F1173,"")</f>
        <v/>
      </c>
    </row>
    <row r="1174" spans="1:7" ht="12" customHeight="1" outlineLevel="2" x14ac:dyDescent="0.2">
      <c r="A1174" s="14" t="s">
        <v>2317</v>
      </c>
      <c r="B1174" s="15" t="s">
        <v>2318</v>
      </c>
      <c r="C1174" s="16">
        <f>234.85/(1+B2)</f>
        <v>234.85</v>
      </c>
      <c r="D1174" s="17" t="s">
        <v>11</v>
      </c>
      <c r="E1174" s="17" t="s">
        <v>14</v>
      </c>
      <c r="F1174" s="18"/>
      <c r="G1174" s="36" t="str">
        <f>IF(ISNUMBER(F1174),C1174*F1174,"")</f>
        <v/>
      </c>
    </row>
    <row r="1175" spans="1:7" ht="12" customHeight="1" outlineLevel="2" x14ac:dyDescent="0.2">
      <c r="A1175" s="14" t="s">
        <v>2319</v>
      </c>
      <c r="B1175" s="15" t="s">
        <v>2320</v>
      </c>
      <c r="C1175" s="16">
        <f>234.85/(1+B2)</f>
        <v>234.85</v>
      </c>
      <c r="D1175" s="17" t="s">
        <v>11</v>
      </c>
      <c r="E1175" s="17"/>
      <c r="F1175" s="18"/>
      <c r="G1175" s="36" t="str">
        <f>IF(ISNUMBER(F1175),C1175*F1175,"")</f>
        <v/>
      </c>
    </row>
    <row r="1176" spans="1:7" ht="12" customHeight="1" outlineLevel="2" x14ac:dyDescent="0.2">
      <c r="A1176" s="14" t="s">
        <v>2321</v>
      </c>
      <c r="B1176" s="15" t="s">
        <v>2322</v>
      </c>
      <c r="C1176" s="16">
        <f>234.85/(1+B2)</f>
        <v>234.85</v>
      </c>
      <c r="D1176" s="17" t="s">
        <v>11</v>
      </c>
      <c r="E1176" s="17" t="s">
        <v>11</v>
      </c>
      <c r="F1176" s="18"/>
      <c r="G1176" s="36" t="str">
        <f>IF(ISNUMBER(F1176),C1176*F1176,"")</f>
        <v/>
      </c>
    </row>
    <row r="1177" spans="1:7" ht="12" customHeight="1" outlineLevel="2" x14ac:dyDescent="0.2">
      <c r="A1177" s="14" t="s">
        <v>2323</v>
      </c>
      <c r="B1177" s="15" t="s">
        <v>2324</v>
      </c>
      <c r="C1177" s="16">
        <f>234.85/(1+B2)</f>
        <v>234.85</v>
      </c>
      <c r="D1177" s="17" t="s">
        <v>11</v>
      </c>
      <c r="E1177" s="17" t="s">
        <v>11</v>
      </c>
      <c r="F1177" s="18"/>
      <c r="G1177" s="36" t="str">
        <f>IF(ISNUMBER(F1177),C1177*F1177,"")</f>
        <v/>
      </c>
    </row>
    <row r="1178" spans="1:7" ht="12" customHeight="1" outlineLevel="2" x14ac:dyDescent="0.2">
      <c r="A1178" s="14" t="s">
        <v>2325</v>
      </c>
      <c r="B1178" s="15" t="s">
        <v>2326</v>
      </c>
      <c r="C1178" s="16">
        <f>234.85/(1+B2)</f>
        <v>234.85</v>
      </c>
      <c r="D1178" s="17" t="s">
        <v>11</v>
      </c>
      <c r="E1178" s="17"/>
      <c r="F1178" s="18"/>
      <c r="G1178" s="36" t="str">
        <f>IF(ISNUMBER(F1178),C1178*F1178,"")</f>
        <v/>
      </c>
    </row>
    <row r="1179" spans="1:7" ht="12" customHeight="1" outlineLevel="2" x14ac:dyDescent="0.2">
      <c r="A1179" s="14" t="s">
        <v>2327</v>
      </c>
      <c r="B1179" s="15" t="s">
        <v>2328</v>
      </c>
      <c r="C1179" s="16">
        <f>234.85/(1+B2)</f>
        <v>234.85</v>
      </c>
      <c r="D1179" s="17" t="s">
        <v>11</v>
      </c>
      <c r="E1179" s="17" t="s">
        <v>11</v>
      </c>
      <c r="F1179" s="18"/>
      <c r="G1179" s="36" t="str">
        <f>IF(ISNUMBER(F1179),C1179*F1179,"")</f>
        <v/>
      </c>
    </row>
    <row r="1180" spans="1:7" ht="12" customHeight="1" outlineLevel="2" x14ac:dyDescent="0.2">
      <c r="A1180" s="14" t="s">
        <v>2329</v>
      </c>
      <c r="B1180" s="15" t="s">
        <v>2330</v>
      </c>
      <c r="C1180" s="16">
        <f>234.85/(1+B2)</f>
        <v>234.85</v>
      </c>
      <c r="D1180" s="17" t="s">
        <v>11</v>
      </c>
      <c r="E1180" s="17" t="s">
        <v>11</v>
      </c>
      <c r="F1180" s="18"/>
      <c r="G1180" s="36" t="str">
        <f>IF(ISNUMBER(F1180),C1180*F1180,"")</f>
        <v/>
      </c>
    </row>
    <row r="1181" spans="1:7" ht="12" customHeight="1" outlineLevel="2" x14ac:dyDescent="0.2">
      <c r="A1181" s="14" t="s">
        <v>2331</v>
      </c>
      <c r="B1181" s="15" t="s">
        <v>2332</v>
      </c>
      <c r="C1181" s="16">
        <f>141.64/(1+B2)</f>
        <v>141.63999999999999</v>
      </c>
      <c r="D1181" s="17" t="s">
        <v>11</v>
      </c>
      <c r="E1181" s="17"/>
      <c r="F1181" s="18"/>
      <c r="G1181" s="36" t="str">
        <f>IF(ISNUMBER(F1181),C1181*F1181,"")</f>
        <v/>
      </c>
    </row>
    <row r="1182" spans="1:7" ht="12" customHeight="1" outlineLevel="2" x14ac:dyDescent="0.2">
      <c r="A1182" s="14" t="s">
        <v>2333</v>
      </c>
      <c r="B1182" s="15" t="s">
        <v>2334</v>
      </c>
      <c r="C1182" s="16">
        <f>141.64/(1+B2)</f>
        <v>141.63999999999999</v>
      </c>
      <c r="D1182" s="17" t="s">
        <v>11</v>
      </c>
      <c r="E1182" s="17"/>
      <c r="F1182" s="18"/>
      <c r="G1182" s="36" t="str">
        <f>IF(ISNUMBER(F1182),C1182*F1182,"")</f>
        <v/>
      </c>
    </row>
    <row r="1183" spans="1:7" ht="12" customHeight="1" outlineLevel="2" x14ac:dyDescent="0.2">
      <c r="A1183" s="14" t="s">
        <v>2335</v>
      </c>
      <c r="B1183" s="15" t="s">
        <v>2336</v>
      </c>
      <c r="C1183" s="16">
        <f>141.64/(1+B2)</f>
        <v>141.63999999999999</v>
      </c>
      <c r="D1183" s="17" t="s">
        <v>11</v>
      </c>
      <c r="E1183" s="17"/>
      <c r="F1183" s="18"/>
      <c r="G1183" s="36" t="str">
        <f>IF(ISNUMBER(F1183),C1183*F1183,"")</f>
        <v/>
      </c>
    </row>
    <row r="1184" spans="1:7" ht="12" customHeight="1" outlineLevel="2" x14ac:dyDescent="0.2">
      <c r="A1184" s="14" t="s">
        <v>2337</v>
      </c>
      <c r="B1184" s="15" t="s">
        <v>2338</v>
      </c>
      <c r="C1184" s="16">
        <f>141.64/(1+B2)</f>
        <v>141.63999999999999</v>
      </c>
      <c r="D1184" s="17" t="s">
        <v>11</v>
      </c>
      <c r="E1184" s="17"/>
      <c r="F1184" s="18"/>
      <c r="G1184" s="36" t="str">
        <f>IF(ISNUMBER(F1184),C1184*F1184,"")</f>
        <v/>
      </c>
    </row>
    <row r="1185" spans="1:7" ht="12" customHeight="1" outlineLevel="2" x14ac:dyDescent="0.2">
      <c r="A1185" s="14" t="s">
        <v>2339</v>
      </c>
      <c r="B1185" s="15" t="s">
        <v>2340</v>
      </c>
      <c r="C1185" s="16">
        <f>190.21/(1+B2)</f>
        <v>190.21</v>
      </c>
      <c r="D1185" s="17" t="s">
        <v>11</v>
      </c>
      <c r="E1185" s="17"/>
      <c r="F1185" s="18"/>
      <c r="G1185" s="36" t="str">
        <f>IF(ISNUMBER(F1185),C1185*F1185,"")</f>
        <v/>
      </c>
    </row>
    <row r="1186" spans="1:7" ht="12" customHeight="1" outlineLevel="2" x14ac:dyDescent="0.2">
      <c r="A1186" s="14" t="s">
        <v>2341</v>
      </c>
      <c r="B1186" s="15" t="s">
        <v>2342</v>
      </c>
      <c r="C1186" s="16">
        <f>190.21/(1+B2)</f>
        <v>190.21</v>
      </c>
      <c r="D1186" s="17" t="s">
        <v>11</v>
      </c>
      <c r="E1186" s="17"/>
      <c r="F1186" s="18"/>
      <c r="G1186" s="36" t="str">
        <f>IF(ISNUMBER(F1186),C1186*F1186,"")</f>
        <v/>
      </c>
    </row>
    <row r="1187" spans="1:7" ht="12" customHeight="1" outlineLevel="2" x14ac:dyDescent="0.2">
      <c r="A1187" s="14" t="s">
        <v>2343</v>
      </c>
      <c r="B1187" s="15" t="s">
        <v>2344</v>
      </c>
      <c r="C1187" s="16">
        <f>190.21/(1+B2)</f>
        <v>190.21</v>
      </c>
      <c r="D1187" s="17" t="s">
        <v>11</v>
      </c>
      <c r="E1187" s="17"/>
      <c r="F1187" s="18"/>
      <c r="G1187" s="36" t="str">
        <f>IF(ISNUMBER(F1187),C1187*F1187,"")</f>
        <v/>
      </c>
    </row>
    <row r="1188" spans="1:7" ht="12" customHeight="1" outlineLevel="2" x14ac:dyDescent="0.2">
      <c r="A1188" s="14" t="s">
        <v>2345</v>
      </c>
      <c r="B1188" s="15" t="s">
        <v>2346</v>
      </c>
      <c r="C1188" s="16">
        <f>190.21/(1+B2)</f>
        <v>190.21</v>
      </c>
      <c r="D1188" s="17" t="s">
        <v>11</v>
      </c>
      <c r="E1188" s="17"/>
      <c r="F1188" s="18"/>
      <c r="G1188" s="36" t="str">
        <f>IF(ISNUMBER(F1188),C1188*F1188,"")</f>
        <v/>
      </c>
    </row>
    <row r="1189" spans="1:7" ht="24" customHeight="1" outlineLevel="2" x14ac:dyDescent="0.2">
      <c r="A1189" s="14" t="s">
        <v>2347</v>
      </c>
      <c r="B1189" s="15" t="s">
        <v>2348</v>
      </c>
      <c r="C1189" s="16">
        <f>190.21/(1+B2)</f>
        <v>190.21</v>
      </c>
      <c r="D1189" s="17" t="s">
        <v>11</v>
      </c>
      <c r="E1189" s="17" t="s">
        <v>11</v>
      </c>
      <c r="F1189" s="18"/>
      <c r="G1189" s="36" t="str">
        <f>IF(ISNUMBER(F1189),C1189*F1189,"")</f>
        <v/>
      </c>
    </row>
    <row r="1190" spans="1:7" ht="12" customHeight="1" outlineLevel="2" x14ac:dyDescent="0.2">
      <c r="A1190" s="14" t="s">
        <v>2349</v>
      </c>
      <c r="B1190" s="15" t="s">
        <v>2350</v>
      </c>
      <c r="C1190" s="16">
        <f>190.21/(1+B2)</f>
        <v>190.21</v>
      </c>
      <c r="D1190" s="17" t="s">
        <v>11</v>
      </c>
      <c r="E1190" s="17" t="s">
        <v>11</v>
      </c>
      <c r="F1190" s="18"/>
      <c r="G1190" s="36" t="str">
        <f>IF(ISNUMBER(F1190),C1190*F1190,"")</f>
        <v/>
      </c>
    </row>
    <row r="1191" spans="1:7" ht="12" customHeight="1" outlineLevel="2" x14ac:dyDescent="0.2">
      <c r="A1191" s="14" t="s">
        <v>2351</v>
      </c>
      <c r="B1191" s="15" t="s">
        <v>2352</v>
      </c>
      <c r="C1191" s="16">
        <f>177.94/(1+B2)</f>
        <v>177.94</v>
      </c>
      <c r="D1191" s="17" t="s">
        <v>11</v>
      </c>
      <c r="E1191" s="17"/>
      <c r="F1191" s="18"/>
      <c r="G1191" s="36" t="str">
        <f>IF(ISNUMBER(F1191),C1191*F1191,"")</f>
        <v/>
      </c>
    </row>
    <row r="1192" spans="1:7" ht="12" customHeight="1" outlineLevel="2" x14ac:dyDescent="0.2">
      <c r="A1192" s="14" t="s">
        <v>2353</v>
      </c>
      <c r="B1192" s="15" t="s">
        <v>2354</v>
      </c>
      <c r="C1192" s="16">
        <f>190.21/(1+B2)</f>
        <v>190.21</v>
      </c>
      <c r="D1192" s="17" t="s">
        <v>11</v>
      </c>
      <c r="E1192" s="17"/>
      <c r="F1192" s="18"/>
      <c r="G1192" s="36" t="str">
        <f>IF(ISNUMBER(F1192),C1192*F1192,"")</f>
        <v/>
      </c>
    </row>
    <row r="1193" spans="1:7" ht="12" customHeight="1" outlineLevel="2" x14ac:dyDescent="0.2">
      <c r="A1193" s="14" t="s">
        <v>2355</v>
      </c>
      <c r="B1193" s="15" t="s">
        <v>2356</v>
      </c>
      <c r="C1193" s="16">
        <f>190.21/(1+B2)</f>
        <v>190.21</v>
      </c>
      <c r="D1193" s="17" t="s">
        <v>11</v>
      </c>
      <c r="E1193" s="17"/>
      <c r="F1193" s="18"/>
      <c r="G1193" s="36" t="str">
        <f>IF(ISNUMBER(F1193),C1193*F1193,"")</f>
        <v/>
      </c>
    </row>
    <row r="1194" spans="1:7" ht="12" customHeight="1" outlineLevel="2" x14ac:dyDescent="0.2">
      <c r="A1194" s="14" t="s">
        <v>2357</v>
      </c>
      <c r="B1194" s="15" t="s">
        <v>2358</v>
      </c>
      <c r="C1194" s="16">
        <f>211.9/(1+B2)</f>
        <v>211.9</v>
      </c>
      <c r="D1194" s="17" t="s">
        <v>11</v>
      </c>
      <c r="E1194" s="17" t="s">
        <v>11</v>
      </c>
      <c r="F1194" s="18"/>
      <c r="G1194" s="36" t="str">
        <f>IF(ISNUMBER(F1194),C1194*F1194,"")</f>
        <v/>
      </c>
    </row>
    <row r="1195" spans="1:7" ht="12" customHeight="1" outlineLevel="2" x14ac:dyDescent="0.2">
      <c r="A1195" s="14" t="s">
        <v>2359</v>
      </c>
      <c r="B1195" s="15" t="s">
        <v>2360</v>
      </c>
      <c r="C1195" s="16">
        <f>211.9/(1+B2)</f>
        <v>211.9</v>
      </c>
      <c r="D1195" s="17" t="s">
        <v>11</v>
      </c>
      <c r="E1195" s="17" t="s">
        <v>11</v>
      </c>
      <c r="F1195" s="18"/>
      <c r="G1195" s="36" t="str">
        <f>IF(ISNUMBER(F1195),C1195*F1195,"")</f>
        <v/>
      </c>
    </row>
    <row r="1196" spans="1:7" ht="12" customHeight="1" outlineLevel="2" x14ac:dyDescent="0.2">
      <c r="A1196" s="14" t="s">
        <v>2361</v>
      </c>
      <c r="B1196" s="15" t="s">
        <v>2362</v>
      </c>
      <c r="C1196" s="16">
        <f>211.9/(1+B2)</f>
        <v>211.9</v>
      </c>
      <c r="D1196" s="17" t="s">
        <v>11</v>
      </c>
      <c r="E1196" s="17"/>
      <c r="F1196" s="18"/>
      <c r="G1196" s="36" t="str">
        <f>IF(ISNUMBER(F1196),C1196*F1196,"")</f>
        <v/>
      </c>
    </row>
    <row r="1197" spans="1:7" ht="12" customHeight="1" outlineLevel="2" x14ac:dyDescent="0.2">
      <c r="A1197" s="14" t="s">
        <v>2363</v>
      </c>
      <c r="B1197" s="15" t="s">
        <v>2364</v>
      </c>
      <c r="C1197" s="16">
        <f>211.9/(1+B2)</f>
        <v>211.9</v>
      </c>
      <c r="D1197" s="17" t="s">
        <v>11</v>
      </c>
      <c r="E1197" s="17"/>
      <c r="F1197" s="18"/>
      <c r="G1197" s="36" t="str">
        <f>IF(ISNUMBER(F1197),C1197*F1197,"")</f>
        <v/>
      </c>
    </row>
    <row r="1198" spans="1:7" ht="12" customHeight="1" outlineLevel="2" x14ac:dyDescent="0.2">
      <c r="A1198" s="14" t="s">
        <v>2365</v>
      </c>
      <c r="B1198" s="15" t="s">
        <v>2366</v>
      </c>
      <c r="C1198" s="16">
        <f>211.9/(1+B2)</f>
        <v>211.9</v>
      </c>
      <c r="D1198" s="17" t="s">
        <v>11</v>
      </c>
      <c r="E1198" s="17"/>
      <c r="F1198" s="18"/>
      <c r="G1198" s="36" t="str">
        <f>IF(ISNUMBER(F1198),C1198*F1198,"")</f>
        <v/>
      </c>
    </row>
    <row r="1199" spans="1:7" ht="12" customHeight="1" outlineLevel="2" x14ac:dyDescent="0.2">
      <c r="A1199" s="14" t="s">
        <v>2367</v>
      </c>
      <c r="B1199" s="15" t="s">
        <v>2368</v>
      </c>
      <c r="C1199" s="16">
        <f>211.9/(1+B2)</f>
        <v>211.9</v>
      </c>
      <c r="D1199" s="17" t="s">
        <v>11</v>
      </c>
      <c r="E1199" s="17" t="s">
        <v>11</v>
      </c>
      <c r="F1199" s="18"/>
      <c r="G1199" s="36" t="str">
        <f>IF(ISNUMBER(F1199),C1199*F1199,"")</f>
        <v/>
      </c>
    </row>
    <row r="1200" spans="1:7" ht="12" customHeight="1" outlineLevel="2" x14ac:dyDescent="0.2">
      <c r="A1200" s="14" t="s">
        <v>2369</v>
      </c>
      <c r="B1200" s="15" t="s">
        <v>2370</v>
      </c>
      <c r="C1200" s="16">
        <f>211.9/(1+B2)</f>
        <v>211.9</v>
      </c>
      <c r="D1200" s="17" t="s">
        <v>11</v>
      </c>
      <c r="E1200" s="17"/>
      <c r="F1200" s="18"/>
      <c r="G1200" s="36" t="str">
        <f>IF(ISNUMBER(F1200),C1200*F1200,"")</f>
        <v/>
      </c>
    </row>
    <row r="1201" spans="1:7" ht="12" customHeight="1" outlineLevel="2" x14ac:dyDescent="0.2">
      <c r="A1201" s="14" t="s">
        <v>2371</v>
      </c>
      <c r="B1201" s="15" t="s">
        <v>2372</v>
      </c>
      <c r="C1201" s="16">
        <f>211.9/(1+B2)</f>
        <v>211.9</v>
      </c>
      <c r="D1201" s="17" t="s">
        <v>11</v>
      </c>
      <c r="E1201" s="17"/>
      <c r="F1201" s="18"/>
      <c r="G1201" s="36" t="str">
        <f>IF(ISNUMBER(F1201),C1201*F1201,"")</f>
        <v/>
      </c>
    </row>
    <row r="1202" spans="1:7" ht="12" customHeight="1" outlineLevel="2" x14ac:dyDescent="0.2">
      <c r="A1202" s="14" t="s">
        <v>2373</v>
      </c>
      <c r="B1202" s="15" t="s">
        <v>2374</v>
      </c>
      <c r="C1202" s="16">
        <f>146.82/(1+B2)</f>
        <v>146.82</v>
      </c>
      <c r="D1202" s="17" t="s">
        <v>11</v>
      </c>
      <c r="E1202" s="17"/>
      <c r="F1202" s="18"/>
      <c r="G1202" s="36" t="str">
        <f>IF(ISNUMBER(F1202),C1202*F1202,"")</f>
        <v/>
      </c>
    </row>
    <row r="1203" spans="1:7" ht="12" customHeight="1" outlineLevel="2" x14ac:dyDescent="0.2">
      <c r="A1203" s="14" t="s">
        <v>2375</v>
      </c>
      <c r="B1203" s="15" t="s">
        <v>2376</v>
      </c>
      <c r="C1203" s="16">
        <f>146.82/(1+B2)</f>
        <v>146.82</v>
      </c>
      <c r="D1203" s="17" t="s">
        <v>11</v>
      </c>
      <c r="E1203" s="17"/>
      <c r="F1203" s="18"/>
      <c r="G1203" s="36" t="str">
        <f>IF(ISNUMBER(F1203),C1203*F1203,"")</f>
        <v/>
      </c>
    </row>
    <row r="1204" spans="1:7" ht="12" customHeight="1" outlineLevel="2" x14ac:dyDescent="0.2">
      <c r="A1204" s="14" t="s">
        <v>2377</v>
      </c>
      <c r="B1204" s="15" t="s">
        <v>2378</v>
      </c>
      <c r="C1204" s="16">
        <f>176.04/(1+B2)</f>
        <v>176.04</v>
      </c>
      <c r="D1204" s="17" t="s">
        <v>11</v>
      </c>
      <c r="E1204" s="17"/>
      <c r="F1204" s="18"/>
      <c r="G1204" s="36" t="str">
        <f>IF(ISNUMBER(F1204),C1204*F1204,"")</f>
        <v/>
      </c>
    </row>
    <row r="1205" spans="1:7" ht="12" customHeight="1" outlineLevel="2" x14ac:dyDescent="0.2">
      <c r="A1205" s="14" t="s">
        <v>2379</v>
      </c>
      <c r="B1205" s="15" t="s">
        <v>2380</v>
      </c>
      <c r="C1205" s="16">
        <f>176.04/(1+B2)</f>
        <v>176.04</v>
      </c>
      <c r="D1205" s="17" t="s">
        <v>11</v>
      </c>
      <c r="E1205" s="17"/>
      <c r="F1205" s="18"/>
      <c r="G1205" s="36" t="str">
        <f>IF(ISNUMBER(F1205),C1205*F1205,"")</f>
        <v/>
      </c>
    </row>
    <row r="1206" spans="1:7" ht="12" customHeight="1" outlineLevel="2" x14ac:dyDescent="0.2">
      <c r="A1206" s="14" t="s">
        <v>2381</v>
      </c>
      <c r="B1206" s="15" t="s">
        <v>2382</v>
      </c>
      <c r="C1206" s="16">
        <f>207.79/(1+B2)</f>
        <v>207.79</v>
      </c>
      <c r="D1206" s="17" t="s">
        <v>11</v>
      </c>
      <c r="E1206" s="17" t="s">
        <v>11</v>
      </c>
      <c r="F1206" s="18"/>
      <c r="G1206" s="36" t="str">
        <f>IF(ISNUMBER(F1206),C1206*F1206,"")</f>
        <v/>
      </c>
    </row>
    <row r="1207" spans="1:7" ht="12" customHeight="1" outlineLevel="2" x14ac:dyDescent="0.2">
      <c r="A1207" s="14" t="s">
        <v>2383</v>
      </c>
      <c r="B1207" s="15" t="s">
        <v>2384</v>
      </c>
      <c r="C1207" s="16">
        <f>207.79/(1+B2)</f>
        <v>207.79</v>
      </c>
      <c r="D1207" s="17" t="s">
        <v>11</v>
      </c>
      <c r="E1207" s="17"/>
      <c r="F1207" s="18"/>
      <c r="G1207" s="36" t="str">
        <f>IF(ISNUMBER(F1207),C1207*F1207,"")</f>
        <v/>
      </c>
    </row>
    <row r="1208" spans="1:7" ht="12" customHeight="1" outlineLevel="2" x14ac:dyDescent="0.2">
      <c r="A1208" s="14" t="s">
        <v>2385</v>
      </c>
      <c r="B1208" s="15" t="s">
        <v>2386</v>
      </c>
      <c r="C1208" s="16">
        <f>207.79/(1+B2)</f>
        <v>207.79</v>
      </c>
      <c r="D1208" s="17" t="s">
        <v>11</v>
      </c>
      <c r="E1208" s="17" t="s">
        <v>11</v>
      </c>
      <c r="F1208" s="18"/>
      <c r="G1208" s="36" t="str">
        <f>IF(ISNUMBER(F1208),C1208*F1208,"")</f>
        <v/>
      </c>
    </row>
    <row r="1209" spans="1:7" ht="12" customHeight="1" outlineLevel="2" x14ac:dyDescent="0.2">
      <c r="A1209" s="14" t="s">
        <v>2387</v>
      </c>
      <c r="B1209" s="15" t="s">
        <v>2388</v>
      </c>
      <c r="C1209" s="16">
        <f>207.79/(1+B2)</f>
        <v>207.79</v>
      </c>
      <c r="D1209" s="17" t="s">
        <v>11</v>
      </c>
      <c r="E1209" s="17" t="s">
        <v>11</v>
      </c>
      <c r="F1209" s="18"/>
      <c r="G1209" s="36" t="str">
        <f>IF(ISNUMBER(F1209),C1209*F1209,"")</f>
        <v/>
      </c>
    </row>
    <row r="1210" spans="1:7" ht="12" customHeight="1" outlineLevel="2" x14ac:dyDescent="0.2">
      <c r="A1210" s="14" t="s">
        <v>2389</v>
      </c>
      <c r="B1210" s="15" t="s">
        <v>2390</v>
      </c>
      <c r="C1210" s="16">
        <f>207.79/(1+B2)</f>
        <v>207.79</v>
      </c>
      <c r="D1210" s="17" t="s">
        <v>11</v>
      </c>
      <c r="E1210" s="17" t="s">
        <v>11</v>
      </c>
      <c r="F1210" s="18"/>
      <c r="G1210" s="36" t="str">
        <f>IF(ISNUMBER(F1210),C1210*F1210,"")</f>
        <v/>
      </c>
    </row>
    <row r="1211" spans="1:7" ht="12" customHeight="1" outlineLevel="2" x14ac:dyDescent="0.2">
      <c r="A1211" s="14" t="s">
        <v>2391</v>
      </c>
      <c r="B1211" s="15" t="s">
        <v>2392</v>
      </c>
      <c r="C1211" s="16">
        <f>207.79/(1+B2)</f>
        <v>207.79</v>
      </c>
      <c r="D1211" s="17" t="s">
        <v>11</v>
      </c>
      <c r="E1211" s="17" t="s">
        <v>11</v>
      </c>
      <c r="F1211" s="18"/>
      <c r="G1211" s="36" t="str">
        <f>IF(ISNUMBER(F1211),C1211*F1211,"")</f>
        <v/>
      </c>
    </row>
    <row r="1212" spans="1:7" ht="12" customHeight="1" outlineLevel="2" x14ac:dyDescent="0.2">
      <c r="A1212" s="14" t="s">
        <v>2393</v>
      </c>
      <c r="B1212" s="15" t="s">
        <v>2394</v>
      </c>
      <c r="C1212" s="16">
        <f>207.79/(1+B2)</f>
        <v>207.79</v>
      </c>
      <c r="D1212" s="17" t="s">
        <v>11</v>
      </c>
      <c r="E1212" s="17"/>
      <c r="F1212" s="18"/>
      <c r="G1212" s="36" t="str">
        <f>IF(ISNUMBER(F1212),C1212*F1212,"")</f>
        <v/>
      </c>
    </row>
    <row r="1213" spans="1:7" ht="12" customHeight="1" outlineLevel="2" x14ac:dyDescent="0.2">
      <c r="A1213" s="14" t="s">
        <v>2395</v>
      </c>
      <c r="B1213" s="15" t="s">
        <v>2396</v>
      </c>
      <c r="C1213" s="16">
        <f>207.79/(1+B2)</f>
        <v>207.79</v>
      </c>
      <c r="D1213" s="17" t="s">
        <v>11</v>
      </c>
      <c r="E1213" s="17" t="s">
        <v>11</v>
      </c>
      <c r="F1213" s="18"/>
      <c r="G1213" s="36" t="str">
        <f>IF(ISNUMBER(F1213),C1213*F1213,"")</f>
        <v/>
      </c>
    </row>
    <row r="1214" spans="1:7" ht="12" customHeight="1" outlineLevel="2" x14ac:dyDescent="0.2">
      <c r="A1214" s="14" t="s">
        <v>2397</v>
      </c>
      <c r="B1214" s="15" t="s">
        <v>2398</v>
      </c>
      <c r="C1214" s="16">
        <f>207.79/(1+B2)</f>
        <v>207.79</v>
      </c>
      <c r="D1214" s="17" t="s">
        <v>11</v>
      </c>
      <c r="E1214" s="17"/>
      <c r="F1214" s="18"/>
      <c r="G1214" s="36" t="str">
        <f>IF(ISNUMBER(F1214),C1214*F1214,"")</f>
        <v/>
      </c>
    </row>
    <row r="1215" spans="1:7" ht="12" customHeight="1" outlineLevel="2" x14ac:dyDescent="0.2">
      <c r="A1215" s="14" t="s">
        <v>2399</v>
      </c>
      <c r="B1215" s="15" t="s">
        <v>2400</v>
      </c>
      <c r="C1215" s="16">
        <f>207.29/(1+B2)</f>
        <v>207.29</v>
      </c>
      <c r="D1215" s="17" t="s">
        <v>11</v>
      </c>
      <c r="E1215" s="17"/>
      <c r="F1215" s="18"/>
      <c r="G1215" s="36" t="str">
        <f>IF(ISNUMBER(F1215),C1215*F1215,"")</f>
        <v/>
      </c>
    </row>
    <row r="1216" spans="1:7" ht="12" customHeight="1" outlineLevel="2" x14ac:dyDescent="0.2">
      <c r="A1216" s="14" t="s">
        <v>2401</v>
      </c>
      <c r="B1216" s="15" t="s">
        <v>2402</v>
      </c>
      <c r="C1216" s="16">
        <f>207.79/(1+B2)</f>
        <v>207.79</v>
      </c>
      <c r="D1216" s="17" t="s">
        <v>11</v>
      </c>
      <c r="E1216" s="17" t="s">
        <v>11</v>
      </c>
      <c r="F1216" s="18"/>
      <c r="G1216" s="36" t="str">
        <f>IF(ISNUMBER(F1216),C1216*F1216,"")</f>
        <v/>
      </c>
    </row>
    <row r="1217" spans="1:7" ht="12" customHeight="1" outlineLevel="2" x14ac:dyDescent="0.2">
      <c r="A1217" s="14" t="s">
        <v>2403</v>
      </c>
      <c r="B1217" s="15" t="s">
        <v>2404</v>
      </c>
      <c r="C1217" s="16">
        <f>207.79/(1+B2)</f>
        <v>207.79</v>
      </c>
      <c r="D1217" s="17" t="s">
        <v>11</v>
      </c>
      <c r="E1217" s="17" t="s">
        <v>11</v>
      </c>
      <c r="F1217" s="18"/>
      <c r="G1217" s="36" t="str">
        <f>IF(ISNUMBER(F1217),C1217*F1217,"")</f>
        <v/>
      </c>
    </row>
    <row r="1218" spans="1:7" ht="24" customHeight="1" outlineLevel="2" x14ac:dyDescent="0.2">
      <c r="A1218" s="14" t="s">
        <v>2405</v>
      </c>
      <c r="B1218" s="15" t="s">
        <v>2406</v>
      </c>
      <c r="C1218" s="16">
        <f>207.79/(1+B2)</f>
        <v>207.79</v>
      </c>
      <c r="D1218" s="17" t="s">
        <v>11</v>
      </c>
      <c r="E1218" s="17"/>
      <c r="F1218" s="18"/>
      <c r="G1218" s="36" t="str">
        <f>IF(ISNUMBER(F1218),C1218*F1218,"")</f>
        <v/>
      </c>
    </row>
    <row r="1219" spans="1:7" ht="12" customHeight="1" outlineLevel="2" x14ac:dyDescent="0.2">
      <c r="A1219" s="14" t="s">
        <v>2407</v>
      </c>
      <c r="B1219" s="15" t="s">
        <v>2408</v>
      </c>
      <c r="C1219" s="16">
        <f>207.79/(1+B2)</f>
        <v>207.79</v>
      </c>
      <c r="D1219" s="17" t="s">
        <v>11</v>
      </c>
      <c r="E1219" s="17" t="s">
        <v>11</v>
      </c>
      <c r="F1219" s="18"/>
      <c r="G1219" s="36" t="str">
        <f>IF(ISNUMBER(F1219),C1219*F1219,"")</f>
        <v/>
      </c>
    </row>
    <row r="1220" spans="1:7" ht="24" customHeight="1" outlineLevel="2" x14ac:dyDescent="0.2">
      <c r="A1220" s="14" t="s">
        <v>2409</v>
      </c>
      <c r="B1220" s="15" t="s">
        <v>2410</v>
      </c>
      <c r="C1220" s="16">
        <f>207.79/(1+B2)</f>
        <v>207.79</v>
      </c>
      <c r="D1220" s="17" t="s">
        <v>11</v>
      </c>
      <c r="E1220" s="17"/>
      <c r="F1220" s="18"/>
      <c r="G1220" s="36" t="str">
        <f>IF(ISNUMBER(F1220),C1220*F1220,"")</f>
        <v/>
      </c>
    </row>
    <row r="1221" spans="1:7" ht="12" customHeight="1" outlineLevel="2" x14ac:dyDescent="0.2">
      <c r="A1221" s="14" t="s">
        <v>2411</v>
      </c>
      <c r="B1221" s="15" t="s">
        <v>2412</v>
      </c>
      <c r="C1221" s="16">
        <f>207.79/(1+B2)</f>
        <v>207.79</v>
      </c>
      <c r="D1221" s="17" t="s">
        <v>11</v>
      </c>
      <c r="E1221" s="17"/>
      <c r="F1221" s="18"/>
      <c r="G1221" s="36" t="str">
        <f>IF(ISNUMBER(F1221),C1221*F1221,"")</f>
        <v/>
      </c>
    </row>
    <row r="1222" spans="1:7" ht="24" customHeight="1" outlineLevel="2" x14ac:dyDescent="0.2">
      <c r="A1222" s="14" t="s">
        <v>2413</v>
      </c>
      <c r="B1222" s="15" t="s">
        <v>2414</v>
      </c>
      <c r="C1222" s="16">
        <f>207.79/(1+B2)</f>
        <v>207.79</v>
      </c>
      <c r="D1222" s="17" t="s">
        <v>11</v>
      </c>
      <c r="E1222" s="17"/>
      <c r="F1222" s="18"/>
      <c r="G1222" s="36" t="str">
        <f>IF(ISNUMBER(F1222),C1222*F1222,"")</f>
        <v/>
      </c>
    </row>
    <row r="1223" spans="1:7" ht="24" customHeight="1" outlineLevel="2" x14ac:dyDescent="0.2">
      <c r="A1223" s="14" t="s">
        <v>2415</v>
      </c>
      <c r="B1223" s="15" t="s">
        <v>2416</v>
      </c>
      <c r="C1223" s="16">
        <f>207.79/(1+B2)</f>
        <v>207.79</v>
      </c>
      <c r="D1223" s="17" t="s">
        <v>11</v>
      </c>
      <c r="E1223" s="17" t="s">
        <v>11</v>
      </c>
      <c r="F1223" s="18"/>
      <c r="G1223" s="36" t="str">
        <f>IF(ISNUMBER(F1223),C1223*F1223,"")</f>
        <v/>
      </c>
    </row>
    <row r="1224" spans="1:7" ht="12" customHeight="1" outlineLevel="2" x14ac:dyDescent="0.2">
      <c r="A1224" s="14" t="s">
        <v>2417</v>
      </c>
      <c r="B1224" s="15" t="s">
        <v>2418</v>
      </c>
      <c r="C1224" s="16">
        <f>141.64/(1+B2)</f>
        <v>141.63999999999999</v>
      </c>
      <c r="D1224" s="17" t="s">
        <v>11</v>
      </c>
      <c r="E1224" s="17"/>
      <c r="F1224" s="18"/>
      <c r="G1224" s="36" t="str">
        <f>IF(ISNUMBER(F1224),C1224*F1224,"")</f>
        <v/>
      </c>
    </row>
    <row r="1225" spans="1:7" ht="12" customHeight="1" outlineLevel="2" x14ac:dyDescent="0.2">
      <c r="A1225" s="14" t="s">
        <v>2419</v>
      </c>
      <c r="B1225" s="15" t="s">
        <v>2420</v>
      </c>
      <c r="C1225" s="16">
        <f>141.64/(1+B2)</f>
        <v>141.63999999999999</v>
      </c>
      <c r="D1225" s="17" t="s">
        <v>11</v>
      </c>
      <c r="E1225" s="17"/>
      <c r="F1225" s="18"/>
      <c r="G1225" s="36" t="str">
        <f>IF(ISNUMBER(F1225),C1225*F1225,"")</f>
        <v/>
      </c>
    </row>
    <row r="1226" spans="1:7" ht="12" customHeight="1" outlineLevel="2" x14ac:dyDescent="0.2">
      <c r="A1226" s="14" t="s">
        <v>2421</v>
      </c>
      <c r="B1226" s="15" t="s">
        <v>2422</v>
      </c>
      <c r="C1226" s="16">
        <f>141.64/(1+B2)</f>
        <v>141.63999999999999</v>
      </c>
      <c r="D1226" s="17" t="s">
        <v>11</v>
      </c>
      <c r="E1226" s="17"/>
      <c r="F1226" s="18"/>
      <c r="G1226" s="36" t="str">
        <f>IF(ISNUMBER(F1226),C1226*F1226,"")</f>
        <v/>
      </c>
    </row>
    <row r="1227" spans="1:7" ht="12" customHeight="1" outlineLevel="2" x14ac:dyDescent="0.2">
      <c r="A1227" s="14" t="s">
        <v>2423</v>
      </c>
      <c r="B1227" s="15" t="s">
        <v>2424</v>
      </c>
      <c r="C1227" s="16">
        <f>141.64/(1+B2)</f>
        <v>141.63999999999999</v>
      </c>
      <c r="D1227" s="17" t="s">
        <v>11</v>
      </c>
      <c r="E1227" s="17"/>
      <c r="F1227" s="18"/>
      <c r="G1227" s="36" t="str">
        <f>IF(ISNUMBER(F1227),C1227*F1227,"")</f>
        <v/>
      </c>
    </row>
    <row r="1228" spans="1:7" ht="24" customHeight="1" outlineLevel="2" x14ac:dyDescent="0.2">
      <c r="A1228" s="14" t="s">
        <v>2425</v>
      </c>
      <c r="B1228" s="15" t="s">
        <v>2426</v>
      </c>
      <c r="C1228" s="16">
        <f>113.82/(1+B2)</f>
        <v>113.82</v>
      </c>
      <c r="D1228" s="17" t="s">
        <v>11</v>
      </c>
      <c r="E1228" s="17"/>
      <c r="F1228" s="18"/>
      <c r="G1228" s="36" t="str">
        <f>IF(ISNUMBER(F1228),C1228*F1228,"")</f>
        <v/>
      </c>
    </row>
    <row r="1229" spans="1:7" ht="12" customHeight="1" outlineLevel="2" x14ac:dyDescent="0.2">
      <c r="A1229" s="14" t="s">
        <v>2427</v>
      </c>
      <c r="B1229" s="15" t="s">
        <v>2428</v>
      </c>
      <c r="C1229" s="16">
        <f>113.82/(1+B2)</f>
        <v>113.82</v>
      </c>
      <c r="D1229" s="17" t="s">
        <v>11</v>
      </c>
      <c r="E1229" s="17"/>
      <c r="F1229" s="18"/>
      <c r="G1229" s="36" t="str">
        <f>IF(ISNUMBER(F1229),C1229*F1229,"")</f>
        <v/>
      </c>
    </row>
    <row r="1230" spans="1:7" ht="12" customHeight="1" outlineLevel="2" x14ac:dyDescent="0.2">
      <c r="A1230" s="14" t="s">
        <v>2429</v>
      </c>
      <c r="B1230" s="15" t="s">
        <v>2430</v>
      </c>
      <c r="C1230" s="16">
        <f>230.3/(1+B2)</f>
        <v>230.3</v>
      </c>
      <c r="D1230" s="17" t="s">
        <v>11</v>
      </c>
      <c r="E1230" s="17"/>
      <c r="F1230" s="18"/>
      <c r="G1230" s="36" t="str">
        <f>IF(ISNUMBER(F1230),C1230*F1230,"")</f>
        <v/>
      </c>
    </row>
    <row r="1231" spans="1:7" ht="12" customHeight="1" outlineLevel="2" x14ac:dyDescent="0.2">
      <c r="A1231" s="14" t="s">
        <v>2431</v>
      </c>
      <c r="B1231" s="15" t="s">
        <v>2432</v>
      </c>
      <c r="C1231" s="16">
        <f>230.3/(1+B2)</f>
        <v>230.3</v>
      </c>
      <c r="D1231" s="17" t="s">
        <v>11</v>
      </c>
      <c r="E1231" s="17"/>
      <c r="F1231" s="18"/>
      <c r="G1231" s="36" t="str">
        <f>IF(ISNUMBER(F1231),C1231*F1231,"")</f>
        <v/>
      </c>
    </row>
    <row r="1232" spans="1:7" ht="12" customHeight="1" outlineLevel="2" x14ac:dyDescent="0.2">
      <c r="A1232" s="14" t="s">
        <v>2433</v>
      </c>
      <c r="B1232" s="15" t="s">
        <v>2434</v>
      </c>
      <c r="C1232" s="16">
        <f>230.3/(1+B2)</f>
        <v>230.3</v>
      </c>
      <c r="D1232" s="17" t="s">
        <v>11</v>
      </c>
      <c r="E1232" s="17"/>
      <c r="F1232" s="18"/>
      <c r="G1232" s="36" t="str">
        <f>IF(ISNUMBER(F1232),C1232*F1232,"")</f>
        <v/>
      </c>
    </row>
    <row r="1233" spans="1:7" ht="12" customHeight="1" outlineLevel="2" x14ac:dyDescent="0.2">
      <c r="A1233" s="14" t="s">
        <v>2435</v>
      </c>
      <c r="B1233" s="15" t="s">
        <v>2436</v>
      </c>
      <c r="C1233" s="16">
        <f>230.3/(1+B2)</f>
        <v>230.3</v>
      </c>
      <c r="D1233" s="17" t="s">
        <v>11</v>
      </c>
      <c r="E1233" s="17"/>
      <c r="F1233" s="18"/>
      <c r="G1233" s="36" t="str">
        <f>IF(ISNUMBER(F1233),C1233*F1233,"")</f>
        <v/>
      </c>
    </row>
    <row r="1234" spans="1:7" ht="12" customHeight="1" outlineLevel="2" x14ac:dyDescent="0.2">
      <c r="A1234" s="14" t="s">
        <v>2437</v>
      </c>
      <c r="B1234" s="15" t="s">
        <v>2438</v>
      </c>
      <c r="C1234" s="16">
        <f>230.3/(1+B2)</f>
        <v>230.3</v>
      </c>
      <c r="D1234" s="17" t="s">
        <v>11</v>
      </c>
      <c r="E1234" s="17"/>
      <c r="F1234" s="18"/>
      <c r="G1234" s="36" t="str">
        <f>IF(ISNUMBER(F1234),C1234*F1234,"")</f>
        <v/>
      </c>
    </row>
    <row r="1235" spans="1:7" ht="12" customHeight="1" outlineLevel="2" x14ac:dyDescent="0.2">
      <c r="A1235" s="14" t="s">
        <v>2439</v>
      </c>
      <c r="B1235" s="15" t="s">
        <v>2440</v>
      </c>
      <c r="C1235" s="16">
        <f>230.3/(1+B2)</f>
        <v>230.3</v>
      </c>
      <c r="D1235" s="17" t="s">
        <v>11</v>
      </c>
      <c r="E1235" s="17"/>
      <c r="F1235" s="18"/>
      <c r="G1235" s="36" t="str">
        <f>IF(ISNUMBER(F1235),C1235*F1235,"")</f>
        <v/>
      </c>
    </row>
    <row r="1236" spans="1:7" ht="12" customHeight="1" outlineLevel="2" x14ac:dyDescent="0.2">
      <c r="A1236" s="14" t="s">
        <v>2441</v>
      </c>
      <c r="B1236" s="15" t="s">
        <v>2442</v>
      </c>
      <c r="C1236" s="16">
        <f>230.3/(1+B2)</f>
        <v>230.3</v>
      </c>
      <c r="D1236" s="17" t="s">
        <v>11</v>
      </c>
      <c r="E1236" s="17"/>
      <c r="F1236" s="18"/>
      <c r="G1236" s="36" t="str">
        <f>IF(ISNUMBER(F1236),C1236*F1236,"")</f>
        <v/>
      </c>
    </row>
    <row r="1237" spans="1:7" ht="12" customHeight="1" outlineLevel="2" x14ac:dyDescent="0.2">
      <c r="A1237" s="14" t="s">
        <v>2443</v>
      </c>
      <c r="B1237" s="15" t="s">
        <v>2444</v>
      </c>
      <c r="C1237" s="16">
        <f>251.32/(1+B2)</f>
        <v>251.32</v>
      </c>
      <c r="D1237" s="17" t="s">
        <v>11</v>
      </c>
      <c r="E1237" s="17"/>
      <c r="F1237" s="18"/>
      <c r="G1237" s="36" t="str">
        <f>IF(ISNUMBER(F1237),C1237*F1237,"")</f>
        <v/>
      </c>
    </row>
    <row r="1238" spans="1:7" ht="12" customHeight="1" outlineLevel="2" x14ac:dyDescent="0.2">
      <c r="A1238" s="14" t="s">
        <v>2445</v>
      </c>
      <c r="B1238" s="15" t="s">
        <v>2446</v>
      </c>
      <c r="C1238" s="16">
        <f>251.32/(1+B2)</f>
        <v>251.32</v>
      </c>
      <c r="D1238" s="17" t="s">
        <v>11</v>
      </c>
      <c r="E1238" s="17"/>
      <c r="F1238" s="18"/>
      <c r="G1238" s="36" t="str">
        <f>IF(ISNUMBER(F1238),C1238*F1238,"")</f>
        <v/>
      </c>
    </row>
    <row r="1239" spans="1:7" ht="12" customHeight="1" outlineLevel="2" x14ac:dyDescent="0.2">
      <c r="A1239" s="14" t="s">
        <v>2447</v>
      </c>
      <c r="B1239" s="15" t="s">
        <v>2448</v>
      </c>
      <c r="C1239" s="16">
        <f>251.32/(1+B2)</f>
        <v>251.32</v>
      </c>
      <c r="D1239" s="17" t="s">
        <v>11</v>
      </c>
      <c r="E1239" s="17"/>
      <c r="F1239" s="18"/>
      <c r="G1239" s="36" t="str">
        <f>IF(ISNUMBER(F1239),C1239*F1239,"")</f>
        <v/>
      </c>
    </row>
    <row r="1240" spans="1:7" ht="12" customHeight="1" outlineLevel="2" x14ac:dyDescent="0.2">
      <c r="A1240" s="14" t="s">
        <v>2449</v>
      </c>
      <c r="B1240" s="15" t="s">
        <v>2450</v>
      </c>
      <c r="C1240" s="16">
        <f>251.32/(1+B2)</f>
        <v>251.32</v>
      </c>
      <c r="D1240" s="17" t="s">
        <v>11</v>
      </c>
      <c r="E1240" s="17"/>
      <c r="F1240" s="18"/>
      <c r="G1240" s="36" t="str">
        <f>IF(ISNUMBER(F1240),C1240*F1240,"")</f>
        <v/>
      </c>
    </row>
    <row r="1241" spans="1:7" ht="12" customHeight="1" outlineLevel="2" x14ac:dyDescent="0.2">
      <c r="A1241" s="14" t="s">
        <v>2451</v>
      </c>
      <c r="B1241" s="15" t="s">
        <v>2452</v>
      </c>
      <c r="C1241" s="16">
        <f>251.32/(1+B2)</f>
        <v>251.32</v>
      </c>
      <c r="D1241" s="17" t="s">
        <v>11</v>
      </c>
      <c r="E1241" s="17"/>
      <c r="F1241" s="18"/>
      <c r="G1241" s="36" t="str">
        <f>IF(ISNUMBER(F1241),C1241*F1241,"")</f>
        <v/>
      </c>
    </row>
    <row r="1242" spans="1:7" ht="12" customHeight="1" outlineLevel="2" x14ac:dyDescent="0.2">
      <c r="A1242" s="14" t="s">
        <v>2453</v>
      </c>
      <c r="B1242" s="15" t="s">
        <v>2454</v>
      </c>
      <c r="C1242" s="16">
        <f>251.32/(1+B2)</f>
        <v>251.32</v>
      </c>
      <c r="D1242" s="17" t="s">
        <v>11</v>
      </c>
      <c r="E1242" s="17"/>
      <c r="F1242" s="18"/>
      <c r="G1242" s="36" t="str">
        <f>IF(ISNUMBER(F1242),C1242*F1242,"")</f>
        <v/>
      </c>
    </row>
    <row r="1243" spans="1:7" ht="12" customHeight="1" outlineLevel="2" x14ac:dyDescent="0.2">
      <c r="A1243" s="14" t="s">
        <v>2455</v>
      </c>
      <c r="B1243" s="15" t="s">
        <v>2456</v>
      </c>
      <c r="C1243" s="16">
        <f>225.64/(1+B2)</f>
        <v>225.64</v>
      </c>
      <c r="D1243" s="17" t="s">
        <v>11</v>
      </c>
      <c r="E1243" s="17"/>
      <c r="F1243" s="18"/>
      <c r="G1243" s="36" t="str">
        <f>IF(ISNUMBER(F1243),C1243*F1243,"")</f>
        <v/>
      </c>
    </row>
    <row r="1244" spans="1:7" ht="12" customHeight="1" outlineLevel="2" x14ac:dyDescent="0.2">
      <c r="A1244" s="14" t="s">
        <v>2457</v>
      </c>
      <c r="B1244" s="15" t="s">
        <v>2458</v>
      </c>
      <c r="C1244" s="16">
        <f>225.64/(1+B2)</f>
        <v>225.64</v>
      </c>
      <c r="D1244" s="17" t="s">
        <v>11</v>
      </c>
      <c r="E1244" s="17"/>
      <c r="F1244" s="18"/>
      <c r="G1244" s="36" t="str">
        <f>IF(ISNUMBER(F1244),C1244*F1244,"")</f>
        <v/>
      </c>
    </row>
    <row r="1245" spans="1:7" ht="12" customHeight="1" outlineLevel="2" x14ac:dyDescent="0.2">
      <c r="A1245" s="14" t="s">
        <v>2459</v>
      </c>
      <c r="B1245" s="15" t="s">
        <v>2460</v>
      </c>
      <c r="C1245" s="16">
        <f>225.64/(1+B2)</f>
        <v>225.64</v>
      </c>
      <c r="D1245" s="17" t="s">
        <v>11</v>
      </c>
      <c r="E1245" s="17" t="s">
        <v>11</v>
      </c>
      <c r="F1245" s="18"/>
      <c r="G1245" s="36" t="str">
        <f>IF(ISNUMBER(F1245),C1245*F1245,"")</f>
        <v/>
      </c>
    </row>
    <row r="1246" spans="1:7" ht="12" customHeight="1" outlineLevel="2" x14ac:dyDescent="0.2">
      <c r="A1246" s="14" t="s">
        <v>2461</v>
      </c>
      <c r="B1246" s="15" t="s">
        <v>2462</v>
      </c>
      <c r="C1246" s="16">
        <f>225.64/(1+B2)</f>
        <v>225.64</v>
      </c>
      <c r="D1246" s="17" t="s">
        <v>11</v>
      </c>
      <c r="E1246" s="17" t="s">
        <v>11</v>
      </c>
      <c r="F1246" s="18"/>
      <c r="G1246" s="36" t="str">
        <f>IF(ISNUMBER(F1246),C1246*F1246,"")</f>
        <v/>
      </c>
    </row>
    <row r="1247" spans="1:7" ht="12" customHeight="1" outlineLevel="2" x14ac:dyDescent="0.2">
      <c r="A1247" s="14" t="s">
        <v>2463</v>
      </c>
      <c r="B1247" s="15" t="s">
        <v>2464</v>
      </c>
      <c r="C1247" s="16">
        <f>225.64/(1+B2)</f>
        <v>225.64</v>
      </c>
      <c r="D1247" s="17" t="s">
        <v>11</v>
      </c>
      <c r="E1247" s="17" t="s">
        <v>11</v>
      </c>
      <c r="F1247" s="18"/>
      <c r="G1247" s="36" t="str">
        <f>IF(ISNUMBER(F1247),C1247*F1247,"")</f>
        <v/>
      </c>
    </row>
    <row r="1248" spans="1:7" ht="12" customHeight="1" outlineLevel="2" x14ac:dyDescent="0.2">
      <c r="A1248" s="14" t="s">
        <v>2465</v>
      </c>
      <c r="B1248" s="15" t="s">
        <v>2466</v>
      </c>
      <c r="C1248" s="16">
        <f>225.64/(1+B2)</f>
        <v>225.64</v>
      </c>
      <c r="D1248" s="17" t="s">
        <v>11</v>
      </c>
      <c r="E1248" s="17"/>
      <c r="F1248" s="18"/>
      <c r="G1248" s="36" t="str">
        <f>IF(ISNUMBER(F1248),C1248*F1248,"")</f>
        <v/>
      </c>
    </row>
    <row r="1249" spans="1:7" ht="12" customHeight="1" outlineLevel="2" x14ac:dyDescent="0.2">
      <c r="A1249" s="14" t="s">
        <v>2467</v>
      </c>
      <c r="B1249" s="15" t="s">
        <v>2468</v>
      </c>
      <c r="C1249" s="16">
        <f>225.64/(1+B2)</f>
        <v>225.64</v>
      </c>
      <c r="D1249" s="17" t="s">
        <v>11</v>
      </c>
      <c r="E1249" s="17"/>
      <c r="F1249" s="18"/>
      <c r="G1249" s="36" t="str">
        <f>IF(ISNUMBER(F1249),C1249*F1249,"")</f>
        <v/>
      </c>
    </row>
    <row r="1250" spans="1:7" ht="12" customHeight="1" outlineLevel="2" x14ac:dyDescent="0.2">
      <c r="A1250" s="14" t="s">
        <v>2469</v>
      </c>
      <c r="B1250" s="15" t="s">
        <v>2470</v>
      </c>
      <c r="C1250" s="16">
        <f>225.64/(1+B2)</f>
        <v>225.64</v>
      </c>
      <c r="D1250" s="17" t="s">
        <v>11</v>
      </c>
      <c r="E1250" s="17" t="s">
        <v>11</v>
      </c>
      <c r="F1250" s="18"/>
      <c r="G1250" s="36" t="str">
        <f>IF(ISNUMBER(F1250),C1250*F1250,"")</f>
        <v/>
      </c>
    </row>
    <row r="1251" spans="1:7" ht="12" customHeight="1" outlineLevel="2" x14ac:dyDescent="0.2">
      <c r="A1251" s="14" t="s">
        <v>2471</v>
      </c>
      <c r="B1251" s="15" t="s">
        <v>2472</v>
      </c>
      <c r="C1251" s="16">
        <f>225.64/(1+B2)</f>
        <v>225.64</v>
      </c>
      <c r="D1251" s="17" t="s">
        <v>11</v>
      </c>
      <c r="E1251" s="17" t="s">
        <v>11</v>
      </c>
      <c r="F1251" s="18"/>
      <c r="G1251" s="36" t="str">
        <f>IF(ISNUMBER(F1251),C1251*F1251,"")</f>
        <v/>
      </c>
    </row>
    <row r="1252" spans="1:7" ht="12" customHeight="1" outlineLevel="2" x14ac:dyDescent="0.2">
      <c r="A1252" s="14" t="s">
        <v>2473</v>
      </c>
      <c r="B1252" s="15" t="s">
        <v>2474</v>
      </c>
      <c r="C1252" s="16">
        <f>252.44/(1+B2)</f>
        <v>252.44</v>
      </c>
      <c r="D1252" s="17" t="s">
        <v>11</v>
      </c>
      <c r="E1252" s="17"/>
      <c r="F1252" s="18"/>
      <c r="G1252" s="36" t="str">
        <f>IF(ISNUMBER(F1252),C1252*F1252,"")</f>
        <v/>
      </c>
    </row>
    <row r="1253" spans="1:7" ht="12" customHeight="1" outlineLevel="2" x14ac:dyDescent="0.2">
      <c r="A1253" s="14" t="s">
        <v>2475</v>
      </c>
      <c r="B1253" s="15" t="s">
        <v>2476</v>
      </c>
      <c r="C1253" s="16">
        <f>252.44/(1+B2)</f>
        <v>252.44</v>
      </c>
      <c r="D1253" s="17" t="s">
        <v>11</v>
      </c>
      <c r="E1253" s="17" t="s">
        <v>11</v>
      </c>
      <c r="F1253" s="18"/>
      <c r="G1253" s="36" t="str">
        <f>IF(ISNUMBER(F1253),C1253*F1253,"")</f>
        <v/>
      </c>
    </row>
    <row r="1254" spans="1:7" ht="12" customHeight="1" outlineLevel="2" x14ac:dyDescent="0.2">
      <c r="A1254" s="14" t="s">
        <v>2477</v>
      </c>
      <c r="B1254" s="15" t="s">
        <v>2478</v>
      </c>
      <c r="C1254" s="16">
        <f>252.44/(1+B2)</f>
        <v>252.44</v>
      </c>
      <c r="D1254" s="17" t="s">
        <v>11</v>
      </c>
      <c r="E1254" s="17" t="s">
        <v>11</v>
      </c>
      <c r="F1254" s="18"/>
      <c r="G1254" s="36" t="str">
        <f>IF(ISNUMBER(F1254),C1254*F1254,"")</f>
        <v/>
      </c>
    </row>
    <row r="1255" spans="1:7" ht="12" customHeight="1" outlineLevel="2" x14ac:dyDescent="0.2">
      <c r="A1255" s="14" t="s">
        <v>2479</v>
      </c>
      <c r="B1255" s="15" t="s">
        <v>2480</v>
      </c>
      <c r="C1255" s="16">
        <f>252.44/(1+B2)</f>
        <v>252.44</v>
      </c>
      <c r="D1255" s="17" t="s">
        <v>11</v>
      </c>
      <c r="E1255" s="17"/>
      <c r="F1255" s="18"/>
      <c r="G1255" s="36" t="str">
        <f>IF(ISNUMBER(F1255),C1255*F1255,"")</f>
        <v/>
      </c>
    </row>
    <row r="1256" spans="1:7" ht="12" customHeight="1" outlineLevel="2" x14ac:dyDescent="0.2">
      <c r="A1256" s="14" t="s">
        <v>2481</v>
      </c>
      <c r="B1256" s="15" t="s">
        <v>2482</v>
      </c>
      <c r="C1256" s="16">
        <f>252.44/(1+B2)</f>
        <v>252.44</v>
      </c>
      <c r="D1256" s="17" t="s">
        <v>11</v>
      </c>
      <c r="E1256" s="17" t="s">
        <v>14</v>
      </c>
      <c r="F1256" s="18"/>
      <c r="G1256" s="36" t="str">
        <f>IF(ISNUMBER(F1256),C1256*F1256,"")</f>
        <v/>
      </c>
    </row>
    <row r="1257" spans="1:7" ht="12" customHeight="1" outlineLevel="2" x14ac:dyDescent="0.2">
      <c r="A1257" s="14" t="s">
        <v>2483</v>
      </c>
      <c r="B1257" s="15" t="s">
        <v>2484</v>
      </c>
      <c r="C1257" s="16">
        <f>225.64/(1+B2)</f>
        <v>225.64</v>
      </c>
      <c r="D1257" s="17" t="s">
        <v>11</v>
      </c>
      <c r="E1257" s="17" t="s">
        <v>11</v>
      </c>
      <c r="F1257" s="18"/>
      <c r="G1257" s="36" t="str">
        <f>IF(ISNUMBER(F1257),C1257*F1257,"")</f>
        <v/>
      </c>
    </row>
    <row r="1258" spans="1:7" ht="12" customHeight="1" outlineLevel="2" x14ac:dyDescent="0.2">
      <c r="A1258" s="14" t="s">
        <v>2485</v>
      </c>
      <c r="B1258" s="15" t="s">
        <v>2486</v>
      </c>
      <c r="C1258" s="16">
        <f>161.31/(1+B2)</f>
        <v>161.31</v>
      </c>
      <c r="D1258" s="17" t="s">
        <v>11</v>
      </c>
      <c r="E1258" s="17" t="s">
        <v>11</v>
      </c>
      <c r="F1258" s="18"/>
      <c r="G1258" s="36" t="str">
        <f>IF(ISNUMBER(F1258),C1258*F1258,"")</f>
        <v/>
      </c>
    </row>
    <row r="1259" spans="1:7" ht="12" customHeight="1" outlineLevel="2" x14ac:dyDescent="0.2">
      <c r="A1259" s="14" t="s">
        <v>2487</v>
      </c>
      <c r="B1259" s="15" t="s">
        <v>2488</v>
      </c>
      <c r="C1259" s="16">
        <f>106.25/(1+B2)</f>
        <v>106.25</v>
      </c>
      <c r="D1259" s="17" t="s">
        <v>11</v>
      </c>
      <c r="E1259" s="17" t="s">
        <v>11</v>
      </c>
      <c r="F1259" s="18"/>
      <c r="G1259" s="36" t="str">
        <f>IF(ISNUMBER(F1259),C1259*F1259,"")</f>
        <v/>
      </c>
    </row>
    <row r="1260" spans="1:7" ht="12" customHeight="1" outlineLevel="2" x14ac:dyDescent="0.2">
      <c r="A1260" s="14" t="s">
        <v>2489</v>
      </c>
      <c r="B1260" s="15" t="s">
        <v>2490</v>
      </c>
      <c r="C1260" s="16">
        <f>106.25/(1+B2)</f>
        <v>106.25</v>
      </c>
      <c r="D1260" s="17" t="s">
        <v>11</v>
      </c>
      <c r="E1260" s="17" t="s">
        <v>11</v>
      </c>
      <c r="F1260" s="18"/>
      <c r="G1260" s="36" t="str">
        <f>IF(ISNUMBER(F1260),C1260*F1260,"")</f>
        <v/>
      </c>
    </row>
    <row r="1261" spans="1:7" ht="24" customHeight="1" outlineLevel="2" x14ac:dyDescent="0.2">
      <c r="A1261" s="14" t="s">
        <v>2491</v>
      </c>
      <c r="B1261" s="15" t="s">
        <v>2492</v>
      </c>
      <c r="C1261" s="16">
        <f>135.2/(1+B2)</f>
        <v>135.19999999999999</v>
      </c>
      <c r="D1261" s="17" t="s">
        <v>11</v>
      </c>
      <c r="E1261" s="17"/>
      <c r="F1261" s="18"/>
      <c r="G1261" s="36" t="str">
        <f>IF(ISNUMBER(F1261),C1261*F1261,"")</f>
        <v/>
      </c>
    </row>
    <row r="1262" spans="1:7" ht="12" customHeight="1" outlineLevel="2" x14ac:dyDescent="0.2">
      <c r="A1262" s="14" t="s">
        <v>2493</v>
      </c>
      <c r="B1262" s="15" t="s">
        <v>2494</v>
      </c>
      <c r="C1262" s="16">
        <f>99.46/(1+B2)</f>
        <v>99.46</v>
      </c>
      <c r="D1262" s="17" t="s">
        <v>11</v>
      </c>
      <c r="E1262" s="17" t="s">
        <v>11</v>
      </c>
      <c r="F1262" s="18"/>
      <c r="G1262" s="36" t="str">
        <f>IF(ISNUMBER(F1262),C1262*F1262,"")</f>
        <v/>
      </c>
    </row>
    <row r="1263" spans="1:7" ht="12" customHeight="1" outlineLevel="2" x14ac:dyDescent="0.2">
      <c r="A1263" s="14" t="s">
        <v>2495</v>
      </c>
      <c r="B1263" s="15" t="s">
        <v>2496</v>
      </c>
      <c r="C1263" s="16">
        <f>99.46/(1+B2)</f>
        <v>99.46</v>
      </c>
      <c r="D1263" s="17" t="s">
        <v>11</v>
      </c>
      <c r="E1263" s="17" t="s">
        <v>11</v>
      </c>
      <c r="F1263" s="18"/>
      <c r="G1263" s="36" t="str">
        <f>IF(ISNUMBER(F1263),C1263*F1263,"")</f>
        <v/>
      </c>
    </row>
    <row r="1264" spans="1:7" ht="24" customHeight="1" outlineLevel="2" x14ac:dyDescent="0.2">
      <c r="A1264" s="14" t="s">
        <v>2497</v>
      </c>
      <c r="B1264" s="15" t="s">
        <v>2498</v>
      </c>
      <c r="C1264" s="16">
        <f>109.98/(1+B2)</f>
        <v>109.98</v>
      </c>
      <c r="D1264" s="17" t="s">
        <v>11</v>
      </c>
      <c r="E1264" s="17" t="s">
        <v>14</v>
      </c>
      <c r="F1264" s="18"/>
      <c r="G1264" s="36" t="str">
        <f>IF(ISNUMBER(F1264),C1264*F1264,"")</f>
        <v/>
      </c>
    </row>
    <row r="1265" spans="1:7" ht="24" customHeight="1" outlineLevel="2" x14ac:dyDescent="0.2">
      <c r="A1265" s="14" t="s">
        <v>2499</v>
      </c>
      <c r="B1265" s="15" t="s">
        <v>2500</v>
      </c>
      <c r="C1265" s="16">
        <f>126.88/(1+B2)</f>
        <v>126.88</v>
      </c>
      <c r="D1265" s="17" t="s">
        <v>11</v>
      </c>
      <c r="E1265" s="17"/>
      <c r="F1265" s="18"/>
      <c r="G1265" s="36" t="str">
        <f>IF(ISNUMBER(F1265),C1265*F1265,"")</f>
        <v/>
      </c>
    </row>
    <row r="1266" spans="1:7" ht="12" customHeight="1" outlineLevel="2" x14ac:dyDescent="0.2">
      <c r="A1266" s="14" t="s">
        <v>2501</v>
      </c>
      <c r="B1266" s="15" t="s">
        <v>2502</v>
      </c>
      <c r="C1266" s="16">
        <f>100.89/(1+B2)</f>
        <v>100.89</v>
      </c>
      <c r="D1266" s="17" t="s">
        <v>11</v>
      </c>
      <c r="E1266" s="17"/>
      <c r="F1266" s="18"/>
      <c r="G1266" s="36" t="str">
        <f>IF(ISNUMBER(F1266),C1266*F1266,"")</f>
        <v/>
      </c>
    </row>
    <row r="1267" spans="1:7" ht="24" customHeight="1" outlineLevel="2" x14ac:dyDescent="0.2">
      <c r="A1267" s="14" t="s">
        <v>2503</v>
      </c>
      <c r="B1267" s="15" t="s">
        <v>2504</v>
      </c>
      <c r="C1267" s="16">
        <f>141.83/(1+B2)</f>
        <v>141.83000000000001</v>
      </c>
      <c r="D1267" s="17" t="s">
        <v>11</v>
      </c>
      <c r="E1267" s="17" t="s">
        <v>11</v>
      </c>
      <c r="F1267" s="18"/>
      <c r="G1267" s="36" t="str">
        <f>IF(ISNUMBER(F1267),C1267*F1267,"")</f>
        <v/>
      </c>
    </row>
    <row r="1268" spans="1:7" ht="12" customHeight="1" outlineLevel="2" x14ac:dyDescent="0.2">
      <c r="A1268" s="14" t="s">
        <v>2505</v>
      </c>
      <c r="B1268" s="15" t="s">
        <v>2506</v>
      </c>
      <c r="C1268" s="16">
        <f>141.83/(1+B2)</f>
        <v>141.83000000000001</v>
      </c>
      <c r="D1268" s="17" t="s">
        <v>11</v>
      </c>
      <c r="E1268" s="17"/>
      <c r="F1268" s="18"/>
      <c r="G1268" s="36" t="str">
        <f>IF(ISNUMBER(F1268),C1268*F1268,"")</f>
        <v/>
      </c>
    </row>
    <row r="1269" spans="1:7" ht="12" customHeight="1" outlineLevel="2" x14ac:dyDescent="0.2">
      <c r="A1269" s="14" t="s">
        <v>2507</v>
      </c>
      <c r="B1269" s="15" t="s">
        <v>2508</v>
      </c>
      <c r="C1269" s="16">
        <f>141.83/(1+B2)</f>
        <v>141.83000000000001</v>
      </c>
      <c r="D1269" s="17" t="s">
        <v>11</v>
      </c>
      <c r="E1269" s="17" t="s">
        <v>11</v>
      </c>
      <c r="F1269" s="18"/>
      <c r="G1269" s="36" t="str">
        <f>IF(ISNUMBER(F1269),C1269*F1269,"")</f>
        <v/>
      </c>
    </row>
    <row r="1270" spans="1:7" ht="12" customHeight="1" outlineLevel="2" x14ac:dyDescent="0.2">
      <c r="A1270" s="14" t="s">
        <v>2509</v>
      </c>
      <c r="B1270" s="15" t="s">
        <v>2510</v>
      </c>
      <c r="C1270" s="16">
        <f>141.83/(1+B2)</f>
        <v>141.83000000000001</v>
      </c>
      <c r="D1270" s="17" t="s">
        <v>11</v>
      </c>
      <c r="E1270" s="17" t="s">
        <v>11</v>
      </c>
      <c r="F1270" s="18"/>
      <c r="G1270" s="36" t="str">
        <f>IF(ISNUMBER(F1270),C1270*F1270,"")</f>
        <v/>
      </c>
    </row>
    <row r="1271" spans="1:7" ht="12" customHeight="1" outlineLevel="2" x14ac:dyDescent="0.2">
      <c r="A1271" s="14" t="s">
        <v>2511</v>
      </c>
      <c r="B1271" s="15" t="s">
        <v>2512</v>
      </c>
      <c r="C1271" s="16">
        <f>104/(1+B2)</f>
        <v>104</v>
      </c>
      <c r="D1271" s="17" t="s">
        <v>11</v>
      </c>
      <c r="E1271" s="17" t="s">
        <v>14</v>
      </c>
      <c r="F1271" s="18"/>
      <c r="G1271" s="36" t="str">
        <f>IF(ISNUMBER(F1271),C1271*F1271,"")</f>
        <v/>
      </c>
    </row>
    <row r="1272" spans="1:7" ht="12" customHeight="1" outlineLevel="2" x14ac:dyDescent="0.2">
      <c r="A1272" s="14" t="s">
        <v>2513</v>
      </c>
      <c r="B1272" s="15" t="s">
        <v>2514</v>
      </c>
      <c r="C1272" s="16">
        <f>79.85/(1+B2)</f>
        <v>79.849999999999994</v>
      </c>
      <c r="D1272" s="17" t="s">
        <v>11</v>
      </c>
      <c r="E1272" s="17" t="s">
        <v>11</v>
      </c>
      <c r="F1272" s="18"/>
      <c r="G1272" s="36" t="str">
        <f>IF(ISNUMBER(F1272),C1272*F1272,"")</f>
        <v/>
      </c>
    </row>
    <row r="1273" spans="1:7" ht="12" customHeight="1" outlineLevel="2" x14ac:dyDescent="0.2">
      <c r="A1273" s="14" t="s">
        <v>2515</v>
      </c>
      <c r="B1273" s="15" t="s">
        <v>2516</v>
      </c>
      <c r="C1273" s="16">
        <f>79.85/(1+B2)</f>
        <v>79.849999999999994</v>
      </c>
      <c r="D1273" s="17" t="s">
        <v>11</v>
      </c>
      <c r="E1273" s="17"/>
      <c r="F1273" s="18"/>
      <c r="G1273" s="36" t="str">
        <f>IF(ISNUMBER(F1273),C1273*F1273,"")</f>
        <v/>
      </c>
    </row>
    <row r="1274" spans="1:7" ht="12" customHeight="1" outlineLevel="2" x14ac:dyDescent="0.2">
      <c r="A1274" s="14" t="s">
        <v>2517</v>
      </c>
      <c r="B1274" s="15" t="s">
        <v>2518</v>
      </c>
      <c r="C1274" s="16">
        <f>79.85/(1+B2)</f>
        <v>79.849999999999994</v>
      </c>
      <c r="D1274" s="17" t="s">
        <v>11</v>
      </c>
      <c r="E1274" s="17" t="s">
        <v>11</v>
      </c>
      <c r="F1274" s="18"/>
      <c r="G1274" s="36" t="str">
        <f>IF(ISNUMBER(F1274),C1274*F1274,"")</f>
        <v/>
      </c>
    </row>
    <row r="1275" spans="1:7" ht="12" customHeight="1" outlineLevel="2" x14ac:dyDescent="0.2">
      <c r="A1275" s="14" t="s">
        <v>2519</v>
      </c>
      <c r="B1275" s="15" t="s">
        <v>2520</v>
      </c>
      <c r="C1275" s="16">
        <f>79.85/(1+B2)</f>
        <v>79.849999999999994</v>
      </c>
      <c r="D1275" s="17" t="s">
        <v>11</v>
      </c>
      <c r="E1275" s="17"/>
      <c r="F1275" s="18"/>
      <c r="G1275" s="36" t="str">
        <f>IF(ISNUMBER(F1275),C1275*F1275,"")</f>
        <v/>
      </c>
    </row>
    <row r="1276" spans="1:7" ht="12" customHeight="1" outlineLevel="2" x14ac:dyDescent="0.2">
      <c r="A1276" s="14" t="s">
        <v>2521</v>
      </c>
      <c r="B1276" s="15" t="s">
        <v>2522</v>
      </c>
      <c r="C1276" s="16">
        <f>205.55/(1+B2)</f>
        <v>205.55</v>
      </c>
      <c r="D1276" s="17" t="s">
        <v>11</v>
      </c>
      <c r="E1276" s="17"/>
      <c r="F1276" s="18"/>
      <c r="G1276" s="36" t="str">
        <f>IF(ISNUMBER(F1276),C1276*F1276,"")</f>
        <v/>
      </c>
    </row>
    <row r="1277" spans="1:7" ht="12" customHeight="1" outlineLevel="2" x14ac:dyDescent="0.2">
      <c r="A1277" s="14" t="s">
        <v>2523</v>
      </c>
      <c r="B1277" s="15" t="s">
        <v>2524</v>
      </c>
      <c r="C1277" s="16">
        <f>102.99/(1+B2)</f>
        <v>102.99</v>
      </c>
      <c r="D1277" s="17" t="s">
        <v>11</v>
      </c>
      <c r="E1277" s="17" t="s">
        <v>14</v>
      </c>
      <c r="F1277" s="18"/>
      <c r="G1277" s="36" t="str">
        <f>IF(ISNUMBER(F1277),C1277*F1277,"")</f>
        <v/>
      </c>
    </row>
    <row r="1278" spans="1:7" ht="12" customHeight="1" outlineLevel="2" x14ac:dyDescent="0.2">
      <c r="A1278" s="14" t="s">
        <v>2525</v>
      </c>
      <c r="B1278" s="15" t="s">
        <v>2526</v>
      </c>
      <c r="C1278" s="16">
        <f>102.99/(1+B2)</f>
        <v>102.99</v>
      </c>
      <c r="D1278" s="17" t="s">
        <v>11</v>
      </c>
      <c r="E1278" s="17" t="s">
        <v>14</v>
      </c>
      <c r="F1278" s="18"/>
      <c r="G1278" s="36" t="str">
        <f>IF(ISNUMBER(F1278),C1278*F1278,"")</f>
        <v/>
      </c>
    </row>
    <row r="1279" spans="1:7" s="1" customFormat="1" ht="15.95" customHeight="1" outlineLevel="1" x14ac:dyDescent="0.25">
      <c r="A1279" s="11"/>
      <c r="B1279" s="12" t="s">
        <v>2527</v>
      </c>
      <c r="C1279" s="13"/>
      <c r="D1279" s="13"/>
      <c r="E1279" s="13"/>
      <c r="F1279" s="13"/>
      <c r="G1279" s="35"/>
    </row>
    <row r="1280" spans="1:7" ht="12" customHeight="1" outlineLevel="2" x14ac:dyDescent="0.2">
      <c r="A1280" s="14" t="s">
        <v>2528</v>
      </c>
      <c r="B1280" s="15" t="s">
        <v>2529</v>
      </c>
      <c r="C1280" s="16">
        <f>74.53/(1+B2)</f>
        <v>74.53</v>
      </c>
      <c r="D1280" s="17" t="s">
        <v>11</v>
      </c>
      <c r="E1280" s="17" t="s">
        <v>11</v>
      </c>
      <c r="F1280" s="18"/>
      <c r="G1280" s="36" t="str">
        <f>IF(ISNUMBER(F1280),C1280*F1280,"")</f>
        <v/>
      </c>
    </row>
    <row r="1281" spans="1:7" ht="12" customHeight="1" outlineLevel="2" x14ac:dyDescent="0.2">
      <c r="A1281" s="14" t="s">
        <v>2530</v>
      </c>
      <c r="B1281" s="15" t="s">
        <v>2531</v>
      </c>
      <c r="C1281" s="16">
        <f>74.53/(1+B2)</f>
        <v>74.53</v>
      </c>
      <c r="D1281" s="17" t="s">
        <v>11</v>
      </c>
      <c r="E1281" s="17" t="s">
        <v>14</v>
      </c>
      <c r="F1281" s="18"/>
      <c r="G1281" s="36" t="str">
        <f>IF(ISNUMBER(F1281),C1281*F1281,"")</f>
        <v/>
      </c>
    </row>
    <row r="1282" spans="1:7" ht="12" customHeight="1" outlineLevel="2" x14ac:dyDescent="0.2">
      <c r="A1282" s="14" t="s">
        <v>2532</v>
      </c>
      <c r="B1282" s="15" t="s">
        <v>2533</v>
      </c>
      <c r="C1282" s="16">
        <f>74.53/(1+B2)</f>
        <v>74.53</v>
      </c>
      <c r="D1282" s="17" t="s">
        <v>11</v>
      </c>
      <c r="E1282" s="17" t="s">
        <v>14</v>
      </c>
      <c r="F1282" s="18"/>
      <c r="G1282" s="36" t="str">
        <f>IF(ISNUMBER(F1282),C1282*F1282,"")</f>
        <v/>
      </c>
    </row>
    <row r="1283" spans="1:7" ht="24" customHeight="1" outlineLevel="2" x14ac:dyDescent="0.2">
      <c r="A1283" s="14" t="s">
        <v>2534</v>
      </c>
      <c r="B1283" s="15" t="s">
        <v>2535</v>
      </c>
      <c r="C1283" s="16">
        <f>93.43/(1+B2)</f>
        <v>93.43</v>
      </c>
      <c r="D1283" s="17" t="s">
        <v>11</v>
      </c>
      <c r="E1283" s="17" t="s">
        <v>11</v>
      </c>
      <c r="F1283" s="18"/>
      <c r="G1283" s="36" t="str">
        <f>IF(ISNUMBER(F1283),C1283*F1283,"")</f>
        <v/>
      </c>
    </row>
    <row r="1284" spans="1:7" ht="12" customHeight="1" outlineLevel="2" x14ac:dyDescent="0.2">
      <c r="A1284" s="14" t="s">
        <v>2536</v>
      </c>
      <c r="B1284" s="15" t="s">
        <v>2537</v>
      </c>
      <c r="C1284" s="16">
        <f>96.91/(1+B2)</f>
        <v>96.91</v>
      </c>
      <c r="D1284" s="17" t="s">
        <v>11</v>
      </c>
      <c r="E1284" s="17" t="s">
        <v>11</v>
      </c>
      <c r="F1284" s="18"/>
      <c r="G1284" s="36" t="str">
        <f>IF(ISNUMBER(F1284),C1284*F1284,"")</f>
        <v/>
      </c>
    </row>
    <row r="1285" spans="1:7" ht="12" customHeight="1" outlineLevel="2" x14ac:dyDescent="0.2">
      <c r="A1285" s="14" t="s">
        <v>2538</v>
      </c>
      <c r="B1285" s="15" t="s">
        <v>2539</v>
      </c>
      <c r="C1285" s="16">
        <f>93.43/(1+B2)</f>
        <v>93.43</v>
      </c>
      <c r="D1285" s="17" t="s">
        <v>11</v>
      </c>
      <c r="E1285" s="17" t="s">
        <v>11</v>
      </c>
      <c r="F1285" s="18"/>
      <c r="G1285" s="36" t="str">
        <f>IF(ISNUMBER(F1285),C1285*F1285,"")</f>
        <v/>
      </c>
    </row>
    <row r="1286" spans="1:7" ht="12" customHeight="1" outlineLevel="2" x14ac:dyDescent="0.2">
      <c r="A1286" s="14" t="s">
        <v>2540</v>
      </c>
      <c r="B1286" s="15" t="s">
        <v>2541</v>
      </c>
      <c r="C1286" s="16">
        <f>116.11/(1+B2)</f>
        <v>116.11</v>
      </c>
      <c r="D1286" s="17" t="s">
        <v>11</v>
      </c>
      <c r="E1286" s="17"/>
      <c r="F1286" s="18"/>
      <c r="G1286" s="36" t="str">
        <f>IF(ISNUMBER(F1286),C1286*F1286,"")</f>
        <v/>
      </c>
    </row>
    <row r="1287" spans="1:7" ht="12" customHeight="1" outlineLevel="2" x14ac:dyDescent="0.2">
      <c r="A1287" s="14" t="s">
        <v>2542</v>
      </c>
      <c r="B1287" s="15" t="s">
        <v>2543</v>
      </c>
      <c r="C1287" s="16">
        <f>96.91/(1+B2)</f>
        <v>96.91</v>
      </c>
      <c r="D1287" s="17" t="s">
        <v>11</v>
      </c>
      <c r="E1287" s="17" t="s">
        <v>11</v>
      </c>
      <c r="F1287" s="18"/>
      <c r="G1287" s="36" t="str">
        <f>IF(ISNUMBER(F1287),C1287*F1287,"")</f>
        <v/>
      </c>
    </row>
    <row r="1288" spans="1:7" ht="12" customHeight="1" outlineLevel="2" x14ac:dyDescent="0.2">
      <c r="A1288" s="14" t="s">
        <v>2544</v>
      </c>
      <c r="B1288" s="15" t="s">
        <v>2545</v>
      </c>
      <c r="C1288" s="16">
        <f>112.89/(1+B2)</f>
        <v>112.89</v>
      </c>
      <c r="D1288" s="17" t="s">
        <v>11</v>
      </c>
      <c r="E1288" s="17"/>
      <c r="F1288" s="18"/>
      <c r="G1288" s="36" t="str">
        <f>IF(ISNUMBER(F1288),C1288*F1288,"")</f>
        <v/>
      </c>
    </row>
    <row r="1289" spans="1:7" ht="12" customHeight="1" outlineLevel="2" x14ac:dyDescent="0.2">
      <c r="A1289" s="14" t="s">
        <v>2546</v>
      </c>
      <c r="B1289" s="15" t="s">
        <v>2547</v>
      </c>
      <c r="C1289" s="16">
        <f>112.89/(1+B2)</f>
        <v>112.89</v>
      </c>
      <c r="D1289" s="17" t="s">
        <v>11</v>
      </c>
      <c r="E1289" s="17"/>
      <c r="F1289" s="18"/>
      <c r="G1289" s="36" t="str">
        <f>IF(ISNUMBER(F1289),C1289*F1289,"")</f>
        <v/>
      </c>
    </row>
    <row r="1290" spans="1:7" ht="12" customHeight="1" outlineLevel="2" x14ac:dyDescent="0.2">
      <c r="A1290" s="14" t="s">
        <v>2548</v>
      </c>
      <c r="B1290" s="15" t="s">
        <v>2549</v>
      </c>
      <c r="C1290" s="16">
        <f>112.89/(1+B2)</f>
        <v>112.89</v>
      </c>
      <c r="D1290" s="17" t="s">
        <v>11</v>
      </c>
      <c r="E1290" s="17" t="s">
        <v>11</v>
      </c>
      <c r="F1290" s="18"/>
      <c r="G1290" s="36" t="str">
        <f>IF(ISNUMBER(F1290),C1290*F1290,"")</f>
        <v/>
      </c>
    </row>
    <row r="1291" spans="1:7" ht="12" customHeight="1" outlineLevel="2" x14ac:dyDescent="0.2">
      <c r="A1291" s="14" t="s">
        <v>2550</v>
      </c>
      <c r="B1291" s="15" t="s">
        <v>2551</v>
      </c>
      <c r="C1291" s="16">
        <f>138.49/(1+B2)</f>
        <v>138.49</v>
      </c>
      <c r="D1291" s="17" t="s">
        <v>11</v>
      </c>
      <c r="E1291" s="17" t="s">
        <v>11</v>
      </c>
      <c r="F1291" s="18"/>
      <c r="G1291" s="36" t="str">
        <f>IF(ISNUMBER(F1291),C1291*F1291,"")</f>
        <v/>
      </c>
    </row>
    <row r="1292" spans="1:7" ht="12" customHeight="1" outlineLevel="2" x14ac:dyDescent="0.2">
      <c r="A1292" s="14" t="s">
        <v>2552</v>
      </c>
      <c r="B1292" s="15" t="s">
        <v>2553</v>
      </c>
      <c r="C1292" s="16">
        <f>139.35/(1+B2)</f>
        <v>139.35</v>
      </c>
      <c r="D1292" s="17" t="s">
        <v>11</v>
      </c>
      <c r="E1292" s="17" t="s">
        <v>11</v>
      </c>
      <c r="F1292" s="18"/>
      <c r="G1292" s="36" t="str">
        <f>IF(ISNUMBER(F1292),C1292*F1292,"")</f>
        <v/>
      </c>
    </row>
    <row r="1293" spans="1:7" ht="12" customHeight="1" outlineLevel="2" x14ac:dyDescent="0.2">
      <c r="A1293" s="14" t="s">
        <v>2554</v>
      </c>
      <c r="B1293" s="15" t="s">
        <v>2555</v>
      </c>
      <c r="C1293" s="16">
        <f>123.63/(1+B2)</f>
        <v>123.63</v>
      </c>
      <c r="D1293" s="17" t="s">
        <v>11</v>
      </c>
      <c r="E1293" s="17"/>
      <c r="F1293" s="18"/>
      <c r="G1293" s="36" t="str">
        <f>IF(ISNUMBER(F1293),C1293*F1293,"")</f>
        <v/>
      </c>
    </row>
    <row r="1294" spans="1:7" ht="12" customHeight="1" outlineLevel="2" x14ac:dyDescent="0.2">
      <c r="A1294" s="14" t="s">
        <v>2556</v>
      </c>
      <c r="B1294" s="15" t="s">
        <v>2557</v>
      </c>
      <c r="C1294" s="16">
        <f>123.63/(1+B2)</f>
        <v>123.63</v>
      </c>
      <c r="D1294" s="17" t="s">
        <v>11</v>
      </c>
      <c r="E1294" s="17"/>
      <c r="F1294" s="18"/>
      <c r="G1294" s="36" t="str">
        <f>IF(ISNUMBER(F1294),C1294*F1294,"")</f>
        <v/>
      </c>
    </row>
    <row r="1295" spans="1:7" s="1" customFormat="1" ht="15.95" customHeight="1" outlineLevel="1" x14ac:dyDescent="0.25">
      <c r="A1295" s="11"/>
      <c r="B1295" s="12" t="s">
        <v>2558</v>
      </c>
      <c r="C1295" s="13"/>
      <c r="D1295" s="13"/>
      <c r="E1295" s="13"/>
      <c r="F1295" s="13"/>
      <c r="G1295" s="35"/>
    </row>
    <row r="1296" spans="1:7" ht="12" customHeight="1" outlineLevel="2" x14ac:dyDescent="0.2">
      <c r="A1296" s="14" t="s">
        <v>2559</v>
      </c>
      <c r="B1296" s="15" t="s">
        <v>2560</v>
      </c>
      <c r="C1296" s="16">
        <f>79.23/(1+B2)</f>
        <v>79.23</v>
      </c>
      <c r="D1296" s="17" t="s">
        <v>11</v>
      </c>
      <c r="E1296" s="17"/>
      <c r="F1296" s="18"/>
      <c r="G1296" s="36" t="str">
        <f>IF(ISNUMBER(F1296),C1296*F1296,"")</f>
        <v/>
      </c>
    </row>
    <row r="1297" spans="1:7" ht="12" customHeight="1" outlineLevel="2" x14ac:dyDescent="0.2">
      <c r="A1297" s="14" t="s">
        <v>2561</v>
      </c>
      <c r="B1297" s="15" t="s">
        <v>2562</v>
      </c>
      <c r="C1297" s="16">
        <f>79.23/(1+B2)</f>
        <v>79.23</v>
      </c>
      <c r="D1297" s="17" t="s">
        <v>11</v>
      </c>
      <c r="E1297" s="17"/>
      <c r="F1297" s="18"/>
      <c r="G1297" s="36" t="str">
        <f>IF(ISNUMBER(F1297),C1297*F1297,"")</f>
        <v/>
      </c>
    </row>
    <row r="1298" spans="1:7" ht="12" customHeight="1" outlineLevel="2" x14ac:dyDescent="0.2">
      <c r="A1298" s="14" t="s">
        <v>2563</v>
      </c>
      <c r="B1298" s="15" t="s">
        <v>2564</v>
      </c>
      <c r="C1298" s="16">
        <f>79.23/(1+B2)</f>
        <v>79.23</v>
      </c>
      <c r="D1298" s="17" t="s">
        <v>11</v>
      </c>
      <c r="E1298" s="17"/>
      <c r="F1298" s="18"/>
      <c r="G1298" s="36" t="str">
        <f>IF(ISNUMBER(F1298),C1298*F1298,"")</f>
        <v/>
      </c>
    </row>
    <row r="1299" spans="1:7" ht="12" customHeight="1" outlineLevel="2" x14ac:dyDescent="0.2">
      <c r="A1299" s="14" t="s">
        <v>2565</v>
      </c>
      <c r="B1299" s="15" t="s">
        <v>2566</v>
      </c>
      <c r="C1299" s="16">
        <f>79.23/(1+B2)</f>
        <v>79.23</v>
      </c>
      <c r="D1299" s="17" t="s">
        <v>11</v>
      </c>
      <c r="E1299" s="17"/>
      <c r="F1299" s="18"/>
      <c r="G1299" s="36" t="str">
        <f>IF(ISNUMBER(F1299),C1299*F1299,"")</f>
        <v/>
      </c>
    </row>
    <row r="1300" spans="1:7" ht="12" customHeight="1" outlineLevel="2" x14ac:dyDescent="0.2">
      <c r="A1300" s="14" t="s">
        <v>2567</v>
      </c>
      <c r="B1300" s="15" t="s">
        <v>2568</v>
      </c>
      <c r="C1300" s="16">
        <f>200.43/(1+B2)</f>
        <v>200.43</v>
      </c>
      <c r="D1300" s="17" t="s">
        <v>11</v>
      </c>
      <c r="E1300" s="17"/>
      <c r="F1300" s="18"/>
      <c r="G1300" s="36" t="str">
        <f>IF(ISNUMBER(F1300),C1300*F1300,"")</f>
        <v/>
      </c>
    </row>
    <row r="1301" spans="1:7" ht="12" customHeight="1" outlineLevel="2" x14ac:dyDescent="0.2">
      <c r="A1301" s="14" t="s">
        <v>2569</v>
      </c>
      <c r="B1301" s="15" t="s">
        <v>2570</v>
      </c>
      <c r="C1301" s="16">
        <f>125.26/(1+B2)</f>
        <v>125.26</v>
      </c>
      <c r="D1301" s="17" t="s">
        <v>11</v>
      </c>
      <c r="E1301" s="17"/>
      <c r="F1301" s="18"/>
      <c r="G1301" s="36" t="str">
        <f>IF(ISNUMBER(F1301),C1301*F1301,"")</f>
        <v/>
      </c>
    </row>
    <row r="1302" spans="1:7" ht="24" customHeight="1" outlineLevel="2" x14ac:dyDescent="0.2">
      <c r="A1302" s="14" t="s">
        <v>2571</v>
      </c>
      <c r="B1302" s="15" t="s">
        <v>2572</v>
      </c>
      <c r="C1302" s="16">
        <f>200.43/(1+B2)</f>
        <v>200.43</v>
      </c>
      <c r="D1302" s="17" t="s">
        <v>11</v>
      </c>
      <c r="E1302" s="17"/>
      <c r="F1302" s="18"/>
      <c r="G1302" s="36" t="str">
        <f>IF(ISNUMBER(F1302),C1302*F1302,"")</f>
        <v/>
      </c>
    </row>
    <row r="1303" spans="1:7" ht="12" customHeight="1" outlineLevel="2" x14ac:dyDescent="0.2">
      <c r="A1303" s="14" t="s">
        <v>2573</v>
      </c>
      <c r="B1303" s="15" t="s">
        <v>2574</v>
      </c>
      <c r="C1303" s="16">
        <f>162.85/(1+B2)</f>
        <v>162.85</v>
      </c>
      <c r="D1303" s="17" t="s">
        <v>11</v>
      </c>
      <c r="E1303" s="17"/>
      <c r="F1303" s="18"/>
      <c r="G1303" s="36" t="str">
        <f>IF(ISNUMBER(F1303),C1303*F1303,"")</f>
        <v/>
      </c>
    </row>
    <row r="1304" spans="1:7" ht="12" customHeight="1" outlineLevel="2" x14ac:dyDescent="0.2">
      <c r="A1304" s="14" t="s">
        <v>2575</v>
      </c>
      <c r="B1304" s="15" t="s">
        <v>2576</v>
      </c>
      <c r="C1304" s="16">
        <f>200.43/(1+B2)</f>
        <v>200.43</v>
      </c>
      <c r="D1304" s="17" t="s">
        <v>11</v>
      </c>
      <c r="E1304" s="17"/>
      <c r="F1304" s="18"/>
      <c r="G1304" s="36" t="str">
        <f>IF(ISNUMBER(F1304),C1304*F1304,"")</f>
        <v/>
      </c>
    </row>
    <row r="1305" spans="1:7" ht="12" customHeight="1" outlineLevel="2" x14ac:dyDescent="0.2">
      <c r="A1305" s="14" t="s">
        <v>2577</v>
      </c>
      <c r="B1305" s="15" t="s">
        <v>2578</v>
      </c>
      <c r="C1305" s="16">
        <f>200.43/(1+B2)</f>
        <v>200.43</v>
      </c>
      <c r="D1305" s="17" t="s">
        <v>11</v>
      </c>
      <c r="E1305" s="17"/>
      <c r="F1305" s="18"/>
      <c r="G1305" s="36" t="str">
        <f>IF(ISNUMBER(F1305),C1305*F1305,"")</f>
        <v/>
      </c>
    </row>
    <row r="1306" spans="1:7" ht="12" customHeight="1" outlineLevel="2" x14ac:dyDescent="0.2">
      <c r="A1306" s="14" t="s">
        <v>2579</v>
      </c>
      <c r="B1306" s="15" t="s">
        <v>2580</v>
      </c>
      <c r="C1306" s="16">
        <f>200.43/(1+B2)</f>
        <v>200.43</v>
      </c>
      <c r="D1306" s="17" t="s">
        <v>11</v>
      </c>
      <c r="E1306" s="17"/>
      <c r="F1306" s="18"/>
      <c r="G1306" s="36" t="str">
        <f>IF(ISNUMBER(F1306),C1306*F1306,"")</f>
        <v/>
      </c>
    </row>
    <row r="1307" spans="1:7" ht="12" customHeight="1" outlineLevel="2" x14ac:dyDescent="0.2">
      <c r="A1307" s="14" t="s">
        <v>2581</v>
      </c>
      <c r="B1307" s="15" t="s">
        <v>2582</v>
      </c>
      <c r="C1307" s="16">
        <f>187.65/(1+B2)</f>
        <v>187.65</v>
      </c>
      <c r="D1307" s="17" t="s">
        <v>11</v>
      </c>
      <c r="E1307" s="17"/>
      <c r="F1307" s="18"/>
      <c r="G1307" s="36" t="str">
        <f>IF(ISNUMBER(F1307),C1307*F1307,"")</f>
        <v/>
      </c>
    </row>
    <row r="1308" spans="1:7" ht="12" customHeight="1" outlineLevel="2" x14ac:dyDescent="0.2">
      <c r="A1308" s="14" t="s">
        <v>2583</v>
      </c>
      <c r="B1308" s="15" t="s">
        <v>2584</v>
      </c>
      <c r="C1308" s="16">
        <f>187.65/(1+B2)</f>
        <v>187.65</v>
      </c>
      <c r="D1308" s="17" t="s">
        <v>11</v>
      </c>
      <c r="E1308" s="17"/>
      <c r="F1308" s="18"/>
      <c r="G1308" s="36" t="str">
        <f>IF(ISNUMBER(F1308),C1308*F1308,"")</f>
        <v/>
      </c>
    </row>
    <row r="1309" spans="1:7" ht="12" customHeight="1" outlineLevel="2" x14ac:dyDescent="0.2">
      <c r="A1309" s="14" t="s">
        <v>2585</v>
      </c>
      <c r="B1309" s="15" t="s">
        <v>2586</v>
      </c>
      <c r="C1309" s="16">
        <f>177.19/(1+B2)</f>
        <v>177.19</v>
      </c>
      <c r="D1309" s="17" t="s">
        <v>11</v>
      </c>
      <c r="E1309" s="17"/>
      <c r="F1309" s="18"/>
      <c r="G1309" s="36" t="str">
        <f>IF(ISNUMBER(F1309),C1309*F1309,"")</f>
        <v/>
      </c>
    </row>
    <row r="1310" spans="1:7" ht="24" customHeight="1" outlineLevel="2" x14ac:dyDescent="0.2">
      <c r="A1310" s="14" t="s">
        <v>2587</v>
      </c>
      <c r="B1310" s="15" t="s">
        <v>2588</v>
      </c>
      <c r="C1310" s="16">
        <f>187.65/(1+B2)</f>
        <v>187.65</v>
      </c>
      <c r="D1310" s="17" t="s">
        <v>11</v>
      </c>
      <c r="E1310" s="17"/>
      <c r="F1310" s="18"/>
      <c r="G1310" s="36" t="str">
        <f>IF(ISNUMBER(F1310),C1310*F1310,"")</f>
        <v/>
      </c>
    </row>
    <row r="1311" spans="1:7" ht="24" customHeight="1" outlineLevel="2" x14ac:dyDescent="0.2">
      <c r="A1311" s="14" t="s">
        <v>2589</v>
      </c>
      <c r="B1311" s="15" t="s">
        <v>2590</v>
      </c>
      <c r="C1311" s="16">
        <f>187.65/(1+B2)</f>
        <v>187.65</v>
      </c>
      <c r="D1311" s="17" t="s">
        <v>11</v>
      </c>
      <c r="E1311" s="17"/>
      <c r="F1311" s="18"/>
      <c r="G1311" s="36" t="str">
        <f>IF(ISNUMBER(F1311),C1311*F1311,"")</f>
        <v/>
      </c>
    </row>
    <row r="1312" spans="1:7" ht="24" customHeight="1" outlineLevel="2" x14ac:dyDescent="0.2">
      <c r="A1312" s="14" t="s">
        <v>2591</v>
      </c>
      <c r="B1312" s="15" t="s">
        <v>2592</v>
      </c>
      <c r="C1312" s="16">
        <f>190.55/(1+B2)</f>
        <v>190.55</v>
      </c>
      <c r="D1312" s="17" t="s">
        <v>11</v>
      </c>
      <c r="E1312" s="17"/>
      <c r="F1312" s="18"/>
      <c r="G1312" s="36" t="str">
        <f>IF(ISNUMBER(F1312),C1312*F1312,"")</f>
        <v/>
      </c>
    </row>
    <row r="1313" spans="1:7" ht="12" customHeight="1" outlineLevel="2" x14ac:dyDescent="0.2">
      <c r="A1313" s="14" t="s">
        <v>2593</v>
      </c>
      <c r="B1313" s="15" t="s">
        <v>2594</v>
      </c>
      <c r="C1313" s="16">
        <f>187.65/(1+B2)</f>
        <v>187.65</v>
      </c>
      <c r="D1313" s="17" t="s">
        <v>11</v>
      </c>
      <c r="E1313" s="17"/>
      <c r="F1313" s="18"/>
      <c r="G1313" s="36" t="str">
        <f>IF(ISNUMBER(F1313),C1313*F1313,"")</f>
        <v/>
      </c>
    </row>
    <row r="1314" spans="1:7" ht="12" customHeight="1" outlineLevel="2" x14ac:dyDescent="0.2">
      <c r="A1314" s="14" t="s">
        <v>2595</v>
      </c>
      <c r="B1314" s="15" t="s">
        <v>2596</v>
      </c>
      <c r="C1314" s="16">
        <f>177.19/(1+B2)</f>
        <v>177.19</v>
      </c>
      <c r="D1314" s="17" t="s">
        <v>11</v>
      </c>
      <c r="E1314" s="17"/>
      <c r="F1314" s="18"/>
      <c r="G1314" s="36" t="str">
        <f>IF(ISNUMBER(F1314),C1314*F1314,"")</f>
        <v/>
      </c>
    </row>
    <row r="1315" spans="1:7" ht="12" customHeight="1" outlineLevel="2" x14ac:dyDescent="0.2">
      <c r="A1315" s="14" t="s">
        <v>2597</v>
      </c>
      <c r="B1315" s="15" t="s">
        <v>2598</v>
      </c>
      <c r="C1315" s="16">
        <f>214.03/(1+B2)</f>
        <v>214.03</v>
      </c>
      <c r="D1315" s="17" t="s">
        <v>11</v>
      </c>
      <c r="E1315" s="17"/>
      <c r="F1315" s="18"/>
      <c r="G1315" s="36" t="str">
        <f>IF(ISNUMBER(F1315),C1315*F1315,"")</f>
        <v/>
      </c>
    </row>
    <row r="1316" spans="1:7" ht="12" customHeight="1" outlineLevel="2" x14ac:dyDescent="0.2">
      <c r="A1316" s="14" t="s">
        <v>2599</v>
      </c>
      <c r="B1316" s="15" t="s">
        <v>2600</v>
      </c>
      <c r="C1316" s="16">
        <f>214.03/(1+B2)</f>
        <v>214.03</v>
      </c>
      <c r="D1316" s="17" t="s">
        <v>11</v>
      </c>
      <c r="E1316" s="17"/>
      <c r="F1316" s="18"/>
      <c r="G1316" s="36" t="str">
        <f>IF(ISNUMBER(F1316),C1316*F1316,"")</f>
        <v/>
      </c>
    </row>
    <row r="1317" spans="1:7" ht="12" customHeight="1" outlineLevel="2" x14ac:dyDescent="0.2">
      <c r="A1317" s="14" t="s">
        <v>2601</v>
      </c>
      <c r="B1317" s="15" t="s">
        <v>2602</v>
      </c>
      <c r="C1317" s="16">
        <f>214.03/(1+B2)</f>
        <v>214.03</v>
      </c>
      <c r="D1317" s="17" t="s">
        <v>11</v>
      </c>
      <c r="E1317" s="17"/>
      <c r="F1317" s="18"/>
      <c r="G1317" s="36" t="str">
        <f>IF(ISNUMBER(F1317),C1317*F1317,"")</f>
        <v/>
      </c>
    </row>
    <row r="1318" spans="1:7" ht="12" customHeight="1" outlineLevel="2" x14ac:dyDescent="0.2">
      <c r="A1318" s="14" t="s">
        <v>2603</v>
      </c>
      <c r="B1318" s="15" t="s">
        <v>2604</v>
      </c>
      <c r="C1318" s="16">
        <f>214.03/(1+B2)</f>
        <v>214.03</v>
      </c>
      <c r="D1318" s="17" t="s">
        <v>11</v>
      </c>
      <c r="E1318" s="17"/>
      <c r="F1318" s="18"/>
      <c r="G1318" s="36" t="str">
        <f>IF(ISNUMBER(F1318),C1318*F1318,"")</f>
        <v/>
      </c>
    </row>
    <row r="1319" spans="1:7" ht="12" customHeight="1" outlineLevel="2" x14ac:dyDescent="0.2">
      <c r="A1319" s="14" t="s">
        <v>2605</v>
      </c>
      <c r="B1319" s="15" t="s">
        <v>2606</v>
      </c>
      <c r="C1319" s="16">
        <f>214.03/(1+B2)</f>
        <v>214.03</v>
      </c>
      <c r="D1319" s="17" t="s">
        <v>11</v>
      </c>
      <c r="E1319" s="17"/>
      <c r="F1319" s="18"/>
      <c r="G1319" s="36" t="str">
        <f>IF(ISNUMBER(F1319),C1319*F1319,"")</f>
        <v/>
      </c>
    </row>
    <row r="1320" spans="1:7" ht="12" customHeight="1" outlineLevel="2" x14ac:dyDescent="0.2">
      <c r="A1320" s="14" t="s">
        <v>2607</v>
      </c>
      <c r="B1320" s="15" t="s">
        <v>2608</v>
      </c>
      <c r="C1320" s="16">
        <f>214.03/(1+B2)</f>
        <v>214.03</v>
      </c>
      <c r="D1320" s="17" t="s">
        <v>11</v>
      </c>
      <c r="E1320" s="17"/>
      <c r="F1320" s="18"/>
      <c r="G1320" s="36" t="str">
        <f>IF(ISNUMBER(F1320),C1320*F1320,"")</f>
        <v/>
      </c>
    </row>
    <row r="1321" spans="1:7" ht="12" customHeight="1" outlineLevel="2" x14ac:dyDescent="0.2">
      <c r="A1321" s="14" t="s">
        <v>2609</v>
      </c>
      <c r="B1321" s="15" t="s">
        <v>2610</v>
      </c>
      <c r="C1321" s="16">
        <f>227.18/(1+B2)</f>
        <v>227.18</v>
      </c>
      <c r="D1321" s="17" t="s">
        <v>11</v>
      </c>
      <c r="E1321" s="17"/>
      <c r="F1321" s="18"/>
      <c r="G1321" s="36" t="str">
        <f>IF(ISNUMBER(F1321),C1321*F1321,"")</f>
        <v/>
      </c>
    </row>
    <row r="1322" spans="1:7" ht="12" customHeight="1" outlineLevel="2" x14ac:dyDescent="0.2">
      <c r="A1322" s="14" t="s">
        <v>2611</v>
      </c>
      <c r="B1322" s="15" t="s">
        <v>2612</v>
      </c>
      <c r="C1322" s="16">
        <f>227.18/(1+B2)</f>
        <v>227.18</v>
      </c>
      <c r="D1322" s="17" t="s">
        <v>11</v>
      </c>
      <c r="E1322" s="17"/>
      <c r="F1322" s="18"/>
      <c r="G1322" s="36" t="str">
        <f>IF(ISNUMBER(F1322),C1322*F1322,"")</f>
        <v/>
      </c>
    </row>
    <row r="1323" spans="1:7" ht="12" customHeight="1" outlineLevel="2" x14ac:dyDescent="0.2">
      <c r="A1323" s="14" t="s">
        <v>2613</v>
      </c>
      <c r="B1323" s="15" t="s">
        <v>2614</v>
      </c>
      <c r="C1323" s="16">
        <f>227.18/(1+B2)</f>
        <v>227.18</v>
      </c>
      <c r="D1323" s="17" t="s">
        <v>11</v>
      </c>
      <c r="E1323" s="17"/>
      <c r="F1323" s="18"/>
      <c r="G1323" s="36" t="str">
        <f>IF(ISNUMBER(F1323),C1323*F1323,"")</f>
        <v/>
      </c>
    </row>
    <row r="1324" spans="1:7" ht="12" customHeight="1" outlineLevel="2" x14ac:dyDescent="0.2">
      <c r="A1324" s="14" t="s">
        <v>2615</v>
      </c>
      <c r="B1324" s="15" t="s">
        <v>2616</v>
      </c>
      <c r="C1324" s="16">
        <f>227.18/(1+B2)</f>
        <v>227.18</v>
      </c>
      <c r="D1324" s="17" t="s">
        <v>11</v>
      </c>
      <c r="E1324" s="17"/>
      <c r="F1324" s="18"/>
      <c r="G1324" s="36" t="str">
        <f>IF(ISNUMBER(F1324),C1324*F1324,"")</f>
        <v/>
      </c>
    </row>
    <row r="1325" spans="1:7" s="1" customFormat="1" ht="15.95" customHeight="1" outlineLevel="1" x14ac:dyDescent="0.25">
      <c r="A1325" s="11"/>
      <c r="B1325" s="12" t="s">
        <v>2617</v>
      </c>
      <c r="C1325" s="13"/>
      <c r="D1325" s="13"/>
      <c r="E1325" s="13"/>
      <c r="F1325" s="13"/>
      <c r="G1325" s="35"/>
    </row>
    <row r="1326" spans="1:7" ht="12" customHeight="1" outlineLevel="2" x14ac:dyDescent="0.2">
      <c r="A1326" s="14" t="s">
        <v>2618</v>
      </c>
      <c r="B1326" s="15" t="s">
        <v>2619</v>
      </c>
      <c r="C1326" s="16">
        <f>114.94/(1+B2)</f>
        <v>114.94</v>
      </c>
      <c r="D1326" s="17" t="s">
        <v>11</v>
      </c>
      <c r="E1326" s="17"/>
      <c r="F1326" s="18"/>
      <c r="G1326" s="36" t="str">
        <f>IF(ISNUMBER(F1326),C1326*F1326,"")</f>
        <v/>
      </c>
    </row>
    <row r="1327" spans="1:7" ht="12" customHeight="1" outlineLevel="2" x14ac:dyDescent="0.2">
      <c r="A1327" s="14" t="s">
        <v>2620</v>
      </c>
      <c r="B1327" s="15" t="s">
        <v>2621</v>
      </c>
      <c r="C1327" s="16">
        <f>114.94/(1+B2)</f>
        <v>114.94</v>
      </c>
      <c r="D1327" s="17" t="s">
        <v>11</v>
      </c>
      <c r="E1327" s="17"/>
      <c r="F1327" s="18"/>
      <c r="G1327" s="36" t="str">
        <f>IF(ISNUMBER(F1327),C1327*F1327,"")</f>
        <v/>
      </c>
    </row>
    <row r="1328" spans="1:7" ht="12" customHeight="1" outlineLevel="2" x14ac:dyDescent="0.2">
      <c r="A1328" s="14" t="s">
        <v>2622</v>
      </c>
      <c r="B1328" s="15" t="s">
        <v>2623</v>
      </c>
      <c r="C1328" s="16">
        <f>114.94/(1+B2)</f>
        <v>114.94</v>
      </c>
      <c r="D1328" s="17" t="s">
        <v>11</v>
      </c>
      <c r="E1328" s="17"/>
      <c r="F1328" s="18"/>
      <c r="G1328" s="36" t="str">
        <f>IF(ISNUMBER(F1328),C1328*F1328,"")</f>
        <v/>
      </c>
    </row>
    <row r="1329" spans="1:7" ht="12" customHeight="1" outlineLevel="2" x14ac:dyDescent="0.2">
      <c r="A1329" s="14" t="s">
        <v>2624</v>
      </c>
      <c r="B1329" s="15" t="s">
        <v>2625</v>
      </c>
      <c r="C1329" s="16">
        <f>114.94/(1+B2)</f>
        <v>114.94</v>
      </c>
      <c r="D1329" s="17" t="s">
        <v>11</v>
      </c>
      <c r="E1329" s="17" t="s">
        <v>11</v>
      </c>
      <c r="F1329" s="18"/>
      <c r="G1329" s="36" t="str">
        <f>IF(ISNUMBER(F1329),C1329*F1329,"")</f>
        <v/>
      </c>
    </row>
    <row r="1330" spans="1:7" ht="12" customHeight="1" outlineLevel="2" x14ac:dyDescent="0.2">
      <c r="A1330" s="14" t="s">
        <v>2626</v>
      </c>
      <c r="B1330" s="15" t="s">
        <v>2627</v>
      </c>
      <c r="C1330" s="16">
        <f>114.94/(1+B2)</f>
        <v>114.94</v>
      </c>
      <c r="D1330" s="17" t="s">
        <v>11</v>
      </c>
      <c r="E1330" s="17" t="s">
        <v>11</v>
      </c>
      <c r="F1330" s="18"/>
      <c r="G1330" s="36" t="str">
        <f>IF(ISNUMBER(F1330),C1330*F1330,"")</f>
        <v/>
      </c>
    </row>
    <row r="1331" spans="1:7" ht="12" customHeight="1" outlineLevel="2" x14ac:dyDescent="0.2">
      <c r="A1331" s="14" t="s">
        <v>2628</v>
      </c>
      <c r="B1331" s="15" t="s">
        <v>2629</v>
      </c>
      <c r="C1331" s="16">
        <f>114.94/(1+B2)</f>
        <v>114.94</v>
      </c>
      <c r="D1331" s="17" t="s">
        <v>11</v>
      </c>
      <c r="E1331" s="17"/>
      <c r="F1331" s="18"/>
      <c r="G1331" s="36" t="str">
        <f>IF(ISNUMBER(F1331),C1331*F1331,"")</f>
        <v/>
      </c>
    </row>
    <row r="1332" spans="1:7" ht="12" customHeight="1" outlineLevel="2" x14ac:dyDescent="0.2">
      <c r="A1332" s="14" t="s">
        <v>2630</v>
      </c>
      <c r="B1332" s="15" t="s">
        <v>2631</v>
      </c>
      <c r="C1332" s="16">
        <f>114.94/(1+B2)</f>
        <v>114.94</v>
      </c>
      <c r="D1332" s="17" t="s">
        <v>11</v>
      </c>
      <c r="E1332" s="17" t="s">
        <v>11</v>
      </c>
      <c r="F1332" s="18"/>
      <c r="G1332" s="36" t="str">
        <f>IF(ISNUMBER(F1332),C1332*F1332,"")</f>
        <v/>
      </c>
    </row>
    <row r="1333" spans="1:7" ht="12" customHeight="1" outlineLevel="2" x14ac:dyDescent="0.2">
      <c r="A1333" s="14" t="s">
        <v>2632</v>
      </c>
      <c r="B1333" s="15" t="s">
        <v>2633</v>
      </c>
      <c r="C1333" s="16">
        <f>114.94/(1+B2)</f>
        <v>114.94</v>
      </c>
      <c r="D1333" s="17" t="s">
        <v>11</v>
      </c>
      <c r="E1333" s="17"/>
      <c r="F1333" s="18"/>
      <c r="G1333" s="36" t="str">
        <f>IF(ISNUMBER(F1333),C1333*F1333,"")</f>
        <v/>
      </c>
    </row>
    <row r="1334" spans="1:7" ht="12" customHeight="1" outlineLevel="2" x14ac:dyDescent="0.2">
      <c r="A1334" s="14" t="s">
        <v>2634</v>
      </c>
      <c r="B1334" s="15" t="s">
        <v>2635</v>
      </c>
      <c r="C1334" s="16">
        <f>114.94/(1+B2)</f>
        <v>114.94</v>
      </c>
      <c r="D1334" s="17" t="s">
        <v>11</v>
      </c>
      <c r="E1334" s="17" t="s">
        <v>11</v>
      </c>
      <c r="F1334" s="18"/>
      <c r="G1334" s="36" t="str">
        <f>IF(ISNUMBER(F1334),C1334*F1334,"")</f>
        <v/>
      </c>
    </row>
    <row r="1335" spans="1:7" ht="12" customHeight="1" outlineLevel="2" x14ac:dyDescent="0.2">
      <c r="A1335" s="14" t="s">
        <v>2636</v>
      </c>
      <c r="B1335" s="15" t="s">
        <v>2637</v>
      </c>
      <c r="C1335" s="16">
        <f>114.94/(1+B2)</f>
        <v>114.94</v>
      </c>
      <c r="D1335" s="17" t="s">
        <v>11</v>
      </c>
      <c r="E1335" s="17"/>
      <c r="F1335" s="18"/>
      <c r="G1335" s="36" t="str">
        <f>IF(ISNUMBER(F1335),C1335*F1335,"")</f>
        <v/>
      </c>
    </row>
    <row r="1336" spans="1:7" ht="12" customHeight="1" outlineLevel="2" x14ac:dyDescent="0.2">
      <c r="A1336" s="14" t="s">
        <v>2638</v>
      </c>
      <c r="B1336" s="15" t="s">
        <v>2639</v>
      </c>
      <c r="C1336" s="16">
        <f>114.94/(1+B2)</f>
        <v>114.94</v>
      </c>
      <c r="D1336" s="17" t="s">
        <v>11</v>
      </c>
      <c r="E1336" s="17"/>
      <c r="F1336" s="18"/>
      <c r="G1336" s="36" t="str">
        <f>IF(ISNUMBER(F1336),C1336*F1336,"")</f>
        <v/>
      </c>
    </row>
    <row r="1337" spans="1:7" ht="12" customHeight="1" outlineLevel="2" x14ac:dyDescent="0.2">
      <c r="A1337" s="14" t="s">
        <v>2640</v>
      </c>
      <c r="B1337" s="15" t="s">
        <v>2641</v>
      </c>
      <c r="C1337" s="16">
        <f>114.94/(1+B2)</f>
        <v>114.94</v>
      </c>
      <c r="D1337" s="17" t="s">
        <v>11</v>
      </c>
      <c r="E1337" s="17"/>
      <c r="F1337" s="18"/>
      <c r="G1337" s="36" t="str">
        <f>IF(ISNUMBER(F1337),C1337*F1337,"")</f>
        <v/>
      </c>
    </row>
    <row r="1338" spans="1:7" ht="12" customHeight="1" outlineLevel="2" x14ac:dyDescent="0.2">
      <c r="A1338" s="14" t="s">
        <v>2642</v>
      </c>
      <c r="B1338" s="15" t="s">
        <v>2643</v>
      </c>
      <c r="C1338" s="16">
        <f>114.94/(1+B2)</f>
        <v>114.94</v>
      </c>
      <c r="D1338" s="17" t="s">
        <v>11</v>
      </c>
      <c r="E1338" s="17" t="s">
        <v>11</v>
      </c>
      <c r="F1338" s="18"/>
      <c r="G1338" s="36" t="str">
        <f>IF(ISNUMBER(F1338),C1338*F1338,"")</f>
        <v/>
      </c>
    </row>
    <row r="1339" spans="1:7" ht="12" customHeight="1" outlineLevel="2" x14ac:dyDescent="0.2">
      <c r="A1339" s="14" t="s">
        <v>2644</v>
      </c>
      <c r="B1339" s="15" t="s">
        <v>2645</v>
      </c>
      <c r="C1339" s="16">
        <f>114.94/(1+B2)</f>
        <v>114.94</v>
      </c>
      <c r="D1339" s="17" t="s">
        <v>11</v>
      </c>
      <c r="E1339" s="17"/>
      <c r="F1339" s="18"/>
      <c r="G1339" s="36" t="str">
        <f>IF(ISNUMBER(F1339),C1339*F1339,"")</f>
        <v/>
      </c>
    </row>
    <row r="1340" spans="1:7" ht="12" customHeight="1" outlineLevel="2" x14ac:dyDescent="0.2">
      <c r="A1340" s="14" t="s">
        <v>2646</v>
      </c>
      <c r="B1340" s="15" t="s">
        <v>2647</v>
      </c>
      <c r="C1340" s="16">
        <f>114.94/(1+B2)</f>
        <v>114.94</v>
      </c>
      <c r="D1340" s="17" t="s">
        <v>11</v>
      </c>
      <c r="E1340" s="17" t="s">
        <v>11</v>
      </c>
      <c r="F1340" s="18"/>
      <c r="G1340" s="36" t="str">
        <f>IF(ISNUMBER(F1340),C1340*F1340,"")</f>
        <v/>
      </c>
    </row>
    <row r="1341" spans="1:7" ht="12" customHeight="1" outlineLevel="2" x14ac:dyDescent="0.2">
      <c r="A1341" s="14" t="s">
        <v>2648</v>
      </c>
      <c r="B1341" s="15" t="s">
        <v>2649</v>
      </c>
      <c r="C1341" s="16">
        <f>114.94/(1+B2)</f>
        <v>114.94</v>
      </c>
      <c r="D1341" s="17" t="s">
        <v>11</v>
      </c>
      <c r="E1341" s="17" t="s">
        <v>11</v>
      </c>
      <c r="F1341" s="18"/>
      <c r="G1341" s="36" t="str">
        <f>IF(ISNUMBER(F1341),C1341*F1341,"")</f>
        <v/>
      </c>
    </row>
    <row r="1342" spans="1:7" ht="12" customHeight="1" outlineLevel="2" x14ac:dyDescent="0.2">
      <c r="A1342" s="14" t="s">
        <v>2650</v>
      </c>
      <c r="B1342" s="15" t="s">
        <v>2651</v>
      </c>
      <c r="C1342" s="16">
        <f>114.94/(1+B2)</f>
        <v>114.94</v>
      </c>
      <c r="D1342" s="17" t="s">
        <v>11</v>
      </c>
      <c r="E1342" s="17"/>
      <c r="F1342" s="18"/>
      <c r="G1342" s="36" t="str">
        <f>IF(ISNUMBER(F1342),C1342*F1342,"")</f>
        <v/>
      </c>
    </row>
    <row r="1343" spans="1:7" ht="12" customHeight="1" outlineLevel="2" x14ac:dyDescent="0.2">
      <c r="A1343" s="14" t="s">
        <v>2652</v>
      </c>
      <c r="B1343" s="15" t="s">
        <v>2653</v>
      </c>
      <c r="C1343" s="16">
        <f>114.94/(1+B2)</f>
        <v>114.94</v>
      </c>
      <c r="D1343" s="17" t="s">
        <v>11</v>
      </c>
      <c r="E1343" s="17"/>
      <c r="F1343" s="18"/>
      <c r="G1343" s="36" t="str">
        <f>IF(ISNUMBER(F1343),C1343*F1343,"")</f>
        <v/>
      </c>
    </row>
    <row r="1344" spans="1:7" ht="12" customHeight="1" outlineLevel="2" x14ac:dyDescent="0.2">
      <c r="A1344" s="14" t="s">
        <v>2654</v>
      </c>
      <c r="B1344" s="15" t="s">
        <v>2655</v>
      </c>
      <c r="C1344" s="16">
        <f>114.94/(1+B2)</f>
        <v>114.94</v>
      </c>
      <c r="D1344" s="17" t="s">
        <v>11</v>
      </c>
      <c r="E1344" s="17" t="s">
        <v>11</v>
      </c>
      <c r="F1344" s="18"/>
      <c r="G1344" s="36" t="str">
        <f>IF(ISNUMBER(F1344),C1344*F1344,"")</f>
        <v/>
      </c>
    </row>
    <row r="1345" spans="1:7" ht="12" customHeight="1" outlineLevel="2" x14ac:dyDescent="0.2">
      <c r="A1345" s="14" t="s">
        <v>2656</v>
      </c>
      <c r="B1345" s="15" t="s">
        <v>2657</v>
      </c>
      <c r="C1345" s="16">
        <f>114.94/(1+B2)</f>
        <v>114.94</v>
      </c>
      <c r="D1345" s="17" t="s">
        <v>11</v>
      </c>
      <c r="E1345" s="17" t="s">
        <v>11</v>
      </c>
      <c r="F1345" s="18"/>
      <c r="G1345" s="36" t="str">
        <f>IF(ISNUMBER(F1345),C1345*F1345,"")</f>
        <v/>
      </c>
    </row>
    <row r="1346" spans="1:7" ht="12" customHeight="1" outlineLevel="2" x14ac:dyDescent="0.2">
      <c r="A1346" s="14" t="s">
        <v>2658</v>
      </c>
      <c r="B1346" s="15" t="s">
        <v>2659</v>
      </c>
      <c r="C1346" s="16">
        <f>114.94/(1+B2)</f>
        <v>114.94</v>
      </c>
      <c r="D1346" s="17" t="s">
        <v>11</v>
      </c>
      <c r="E1346" s="17" t="s">
        <v>11</v>
      </c>
      <c r="F1346" s="18"/>
      <c r="G1346" s="36" t="str">
        <f>IF(ISNUMBER(F1346),C1346*F1346,"")</f>
        <v/>
      </c>
    </row>
    <row r="1347" spans="1:7" ht="12" customHeight="1" outlineLevel="2" x14ac:dyDescent="0.2">
      <c r="A1347" s="14" t="s">
        <v>2660</v>
      </c>
      <c r="B1347" s="15" t="s">
        <v>2661</v>
      </c>
      <c r="C1347" s="16">
        <f>114.94/(1+B2)</f>
        <v>114.94</v>
      </c>
      <c r="D1347" s="17" t="s">
        <v>11</v>
      </c>
      <c r="E1347" s="17" t="s">
        <v>11</v>
      </c>
      <c r="F1347" s="18"/>
      <c r="G1347" s="36" t="str">
        <f>IF(ISNUMBER(F1347),C1347*F1347,"")</f>
        <v/>
      </c>
    </row>
    <row r="1348" spans="1:7" ht="12" customHeight="1" outlineLevel="2" x14ac:dyDescent="0.2">
      <c r="A1348" s="14" t="s">
        <v>2662</v>
      </c>
      <c r="B1348" s="15" t="s">
        <v>2663</v>
      </c>
      <c r="C1348" s="16">
        <f>114.94/(1+B2)</f>
        <v>114.94</v>
      </c>
      <c r="D1348" s="17" t="s">
        <v>11</v>
      </c>
      <c r="E1348" s="17" t="s">
        <v>11</v>
      </c>
      <c r="F1348" s="18"/>
      <c r="G1348" s="36" t="str">
        <f>IF(ISNUMBER(F1348),C1348*F1348,"")</f>
        <v/>
      </c>
    </row>
    <row r="1349" spans="1:7" ht="12" customHeight="1" outlineLevel="2" x14ac:dyDescent="0.2">
      <c r="A1349" s="14" t="s">
        <v>2664</v>
      </c>
      <c r="B1349" s="15" t="s">
        <v>2665</v>
      </c>
      <c r="C1349" s="16">
        <f>214.49/(1+B2)</f>
        <v>214.49</v>
      </c>
      <c r="D1349" s="17" t="s">
        <v>11</v>
      </c>
      <c r="E1349" s="17"/>
      <c r="F1349" s="18"/>
      <c r="G1349" s="36" t="str">
        <f>IF(ISNUMBER(F1349),C1349*F1349,"")</f>
        <v/>
      </c>
    </row>
    <row r="1350" spans="1:7" ht="12" customHeight="1" outlineLevel="2" x14ac:dyDescent="0.2">
      <c r="A1350" s="14" t="s">
        <v>2666</v>
      </c>
      <c r="B1350" s="15" t="s">
        <v>2667</v>
      </c>
      <c r="C1350" s="16">
        <f>214.49/(1+B2)</f>
        <v>214.49</v>
      </c>
      <c r="D1350" s="17" t="s">
        <v>11</v>
      </c>
      <c r="E1350" s="17"/>
      <c r="F1350" s="18"/>
      <c r="G1350" s="36" t="str">
        <f>IF(ISNUMBER(F1350),C1350*F1350,"")</f>
        <v/>
      </c>
    </row>
    <row r="1351" spans="1:7" ht="12" customHeight="1" outlineLevel="2" x14ac:dyDescent="0.2">
      <c r="A1351" s="14" t="s">
        <v>2668</v>
      </c>
      <c r="B1351" s="15" t="s">
        <v>2669</v>
      </c>
      <c r="C1351" s="16">
        <f>214.49/(1+B2)</f>
        <v>214.49</v>
      </c>
      <c r="D1351" s="17" t="s">
        <v>11</v>
      </c>
      <c r="E1351" s="17"/>
      <c r="F1351" s="18"/>
      <c r="G1351" s="36" t="str">
        <f>IF(ISNUMBER(F1351),C1351*F1351,"")</f>
        <v/>
      </c>
    </row>
    <row r="1352" spans="1:7" ht="12" customHeight="1" outlineLevel="2" x14ac:dyDescent="0.2">
      <c r="A1352" s="14" t="s">
        <v>2670</v>
      </c>
      <c r="B1352" s="15" t="s">
        <v>2671</v>
      </c>
      <c r="C1352" s="16">
        <f>214.49/(1+B2)</f>
        <v>214.49</v>
      </c>
      <c r="D1352" s="17" t="s">
        <v>11</v>
      </c>
      <c r="E1352" s="17"/>
      <c r="F1352" s="18"/>
      <c r="G1352" s="36" t="str">
        <f>IF(ISNUMBER(F1352),C1352*F1352,"")</f>
        <v/>
      </c>
    </row>
    <row r="1353" spans="1:7" ht="12" customHeight="1" outlineLevel="2" x14ac:dyDescent="0.2">
      <c r="A1353" s="14" t="s">
        <v>2672</v>
      </c>
      <c r="B1353" s="15" t="s">
        <v>2673</v>
      </c>
      <c r="C1353" s="16">
        <f>214.49/(1+B2)</f>
        <v>214.49</v>
      </c>
      <c r="D1353" s="17" t="s">
        <v>11</v>
      </c>
      <c r="E1353" s="17"/>
      <c r="F1353" s="18"/>
      <c r="G1353" s="36" t="str">
        <f>IF(ISNUMBER(F1353),C1353*F1353,"")</f>
        <v/>
      </c>
    </row>
    <row r="1354" spans="1:7" ht="12" customHeight="1" outlineLevel="2" x14ac:dyDescent="0.2">
      <c r="A1354" s="14" t="s">
        <v>2674</v>
      </c>
      <c r="B1354" s="15" t="s">
        <v>2675</v>
      </c>
      <c r="C1354" s="16">
        <f>214.49/(1+B2)</f>
        <v>214.49</v>
      </c>
      <c r="D1354" s="17" t="s">
        <v>11</v>
      </c>
      <c r="E1354" s="17" t="s">
        <v>11</v>
      </c>
      <c r="F1354" s="18"/>
      <c r="G1354" s="36" t="str">
        <f>IF(ISNUMBER(F1354),C1354*F1354,"")</f>
        <v/>
      </c>
    </row>
    <row r="1355" spans="1:7" ht="12" customHeight="1" outlineLevel="2" x14ac:dyDescent="0.2">
      <c r="A1355" s="14" t="s">
        <v>2676</v>
      </c>
      <c r="B1355" s="15" t="s">
        <v>2677</v>
      </c>
      <c r="C1355" s="16">
        <f>214.49/(1+B2)</f>
        <v>214.49</v>
      </c>
      <c r="D1355" s="17" t="s">
        <v>11</v>
      </c>
      <c r="E1355" s="17" t="s">
        <v>11</v>
      </c>
      <c r="F1355" s="18"/>
      <c r="G1355" s="36" t="str">
        <f>IF(ISNUMBER(F1355),C1355*F1355,"")</f>
        <v/>
      </c>
    </row>
    <row r="1356" spans="1:7" ht="12" customHeight="1" outlineLevel="2" x14ac:dyDescent="0.2">
      <c r="A1356" s="14" t="s">
        <v>2678</v>
      </c>
      <c r="B1356" s="15" t="s">
        <v>2679</v>
      </c>
      <c r="C1356" s="16">
        <f>214.49/(1+B2)</f>
        <v>214.49</v>
      </c>
      <c r="D1356" s="17" t="s">
        <v>11</v>
      </c>
      <c r="E1356" s="17" t="s">
        <v>11</v>
      </c>
      <c r="F1356" s="18"/>
      <c r="G1356" s="36" t="str">
        <f>IF(ISNUMBER(F1356),C1356*F1356,"")</f>
        <v/>
      </c>
    </row>
    <row r="1357" spans="1:7" ht="12" customHeight="1" outlineLevel="2" x14ac:dyDescent="0.2">
      <c r="A1357" s="14" t="s">
        <v>2680</v>
      </c>
      <c r="B1357" s="15" t="s">
        <v>2681</v>
      </c>
      <c r="C1357" s="16">
        <f>214.49/(1+B2)</f>
        <v>214.49</v>
      </c>
      <c r="D1357" s="17" t="s">
        <v>11</v>
      </c>
      <c r="E1357" s="17" t="s">
        <v>11</v>
      </c>
      <c r="F1357" s="18"/>
      <c r="G1357" s="36" t="str">
        <f>IF(ISNUMBER(F1357),C1357*F1357,"")</f>
        <v/>
      </c>
    </row>
    <row r="1358" spans="1:7" ht="12" customHeight="1" outlineLevel="2" x14ac:dyDescent="0.2">
      <c r="A1358" s="14" t="s">
        <v>2682</v>
      </c>
      <c r="B1358" s="15" t="s">
        <v>2683</v>
      </c>
      <c r="C1358" s="16">
        <f>214.49/(1+B2)</f>
        <v>214.49</v>
      </c>
      <c r="D1358" s="17" t="s">
        <v>11</v>
      </c>
      <c r="E1358" s="17"/>
      <c r="F1358" s="18"/>
      <c r="G1358" s="36" t="str">
        <f>IF(ISNUMBER(F1358),C1358*F1358,"")</f>
        <v/>
      </c>
    </row>
    <row r="1359" spans="1:7" ht="12" customHeight="1" outlineLevel="2" x14ac:dyDescent="0.2">
      <c r="A1359" s="14" t="s">
        <v>2684</v>
      </c>
      <c r="B1359" s="15" t="s">
        <v>2685</v>
      </c>
      <c r="C1359" s="16">
        <f>214.49/(1+B2)</f>
        <v>214.49</v>
      </c>
      <c r="D1359" s="17" t="s">
        <v>11</v>
      </c>
      <c r="E1359" s="17"/>
      <c r="F1359" s="18"/>
      <c r="G1359" s="36" t="str">
        <f>IF(ISNUMBER(F1359),C1359*F1359,"")</f>
        <v/>
      </c>
    </row>
    <row r="1360" spans="1:7" ht="12" customHeight="1" outlineLevel="2" x14ac:dyDescent="0.2">
      <c r="A1360" s="14" t="s">
        <v>2686</v>
      </c>
      <c r="B1360" s="15" t="s">
        <v>2687</v>
      </c>
      <c r="C1360" s="16">
        <f>214.49/(1+B2)</f>
        <v>214.49</v>
      </c>
      <c r="D1360" s="17" t="s">
        <v>11</v>
      </c>
      <c r="E1360" s="17" t="s">
        <v>11</v>
      </c>
      <c r="F1360" s="18"/>
      <c r="G1360" s="36" t="str">
        <f>IF(ISNUMBER(F1360),C1360*F1360,"")</f>
        <v/>
      </c>
    </row>
    <row r="1361" spans="1:7" ht="12" customHeight="1" outlineLevel="2" x14ac:dyDescent="0.2">
      <c r="A1361" s="14" t="s">
        <v>2688</v>
      </c>
      <c r="B1361" s="15" t="s">
        <v>2689</v>
      </c>
      <c r="C1361" s="16">
        <f>214.49/(1+B2)</f>
        <v>214.49</v>
      </c>
      <c r="D1361" s="17" t="s">
        <v>11</v>
      </c>
      <c r="E1361" s="17"/>
      <c r="F1361" s="18"/>
      <c r="G1361" s="36" t="str">
        <f>IF(ISNUMBER(F1361),C1361*F1361,"")</f>
        <v/>
      </c>
    </row>
    <row r="1362" spans="1:7" ht="12" customHeight="1" outlineLevel="2" x14ac:dyDescent="0.2">
      <c r="A1362" s="14" t="s">
        <v>2690</v>
      </c>
      <c r="B1362" s="15" t="s">
        <v>2691</v>
      </c>
      <c r="C1362" s="16">
        <f>214.49/(1+B2)</f>
        <v>214.49</v>
      </c>
      <c r="D1362" s="17" t="s">
        <v>11</v>
      </c>
      <c r="E1362" s="17" t="s">
        <v>11</v>
      </c>
      <c r="F1362" s="18"/>
      <c r="G1362" s="36" t="str">
        <f>IF(ISNUMBER(F1362),C1362*F1362,"")</f>
        <v/>
      </c>
    </row>
    <row r="1363" spans="1:7" ht="12" customHeight="1" outlineLevel="2" x14ac:dyDescent="0.2">
      <c r="A1363" s="14" t="s">
        <v>2692</v>
      </c>
      <c r="B1363" s="15" t="s">
        <v>2693</v>
      </c>
      <c r="C1363" s="16">
        <f>214.49/(1+B2)</f>
        <v>214.49</v>
      </c>
      <c r="D1363" s="17" t="s">
        <v>11</v>
      </c>
      <c r="E1363" s="17"/>
      <c r="F1363" s="18"/>
      <c r="G1363" s="36" t="str">
        <f>IF(ISNUMBER(F1363),C1363*F1363,"")</f>
        <v/>
      </c>
    </row>
    <row r="1364" spans="1:7" ht="12" customHeight="1" outlineLevel="2" x14ac:dyDescent="0.2">
      <c r="A1364" s="14" t="s">
        <v>2694</v>
      </c>
      <c r="B1364" s="15" t="s">
        <v>2695</v>
      </c>
      <c r="C1364" s="16">
        <f>214.49/(1+B2)</f>
        <v>214.49</v>
      </c>
      <c r="D1364" s="17" t="s">
        <v>11</v>
      </c>
      <c r="E1364" s="17"/>
      <c r="F1364" s="18"/>
      <c r="G1364" s="36" t="str">
        <f>IF(ISNUMBER(F1364),C1364*F1364,"")</f>
        <v/>
      </c>
    </row>
    <row r="1365" spans="1:7" ht="12" customHeight="1" outlineLevel="2" x14ac:dyDescent="0.2">
      <c r="A1365" s="14" t="s">
        <v>2696</v>
      </c>
      <c r="B1365" s="15" t="s">
        <v>2697</v>
      </c>
      <c r="C1365" s="16">
        <f>214.49/(1+B2)</f>
        <v>214.49</v>
      </c>
      <c r="D1365" s="17" t="s">
        <v>11</v>
      </c>
      <c r="E1365" s="17"/>
      <c r="F1365" s="18"/>
      <c r="G1365" s="36" t="str">
        <f>IF(ISNUMBER(F1365),C1365*F1365,"")</f>
        <v/>
      </c>
    </row>
    <row r="1366" spans="1:7" ht="12" customHeight="1" outlineLevel="2" x14ac:dyDescent="0.2">
      <c r="A1366" s="14" t="s">
        <v>2698</v>
      </c>
      <c r="B1366" s="15" t="s">
        <v>2699</v>
      </c>
      <c r="C1366" s="16">
        <f>214.49/(1+B2)</f>
        <v>214.49</v>
      </c>
      <c r="D1366" s="17" t="s">
        <v>11</v>
      </c>
      <c r="E1366" s="17"/>
      <c r="F1366" s="18"/>
      <c r="G1366" s="36" t="str">
        <f>IF(ISNUMBER(F1366),C1366*F1366,"")</f>
        <v/>
      </c>
    </row>
    <row r="1367" spans="1:7" ht="12" customHeight="1" outlineLevel="2" x14ac:dyDescent="0.2">
      <c r="A1367" s="14" t="s">
        <v>2700</v>
      </c>
      <c r="B1367" s="15" t="s">
        <v>2701</v>
      </c>
      <c r="C1367" s="16">
        <f>214.49/(1+B2)</f>
        <v>214.49</v>
      </c>
      <c r="D1367" s="17" t="s">
        <v>11</v>
      </c>
      <c r="E1367" s="17"/>
      <c r="F1367" s="18"/>
      <c r="G1367" s="36" t="str">
        <f>IF(ISNUMBER(F1367),C1367*F1367,"")</f>
        <v/>
      </c>
    </row>
    <row r="1368" spans="1:7" ht="12" customHeight="1" outlineLevel="2" x14ac:dyDescent="0.2">
      <c r="A1368" s="14" t="s">
        <v>2702</v>
      </c>
      <c r="B1368" s="15" t="s">
        <v>2703</v>
      </c>
      <c r="C1368" s="16">
        <f>214.49/(1+B2)</f>
        <v>214.49</v>
      </c>
      <c r="D1368" s="17" t="s">
        <v>11</v>
      </c>
      <c r="E1368" s="17" t="s">
        <v>11</v>
      </c>
      <c r="F1368" s="18"/>
      <c r="G1368" s="36" t="str">
        <f>IF(ISNUMBER(F1368),C1368*F1368,"")</f>
        <v/>
      </c>
    </row>
    <row r="1369" spans="1:7" ht="12" customHeight="1" outlineLevel="2" x14ac:dyDescent="0.2">
      <c r="A1369" s="14" t="s">
        <v>2704</v>
      </c>
      <c r="B1369" s="15" t="s">
        <v>2705</v>
      </c>
      <c r="C1369" s="16">
        <f>214.49/(1+B2)</f>
        <v>214.49</v>
      </c>
      <c r="D1369" s="17" t="s">
        <v>11</v>
      </c>
      <c r="E1369" s="17" t="s">
        <v>11</v>
      </c>
      <c r="F1369" s="18"/>
      <c r="G1369" s="36" t="str">
        <f>IF(ISNUMBER(F1369),C1369*F1369,"")</f>
        <v/>
      </c>
    </row>
    <row r="1370" spans="1:7" ht="12" customHeight="1" outlineLevel="2" x14ac:dyDescent="0.2">
      <c r="A1370" s="14" t="s">
        <v>2706</v>
      </c>
      <c r="B1370" s="15" t="s">
        <v>2707</v>
      </c>
      <c r="C1370" s="16">
        <f>214.49/(1+B2)</f>
        <v>214.49</v>
      </c>
      <c r="D1370" s="17" t="s">
        <v>11</v>
      </c>
      <c r="E1370" s="17" t="s">
        <v>11</v>
      </c>
      <c r="F1370" s="18"/>
      <c r="G1370" s="36" t="str">
        <f>IF(ISNUMBER(F1370),C1370*F1370,"")</f>
        <v/>
      </c>
    </row>
    <row r="1371" spans="1:7" ht="12" customHeight="1" outlineLevel="2" x14ac:dyDescent="0.2">
      <c r="A1371" s="14" t="s">
        <v>2708</v>
      </c>
      <c r="B1371" s="15" t="s">
        <v>2709</v>
      </c>
      <c r="C1371" s="16">
        <f>214.49/(1+B2)</f>
        <v>214.49</v>
      </c>
      <c r="D1371" s="17" t="s">
        <v>11</v>
      </c>
      <c r="E1371" s="17"/>
      <c r="F1371" s="18"/>
      <c r="G1371" s="36" t="str">
        <f>IF(ISNUMBER(F1371),C1371*F1371,"")</f>
        <v/>
      </c>
    </row>
    <row r="1372" spans="1:7" ht="12" customHeight="1" outlineLevel="2" x14ac:dyDescent="0.2">
      <c r="A1372" s="14" t="s">
        <v>2710</v>
      </c>
      <c r="B1372" s="15" t="s">
        <v>2711</v>
      </c>
      <c r="C1372" s="16">
        <f>214.49/(1+B2)</f>
        <v>214.49</v>
      </c>
      <c r="D1372" s="17" t="s">
        <v>11</v>
      </c>
      <c r="E1372" s="17"/>
      <c r="F1372" s="18"/>
      <c r="G1372" s="36" t="str">
        <f>IF(ISNUMBER(F1372),C1372*F1372,"")</f>
        <v/>
      </c>
    </row>
    <row r="1373" spans="1:7" ht="12" customHeight="1" outlineLevel="2" x14ac:dyDescent="0.2">
      <c r="A1373" s="14" t="s">
        <v>2712</v>
      </c>
      <c r="B1373" s="15" t="s">
        <v>2713</v>
      </c>
      <c r="C1373" s="16">
        <f>214.49/(1+B2)</f>
        <v>214.49</v>
      </c>
      <c r="D1373" s="17" t="s">
        <v>11</v>
      </c>
      <c r="E1373" s="17"/>
      <c r="F1373" s="18"/>
      <c r="G1373" s="36" t="str">
        <f>IF(ISNUMBER(F1373),C1373*F1373,"")</f>
        <v/>
      </c>
    </row>
    <row r="1374" spans="1:7" ht="12" customHeight="1" outlineLevel="2" x14ac:dyDescent="0.2">
      <c r="A1374" s="14" t="s">
        <v>2714</v>
      </c>
      <c r="B1374" s="15" t="s">
        <v>2715</v>
      </c>
      <c r="C1374" s="16">
        <f>214.49/(1+B2)</f>
        <v>214.49</v>
      </c>
      <c r="D1374" s="17" t="s">
        <v>11</v>
      </c>
      <c r="E1374" s="17"/>
      <c r="F1374" s="18"/>
      <c r="G1374" s="36" t="str">
        <f>IF(ISNUMBER(F1374),C1374*F1374,"")</f>
        <v/>
      </c>
    </row>
    <row r="1375" spans="1:7" ht="12" customHeight="1" outlineLevel="2" x14ac:dyDescent="0.2">
      <c r="A1375" s="14" t="s">
        <v>2716</v>
      </c>
      <c r="B1375" s="15" t="s">
        <v>2717</v>
      </c>
      <c r="C1375" s="16">
        <f>214.49/(1+B2)</f>
        <v>214.49</v>
      </c>
      <c r="D1375" s="17" t="s">
        <v>11</v>
      </c>
      <c r="E1375" s="17"/>
      <c r="F1375" s="18"/>
      <c r="G1375" s="36" t="str">
        <f>IF(ISNUMBER(F1375),C1375*F1375,"")</f>
        <v/>
      </c>
    </row>
    <row r="1376" spans="1:7" ht="12" customHeight="1" outlineLevel="2" x14ac:dyDescent="0.2">
      <c r="A1376" s="14" t="s">
        <v>2718</v>
      </c>
      <c r="B1376" s="15" t="s">
        <v>2719</v>
      </c>
      <c r="C1376" s="16">
        <f>214.49/(1+B2)</f>
        <v>214.49</v>
      </c>
      <c r="D1376" s="17" t="s">
        <v>11</v>
      </c>
      <c r="E1376" s="17"/>
      <c r="F1376" s="18"/>
      <c r="G1376" s="36" t="str">
        <f>IF(ISNUMBER(F1376),C1376*F1376,"")</f>
        <v/>
      </c>
    </row>
    <row r="1377" spans="1:7" ht="12" customHeight="1" outlineLevel="2" x14ac:dyDescent="0.2">
      <c r="A1377" s="14" t="s">
        <v>2720</v>
      </c>
      <c r="B1377" s="15" t="s">
        <v>2721</v>
      </c>
      <c r="C1377" s="16">
        <f>214.49/(1+B2)</f>
        <v>214.49</v>
      </c>
      <c r="D1377" s="17" t="s">
        <v>11</v>
      </c>
      <c r="E1377" s="17"/>
      <c r="F1377" s="18"/>
      <c r="G1377" s="36" t="str">
        <f>IF(ISNUMBER(F1377),C1377*F1377,"")</f>
        <v/>
      </c>
    </row>
    <row r="1378" spans="1:7" ht="12" customHeight="1" outlineLevel="2" x14ac:dyDescent="0.2">
      <c r="A1378" s="14" t="s">
        <v>2722</v>
      </c>
      <c r="B1378" s="15" t="s">
        <v>2723</v>
      </c>
      <c r="C1378" s="16">
        <f>214.49/(1+B2)</f>
        <v>214.49</v>
      </c>
      <c r="D1378" s="17" t="s">
        <v>11</v>
      </c>
      <c r="E1378" s="17"/>
      <c r="F1378" s="18"/>
      <c r="G1378" s="36" t="str">
        <f>IF(ISNUMBER(F1378),C1378*F1378,"")</f>
        <v/>
      </c>
    </row>
    <row r="1379" spans="1:7" ht="12" customHeight="1" outlineLevel="2" x14ac:dyDescent="0.2">
      <c r="A1379" s="14" t="s">
        <v>2724</v>
      </c>
      <c r="B1379" s="15" t="s">
        <v>2725</v>
      </c>
      <c r="C1379" s="16">
        <f>214.49/(1+B2)</f>
        <v>214.49</v>
      </c>
      <c r="D1379" s="17" t="s">
        <v>11</v>
      </c>
      <c r="E1379" s="17"/>
      <c r="F1379" s="18"/>
      <c r="G1379" s="36" t="str">
        <f>IF(ISNUMBER(F1379),C1379*F1379,"")</f>
        <v/>
      </c>
    </row>
    <row r="1380" spans="1:7" ht="12" customHeight="1" outlineLevel="2" x14ac:dyDescent="0.2">
      <c r="A1380" s="14" t="s">
        <v>2726</v>
      </c>
      <c r="B1380" s="15" t="s">
        <v>2727</v>
      </c>
      <c r="C1380" s="16">
        <f>214.49/(1+B2)</f>
        <v>214.49</v>
      </c>
      <c r="D1380" s="17" t="s">
        <v>11</v>
      </c>
      <c r="E1380" s="17"/>
      <c r="F1380" s="18"/>
      <c r="G1380" s="36" t="str">
        <f>IF(ISNUMBER(F1380),C1380*F1380,"")</f>
        <v/>
      </c>
    </row>
    <row r="1381" spans="1:7" ht="12" customHeight="1" outlineLevel="2" x14ac:dyDescent="0.2">
      <c r="A1381" s="14" t="s">
        <v>2728</v>
      </c>
      <c r="B1381" s="15" t="s">
        <v>2729</v>
      </c>
      <c r="C1381" s="16">
        <f>214/(1+B2)</f>
        <v>214</v>
      </c>
      <c r="D1381" s="17" t="s">
        <v>11</v>
      </c>
      <c r="E1381" s="17"/>
      <c r="F1381" s="18"/>
      <c r="G1381" s="36" t="str">
        <f>IF(ISNUMBER(F1381),C1381*F1381,"")</f>
        <v/>
      </c>
    </row>
    <row r="1382" spans="1:7" ht="12" customHeight="1" outlineLevel="2" x14ac:dyDescent="0.2">
      <c r="A1382" s="14" t="s">
        <v>2730</v>
      </c>
      <c r="B1382" s="15" t="s">
        <v>2731</v>
      </c>
      <c r="C1382" s="16">
        <f>214.49/(1+B2)</f>
        <v>214.49</v>
      </c>
      <c r="D1382" s="17" t="s">
        <v>11</v>
      </c>
      <c r="E1382" s="17"/>
      <c r="F1382" s="18"/>
      <c r="G1382" s="36" t="str">
        <f>IF(ISNUMBER(F1382),C1382*F1382,"")</f>
        <v/>
      </c>
    </row>
    <row r="1383" spans="1:7" ht="24" customHeight="1" outlineLevel="2" x14ac:dyDescent="0.2">
      <c r="A1383" s="14" t="s">
        <v>2732</v>
      </c>
      <c r="B1383" s="15" t="s">
        <v>2733</v>
      </c>
      <c r="C1383" s="16">
        <f>214.49/(1+B2)</f>
        <v>214.49</v>
      </c>
      <c r="D1383" s="17" t="s">
        <v>11</v>
      </c>
      <c r="E1383" s="17"/>
      <c r="F1383" s="18"/>
      <c r="G1383" s="36" t="str">
        <f>IF(ISNUMBER(F1383),C1383*F1383,"")</f>
        <v/>
      </c>
    </row>
    <row r="1384" spans="1:7" ht="12" customHeight="1" outlineLevel="2" x14ac:dyDescent="0.2">
      <c r="A1384" s="14" t="s">
        <v>2734</v>
      </c>
      <c r="B1384" s="15" t="s">
        <v>2735</v>
      </c>
      <c r="C1384" s="16">
        <f>214.49/(1+B2)</f>
        <v>214.49</v>
      </c>
      <c r="D1384" s="17" t="s">
        <v>11</v>
      </c>
      <c r="E1384" s="17"/>
      <c r="F1384" s="18"/>
      <c r="G1384" s="36" t="str">
        <f>IF(ISNUMBER(F1384),C1384*F1384,"")</f>
        <v/>
      </c>
    </row>
    <row r="1385" spans="1:7" ht="12" customHeight="1" outlineLevel="2" x14ac:dyDescent="0.2">
      <c r="A1385" s="14" t="s">
        <v>2736</v>
      </c>
      <c r="B1385" s="15" t="s">
        <v>2737</v>
      </c>
      <c r="C1385" s="16">
        <f>214.49/(1+B2)</f>
        <v>214.49</v>
      </c>
      <c r="D1385" s="17" t="s">
        <v>11</v>
      </c>
      <c r="E1385" s="17" t="s">
        <v>11</v>
      </c>
      <c r="F1385" s="18"/>
      <c r="G1385" s="36" t="str">
        <f>IF(ISNUMBER(F1385),C1385*F1385,"")</f>
        <v/>
      </c>
    </row>
    <row r="1386" spans="1:7" ht="12" customHeight="1" outlineLevel="2" x14ac:dyDescent="0.2">
      <c r="A1386" s="14" t="s">
        <v>2738</v>
      </c>
      <c r="B1386" s="15" t="s">
        <v>2739</v>
      </c>
      <c r="C1386" s="16">
        <f>214.49/(1+B2)</f>
        <v>214.49</v>
      </c>
      <c r="D1386" s="17" t="s">
        <v>11</v>
      </c>
      <c r="E1386" s="17"/>
      <c r="F1386" s="18"/>
      <c r="G1386" s="36" t="str">
        <f>IF(ISNUMBER(F1386),C1386*F1386,"")</f>
        <v/>
      </c>
    </row>
    <row r="1387" spans="1:7" s="1" customFormat="1" ht="15.95" customHeight="1" outlineLevel="1" x14ac:dyDescent="0.25">
      <c r="A1387" s="11"/>
      <c r="B1387" s="12" t="s">
        <v>2740</v>
      </c>
      <c r="C1387" s="13"/>
      <c r="D1387" s="13"/>
      <c r="E1387" s="13"/>
      <c r="F1387" s="13"/>
      <c r="G1387" s="35"/>
    </row>
    <row r="1388" spans="1:7" ht="12" customHeight="1" outlineLevel="2" x14ac:dyDescent="0.2">
      <c r="A1388" s="14" t="s">
        <v>2741</v>
      </c>
      <c r="B1388" s="15" t="s">
        <v>2742</v>
      </c>
      <c r="C1388" s="16">
        <f>210.51/(1+B2)</f>
        <v>210.51</v>
      </c>
      <c r="D1388" s="17" t="s">
        <v>11</v>
      </c>
      <c r="E1388" s="17"/>
      <c r="F1388" s="18"/>
      <c r="G1388" s="36" t="str">
        <f>IF(ISNUMBER(F1388),C1388*F1388,"")</f>
        <v/>
      </c>
    </row>
    <row r="1389" spans="1:7" ht="12" customHeight="1" outlineLevel="2" x14ac:dyDescent="0.2">
      <c r="A1389" s="14" t="s">
        <v>2743</v>
      </c>
      <c r="B1389" s="15" t="s">
        <v>2744</v>
      </c>
      <c r="C1389" s="16">
        <f>210.51/(1+B2)</f>
        <v>210.51</v>
      </c>
      <c r="D1389" s="17" t="s">
        <v>11</v>
      </c>
      <c r="E1389" s="17"/>
      <c r="F1389" s="18"/>
      <c r="G1389" s="36" t="str">
        <f>IF(ISNUMBER(F1389),C1389*F1389,"")</f>
        <v/>
      </c>
    </row>
    <row r="1390" spans="1:7" ht="12" customHeight="1" outlineLevel="2" x14ac:dyDescent="0.2">
      <c r="A1390" s="14" t="s">
        <v>2745</v>
      </c>
      <c r="B1390" s="15" t="s">
        <v>2746</v>
      </c>
      <c r="C1390" s="16">
        <f>210.51/(1+B2)</f>
        <v>210.51</v>
      </c>
      <c r="D1390" s="17" t="s">
        <v>11</v>
      </c>
      <c r="E1390" s="17"/>
      <c r="F1390" s="18"/>
      <c r="G1390" s="36" t="str">
        <f>IF(ISNUMBER(F1390),C1390*F1390,"")</f>
        <v/>
      </c>
    </row>
    <row r="1391" spans="1:7" ht="12" customHeight="1" outlineLevel="2" x14ac:dyDescent="0.2">
      <c r="A1391" s="14" t="s">
        <v>2747</v>
      </c>
      <c r="B1391" s="15" t="s">
        <v>2748</v>
      </c>
      <c r="C1391" s="16">
        <f>203.75/(1+B2)</f>
        <v>203.75</v>
      </c>
      <c r="D1391" s="17" t="s">
        <v>11</v>
      </c>
      <c r="E1391" s="17"/>
      <c r="F1391" s="18"/>
      <c r="G1391" s="36" t="str">
        <f>IF(ISNUMBER(F1391),C1391*F1391,"")</f>
        <v/>
      </c>
    </row>
    <row r="1392" spans="1:7" ht="24" customHeight="1" outlineLevel="2" x14ac:dyDescent="0.2">
      <c r="A1392" s="14" t="s">
        <v>2749</v>
      </c>
      <c r="B1392" s="15" t="s">
        <v>2750</v>
      </c>
      <c r="C1392" s="16">
        <f>210.51/(1+B2)</f>
        <v>210.51</v>
      </c>
      <c r="D1392" s="17" t="s">
        <v>11</v>
      </c>
      <c r="E1392" s="17" t="s">
        <v>11</v>
      </c>
      <c r="F1392" s="18"/>
      <c r="G1392" s="36" t="str">
        <f>IF(ISNUMBER(F1392),C1392*F1392,"")</f>
        <v/>
      </c>
    </row>
    <row r="1393" spans="1:7" ht="12" customHeight="1" outlineLevel="2" x14ac:dyDescent="0.2">
      <c r="A1393" s="14" t="s">
        <v>2751</v>
      </c>
      <c r="B1393" s="15" t="s">
        <v>2752</v>
      </c>
      <c r="C1393" s="16">
        <f>210.51/(1+B2)</f>
        <v>210.51</v>
      </c>
      <c r="D1393" s="17" t="s">
        <v>11</v>
      </c>
      <c r="E1393" s="17"/>
      <c r="F1393" s="18"/>
      <c r="G1393" s="36" t="str">
        <f>IF(ISNUMBER(F1393),C1393*F1393,"")</f>
        <v/>
      </c>
    </row>
    <row r="1394" spans="1:7" ht="12" customHeight="1" outlineLevel="2" x14ac:dyDescent="0.2">
      <c r="A1394" s="14" t="s">
        <v>2753</v>
      </c>
      <c r="B1394" s="15" t="s">
        <v>2754</v>
      </c>
      <c r="C1394" s="16">
        <f>210.51/(1+B2)</f>
        <v>210.51</v>
      </c>
      <c r="D1394" s="17" t="s">
        <v>11</v>
      </c>
      <c r="E1394" s="17" t="s">
        <v>11</v>
      </c>
      <c r="F1394" s="18"/>
      <c r="G1394" s="36" t="str">
        <f>IF(ISNUMBER(F1394),C1394*F1394,"")</f>
        <v/>
      </c>
    </row>
    <row r="1395" spans="1:7" ht="12" customHeight="1" outlineLevel="2" x14ac:dyDescent="0.2">
      <c r="A1395" s="14" t="s">
        <v>2755</v>
      </c>
      <c r="B1395" s="15" t="s">
        <v>2756</v>
      </c>
      <c r="C1395" s="16">
        <f>210.51/(1+B2)</f>
        <v>210.51</v>
      </c>
      <c r="D1395" s="17" t="s">
        <v>11</v>
      </c>
      <c r="E1395" s="17"/>
      <c r="F1395" s="18"/>
      <c r="G1395" s="36" t="str">
        <f>IF(ISNUMBER(F1395),C1395*F1395,"")</f>
        <v/>
      </c>
    </row>
    <row r="1396" spans="1:7" ht="12" customHeight="1" outlineLevel="2" x14ac:dyDescent="0.2">
      <c r="A1396" s="14" t="s">
        <v>2757</v>
      </c>
      <c r="B1396" s="15" t="s">
        <v>2758</v>
      </c>
      <c r="C1396" s="16">
        <f>210.51/(1+B2)</f>
        <v>210.51</v>
      </c>
      <c r="D1396" s="17" t="s">
        <v>11</v>
      </c>
      <c r="E1396" s="17"/>
      <c r="F1396" s="18"/>
      <c r="G1396" s="36" t="str">
        <f>IF(ISNUMBER(F1396),C1396*F1396,"")</f>
        <v/>
      </c>
    </row>
    <row r="1397" spans="1:7" ht="12" customHeight="1" outlineLevel="2" x14ac:dyDescent="0.2">
      <c r="A1397" s="14" t="s">
        <v>2759</v>
      </c>
      <c r="B1397" s="15" t="s">
        <v>2760</v>
      </c>
      <c r="C1397" s="16">
        <f>210.51/(1+B2)</f>
        <v>210.51</v>
      </c>
      <c r="D1397" s="17" t="s">
        <v>11</v>
      </c>
      <c r="E1397" s="17"/>
      <c r="F1397" s="18"/>
      <c r="G1397" s="36" t="str">
        <f>IF(ISNUMBER(F1397),C1397*F1397,"")</f>
        <v/>
      </c>
    </row>
    <row r="1398" spans="1:7" ht="24" customHeight="1" outlineLevel="2" x14ac:dyDescent="0.2">
      <c r="A1398" s="14" t="s">
        <v>2761</v>
      </c>
      <c r="B1398" s="15" t="s">
        <v>2762</v>
      </c>
      <c r="C1398" s="16">
        <f>210.51/(1+B2)</f>
        <v>210.51</v>
      </c>
      <c r="D1398" s="17" t="s">
        <v>11</v>
      </c>
      <c r="E1398" s="17" t="s">
        <v>11</v>
      </c>
      <c r="F1398" s="18"/>
      <c r="G1398" s="36" t="str">
        <f>IF(ISNUMBER(F1398),C1398*F1398,"")</f>
        <v/>
      </c>
    </row>
    <row r="1399" spans="1:7" ht="12" customHeight="1" outlineLevel="2" x14ac:dyDescent="0.2">
      <c r="A1399" s="14" t="s">
        <v>2763</v>
      </c>
      <c r="B1399" s="15" t="s">
        <v>2764</v>
      </c>
      <c r="C1399" s="16">
        <f>210.51/(1+B2)</f>
        <v>210.51</v>
      </c>
      <c r="D1399" s="17" t="s">
        <v>11</v>
      </c>
      <c r="E1399" s="17"/>
      <c r="F1399" s="18"/>
      <c r="G1399" s="36" t="str">
        <f>IF(ISNUMBER(F1399),C1399*F1399,"")</f>
        <v/>
      </c>
    </row>
    <row r="1400" spans="1:7" ht="12" customHeight="1" outlineLevel="2" x14ac:dyDescent="0.2">
      <c r="A1400" s="14" t="s">
        <v>2765</v>
      </c>
      <c r="B1400" s="15" t="s">
        <v>2766</v>
      </c>
      <c r="C1400" s="16">
        <f>210.51/(1+B2)</f>
        <v>210.51</v>
      </c>
      <c r="D1400" s="17" t="s">
        <v>11</v>
      </c>
      <c r="E1400" s="17"/>
      <c r="F1400" s="18"/>
      <c r="G1400" s="36" t="str">
        <f>IF(ISNUMBER(F1400),C1400*F1400,"")</f>
        <v/>
      </c>
    </row>
    <row r="1401" spans="1:7" ht="12" customHeight="1" outlineLevel="2" x14ac:dyDescent="0.2">
      <c r="A1401" s="14" t="s">
        <v>2767</v>
      </c>
      <c r="B1401" s="15" t="s">
        <v>2768</v>
      </c>
      <c r="C1401" s="16">
        <f>210.51/(1+B2)</f>
        <v>210.51</v>
      </c>
      <c r="D1401" s="17" t="s">
        <v>11</v>
      </c>
      <c r="E1401" s="17"/>
      <c r="F1401" s="18"/>
      <c r="G1401" s="36" t="str">
        <f>IF(ISNUMBER(F1401),C1401*F1401,"")</f>
        <v/>
      </c>
    </row>
    <row r="1402" spans="1:7" ht="12" customHeight="1" outlineLevel="2" x14ac:dyDescent="0.2">
      <c r="A1402" s="14" t="s">
        <v>2769</v>
      </c>
      <c r="B1402" s="15" t="s">
        <v>2770</v>
      </c>
      <c r="C1402" s="16">
        <f>210.51/(1+B2)</f>
        <v>210.51</v>
      </c>
      <c r="D1402" s="17" t="s">
        <v>11</v>
      </c>
      <c r="E1402" s="17"/>
      <c r="F1402" s="18"/>
      <c r="G1402" s="36" t="str">
        <f>IF(ISNUMBER(F1402),C1402*F1402,"")</f>
        <v/>
      </c>
    </row>
    <row r="1403" spans="1:7" ht="12" customHeight="1" outlineLevel="2" x14ac:dyDescent="0.2">
      <c r="A1403" s="14" t="s">
        <v>2771</v>
      </c>
      <c r="B1403" s="15" t="s">
        <v>2772</v>
      </c>
      <c r="C1403" s="16">
        <f>210.51/(1+B2)</f>
        <v>210.51</v>
      </c>
      <c r="D1403" s="17" t="s">
        <v>11</v>
      </c>
      <c r="E1403" s="17"/>
      <c r="F1403" s="18"/>
      <c r="G1403" s="36" t="str">
        <f>IF(ISNUMBER(F1403),C1403*F1403,"")</f>
        <v/>
      </c>
    </row>
    <row r="1404" spans="1:7" ht="12" customHeight="1" outlineLevel="2" x14ac:dyDescent="0.2">
      <c r="A1404" s="14" t="s">
        <v>2773</v>
      </c>
      <c r="B1404" s="15" t="s">
        <v>2774</v>
      </c>
      <c r="C1404" s="16">
        <f>210.51/(1+B2)</f>
        <v>210.51</v>
      </c>
      <c r="D1404" s="17" t="s">
        <v>11</v>
      </c>
      <c r="E1404" s="17"/>
      <c r="F1404" s="18"/>
      <c r="G1404" s="36" t="str">
        <f>IF(ISNUMBER(F1404),C1404*F1404,"")</f>
        <v/>
      </c>
    </row>
    <row r="1405" spans="1:7" ht="12" customHeight="1" outlineLevel="2" x14ac:dyDescent="0.2">
      <c r="A1405" s="14" t="s">
        <v>2775</v>
      </c>
      <c r="B1405" s="15" t="s">
        <v>2776</v>
      </c>
      <c r="C1405" s="16">
        <f>210.51/(1+B2)</f>
        <v>210.51</v>
      </c>
      <c r="D1405" s="17" t="s">
        <v>11</v>
      </c>
      <c r="E1405" s="17"/>
      <c r="F1405" s="18"/>
      <c r="G1405" s="36" t="str">
        <f>IF(ISNUMBER(F1405),C1405*F1405,"")</f>
        <v/>
      </c>
    </row>
    <row r="1406" spans="1:7" ht="12" customHeight="1" outlineLevel="2" x14ac:dyDescent="0.2">
      <c r="A1406" s="14" t="s">
        <v>2777</v>
      </c>
      <c r="B1406" s="15" t="s">
        <v>2778</v>
      </c>
      <c r="C1406" s="16">
        <f>100/(1+B2)</f>
        <v>100</v>
      </c>
      <c r="D1406" s="17" t="s">
        <v>11</v>
      </c>
      <c r="E1406" s="17"/>
      <c r="F1406" s="18"/>
      <c r="G1406" s="36" t="str">
        <f>IF(ISNUMBER(F1406),C1406*F1406,"")</f>
        <v/>
      </c>
    </row>
    <row r="1407" spans="1:7" ht="12" customHeight="1" outlineLevel="2" x14ac:dyDescent="0.2">
      <c r="A1407" s="14" t="s">
        <v>2779</v>
      </c>
      <c r="B1407" s="15" t="s">
        <v>2780</v>
      </c>
      <c r="C1407" s="16">
        <f>210.51/(1+B2)</f>
        <v>210.51</v>
      </c>
      <c r="D1407" s="17" t="s">
        <v>11</v>
      </c>
      <c r="E1407" s="17"/>
      <c r="F1407" s="18"/>
      <c r="G1407" s="36" t="str">
        <f>IF(ISNUMBER(F1407),C1407*F1407,"")</f>
        <v/>
      </c>
    </row>
    <row r="1408" spans="1:7" ht="24" customHeight="1" outlineLevel="2" x14ac:dyDescent="0.2">
      <c r="A1408" s="14" t="s">
        <v>2781</v>
      </c>
      <c r="B1408" s="15" t="s">
        <v>2782</v>
      </c>
      <c r="C1408" s="16">
        <f>210.51/(1+B2)</f>
        <v>210.51</v>
      </c>
      <c r="D1408" s="17" t="s">
        <v>11</v>
      </c>
      <c r="E1408" s="17"/>
      <c r="F1408" s="18"/>
      <c r="G1408" s="36" t="str">
        <f>IF(ISNUMBER(F1408),C1408*F1408,"")</f>
        <v/>
      </c>
    </row>
    <row r="1409" spans="1:7" ht="12" customHeight="1" outlineLevel="2" x14ac:dyDescent="0.2">
      <c r="A1409" s="14" t="s">
        <v>2783</v>
      </c>
      <c r="B1409" s="15" t="s">
        <v>2784</v>
      </c>
      <c r="C1409" s="16">
        <f>210.51/(1+B2)</f>
        <v>210.51</v>
      </c>
      <c r="D1409" s="17" t="s">
        <v>11</v>
      </c>
      <c r="E1409" s="17" t="s">
        <v>11</v>
      </c>
      <c r="F1409" s="18"/>
      <c r="G1409" s="36" t="str">
        <f>IF(ISNUMBER(F1409),C1409*F1409,"")</f>
        <v/>
      </c>
    </row>
    <row r="1410" spans="1:7" ht="12" customHeight="1" outlineLevel="2" x14ac:dyDescent="0.2">
      <c r="A1410" s="14" t="s">
        <v>2785</v>
      </c>
      <c r="B1410" s="15" t="s">
        <v>2786</v>
      </c>
      <c r="C1410" s="16">
        <f>210.51/(1+B2)</f>
        <v>210.51</v>
      </c>
      <c r="D1410" s="17" t="s">
        <v>11</v>
      </c>
      <c r="E1410" s="17"/>
      <c r="F1410" s="18"/>
      <c r="G1410" s="36" t="str">
        <f>IF(ISNUMBER(F1410),C1410*F1410,"")</f>
        <v/>
      </c>
    </row>
    <row r="1411" spans="1:7" ht="12" customHeight="1" outlineLevel="2" x14ac:dyDescent="0.2">
      <c r="A1411" s="14" t="s">
        <v>2787</v>
      </c>
      <c r="B1411" s="15" t="s">
        <v>2788</v>
      </c>
      <c r="C1411" s="16">
        <f>210.51/(1+B2)</f>
        <v>210.51</v>
      </c>
      <c r="D1411" s="17" t="s">
        <v>11</v>
      </c>
      <c r="E1411" s="17" t="s">
        <v>11</v>
      </c>
      <c r="F1411" s="18"/>
      <c r="G1411" s="36" t="str">
        <f>IF(ISNUMBER(F1411),C1411*F1411,"")</f>
        <v/>
      </c>
    </row>
    <row r="1412" spans="1:7" ht="12" customHeight="1" outlineLevel="2" x14ac:dyDescent="0.2">
      <c r="A1412" s="14" t="s">
        <v>2789</v>
      </c>
      <c r="B1412" s="15" t="s">
        <v>2790</v>
      </c>
      <c r="C1412" s="16">
        <f>210.51/(1+B2)</f>
        <v>210.51</v>
      </c>
      <c r="D1412" s="17" t="s">
        <v>11</v>
      </c>
      <c r="E1412" s="17" t="s">
        <v>11</v>
      </c>
      <c r="F1412" s="18"/>
      <c r="G1412" s="36" t="str">
        <f>IF(ISNUMBER(F1412),C1412*F1412,"")</f>
        <v/>
      </c>
    </row>
    <row r="1413" spans="1:7" ht="12" customHeight="1" outlineLevel="2" x14ac:dyDescent="0.2">
      <c r="A1413" s="14" t="s">
        <v>2791</v>
      </c>
      <c r="B1413" s="15" t="s">
        <v>2792</v>
      </c>
      <c r="C1413" s="16">
        <f>210.51/(1+B2)</f>
        <v>210.51</v>
      </c>
      <c r="D1413" s="17" t="s">
        <v>11</v>
      </c>
      <c r="E1413" s="17"/>
      <c r="F1413" s="18"/>
      <c r="G1413" s="36" t="str">
        <f>IF(ISNUMBER(F1413),C1413*F1413,"")</f>
        <v/>
      </c>
    </row>
    <row r="1414" spans="1:7" ht="12" customHeight="1" outlineLevel="2" x14ac:dyDescent="0.2">
      <c r="A1414" s="14" t="s">
        <v>2793</v>
      </c>
      <c r="B1414" s="15" t="s">
        <v>2794</v>
      </c>
      <c r="C1414" s="16">
        <f>210.51/(1+B2)</f>
        <v>210.51</v>
      </c>
      <c r="D1414" s="17" t="s">
        <v>11</v>
      </c>
      <c r="E1414" s="17"/>
      <c r="F1414" s="18"/>
      <c r="G1414" s="36" t="str">
        <f>IF(ISNUMBER(F1414),C1414*F1414,"")</f>
        <v/>
      </c>
    </row>
    <row r="1415" spans="1:7" ht="12" customHeight="1" outlineLevel="2" x14ac:dyDescent="0.2">
      <c r="A1415" s="14" t="s">
        <v>2795</v>
      </c>
      <c r="B1415" s="15" t="s">
        <v>2796</v>
      </c>
      <c r="C1415" s="16">
        <f>210.51/(1+B2)</f>
        <v>210.51</v>
      </c>
      <c r="D1415" s="17" t="s">
        <v>11</v>
      </c>
      <c r="E1415" s="17"/>
      <c r="F1415" s="18"/>
      <c r="G1415" s="36" t="str">
        <f>IF(ISNUMBER(F1415),C1415*F1415,"")</f>
        <v/>
      </c>
    </row>
    <row r="1416" spans="1:7" ht="12" customHeight="1" outlineLevel="2" x14ac:dyDescent="0.2">
      <c r="A1416" s="14" t="s">
        <v>2797</v>
      </c>
      <c r="B1416" s="15" t="s">
        <v>2798</v>
      </c>
      <c r="C1416" s="16">
        <f>210.51/(1+B2)</f>
        <v>210.51</v>
      </c>
      <c r="D1416" s="17" t="s">
        <v>11</v>
      </c>
      <c r="E1416" s="17"/>
      <c r="F1416" s="18"/>
      <c r="G1416" s="36" t="str">
        <f>IF(ISNUMBER(F1416),C1416*F1416,"")</f>
        <v/>
      </c>
    </row>
    <row r="1417" spans="1:7" ht="12" customHeight="1" outlineLevel="2" x14ac:dyDescent="0.2">
      <c r="A1417" s="14" t="s">
        <v>2799</v>
      </c>
      <c r="B1417" s="15" t="s">
        <v>2800</v>
      </c>
      <c r="C1417" s="16">
        <f>210.51/(1+B2)</f>
        <v>210.51</v>
      </c>
      <c r="D1417" s="17" t="s">
        <v>11</v>
      </c>
      <c r="E1417" s="17"/>
      <c r="F1417" s="18"/>
      <c r="G1417" s="36" t="str">
        <f>IF(ISNUMBER(F1417),C1417*F1417,"")</f>
        <v/>
      </c>
    </row>
    <row r="1418" spans="1:7" ht="12" customHeight="1" outlineLevel="2" x14ac:dyDescent="0.2">
      <c r="A1418" s="14" t="s">
        <v>2801</v>
      </c>
      <c r="B1418" s="15" t="s">
        <v>2802</v>
      </c>
      <c r="C1418" s="16">
        <f>100/(1+B2)</f>
        <v>100</v>
      </c>
      <c r="D1418" s="17" t="s">
        <v>11</v>
      </c>
      <c r="E1418" s="17"/>
      <c r="F1418" s="18"/>
      <c r="G1418" s="36" t="str">
        <f>IF(ISNUMBER(F1418),C1418*F1418,"")</f>
        <v/>
      </c>
    </row>
    <row r="1419" spans="1:7" ht="24" customHeight="1" outlineLevel="2" x14ac:dyDescent="0.2">
      <c r="A1419" s="14" t="s">
        <v>2803</v>
      </c>
      <c r="B1419" s="15" t="s">
        <v>2804</v>
      </c>
      <c r="C1419" s="16">
        <f>210.51/(1+B2)</f>
        <v>210.51</v>
      </c>
      <c r="D1419" s="17" t="s">
        <v>11</v>
      </c>
      <c r="E1419" s="17" t="s">
        <v>11</v>
      </c>
      <c r="F1419" s="18"/>
      <c r="G1419" s="36" t="str">
        <f>IF(ISNUMBER(F1419),C1419*F1419,"")</f>
        <v/>
      </c>
    </row>
    <row r="1420" spans="1:7" ht="12" customHeight="1" outlineLevel="2" x14ac:dyDescent="0.2">
      <c r="A1420" s="14" t="s">
        <v>2805</v>
      </c>
      <c r="B1420" s="15" t="s">
        <v>2806</v>
      </c>
      <c r="C1420" s="16">
        <f>210.51/(1+B2)</f>
        <v>210.51</v>
      </c>
      <c r="D1420" s="17" t="s">
        <v>11</v>
      </c>
      <c r="E1420" s="17"/>
      <c r="F1420" s="18"/>
      <c r="G1420" s="36" t="str">
        <f>IF(ISNUMBER(F1420),C1420*F1420,"")</f>
        <v/>
      </c>
    </row>
    <row r="1421" spans="1:7" ht="12" customHeight="1" outlineLevel="2" x14ac:dyDescent="0.2">
      <c r="A1421" s="14" t="s">
        <v>2807</v>
      </c>
      <c r="B1421" s="15" t="s">
        <v>2808</v>
      </c>
      <c r="C1421" s="16">
        <f>210.51/(1+B2)</f>
        <v>210.51</v>
      </c>
      <c r="D1421" s="17" t="s">
        <v>11</v>
      </c>
      <c r="E1421" s="17"/>
      <c r="F1421" s="18"/>
      <c r="G1421" s="36" t="str">
        <f>IF(ISNUMBER(F1421),C1421*F1421,"")</f>
        <v/>
      </c>
    </row>
    <row r="1422" spans="1:7" ht="24" customHeight="1" outlineLevel="2" x14ac:dyDescent="0.2">
      <c r="A1422" s="14" t="s">
        <v>2809</v>
      </c>
      <c r="B1422" s="15" t="s">
        <v>2810</v>
      </c>
      <c r="C1422" s="16">
        <f>210.51/(1+B2)</f>
        <v>210.51</v>
      </c>
      <c r="D1422" s="17" t="s">
        <v>11</v>
      </c>
      <c r="E1422" s="17" t="s">
        <v>11</v>
      </c>
      <c r="F1422" s="18"/>
      <c r="G1422" s="36" t="str">
        <f>IF(ISNUMBER(F1422),C1422*F1422,"")</f>
        <v/>
      </c>
    </row>
    <row r="1423" spans="1:7" ht="12" customHeight="1" outlineLevel="2" x14ac:dyDescent="0.2">
      <c r="A1423" s="14" t="s">
        <v>2811</v>
      </c>
      <c r="B1423" s="15" t="s">
        <v>2812</v>
      </c>
      <c r="C1423" s="16">
        <f>210.51/(1+B2)</f>
        <v>210.51</v>
      </c>
      <c r="D1423" s="17" t="s">
        <v>11</v>
      </c>
      <c r="E1423" s="17"/>
      <c r="F1423" s="18"/>
      <c r="G1423" s="36" t="str">
        <f>IF(ISNUMBER(F1423),C1423*F1423,"")</f>
        <v/>
      </c>
    </row>
    <row r="1424" spans="1:7" ht="12" customHeight="1" outlineLevel="2" x14ac:dyDescent="0.2">
      <c r="A1424" s="14" t="s">
        <v>2813</v>
      </c>
      <c r="B1424" s="15" t="s">
        <v>2814</v>
      </c>
      <c r="C1424" s="16">
        <f>210.51/(1+B2)</f>
        <v>210.51</v>
      </c>
      <c r="D1424" s="17" t="s">
        <v>11</v>
      </c>
      <c r="E1424" s="17"/>
      <c r="F1424" s="18"/>
      <c r="G1424" s="36" t="str">
        <f>IF(ISNUMBER(F1424),C1424*F1424,"")</f>
        <v/>
      </c>
    </row>
    <row r="1425" spans="1:7" s="1" customFormat="1" ht="15.95" customHeight="1" outlineLevel="1" x14ac:dyDescent="0.25">
      <c r="A1425" s="11"/>
      <c r="B1425" s="12" t="s">
        <v>2815</v>
      </c>
      <c r="C1425" s="13"/>
      <c r="D1425" s="13"/>
      <c r="E1425" s="13"/>
      <c r="F1425" s="13"/>
      <c r="G1425" s="35"/>
    </row>
    <row r="1426" spans="1:7" ht="12" customHeight="1" outlineLevel="2" x14ac:dyDescent="0.2">
      <c r="A1426" s="14" t="s">
        <v>2816</v>
      </c>
      <c r="B1426" s="15" t="s">
        <v>2817</v>
      </c>
      <c r="C1426" s="16">
        <f>99.98/(1+B2)</f>
        <v>99.98</v>
      </c>
      <c r="D1426" s="17" t="s">
        <v>11</v>
      </c>
      <c r="E1426" s="17" t="s">
        <v>11</v>
      </c>
      <c r="F1426" s="18"/>
      <c r="G1426" s="36" t="str">
        <f>IF(ISNUMBER(F1426),C1426*F1426,"")</f>
        <v/>
      </c>
    </row>
    <row r="1427" spans="1:7" ht="24" customHeight="1" outlineLevel="2" x14ac:dyDescent="0.2">
      <c r="A1427" s="14" t="s">
        <v>2818</v>
      </c>
      <c r="B1427" s="15" t="s">
        <v>2819</v>
      </c>
      <c r="C1427" s="16">
        <f>99.98/(1+B2)</f>
        <v>99.98</v>
      </c>
      <c r="D1427" s="17" t="s">
        <v>11</v>
      </c>
      <c r="E1427" s="17"/>
      <c r="F1427" s="18"/>
      <c r="G1427" s="36" t="str">
        <f>IF(ISNUMBER(F1427),C1427*F1427,"")</f>
        <v/>
      </c>
    </row>
    <row r="1428" spans="1:7" ht="12" customHeight="1" outlineLevel="2" x14ac:dyDescent="0.2">
      <c r="A1428" s="14" t="s">
        <v>2820</v>
      </c>
      <c r="B1428" s="15" t="s">
        <v>2821</v>
      </c>
      <c r="C1428" s="16">
        <f>99.98/(1+B2)</f>
        <v>99.98</v>
      </c>
      <c r="D1428" s="17" t="s">
        <v>11</v>
      </c>
      <c r="E1428" s="17" t="s">
        <v>14</v>
      </c>
      <c r="F1428" s="18"/>
      <c r="G1428" s="36" t="str">
        <f>IF(ISNUMBER(F1428),C1428*F1428,"")</f>
        <v/>
      </c>
    </row>
    <row r="1429" spans="1:7" ht="12" customHeight="1" outlineLevel="2" x14ac:dyDescent="0.2">
      <c r="A1429" s="14" t="s">
        <v>2822</v>
      </c>
      <c r="B1429" s="15" t="s">
        <v>2823</v>
      </c>
      <c r="C1429" s="16">
        <f>99.98/(1+B2)</f>
        <v>99.98</v>
      </c>
      <c r="D1429" s="17" t="s">
        <v>11</v>
      </c>
      <c r="E1429" s="17" t="s">
        <v>14</v>
      </c>
      <c r="F1429" s="18"/>
      <c r="G1429" s="36" t="str">
        <f>IF(ISNUMBER(F1429),C1429*F1429,"")</f>
        <v/>
      </c>
    </row>
    <row r="1430" spans="1:7" ht="12" customHeight="1" outlineLevel="2" x14ac:dyDescent="0.2">
      <c r="A1430" s="14" t="s">
        <v>2824</v>
      </c>
      <c r="B1430" s="15" t="s">
        <v>2825</v>
      </c>
      <c r="C1430" s="16">
        <f>129.81/(1+B2)</f>
        <v>129.81</v>
      </c>
      <c r="D1430" s="17" t="s">
        <v>11</v>
      </c>
      <c r="E1430" s="17" t="s">
        <v>11</v>
      </c>
      <c r="F1430" s="18"/>
      <c r="G1430" s="36" t="str">
        <f>IF(ISNUMBER(F1430),C1430*F1430,"")</f>
        <v/>
      </c>
    </row>
    <row r="1431" spans="1:7" ht="12" customHeight="1" outlineLevel="2" x14ac:dyDescent="0.2">
      <c r="A1431" s="14" t="s">
        <v>2826</v>
      </c>
      <c r="B1431" s="15" t="s">
        <v>2827</v>
      </c>
      <c r="C1431" s="16">
        <f>139.46/(1+B2)</f>
        <v>139.46</v>
      </c>
      <c r="D1431" s="17" t="s">
        <v>11</v>
      </c>
      <c r="E1431" s="17" t="s">
        <v>11</v>
      </c>
      <c r="F1431" s="18"/>
      <c r="G1431" s="36" t="str">
        <f>IF(ISNUMBER(F1431),C1431*F1431,"")</f>
        <v/>
      </c>
    </row>
    <row r="1432" spans="1:7" ht="12" customHeight="1" outlineLevel="2" x14ac:dyDescent="0.2">
      <c r="A1432" s="14" t="s">
        <v>2828</v>
      </c>
      <c r="B1432" s="15" t="s">
        <v>2829</v>
      </c>
      <c r="C1432" s="16">
        <f>152.73/(1+B2)</f>
        <v>152.72999999999999</v>
      </c>
      <c r="D1432" s="17" t="s">
        <v>11</v>
      </c>
      <c r="E1432" s="17"/>
      <c r="F1432" s="18"/>
      <c r="G1432" s="36" t="str">
        <f>IF(ISNUMBER(F1432),C1432*F1432,"")</f>
        <v/>
      </c>
    </row>
    <row r="1433" spans="1:7" ht="12" customHeight="1" outlineLevel="2" x14ac:dyDescent="0.2">
      <c r="A1433" s="14" t="s">
        <v>2830</v>
      </c>
      <c r="B1433" s="15" t="s">
        <v>2831</v>
      </c>
      <c r="C1433" s="16">
        <f>151.39/(1+B2)</f>
        <v>151.38999999999999</v>
      </c>
      <c r="D1433" s="17" t="s">
        <v>11</v>
      </c>
      <c r="E1433" s="17"/>
      <c r="F1433" s="18"/>
      <c r="G1433" s="36" t="str">
        <f>IF(ISNUMBER(F1433),C1433*F1433,"")</f>
        <v/>
      </c>
    </row>
    <row r="1434" spans="1:7" ht="24" customHeight="1" outlineLevel="2" x14ac:dyDescent="0.2">
      <c r="A1434" s="14" t="s">
        <v>2832</v>
      </c>
      <c r="B1434" s="15" t="s">
        <v>2833</v>
      </c>
      <c r="C1434" s="16">
        <f>139.46/(1+B2)</f>
        <v>139.46</v>
      </c>
      <c r="D1434" s="17" t="s">
        <v>11</v>
      </c>
      <c r="E1434" s="17"/>
      <c r="F1434" s="18"/>
      <c r="G1434" s="36" t="str">
        <f>IF(ISNUMBER(F1434),C1434*F1434,"")</f>
        <v/>
      </c>
    </row>
    <row r="1435" spans="1:7" ht="12" customHeight="1" outlineLevel="2" x14ac:dyDescent="0.2">
      <c r="A1435" s="14" t="s">
        <v>2834</v>
      </c>
      <c r="B1435" s="15" t="s">
        <v>2835</v>
      </c>
      <c r="C1435" s="16">
        <f>139.46/(1+B2)</f>
        <v>139.46</v>
      </c>
      <c r="D1435" s="17" t="s">
        <v>11</v>
      </c>
      <c r="E1435" s="17"/>
      <c r="F1435" s="18"/>
      <c r="G1435" s="36" t="str">
        <f>IF(ISNUMBER(F1435),C1435*F1435,"")</f>
        <v/>
      </c>
    </row>
    <row r="1436" spans="1:7" ht="12" customHeight="1" outlineLevel="2" x14ac:dyDescent="0.2">
      <c r="A1436" s="14" t="s">
        <v>2836</v>
      </c>
      <c r="B1436" s="15" t="s">
        <v>2837</v>
      </c>
      <c r="C1436" s="16">
        <f>91.25/(1+B2)</f>
        <v>91.25</v>
      </c>
      <c r="D1436" s="17" t="s">
        <v>11</v>
      </c>
      <c r="E1436" s="17" t="s">
        <v>14</v>
      </c>
      <c r="F1436" s="18"/>
      <c r="G1436" s="36" t="str">
        <f>IF(ISNUMBER(F1436),C1436*F1436,"")</f>
        <v/>
      </c>
    </row>
    <row r="1437" spans="1:7" ht="12" customHeight="1" outlineLevel="2" x14ac:dyDescent="0.2">
      <c r="A1437" s="14" t="s">
        <v>2838</v>
      </c>
      <c r="B1437" s="15" t="s">
        <v>2839</v>
      </c>
      <c r="C1437" s="16">
        <f>280/(1+B2)</f>
        <v>280</v>
      </c>
      <c r="D1437" s="17" t="s">
        <v>11</v>
      </c>
      <c r="E1437" s="17"/>
      <c r="F1437" s="18"/>
      <c r="G1437" s="36" t="str">
        <f>IF(ISNUMBER(F1437),C1437*F1437,"")</f>
        <v/>
      </c>
    </row>
    <row r="1438" spans="1:7" ht="12" customHeight="1" outlineLevel="2" x14ac:dyDescent="0.2">
      <c r="A1438" s="14" t="s">
        <v>2840</v>
      </c>
      <c r="B1438" s="15" t="s">
        <v>2841</v>
      </c>
      <c r="C1438" s="16">
        <f>266.25/(1+B2)</f>
        <v>266.25</v>
      </c>
      <c r="D1438" s="17" t="s">
        <v>11</v>
      </c>
      <c r="E1438" s="17"/>
      <c r="F1438" s="18"/>
      <c r="G1438" s="36" t="str">
        <f>IF(ISNUMBER(F1438),C1438*F1438,"")</f>
        <v/>
      </c>
    </row>
    <row r="1439" spans="1:7" ht="12" customHeight="1" outlineLevel="2" x14ac:dyDescent="0.2">
      <c r="A1439" s="14" t="s">
        <v>2842</v>
      </c>
      <c r="B1439" s="15" t="s">
        <v>2843</v>
      </c>
      <c r="C1439" s="16">
        <f>266.25/(1+B2)</f>
        <v>266.25</v>
      </c>
      <c r="D1439" s="17" t="s">
        <v>11</v>
      </c>
      <c r="E1439" s="17"/>
      <c r="F1439" s="18"/>
      <c r="G1439" s="36" t="str">
        <f>IF(ISNUMBER(F1439),C1439*F1439,"")</f>
        <v/>
      </c>
    </row>
    <row r="1440" spans="1:7" ht="12" customHeight="1" outlineLevel="2" x14ac:dyDescent="0.2">
      <c r="A1440" s="14" t="s">
        <v>2844</v>
      </c>
      <c r="B1440" s="15" t="s">
        <v>2845</v>
      </c>
      <c r="C1440" s="16">
        <f>266.25/(1+B2)</f>
        <v>266.25</v>
      </c>
      <c r="D1440" s="17" t="s">
        <v>11</v>
      </c>
      <c r="E1440" s="17" t="s">
        <v>11</v>
      </c>
      <c r="F1440" s="18"/>
      <c r="G1440" s="36" t="str">
        <f>IF(ISNUMBER(F1440),C1440*F1440,"")</f>
        <v/>
      </c>
    </row>
    <row r="1441" spans="1:7" ht="24" customHeight="1" outlineLevel="2" x14ac:dyDescent="0.2">
      <c r="A1441" s="14" t="s">
        <v>2846</v>
      </c>
      <c r="B1441" s="15" t="s">
        <v>2847</v>
      </c>
      <c r="C1441" s="16">
        <f>128.14/(1+B2)</f>
        <v>128.13999999999999</v>
      </c>
      <c r="D1441" s="17" t="s">
        <v>11</v>
      </c>
      <c r="E1441" s="17"/>
      <c r="F1441" s="18"/>
      <c r="G1441" s="36" t="str">
        <f>IF(ISNUMBER(F1441),C1441*F1441,"")</f>
        <v/>
      </c>
    </row>
    <row r="1442" spans="1:7" ht="24" customHeight="1" outlineLevel="2" x14ac:dyDescent="0.2">
      <c r="A1442" s="14" t="s">
        <v>2848</v>
      </c>
      <c r="B1442" s="15" t="s">
        <v>2849</v>
      </c>
      <c r="C1442" s="16">
        <f>128.14/(1+B2)</f>
        <v>128.13999999999999</v>
      </c>
      <c r="D1442" s="17" t="s">
        <v>11</v>
      </c>
      <c r="E1442" s="17" t="s">
        <v>11</v>
      </c>
      <c r="F1442" s="18"/>
      <c r="G1442" s="36" t="str">
        <f>IF(ISNUMBER(F1442),C1442*F1442,"")</f>
        <v/>
      </c>
    </row>
    <row r="1443" spans="1:7" ht="12" customHeight="1" outlineLevel="2" x14ac:dyDescent="0.2">
      <c r="A1443" s="14" t="s">
        <v>2850</v>
      </c>
      <c r="B1443" s="15" t="s">
        <v>2851</v>
      </c>
      <c r="C1443" s="16">
        <f>128.04/(1+B2)</f>
        <v>128.04</v>
      </c>
      <c r="D1443" s="17" t="s">
        <v>11</v>
      </c>
      <c r="E1443" s="17"/>
      <c r="F1443" s="18"/>
      <c r="G1443" s="36" t="str">
        <f>IF(ISNUMBER(F1443),C1443*F1443,"")</f>
        <v/>
      </c>
    </row>
    <row r="1444" spans="1:7" ht="24" customHeight="1" outlineLevel="2" x14ac:dyDescent="0.2">
      <c r="A1444" s="14" t="s">
        <v>2852</v>
      </c>
      <c r="B1444" s="15" t="s">
        <v>2853</v>
      </c>
      <c r="C1444" s="16">
        <f>128.14/(1+B2)</f>
        <v>128.13999999999999</v>
      </c>
      <c r="D1444" s="17" t="s">
        <v>11</v>
      </c>
      <c r="E1444" s="17"/>
      <c r="F1444" s="18"/>
      <c r="G1444" s="36" t="str">
        <f>IF(ISNUMBER(F1444),C1444*F1444,"")</f>
        <v/>
      </c>
    </row>
    <row r="1445" spans="1:7" ht="24" customHeight="1" outlineLevel="2" x14ac:dyDescent="0.2">
      <c r="A1445" s="14" t="s">
        <v>2854</v>
      </c>
      <c r="B1445" s="15" t="s">
        <v>2855</v>
      </c>
      <c r="C1445" s="16">
        <f>128.14/(1+B2)</f>
        <v>128.13999999999999</v>
      </c>
      <c r="D1445" s="17" t="s">
        <v>11</v>
      </c>
      <c r="E1445" s="17"/>
      <c r="F1445" s="18"/>
      <c r="G1445" s="36" t="str">
        <f>IF(ISNUMBER(F1445),C1445*F1445,"")</f>
        <v/>
      </c>
    </row>
    <row r="1446" spans="1:7" ht="12" customHeight="1" outlineLevel="2" x14ac:dyDescent="0.2">
      <c r="A1446" s="14" t="s">
        <v>2856</v>
      </c>
      <c r="B1446" s="15" t="s">
        <v>2857</v>
      </c>
      <c r="C1446" s="16">
        <f>128.14/(1+B2)</f>
        <v>128.13999999999999</v>
      </c>
      <c r="D1446" s="17" t="s">
        <v>11</v>
      </c>
      <c r="E1446" s="17"/>
      <c r="F1446" s="18"/>
      <c r="G1446" s="36" t="str">
        <f>IF(ISNUMBER(F1446),C1446*F1446,"")</f>
        <v/>
      </c>
    </row>
    <row r="1447" spans="1:7" ht="24" customHeight="1" outlineLevel="2" x14ac:dyDescent="0.2">
      <c r="A1447" s="14" t="s">
        <v>2858</v>
      </c>
      <c r="B1447" s="15" t="s">
        <v>2859</v>
      </c>
      <c r="C1447" s="16">
        <f>128.14/(1+B2)</f>
        <v>128.13999999999999</v>
      </c>
      <c r="D1447" s="17" t="s">
        <v>14</v>
      </c>
      <c r="E1447" s="17" t="s">
        <v>11</v>
      </c>
      <c r="F1447" s="18"/>
      <c r="G1447" s="36" t="str">
        <f>IF(ISNUMBER(F1447),C1447*F1447,"")</f>
        <v/>
      </c>
    </row>
    <row r="1448" spans="1:7" ht="12" customHeight="1" outlineLevel="2" x14ac:dyDescent="0.2">
      <c r="A1448" s="14" t="s">
        <v>2860</v>
      </c>
      <c r="B1448" s="15" t="s">
        <v>2861</v>
      </c>
      <c r="C1448" s="16">
        <f>281.2/(1+B2)</f>
        <v>281.2</v>
      </c>
      <c r="D1448" s="17" t="s">
        <v>11</v>
      </c>
      <c r="E1448" s="17" t="s">
        <v>11</v>
      </c>
      <c r="F1448" s="18"/>
      <c r="G1448" s="36" t="str">
        <f>IF(ISNUMBER(F1448),C1448*F1448,"")</f>
        <v/>
      </c>
    </row>
    <row r="1449" spans="1:7" ht="12" customHeight="1" outlineLevel="2" x14ac:dyDescent="0.2">
      <c r="A1449" s="14" t="s">
        <v>2862</v>
      </c>
      <c r="B1449" s="15" t="s">
        <v>2863</v>
      </c>
      <c r="C1449" s="16">
        <f>281.2/(1+B2)</f>
        <v>281.2</v>
      </c>
      <c r="D1449" s="17" t="s">
        <v>11</v>
      </c>
      <c r="E1449" s="17" t="s">
        <v>11</v>
      </c>
      <c r="F1449" s="18"/>
      <c r="G1449" s="36" t="str">
        <f>IF(ISNUMBER(F1449),C1449*F1449,"")</f>
        <v/>
      </c>
    </row>
    <row r="1450" spans="1:7" ht="24" customHeight="1" outlineLevel="2" x14ac:dyDescent="0.2">
      <c r="A1450" s="14" t="s">
        <v>2864</v>
      </c>
      <c r="B1450" s="15" t="s">
        <v>2865</v>
      </c>
      <c r="C1450" s="16">
        <f>256/(1+B2)</f>
        <v>256</v>
      </c>
      <c r="D1450" s="17" t="s">
        <v>11</v>
      </c>
      <c r="E1450" s="17" t="s">
        <v>11</v>
      </c>
      <c r="F1450" s="18"/>
      <c r="G1450" s="36" t="str">
        <f>IF(ISNUMBER(F1450),C1450*F1450,"")</f>
        <v/>
      </c>
    </row>
    <row r="1451" spans="1:7" ht="12" customHeight="1" outlineLevel="2" x14ac:dyDescent="0.2">
      <c r="A1451" s="14" t="s">
        <v>2866</v>
      </c>
      <c r="B1451" s="15" t="s">
        <v>2867</v>
      </c>
      <c r="C1451" s="16">
        <f>206.75/(1+B2)</f>
        <v>206.75</v>
      </c>
      <c r="D1451" s="17" t="s">
        <v>11</v>
      </c>
      <c r="E1451" s="17" t="s">
        <v>11</v>
      </c>
      <c r="F1451" s="18"/>
      <c r="G1451" s="36" t="str">
        <f>IF(ISNUMBER(F1451),C1451*F1451,"")</f>
        <v/>
      </c>
    </row>
    <row r="1452" spans="1:7" ht="12" customHeight="1" outlineLevel="2" x14ac:dyDescent="0.2">
      <c r="A1452" s="14" t="s">
        <v>2868</v>
      </c>
      <c r="B1452" s="15" t="s">
        <v>2869</v>
      </c>
      <c r="C1452" s="16">
        <f>240.35/(1+B2)</f>
        <v>240.35</v>
      </c>
      <c r="D1452" s="17" t="s">
        <v>11</v>
      </c>
      <c r="E1452" s="17" t="s">
        <v>11</v>
      </c>
      <c r="F1452" s="18"/>
      <c r="G1452" s="36" t="str">
        <f>IF(ISNUMBER(F1452),C1452*F1452,"")</f>
        <v/>
      </c>
    </row>
    <row r="1453" spans="1:7" ht="12" customHeight="1" outlineLevel="2" x14ac:dyDescent="0.2">
      <c r="A1453" s="14" t="s">
        <v>2870</v>
      </c>
      <c r="B1453" s="15" t="s">
        <v>2871</v>
      </c>
      <c r="C1453" s="16">
        <f>70.88/(1+B2)</f>
        <v>70.88</v>
      </c>
      <c r="D1453" s="17" t="s">
        <v>14</v>
      </c>
      <c r="E1453" s="17" t="s">
        <v>11</v>
      </c>
      <c r="F1453" s="18"/>
      <c r="G1453" s="36" t="str">
        <f>IF(ISNUMBER(F1453),C1453*F1453,"")</f>
        <v/>
      </c>
    </row>
    <row r="1454" spans="1:7" ht="12" customHeight="1" outlineLevel="2" x14ac:dyDescent="0.2">
      <c r="A1454" s="14" t="s">
        <v>2872</v>
      </c>
      <c r="B1454" s="15" t="s">
        <v>2873</v>
      </c>
      <c r="C1454" s="16">
        <f>185/(1+B2)</f>
        <v>185</v>
      </c>
      <c r="D1454" s="17" t="s">
        <v>11</v>
      </c>
      <c r="E1454" s="17" t="s">
        <v>14</v>
      </c>
      <c r="F1454" s="18"/>
      <c r="G1454" s="36" t="str">
        <f>IF(ISNUMBER(F1454),C1454*F1454,"")</f>
        <v/>
      </c>
    </row>
    <row r="1455" spans="1:7" ht="12" customHeight="1" outlineLevel="2" x14ac:dyDescent="0.2">
      <c r="A1455" s="14" t="s">
        <v>2874</v>
      </c>
      <c r="B1455" s="15" t="s">
        <v>2875</v>
      </c>
      <c r="C1455" s="16">
        <f>234/(1+B2)</f>
        <v>234</v>
      </c>
      <c r="D1455" s="17" t="s">
        <v>11</v>
      </c>
      <c r="E1455" s="17" t="s">
        <v>11</v>
      </c>
      <c r="F1455" s="18"/>
      <c r="G1455" s="36" t="str">
        <f>IF(ISNUMBER(F1455),C1455*F1455,"")</f>
        <v/>
      </c>
    </row>
    <row r="1456" spans="1:7" ht="12" customHeight="1" outlineLevel="2" x14ac:dyDescent="0.2">
      <c r="A1456" s="14" t="s">
        <v>2876</v>
      </c>
      <c r="B1456" s="15" t="s">
        <v>2877</v>
      </c>
      <c r="C1456" s="16">
        <f>234/(1+B2)</f>
        <v>234</v>
      </c>
      <c r="D1456" s="17" t="s">
        <v>11</v>
      </c>
      <c r="E1456" s="17" t="s">
        <v>11</v>
      </c>
      <c r="F1456" s="18"/>
      <c r="G1456" s="36" t="str">
        <f>IF(ISNUMBER(F1456),C1456*F1456,"")</f>
        <v/>
      </c>
    </row>
    <row r="1457" spans="1:7" ht="12" customHeight="1" outlineLevel="2" x14ac:dyDescent="0.2">
      <c r="A1457" s="14" t="s">
        <v>2878</v>
      </c>
      <c r="B1457" s="15" t="s">
        <v>2879</v>
      </c>
      <c r="C1457" s="16">
        <f>185/(1+B2)</f>
        <v>185</v>
      </c>
      <c r="D1457" s="17" t="s">
        <v>11</v>
      </c>
      <c r="E1457" s="17" t="s">
        <v>14</v>
      </c>
      <c r="F1457" s="18"/>
      <c r="G1457" s="36" t="str">
        <f>IF(ISNUMBER(F1457),C1457*F1457,"")</f>
        <v/>
      </c>
    </row>
    <row r="1458" spans="1:7" ht="12" customHeight="1" outlineLevel="2" x14ac:dyDescent="0.2">
      <c r="A1458" s="14" t="s">
        <v>2880</v>
      </c>
      <c r="B1458" s="15" t="s">
        <v>2881</v>
      </c>
      <c r="C1458" s="16">
        <f>234/(1+B2)</f>
        <v>234</v>
      </c>
      <c r="D1458" s="17" t="s">
        <v>11</v>
      </c>
      <c r="E1458" s="17" t="s">
        <v>11</v>
      </c>
      <c r="F1458" s="18"/>
      <c r="G1458" s="36" t="str">
        <f>IF(ISNUMBER(F1458),C1458*F1458,"")</f>
        <v/>
      </c>
    </row>
    <row r="1459" spans="1:7" ht="12" customHeight="1" outlineLevel="2" x14ac:dyDescent="0.2">
      <c r="A1459" s="14" t="s">
        <v>2882</v>
      </c>
      <c r="B1459" s="15" t="s">
        <v>2883</v>
      </c>
      <c r="C1459" s="16">
        <f>100.8/(1+B2)</f>
        <v>100.8</v>
      </c>
      <c r="D1459" s="17" t="s">
        <v>11</v>
      </c>
      <c r="E1459" s="17" t="s">
        <v>11</v>
      </c>
      <c r="F1459" s="18"/>
      <c r="G1459" s="36" t="str">
        <f>IF(ISNUMBER(F1459),C1459*F1459,"")</f>
        <v/>
      </c>
    </row>
    <row r="1460" spans="1:7" ht="12" customHeight="1" outlineLevel="2" x14ac:dyDescent="0.2">
      <c r="A1460" s="14" t="s">
        <v>2884</v>
      </c>
      <c r="B1460" s="15" t="s">
        <v>2885</v>
      </c>
      <c r="C1460" s="16">
        <f>100.8/(1+B2)</f>
        <v>100.8</v>
      </c>
      <c r="D1460" s="17" t="s">
        <v>11</v>
      </c>
      <c r="E1460" s="17"/>
      <c r="F1460" s="18"/>
      <c r="G1460" s="36" t="str">
        <f>IF(ISNUMBER(F1460),C1460*F1460,"")</f>
        <v/>
      </c>
    </row>
    <row r="1461" spans="1:7" ht="24" customHeight="1" outlineLevel="2" x14ac:dyDescent="0.2">
      <c r="A1461" s="14" t="s">
        <v>2886</v>
      </c>
      <c r="B1461" s="15" t="s">
        <v>2887</v>
      </c>
      <c r="C1461" s="16">
        <f>332.79/(1+B2)</f>
        <v>332.79</v>
      </c>
      <c r="D1461" s="17" t="s">
        <v>11</v>
      </c>
      <c r="E1461" s="17" t="s">
        <v>11</v>
      </c>
      <c r="F1461" s="18"/>
      <c r="G1461" s="36" t="str">
        <f>IF(ISNUMBER(F1461),C1461*F1461,"")</f>
        <v/>
      </c>
    </row>
    <row r="1462" spans="1:7" ht="24" customHeight="1" outlineLevel="2" x14ac:dyDescent="0.2">
      <c r="A1462" s="14" t="s">
        <v>2888</v>
      </c>
      <c r="B1462" s="15" t="s">
        <v>2889</v>
      </c>
      <c r="C1462" s="16">
        <f>270.81/(1+B2)</f>
        <v>270.81</v>
      </c>
      <c r="D1462" s="17" t="s">
        <v>11</v>
      </c>
      <c r="E1462" s="17" t="s">
        <v>11</v>
      </c>
      <c r="F1462" s="18"/>
      <c r="G1462" s="36" t="str">
        <f>IF(ISNUMBER(F1462),C1462*F1462,"")</f>
        <v/>
      </c>
    </row>
    <row r="1463" spans="1:7" ht="24" customHeight="1" outlineLevel="2" x14ac:dyDescent="0.2">
      <c r="A1463" s="14" t="s">
        <v>2890</v>
      </c>
      <c r="B1463" s="15" t="s">
        <v>2891</v>
      </c>
      <c r="C1463" s="16">
        <f>303.99/(1+B2)</f>
        <v>303.99</v>
      </c>
      <c r="D1463" s="17" t="s">
        <v>11</v>
      </c>
      <c r="E1463" s="17" t="s">
        <v>11</v>
      </c>
      <c r="F1463" s="18"/>
      <c r="G1463" s="36" t="str">
        <f>IF(ISNUMBER(F1463),C1463*F1463,"")</f>
        <v/>
      </c>
    </row>
    <row r="1464" spans="1:7" ht="24" customHeight="1" outlineLevel="2" x14ac:dyDescent="0.2">
      <c r="A1464" s="14" t="s">
        <v>2892</v>
      </c>
      <c r="B1464" s="15" t="s">
        <v>2893</v>
      </c>
      <c r="C1464" s="16">
        <f>240.35/(1+B2)</f>
        <v>240.35</v>
      </c>
      <c r="D1464" s="17" t="s">
        <v>11</v>
      </c>
      <c r="E1464" s="17" t="s">
        <v>11</v>
      </c>
      <c r="F1464" s="18"/>
      <c r="G1464" s="36" t="str">
        <f>IF(ISNUMBER(F1464),C1464*F1464,"")</f>
        <v/>
      </c>
    </row>
    <row r="1465" spans="1:7" ht="12" customHeight="1" outlineLevel="2" x14ac:dyDescent="0.2">
      <c r="A1465" s="14" t="s">
        <v>2894</v>
      </c>
      <c r="B1465" s="15" t="s">
        <v>2895</v>
      </c>
      <c r="C1465" s="16">
        <f>267.79/(1+B2)</f>
        <v>267.79000000000002</v>
      </c>
      <c r="D1465" s="17" t="s">
        <v>11</v>
      </c>
      <c r="E1465" s="17" t="s">
        <v>11</v>
      </c>
      <c r="F1465" s="18"/>
      <c r="G1465" s="36" t="str">
        <f>IF(ISNUMBER(F1465),C1465*F1465,"")</f>
        <v/>
      </c>
    </row>
    <row r="1466" spans="1:7" ht="12" customHeight="1" outlineLevel="2" x14ac:dyDescent="0.2">
      <c r="A1466" s="14" t="s">
        <v>2896</v>
      </c>
      <c r="B1466" s="15" t="s">
        <v>2897</v>
      </c>
      <c r="C1466" s="16">
        <f>382.63/(1+B2)</f>
        <v>382.63</v>
      </c>
      <c r="D1466" s="17" t="s">
        <v>11</v>
      </c>
      <c r="E1466" s="17" t="s">
        <v>11</v>
      </c>
      <c r="F1466" s="18"/>
      <c r="G1466" s="36" t="str">
        <f>IF(ISNUMBER(F1466),C1466*F1466,"")</f>
        <v/>
      </c>
    </row>
    <row r="1467" spans="1:7" s="1" customFormat="1" ht="15.95" customHeight="1" x14ac:dyDescent="0.25">
      <c r="A1467" s="8"/>
      <c r="B1467" s="9" t="s">
        <v>2898</v>
      </c>
      <c r="C1467" s="10"/>
      <c r="D1467" s="10"/>
      <c r="E1467" s="10"/>
      <c r="F1467" s="10"/>
      <c r="G1467" s="34"/>
    </row>
    <row r="1468" spans="1:7" s="1" customFormat="1" ht="15.95" customHeight="1" outlineLevel="1" x14ac:dyDescent="0.25">
      <c r="A1468" s="11"/>
      <c r="B1468" s="12" t="s">
        <v>2899</v>
      </c>
      <c r="C1468" s="13"/>
      <c r="D1468" s="13"/>
      <c r="E1468" s="13"/>
      <c r="F1468" s="13"/>
      <c r="G1468" s="35"/>
    </row>
    <row r="1469" spans="1:7" ht="12" customHeight="1" outlineLevel="2" x14ac:dyDescent="0.2">
      <c r="A1469" s="14" t="s">
        <v>2900</v>
      </c>
      <c r="B1469" s="15" t="s">
        <v>2901</v>
      </c>
      <c r="C1469" s="16">
        <f>100/(1+B2)</f>
        <v>100</v>
      </c>
      <c r="D1469" s="17" t="s">
        <v>11</v>
      </c>
      <c r="E1469" s="17" t="s">
        <v>11</v>
      </c>
      <c r="F1469" s="18"/>
      <c r="G1469" s="36" t="str">
        <f>IF(ISNUMBER(F1469),C1469*F1469,"")</f>
        <v/>
      </c>
    </row>
    <row r="1470" spans="1:7" ht="12" customHeight="1" outlineLevel="2" x14ac:dyDescent="0.2">
      <c r="A1470" s="14" t="s">
        <v>2902</v>
      </c>
      <c r="B1470" s="15" t="s">
        <v>2903</v>
      </c>
      <c r="C1470" s="16">
        <f>100/(1+B2)</f>
        <v>100</v>
      </c>
      <c r="D1470" s="17" t="s">
        <v>11</v>
      </c>
      <c r="E1470" s="17" t="s">
        <v>11</v>
      </c>
      <c r="F1470" s="18"/>
      <c r="G1470" s="36" t="str">
        <f>IF(ISNUMBER(F1470),C1470*F1470,"")</f>
        <v/>
      </c>
    </row>
    <row r="1471" spans="1:7" ht="12" customHeight="1" outlineLevel="2" x14ac:dyDescent="0.2">
      <c r="A1471" s="14" t="s">
        <v>2904</v>
      </c>
      <c r="B1471" s="15" t="s">
        <v>2905</v>
      </c>
      <c r="C1471" s="16">
        <f>89.26/(1+B2)</f>
        <v>89.26</v>
      </c>
      <c r="D1471" s="17" t="s">
        <v>11</v>
      </c>
      <c r="E1471" s="17" t="s">
        <v>11</v>
      </c>
      <c r="F1471" s="18"/>
      <c r="G1471" s="36" t="str">
        <f>IF(ISNUMBER(F1471),C1471*F1471,"")</f>
        <v/>
      </c>
    </row>
    <row r="1472" spans="1:7" ht="12" customHeight="1" outlineLevel="2" x14ac:dyDescent="0.2">
      <c r="A1472" s="14" t="s">
        <v>2906</v>
      </c>
      <c r="B1472" s="15" t="s">
        <v>2907</v>
      </c>
      <c r="C1472" s="16">
        <f>87.41/(1+B2)</f>
        <v>87.41</v>
      </c>
      <c r="D1472" s="17" t="s">
        <v>11</v>
      </c>
      <c r="E1472" s="17" t="s">
        <v>53</v>
      </c>
      <c r="F1472" s="18"/>
      <c r="G1472" s="36" t="str">
        <f>IF(ISNUMBER(F1472),C1472*F1472,"")</f>
        <v/>
      </c>
    </row>
    <row r="1473" spans="1:7" ht="24" customHeight="1" outlineLevel="2" x14ac:dyDescent="0.2">
      <c r="A1473" s="14" t="s">
        <v>2908</v>
      </c>
      <c r="B1473" s="15" t="s">
        <v>2909</v>
      </c>
      <c r="C1473" s="16">
        <f>105.14/(1+B2)</f>
        <v>105.14</v>
      </c>
      <c r="D1473" s="17" t="s">
        <v>11</v>
      </c>
      <c r="E1473" s="17" t="s">
        <v>53</v>
      </c>
      <c r="F1473" s="18"/>
      <c r="G1473" s="36" t="str">
        <f>IF(ISNUMBER(F1473),C1473*F1473,"")</f>
        <v/>
      </c>
    </row>
    <row r="1474" spans="1:7" ht="12" customHeight="1" outlineLevel="2" x14ac:dyDescent="0.2">
      <c r="A1474" s="14" t="s">
        <v>2910</v>
      </c>
      <c r="B1474" s="15" t="s">
        <v>2911</v>
      </c>
      <c r="C1474" s="16">
        <f>130.8/(1+B2)</f>
        <v>130.80000000000001</v>
      </c>
      <c r="D1474" s="17" t="s">
        <v>11</v>
      </c>
      <c r="E1474" s="17"/>
      <c r="F1474" s="18"/>
      <c r="G1474" s="36" t="str">
        <f>IF(ISNUMBER(F1474),C1474*F1474,"")</f>
        <v/>
      </c>
    </row>
    <row r="1475" spans="1:7" ht="12" customHeight="1" outlineLevel="2" x14ac:dyDescent="0.2">
      <c r="A1475" s="14" t="s">
        <v>2912</v>
      </c>
      <c r="B1475" s="15" t="s">
        <v>2913</v>
      </c>
      <c r="C1475" s="16">
        <f>87.41/(1+B2)</f>
        <v>87.41</v>
      </c>
      <c r="D1475" s="17" t="s">
        <v>11</v>
      </c>
      <c r="E1475" s="17" t="s">
        <v>53</v>
      </c>
      <c r="F1475" s="18"/>
      <c r="G1475" s="36" t="str">
        <f>IF(ISNUMBER(F1475),C1475*F1475,"")</f>
        <v/>
      </c>
    </row>
    <row r="1476" spans="1:7" ht="12" customHeight="1" outlineLevel="2" x14ac:dyDescent="0.2">
      <c r="A1476" s="14" t="s">
        <v>2914</v>
      </c>
      <c r="B1476" s="15" t="s">
        <v>2915</v>
      </c>
      <c r="C1476" s="16">
        <f>167.13/(1+B2)</f>
        <v>167.13</v>
      </c>
      <c r="D1476" s="17" t="s">
        <v>11</v>
      </c>
      <c r="E1476" s="17" t="s">
        <v>14</v>
      </c>
      <c r="F1476" s="18"/>
      <c r="G1476" s="36" t="str">
        <f>IF(ISNUMBER(F1476),C1476*F1476,"")</f>
        <v/>
      </c>
    </row>
    <row r="1477" spans="1:7" ht="12" customHeight="1" outlineLevel="2" x14ac:dyDescent="0.2">
      <c r="A1477" s="14" t="s">
        <v>2916</v>
      </c>
      <c r="B1477" s="15" t="s">
        <v>2917</v>
      </c>
      <c r="C1477" s="16">
        <f>170.6/(1+B2)</f>
        <v>170.6</v>
      </c>
      <c r="D1477" s="17" t="s">
        <v>11</v>
      </c>
      <c r="E1477" s="17" t="s">
        <v>14</v>
      </c>
      <c r="F1477" s="18"/>
      <c r="G1477" s="36" t="str">
        <f>IF(ISNUMBER(F1477),C1477*F1477,"")</f>
        <v/>
      </c>
    </row>
    <row r="1478" spans="1:7" ht="24" customHeight="1" outlineLevel="2" x14ac:dyDescent="0.2">
      <c r="A1478" s="14" t="s">
        <v>2918</v>
      </c>
      <c r="B1478" s="15" t="s">
        <v>2919</v>
      </c>
      <c r="C1478" s="16">
        <f>167.13/(1+B2)</f>
        <v>167.13</v>
      </c>
      <c r="D1478" s="17" t="s">
        <v>11</v>
      </c>
      <c r="E1478" s="17" t="s">
        <v>14</v>
      </c>
      <c r="F1478" s="18"/>
      <c r="G1478" s="36" t="str">
        <f>IF(ISNUMBER(F1478),C1478*F1478,"")</f>
        <v/>
      </c>
    </row>
    <row r="1479" spans="1:7" ht="12" customHeight="1" outlineLevel="2" x14ac:dyDescent="0.2">
      <c r="A1479" s="14" t="s">
        <v>2920</v>
      </c>
      <c r="B1479" s="15" t="s">
        <v>2921</v>
      </c>
      <c r="C1479" s="16">
        <f>167.13/(1+B2)</f>
        <v>167.13</v>
      </c>
      <c r="D1479" s="17"/>
      <c r="E1479" s="17" t="s">
        <v>53</v>
      </c>
      <c r="F1479" s="18"/>
      <c r="G1479" s="36" t="str">
        <f>IF(ISNUMBER(F1479),C1479*F1479,"")</f>
        <v/>
      </c>
    </row>
    <row r="1480" spans="1:7" ht="12" customHeight="1" outlineLevel="2" x14ac:dyDescent="0.2">
      <c r="A1480" s="14" t="s">
        <v>2922</v>
      </c>
      <c r="B1480" s="15" t="s">
        <v>2923</v>
      </c>
      <c r="C1480" s="16">
        <f>196.49/(1+B2)</f>
        <v>196.49</v>
      </c>
      <c r="D1480" s="17" t="s">
        <v>11</v>
      </c>
      <c r="E1480" s="17"/>
      <c r="F1480" s="18"/>
      <c r="G1480" s="36" t="str">
        <f>IF(ISNUMBER(F1480),C1480*F1480,"")</f>
        <v/>
      </c>
    </row>
    <row r="1481" spans="1:7" ht="12" customHeight="1" outlineLevel="2" x14ac:dyDescent="0.2">
      <c r="A1481" s="14" t="s">
        <v>2924</v>
      </c>
      <c r="B1481" s="15" t="s">
        <v>2925</v>
      </c>
      <c r="C1481" s="16">
        <f>246.24/(1+B2)</f>
        <v>246.24</v>
      </c>
      <c r="D1481" s="17" t="s">
        <v>11</v>
      </c>
      <c r="E1481" s="17" t="s">
        <v>11</v>
      </c>
      <c r="F1481" s="18"/>
      <c r="G1481" s="36" t="str">
        <f>IF(ISNUMBER(F1481),C1481*F1481,"")</f>
        <v/>
      </c>
    </row>
    <row r="1482" spans="1:7" ht="12" customHeight="1" outlineLevel="2" x14ac:dyDescent="0.2">
      <c r="A1482" s="14" t="s">
        <v>2926</v>
      </c>
      <c r="B1482" s="15" t="s">
        <v>2927</v>
      </c>
      <c r="C1482" s="16">
        <f>416.1/(1+B2)</f>
        <v>416.1</v>
      </c>
      <c r="D1482" s="17" t="s">
        <v>11</v>
      </c>
      <c r="E1482" s="17" t="s">
        <v>11</v>
      </c>
      <c r="F1482" s="18"/>
      <c r="G1482" s="36" t="str">
        <f>IF(ISNUMBER(F1482),C1482*F1482,"")</f>
        <v/>
      </c>
    </row>
    <row r="1483" spans="1:7" ht="12" customHeight="1" outlineLevel="2" x14ac:dyDescent="0.2">
      <c r="A1483" s="14" t="s">
        <v>2928</v>
      </c>
      <c r="B1483" s="15" t="s">
        <v>2929</v>
      </c>
      <c r="C1483" s="16">
        <f>455.44/(1+B2)</f>
        <v>455.44</v>
      </c>
      <c r="D1483" s="17" t="s">
        <v>11</v>
      </c>
      <c r="E1483" s="17" t="s">
        <v>11</v>
      </c>
      <c r="F1483" s="18"/>
      <c r="G1483" s="36" t="str">
        <f>IF(ISNUMBER(F1483),C1483*F1483,"")</f>
        <v/>
      </c>
    </row>
    <row r="1484" spans="1:7" ht="12" customHeight="1" outlineLevel="2" x14ac:dyDescent="0.2">
      <c r="A1484" s="14" t="s">
        <v>2930</v>
      </c>
      <c r="B1484" s="15" t="s">
        <v>2931</v>
      </c>
      <c r="C1484" s="16">
        <f>76.59/(1+B2)</f>
        <v>76.59</v>
      </c>
      <c r="D1484" s="17" t="s">
        <v>11</v>
      </c>
      <c r="E1484" s="17"/>
      <c r="F1484" s="18"/>
      <c r="G1484" s="36" t="str">
        <f>IF(ISNUMBER(F1484),C1484*F1484,"")</f>
        <v/>
      </c>
    </row>
    <row r="1485" spans="1:7" ht="12" customHeight="1" outlineLevel="2" x14ac:dyDescent="0.2">
      <c r="A1485" s="14" t="s">
        <v>2932</v>
      </c>
      <c r="B1485" s="15" t="s">
        <v>2933</v>
      </c>
      <c r="C1485" s="16">
        <f>76.59/(1+B2)</f>
        <v>76.59</v>
      </c>
      <c r="D1485" s="17" t="s">
        <v>11</v>
      </c>
      <c r="E1485" s="17"/>
      <c r="F1485" s="18"/>
      <c r="G1485" s="36" t="str">
        <f>IF(ISNUMBER(F1485),C1485*F1485,"")</f>
        <v/>
      </c>
    </row>
    <row r="1486" spans="1:7" ht="12" customHeight="1" outlineLevel="2" x14ac:dyDescent="0.2">
      <c r="A1486" s="14" t="s">
        <v>2934</v>
      </c>
      <c r="B1486" s="15" t="s">
        <v>2935</v>
      </c>
      <c r="C1486" s="16">
        <f>127.5/(1+B2)</f>
        <v>127.5</v>
      </c>
      <c r="D1486" s="17" t="s">
        <v>11</v>
      </c>
      <c r="E1486" s="17"/>
      <c r="F1486" s="18"/>
      <c r="G1486" s="36" t="str">
        <f>IF(ISNUMBER(F1486),C1486*F1486,"")</f>
        <v/>
      </c>
    </row>
    <row r="1487" spans="1:7" ht="24" customHeight="1" outlineLevel="2" x14ac:dyDescent="0.2">
      <c r="A1487" s="14" t="s">
        <v>2936</v>
      </c>
      <c r="B1487" s="15" t="s">
        <v>2937</v>
      </c>
      <c r="C1487" s="16">
        <f>141.63/(1+B2)</f>
        <v>141.63</v>
      </c>
      <c r="D1487" s="17" t="s">
        <v>11</v>
      </c>
      <c r="E1487" s="17" t="s">
        <v>14</v>
      </c>
      <c r="F1487" s="18"/>
      <c r="G1487" s="36" t="str">
        <f>IF(ISNUMBER(F1487),C1487*F1487,"")</f>
        <v/>
      </c>
    </row>
    <row r="1488" spans="1:7" ht="24" customHeight="1" outlineLevel="2" x14ac:dyDescent="0.2">
      <c r="A1488" s="14" t="s">
        <v>2938</v>
      </c>
      <c r="B1488" s="15" t="s">
        <v>2939</v>
      </c>
      <c r="C1488" s="16">
        <f>127.5/(1+B2)</f>
        <v>127.5</v>
      </c>
      <c r="D1488" s="17" t="s">
        <v>11</v>
      </c>
      <c r="E1488" s="17"/>
      <c r="F1488" s="18"/>
      <c r="G1488" s="36" t="str">
        <f>IF(ISNUMBER(F1488),C1488*F1488,"")</f>
        <v/>
      </c>
    </row>
    <row r="1489" spans="1:7" ht="24" customHeight="1" outlineLevel="2" x14ac:dyDescent="0.2">
      <c r="A1489" s="14" t="s">
        <v>2940</v>
      </c>
      <c r="B1489" s="15" t="s">
        <v>2941</v>
      </c>
      <c r="C1489" s="16">
        <f>127.5/(1+B2)</f>
        <v>127.5</v>
      </c>
      <c r="D1489" s="17" t="s">
        <v>11</v>
      </c>
      <c r="E1489" s="17" t="s">
        <v>14</v>
      </c>
      <c r="F1489" s="18"/>
      <c r="G1489" s="36" t="str">
        <f>IF(ISNUMBER(F1489),C1489*F1489,"")</f>
        <v/>
      </c>
    </row>
    <row r="1490" spans="1:7" ht="12" customHeight="1" outlineLevel="2" x14ac:dyDescent="0.2">
      <c r="A1490" s="14" t="s">
        <v>2942</v>
      </c>
      <c r="B1490" s="15" t="s">
        <v>2943</v>
      </c>
      <c r="C1490" s="16">
        <f>127.5/(1+B2)</f>
        <v>127.5</v>
      </c>
      <c r="D1490" s="17" t="s">
        <v>11</v>
      </c>
      <c r="E1490" s="17" t="s">
        <v>11</v>
      </c>
      <c r="F1490" s="18"/>
      <c r="G1490" s="36" t="str">
        <f>IF(ISNUMBER(F1490),C1490*F1490,"")</f>
        <v/>
      </c>
    </row>
    <row r="1491" spans="1:7" ht="12" customHeight="1" outlineLevel="2" x14ac:dyDescent="0.2">
      <c r="A1491" s="14" t="s">
        <v>2944</v>
      </c>
      <c r="B1491" s="15" t="s">
        <v>2945</v>
      </c>
      <c r="C1491" s="16">
        <f>145/(1+B2)</f>
        <v>145</v>
      </c>
      <c r="D1491" s="17" t="s">
        <v>11</v>
      </c>
      <c r="E1491" s="17" t="s">
        <v>106</v>
      </c>
      <c r="F1491" s="18"/>
      <c r="G1491" s="36" t="str">
        <f>IF(ISNUMBER(F1491),C1491*F1491,"")</f>
        <v/>
      </c>
    </row>
    <row r="1492" spans="1:7" ht="12" customHeight="1" outlineLevel="2" x14ac:dyDescent="0.2">
      <c r="A1492" s="14" t="s">
        <v>2946</v>
      </c>
      <c r="B1492" s="15" t="s">
        <v>2947</v>
      </c>
      <c r="C1492" s="16">
        <f>145/(1+B2)</f>
        <v>145</v>
      </c>
      <c r="D1492" s="17" t="s">
        <v>11</v>
      </c>
      <c r="E1492" s="17" t="s">
        <v>53</v>
      </c>
      <c r="F1492" s="18"/>
      <c r="G1492" s="36" t="str">
        <f>IF(ISNUMBER(F1492),C1492*F1492,"")</f>
        <v/>
      </c>
    </row>
    <row r="1493" spans="1:7" ht="24" customHeight="1" outlineLevel="2" x14ac:dyDescent="0.2">
      <c r="A1493" s="14" t="s">
        <v>2948</v>
      </c>
      <c r="B1493" s="15" t="s">
        <v>2949</v>
      </c>
      <c r="C1493" s="16">
        <f>145/(1+B2)</f>
        <v>145</v>
      </c>
      <c r="D1493" s="17" t="s">
        <v>11</v>
      </c>
      <c r="E1493" s="17" t="s">
        <v>106</v>
      </c>
      <c r="F1493" s="18"/>
      <c r="G1493" s="36" t="str">
        <f>IF(ISNUMBER(F1493),C1493*F1493,"")</f>
        <v/>
      </c>
    </row>
    <row r="1494" spans="1:7" ht="12" customHeight="1" outlineLevel="2" x14ac:dyDescent="0.2">
      <c r="A1494" s="14" t="s">
        <v>2950</v>
      </c>
      <c r="B1494" s="15" t="s">
        <v>2951</v>
      </c>
      <c r="C1494" s="16">
        <f>145/(1+B2)</f>
        <v>145</v>
      </c>
      <c r="D1494" s="17" t="s">
        <v>11</v>
      </c>
      <c r="E1494" s="17" t="s">
        <v>106</v>
      </c>
      <c r="F1494" s="18"/>
      <c r="G1494" s="36" t="str">
        <f>IF(ISNUMBER(F1494),C1494*F1494,"")</f>
        <v/>
      </c>
    </row>
    <row r="1495" spans="1:7" ht="24" customHeight="1" outlineLevel="2" x14ac:dyDescent="0.2">
      <c r="A1495" s="14" t="s">
        <v>2952</v>
      </c>
      <c r="B1495" s="15" t="s">
        <v>2953</v>
      </c>
      <c r="C1495" s="16">
        <f>244.5/(1+B2)</f>
        <v>244.5</v>
      </c>
      <c r="D1495" s="17" t="s">
        <v>11</v>
      </c>
      <c r="E1495" s="17" t="s">
        <v>11</v>
      </c>
      <c r="F1495" s="18"/>
      <c r="G1495" s="36" t="str">
        <f>IF(ISNUMBER(F1495),C1495*F1495,"")</f>
        <v/>
      </c>
    </row>
    <row r="1496" spans="1:7" ht="12" customHeight="1" outlineLevel="2" x14ac:dyDescent="0.2">
      <c r="A1496" s="14" t="s">
        <v>2954</v>
      </c>
      <c r="B1496" s="15" t="s">
        <v>2955</v>
      </c>
      <c r="C1496" s="16">
        <f>244.51/(1+B2)</f>
        <v>244.51</v>
      </c>
      <c r="D1496" s="17" t="s">
        <v>11</v>
      </c>
      <c r="E1496" s="17"/>
      <c r="F1496" s="18"/>
      <c r="G1496" s="36" t="str">
        <f>IF(ISNUMBER(F1496),C1496*F1496,"")</f>
        <v/>
      </c>
    </row>
    <row r="1497" spans="1:7" ht="12" customHeight="1" outlineLevel="2" x14ac:dyDescent="0.2">
      <c r="A1497" s="14" t="s">
        <v>2956</v>
      </c>
      <c r="B1497" s="15" t="s">
        <v>2957</v>
      </c>
      <c r="C1497" s="16">
        <f>189.44/(1+B2)</f>
        <v>189.44</v>
      </c>
      <c r="D1497" s="17" t="s">
        <v>11</v>
      </c>
      <c r="E1497" s="17" t="s">
        <v>11</v>
      </c>
      <c r="F1497" s="18"/>
      <c r="G1497" s="36" t="str">
        <f>IF(ISNUMBER(F1497),C1497*F1497,"")</f>
        <v/>
      </c>
    </row>
    <row r="1498" spans="1:7" ht="12" customHeight="1" outlineLevel="2" x14ac:dyDescent="0.2">
      <c r="A1498" s="14" t="s">
        <v>2958</v>
      </c>
      <c r="B1498" s="15" t="s">
        <v>2959</v>
      </c>
      <c r="C1498" s="16">
        <f>189.44/(1+B2)</f>
        <v>189.44</v>
      </c>
      <c r="D1498" s="17" t="s">
        <v>11</v>
      </c>
      <c r="E1498" s="17" t="s">
        <v>11</v>
      </c>
      <c r="F1498" s="18"/>
      <c r="G1498" s="36" t="str">
        <f>IF(ISNUMBER(F1498),C1498*F1498,"")</f>
        <v/>
      </c>
    </row>
    <row r="1499" spans="1:7" ht="12" customHeight="1" outlineLevel="2" x14ac:dyDescent="0.2">
      <c r="A1499" s="14" t="s">
        <v>2960</v>
      </c>
      <c r="B1499" s="15" t="s">
        <v>2961</v>
      </c>
      <c r="C1499" s="16">
        <f>279.24/(1+B2)</f>
        <v>279.24</v>
      </c>
      <c r="D1499" s="17" t="s">
        <v>11</v>
      </c>
      <c r="E1499" s="17"/>
      <c r="F1499" s="18"/>
      <c r="G1499" s="36" t="str">
        <f>IF(ISNUMBER(F1499),C1499*F1499,"")</f>
        <v/>
      </c>
    </row>
    <row r="1500" spans="1:7" ht="12" customHeight="1" outlineLevel="2" x14ac:dyDescent="0.2">
      <c r="A1500" s="14" t="s">
        <v>2962</v>
      </c>
      <c r="B1500" s="15" t="s">
        <v>2963</v>
      </c>
      <c r="C1500" s="16">
        <f>279.24/(1+B2)</f>
        <v>279.24</v>
      </c>
      <c r="D1500" s="17" t="s">
        <v>11</v>
      </c>
      <c r="E1500" s="17"/>
      <c r="F1500" s="18"/>
      <c r="G1500" s="36" t="str">
        <f>IF(ISNUMBER(F1500),C1500*F1500,"")</f>
        <v/>
      </c>
    </row>
    <row r="1501" spans="1:7" ht="12" customHeight="1" outlineLevel="2" x14ac:dyDescent="0.2">
      <c r="A1501" s="14" t="s">
        <v>2964</v>
      </c>
      <c r="B1501" s="15" t="s">
        <v>2965</v>
      </c>
      <c r="C1501" s="16">
        <f>54.79/(1+B2)</f>
        <v>54.79</v>
      </c>
      <c r="D1501" s="17" t="s">
        <v>11</v>
      </c>
      <c r="E1501" s="17" t="s">
        <v>11</v>
      </c>
      <c r="F1501" s="18"/>
      <c r="G1501" s="36" t="str">
        <f>IF(ISNUMBER(F1501),C1501*F1501,"")</f>
        <v/>
      </c>
    </row>
    <row r="1502" spans="1:7" ht="12" customHeight="1" outlineLevel="2" x14ac:dyDescent="0.2">
      <c r="A1502" s="14" t="s">
        <v>2966</v>
      </c>
      <c r="B1502" s="15" t="s">
        <v>2967</v>
      </c>
      <c r="C1502" s="16">
        <f>54.79/(1+B2)</f>
        <v>54.79</v>
      </c>
      <c r="D1502" s="17" t="s">
        <v>11</v>
      </c>
      <c r="E1502" s="17" t="s">
        <v>11</v>
      </c>
      <c r="F1502" s="18"/>
      <c r="G1502" s="36" t="str">
        <f>IF(ISNUMBER(F1502),C1502*F1502,"")</f>
        <v/>
      </c>
    </row>
    <row r="1503" spans="1:7" ht="12" customHeight="1" outlineLevel="2" x14ac:dyDescent="0.2">
      <c r="A1503" s="14" t="s">
        <v>2968</v>
      </c>
      <c r="B1503" s="15" t="s">
        <v>2969</v>
      </c>
      <c r="C1503" s="16">
        <f>54.79/(1+B2)</f>
        <v>54.79</v>
      </c>
      <c r="D1503" s="17" t="s">
        <v>11</v>
      </c>
      <c r="E1503" s="17" t="s">
        <v>14</v>
      </c>
      <c r="F1503" s="18"/>
      <c r="G1503" s="36" t="str">
        <f>IF(ISNUMBER(F1503),C1503*F1503,"")</f>
        <v/>
      </c>
    </row>
    <row r="1504" spans="1:7" ht="12" customHeight="1" outlineLevel="2" x14ac:dyDescent="0.2">
      <c r="A1504" s="14" t="s">
        <v>2970</v>
      </c>
      <c r="B1504" s="15" t="s">
        <v>2971</v>
      </c>
      <c r="C1504" s="16">
        <f>54.79/(1+B2)</f>
        <v>54.79</v>
      </c>
      <c r="D1504" s="17" t="s">
        <v>11</v>
      </c>
      <c r="E1504" s="17" t="s">
        <v>11</v>
      </c>
      <c r="F1504" s="18"/>
      <c r="G1504" s="36" t="str">
        <f>IF(ISNUMBER(F1504),C1504*F1504,"")</f>
        <v/>
      </c>
    </row>
    <row r="1505" spans="1:7" ht="12" customHeight="1" outlineLevel="2" x14ac:dyDescent="0.2">
      <c r="A1505" s="14" t="s">
        <v>2972</v>
      </c>
      <c r="B1505" s="15" t="s">
        <v>2973</v>
      </c>
      <c r="C1505" s="16">
        <f>66/(1+B2)</f>
        <v>66</v>
      </c>
      <c r="D1505" s="17" t="s">
        <v>11</v>
      </c>
      <c r="E1505" s="17"/>
      <c r="F1505" s="18"/>
      <c r="G1505" s="36" t="str">
        <f>IF(ISNUMBER(F1505),C1505*F1505,"")</f>
        <v/>
      </c>
    </row>
    <row r="1506" spans="1:7" ht="12" customHeight="1" outlineLevel="2" x14ac:dyDescent="0.2">
      <c r="A1506" s="14" t="s">
        <v>2974</v>
      </c>
      <c r="B1506" s="15" t="s">
        <v>2975</v>
      </c>
      <c r="C1506" s="16">
        <f>66/(1+B2)</f>
        <v>66</v>
      </c>
      <c r="D1506" s="17" t="s">
        <v>11</v>
      </c>
      <c r="E1506" s="17" t="s">
        <v>11</v>
      </c>
      <c r="F1506" s="18"/>
      <c r="G1506" s="36" t="str">
        <f>IF(ISNUMBER(F1506),C1506*F1506,"")</f>
        <v/>
      </c>
    </row>
    <row r="1507" spans="1:7" ht="12" customHeight="1" outlineLevel="2" x14ac:dyDescent="0.2">
      <c r="A1507" s="14" t="s">
        <v>2976</v>
      </c>
      <c r="B1507" s="15" t="s">
        <v>2977</v>
      </c>
      <c r="C1507" s="16">
        <f>97.2/(1+B2)</f>
        <v>97.2</v>
      </c>
      <c r="D1507" s="17" t="s">
        <v>11</v>
      </c>
      <c r="E1507" s="17"/>
      <c r="F1507" s="18"/>
      <c r="G1507" s="36" t="str">
        <f>IF(ISNUMBER(F1507),C1507*F1507,"")</f>
        <v/>
      </c>
    </row>
    <row r="1508" spans="1:7" ht="12" customHeight="1" outlineLevel="2" x14ac:dyDescent="0.2">
      <c r="A1508" s="14" t="s">
        <v>2978</v>
      </c>
      <c r="B1508" s="15" t="s">
        <v>2979</v>
      </c>
      <c r="C1508" s="16">
        <f>62.25/(1+B2)</f>
        <v>62.25</v>
      </c>
      <c r="D1508" s="17" t="s">
        <v>11</v>
      </c>
      <c r="E1508" s="17" t="s">
        <v>11</v>
      </c>
      <c r="F1508" s="18"/>
      <c r="G1508" s="36" t="str">
        <f>IF(ISNUMBER(F1508),C1508*F1508,"")</f>
        <v/>
      </c>
    </row>
    <row r="1509" spans="1:7" ht="12" customHeight="1" outlineLevel="2" x14ac:dyDescent="0.2">
      <c r="A1509" s="14" t="s">
        <v>2980</v>
      </c>
      <c r="B1509" s="15" t="s">
        <v>2981</v>
      </c>
      <c r="C1509" s="16">
        <f>252.5/(1+B2)</f>
        <v>252.5</v>
      </c>
      <c r="D1509" s="17" t="s">
        <v>11</v>
      </c>
      <c r="E1509" s="17" t="s">
        <v>11</v>
      </c>
      <c r="F1509" s="18"/>
      <c r="G1509" s="36" t="str">
        <f>IF(ISNUMBER(F1509),C1509*F1509,"")</f>
        <v/>
      </c>
    </row>
    <row r="1510" spans="1:7" ht="12" customHeight="1" outlineLevel="2" x14ac:dyDescent="0.2">
      <c r="A1510" s="14" t="s">
        <v>2982</v>
      </c>
      <c r="B1510" s="15" t="s">
        <v>2983</v>
      </c>
      <c r="C1510" s="16">
        <f>256.25/(1+B2)</f>
        <v>256.25</v>
      </c>
      <c r="D1510" s="17" t="s">
        <v>11</v>
      </c>
      <c r="E1510" s="17" t="s">
        <v>11</v>
      </c>
      <c r="F1510" s="18"/>
      <c r="G1510" s="36" t="str">
        <f>IF(ISNUMBER(F1510),C1510*F1510,"")</f>
        <v/>
      </c>
    </row>
    <row r="1511" spans="1:7" ht="12" customHeight="1" outlineLevel="2" x14ac:dyDescent="0.2">
      <c r="A1511" s="14" t="s">
        <v>2984</v>
      </c>
      <c r="B1511" s="15" t="s">
        <v>2985</v>
      </c>
      <c r="C1511" s="16">
        <f>256.25/(1+B2)</f>
        <v>256.25</v>
      </c>
      <c r="D1511" s="17" t="s">
        <v>11</v>
      </c>
      <c r="E1511" s="17" t="s">
        <v>11</v>
      </c>
      <c r="F1511" s="18"/>
      <c r="G1511" s="36" t="str">
        <f>IF(ISNUMBER(F1511),C1511*F1511,"")</f>
        <v/>
      </c>
    </row>
    <row r="1512" spans="1:7" ht="12" customHeight="1" outlineLevel="2" x14ac:dyDescent="0.2">
      <c r="A1512" s="14" t="s">
        <v>2986</v>
      </c>
      <c r="B1512" s="15" t="s">
        <v>2987</v>
      </c>
      <c r="C1512" s="16">
        <f>256.25/(1+B2)</f>
        <v>256.25</v>
      </c>
      <c r="D1512" s="17" t="s">
        <v>11</v>
      </c>
      <c r="E1512" s="17" t="s">
        <v>11</v>
      </c>
      <c r="F1512" s="18"/>
      <c r="G1512" s="36" t="str">
        <f>IF(ISNUMBER(F1512),C1512*F1512,"")</f>
        <v/>
      </c>
    </row>
    <row r="1513" spans="1:7" ht="12" customHeight="1" outlineLevel="2" x14ac:dyDescent="0.2">
      <c r="A1513" s="14" t="s">
        <v>2988</v>
      </c>
      <c r="B1513" s="15" t="s">
        <v>2989</v>
      </c>
      <c r="C1513" s="16">
        <f>43.13/(1+B2)</f>
        <v>43.13</v>
      </c>
      <c r="D1513" s="17" t="s">
        <v>11</v>
      </c>
      <c r="E1513" s="17" t="s">
        <v>14</v>
      </c>
      <c r="F1513" s="18"/>
      <c r="G1513" s="36" t="str">
        <f>IF(ISNUMBER(F1513),C1513*F1513,"")</f>
        <v/>
      </c>
    </row>
    <row r="1514" spans="1:7" ht="12" customHeight="1" outlineLevel="2" x14ac:dyDescent="0.2">
      <c r="A1514" s="14" t="s">
        <v>2990</v>
      </c>
      <c r="B1514" s="15" t="s">
        <v>2991</v>
      </c>
      <c r="C1514" s="16">
        <f>41.63/(1+B2)</f>
        <v>41.63</v>
      </c>
      <c r="D1514" s="17" t="s">
        <v>11</v>
      </c>
      <c r="E1514" s="17" t="s">
        <v>14</v>
      </c>
      <c r="F1514" s="18"/>
      <c r="G1514" s="36" t="str">
        <f>IF(ISNUMBER(F1514),C1514*F1514,"")</f>
        <v/>
      </c>
    </row>
    <row r="1515" spans="1:7" ht="12" customHeight="1" outlineLevel="2" x14ac:dyDescent="0.2">
      <c r="A1515" s="14" t="s">
        <v>2992</v>
      </c>
      <c r="B1515" s="15" t="s">
        <v>2993</v>
      </c>
      <c r="C1515" s="16">
        <f>41.63/(1+B2)</f>
        <v>41.63</v>
      </c>
      <c r="D1515" s="17" t="s">
        <v>11</v>
      </c>
      <c r="E1515" s="17" t="s">
        <v>53</v>
      </c>
      <c r="F1515" s="18"/>
      <c r="G1515" s="36" t="str">
        <f>IF(ISNUMBER(F1515),C1515*F1515,"")</f>
        <v/>
      </c>
    </row>
    <row r="1516" spans="1:7" ht="12" customHeight="1" outlineLevel="2" x14ac:dyDescent="0.2">
      <c r="A1516" s="14" t="s">
        <v>2994</v>
      </c>
      <c r="B1516" s="15" t="s">
        <v>2995</v>
      </c>
      <c r="C1516" s="16">
        <f>41.63/(1+B2)</f>
        <v>41.63</v>
      </c>
      <c r="D1516" s="17" t="s">
        <v>11</v>
      </c>
      <c r="E1516" s="17"/>
      <c r="F1516" s="18"/>
      <c r="G1516" s="36" t="str">
        <f>IF(ISNUMBER(F1516),C1516*F1516,"")</f>
        <v/>
      </c>
    </row>
    <row r="1517" spans="1:7" ht="24" customHeight="1" outlineLevel="2" x14ac:dyDescent="0.2">
      <c r="A1517" s="14" t="s">
        <v>2996</v>
      </c>
      <c r="B1517" s="15" t="s">
        <v>2997</v>
      </c>
      <c r="C1517" s="16">
        <f>49.38/(1+B2)</f>
        <v>49.38</v>
      </c>
      <c r="D1517" s="17" t="s">
        <v>11</v>
      </c>
      <c r="E1517" s="17" t="s">
        <v>53</v>
      </c>
      <c r="F1517" s="18"/>
      <c r="G1517" s="36" t="str">
        <f>IF(ISNUMBER(F1517),C1517*F1517,"")</f>
        <v/>
      </c>
    </row>
    <row r="1518" spans="1:7" ht="12" customHeight="1" outlineLevel="2" x14ac:dyDescent="0.2">
      <c r="A1518" s="14" t="s">
        <v>2998</v>
      </c>
      <c r="B1518" s="15" t="s">
        <v>2999</v>
      </c>
      <c r="C1518" s="16">
        <f>49.38/(1+B2)</f>
        <v>49.38</v>
      </c>
      <c r="D1518" s="17" t="s">
        <v>11</v>
      </c>
      <c r="E1518" s="17" t="s">
        <v>53</v>
      </c>
      <c r="F1518" s="18"/>
      <c r="G1518" s="36" t="str">
        <f>IF(ISNUMBER(F1518),C1518*F1518,"")</f>
        <v/>
      </c>
    </row>
    <row r="1519" spans="1:7" ht="12" customHeight="1" outlineLevel="2" x14ac:dyDescent="0.2">
      <c r="A1519" s="14" t="s">
        <v>3000</v>
      </c>
      <c r="B1519" s="15" t="s">
        <v>3001</v>
      </c>
      <c r="C1519" s="16">
        <f>104.68/(1+B2)</f>
        <v>104.68</v>
      </c>
      <c r="D1519" s="17" t="s">
        <v>11</v>
      </c>
      <c r="E1519" s="17"/>
      <c r="F1519" s="18"/>
      <c r="G1519" s="36" t="str">
        <f>IF(ISNUMBER(F1519),C1519*F1519,"")</f>
        <v/>
      </c>
    </row>
    <row r="1520" spans="1:7" ht="12" customHeight="1" outlineLevel="2" x14ac:dyDescent="0.2">
      <c r="A1520" s="14" t="s">
        <v>3002</v>
      </c>
      <c r="B1520" s="15" t="s">
        <v>3003</v>
      </c>
      <c r="C1520" s="16">
        <f>101.21/(1+B2)</f>
        <v>101.21</v>
      </c>
      <c r="D1520" s="17" t="s">
        <v>11</v>
      </c>
      <c r="E1520" s="17" t="s">
        <v>11</v>
      </c>
      <c r="F1520" s="18"/>
      <c r="G1520" s="36" t="str">
        <f>IF(ISNUMBER(F1520),C1520*F1520,"")</f>
        <v/>
      </c>
    </row>
    <row r="1521" spans="1:7" ht="12" customHeight="1" outlineLevel="2" x14ac:dyDescent="0.2">
      <c r="A1521" s="14" t="s">
        <v>3004</v>
      </c>
      <c r="B1521" s="15" t="s">
        <v>3005</v>
      </c>
      <c r="C1521" s="16">
        <f>104.68/(1+B2)</f>
        <v>104.68</v>
      </c>
      <c r="D1521" s="17" t="s">
        <v>11</v>
      </c>
      <c r="E1521" s="17" t="s">
        <v>11</v>
      </c>
      <c r="F1521" s="18"/>
      <c r="G1521" s="36" t="str">
        <f>IF(ISNUMBER(F1521),C1521*F1521,"")</f>
        <v/>
      </c>
    </row>
    <row r="1522" spans="1:7" ht="12" customHeight="1" outlineLevel="2" x14ac:dyDescent="0.2">
      <c r="A1522" s="14" t="s">
        <v>3006</v>
      </c>
      <c r="B1522" s="15" t="s">
        <v>3007</v>
      </c>
      <c r="C1522" s="16">
        <f>64.38/(1+B2)</f>
        <v>64.38</v>
      </c>
      <c r="D1522" s="17" t="s">
        <v>11</v>
      </c>
      <c r="E1522" s="17" t="s">
        <v>53</v>
      </c>
      <c r="F1522" s="18"/>
      <c r="G1522" s="36" t="str">
        <f>IF(ISNUMBER(F1522),C1522*F1522,"")</f>
        <v/>
      </c>
    </row>
    <row r="1523" spans="1:7" ht="12" customHeight="1" outlineLevel="2" x14ac:dyDescent="0.2">
      <c r="A1523" s="14" t="s">
        <v>3008</v>
      </c>
      <c r="B1523" s="15" t="s">
        <v>3009</v>
      </c>
      <c r="C1523" s="16">
        <f>63.61/(1+B2)</f>
        <v>63.61</v>
      </c>
      <c r="D1523" s="17" t="s">
        <v>11</v>
      </c>
      <c r="E1523" s="17" t="s">
        <v>53</v>
      </c>
      <c r="F1523" s="18"/>
      <c r="G1523" s="36" t="str">
        <f>IF(ISNUMBER(F1523),C1523*F1523,"")</f>
        <v/>
      </c>
    </row>
    <row r="1524" spans="1:7" ht="12" customHeight="1" outlineLevel="2" x14ac:dyDescent="0.2">
      <c r="A1524" s="14" t="s">
        <v>3010</v>
      </c>
      <c r="B1524" s="15" t="s">
        <v>3011</v>
      </c>
      <c r="C1524" s="16">
        <f>72.46/(1+B2)</f>
        <v>72.459999999999994</v>
      </c>
      <c r="D1524" s="17" t="s">
        <v>11</v>
      </c>
      <c r="E1524" s="17" t="s">
        <v>11</v>
      </c>
      <c r="F1524" s="18"/>
      <c r="G1524" s="36" t="str">
        <f>IF(ISNUMBER(F1524),C1524*F1524,"")</f>
        <v/>
      </c>
    </row>
    <row r="1525" spans="1:7" ht="12" customHeight="1" outlineLevel="2" x14ac:dyDescent="0.2">
      <c r="A1525" s="14" t="s">
        <v>3012</v>
      </c>
      <c r="B1525" s="15" t="s">
        <v>3013</v>
      </c>
      <c r="C1525" s="16">
        <f>72.46/(1+B2)</f>
        <v>72.459999999999994</v>
      </c>
      <c r="D1525" s="17" t="s">
        <v>11</v>
      </c>
      <c r="E1525" s="17" t="s">
        <v>53</v>
      </c>
      <c r="F1525" s="18"/>
      <c r="G1525" s="36" t="str">
        <f>IF(ISNUMBER(F1525),C1525*F1525,"")</f>
        <v/>
      </c>
    </row>
    <row r="1526" spans="1:7" ht="12" customHeight="1" outlineLevel="2" x14ac:dyDescent="0.2">
      <c r="A1526" s="14" t="s">
        <v>3014</v>
      </c>
      <c r="B1526" s="15" t="s">
        <v>3015</v>
      </c>
      <c r="C1526" s="16">
        <f>68.89/(1+B2)</f>
        <v>68.89</v>
      </c>
      <c r="D1526" s="17" t="s">
        <v>11</v>
      </c>
      <c r="E1526" s="17" t="s">
        <v>53</v>
      </c>
      <c r="F1526" s="18"/>
      <c r="G1526" s="36" t="str">
        <f>IF(ISNUMBER(F1526),C1526*F1526,"")</f>
        <v/>
      </c>
    </row>
    <row r="1527" spans="1:7" ht="12" customHeight="1" outlineLevel="2" x14ac:dyDescent="0.2">
      <c r="A1527" s="14" t="s">
        <v>3016</v>
      </c>
      <c r="B1527" s="15" t="s">
        <v>3017</v>
      </c>
      <c r="C1527" s="16">
        <f>72.46/(1+B2)</f>
        <v>72.459999999999994</v>
      </c>
      <c r="D1527" s="17" t="s">
        <v>11</v>
      </c>
      <c r="E1527" s="17" t="s">
        <v>53</v>
      </c>
      <c r="F1527" s="18"/>
      <c r="G1527" s="36" t="str">
        <f>IF(ISNUMBER(F1527),C1527*F1527,"")</f>
        <v/>
      </c>
    </row>
    <row r="1528" spans="1:7" ht="12" customHeight="1" outlineLevel="2" x14ac:dyDescent="0.2">
      <c r="A1528" s="14" t="s">
        <v>3018</v>
      </c>
      <c r="B1528" s="15" t="s">
        <v>3019</v>
      </c>
      <c r="C1528" s="16">
        <f>123.99/(1+B2)</f>
        <v>123.99</v>
      </c>
      <c r="D1528" s="17" t="s">
        <v>11</v>
      </c>
      <c r="E1528" s="17" t="s">
        <v>14</v>
      </c>
      <c r="F1528" s="18"/>
      <c r="G1528" s="36" t="str">
        <f>IF(ISNUMBER(F1528),C1528*F1528,"")</f>
        <v/>
      </c>
    </row>
    <row r="1529" spans="1:7" ht="12" customHeight="1" outlineLevel="2" x14ac:dyDescent="0.2">
      <c r="A1529" s="14" t="s">
        <v>3020</v>
      </c>
      <c r="B1529" s="15" t="s">
        <v>3021</v>
      </c>
      <c r="C1529" s="16">
        <f>107.9/(1+B2)</f>
        <v>107.9</v>
      </c>
      <c r="D1529" s="17" t="s">
        <v>11</v>
      </c>
      <c r="E1529" s="17" t="s">
        <v>11</v>
      </c>
      <c r="F1529" s="18"/>
      <c r="G1529" s="36" t="str">
        <f>IF(ISNUMBER(F1529),C1529*F1529,"")</f>
        <v/>
      </c>
    </row>
    <row r="1530" spans="1:7" ht="12" customHeight="1" outlineLevel="2" x14ac:dyDescent="0.2">
      <c r="A1530" s="14" t="s">
        <v>3022</v>
      </c>
      <c r="B1530" s="15" t="s">
        <v>3023</v>
      </c>
      <c r="C1530" s="16">
        <f>123.99/(1+B2)</f>
        <v>123.99</v>
      </c>
      <c r="D1530" s="17" t="s">
        <v>11</v>
      </c>
      <c r="E1530" s="17" t="s">
        <v>14</v>
      </c>
      <c r="F1530" s="18"/>
      <c r="G1530" s="36" t="str">
        <f>IF(ISNUMBER(F1530),C1530*F1530,"")</f>
        <v/>
      </c>
    </row>
    <row r="1531" spans="1:7" ht="12" customHeight="1" outlineLevel="2" x14ac:dyDescent="0.2">
      <c r="A1531" s="14" t="s">
        <v>3024</v>
      </c>
      <c r="B1531" s="15" t="s">
        <v>3025</v>
      </c>
      <c r="C1531" s="16">
        <f>122.35/(1+B2)</f>
        <v>122.35</v>
      </c>
      <c r="D1531" s="17" t="s">
        <v>11</v>
      </c>
      <c r="E1531" s="17" t="s">
        <v>53</v>
      </c>
      <c r="F1531" s="18"/>
      <c r="G1531" s="36" t="str">
        <f>IF(ISNUMBER(F1531),C1531*F1531,"")</f>
        <v/>
      </c>
    </row>
    <row r="1532" spans="1:7" ht="12" customHeight="1" outlineLevel="2" x14ac:dyDescent="0.2">
      <c r="A1532" s="14" t="s">
        <v>3026</v>
      </c>
      <c r="B1532" s="15" t="s">
        <v>3027</v>
      </c>
      <c r="C1532" s="16">
        <f>66.31/(1+B2)</f>
        <v>66.31</v>
      </c>
      <c r="D1532" s="17" t="s">
        <v>11</v>
      </c>
      <c r="E1532" s="17" t="s">
        <v>14</v>
      </c>
      <c r="F1532" s="18"/>
      <c r="G1532" s="36" t="str">
        <f>IF(ISNUMBER(F1532),C1532*F1532,"")</f>
        <v/>
      </c>
    </row>
    <row r="1533" spans="1:7" ht="12" customHeight="1" outlineLevel="2" x14ac:dyDescent="0.2">
      <c r="A1533" s="14" t="s">
        <v>3028</v>
      </c>
      <c r="B1533" s="15" t="s">
        <v>3029</v>
      </c>
      <c r="C1533" s="16">
        <f>64.44/(1+B2)</f>
        <v>64.44</v>
      </c>
      <c r="D1533" s="17" t="s">
        <v>14</v>
      </c>
      <c r="E1533" s="17" t="s">
        <v>14</v>
      </c>
      <c r="F1533" s="18"/>
      <c r="G1533" s="36" t="str">
        <f>IF(ISNUMBER(F1533),C1533*F1533,"")</f>
        <v/>
      </c>
    </row>
    <row r="1534" spans="1:7" ht="12" customHeight="1" outlineLevel="2" x14ac:dyDescent="0.2">
      <c r="A1534" s="14" t="s">
        <v>3030</v>
      </c>
      <c r="B1534" s="15" t="s">
        <v>3031</v>
      </c>
      <c r="C1534" s="16">
        <f>66.31/(1+B2)</f>
        <v>66.31</v>
      </c>
      <c r="D1534" s="17" t="s">
        <v>11</v>
      </c>
      <c r="E1534" s="17" t="s">
        <v>53</v>
      </c>
      <c r="F1534" s="18"/>
      <c r="G1534" s="36" t="str">
        <f>IF(ISNUMBER(F1534),C1534*F1534,"")</f>
        <v/>
      </c>
    </row>
    <row r="1535" spans="1:7" ht="12" customHeight="1" outlineLevel="2" x14ac:dyDescent="0.2">
      <c r="A1535" s="14" t="s">
        <v>3032</v>
      </c>
      <c r="B1535" s="15" t="s">
        <v>3033</v>
      </c>
      <c r="C1535" s="16">
        <f>66.31/(1+B2)</f>
        <v>66.31</v>
      </c>
      <c r="D1535" s="17" t="s">
        <v>11</v>
      </c>
      <c r="E1535" s="17" t="s">
        <v>14</v>
      </c>
      <c r="F1535" s="18"/>
      <c r="G1535" s="36" t="str">
        <f>IF(ISNUMBER(F1535),C1535*F1535,"")</f>
        <v/>
      </c>
    </row>
    <row r="1536" spans="1:7" ht="12" customHeight="1" outlineLevel="2" x14ac:dyDescent="0.2">
      <c r="A1536" s="14" t="s">
        <v>3034</v>
      </c>
      <c r="B1536" s="15" t="s">
        <v>3035</v>
      </c>
      <c r="C1536" s="16">
        <f>66.31/(1+B2)</f>
        <v>66.31</v>
      </c>
      <c r="D1536" s="17" t="s">
        <v>11</v>
      </c>
      <c r="E1536" s="17" t="s">
        <v>53</v>
      </c>
      <c r="F1536" s="18"/>
      <c r="G1536" s="36" t="str">
        <f>IF(ISNUMBER(F1536),C1536*F1536,"")</f>
        <v/>
      </c>
    </row>
    <row r="1537" spans="1:7" ht="12" customHeight="1" outlineLevel="2" x14ac:dyDescent="0.2">
      <c r="A1537" s="14" t="s">
        <v>3036</v>
      </c>
      <c r="B1537" s="15" t="s">
        <v>3037</v>
      </c>
      <c r="C1537" s="16">
        <f>108.15/(1+B2)</f>
        <v>108.15</v>
      </c>
      <c r="D1537" s="17" t="s">
        <v>11</v>
      </c>
      <c r="E1537" s="17" t="s">
        <v>14</v>
      </c>
      <c r="F1537" s="18"/>
      <c r="G1537" s="36" t="str">
        <f>IF(ISNUMBER(F1537),C1537*F1537,"")</f>
        <v/>
      </c>
    </row>
    <row r="1538" spans="1:7" ht="12" customHeight="1" outlineLevel="2" x14ac:dyDescent="0.2">
      <c r="A1538" s="14" t="s">
        <v>3038</v>
      </c>
      <c r="B1538" s="15" t="s">
        <v>3039</v>
      </c>
      <c r="C1538" s="16">
        <f>116.53/(1+B2)</f>
        <v>116.53</v>
      </c>
      <c r="D1538" s="17" t="s">
        <v>11</v>
      </c>
      <c r="E1538" s="17" t="s">
        <v>14</v>
      </c>
      <c r="F1538" s="18"/>
      <c r="G1538" s="36" t="str">
        <f>IF(ISNUMBER(F1538),C1538*F1538,"")</f>
        <v/>
      </c>
    </row>
    <row r="1539" spans="1:7" ht="12" customHeight="1" outlineLevel="2" x14ac:dyDescent="0.2">
      <c r="A1539" s="14" t="s">
        <v>3040</v>
      </c>
      <c r="B1539" s="15" t="s">
        <v>3041</v>
      </c>
      <c r="C1539" s="16">
        <f>116.53/(1+B2)</f>
        <v>116.53</v>
      </c>
      <c r="D1539" s="17" t="s">
        <v>11</v>
      </c>
      <c r="E1539" s="17" t="s">
        <v>53</v>
      </c>
      <c r="F1539" s="18"/>
      <c r="G1539" s="36" t="str">
        <f>IF(ISNUMBER(F1539),C1539*F1539,"")</f>
        <v/>
      </c>
    </row>
    <row r="1540" spans="1:7" ht="12" customHeight="1" outlineLevel="2" x14ac:dyDescent="0.2">
      <c r="A1540" s="14" t="s">
        <v>3042</v>
      </c>
      <c r="B1540" s="15" t="s">
        <v>3043</v>
      </c>
      <c r="C1540" s="16">
        <f>116.53/(1+B2)</f>
        <v>116.53</v>
      </c>
      <c r="D1540" s="17" t="s">
        <v>11</v>
      </c>
      <c r="E1540" s="17" t="s">
        <v>53</v>
      </c>
      <c r="F1540" s="18"/>
      <c r="G1540" s="36" t="str">
        <f>IF(ISNUMBER(F1540),C1540*F1540,"")</f>
        <v/>
      </c>
    </row>
    <row r="1541" spans="1:7" ht="12" customHeight="1" outlineLevel="2" x14ac:dyDescent="0.2">
      <c r="A1541" s="14" t="s">
        <v>3044</v>
      </c>
      <c r="B1541" s="15" t="s">
        <v>3045</v>
      </c>
      <c r="C1541" s="16">
        <f>116.53/(1+B2)</f>
        <v>116.53</v>
      </c>
      <c r="D1541" s="17" t="s">
        <v>11</v>
      </c>
      <c r="E1541" s="17" t="s">
        <v>14</v>
      </c>
      <c r="F1541" s="18"/>
      <c r="G1541" s="36" t="str">
        <f>IF(ISNUMBER(F1541),C1541*F1541,"")</f>
        <v/>
      </c>
    </row>
    <row r="1542" spans="1:7" ht="12" customHeight="1" outlineLevel="2" x14ac:dyDescent="0.2">
      <c r="A1542" s="14" t="s">
        <v>3046</v>
      </c>
      <c r="B1542" s="15" t="s">
        <v>3047</v>
      </c>
      <c r="C1542" s="16">
        <f>49.65/(1+B2)</f>
        <v>49.65</v>
      </c>
      <c r="D1542" s="17" t="s">
        <v>11</v>
      </c>
      <c r="E1542" s="17"/>
      <c r="F1542" s="18"/>
      <c r="G1542" s="36" t="str">
        <f>IF(ISNUMBER(F1542),C1542*F1542,"")</f>
        <v/>
      </c>
    </row>
    <row r="1543" spans="1:7" ht="12" customHeight="1" outlineLevel="2" x14ac:dyDescent="0.2">
      <c r="A1543" s="14" t="s">
        <v>3048</v>
      </c>
      <c r="B1543" s="15" t="s">
        <v>3049</v>
      </c>
      <c r="C1543" s="16">
        <f>49.65/(1+B2)</f>
        <v>49.65</v>
      </c>
      <c r="D1543" s="17" t="s">
        <v>14</v>
      </c>
      <c r="E1543" s="17"/>
      <c r="F1543" s="18"/>
      <c r="G1543" s="36" t="str">
        <f>IF(ISNUMBER(F1543),C1543*F1543,"")</f>
        <v/>
      </c>
    </row>
    <row r="1544" spans="1:7" ht="12" customHeight="1" outlineLevel="2" x14ac:dyDescent="0.2">
      <c r="A1544" s="14" t="s">
        <v>3050</v>
      </c>
      <c r="B1544" s="15" t="s">
        <v>3051</v>
      </c>
      <c r="C1544" s="16">
        <f>49.65/(1+B2)</f>
        <v>49.65</v>
      </c>
      <c r="D1544" s="17" t="s">
        <v>11</v>
      </c>
      <c r="E1544" s="17"/>
      <c r="F1544" s="18"/>
      <c r="G1544" s="36" t="str">
        <f>IF(ISNUMBER(F1544),C1544*F1544,"")</f>
        <v/>
      </c>
    </row>
    <row r="1545" spans="1:7" ht="12" customHeight="1" outlineLevel="2" x14ac:dyDescent="0.2">
      <c r="A1545" s="14" t="s">
        <v>3052</v>
      </c>
      <c r="B1545" s="15" t="s">
        <v>3053</v>
      </c>
      <c r="C1545" s="16">
        <f>138.03/(1+B2)</f>
        <v>138.03</v>
      </c>
      <c r="D1545" s="17" t="s">
        <v>11</v>
      </c>
      <c r="E1545" s="17"/>
      <c r="F1545" s="18"/>
      <c r="G1545" s="36" t="str">
        <f>IF(ISNUMBER(F1545),C1545*F1545,"")</f>
        <v/>
      </c>
    </row>
    <row r="1546" spans="1:7" ht="12" customHeight="1" outlineLevel="2" x14ac:dyDescent="0.2">
      <c r="A1546" s="14" t="s">
        <v>3054</v>
      </c>
      <c r="B1546" s="15" t="s">
        <v>3055</v>
      </c>
      <c r="C1546" s="16">
        <f>50.13/(1+B2)</f>
        <v>50.13</v>
      </c>
      <c r="D1546" s="17" t="s">
        <v>11</v>
      </c>
      <c r="E1546" s="17" t="s">
        <v>11</v>
      </c>
      <c r="F1546" s="18"/>
      <c r="G1546" s="36" t="str">
        <f>IF(ISNUMBER(F1546),C1546*F1546,"")</f>
        <v/>
      </c>
    </row>
    <row r="1547" spans="1:7" ht="12" customHeight="1" outlineLevel="2" x14ac:dyDescent="0.2">
      <c r="A1547" s="14" t="s">
        <v>3056</v>
      </c>
      <c r="B1547" s="15" t="s">
        <v>3057</v>
      </c>
      <c r="C1547" s="16">
        <f>50.13/(1+B2)</f>
        <v>50.13</v>
      </c>
      <c r="D1547" s="17" t="s">
        <v>11</v>
      </c>
      <c r="E1547" s="17"/>
      <c r="F1547" s="18"/>
      <c r="G1547" s="36" t="str">
        <f>IF(ISNUMBER(F1547),C1547*F1547,"")</f>
        <v/>
      </c>
    </row>
    <row r="1548" spans="1:7" ht="12" customHeight="1" outlineLevel="2" x14ac:dyDescent="0.2">
      <c r="A1548" s="14" t="s">
        <v>3058</v>
      </c>
      <c r="B1548" s="15" t="s">
        <v>3059</v>
      </c>
      <c r="C1548" s="16">
        <f>35.14/(1+B2)</f>
        <v>35.14</v>
      </c>
      <c r="D1548" s="17" t="s">
        <v>11</v>
      </c>
      <c r="E1548" s="17" t="s">
        <v>14</v>
      </c>
      <c r="F1548" s="18"/>
      <c r="G1548" s="36" t="str">
        <f>IF(ISNUMBER(F1548),C1548*F1548,"")</f>
        <v/>
      </c>
    </row>
    <row r="1549" spans="1:7" ht="12" customHeight="1" outlineLevel="2" x14ac:dyDescent="0.2">
      <c r="A1549" s="14" t="s">
        <v>3060</v>
      </c>
      <c r="B1549" s="15" t="s">
        <v>3061</v>
      </c>
      <c r="C1549" s="16">
        <f>43.44/(1+B2)</f>
        <v>43.44</v>
      </c>
      <c r="D1549" s="17" t="s">
        <v>11</v>
      </c>
      <c r="E1549" s="17" t="s">
        <v>106</v>
      </c>
      <c r="F1549" s="18"/>
      <c r="G1549" s="36" t="str">
        <f>IF(ISNUMBER(F1549),C1549*F1549,"")</f>
        <v/>
      </c>
    </row>
    <row r="1550" spans="1:7" ht="12" customHeight="1" outlineLevel="2" x14ac:dyDescent="0.2">
      <c r="A1550" s="14" t="s">
        <v>3062</v>
      </c>
      <c r="B1550" s="15" t="s">
        <v>3063</v>
      </c>
      <c r="C1550" s="16">
        <f>43.44/(1+B2)</f>
        <v>43.44</v>
      </c>
      <c r="D1550" s="17" t="s">
        <v>11</v>
      </c>
      <c r="E1550" s="17" t="s">
        <v>14</v>
      </c>
      <c r="F1550" s="18"/>
      <c r="G1550" s="36" t="str">
        <f>IF(ISNUMBER(F1550),C1550*F1550,"")</f>
        <v/>
      </c>
    </row>
    <row r="1551" spans="1:7" ht="12" customHeight="1" outlineLevel="2" x14ac:dyDescent="0.2">
      <c r="A1551" s="14" t="s">
        <v>3064</v>
      </c>
      <c r="B1551" s="15" t="s">
        <v>3065</v>
      </c>
      <c r="C1551" s="16">
        <f>43.44/(1+B2)</f>
        <v>43.44</v>
      </c>
      <c r="D1551" s="17" t="s">
        <v>11</v>
      </c>
      <c r="E1551" s="17" t="s">
        <v>53</v>
      </c>
      <c r="F1551" s="18"/>
      <c r="G1551" s="36" t="str">
        <f>IF(ISNUMBER(F1551),C1551*F1551,"")</f>
        <v/>
      </c>
    </row>
    <row r="1552" spans="1:7" ht="12" customHeight="1" outlineLevel="2" x14ac:dyDescent="0.2">
      <c r="A1552" s="14" t="s">
        <v>3066</v>
      </c>
      <c r="B1552" s="15" t="s">
        <v>3067</v>
      </c>
      <c r="C1552" s="16">
        <f>69.14/(1+B2)</f>
        <v>69.14</v>
      </c>
      <c r="D1552" s="17" t="s">
        <v>11</v>
      </c>
      <c r="E1552" s="17" t="s">
        <v>53</v>
      </c>
      <c r="F1552" s="18"/>
      <c r="G1552" s="36" t="str">
        <f>IF(ISNUMBER(F1552),C1552*F1552,"")</f>
        <v/>
      </c>
    </row>
    <row r="1553" spans="1:7" ht="12" customHeight="1" outlineLevel="2" x14ac:dyDescent="0.2">
      <c r="A1553" s="14" t="s">
        <v>3068</v>
      </c>
      <c r="B1553" s="15" t="s">
        <v>3069</v>
      </c>
      <c r="C1553" s="16">
        <f>123.3/(1+B2)</f>
        <v>123.3</v>
      </c>
      <c r="D1553" s="17" t="s">
        <v>11</v>
      </c>
      <c r="E1553" s="17" t="s">
        <v>11</v>
      </c>
      <c r="F1553" s="18"/>
      <c r="G1553" s="36" t="str">
        <f>IF(ISNUMBER(F1553),C1553*F1553,"")</f>
        <v/>
      </c>
    </row>
    <row r="1554" spans="1:7" ht="24" customHeight="1" outlineLevel="2" x14ac:dyDescent="0.2">
      <c r="A1554" s="14" t="s">
        <v>3070</v>
      </c>
      <c r="B1554" s="15" t="s">
        <v>3071</v>
      </c>
      <c r="C1554" s="16">
        <f>107.96/(1+B2)</f>
        <v>107.96</v>
      </c>
      <c r="D1554" s="17" t="s">
        <v>11</v>
      </c>
      <c r="E1554" s="17" t="s">
        <v>11</v>
      </c>
      <c r="F1554" s="18"/>
      <c r="G1554" s="36" t="str">
        <f>IF(ISNUMBER(F1554),C1554*F1554,"")</f>
        <v/>
      </c>
    </row>
    <row r="1555" spans="1:7" ht="24" customHeight="1" outlineLevel="2" x14ac:dyDescent="0.2">
      <c r="A1555" s="14" t="s">
        <v>3072</v>
      </c>
      <c r="B1555" s="15" t="s">
        <v>3073</v>
      </c>
      <c r="C1555" s="16">
        <f>62.06/(1+B2)</f>
        <v>62.06</v>
      </c>
      <c r="D1555" s="17" t="s">
        <v>11</v>
      </c>
      <c r="E1555" s="17"/>
      <c r="F1555" s="18"/>
      <c r="G1555" s="36" t="str">
        <f>IF(ISNUMBER(F1555),C1555*F1555,"")</f>
        <v/>
      </c>
    </row>
    <row r="1556" spans="1:7" ht="12" customHeight="1" outlineLevel="2" x14ac:dyDescent="0.2">
      <c r="A1556" s="14" t="s">
        <v>3074</v>
      </c>
      <c r="B1556" s="15" t="s">
        <v>3075</v>
      </c>
      <c r="C1556" s="16">
        <f>63.8/(1+B2)</f>
        <v>63.8</v>
      </c>
      <c r="D1556" s="17" t="s">
        <v>11</v>
      </c>
      <c r="E1556" s="17" t="s">
        <v>14</v>
      </c>
      <c r="F1556" s="18"/>
      <c r="G1556" s="36" t="str">
        <f>IF(ISNUMBER(F1556),C1556*F1556,"")</f>
        <v/>
      </c>
    </row>
    <row r="1557" spans="1:7" ht="12" customHeight="1" outlineLevel="2" x14ac:dyDescent="0.2">
      <c r="A1557" s="14" t="s">
        <v>3076</v>
      </c>
      <c r="B1557" s="15" t="s">
        <v>3077</v>
      </c>
      <c r="C1557" s="16">
        <f>63.8/(1+B2)</f>
        <v>63.8</v>
      </c>
      <c r="D1557" s="17" t="s">
        <v>11</v>
      </c>
      <c r="E1557" s="17" t="s">
        <v>14</v>
      </c>
      <c r="F1557" s="18"/>
      <c r="G1557" s="36" t="str">
        <f>IF(ISNUMBER(F1557),C1557*F1557,"")</f>
        <v/>
      </c>
    </row>
    <row r="1558" spans="1:7" s="1" customFormat="1" ht="15.95" customHeight="1" outlineLevel="1" x14ac:dyDescent="0.25">
      <c r="A1558" s="11"/>
      <c r="B1558" s="12" t="s">
        <v>3078</v>
      </c>
      <c r="C1558" s="13"/>
      <c r="D1558" s="13"/>
      <c r="E1558" s="13"/>
      <c r="F1558" s="13"/>
      <c r="G1558" s="35"/>
    </row>
    <row r="1559" spans="1:7" ht="12" customHeight="1" outlineLevel="2" x14ac:dyDescent="0.2">
      <c r="A1559" s="14" t="s">
        <v>3079</v>
      </c>
      <c r="B1559" s="15" t="s">
        <v>3080</v>
      </c>
      <c r="C1559" s="16">
        <f>145.86/(1+B2)</f>
        <v>145.86000000000001</v>
      </c>
      <c r="D1559" s="17" t="s">
        <v>11</v>
      </c>
      <c r="E1559" s="17" t="s">
        <v>11</v>
      </c>
      <c r="F1559" s="18"/>
      <c r="G1559" s="36" t="str">
        <f>IF(ISNUMBER(F1559),C1559*F1559,"")</f>
        <v/>
      </c>
    </row>
    <row r="1560" spans="1:7" ht="12" customHeight="1" outlineLevel="2" x14ac:dyDescent="0.2">
      <c r="A1560" s="14" t="s">
        <v>3081</v>
      </c>
      <c r="B1560" s="15" t="s">
        <v>3082</v>
      </c>
      <c r="C1560" s="16">
        <f>145.86/(1+B2)</f>
        <v>145.86000000000001</v>
      </c>
      <c r="D1560" s="17" t="s">
        <v>11</v>
      </c>
      <c r="E1560" s="17" t="s">
        <v>14</v>
      </c>
      <c r="F1560" s="18"/>
      <c r="G1560" s="36" t="str">
        <f>IF(ISNUMBER(F1560),C1560*F1560,"")</f>
        <v/>
      </c>
    </row>
    <row r="1561" spans="1:7" ht="12" customHeight="1" outlineLevel="2" x14ac:dyDescent="0.2">
      <c r="A1561" s="14" t="s">
        <v>3083</v>
      </c>
      <c r="B1561" s="15" t="s">
        <v>3084</v>
      </c>
      <c r="C1561" s="16">
        <f>97.34/(1+B2)</f>
        <v>97.34</v>
      </c>
      <c r="D1561" s="17" t="s">
        <v>11</v>
      </c>
      <c r="E1561" s="17" t="s">
        <v>14</v>
      </c>
      <c r="F1561" s="18"/>
      <c r="G1561" s="36" t="str">
        <f>IF(ISNUMBER(F1561),C1561*F1561,"")</f>
        <v/>
      </c>
    </row>
    <row r="1562" spans="1:7" ht="12" customHeight="1" outlineLevel="2" x14ac:dyDescent="0.2">
      <c r="A1562" s="14" t="s">
        <v>3085</v>
      </c>
      <c r="B1562" s="15" t="s">
        <v>3086</v>
      </c>
      <c r="C1562" s="16">
        <f>123.55/(1+B2)</f>
        <v>123.55</v>
      </c>
      <c r="D1562" s="17" t="s">
        <v>11</v>
      </c>
      <c r="E1562" s="17" t="s">
        <v>11</v>
      </c>
      <c r="F1562" s="18"/>
      <c r="G1562" s="36" t="str">
        <f>IF(ISNUMBER(F1562),C1562*F1562,"")</f>
        <v/>
      </c>
    </row>
    <row r="1563" spans="1:7" ht="12" customHeight="1" outlineLevel="2" x14ac:dyDescent="0.2">
      <c r="A1563" s="14" t="s">
        <v>3087</v>
      </c>
      <c r="B1563" s="15" t="s">
        <v>3088</v>
      </c>
      <c r="C1563" s="16">
        <f>158.34/(1+B2)</f>
        <v>158.34</v>
      </c>
      <c r="D1563" s="17" t="s">
        <v>11</v>
      </c>
      <c r="E1563" s="17" t="s">
        <v>14</v>
      </c>
      <c r="F1563" s="18"/>
      <c r="G1563" s="36" t="str">
        <f>IF(ISNUMBER(F1563),C1563*F1563,"")</f>
        <v/>
      </c>
    </row>
    <row r="1564" spans="1:7" ht="12" customHeight="1" outlineLevel="2" x14ac:dyDescent="0.2">
      <c r="A1564" s="14" t="s">
        <v>3089</v>
      </c>
      <c r="B1564" s="15" t="s">
        <v>3090</v>
      </c>
      <c r="C1564" s="16">
        <f>78.6/(1+B2)</f>
        <v>78.599999999999994</v>
      </c>
      <c r="D1564" s="17" t="s">
        <v>11</v>
      </c>
      <c r="E1564" s="17" t="s">
        <v>11</v>
      </c>
      <c r="F1564" s="18"/>
      <c r="G1564" s="36" t="str">
        <f>IF(ISNUMBER(F1564),C1564*F1564,"")</f>
        <v/>
      </c>
    </row>
    <row r="1565" spans="1:7" ht="24" customHeight="1" outlineLevel="2" x14ac:dyDescent="0.2">
      <c r="A1565" s="14" t="s">
        <v>3091</v>
      </c>
      <c r="B1565" s="15" t="s">
        <v>3092</v>
      </c>
      <c r="C1565" s="16">
        <f>64.04/(1+B2)</f>
        <v>64.040000000000006</v>
      </c>
      <c r="D1565" s="17" t="s">
        <v>11</v>
      </c>
      <c r="E1565" s="17" t="s">
        <v>11</v>
      </c>
      <c r="F1565" s="18"/>
      <c r="G1565" s="36" t="str">
        <f>IF(ISNUMBER(F1565),C1565*F1565,"")</f>
        <v/>
      </c>
    </row>
    <row r="1566" spans="1:7" ht="12" customHeight="1" outlineLevel="2" x14ac:dyDescent="0.2">
      <c r="A1566" s="14" t="s">
        <v>3093</v>
      </c>
      <c r="B1566" s="15" t="s">
        <v>3094</v>
      </c>
      <c r="C1566" s="16">
        <f>72.19/(1+B2)</f>
        <v>72.19</v>
      </c>
      <c r="D1566" s="17" t="s">
        <v>11</v>
      </c>
      <c r="E1566" s="17" t="s">
        <v>11</v>
      </c>
      <c r="F1566" s="18"/>
      <c r="G1566" s="36" t="str">
        <f>IF(ISNUMBER(F1566),C1566*F1566,"")</f>
        <v/>
      </c>
    </row>
    <row r="1567" spans="1:7" ht="12" customHeight="1" outlineLevel="2" x14ac:dyDescent="0.2">
      <c r="A1567" s="14" t="s">
        <v>3095</v>
      </c>
      <c r="B1567" s="15" t="s">
        <v>3096</v>
      </c>
      <c r="C1567" s="16">
        <f>61.73/(1+B2)</f>
        <v>61.73</v>
      </c>
      <c r="D1567" s="17" t="s">
        <v>11</v>
      </c>
      <c r="E1567" s="17"/>
      <c r="F1567" s="18"/>
      <c r="G1567" s="36" t="str">
        <f>IF(ISNUMBER(F1567),C1567*F1567,"")</f>
        <v/>
      </c>
    </row>
    <row r="1568" spans="1:7" ht="12" customHeight="1" outlineLevel="2" x14ac:dyDescent="0.2">
      <c r="A1568" s="14" t="s">
        <v>3097</v>
      </c>
      <c r="B1568" s="15" t="s">
        <v>3098</v>
      </c>
      <c r="C1568" s="16">
        <f>61.73/(1+B2)</f>
        <v>61.73</v>
      </c>
      <c r="D1568" s="17" t="s">
        <v>11</v>
      </c>
      <c r="E1568" s="17" t="s">
        <v>53</v>
      </c>
      <c r="F1568" s="18"/>
      <c r="G1568" s="36" t="str">
        <f>IF(ISNUMBER(F1568),C1568*F1568,"")</f>
        <v/>
      </c>
    </row>
    <row r="1569" spans="1:7" ht="12" customHeight="1" outlineLevel="2" x14ac:dyDescent="0.2">
      <c r="A1569" s="14" t="s">
        <v>3099</v>
      </c>
      <c r="B1569" s="15" t="s">
        <v>3100</v>
      </c>
      <c r="C1569" s="16">
        <f>72.29/(1+B2)</f>
        <v>72.290000000000006</v>
      </c>
      <c r="D1569" s="17" t="s">
        <v>11</v>
      </c>
      <c r="E1569" s="17"/>
      <c r="F1569" s="18"/>
      <c r="G1569" s="36" t="str">
        <f>IF(ISNUMBER(F1569),C1569*F1569,"")</f>
        <v/>
      </c>
    </row>
    <row r="1570" spans="1:7" ht="12" customHeight="1" outlineLevel="2" x14ac:dyDescent="0.2">
      <c r="A1570" s="14" t="s">
        <v>3101</v>
      </c>
      <c r="B1570" s="15" t="s">
        <v>3102</v>
      </c>
      <c r="C1570" s="16">
        <f>49.28/(1+B2)</f>
        <v>49.28</v>
      </c>
      <c r="D1570" s="17" t="s">
        <v>11</v>
      </c>
      <c r="E1570" s="17"/>
      <c r="F1570" s="18"/>
      <c r="G1570" s="36" t="str">
        <f>IF(ISNUMBER(F1570),C1570*F1570,"")</f>
        <v/>
      </c>
    </row>
    <row r="1571" spans="1:7" ht="12" customHeight="1" outlineLevel="2" x14ac:dyDescent="0.2">
      <c r="A1571" s="14" t="s">
        <v>3103</v>
      </c>
      <c r="B1571" s="15" t="s">
        <v>3104</v>
      </c>
      <c r="C1571" s="16">
        <f>51.14/(1+B2)</f>
        <v>51.14</v>
      </c>
      <c r="D1571" s="17" t="s">
        <v>11</v>
      </c>
      <c r="E1571" s="17" t="s">
        <v>11</v>
      </c>
      <c r="F1571" s="18"/>
      <c r="G1571" s="36" t="str">
        <f>IF(ISNUMBER(F1571),C1571*F1571,"")</f>
        <v/>
      </c>
    </row>
    <row r="1572" spans="1:7" ht="24" customHeight="1" outlineLevel="2" x14ac:dyDescent="0.2">
      <c r="A1572" s="14" t="s">
        <v>3105</v>
      </c>
      <c r="B1572" s="15" t="s">
        <v>3106</v>
      </c>
      <c r="C1572" s="16">
        <f>100.46/(1+B2)</f>
        <v>100.46</v>
      </c>
      <c r="D1572" s="17" t="s">
        <v>11</v>
      </c>
      <c r="E1572" s="17"/>
      <c r="F1572" s="18"/>
      <c r="G1572" s="36" t="str">
        <f>IF(ISNUMBER(F1572),C1572*F1572,"")</f>
        <v/>
      </c>
    </row>
    <row r="1573" spans="1:7" ht="12" customHeight="1" outlineLevel="2" x14ac:dyDescent="0.2">
      <c r="A1573" s="14" t="s">
        <v>3107</v>
      </c>
      <c r="B1573" s="15" t="s">
        <v>3108</v>
      </c>
      <c r="C1573" s="16">
        <f>100.46/(1+B2)</f>
        <v>100.46</v>
      </c>
      <c r="D1573" s="17" t="s">
        <v>11</v>
      </c>
      <c r="E1573" s="17" t="s">
        <v>14</v>
      </c>
      <c r="F1573" s="18"/>
      <c r="G1573" s="36" t="str">
        <f>IF(ISNUMBER(F1573),C1573*F1573,"")</f>
        <v/>
      </c>
    </row>
    <row r="1574" spans="1:7" ht="12" customHeight="1" outlineLevel="2" x14ac:dyDescent="0.2">
      <c r="A1574" s="14" t="s">
        <v>3109</v>
      </c>
      <c r="B1574" s="15" t="s">
        <v>3110</v>
      </c>
      <c r="C1574" s="16">
        <f>100.46/(1+B2)</f>
        <v>100.46</v>
      </c>
      <c r="D1574" s="17" t="s">
        <v>11</v>
      </c>
      <c r="E1574" s="17" t="s">
        <v>11</v>
      </c>
      <c r="F1574" s="18"/>
      <c r="G1574" s="36" t="str">
        <f>IF(ISNUMBER(F1574),C1574*F1574,"")</f>
        <v/>
      </c>
    </row>
    <row r="1575" spans="1:7" ht="12" customHeight="1" outlineLevel="2" x14ac:dyDescent="0.2">
      <c r="A1575" s="14" t="s">
        <v>3111</v>
      </c>
      <c r="B1575" s="15" t="s">
        <v>3112</v>
      </c>
      <c r="C1575" s="16">
        <f>100.46/(1+B2)</f>
        <v>100.46</v>
      </c>
      <c r="D1575" s="17" t="s">
        <v>11</v>
      </c>
      <c r="E1575" s="17" t="s">
        <v>11</v>
      </c>
      <c r="F1575" s="18"/>
      <c r="G1575" s="36" t="str">
        <f>IF(ISNUMBER(F1575),C1575*F1575,"")</f>
        <v/>
      </c>
    </row>
    <row r="1576" spans="1:7" ht="12" customHeight="1" outlineLevel="2" x14ac:dyDescent="0.2">
      <c r="A1576" s="14" t="s">
        <v>3113</v>
      </c>
      <c r="B1576" s="15" t="s">
        <v>3114</v>
      </c>
      <c r="C1576" s="16">
        <f>57.54/(1+B2)</f>
        <v>57.54</v>
      </c>
      <c r="D1576" s="17" t="s">
        <v>11</v>
      </c>
      <c r="E1576" s="17" t="s">
        <v>53</v>
      </c>
      <c r="F1576" s="18"/>
      <c r="G1576" s="36" t="str">
        <f>IF(ISNUMBER(F1576),C1576*F1576,"")</f>
        <v/>
      </c>
    </row>
    <row r="1577" spans="1:7" ht="12" customHeight="1" outlineLevel="2" x14ac:dyDescent="0.2">
      <c r="A1577" s="14" t="s">
        <v>3115</v>
      </c>
      <c r="B1577" s="15" t="s">
        <v>3116</v>
      </c>
      <c r="C1577" s="16">
        <f>85.71/(1+B2)</f>
        <v>85.71</v>
      </c>
      <c r="D1577" s="17" t="s">
        <v>14</v>
      </c>
      <c r="E1577" s="17" t="s">
        <v>53</v>
      </c>
      <c r="F1577" s="18"/>
      <c r="G1577" s="36" t="str">
        <f>IF(ISNUMBER(F1577),C1577*F1577,"")</f>
        <v/>
      </c>
    </row>
    <row r="1578" spans="1:7" ht="12" customHeight="1" outlineLevel="2" x14ac:dyDescent="0.2">
      <c r="A1578" s="14" t="s">
        <v>3117</v>
      </c>
      <c r="B1578" s="15" t="s">
        <v>3118</v>
      </c>
      <c r="C1578" s="16">
        <f>39.38/(1+B2)</f>
        <v>39.380000000000003</v>
      </c>
      <c r="D1578" s="17" t="s">
        <v>11</v>
      </c>
      <c r="E1578" s="17" t="s">
        <v>14</v>
      </c>
      <c r="F1578" s="18"/>
      <c r="G1578" s="36" t="str">
        <f>IF(ISNUMBER(F1578),C1578*F1578,"")</f>
        <v/>
      </c>
    </row>
    <row r="1579" spans="1:7" ht="12" customHeight="1" outlineLevel="2" x14ac:dyDescent="0.2">
      <c r="A1579" s="14" t="s">
        <v>3119</v>
      </c>
      <c r="B1579" s="15" t="s">
        <v>3120</v>
      </c>
      <c r="C1579" s="16">
        <f>89.91/(1+B2)</f>
        <v>89.91</v>
      </c>
      <c r="D1579" s="17" t="s">
        <v>11</v>
      </c>
      <c r="E1579" s="17" t="s">
        <v>14</v>
      </c>
      <c r="F1579" s="18"/>
      <c r="G1579" s="36" t="str">
        <f>IF(ISNUMBER(F1579),C1579*F1579,"")</f>
        <v/>
      </c>
    </row>
    <row r="1580" spans="1:7" ht="12" customHeight="1" outlineLevel="2" x14ac:dyDescent="0.2">
      <c r="A1580" s="14" t="s">
        <v>3121</v>
      </c>
      <c r="B1580" s="15" t="s">
        <v>3122</v>
      </c>
      <c r="C1580" s="16">
        <f>134.55/(1+B2)</f>
        <v>134.55000000000001</v>
      </c>
      <c r="D1580" s="17" t="s">
        <v>11</v>
      </c>
      <c r="E1580" s="17" t="s">
        <v>53</v>
      </c>
      <c r="F1580" s="18"/>
      <c r="G1580" s="36" t="str">
        <f>IF(ISNUMBER(F1580),C1580*F1580,"")</f>
        <v/>
      </c>
    </row>
    <row r="1581" spans="1:7" ht="24" customHeight="1" outlineLevel="2" x14ac:dyDescent="0.2">
      <c r="A1581" s="14" t="s">
        <v>3123</v>
      </c>
      <c r="B1581" s="15" t="s">
        <v>3124</v>
      </c>
      <c r="C1581" s="16">
        <f>86.53/(1+B2)</f>
        <v>86.53</v>
      </c>
      <c r="D1581" s="17" t="s">
        <v>11</v>
      </c>
      <c r="E1581" s="17" t="s">
        <v>11</v>
      </c>
      <c r="F1581" s="18"/>
      <c r="G1581" s="36" t="str">
        <f>IF(ISNUMBER(F1581),C1581*F1581,"")</f>
        <v/>
      </c>
    </row>
    <row r="1582" spans="1:7" ht="24" customHeight="1" outlineLevel="2" x14ac:dyDescent="0.2">
      <c r="A1582" s="14" t="s">
        <v>3125</v>
      </c>
      <c r="B1582" s="15" t="s">
        <v>3126</v>
      </c>
      <c r="C1582" s="16">
        <f>86.53/(1+B2)</f>
        <v>86.53</v>
      </c>
      <c r="D1582" s="17" t="s">
        <v>11</v>
      </c>
      <c r="E1582" s="17" t="s">
        <v>14</v>
      </c>
      <c r="F1582" s="18"/>
      <c r="G1582" s="36" t="str">
        <f>IF(ISNUMBER(F1582),C1582*F1582,"")</f>
        <v/>
      </c>
    </row>
    <row r="1583" spans="1:7" ht="24" customHeight="1" outlineLevel="2" x14ac:dyDescent="0.2">
      <c r="A1583" s="14" t="s">
        <v>3127</v>
      </c>
      <c r="B1583" s="15" t="s">
        <v>3128</v>
      </c>
      <c r="C1583" s="16">
        <f>86.53/(1+B2)</f>
        <v>86.53</v>
      </c>
      <c r="D1583" s="17" t="s">
        <v>11</v>
      </c>
      <c r="E1583" s="17"/>
      <c r="F1583" s="18"/>
      <c r="G1583" s="36" t="str">
        <f>IF(ISNUMBER(F1583),C1583*F1583,"")</f>
        <v/>
      </c>
    </row>
    <row r="1584" spans="1:7" ht="24" customHeight="1" outlineLevel="2" x14ac:dyDescent="0.2">
      <c r="A1584" s="14" t="s">
        <v>3129</v>
      </c>
      <c r="B1584" s="15" t="s">
        <v>3130</v>
      </c>
      <c r="C1584" s="16">
        <f>61.96/(1+B2)</f>
        <v>61.96</v>
      </c>
      <c r="D1584" s="17" t="s">
        <v>11</v>
      </c>
      <c r="E1584" s="17"/>
      <c r="F1584" s="18"/>
      <c r="G1584" s="36" t="str">
        <f>IF(ISNUMBER(F1584),C1584*F1584,"")</f>
        <v/>
      </c>
    </row>
    <row r="1585" spans="1:7" ht="24" customHeight="1" outlineLevel="2" x14ac:dyDescent="0.2">
      <c r="A1585" s="14" t="s">
        <v>3131</v>
      </c>
      <c r="B1585" s="15" t="s">
        <v>3132</v>
      </c>
      <c r="C1585" s="16">
        <f>61.96/(1+B2)</f>
        <v>61.96</v>
      </c>
      <c r="D1585" s="17" t="s">
        <v>11</v>
      </c>
      <c r="E1585" s="17" t="s">
        <v>14</v>
      </c>
      <c r="F1585" s="18"/>
      <c r="G1585" s="36" t="str">
        <f>IF(ISNUMBER(F1585),C1585*F1585,"")</f>
        <v/>
      </c>
    </row>
    <row r="1586" spans="1:7" ht="12" customHeight="1" outlineLevel="2" x14ac:dyDescent="0.2">
      <c r="A1586" s="14" t="s">
        <v>3133</v>
      </c>
      <c r="B1586" s="15" t="s">
        <v>3134</v>
      </c>
      <c r="C1586" s="16">
        <f>74.39/(1+B2)</f>
        <v>74.39</v>
      </c>
      <c r="D1586" s="17" t="s">
        <v>11</v>
      </c>
      <c r="E1586" s="17"/>
      <c r="F1586" s="18"/>
      <c r="G1586" s="36" t="str">
        <f>IF(ISNUMBER(F1586),C1586*F1586,"")</f>
        <v/>
      </c>
    </row>
    <row r="1587" spans="1:7" ht="12" customHeight="1" outlineLevel="2" x14ac:dyDescent="0.2">
      <c r="A1587" s="14" t="s">
        <v>3135</v>
      </c>
      <c r="B1587" s="15" t="s">
        <v>3136</v>
      </c>
      <c r="C1587" s="16">
        <f>74.39/(1+B2)</f>
        <v>74.39</v>
      </c>
      <c r="D1587" s="17" t="s">
        <v>11</v>
      </c>
      <c r="E1587" s="17"/>
      <c r="F1587" s="18"/>
      <c r="G1587" s="36" t="str">
        <f>IF(ISNUMBER(F1587),C1587*F1587,"")</f>
        <v/>
      </c>
    </row>
    <row r="1588" spans="1:7" ht="12" customHeight="1" outlineLevel="2" x14ac:dyDescent="0.2">
      <c r="A1588" s="14" t="s">
        <v>3137</v>
      </c>
      <c r="B1588" s="15" t="s">
        <v>3138</v>
      </c>
      <c r="C1588" s="16">
        <f>74.39/(1+B2)</f>
        <v>74.39</v>
      </c>
      <c r="D1588" s="17" t="s">
        <v>14</v>
      </c>
      <c r="E1588" s="17" t="s">
        <v>11</v>
      </c>
      <c r="F1588" s="18"/>
      <c r="G1588" s="36" t="str">
        <f>IF(ISNUMBER(F1588),C1588*F1588,"")</f>
        <v/>
      </c>
    </row>
    <row r="1589" spans="1:7" ht="12" customHeight="1" outlineLevel="2" x14ac:dyDescent="0.2">
      <c r="A1589" s="14" t="s">
        <v>3139</v>
      </c>
      <c r="B1589" s="15" t="s">
        <v>3140</v>
      </c>
      <c r="C1589" s="16">
        <f>74.39/(1+B2)</f>
        <v>74.39</v>
      </c>
      <c r="D1589" s="17" t="s">
        <v>11</v>
      </c>
      <c r="E1589" s="17" t="s">
        <v>11</v>
      </c>
      <c r="F1589" s="18"/>
      <c r="G1589" s="36" t="str">
        <f>IF(ISNUMBER(F1589),C1589*F1589,"")</f>
        <v/>
      </c>
    </row>
    <row r="1590" spans="1:7" ht="12" customHeight="1" outlineLevel="2" x14ac:dyDescent="0.2">
      <c r="A1590" s="14" t="s">
        <v>3141</v>
      </c>
      <c r="B1590" s="15" t="s">
        <v>3142</v>
      </c>
      <c r="C1590" s="16">
        <f>84.06/(1+B2)</f>
        <v>84.06</v>
      </c>
      <c r="D1590" s="17" t="s">
        <v>14</v>
      </c>
      <c r="E1590" s="17"/>
      <c r="F1590" s="18"/>
      <c r="G1590" s="36" t="str">
        <f>IF(ISNUMBER(F1590),C1590*F1590,"")</f>
        <v/>
      </c>
    </row>
    <row r="1591" spans="1:7" ht="12" customHeight="1" outlineLevel="2" x14ac:dyDescent="0.2">
      <c r="A1591" s="14" t="s">
        <v>3143</v>
      </c>
      <c r="B1591" s="15" t="s">
        <v>3144</v>
      </c>
      <c r="C1591" s="16">
        <f>84.06/(1+B2)</f>
        <v>84.06</v>
      </c>
      <c r="D1591" s="17" t="s">
        <v>14</v>
      </c>
      <c r="E1591" s="17" t="s">
        <v>11</v>
      </c>
      <c r="F1591" s="18"/>
      <c r="G1591" s="36" t="str">
        <f>IF(ISNUMBER(F1591),C1591*F1591,"")</f>
        <v/>
      </c>
    </row>
    <row r="1592" spans="1:7" ht="12" customHeight="1" outlineLevel="2" x14ac:dyDescent="0.2">
      <c r="A1592" s="14" t="s">
        <v>3145</v>
      </c>
      <c r="B1592" s="15" t="s">
        <v>3146</v>
      </c>
      <c r="C1592" s="16">
        <f>84.06/(1+B2)</f>
        <v>84.06</v>
      </c>
      <c r="D1592" s="17" t="s">
        <v>11</v>
      </c>
      <c r="E1592" s="17" t="s">
        <v>11</v>
      </c>
      <c r="F1592" s="18"/>
      <c r="G1592" s="36" t="str">
        <f>IF(ISNUMBER(F1592),C1592*F1592,"")</f>
        <v/>
      </c>
    </row>
    <row r="1593" spans="1:7" ht="12" customHeight="1" outlineLevel="2" x14ac:dyDescent="0.2">
      <c r="A1593" s="14" t="s">
        <v>3147</v>
      </c>
      <c r="B1593" s="15" t="s">
        <v>3148</v>
      </c>
      <c r="C1593" s="16">
        <f>84.06/(1+B2)</f>
        <v>84.06</v>
      </c>
      <c r="D1593" s="17" t="s">
        <v>14</v>
      </c>
      <c r="E1593" s="17" t="s">
        <v>11</v>
      </c>
      <c r="F1593" s="18"/>
      <c r="G1593" s="36" t="str">
        <f>IF(ISNUMBER(F1593),C1593*F1593,"")</f>
        <v/>
      </c>
    </row>
    <row r="1594" spans="1:7" ht="24" customHeight="1" outlineLevel="2" x14ac:dyDescent="0.2">
      <c r="A1594" s="14" t="s">
        <v>3149</v>
      </c>
      <c r="B1594" s="15" t="s">
        <v>3150</v>
      </c>
      <c r="C1594" s="16">
        <f>177.78/(1+B2)</f>
        <v>177.78</v>
      </c>
      <c r="D1594" s="17" t="s">
        <v>11</v>
      </c>
      <c r="E1594" s="17"/>
      <c r="F1594" s="18"/>
      <c r="G1594" s="36" t="str">
        <f>IF(ISNUMBER(F1594),C1594*F1594,"")</f>
        <v/>
      </c>
    </row>
    <row r="1595" spans="1:7" ht="24" customHeight="1" outlineLevel="2" x14ac:dyDescent="0.2">
      <c r="A1595" s="14" t="s">
        <v>3151</v>
      </c>
      <c r="B1595" s="15" t="s">
        <v>3152</v>
      </c>
      <c r="C1595" s="16">
        <f>227.93/(1+B2)</f>
        <v>227.93</v>
      </c>
      <c r="D1595" s="17" t="s">
        <v>11</v>
      </c>
      <c r="E1595" s="17" t="s">
        <v>14</v>
      </c>
      <c r="F1595" s="18"/>
      <c r="G1595" s="36" t="str">
        <f>IF(ISNUMBER(F1595),C1595*F1595,"")</f>
        <v/>
      </c>
    </row>
    <row r="1596" spans="1:7" ht="24" customHeight="1" outlineLevel="2" x14ac:dyDescent="0.2">
      <c r="A1596" s="14" t="s">
        <v>3153</v>
      </c>
      <c r="B1596" s="15" t="s">
        <v>3154</v>
      </c>
      <c r="C1596" s="16">
        <f>233.95/(1+B2)</f>
        <v>233.95</v>
      </c>
      <c r="D1596" s="17" t="s">
        <v>11</v>
      </c>
      <c r="E1596" s="17" t="s">
        <v>11</v>
      </c>
      <c r="F1596" s="18"/>
      <c r="G1596" s="36" t="str">
        <f>IF(ISNUMBER(F1596),C1596*F1596,"")</f>
        <v/>
      </c>
    </row>
    <row r="1597" spans="1:7" ht="24" customHeight="1" outlineLevel="2" x14ac:dyDescent="0.2">
      <c r="A1597" s="14" t="s">
        <v>3155</v>
      </c>
      <c r="B1597" s="15" t="s">
        <v>3156</v>
      </c>
      <c r="C1597" s="16">
        <f>170.21/(1+B2)</f>
        <v>170.21</v>
      </c>
      <c r="D1597" s="17" t="s">
        <v>11</v>
      </c>
      <c r="E1597" s="17" t="s">
        <v>11</v>
      </c>
      <c r="F1597" s="18"/>
      <c r="G1597" s="36" t="str">
        <f>IF(ISNUMBER(F1597),C1597*F1597,"")</f>
        <v/>
      </c>
    </row>
    <row r="1598" spans="1:7" ht="24" customHeight="1" outlineLevel="2" x14ac:dyDescent="0.2">
      <c r="A1598" s="14" t="s">
        <v>3157</v>
      </c>
      <c r="B1598" s="15" t="s">
        <v>3158</v>
      </c>
      <c r="C1598" s="16">
        <f>170.21/(1+B2)</f>
        <v>170.21</v>
      </c>
      <c r="D1598" s="17" t="s">
        <v>11</v>
      </c>
      <c r="E1598" s="17" t="s">
        <v>11</v>
      </c>
      <c r="F1598" s="18"/>
      <c r="G1598" s="36" t="str">
        <f>IF(ISNUMBER(F1598),C1598*F1598,"")</f>
        <v/>
      </c>
    </row>
    <row r="1599" spans="1:7" s="1" customFormat="1" ht="15.95" customHeight="1" outlineLevel="1" x14ac:dyDescent="0.25">
      <c r="A1599" s="11"/>
      <c r="B1599" s="12" t="s">
        <v>3159</v>
      </c>
      <c r="C1599" s="13"/>
      <c r="D1599" s="13"/>
      <c r="E1599" s="13"/>
      <c r="F1599" s="13"/>
      <c r="G1599" s="35"/>
    </row>
    <row r="1600" spans="1:7" ht="12" customHeight="1" outlineLevel="2" x14ac:dyDescent="0.2">
      <c r="A1600" s="14" t="s">
        <v>3160</v>
      </c>
      <c r="B1600" s="15" t="s">
        <v>3161</v>
      </c>
      <c r="C1600" s="16">
        <f>212.79/(1+B2)</f>
        <v>212.79</v>
      </c>
      <c r="D1600" s="17" t="s">
        <v>11</v>
      </c>
      <c r="E1600" s="17" t="s">
        <v>11</v>
      </c>
      <c r="F1600" s="18"/>
      <c r="G1600" s="36" t="str">
        <f>IF(ISNUMBER(F1600),C1600*F1600,"")</f>
        <v/>
      </c>
    </row>
    <row r="1601" spans="1:7" ht="12" customHeight="1" outlineLevel="2" x14ac:dyDescent="0.2">
      <c r="A1601" s="14" t="s">
        <v>3162</v>
      </c>
      <c r="B1601" s="15" t="s">
        <v>3163</v>
      </c>
      <c r="C1601" s="16">
        <f>79.75/(1+B2)</f>
        <v>79.75</v>
      </c>
      <c r="D1601" s="17" t="s">
        <v>11</v>
      </c>
      <c r="E1601" s="17" t="s">
        <v>53</v>
      </c>
      <c r="F1601" s="18"/>
      <c r="G1601" s="36" t="str">
        <f>IF(ISNUMBER(F1601),C1601*F1601,"")</f>
        <v/>
      </c>
    </row>
    <row r="1602" spans="1:7" ht="12" customHeight="1" outlineLevel="2" x14ac:dyDescent="0.2">
      <c r="A1602" s="14" t="s">
        <v>3164</v>
      </c>
      <c r="B1602" s="15" t="s">
        <v>3165</v>
      </c>
      <c r="C1602" s="16">
        <f>85.88/(1+B2)</f>
        <v>85.88</v>
      </c>
      <c r="D1602" s="17" t="s">
        <v>11</v>
      </c>
      <c r="E1602" s="17" t="s">
        <v>53</v>
      </c>
      <c r="F1602" s="18"/>
      <c r="G1602" s="36" t="str">
        <f>IF(ISNUMBER(F1602),C1602*F1602,"")</f>
        <v/>
      </c>
    </row>
    <row r="1603" spans="1:7" ht="12" customHeight="1" outlineLevel="2" x14ac:dyDescent="0.2">
      <c r="A1603" s="14" t="s">
        <v>3166</v>
      </c>
      <c r="B1603" s="15" t="s">
        <v>3167</v>
      </c>
      <c r="C1603" s="16">
        <f>146.43/(1+B2)</f>
        <v>146.43</v>
      </c>
      <c r="D1603" s="17" t="s">
        <v>11</v>
      </c>
      <c r="E1603" s="17" t="s">
        <v>11</v>
      </c>
      <c r="F1603" s="18"/>
      <c r="G1603" s="36" t="str">
        <f>IF(ISNUMBER(F1603),C1603*F1603,"")</f>
        <v/>
      </c>
    </row>
    <row r="1604" spans="1:7" ht="12" customHeight="1" outlineLevel="2" x14ac:dyDescent="0.2">
      <c r="A1604" s="14" t="s">
        <v>3168</v>
      </c>
      <c r="B1604" s="15" t="s">
        <v>3169</v>
      </c>
      <c r="C1604" s="16">
        <f>146.43/(1+B2)</f>
        <v>146.43</v>
      </c>
      <c r="D1604" s="17" t="s">
        <v>11</v>
      </c>
      <c r="E1604" s="17"/>
      <c r="F1604" s="18"/>
      <c r="G1604" s="36" t="str">
        <f>IF(ISNUMBER(F1604),C1604*F1604,"")</f>
        <v/>
      </c>
    </row>
    <row r="1605" spans="1:7" ht="12" customHeight="1" outlineLevel="2" x14ac:dyDescent="0.2">
      <c r="A1605" s="14" t="s">
        <v>3170</v>
      </c>
      <c r="B1605" s="15" t="s">
        <v>3171</v>
      </c>
      <c r="C1605" s="16">
        <f>120.96/(1+B2)</f>
        <v>120.96</v>
      </c>
      <c r="D1605" s="17" t="s">
        <v>11</v>
      </c>
      <c r="E1605" s="17"/>
      <c r="F1605" s="18"/>
      <c r="G1605" s="36" t="str">
        <f>IF(ISNUMBER(F1605),C1605*F1605,"")</f>
        <v/>
      </c>
    </row>
    <row r="1606" spans="1:7" ht="12" customHeight="1" outlineLevel="2" x14ac:dyDescent="0.2">
      <c r="A1606" s="14" t="s">
        <v>3172</v>
      </c>
      <c r="B1606" s="15" t="s">
        <v>3173</v>
      </c>
      <c r="C1606" s="16">
        <f>163.4/(1+B2)</f>
        <v>163.4</v>
      </c>
      <c r="D1606" s="17" t="s">
        <v>11</v>
      </c>
      <c r="E1606" s="17" t="s">
        <v>14</v>
      </c>
      <c r="F1606" s="18"/>
      <c r="G1606" s="36" t="str">
        <f>IF(ISNUMBER(F1606),C1606*F1606,"")</f>
        <v/>
      </c>
    </row>
    <row r="1607" spans="1:7" ht="12" customHeight="1" outlineLevel="2" x14ac:dyDescent="0.2">
      <c r="A1607" s="14" t="s">
        <v>3174</v>
      </c>
      <c r="B1607" s="15" t="s">
        <v>3175</v>
      </c>
      <c r="C1607" s="16">
        <f>135.46/(1+B2)</f>
        <v>135.46</v>
      </c>
      <c r="D1607" s="17" t="s">
        <v>11</v>
      </c>
      <c r="E1607" s="17" t="s">
        <v>106</v>
      </c>
      <c r="F1607" s="18"/>
      <c r="G1607" s="36" t="str">
        <f>IF(ISNUMBER(F1607),C1607*F1607,"")</f>
        <v/>
      </c>
    </row>
    <row r="1608" spans="1:7" ht="12" customHeight="1" outlineLevel="2" x14ac:dyDescent="0.2">
      <c r="A1608" s="14" t="s">
        <v>3176</v>
      </c>
      <c r="B1608" s="15" t="s">
        <v>3177</v>
      </c>
      <c r="C1608" s="16">
        <f>135.46/(1+B2)</f>
        <v>135.46</v>
      </c>
      <c r="D1608" s="17" t="s">
        <v>11</v>
      </c>
      <c r="E1608" s="17" t="s">
        <v>53</v>
      </c>
      <c r="F1608" s="18"/>
      <c r="G1608" s="36" t="str">
        <f>IF(ISNUMBER(F1608),C1608*F1608,"")</f>
        <v/>
      </c>
    </row>
    <row r="1609" spans="1:7" ht="24" customHeight="1" outlineLevel="2" x14ac:dyDescent="0.2">
      <c r="A1609" s="14" t="s">
        <v>3178</v>
      </c>
      <c r="B1609" s="15" t="s">
        <v>3179</v>
      </c>
      <c r="C1609" s="16">
        <f>82.33/(1+B2)</f>
        <v>82.33</v>
      </c>
      <c r="D1609" s="17" t="s">
        <v>11</v>
      </c>
      <c r="E1609" s="17" t="s">
        <v>14</v>
      </c>
      <c r="F1609" s="18"/>
      <c r="G1609" s="36" t="str">
        <f>IF(ISNUMBER(F1609),C1609*F1609,"")</f>
        <v/>
      </c>
    </row>
    <row r="1610" spans="1:7" ht="12" customHeight="1" outlineLevel="2" x14ac:dyDescent="0.2">
      <c r="A1610" s="14" t="s">
        <v>3180</v>
      </c>
      <c r="B1610" s="15" t="s">
        <v>3181</v>
      </c>
      <c r="C1610" s="16">
        <f>63.63/(1+B2)</f>
        <v>63.63</v>
      </c>
      <c r="D1610" s="17" t="s">
        <v>11</v>
      </c>
      <c r="E1610" s="17" t="s">
        <v>11</v>
      </c>
      <c r="F1610" s="18"/>
      <c r="G1610" s="36" t="str">
        <f>IF(ISNUMBER(F1610),C1610*F1610,"")</f>
        <v/>
      </c>
    </row>
    <row r="1611" spans="1:7" ht="12" customHeight="1" outlineLevel="2" x14ac:dyDescent="0.2">
      <c r="A1611" s="14" t="s">
        <v>3182</v>
      </c>
      <c r="B1611" s="15" t="s">
        <v>3183</v>
      </c>
      <c r="C1611" s="16">
        <f>212.5/(1+B2)</f>
        <v>212.5</v>
      </c>
      <c r="D1611" s="17" t="s">
        <v>11</v>
      </c>
      <c r="E1611" s="17" t="s">
        <v>53</v>
      </c>
      <c r="F1611" s="18"/>
      <c r="G1611" s="36" t="str">
        <f>IF(ISNUMBER(F1611),C1611*F1611,"")</f>
        <v/>
      </c>
    </row>
    <row r="1612" spans="1:7" ht="12" customHeight="1" outlineLevel="2" x14ac:dyDescent="0.2">
      <c r="A1612" s="14" t="s">
        <v>3184</v>
      </c>
      <c r="B1612" s="15" t="s">
        <v>3185</v>
      </c>
      <c r="C1612" s="16">
        <f>154.76/(1+B2)</f>
        <v>154.76</v>
      </c>
      <c r="D1612" s="17" t="s">
        <v>11</v>
      </c>
      <c r="E1612" s="17"/>
      <c r="F1612" s="18"/>
      <c r="G1612" s="36" t="str">
        <f>IF(ISNUMBER(F1612),C1612*F1612,"")</f>
        <v/>
      </c>
    </row>
    <row r="1613" spans="1:7" ht="12" customHeight="1" outlineLevel="2" x14ac:dyDescent="0.2">
      <c r="A1613" s="14" t="s">
        <v>3186</v>
      </c>
      <c r="B1613" s="15" t="s">
        <v>3187</v>
      </c>
      <c r="C1613" s="16">
        <f>263.78/(1+B2)</f>
        <v>263.77999999999997</v>
      </c>
      <c r="D1613" s="17" t="s">
        <v>11</v>
      </c>
      <c r="E1613" s="17"/>
      <c r="F1613" s="18"/>
      <c r="G1613" s="36" t="str">
        <f>IF(ISNUMBER(F1613),C1613*F1613,"")</f>
        <v/>
      </c>
    </row>
    <row r="1614" spans="1:7" ht="12" customHeight="1" outlineLevel="2" x14ac:dyDescent="0.2">
      <c r="A1614" s="14" t="s">
        <v>3188</v>
      </c>
      <c r="B1614" s="15" t="s">
        <v>3189</v>
      </c>
      <c r="C1614" s="16">
        <f>75.43/(1+B2)</f>
        <v>75.430000000000007</v>
      </c>
      <c r="D1614" s="17" t="s">
        <v>11</v>
      </c>
      <c r="E1614" s="17" t="s">
        <v>11</v>
      </c>
      <c r="F1614" s="18"/>
      <c r="G1614" s="36" t="str">
        <f>IF(ISNUMBER(F1614),C1614*F1614,"")</f>
        <v/>
      </c>
    </row>
    <row r="1615" spans="1:7" ht="12" customHeight="1" outlineLevel="2" x14ac:dyDescent="0.2">
      <c r="A1615" s="14" t="s">
        <v>3190</v>
      </c>
      <c r="B1615" s="15" t="s">
        <v>3191</v>
      </c>
      <c r="C1615" s="16">
        <f>75.43/(1+B2)</f>
        <v>75.430000000000007</v>
      </c>
      <c r="D1615" s="17" t="s">
        <v>11</v>
      </c>
      <c r="E1615" s="17" t="s">
        <v>11</v>
      </c>
      <c r="F1615" s="18"/>
      <c r="G1615" s="36" t="str">
        <f>IF(ISNUMBER(F1615),C1615*F1615,"")</f>
        <v/>
      </c>
    </row>
    <row r="1616" spans="1:7" ht="12" customHeight="1" outlineLevel="2" x14ac:dyDescent="0.2">
      <c r="A1616" s="14" t="s">
        <v>3192</v>
      </c>
      <c r="B1616" s="15" t="s">
        <v>3193</v>
      </c>
      <c r="C1616" s="16">
        <f>39.74/(1+B2)</f>
        <v>39.74</v>
      </c>
      <c r="D1616" s="17" t="s">
        <v>11</v>
      </c>
      <c r="E1616" s="17"/>
      <c r="F1616" s="18"/>
      <c r="G1616" s="36" t="str">
        <f>IF(ISNUMBER(F1616),C1616*F1616,"")</f>
        <v/>
      </c>
    </row>
    <row r="1617" spans="1:7" ht="12" customHeight="1" outlineLevel="2" x14ac:dyDescent="0.2">
      <c r="A1617" s="14" t="s">
        <v>3194</v>
      </c>
      <c r="B1617" s="15" t="s">
        <v>3195</v>
      </c>
      <c r="C1617" s="16">
        <f>42.04/(1+B2)</f>
        <v>42.04</v>
      </c>
      <c r="D1617" s="17" t="s">
        <v>14</v>
      </c>
      <c r="E1617" s="17"/>
      <c r="F1617" s="18"/>
      <c r="G1617" s="36" t="str">
        <f>IF(ISNUMBER(F1617),C1617*F1617,"")</f>
        <v/>
      </c>
    </row>
    <row r="1618" spans="1:7" ht="12" customHeight="1" outlineLevel="2" x14ac:dyDescent="0.2">
      <c r="A1618" s="14" t="s">
        <v>3196</v>
      </c>
      <c r="B1618" s="15" t="s">
        <v>3197</v>
      </c>
      <c r="C1618" s="16">
        <f>39.74/(1+B2)</f>
        <v>39.74</v>
      </c>
      <c r="D1618" s="17" t="s">
        <v>11</v>
      </c>
      <c r="E1618" s="17"/>
      <c r="F1618" s="18"/>
      <c r="G1618" s="36" t="str">
        <f>IF(ISNUMBER(F1618),C1618*F1618,"")</f>
        <v/>
      </c>
    </row>
    <row r="1619" spans="1:7" ht="12" customHeight="1" outlineLevel="2" x14ac:dyDescent="0.2">
      <c r="A1619" s="14" t="s">
        <v>3198</v>
      </c>
      <c r="B1619" s="15" t="s">
        <v>3199</v>
      </c>
      <c r="C1619" s="16">
        <f>69.59/(1+B2)</f>
        <v>69.59</v>
      </c>
      <c r="D1619" s="17" t="s">
        <v>11</v>
      </c>
      <c r="E1619" s="17"/>
      <c r="F1619" s="18"/>
      <c r="G1619" s="36" t="str">
        <f>IF(ISNUMBER(F1619),C1619*F1619,"")</f>
        <v/>
      </c>
    </row>
    <row r="1620" spans="1:7" ht="12" customHeight="1" outlineLevel="2" x14ac:dyDescent="0.2">
      <c r="A1620" s="14" t="s">
        <v>3200</v>
      </c>
      <c r="B1620" s="15" t="s">
        <v>3201</v>
      </c>
      <c r="C1620" s="16">
        <f>69.59/(1+B2)</f>
        <v>69.59</v>
      </c>
      <c r="D1620" s="17" t="s">
        <v>11</v>
      </c>
      <c r="E1620" s="17" t="s">
        <v>11</v>
      </c>
      <c r="F1620" s="18"/>
      <c r="G1620" s="36" t="str">
        <f>IF(ISNUMBER(F1620),C1620*F1620,"")</f>
        <v/>
      </c>
    </row>
    <row r="1621" spans="1:7" ht="12" customHeight="1" outlineLevel="2" x14ac:dyDescent="0.2">
      <c r="A1621" s="14" t="s">
        <v>3202</v>
      </c>
      <c r="B1621" s="15" t="s">
        <v>3203</v>
      </c>
      <c r="C1621" s="16">
        <f>73.61/(1+B2)</f>
        <v>73.61</v>
      </c>
      <c r="D1621" s="17" t="s">
        <v>11</v>
      </c>
      <c r="E1621" s="17"/>
      <c r="F1621" s="18"/>
      <c r="G1621" s="36" t="str">
        <f>IF(ISNUMBER(F1621),C1621*F1621,"")</f>
        <v/>
      </c>
    </row>
    <row r="1622" spans="1:7" ht="24" customHeight="1" outlineLevel="2" x14ac:dyDescent="0.2">
      <c r="A1622" s="14" t="s">
        <v>3204</v>
      </c>
      <c r="B1622" s="15" t="s">
        <v>3205</v>
      </c>
      <c r="C1622" s="16">
        <f>73.61/(1+B2)</f>
        <v>73.61</v>
      </c>
      <c r="D1622" s="17" t="s">
        <v>11</v>
      </c>
      <c r="E1622" s="17"/>
      <c r="F1622" s="18"/>
      <c r="G1622" s="36" t="str">
        <f>IF(ISNUMBER(F1622),C1622*F1622,"")</f>
        <v/>
      </c>
    </row>
    <row r="1623" spans="1:7" ht="12" customHeight="1" outlineLevel="2" x14ac:dyDescent="0.2">
      <c r="A1623" s="14" t="s">
        <v>3206</v>
      </c>
      <c r="B1623" s="15" t="s">
        <v>3207</v>
      </c>
      <c r="C1623" s="16">
        <f>69.59/(1+B2)</f>
        <v>69.59</v>
      </c>
      <c r="D1623" s="17" t="s">
        <v>11</v>
      </c>
      <c r="E1623" s="17"/>
      <c r="F1623" s="18"/>
      <c r="G1623" s="36" t="str">
        <f>IF(ISNUMBER(F1623),C1623*F1623,"")</f>
        <v/>
      </c>
    </row>
    <row r="1624" spans="1:7" ht="12" customHeight="1" outlineLevel="2" x14ac:dyDescent="0.2">
      <c r="A1624" s="14" t="s">
        <v>3208</v>
      </c>
      <c r="B1624" s="15" t="s">
        <v>3209</v>
      </c>
      <c r="C1624" s="16">
        <f>206.54/(1+B2)</f>
        <v>206.54</v>
      </c>
      <c r="D1624" s="17" t="s">
        <v>11</v>
      </c>
      <c r="E1624" s="17" t="s">
        <v>11</v>
      </c>
      <c r="F1624" s="18"/>
      <c r="G1624" s="36" t="str">
        <f>IF(ISNUMBER(F1624),C1624*F1624,"")</f>
        <v/>
      </c>
    </row>
    <row r="1625" spans="1:7" ht="24" customHeight="1" outlineLevel="2" x14ac:dyDescent="0.2">
      <c r="A1625" s="14" t="s">
        <v>3210</v>
      </c>
      <c r="B1625" s="15" t="s">
        <v>3211</v>
      </c>
      <c r="C1625" s="16">
        <f>206.54/(1+B2)</f>
        <v>206.54</v>
      </c>
      <c r="D1625" s="17" t="s">
        <v>11</v>
      </c>
      <c r="E1625" s="17" t="s">
        <v>11</v>
      </c>
      <c r="F1625" s="18"/>
      <c r="G1625" s="36" t="str">
        <f>IF(ISNUMBER(F1625),C1625*F1625,"")</f>
        <v/>
      </c>
    </row>
    <row r="1626" spans="1:7" ht="12" customHeight="1" outlineLevel="2" x14ac:dyDescent="0.2">
      <c r="A1626" s="14" t="s">
        <v>3212</v>
      </c>
      <c r="B1626" s="15" t="s">
        <v>3213</v>
      </c>
      <c r="C1626" s="16">
        <f>149.39/(1+B2)</f>
        <v>149.38999999999999</v>
      </c>
      <c r="D1626" s="17" t="s">
        <v>11</v>
      </c>
      <c r="E1626" s="17" t="s">
        <v>11</v>
      </c>
      <c r="F1626" s="18"/>
      <c r="G1626" s="36" t="str">
        <f>IF(ISNUMBER(F1626),C1626*F1626,"")</f>
        <v/>
      </c>
    </row>
    <row r="1627" spans="1:7" ht="12" customHeight="1" outlineLevel="2" x14ac:dyDescent="0.2">
      <c r="A1627" s="14" t="s">
        <v>3214</v>
      </c>
      <c r="B1627" s="15" t="s">
        <v>3215</v>
      </c>
      <c r="C1627" s="16">
        <f>64.78/(1+B2)</f>
        <v>64.78</v>
      </c>
      <c r="D1627" s="17" t="s">
        <v>11</v>
      </c>
      <c r="E1627" s="17"/>
      <c r="F1627" s="18"/>
      <c r="G1627" s="36" t="str">
        <f>IF(ISNUMBER(F1627),C1627*F1627,"")</f>
        <v/>
      </c>
    </row>
    <row r="1628" spans="1:7" ht="12" customHeight="1" outlineLevel="2" x14ac:dyDescent="0.2">
      <c r="A1628" s="14" t="s">
        <v>3216</v>
      </c>
      <c r="B1628" s="15" t="s">
        <v>3217</v>
      </c>
      <c r="C1628" s="16">
        <f>155.38/(1+B2)</f>
        <v>155.38</v>
      </c>
      <c r="D1628" s="17" t="s">
        <v>11</v>
      </c>
      <c r="E1628" s="17" t="s">
        <v>14</v>
      </c>
      <c r="F1628" s="18"/>
      <c r="G1628" s="36" t="str">
        <f>IF(ISNUMBER(F1628),C1628*F1628,"")</f>
        <v/>
      </c>
    </row>
    <row r="1629" spans="1:7" ht="12" customHeight="1" outlineLevel="2" x14ac:dyDescent="0.2">
      <c r="A1629" s="14" t="s">
        <v>3218</v>
      </c>
      <c r="B1629" s="15" t="s">
        <v>3219</v>
      </c>
      <c r="C1629" s="16">
        <f>155.38/(1+B2)</f>
        <v>155.38</v>
      </c>
      <c r="D1629" s="17" t="s">
        <v>11</v>
      </c>
      <c r="E1629" s="17" t="s">
        <v>14</v>
      </c>
      <c r="F1629" s="18"/>
      <c r="G1629" s="36" t="str">
        <f>IF(ISNUMBER(F1629),C1629*F1629,"")</f>
        <v/>
      </c>
    </row>
    <row r="1630" spans="1:7" ht="12" customHeight="1" outlineLevel="2" x14ac:dyDescent="0.2">
      <c r="A1630" s="14" t="s">
        <v>3220</v>
      </c>
      <c r="B1630" s="15" t="s">
        <v>3221</v>
      </c>
      <c r="C1630" s="16">
        <f>161.79/(1+B2)</f>
        <v>161.79</v>
      </c>
      <c r="D1630" s="17" t="s">
        <v>11</v>
      </c>
      <c r="E1630" s="17" t="s">
        <v>14</v>
      </c>
      <c r="F1630" s="18"/>
      <c r="G1630" s="36" t="str">
        <f>IF(ISNUMBER(F1630),C1630*F1630,"")</f>
        <v/>
      </c>
    </row>
    <row r="1631" spans="1:7" ht="12" customHeight="1" outlineLevel="2" x14ac:dyDescent="0.2">
      <c r="A1631" s="14" t="s">
        <v>3222</v>
      </c>
      <c r="B1631" s="15" t="s">
        <v>3223</v>
      </c>
      <c r="C1631" s="16">
        <f>155.55/(1+B2)</f>
        <v>155.55000000000001</v>
      </c>
      <c r="D1631" s="17" t="s">
        <v>11</v>
      </c>
      <c r="E1631" s="17"/>
      <c r="F1631" s="18"/>
      <c r="G1631" s="36" t="str">
        <f>IF(ISNUMBER(F1631),C1631*F1631,"")</f>
        <v/>
      </c>
    </row>
    <row r="1632" spans="1:7" ht="12" customHeight="1" outlineLevel="2" x14ac:dyDescent="0.2">
      <c r="A1632" s="14" t="s">
        <v>3224</v>
      </c>
      <c r="B1632" s="15" t="s">
        <v>3225</v>
      </c>
      <c r="C1632" s="16">
        <f>231.63/(1+B2)</f>
        <v>231.63</v>
      </c>
      <c r="D1632" s="17" t="s">
        <v>11</v>
      </c>
      <c r="E1632" s="17"/>
      <c r="F1632" s="18"/>
      <c r="G1632" s="36" t="str">
        <f>IF(ISNUMBER(F1632),C1632*F1632,"")</f>
        <v/>
      </c>
    </row>
    <row r="1633" spans="1:7" ht="12" customHeight="1" outlineLevel="2" x14ac:dyDescent="0.2">
      <c r="A1633" s="14" t="s">
        <v>3226</v>
      </c>
      <c r="B1633" s="15" t="s">
        <v>3227</v>
      </c>
      <c r="C1633" s="16">
        <f>226.04/(1+B2)</f>
        <v>226.04</v>
      </c>
      <c r="D1633" s="17" t="s">
        <v>11</v>
      </c>
      <c r="E1633" s="17"/>
      <c r="F1633" s="18"/>
      <c r="G1633" s="36" t="str">
        <f>IF(ISNUMBER(F1633),C1633*F1633,"")</f>
        <v/>
      </c>
    </row>
    <row r="1634" spans="1:7" ht="12" customHeight="1" outlineLevel="2" x14ac:dyDescent="0.2">
      <c r="A1634" s="14" t="s">
        <v>3228</v>
      </c>
      <c r="B1634" s="15" t="s">
        <v>3229</v>
      </c>
      <c r="C1634" s="16">
        <f>92/(1+B2)</f>
        <v>92</v>
      </c>
      <c r="D1634" s="17" t="s">
        <v>11</v>
      </c>
      <c r="E1634" s="17" t="s">
        <v>53</v>
      </c>
      <c r="F1634" s="18"/>
      <c r="G1634" s="36" t="str">
        <f>IF(ISNUMBER(F1634),C1634*F1634,"")</f>
        <v/>
      </c>
    </row>
    <row r="1635" spans="1:7" ht="12" customHeight="1" outlineLevel="2" x14ac:dyDescent="0.2">
      <c r="A1635" s="14" t="s">
        <v>3230</v>
      </c>
      <c r="B1635" s="15" t="s">
        <v>3231</v>
      </c>
      <c r="C1635" s="16">
        <f>314.69/(1+B2)</f>
        <v>314.69</v>
      </c>
      <c r="D1635" s="17" t="s">
        <v>11</v>
      </c>
      <c r="E1635" s="17" t="s">
        <v>11</v>
      </c>
      <c r="F1635" s="18"/>
      <c r="G1635" s="36" t="str">
        <f>IF(ISNUMBER(F1635),C1635*F1635,"")</f>
        <v/>
      </c>
    </row>
    <row r="1636" spans="1:7" ht="12" customHeight="1" outlineLevel="2" x14ac:dyDescent="0.2">
      <c r="A1636" s="14" t="s">
        <v>3232</v>
      </c>
      <c r="B1636" s="15" t="s">
        <v>3233</v>
      </c>
      <c r="C1636" s="16">
        <f>136.18/(1+B2)</f>
        <v>136.18</v>
      </c>
      <c r="D1636" s="17" t="s">
        <v>14</v>
      </c>
      <c r="E1636" s="17" t="s">
        <v>11</v>
      </c>
      <c r="F1636" s="18"/>
      <c r="G1636" s="36" t="str">
        <f>IF(ISNUMBER(F1636),C1636*F1636,"")</f>
        <v/>
      </c>
    </row>
    <row r="1637" spans="1:7" ht="12" customHeight="1" outlineLevel="2" x14ac:dyDescent="0.2">
      <c r="A1637" s="14" t="s">
        <v>3234</v>
      </c>
      <c r="B1637" s="15" t="s">
        <v>3235</v>
      </c>
      <c r="C1637" s="16">
        <f>283.56/(1+B2)</f>
        <v>283.56</v>
      </c>
      <c r="D1637" s="17" t="s">
        <v>11</v>
      </c>
      <c r="E1637" s="17"/>
      <c r="F1637" s="18"/>
      <c r="G1637" s="36" t="str">
        <f>IF(ISNUMBER(F1637),C1637*F1637,"")</f>
        <v/>
      </c>
    </row>
    <row r="1638" spans="1:7" ht="12" customHeight="1" outlineLevel="2" x14ac:dyDescent="0.2">
      <c r="A1638" s="14" t="s">
        <v>3236</v>
      </c>
      <c r="B1638" s="15" t="s">
        <v>3237</v>
      </c>
      <c r="C1638" s="16">
        <f>491.26/(1+B2)</f>
        <v>491.26</v>
      </c>
      <c r="D1638" s="17" t="s">
        <v>11</v>
      </c>
      <c r="E1638" s="17" t="s">
        <v>11</v>
      </c>
      <c r="F1638" s="18"/>
      <c r="G1638" s="36" t="str">
        <f>IF(ISNUMBER(F1638),C1638*F1638,"")</f>
        <v/>
      </c>
    </row>
    <row r="1639" spans="1:7" ht="12" customHeight="1" outlineLevel="2" x14ac:dyDescent="0.2">
      <c r="A1639" s="14" t="s">
        <v>3238</v>
      </c>
      <c r="B1639" s="15" t="s">
        <v>3239</v>
      </c>
      <c r="C1639" s="16">
        <f>114.15/(1+B2)</f>
        <v>114.15</v>
      </c>
      <c r="D1639" s="17" t="s">
        <v>11</v>
      </c>
      <c r="E1639" s="17" t="s">
        <v>11</v>
      </c>
      <c r="F1639" s="18"/>
      <c r="G1639" s="36" t="str">
        <f>IF(ISNUMBER(F1639),C1639*F1639,"")</f>
        <v/>
      </c>
    </row>
    <row r="1640" spans="1:7" ht="12" customHeight="1" outlineLevel="2" x14ac:dyDescent="0.2">
      <c r="A1640" s="14" t="s">
        <v>3240</v>
      </c>
      <c r="B1640" s="15" t="s">
        <v>3241</v>
      </c>
      <c r="C1640" s="16">
        <f>68.88/(1+B2)</f>
        <v>68.88</v>
      </c>
      <c r="D1640" s="17" t="s">
        <v>11</v>
      </c>
      <c r="E1640" s="17" t="s">
        <v>11</v>
      </c>
      <c r="F1640" s="18"/>
      <c r="G1640" s="36" t="str">
        <f>IF(ISNUMBER(F1640),C1640*F1640,"")</f>
        <v/>
      </c>
    </row>
    <row r="1641" spans="1:7" ht="24" customHeight="1" outlineLevel="2" x14ac:dyDescent="0.2">
      <c r="A1641" s="14" t="s">
        <v>3242</v>
      </c>
      <c r="B1641" s="15" t="s">
        <v>3243</v>
      </c>
      <c r="C1641" s="16">
        <f>55.83/(1+B2)</f>
        <v>55.83</v>
      </c>
      <c r="D1641" s="17" t="s">
        <v>11</v>
      </c>
      <c r="E1641" s="17"/>
      <c r="F1641" s="18"/>
      <c r="G1641" s="36" t="str">
        <f>IF(ISNUMBER(F1641),C1641*F1641,"")</f>
        <v/>
      </c>
    </row>
    <row r="1642" spans="1:7" ht="12" customHeight="1" outlineLevel="2" x14ac:dyDescent="0.2">
      <c r="A1642" s="14" t="s">
        <v>3244</v>
      </c>
      <c r="B1642" s="15" t="s">
        <v>3245</v>
      </c>
      <c r="C1642" s="16">
        <f>255.29/(1+B2)</f>
        <v>255.29</v>
      </c>
      <c r="D1642" s="17" t="s">
        <v>11</v>
      </c>
      <c r="E1642" s="17" t="s">
        <v>11</v>
      </c>
      <c r="F1642" s="18"/>
      <c r="G1642" s="36" t="str">
        <f>IF(ISNUMBER(F1642),C1642*F1642,"")</f>
        <v/>
      </c>
    </row>
    <row r="1643" spans="1:7" ht="12" customHeight="1" outlineLevel="2" x14ac:dyDescent="0.2">
      <c r="A1643" s="14" t="s">
        <v>3246</v>
      </c>
      <c r="B1643" s="15" t="s">
        <v>3247</v>
      </c>
      <c r="C1643" s="16">
        <f>249.88/(1+B2)</f>
        <v>249.88</v>
      </c>
      <c r="D1643" s="17" t="s">
        <v>11</v>
      </c>
      <c r="E1643" s="17" t="s">
        <v>11</v>
      </c>
      <c r="F1643" s="18"/>
      <c r="G1643" s="36" t="str">
        <f>IF(ISNUMBER(F1643),C1643*F1643,"")</f>
        <v/>
      </c>
    </row>
    <row r="1644" spans="1:7" ht="12" customHeight="1" outlineLevel="2" x14ac:dyDescent="0.2">
      <c r="A1644" s="14" t="s">
        <v>3248</v>
      </c>
      <c r="B1644" s="15" t="s">
        <v>3249</v>
      </c>
      <c r="C1644" s="16">
        <f>121.07/(1+B2)</f>
        <v>121.07</v>
      </c>
      <c r="D1644" s="17" t="s">
        <v>11</v>
      </c>
      <c r="E1644" s="17"/>
      <c r="F1644" s="18"/>
      <c r="G1644" s="36" t="str">
        <f>IF(ISNUMBER(F1644),C1644*F1644,"")</f>
        <v/>
      </c>
    </row>
    <row r="1645" spans="1:7" ht="12" customHeight="1" outlineLevel="2" x14ac:dyDescent="0.2">
      <c r="A1645" s="14" t="s">
        <v>3250</v>
      </c>
      <c r="B1645" s="15" t="s">
        <v>3251</v>
      </c>
      <c r="C1645" s="16">
        <f>112.66/(1+B2)</f>
        <v>112.66</v>
      </c>
      <c r="D1645" s="17" t="s">
        <v>11</v>
      </c>
      <c r="E1645" s="17" t="s">
        <v>11</v>
      </c>
      <c r="F1645" s="18"/>
      <c r="G1645" s="36" t="str">
        <f>IF(ISNUMBER(F1645),C1645*F1645,"")</f>
        <v/>
      </c>
    </row>
    <row r="1646" spans="1:7" ht="12" customHeight="1" outlineLevel="2" x14ac:dyDescent="0.2">
      <c r="A1646" s="14" t="s">
        <v>3252</v>
      </c>
      <c r="B1646" s="15" t="s">
        <v>3253</v>
      </c>
      <c r="C1646" s="16">
        <f>80.16/(1+B2)</f>
        <v>80.16</v>
      </c>
      <c r="D1646" s="17" t="s">
        <v>11</v>
      </c>
      <c r="E1646" s="17"/>
      <c r="F1646" s="18"/>
      <c r="G1646" s="36" t="str">
        <f>IF(ISNUMBER(F1646),C1646*F1646,"")</f>
        <v/>
      </c>
    </row>
    <row r="1647" spans="1:7" ht="12" customHeight="1" outlineLevel="2" x14ac:dyDescent="0.2">
      <c r="A1647" s="14" t="s">
        <v>3254</v>
      </c>
      <c r="B1647" s="15" t="s">
        <v>3255</v>
      </c>
      <c r="C1647" s="16">
        <f>130.63/(1+B2)</f>
        <v>130.63</v>
      </c>
      <c r="D1647" s="17" t="s">
        <v>11</v>
      </c>
      <c r="E1647" s="17" t="s">
        <v>11</v>
      </c>
      <c r="F1647" s="18"/>
      <c r="G1647" s="36" t="str">
        <f>IF(ISNUMBER(F1647),C1647*F1647,"")</f>
        <v/>
      </c>
    </row>
    <row r="1648" spans="1:7" ht="12" customHeight="1" outlineLevel="2" x14ac:dyDescent="0.2">
      <c r="A1648" s="14" t="s">
        <v>3256</v>
      </c>
      <c r="B1648" s="15" t="s">
        <v>3257</v>
      </c>
      <c r="C1648" s="16">
        <f>72.33/(1+B2)</f>
        <v>72.33</v>
      </c>
      <c r="D1648" s="17" t="s">
        <v>11</v>
      </c>
      <c r="E1648" s="17"/>
      <c r="F1648" s="18"/>
      <c r="G1648" s="36" t="str">
        <f>IF(ISNUMBER(F1648),C1648*F1648,"")</f>
        <v/>
      </c>
    </row>
    <row r="1649" spans="1:7" ht="12" customHeight="1" outlineLevel="2" x14ac:dyDescent="0.2">
      <c r="A1649" s="14" t="s">
        <v>3258</v>
      </c>
      <c r="B1649" s="15" t="s">
        <v>3259</v>
      </c>
      <c r="C1649" s="16">
        <f>65.63/(1+B2)</f>
        <v>65.63</v>
      </c>
      <c r="D1649" s="17" t="s">
        <v>11</v>
      </c>
      <c r="E1649" s="17"/>
      <c r="F1649" s="18"/>
      <c r="G1649" s="36" t="str">
        <f>IF(ISNUMBER(F1649),C1649*F1649,"")</f>
        <v/>
      </c>
    </row>
    <row r="1650" spans="1:7" ht="12" customHeight="1" outlineLevel="2" x14ac:dyDescent="0.2">
      <c r="A1650" s="14" t="s">
        <v>3260</v>
      </c>
      <c r="B1650" s="15" t="s">
        <v>3261</v>
      </c>
      <c r="C1650" s="16">
        <f>122.96/(1+B2)</f>
        <v>122.96</v>
      </c>
      <c r="D1650" s="17" t="s">
        <v>11</v>
      </c>
      <c r="E1650" s="17" t="s">
        <v>14</v>
      </c>
      <c r="F1650" s="18"/>
      <c r="G1650" s="36" t="str">
        <f>IF(ISNUMBER(F1650),C1650*F1650,"")</f>
        <v/>
      </c>
    </row>
    <row r="1651" spans="1:7" ht="12" customHeight="1" outlineLevel="2" x14ac:dyDescent="0.2">
      <c r="A1651" s="14" t="s">
        <v>3262</v>
      </c>
      <c r="B1651" s="15" t="s">
        <v>3263</v>
      </c>
      <c r="C1651" s="16">
        <f>115.63/(1+B2)</f>
        <v>115.63</v>
      </c>
      <c r="D1651" s="17" t="s">
        <v>11</v>
      </c>
      <c r="E1651" s="17" t="s">
        <v>11</v>
      </c>
      <c r="F1651" s="18"/>
      <c r="G1651" s="36" t="str">
        <f>IF(ISNUMBER(F1651),C1651*F1651,"")</f>
        <v/>
      </c>
    </row>
    <row r="1652" spans="1:7" ht="12" customHeight="1" outlineLevel="2" x14ac:dyDescent="0.2">
      <c r="A1652" s="14" t="s">
        <v>3264</v>
      </c>
      <c r="B1652" s="15" t="s">
        <v>3265</v>
      </c>
      <c r="C1652" s="16">
        <f>149.74/(1+B2)</f>
        <v>149.74</v>
      </c>
      <c r="D1652" s="17" t="s">
        <v>11</v>
      </c>
      <c r="E1652" s="17" t="s">
        <v>14</v>
      </c>
      <c r="F1652" s="18"/>
      <c r="G1652" s="36" t="str">
        <f>IF(ISNUMBER(F1652),C1652*F1652,"")</f>
        <v/>
      </c>
    </row>
    <row r="1653" spans="1:7" ht="12" customHeight="1" outlineLevel="2" x14ac:dyDescent="0.2">
      <c r="A1653" s="14" t="s">
        <v>3266</v>
      </c>
      <c r="B1653" s="15" t="s">
        <v>3267</v>
      </c>
      <c r="C1653" s="16">
        <f>122.84/(1+B2)</f>
        <v>122.84</v>
      </c>
      <c r="D1653" s="17" t="s">
        <v>11</v>
      </c>
      <c r="E1653" s="17"/>
      <c r="F1653" s="18"/>
      <c r="G1653" s="36" t="str">
        <f>IF(ISNUMBER(F1653),C1653*F1653,"")</f>
        <v/>
      </c>
    </row>
    <row r="1654" spans="1:7" ht="12" customHeight="1" outlineLevel="2" x14ac:dyDescent="0.2">
      <c r="A1654" s="14" t="s">
        <v>3268</v>
      </c>
      <c r="B1654" s="15" t="s">
        <v>3269</v>
      </c>
      <c r="C1654" s="16">
        <f>129.23/(1+B2)</f>
        <v>129.22999999999999</v>
      </c>
      <c r="D1654" s="17" t="s">
        <v>11</v>
      </c>
      <c r="E1654" s="17" t="s">
        <v>11</v>
      </c>
      <c r="F1654" s="18"/>
      <c r="G1654" s="36" t="str">
        <f>IF(ISNUMBER(F1654),C1654*F1654,"")</f>
        <v/>
      </c>
    </row>
    <row r="1655" spans="1:7" ht="12" customHeight="1" outlineLevel="2" x14ac:dyDescent="0.2">
      <c r="A1655" s="14" t="s">
        <v>3270</v>
      </c>
      <c r="B1655" s="15" t="s">
        <v>3271</v>
      </c>
      <c r="C1655" s="16">
        <f>61.86/(1+B2)</f>
        <v>61.86</v>
      </c>
      <c r="D1655" s="17" t="s">
        <v>11</v>
      </c>
      <c r="E1655" s="17" t="s">
        <v>11</v>
      </c>
      <c r="F1655" s="18"/>
      <c r="G1655" s="36" t="str">
        <f>IF(ISNUMBER(F1655),C1655*F1655,"")</f>
        <v/>
      </c>
    </row>
    <row r="1656" spans="1:7" ht="24" customHeight="1" outlineLevel="2" x14ac:dyDescent="0.2">
      <c r="A1656" s="14" t="s">
        <v>3272</v>
      </c>
      <c r="B1656" s="15" t="s">
        <v>3273</v>
      </c>
      <c r="C1656" s="16">
        <f>66.89/(1+B2)</f>
        <v>66.89</v>
      </c>
      <c r="D1656" s="17" t="s">
        <v>11</v>
      </c>
      <c r="E1656" s="17" t="s">
        <v>11</v>
      </c>
      <c r="F1656" s="18"/>
      <c r="G1656" s="36" t="str">
        <f>IF(ISNUMBER(F1656),C1656*F1656,"")</f>
        <v/>
      </c>
    </row>
    <row r="1657" spans="1:7" ht="12" customHeight="1" outlineLevel="2" x14ac:dyDescent="0.2">
      <c r="A1657" s="14" t="s">
        <v>3274</v>
      </c>
      <c r="B1657" s="15" t="s">
        <v>3275</v>
      </c>
      <c r="C1657" s="16">
        <f>108.64/(1+B2)</f>
        <v>108.64</v>
      </c>
      <c r="D1657" s="17" t="s">
        <v>11</v>
      </c>
      <c r="E1657" s="17" t="s">
        <v>53</v>
      </c>
      <c r="F1657" s="18"/>
      <c r="G1657" s="36" t="str">
        <f>IF(ISNUMBER(F1657),C1657*F1657,"")</f>
        <v/>
      </c>
    </row>
    <row r="1658" spans="1:7" ht="12" customHeight="1" outlineLevel="2" x14ac:dyDescent="0.2">
      <c r="A1658" s="14" t="s">
        <v>3276</v>
      </c>
      <c r="B1658" s="15" t="s">
        <v>3277</v>
      </c>
      <c r="C1658" s="16">
        <f>89.09/(1+B2)</f>
        <v>89.09</v>
      </c>
      <c r="D1658" s="17" t="s">
        <v>11</v>
      </c>
      <c r="E1658" s="17" t="s">
        <v>53</v>
      </c>
      <c r="F1658" s="18"/>
      <c r="G1658" s="36" t="str">
        <f>IF(ISNUMBER(F1658),C1658*F1658,"")</f>
        <v/>
      </c>
    </row>
    <row r="1659" spans="1:7" s="1" customFormat="1" ht="15.95" customHeight="1" outlineLevel="1" x14ac:dyDescent="0.25">
      <c r="A1659" s="11"/>
      <c r="B1659" s="12" t="s">
        <v>3278</v>
      </c>
      <c r="C1659" s="13"/>
      <c r="D1659" s="13"/>
      <c r="E1659" s="13"/>
      <c r="F1659" s="13"/>
      <c r="G1659" s="35"/>
    </row>
    <row r="1660" spans="1:7" ht="12" customHeight="1" outlineLevel="2" x14ac:dyDescent="0.2">
      <c r="A1660" s="14" t="s">
        <v>3279</v>
      </c>
      <c r="B1660" s="15" t="s">
        <v>3280</v>
      </c>
      <c r="C1660" s="16">
        <f>126.86/(1+B2)</f>
        <v>126.86</v>
      </c>
      <c r="D1660" s="17" t="s">
        <v>11</v>
      </c>
      <c r="E1660" s="17"/>
      <c r="F1660" s="18"/>
      <c r="G1660" s="36" t="str">
        <f>IF(ISNUMBER(F1660),C1660*F1660,"")</f>
        <v/>
      </c>
    </row>
    <row r="1661" spans="1:7" ht="12" customHeight="1" outlineLevel="2" x14ac:dyDescent="0.2">
      <c r="A1661" s="14" t="s">
        <v>3281</v>
      </c>
      <c r="B1661" s="15" t="s">
        <v>3282</v>
      </c>
      <c r="C1661" s="16">
        <f>19.7/(1+B2)</f>
        <v>19.7</v>
      </c>
      <c r="D1661" s="17" t="s">
        <v>53</v>
      </c>
      <c r="E1661" s="17" t="s">
        <v>14</v>
      </c>
      <c r="F1661" s="18"/>
      <c r="G1661" s="36" t="str">
        <f>IF(ISNUMBER(F1661),C1661*F1661,"")</f>
        <v/>
      </c>
    </row>
    <row r="1662" spans="1:7" ht="24" customHeight="1" outlineLevel="2" x14ac:dyDescent="0.2">
      <c r="A1662" s="14" t="s">
        <v>3283</v>
      </c>
      <c r="B1662" s="15" t="s">
        <v>3284</v>
      </c>
      <c r="C1662" s="16">
        <f>95.65/(1+B2)</f>
        <v>95.65</v>
      </c>
      <c r="D1662" s="17" t="s">
        <v>11</v>
      </c>
      <c r="E1662" s="17"/>
      <c r="F1662" s="18"/>
      <c r="G1662" s="36" t="str">
        <f>IF(ISNUMBER(F1662),C1662*F1662,"")</f>
        <v/>
      </c>
    </row>
    <row r="1663" spans="1:7" ht="12" customHeight="1" outlineLevel="2" x14ac:dyDescent="0.2">
      <c r="A1663" s="14" t="s">
        <v>3285</v>
      </c>
      <c r="B1663" s="15" t="s">
        <v>3286</v>
      </c>
      <c r="C1663" s="16">
        <f>69.5/(1+B2)</f>
        <v>69.5</v>
      </c>
      <c r="D1663" s="17" t="s">
        <v>11</v>
      </c>
      <c r="E1663" s="17" t="s">
        <v>14</v>
      </c>
      <c r="F1663" s="18"/>
      <c r="G1663" s="36" t="str">
        <f>IF(ISNUMBER(F1663),C1663*F1663,"")</f>
        <v/>
      </c>
    </row>
    <row r="1664" spans="1:7" ht="12" customHeight="1" outlineLevel="2" x14ac:dyDescent="0.2">
      <c r="A1664" s="14" t="s">
        <v>3287</v>
      </c>
      <c r="B1664" s="15" t="s">
        <v>3288</v>
      </c>
      <c r="C1664" s="16">
        <f>35.63/(1+B2)</f>
        <v>35.630000000000003</v>
      </c>
      <c r="D1664" s="17" t="s">
        <v>11</v>
      </c>
      <c r="E1664" s="17" t="s">
        <v>106</v>
      </c>
      <c r="F1664" s="18"/>
      <c r="G1664" s="36" t="str">
        <f>IF(ISNUMBER(F1664),C1664*F1664,"")</f>
        <v/>
      </c>
    </row>
    <row r="1665" spans="1:7" ht="12" customHeight="1" outlineLevel="2" x14ac:dyDescent="0.2">
      <c r="A1665" s="14" t="s">
        <v>3289</v>
      </c>
      <c r="B1665" s="15" t="s">
        <v>3290</v>
      </c>
      <c r="C1665" s="16">
        <f>42.68/(1+B2)</f>
        <v>42.68</v>
      </c>
      <c r="D1665" s="17" t="s">
        <v>11</v>
      </c>
      <c r="E1665" s="17"/>
      <c r="F1665" s="18"/>
      <c r="G1665" s="36" t="str">
        <f>IF(ISNUMBER(F1665),C1665*F1665,"")</f>
        <v/>
      </c>
    </row>
    <row r="1666" spans="1:7" ht="12" customHeight="1" outlineLevel="2" x14ac:dyDescent="0.2">
      <c r="A1666" s="14" t="s">
        <v>3291</v>
      </c>
      <c r="B1666" s="15" t="s">
        <v>3292</v>
      </c>
      <c r="C1666" s="16">
        <f>70.04/(1+B2)</f>
        <v>70.040000000000006</v>
      </c>
      <c r="D1666" s="17" t="s">
        <v>11</v>
      </c>
      <c r="E1666" s="17" t="s">
        <v>53</v>
      </c>
      <c r="F1666" s="18"/>
      <c r="G1666" s="36" t="str">
        <f>IF(ISNUMBER(F1666),C1666*F1666,"")</f>
        <v/>
      </c>
    </row>
    <row r="1667" spans="1:7" ht="12" customHeight="1" outlineLevel="2" x14ac:dyDescent="0.2">
      <c r="A1667" s="14" t="s">
        <v>3293</v>
      </c>
      <c r="B1667" s="15" t="s">
        <v>3294</v>
      </c>
      <c r="C1667" s="16">
        <f>151.1/(1+B2)</f>
        <v>151.1</v>
      </c>
      <c r="D1667" s="17" t="s">
        <v>11</v>
      </c>
      <c r="E1667" s="17"/>
      <c r="F1667" s="18"/>
      <c r="G1667" s="36" t="str">
        <f>IF(ISNUMBER(F1667),C1667*F1667,"")</f>
        <v/>
      </c>
    </row>
    <row r="1668" spans="1:7" ht="12" customHeight="1" outlineLevel="2" x14ac:dyDescent="0.2">
      <c r="A1668" s="14" t="s">
        <v>3295</v>
      </c>
      <c r="B1668" s="15" t="s">
        <v>3296</v>
      </c>
      <c r="C1668" s="16">
        <f>78.66/(1+B2)</f>
        <v>78.66</v>
      </c>
      <c r="D1668" s="17" t="s">
        <v>106</v>
      </c>
      <c r="E1668" s="17" t="s">
        <v>106</v>
      </c>
      <c r="F1668" s="18"/>
      <c r="G1668" s="36" t="str">
        <f>IF(ISNUMBER(F1668),C1668*F1668,"")</f>
        <v/>
      </c>
    </row>
    <row r="1669" spans="1:7" ht="12" customHeight="1" outlineLevel="2" x14ac:dyDescent="0.2">
      <c r="A1669" s="14" t="s">
        <v>3297</v>
      </c>
      <c r="B1669" s="15" t="s">
        <v>3298</v>
      </c>
      <c r="C1669" s="16">
        <f>28.61/(1+B2)</f>
        <v>28.61</v>
      </c>
      <c r="D1669" s="17" t="s">
        <v>11</v>
      </c>
      <c r="E1669" s="17" t="s">
        <v>53</v>
      </c>
      <c r="F1669" s="18"/>
      <c r="G1669" s="36" t="str">
        <f>IF(ISNUMBER(F1669),C1669*F1669,"")</f>
        <v/>
      </c>
    </row>
    <row r="1670" spans="1:7" ht="12" customHeight="1" outlineLevel="2" x14ac:dyDescent="0.2">
      <c r="A1670" s="14" t="s">
        <v>3299</v>
      </c>
      <c r="B1670" s="15" t="s">
        <v>3300</v>
      </c>
      <c r="C1670" s="16">
        <f>16.23/(1+B2)</f>
        <v>16.23</v>
      </c>
      <c r="D1670" s="17" t="s">
        <v>11</v>
      </c>
      <c r="E1670" s="17"/>
      <c r="F1670" s="18"/>
      <c r="G1670" s="36" t="str">
        <f>IF(ISNUMBER(F1670),C1670*F1670,"")</f>
        <v/>
      </c>
    </row>
    <row r="1671" spans="1:7" ht="12" customHeight="1" outlineLevel="2" x14ac:dyDescent="0.2">
      <c r="A1671" s="14" t="s">
        <v>3301</v>
      </c>
      <c r="B1671" s="15" t="s">
        <v>3302</v>
      </c>
      <c r="C1671" s="16">
        <f>12.5/(1+B2)</f>
        <v>12.5</v>
      </c>
      <c r="D1671" s="17" t="s">
        <v>11</v>
      </c>
      <c r="E1671" s="17"/>
      <c r="F1671" s="18"/>
      <c r="G1671" s="36" t="str">
        <f>IF(ISNUMBER(F1671),C1671*F1671,"")</f>
        <v/>
      </c>
    </row>
    <row r="1672" spans="1:7" ht="12" customHeight="1" outlineLevel="2" x14ac:dyDescent="0.2">
      <c r="A1672" s="14" t="s">
        <v>3303</v>
      </c>
      <c r="B1672" s="15" t="s">
        <v>3304</v>
      </c>
      <c r="C1672" s="16">
        <f>80.94/(1+B2)</f>
        <v>80.94</v>
      </c>
      <c r="D1672" s="17" t="s">
        <v>11</v>
      </c>
      <c r="E1672" s="17" t="s">
        <v>11</v>
      </c>
      <c r="F1672" s="18"/>
      <c r="G1672" s="36" t="str">
        <f>IF(ISNUMBER(F1672),C1672*F1672,"")</f>
        <v/>
      </c>
    </row>
    <row r="1673" spans="1:7" ht="12" customHeight="1" outlineLevel="2" x14ac:dyDescent="0.2">
      <c r="A1673" s="14" t="s">
        <v>3305</v>
      </c>
      <c r="B1673" s="15" t="s">
        <v>3306</v>
      </c>
      <c r="C1673" s="16">
        <f>40.9/(1+B2)</f>
        <v>40.9</v>
      </c>
      <c r="D1673" s="17"/>
      <c r="E1673" s="17" t="s">
        <v>53</v>
      </c>
      <c r="F1673" s="18"/>
      <c r="G1673" s="36" t="str">
        <f>IF(ISNUMBER(F1673),C1673*F1673,"")</f>
        <v/>
      </c>
    </row>
    <row r="1674" spans="1:7" ht="12" customHeight="1" outlineLevel="2" x14ac:dyDescent="0.2">
      <c r="A1674" s="14" t="s">
        <v>3307</v>
      </c>
      <c r="B1674" s="15" t="s">
        <v>3308</v>
      </c>
      <c r="C1674" s="16">
        <f>187.63/(1+B2)</f>
        <v>187.63</v>
      </c>
      <c r="D1674" s="17" t="s">
        <v>11</v>
      </c>
      <c r="E1674" s="17" t="s">
        <v>11</v>
      </c>
      <c r="F1674" s="18"/>
      <c r="G1674" s="36" t="str">
        <f>IF(ISNUMBER(F1674),C1674*F1674,"")</f>
        <v/>
      </c>
    </row>
    <row r="1675" spans="1:7" ht="12" customHeight="1" outlineLevel="2" x14ac:dyDescent="0.2">
      <c r="A1675" s="14" t="s">
        <v>3309</v>
      </c>
      <c r="B1675" s="15" t="s">
        <v>3310</v>
      </c>
      <c r="C1675" s="16">
        <f>88.64/(1+B2)</f>
        <v>88.64</v>
      </c>
      <c r="D1675" s="17" t="s">
        <v>11</v>
      </c>
      <c r="E1675" s="17"/>
      <c r="F1675" s="18"/>
      <c r="G1675" s="36" t="str">
        <f>IF(ISNUMBER(F1675),C1675*F1675,"")</f>
        <v/>
      </c>
    </row>
    <row r="1676" spans="1:7" ht="12" customHeight="1" outlineLevel="2" x14ac:dyDescent="0.2">
      <c r="A1676" s="14" t="s">
        <v>3311</v>
      </c>
      <c r="B1676" s="15" t="s">
        <v>3312</v>
      </c>
      <c r="C1676" s="16">
        <f>106.18/(1+B2)</f>
        <v>106.18</v>
      </c>
      <c r="D1676" s="17" t="s">
        <v>11</v>
      </c>
      <c r="E1676" s="17"/>
      <c r="F1676" s="18"/>
      <c r="G1676" s="36" t="str">
        <f>IF(ISNUMBER(F1676),C1676*F1676,"")</f>
        <v/>
      </c>
    </row>
    <row r="1677" spans="1:7" ht="12" customHeight="1" outlineLevel="2" x14ac:dyDescent="0.2">
      <c r="A1677" s="14" t="s">
        <v>3313</v>
      </c>
      <c r="B1677" s="15" t="s">
        <v>3314</v>
      </c>
      <c r="C1677" s="16">
        <f>42.61/(1+B2)</f>
        <v>42.61</v>
      </c>
      <c r="D1677" s="17" t="s">
        <v>11</v>
      </c>
      <c r="E1677" s="17" t="s">
        <v>106</v>
      </c>
      <c r="F1677" s="18"/>
      <c r="G1677" s="36" t="str">
        <f>IF(ISNUMBER(F1677),C1677*F1677,"")</f>
        <v/>
      </c>
    </row>
    <row r="1678" spans="1:7" ht="12" customHeight="1" outlineLevel="2" x14ac:dyDescent="0.2">
      <c r="A1678" s="14" t="s">
        <v>3315</v>
      </c>
      <c r="B1678" s="15" t="s">
        <v>3316</v>
      </c>
      <c r="C1678" s="16">
        <f>72.64/(1+B2)</f>
        <v>72.64</v>
      </c>
      <c r="D1678" s="17" t="s">
        <v>11</v>
      </c>
      <c r="E1678" s="17" t="s">
        <v>53</v>
      </c>
      <c r="F1678" s="18"/>
      <c r="G1678" s="36" t="str">
        <f>IF(ISNUMBER(F1678),C1678*F1678,"")</f>
        <v/>
      </c>
    </row>
    <row r="1679" spans="1:7" ht="12" customHeight="1" outlineLevel="2" x14ac:dyDescent="0.2">
      <c r="A1679" s="14" t="s">
        <v>3317</v>
      </c>
      <c r="B1679" s="15" t="s">
        <v>3318</v>
      </c>
      <c r="C1679" s="16">
        <f>25.61/(1+B2)</f>
        <v>25.61</v>
      </c>
      <c r="D1679" s="17" t="s">
        <v>11</v>
      </c>
      <c r="E1679" s="17"/>
      <c r="F1679" s="18"/>
      <c r="G1679" s="36" t="str">
        <f>IF(ISNUMBER(F1679),C1679*F1679,"")</f>
        <v/>
      </c>
    </row>
    <row r="1680" spans="1:7" ht="12" customHeight="1" outlineLevel="2" x14ac:dyDescent="0.2">
      <c r="A1680" s="14" t="s">
        <v>3319</v>
      </c>
      <c r="B1680" s="15" t="s">
        <v>3320</v>
      </c>
      <c r="C1680" s="16">
        <f>87.55/(1+B2)</f>
        <v>87.55</v>
      </c>
      <c r="D1680" s="17" t="s">
        <v>11</v>
      </c>
      <c r="E1680" s="17"/>
      <c r="F1680" s="18"/>
      <c r="G1680" s="36" t="str">
        <f>IF(ISNUMBER(F1680),C1680*F1680,"")</f>
        <v/>
      </c>
    </row>
    <row r="1681" spans="1:7" ht="12" customHeight="1" outlineLevel="2" x14ac:dyDescent="0.2">
      <c r="A1681" s="14" t="s">
        <v>3321</v>
      </c>
      <c r="B1681" s="15" t="s">
        <v>3322</v>
      </c>
      <c r="C1681" s="16">
        <f>216.26/(1+B2)</f>
        <v>216.26</v>
      </c>
      <c r="D1681" s="17" t="s">
        <v>11</v>
      </c>
      <c r="E1681" s="17"/>
      <c r="F1681" s="18"/>
      <c r="G1681" s="36" t="str">
        <f>IF(ISNUMBER(F1681),C1681*F1681,"")</f>
        <v/>
      </c>
    </row>
    <row r="1682" spans="1:7" ht="12" customHeight="1" outlineLevel="2" x14ac:dyDescent="0.2">
      <c r="A1682" s="14" t="s">
        <v>3323</v>
      </c>
      <c r="B1682" s="15" t="s">
        <v>3324</v>
      </c>
      <c r="C1682" s="16">
        <f>66.88/(1+B2)</f>
        <v>66.88</v>
      </c>
      <c r="D1682" s="17" t="s">
        <v>11</v>
      </c>
      <c r="E1682" s="17" t="s">
        <v>53</v>
      </c>
      <c r="F1682" s="18"/>
      <c r="G1682" s="36" t="str">
        <f>IF(ISNUMBER(F1682),C1682*F1682,"")</f>
        <v/>
      </c>
    </row>
    <row r="1683" spans="1:7" ht="12" customHeight="1" outlineLevel="2" x14ac:dyDescent="0.2">
      <c r="A1683" s="14" t="s">
        <v>3325</v>
      </c>
      <c r="B1683" s="15" t="s">
        <v>3326</v>
      </c>
      <c r="C1683" s="16">
        <f>79.59/(1+B2)</f>
        <v>79.59</v>
      </c>
      <c r="D1683" s="17" t="s">
        <v>11</v>
      </c>
      <c r="E1683" s="17" t="s">
        <v>53</v>
      </c>
      <c r="F1683" s="18"/>
      <c r="G1683" s="36" t="str">
        <f>IF(ISNUMBER(F1683),C1683*F1683,"")</f>
        <v/>
      </c>
    </row>
    <row r="1684" spans="1:7" ht="12" customHeight="1" outlineLevel="2" x14ac:dyDescent="0.2">
      <c r="A1684" s="14" t="s">
        <v>3327</v>
      </c>
      <c r="B1684" s="15" t="s">
        <v>3328</v>
      </c>
      <c r="C1684" s="16">
        <f>148.9/(1+B2)</f>
        <v>148.9</v>
      </c>
      <c r="D1684" s="17" t="s">
        <v>11</v>
      </c>
      <c r="E1684" s="17" t="s">
        <v>14</v>
      </c>
      <c r="F1684" s="18"/>
      <c r="G1684" s="36" t="str">
        <f>IF(ISNUMBER(F1684),C1684*F1684,"")</f>
        <v/>
      </c>
    </row>
    <row r="1685" spans="1:7" ht="12" customHeight="1" outlineLevel="2" x14ac:dyDescent="0.2">
      <c r="A1685" s="14" t="s">
        <v>3329</v>
      </c>
      <c r="B1685" s="15" t="s">
        <v>3330</v>
      </c>
      <c r="C1685" s="16">
        <f>16.25/(1+B2)</f>
        <v>16.25</v>
      </c>
      <c r="D1685" s="17" t="s">
        <v>53</v>
      </c>
      <c r="E1685" s="17" t="s">
        <v>106</v>
      </c>
      <c r="F1685" s="18"/>
      <c r="G1685" s="36" t="str">
        <f>IF(ISNUMBER(F1685),C1685*F1685,"")</f>
        <v/>
      </c>
    </row>
    <row r="1686" spans="1:7" ht="12" customHeight="1" outlineLevel="2" x14ac:dyDescent="0.2">
      <c r="A1686" s="14" t="s">
        <v>3331</v>
      </c>
      <c r="B1686" s="15" t="s">
        <v>3332</v>
      </c>
      <c r="C1686" s="16">
        <f>20.8/(1+B2)</f>
        <v>20.8</v>
      </c>
      <c r="D1686" s="17" t="s">
        <v>11</v>
      </c>
      <c r="E1686" s="17"/>
      <c r="F1686" s="18"/>
      <c r="G1686" s="36" t="str">
        <f>IF(ISNUMBER(F1686),C1686*F1686,"")</f>
        <v/>
      </c>
    </row>
    <row r="1687" spans="1:7" ht="12" customHeight="1" outlineLevel="2" x14ac:dyDescent="0.2">
      <c r="A1687" s="14" t="s">
        <v>3333</v>
      </c>
      <c r="B1687" s="15" t="s">
        <v>3334</v>
      </c>
      <c r="C1687" s="16">
        <f>13.4/(1+B2)</f>
        <v>13.4</v>
      </c>
      <c r="D1687" s="17" t="s">
        <v>11</v>
      </c>
      <c r="E1687" s="17"/>
      <c r="F1687" s="18"/>
      <c r="G1687" s="36" t="str">
        <f>IF(ISNUMBER(F1687),C1687*F1687,"")</f>
        <v/>
      </c>
    </row>
    <row r="1688" spans="1:7" ht="12" customHeight="1" outlineLevel="2" x14ac:dyDescent="0.2">
      <c r="A1688" s="14" t="s">
        <v>3335</v>
      </c>
      <c r="B1688" s="15" t="s">
        <v>3336</v>
      </c>
      <c r="C1688" s="16">
        <f>38.75/(1+B2)</f>
        <v>38.75</v>
      </c>
      <c r="D1688" s="17" t="s">
        <v>11</v>
      </c>
      <c r="E1688" s="17" t="s">
        <v>106</v>
      </c>
      <c r="F1688" s="18"/>
      <c r="G1688" s="36" t="str">
        <f>IF(ISNUMBER(F1688),C1688*F1688,"")</f>
        <v/>
      </c>
    </row>
    <row r="1689" spans="1:7" ht="12" customHeight="1" outlineLevel="2" x14ac:dyDescent="0.2">
      <c r="A1689" s="14" t="s">
        <v>3337</v>
      </c>
      <c r="B1689" s="15" t="s">
        <v>3338</v>
      </c>
      <c r="C1689" s="16">
        <f>67.19/(1+B2)</f>
        <v>67.19</v>
      </c>
      <c r="D1689" s="17" t="s">
        <v>11</v>
      </c>
      <c r="E1689" s="17" t="s">
        <v>14</v>
      </c>
      <c r="F1689" s="18"/>
      <c r="G1689" s="36" t="str">
        <f>IF(ISNUMBER(F1689),C1689*F1689,"")</f>
        <v/>
      </c>
    </row>
    <row r="1690" spans="1:7" ht="12" customHeight="1" outlineLevel="2" x14ac:dyDescent="0.2">
      <c r="A1690" s="14" t="s">
        <v>3339</v>
      </c>
      <c r="B1690" s="15" t="s">
        <v>3340</v>
      </c>
      <c r="C1690" s="16">
        <f>91.7/(1+B2)</f>
        <v>91.7</v>
      </c>
      <c r="D1690" s="17" t="s">
        <v>11</v>
      </c>
      <c r="E1690" s="17" t="s">
        <v>14</v>
      </c>
      <c r="F1690" s="18"/>
      <c r="G1690" s="36" t="str">
        <f>IF(ISNUMBER(F1690),C1690*F1690,"")</f>
        <v/>
      </c>
    </row>
    <row r="1691" spans="1:7" ht="12" customHeight="1" outlineLevel="2" x14ac:dyDescent="0.2">
      <c r="A1691" s="14" t="s">
        <v>3341</v>
      </c>
      <c r="B1691" s="15" t="s">
        <v>3342</v>
      </c>
      <c r="C1691" s="16">
        <f>144.14/(1+B2)</f>
        <v>144.13999999999999</v>
      </c>
      <c r="D1691" s="17" t="s">
        <v>11</v>
      </c>
      <c r="E1691" s="17" t="s">
        <v>14</v>
      </c>
      <c r="F1691" s="18"/>
      <c r="G1691" s="36" t="str">
        <f>IF(ISNUMBER(F1691),C1691*F1691,"")</f>
        <v/>
      </c>
    </row>
    <row r="1692" spans="1:7" ht="12" customHeight="1" outlineLevel="2" x14ac:dyDescent="0.2">
      <c r="A1692" s="14" t="s">
        <v>3343</v>
      </c>
      <c r="B1692" s="15" t="s">
        <v>3344</v>
      </c>
      <c r="C1692" s="16">
        <f>317.98/(1+B2)</f>
        <v>317.98</v>
      </c>
      <c r="D1692" s="17" t="s">
        <v>11</v>
      </c>
      <c r="E1692" s="17"/>
      <c r="F1692" s="18"/>
      <c r="G1692" s="36" t="str">
        <f>IF(ISNUMBER(F1692),C1692*F1692,"")</f>
        <v/>
      </c>
    </row>
    <row r="1693" spans="1:7" ht="12" customHeight="1" outlineLevel="2" x14ac:dyDescent="0.2">
      <c r="A1693" s="14" t="s">
        <v>3345</v>
      </c>
      <c r="B1693" s="15" t="s">
        <v>3346</v>
      </c>
      <c r="C1693" s="16">
        <f>375/(1+B2)</f>
        <v>375</v>
      </c>
      <c r="D1693" s="17" t="s">
        <v>11</v>
      </c>
      <c r="E1693" s="17"/>
      <c r="F1693" s="18"/>
      <c r="G1693" s="36" t="str">
        <f>IF(ISNUMBER(F1693),C1693*F1693,"")</f>
        <v/>
      </c>
    </row>
    <row r="1694" spans="1:7" ht="12" customHeight="1" outlineLevel="2" x14ac:dyDescent="0.2">
      <c r="A1694" s="14" t="s">
        <v>3347</v>
      </c>
      <c r="B1694" s="15" t="s">
        <v>3348</v>
      </c>
      <c r="C1694" s="16">
        <f>375/(1+B2)</f>
        <v>375</v>
      </c>
      <c r="D1694" s="17" t="s">
        <v>11</v>
      </c>
      <c r="E1694" s="17"/>
      <c r="F1694" s="18"/>
      <c r="G1694" s="36" t="str">
        <f>IF(ISNUMBER(F1694),C1694*F1694,"")</f>
        <v/>
      </c>
    </row>
    <row r="1695" spans="1:7" ht="12" customHeight="1" outlineLevel="2" x14ac:dyDescent="0.2">
      <c r="A1695" s="14" t="s">
        <v>3349</v>
      </c>
      <c r="B1695" s="15" t="s">
        <v>3350</v>
      </c>
      <c r="C1695" s="16">
        <f>129.28/(1+B2)</f>
        <v>129.28</v>
      </c>
      <c r="D1695" s="17" t="s">
        <v>11</v>
      </c>
      <c r="E1695" s="17"/>
      <c r="F1695" s="18"/>
      <c r="G1695" s="36" t="str">
        <f>IF(ISNUMBER(F1695),C1695*F1695,"")</f>
        <v/>
      </c>
    </row>
    <row r="1696" spans="1:7" ht="12" customHeight="1" outlineLevel="2" x14ac:dyDescent="0.2">
      <c r="A1696" s="14" t="s">
        <v>3351</v>
      </c>
      <c r="B1696" s="15" t="s">
        <v>3352</v>
      </c>
      <c r="C1696" s="16">
        <f>298.7/(1+B2)</f>
        <v>298.7</v>
      </c>
      <c r="D1696" s="17" t="s">
        <v>11</v>
      </c>
      <c r="E1696" s="17"/>
      <c r="F1696" s="18"/>
      <c r="G1696" s="36" t="str">
        <f>IF(ISNUMBER(F1696),C1696*F1696,"")</f>
        <v/>
      </c>
    </row>
    <row r="1697" spans="1:7" ht="12" customHeight="1" outlineLevel="2" x14ac:dyDescent="0.2">
      <c r="A1697" s="14" t="s">
        <v>3353</v>
      </c>
      <c r="B1697" s="15" t="s">
        <v>3354</v>
      </c>
      <c r="C1697" s="16">
        <f>324.71/(1+B2)</f>
        <v>324.70999999999998</v>
      </c>
      <c r="D1697" s="17" t="s">
        <v>11</v>
      </c>
      <c r="E1697" s="17"/>
      <c r="F1697" s="18"/>
      <c r="G1697" s="36" t="str">
        <f>IF(ISNUMBER(F1697),C1697*F1697,"")</f>
        <v/>
      </c>
    </row>
    <row r="1698" spans="1:7" ht="12" customHeight="1" outlineLevel="2" x14ac:dyDescent="0.2">
      <c r="A1698" s="14" t="s">
        <v>3355</v>
      </c>
      <c r="B1698" s="15" t="s">
        <v>3356</v>
      </c>
      <c r="C1698" s="16">
        <f>168.54/(1+B2)</f>
        <v>168.54</v>
      </c>
      <c r="D1698" s="17" t="s">
        <v>11</v>
      </c>
      <c r="E1698" s="17" t="s">
        <v>11</v>
      </c>
      <c r="F1698" s="18"/>
      <c r="G1698" s="36" t="str">
        <f>IF(ISNUMBER(F1698),C1698*F1698,"")</f>
        <v/>
      </c>
    </row>
    <row r="1699" spans="1:7" ht="12" customHeight="1" outlineLevel="2" x14ac:dyDescent="0.2">
      <c r="A1699" s="14" t="s">
        <v>3357</v>
      </c>
      <c r="B1699" s="15" t="s">
        <v>3358</v>
      </c>
      <c r="C1699" s="16">
        <f>168.54/(1+B2)</f>
        <v>168.54</v>
      </c>
      <c r="D1699" s="17" t="s">
        <v>11</v>
      </c>
      <c r="E1699" s="17" t="s">
        <v>11</v>
      </c>
      <c r="F1699" s="18"/>
      <c r="G1699" s="36" t="str">
        <f>IF(ISNUMBER(F1699),C1699*F1699,"")</f>
        <v/>
      </c>
    </row>
    <row r="1700" spans="1:7" ht="12" customHeight="1" outlineLevel="2" x14ac:dyDescent="0.2">
      <c r="A1700" s="14" t="s">
        <v>3359</v>
      </c>
      <c r="B1700" s="15" t="s">
        <v>3360</v>
      </c>
      <c r="C1700" s="16">
        <f>301.26/(1+B2)</f>
        <v>301.26</v>
      </c>
      <c r="D1700" s="17" t="s">
        <v>11</v>
      </c>
      <c r="E1700" s="17"/>
      <c r="F1700" s="18"/>
      <c r="G1700" s="36" t="str">
        <f>IF(ISNUMBER(F1700),C1700*F1700,"")</f>
        <v/>
      </c>
    </row>
    <row r="1701" spans="1:7" ht="12" customHeight="1" outlineLevel="2" x14ac:dyDescent="0.2">
      <c r="A1701" s="14" t="s">
        <v>3361</v>
      </c>
      <c r="B1701" s="15" t="s">
        <v>3362</v>
      </c>
      <c r="C1701" s="16">
        <f>264.81/(1+B2)</f>
        <v>264.81</v>
      </c>
      <c r="D1701" s="17" t="s">
        <v>11</v>
      </c>
      <c r="E1701" s="17"/>
      <c r="F1701" s="18"/>
      <c r="G1701" s="36" t="str">
        <f>IF(ISNUMBER(F1701),C1701*F1701,"")</f>
        <v/>
      </c>
    </row>
    <row r="1702" spans="1:7" ht="24" customHeight="1" outlineLevel="2" x14ac:dyDescent="0.2">
      <c r="A1702" s="14" t="s">
        <v>3363</v>
      </c>
      <c r="B1702" s="15" t="s">
        <v>3364</v>
      </c>
      <c r="C1702" s="16">
        <f>37.36/(1+B2)</f>
        <v>37.36</v>
      </c>
      <c r="D1702" s="17" t="s">
        <v>14</v>
      </c>
      <c r="E1702" s="17"/>
      <c r="F1702" s="18"/>
      <c r="G1702" s="36" t="str">
        <f>IF(ISNUMBER(F1702),C1702*F1702,"")</f>
        <v/>
      </c>
    </row>
    <row r="1703" spans="1:7" ht="24" customHeight="1" outlineLevel="2" x14ac:dyDescent="0.2">
      <c r="A1703" s="14" t="s">
        <v>3365</v>
      </c>
      <c r="B1703" s="15" t="s">
        <v>3366</v>
      </c>
      <c r="C1703" s="16">
        <f>365.34/(1+B2)</f>
        <v>365.34</v>
      </c>
      <c r="D1703" s="17" t="s">
        <v>11</v>
      </c>
      <c r="E1703" s="17" t="s">
        <v>53</v>
      </c>
      <c r="F1703" s="18"/>
      <c r="G1703" s="36" t="str">
        <f>IF(ISNUMBER(F1703),C1703*F1703,"")</f>
        <v/>
      </c>
    </row>
    <row r="1704" spans="1:7" ht="12" customHeight="1" outlineLevel="2" x14ac:dyDescent="0.2">
      <c r="A1704" s="14" t="s">
        <v>3367</v>
      </c>
      <c r="B1704" s="15" t="s">
        <v>3368</v>
      </c>
      <c r="C1704" s="16">
        <f>65.01/(1+B2)</f>
        <v>65.010000000000005</v>
      </c>
      <c r="D1704" s="17" t="s">
        <v>11</v>
      </c>
      <c r="E1704" s="17" t="s">
        <v>53</v>
      </c>
      <c r="F1704" s="18"/>
      <c r="G1704" s="36" t="str">
        <f>IF(ISNUMBER(F1704),C1704*F1704,"")</f>
        <v/>
      </c>
    </row>
    <row r="1705" spans="1:7" ht="12" customHeight="1" outlineLevel="2" x14ac:dyDescent="0.2">
      <c r="A1705" s="14" t="s">
        <v>3369</v>
      </c>
      <c r="B1705" s="15" t="s">
        <v>3370</v>
      </c>
      <c r="C1705" s="16">
        <f>186.44/(1+B2)</f>
        <v>186.44</v>
      </c>
      <c r="D1705" s="17" t="s">
        <v>11</v>
      </c>
      <c r="E1705" s="17"/>
      <c r="F1705" s="18"/>
      <c r="G1705" s="36" t="str">
        <f>IF(ISNUMBER(F1705),C1705*F1705,"")</f>
        <v/>
      </c>
    </row>
    <row r="1706" spans="1:7" ht="12" customHeight="1" outlineLevel="2" x14ac:dyDescent="0.2">
      <c r="A1706" s="14" t="s">
        <v>3371</v>
      </c>
      <c r="B1706" s="15" t="s">
        <v>3372</v>
      </c>
      <c r="C1706" s="16">
        <f>289.69/(1+B2)</f>
        <v>289.69</v>
      </c>
      <c r="D1706" s="17" t="s">
        <v>11</v>
      </c>
      <c r="E1706" s="17" t="s">
        <v>14</v>
      </c>
      <c r="F1706" s="18"/>
      <c r="G1706" s="36" t="str">
        <f>IF(ISNUMBER(F1706),C1706*F1706,"")</f>
        <v/>
      </c>
    </row>
    <row r="1707" spans="1:7" ht="12" customHeight="1" outlineLevel="2" x14ac:dyDescent="0.2">
      <c r="A1707" s="14" t="s">
        <v>3373</v>
      </c>
      <c r="B1707" s="15" t="s">
        <v>3374</v>
      </c>
      <c r="C1707" s="16">
        <f>157.01/(1+B2)</f>
        <v>157.01</v>
      </c>
      <c r="D1707" s="17" t="s">
        <v>11</v>
      </c>
      <c r="E1707" s="17" t="s">
        <v>14</v>
      </c>
      <c r="F1707" s="18"/>
      <c r="G1707" s="36" t="str">
        <f>IF(ISNUMBER(F1707),C1707*F1707,"")</f>
        <v/>
      </c>
    </row>
    <row r="1708" spans="1:7" ht="12" customHeight="1" outlineLevel="2" x14ac:dyDescent="0.2">
      <c r="A1708" s="14" t="s">
        <v>3375</v>
      </c>
      <c r="B1708" s="15" t="s">
        <v>3376</v>
      </c>
      <c r="C1708" s="16">
        <f>64.49/(1+B2)</f>
        <v>64.489999999999995</v>
      </c>
      <c r="D1708" s="17" t="s">
        <v>11</v>
      </c>
      <c r="E1708" s="17"/>
      <c r="F1708" s="18"/>
      <c r="G1708" s="36" t="str">
        <f>IF(ISNUMBER(F1708),C1708*F1708,"")</f>
        <v/>
      </c>
    </row>
    <row r="1709" spans="1:7" ht="12" customHeight="1" outlineLevel="2" x14ac:dyDescent="0.2">
      <c r="A1709" s="14" t="s">
        <v>3377</v>
      </c>
      <c r="B1709" s="15" t="s">
        <v>3378</v>
      </c>
      <c r="C1709" s="16">
        <f>91.7/(1+B2)</f>
        <v>91.7</v>
      </c>
      <c r="D1709" s="17" t="s">
        <v>11</v>
      </c>
      <c r="E1709" s="17" t="s">
        <v>14</v>
      </c>
      <c r="F1709" s="18"/>
      <c r="G1709" s="36" t="str">
        <f>IF(ISNUMBER(F1709),C1709*F1709,"")</f>
        <v/>
      </c>
    </row>
    <row r="1710" spans="1:7" ht="12" customHeight="1" outlineLevel="2" x14ac:dyDescent="0.2">
      <c r="A1710" s="14" t="s">
        <v>3379</v>
      </c>
      <c r="B1710" s="15" t="s">
        <v>3380</v>
      </c>
      <c r="C1710" s="16">
        <f>179.96/(1+B2)</f>
        <v>179.96</v>
      </c>
      <c r="D1710" s="17" t="s">
        <v>11</v>
      </c>
      <c r="E1710" s="17"/>
      <c r="F1710" s="18"/>
      <c r="G1710" s="36" t="str">
        <f>IF(ISNUMBER(F1710),C1710*F1710,"")</f>
        <v/>
      </c>
    </row>
    <row r="1711" spans="1:7" ht="12" customHeight="1" outlineLevel="2" x14ac:dyDescent="0.2">
      <c r="A1711" s="14" t="s">
        <v>3381</v>
      </c>
      <c r="B1711" s="15" t="s">
        <v>3382</v>
      </c>
      <c r="C1711" s="16">
        <f>136.14/(1+B2)</f>
        <v>136.13999999999999</v>
      </c>
      <c r="D1711" s="17" t="s">
        <v>11</v>
      </c>
      <c r="E1711" s="17" t="s">
        <v>53</v>
      </c>
      <c r="F1711" s="18"/>
      <c r="G1711" s="36" t="str">
        <f>IF(ISNUMBER(F1711),C1711*F1711,"")</f>
        <v/>
      </c>
    </row>
    <row r="1712" spans="1:7" ht="12" customHeight="1" outlineLevel="2" x14ac:dyDescent="0.2">
      <c r="A1712" s="14" t="s">
        <v>3383</v>
      </c>
      <c r="B1712" s="15" t="s">
        <v>3384</v>
      </c>
      <c r="C1712" s="16">
        <f>185.4/(1+B2)</f>
        <v>185.4</v>
      </c>
      <c r="D1712" s="17" t="s">
        <v>11</v>
      </c>
      <c r="E1712" s="17" t="s">
        <v>14</v>
      </c>
      <c r="F1712" s="18"/>
      <c r="G1712" s="36" t="str">
        <f>IF(ISNUMBER(F1712),C1712*F1712,"")</f>
        <v/>
      </c>
    </row>
    <row r="1713" spans="1:7" ht="12" customHeight="1" outlineLevel="2" x14ac:dyDescent="0.2">
      <c r="A1713" s="14" t="s">
        <v>3385</v>
      </c>
      <c r="B1713" s="15" t="s">
        <v>3386</v>
      </c>
      <c r="C1713" s="16">
        <f>90.48/(1+B2)</f>
        <v>90.48</v>
      </c>
      <c r="D1713" s="17" t="s">
        <v>14</v>
      </c>
      <c r="E1713" s="17"/>
      <c r="F1713" s="18"/>
      <c r="G1713" s="36" t="str">
        <f>IF(ISNUMBER(F1713),C1713*F1713,"")</f>
        <v/>
      </c>
    </row>
    <row r="1714" spans="1:7" ht="12" customHeight="1" outlineLevel="2" x14ac:dyDescent="0.2">
      <c r="A1714" s="14" t="s">
        <v>3387</v>
      </c>
      <c r="B1714" s="15" t="s">
        <v>3388</v>
      </c>
      <c r="C1714" s="16">
        <f>102.36/(1+B2)</f>
        <v>102.36</v>
      </c>
      <c r="D1714" s="17" t="s">
        <v>14</v>
      </c>
      <c r="E1714" s="17"/>
      <c r="F1714" s="18"/>
      <c r="G1714" s="36" t="str">
        <f>IF(ISNUMBER(F1714),C1714*F1714,"")</f>
        <v/>
      </c>
    </row>
    <row r="1715" spans="1:7" ht="12" customHeight="1" outlineLevel="2" x14ac:dyDescent="0.2">
      <c r="A1715" s="14" t="s">
        <v>3389</v>
      </c>
      <c r="B1715" s="15" t="s">
        <v>3390</v>
      </c>
      <c r="C1715" s="16">
        <f>169.95/(1+B2)</f>
        <v>169.95</v>
      </c>
      <c r="D1715" s="17" t="s">
        <v>11</v>
      </c>
      <c r="E1715" s="17"/>
      <c r="F1715" s="18"/>
      <c r="G1715" s="36" t="str">
        <f>IF(ISNUMBER(F1715),C1715*F1715,"")</f>
        <v/>
      </c>
    </row>
    <row r="1716" spans="1:7" ht="24" customHeight="1" outlineLevel="2" x14ac:dyDescent="0.2">
      <c r="A1716" s="14" t="s">
        <v>3391</v>
      </c>
      <c r="B1716" s="15" t="s">
        <v>3392</v>
      </c>
      <c r="C1716" s="16">
        <f>36.04/(1+B2)</f>
        <v>36.04</v>
      </c>
      <c r="D1716" s="17" t="s">
        <v>14</v>
      </c>
      <c r="E1716" s="17"/>
      <c r="F1716" s="18"/>
      <c r="G1716" s="36" t="str">
        <f>IF(ISNUMBER(F1716),C1716*F1716,"")</f>
        <v/>
      </c>
    </row>
    <row r="1717" spans="1:7" s="1" customFormat="1" ht="15.95" customHeight="1" outlineLevel="1" x14ac:dyDescent="0.25">
      <c r="A1717" s="11"/>
      <c r="B1717" s="12" t="s">
        <v>3393</v>
      </c>
      <c r="C1717" s="13"/>
      <c r="D1717" s="13"/>
      <c r="E1717" s="13"/>
      <c r="F1717" s="13"/>
      <c r="G1717" s="35"/>
    </row>
    <row r="1718" spans="1:7" ht="12" customHeight="1" outlineLevel="2" x14ac:dyDescent="0.2">
      <c r="A1718" s="14" t="s">
        <v>3394</v>
      </c>
      <c r="B1718" s="15" t="s">
        <v>3395</v>
      </c>
      <c r="C1718" s="16">
        <f>117.55/(1+B2)</f>
        <v>117.55</v>
      </c>
      <c r="D1718" s="17" t="s">
        <v>11</v>
      </c>
      <c r="E1718" s="17"/>
      <c r="F1718" s="18"/>
      <c r="G1718" s="36" t="str">
        <f>IF(ISNUMBER(F1718),C1718*F1718,"")</f>
        <v/>
      </c>
    </row>
    <row r="1719" spans="1:7" ht="12" customHeight="1" outlineLevel="2" x14ac:dyDescent="0.2">
      <c r="A1719" s="14" t="s">
        <v>3396</v>
      </c>
      <c r="B1719" s="15" t="s">
        <v>3397</v>
      </c>
      <c r="C1719" s="16">
        <f>117.55/(1+B2)</f>
        <v>117.55</v>
      </c>
      <c r="D1719" s="17" t="s">
        <v>11</v>
      </c>
      <c r="E1719" s="17" t="s">
        <v>11</v>
      </c>
      <c r="F1719" s="18"/>
      <c r="G1719" s="36" t="str">
        <f>IF(ISNUMBER(F1719),C1719*F1719,"")</f>
        <v/>
      </c>
    </row>
    <row r="1720" spans="1:7" ht="12" customHeight="1" outlineLevel="2" x14ac:dyDescent="0.2">
      <c r="A1720" s="14" t="s">
        <v>3398</v>
      </c>
      <c r="B1720" s="15" t="s">
        <v>3399</v>
      </c>
      <c r="C1720" s="16">
        <f>117.55/(1+B2)</f>
        <v>117.55</v>
      </c>
      <c r="D1720" s="17" t="s">
        <v>11</v>
      </c>
      <c r="E1720" s="17"/>
      <c r="F1720" s="18"/>
      <c r="G1720" s="36" t="str">
        <f>IF(ISNUMBER(F1720),C1720*F1720,"")</f>
        <v/>
      </c>
    </row>
    <row r="1721" spans="1:7" ht="12" customHeight="1" outlineLevel="2" x14ac:dyDescent="0.2">
      <c r="A1721" s="14" t="s">
        <v>3400</v>
      </c>
      <c r="B1721" s="15" t="s">
        <v>3401</v>
      </c>
      <c r="C1721" s="16">
        <f>117.55/(1+B2)</f>
        <v>117.55</v>
      </c>
      <c r="D1721" s="17" t="s">
        <v>11</v>
      </c>
      <c r="E1721" s="17" t="s">
        <v>11</v>
      </c>
      <c r="F1721" s="18"/>
      <c r="G1721" s="36" t="str">
        <f>IF(ISNUMBER(F1721),C1721*F1721,"")</f>
        <v/>
      </c>
    </row>
    <row r="1722" spans="1:7" ht="12" customHeight="1" outlineLevel="2" x14ac:dyDescent="0.2">
      <c r="A1722" s="14" t="s">
        <v>3402</v>
      </c>
      <c r="B1722" s="15" t="s">
        <v>3403</v>
      </c>
      <c r="C1722" s="16">
        <f>117.55/(1+B2)</f>
        <v>117.55</v>
      </c>
      <c r="D1722" s="17" t="s">
        <v>11</v>
      </c>
      <c r="E1722" s="17" t="s">
        <v>11</v>
      </c>
      <c r="F1722" s="18"/>
      <c r="G1722" s="36" t="str">
        <f>IF(ISNUMBER(F1722),C1722*F1722,"")</f>
        <v/>
      </c>
    </row>
    <row r="1723" spans="1:7" ht="12" customHeight="1" outlineLevel="2" x14ac:dyDescent="0.2">
      <c r="A1723" s="14" t="s">
        <v>3404</v>
      </c>
      <c r="B1723" s="15" t="s">
        <v>3405</v>
      </c>
      <c r="C1723" s="16">
        <f>121.19/(1+B2)</f>
        <v>121.19</v>
      </c>
      <c r="D1723" s="17" t="s">
        <v>11</v>
      </c>
      <c r="E1723" s="17" t="s">
        <v>11</v>
      </c>
      <c r="F1723" s="18"/>
      <c r="G1723" s="36" t="str">
        <f>IF(ISNUMBER(F1723),C1723*F1723,"")</f>
        <v/>
      </c>
    </row>
    <row r="1724" spans="1:7" ht="12" customHeight="1" outlineLevel="2" x14ac:dyDescent="0.2">
      <c r="A1724" s="14" t="s">
        <v>3406</v>
      </c>
      <c r="B1724" s="15" t="s">
        <v>3407</v>
      </c>
      <c r="C1724" s="16">
        <f>121.19/(1+B2)</f>
        <v>121.19</v>
      </c>
      <c r="D1724" s="17" t="s">
        <v>11</v>
      </c>
      <c r="E1724" s="17" t="s">
        <v>11</v>
      </c>
      <c r="F1724" s="18"/>
      <c r="G1724" s="36" t="str">
        <f>IF(ISNUMBER(F1724),C1724*F1724,"")</f>
        <v/>
      </c>
    </row>
    <row r="1725" spans="1:7" ht="12" customHeight="1" outlineLevel="2" x14ac:dyDescent="0.2">
      <c r="A1725" s="14" t="s">
        <v>3408</v>
      </c>
      <c r="B1725" s="15" t="s">
        <v>3409</v>
      </c>
      <c r="C1725" s="16">
        <f>121.19/(1+B2)</f>
        <v>121.19</v>
      </c>
      <c r="D1725" s="17" t="s">
        <v>11</v>
      </c>
      <c r="E1725" s="17" t="s">
        <v>11</v>
      </c>
      <c r="F1725" s="18"/>
      <c r="G1725" s="36" t="str">
        <f>IF(ISNUMBER(F1725),C1725*F1725,"")</f>
        <v/>
      </c>
    </row>
    <row r="1726" spans="1:7" ht="12" customHeight="1" outlineLevel="2" x14ac:dyDescent="0.2">
      <c r="A1726" s="14" t="s">
        <v>3410</v>
      </c>
      <c r="B1726" s="15" t="s">
        <v>3411</v>
      </c>
      <c r="C1726" s="16">
        <f>239.03/(1+B2)</f>
        <v>239.03</v>
      </c>
      <c r="D1726" s="17" t="s">
        <v>11</v>
      </c>
      <c r="E1726" s="17" t="s">
        <v>11</v>
      </c>
      <c r="F1726" s="18"/>
      <c r="G1726" s="36" t="str">
        <f>IF(ISNUMBER(F1726),C1726*F1726,"")</f>
        <v/>
      </c>
    </row>
    <row r="1727" spans="1:7" ht="12" customHeight="1" outlineLevel="2" x14ac:dyDescent="0.2">
      <c r="A1727" s="14" t="s">
        <v>3412</v>
      </c>
      <c r="B1727" s="15" t="s">
        <v>3413</v>
      </c>
      <c r="C1727" s="16">
        <f>239.03/(1+B2)</f>
        <v>239.03</v>
      </c>
      <c r="D1727" s="17" t="s">
        <v>11</v>
      </c>
      <c r="E1727" s="17" t="s">
        <v>11</v>
      </c>
      <c r="F1727" s="18"/>
      <c r="G1727" s="36" t="str">
        <f>IF(ISNUMBER(F1727),C1727*F1727,"")</f>
        <v/>
      </c>
    </row>
    <row r="1728" spans="1:7" ht="12" customHeight="1" outlineLevel="2" x14ac:dyDescent="0.2">
      <c r="A1728" s="14" t="s">
        <v>3414</v>
      </c>
      <c r="B1728" s="15" t="s">
        <v>3415</v>
      </c>
      <c r="C1728" s="16">
        <f>90.65/(1+B2)</f>
        <v>90.65</v>
      </c>
      <c r="D1728" s="17" t="s">
        <v>11</v>
      </c>
      <c r="E1728" s="17" t="s">
        <v>11</v>
      </c>
      <c r="F1728" s="18"/>
      <c r="G1728" s="36" t="str">
        <f>IF(ISNUMBER(F1728),C1728*F1728,"")</f>
        <v/>
      </c>
    </row>
    <row r="1729" spans="1:7" ht="12" customHeight="1" outlineLevel="2" x14ac:dyDescent="0.2">
      <c r="A1729" s="14" t="s">
        <v>3416</v>
      </c>
      <c r="B1729" s="15" t="s">
        <v>3417</v>
      </c>
      <c r="C1729" s="16">
        <f>90.65/(1+B2)</f>
        <v>90.65</v>
      </c>
      <c r="D1729" s="17" t="s">
        <v>11</v>
      </c>
      <c r="E1729" s="17" t="s">
        <v>11</v>
      </c>
      <c r="F1729" s="18"/>
      <c r="G1729" s="36" t="str">
        <f>IF(ISNUMBER(F1729),C1729*F1729,"")</f>
        <v/>
      </c>
    </row>
    <row r="1730" spans="1:7" ht="12" customHeight="1" outlineLevel="2" x14ac:dyDescent="0.2">
      <c r="A1730" s="14" t="s">
        <v>3418</v>
      </c>
      <c r="B1730" s="15" t="s">
        <v>3419</v>
      </c>
      <c r="C1730" s="16">
        <f>90.65/(1+B2)</f>
        <v>90.65</v>
      </c>
      <c r="D1730" s="17" t="s">
        <v>11</v>
      </c>
      <c r="E1730" s="17" t="s">
        <v>11</v>
      </c>
      <c r="F1730" s="18"/>
      <c r="G1730" s="36" t="str">
        <f>IF(ISNUMBER(F1730),C1730*F1730,"")</f>
        <v/>
      </c>
    </row>
    <row r="1731" spans="1:7" ht="12" customHeight="1" outlineLevel="2" x14ac:dyDescent="0.2">
      <c r="A1731" s="14" t="s">
        <v>3420</v>
      </c>
      <c r="B1731" s="15" t="s">
        <v>3421</v>
      </c>
      <c r="C1731" s="16">
        <f>90.65/(1+B2)</f>
        <v>90.65</v>
      </c>
      <c r="D1731" s="17" t="s">
        <v>11</v>
      </c>
      <c r="E1731" s="17" t="s">
        <v>11</v>
      </c>
      <c r="F1731" s="18"/>
      <c r="G1731" s="36" t="str">
        <f>IF(ISNUMBER(F1731),C1731*F1731,"")</f>
        <v/>
      </c>
    </row>
    <row r="1732" spans="1:7" ht="12" customHeight="1" outlineLevel="2" x14ac:dyDescent="0.2">
      <c r="A1732" s="14" t="s">
        <v>3422</v>
      </c>
      <c r="B1732" s="15" t="s">
        <v>3423</v>
      </c>
      <c r="C1732" s="16">
        <f>71.2/(1+B2)</f>
        <v>71.2</v>
      </c>
      <c r="D1732" s="17" t="s">
        <v>11</v>
      </c>
      <c r="E1732" s="17" t="s">
        <v>11</v>
      </c>
      <c r="F1732" s="18"/>
      <c r="G1732" s="36" t="str">
        <f>IF(ISNUMBER(F1732),C1732*F1732,"")</f>
        <v/>
      </c>
    </row>
    <row r="1733" spans="1:7" ht="12" customHeight="1" outlineLevel="2" x14ac:dyDescent="0.2">
      <c r="A1733" s="14" t="s">
        <v>3424</v>
      </c>
      <c r="B1733" s="15" t="s">
        <v>3425</v>
      </c>
      <c r="C1733" s="16">
        <f>74.09/(1+B2)</f>
        <v>74.09</v>
      </c>
      <c r="D1733" s="17" t="s">
        <v>11</v>
      </c>
      <c r="E1733" s="17" t="s">
        <v>11</v>
      </c>
      <c r="F1733" s="18"/>
      <c r="G1733" s="36" t="str">
        <f>IF(ISNUMBER(F1733),C1733*F1733,"")</f>
        <v/>
      </c>
    </row>
    <row r="1734" spans="1:7" ht="12" customHeight="1" outlineLevel="2" x14ac:dyDescent="0.2">
      <c r="A1734" s="14" t="s">
        <v>3426</v>
      </c>
      <c r="B1734" s="15" t="s">
        <v>3427</v>
      </c>
      <c r="C1734" s="16">
        <f>71.2/(1+B2)</f>
        <v>71.2</v>
      </c>
      <c r="D1734" s="17" t="s">
        <v>11</v>
      </c>
      <c r="E1734" s="17" t="s">
        <v>11</v>
      </c>
      <c r="F1734" s="18"/>
      <c r="G1734" s="36" t="str">
        <f>IF(ISNUMBER(F1734),C1734*F1734,"")</f>
        <v/>
      </c>
    </row>
    <row r="1735" spans="1:7" ht="12" customHeight="1" outlineLevel="2" x14ac:dyDescent="0.2">
      <c r="A1735" s="14" t="s">
        <v>3428</v>
      </c>
      <c r="B1735" s="15" t="s">
        <v>3429</v>
      </c>
      <c r="C1735" s="16">
        <f>71.2/(1+B2)</f>
        <v>71.2</v>
      </c>
      <c r="D1735" s="17" t="s">
        <v>11</v>
      </c>
      <c r="E1735" s="17" t="s">
        <v>14</v>
      </c>
      <c r="F1735" s="18"/>
      <c r="G1735" s="36" t="str">
        <f>IF(ISNUMBER(F1735),C1735*F1735,"")</f>
        <v/>
      </c>
    </row>
    <row r="1736" spans="1:7" ht="12" customHeight="1" outlineLevel="2" x14ac:dyDescent="0.2">
      <c r="A1736" s="14" t="s">
        <v>3430</v>
      </c>
      <c r="B1736" s="15" t="s">
        <v>3431</v>
      </c>
      <c r="C1736" s="16">
        <f>71.2/(1+B2)</f>
        <v>71.2</v>
      </c>
      <c r="D1736" s="17" t="s">
        <v>11</v>
      </c>
      <c r="E1736" s="17" t="s">
        <v>14</v>
      </c>
      <c r="F1736" s="18"/>
      <c r="G1736" s="36" t="str">
        <f>IF(ISNUMBER(F1736),C1736*F1736,"")</f>
        <v/>
      </c>
    </row>
    <row r="1737" spans="1:7" ht="12" customHeight="1" outlineLevel="2" x14ac:dyDescent="0.2">
      <c r="A1737" s="14" t="s">
        <v>3432</v>
      </c>
      <c r="B1737" s="15" t="s">
        <v>3433</v>
      </c>
      <c r="C1737" s="16">
        <f>71.2/(1+B2)</f>
        <v>71.2</v>
      </c>
      <c r="D1737" s="17" t="s">
        <v>11</v>
      </c>
      <c r="E1737" s="17" t="s">
        <v>11</v>
      </c>
      <c r="F1737" s="18"/>
      <c r="G1737" s="36" t="str">
        <f>IF(ISNUMBER(F1737),C1737*F1737,"")</f>
        <v/>
      </c>
    </row>
    <row r="1738" spans="1:7" ht="12" customHeight="1" outlineLevel="2" x14ac:dyDescent="0.2">
      <c r="A1738" s="14" t="s">
        <v>3434</v>
      </c>
      <c r="B1738" s="15" t="s">
        <v>3435</v>
      </c>
      <c r="C1738" s="16">
        <f>71.2/(1+B2)</f>
        <v>71.2</v>
      </c>
      <c r="D1738" s="17" t="s">
        <v>11</v>
      </c>
      <c r="E1738" s="17" t="s">
        <v>11</v>
      </c>
      <c r="F1738" s="18"/>
      <c r="G1738" s="36" t="str">
        <f>IF(ISNUMBER(F1738),C1738*F1738,"")</f>
        <v/>
      </c>
    </row>
    <row r="1739" spans="1:7" ht="12" customHeight="1" outlineLevel="2" x14ac:dyDescent="0.2">
      <c r="A1739" s="14" t="s">
        <v>3436</v>
      </c>
      <c r="B1739" s="15" t="s">
        <v>3437</v>
      </c>
      <c r="C1739" s="16">
        <f>119.75/(1+B2)</f>
        <v>119.75</v>
      </c>
      <c r="D1739" s="17" t="s">
        <v>11</v>
      </c>
      <c r="E1739" s="17" t="s">
        <v>14</v>
      </c>
      <c r="F1739" s="18"/>
      <c r="G1739" s="36" t="str">
        <f>IF(ISNUMBER(F1739),C1739*F1739,"")</f>
        <v/>
      </c>
    </row>
    <row r="1740" spans="1:7" ht="12" customHeight="1" outlineLevel="2" x14ac:dyDescent="0.2">
      <c r="A1740" s="14" t="s">
        <v>3438</v>
      </c>
      <c r="B1740" s="15" t="s">
        <v>3439</v>
      </c>
      <c r="C1740" s="16">
        <f>119.75/(1+B2)</f>
        <v>119.75</v>
      </c>
      <c r="D1740" s="17" t="s">
        <v>11</v>
      </c>
      <c r="E1740" s="17" t="s">
        <v>11</v>
      </c>
      <c r="F1740" s="18"/>
      <c r="G1740" s="36" t="str">
        <f>IF(ISNUMBER(F1740),C1740*F1740,"")</f>
        <v/>
      </c>
    </row>
    <row r="1741" spans="1:7" ht="12" customHeight="1" outlineLevel="2" x14ac:dyDescent="0.2">
      <c r="A1741" s="14" t="s">
        <v>3440</v>
      </c>
      <c r="B1741" s="15" t="s">
        <v>3441</v>
      </c>
      <c r="C1741" s="16">
        <f>119.75/(1+B2)</f>
        <v>119.75</v>
      </c>
      <c r="D1741" s="17" t="s">
        <v>11</v>
      </c>
      <c r="E1741" s="17" t="s">
        <v>11</v>
      </c>
      <c r="F1741" s="18"/>
      <c r="G1741" s="36" t="str">
        <f>IF(ISNUMBER(F1741),C1741*F1741,"")</f>
        <v/>
      </c>
    </row>
    <row r="1742" spans="1:7" ht="12" customHeight="1" outlineLevel="2" x14ac:dyDescent="0.2">
      <c r="A1742" s="14" t="s">
        <v>3442</v>
      </c>
      <c r="B1742" s="15" t="s">
        <v>3443</v>
      </c>
      <c r="C1742" s="16">
        <f>86.25/(1+B2)</f>
        <v>86.25</v>
      </c>
      <c r="D1742" s="17" t="s">
        <v>11</v>
      </c>
      <c r="E1742" s="17" t="s">
        <v>53</v>
      </c>
      <c r="F1742" s="18"/>
      <c r="G1742" s="36" t="str">
        <f>IF(ISNUMBER(F1742),C1742*F1742,"")</f>
        <v/>
      </c>
    </row>
    <row r="1743" spans="1:7" ht="12" customHeight="1" outlineLevel="2" x14ac:dyDescent="0.2">
      <c r="A1743" s="14" t="s">
        <v>3444</v>
      </c>
      <c r="B1743" s="15" t="s">
        <v>3445</v>
      </c>
      <c r="C1743" s="16">
        <f>81.25/(1+B2)</f>
        <v>81.25</v>
      </c>
      <c r="D1743" s="17" t="s">
        <v>11</v>
      </c>
      <c r="E1743" s="17" t="s">
        <v>53</v>
      </c>
      <c r="F1743" s="18"/>
      <c r="G1743" s="36" t="str">
        <f>IF(ISNUMBER(F1743),C1743*F1743,"")</f>
        <v/>
      </c>
    </row>
    <row r="1744" spans="1:7" ht="12" customHeight="1" outlineLevel="2" x14ac:dyDescent="0.2">
      <c r="A1744" s="14" t="s">
        <v>3446</v>
      </c>
      <c r="B1744" s="15" t="s">
        <v>3447</v>
      </c>
      <c r="C1744" s="16">
        <f>86.25/(1+B2)</f>
        <v>86.25</v>
      </c>
      <c r="D1744" s="17" t="s">
        <v>11</v>
      </c>
      <c r="E1744" s="17" t="s">
        <v>14</v>
      </c>
      <c r="F1744" s="18"/>
      <c r="G1744" s="36" t="str">
        <f>IF(ISNUMBER(F1744),C1744*F1744,"")</f>
        <v/>
      </c>
    </row>
    <row r="1745" spans="1:7" ht="12" customHeight="1" outlineLevel="2" x14ac:dyDescent="0.2">
      <c r="A1745" s="14" t="s">
        <v>3448</v>
      </c>
      <c r="B1745" s="15" t="s">
        <v>3449</v>
      </c>
      <c r="C1745" s="16">
        <f>81.25/(1+B2)</f>
        <v>81.25</v>
      </c>
      <c r="D1745" s="17" t="s">
        <v>11</v>
      </c>
      <c r="E1745" s="17" t="s">
        <v>14</v>
      </c>
      <c r="F1745" s="18"/>
      <c r="G1745" s="36" t="str">
        <f>IF(ISNUMBER(F1745),C1745*F1745,"")</f>
        <v/>
      </c>
    </row>
    <row r="1746" spans="1:7" ht="12" customHeight="1" outlineLevel="2" x14ac:dyDescent="0.2">
      <c r="A1746" s="14" t="s">
        <v>3450</v>
      </c>
      <c r="B1746" s="15" t="s">
        <v>3451</v>
      </c>
      <c r="C1746" s="16">
        <f>177.5/(1+B2)</f>
        <v>177.5</v>
      </c>
      <c r="D1746" s="17" t="s">
        <v>11</v>
      </c>
      <c r="E1746" s="17" t="s">
        <v>11</v>
      </c>
      <c r="F1746" s="18"/>
      <c r="G1746" s="36" t="str">
        <f>IF(ISNUMBER(F1746),C1746*F1746,"")</f>
        <v/>
      </c>
    </row>
    <row r="1747" spans="1:7" ht="12" customHeight="1" outlineLevel="2" x14ac:dyDescent="0.2">
      <c r="A1747" s="14" t="s">
        <v>3452</v>
      </c>
      <c r="B1747" s="15" t="s">
        <v>3453</v>
      </c>
      <c r="C1747" s="16">
        <f>171.25/(1+B2)</f>
        <v>171.25</v>
      </c>
      <c r="D1747" s="17" t="s">
        <v>11</v>
      </c>
      <c r="E1747" s="17" t="s">
        <v>11</v>
      </c>
      <c r="F1747" s="18"/>
      <c r="G1747" s="36" t="str">
        <f>IF(ISNUMBER(F1747),C1747*F1747,"")</f>
        <v/>
      </c>
    </row>
    <row r="1748" spans="1:7" ht="12" customHeight="1" outlineLevel="2" x14ac:dyDescent="0.2">
      <c r="A1748" s="14" t="s">
        <v>3454</v>
      </c>
      <c r="B1748" s="15" t="s">
        <v>3455</v>
      </c>
      <c r="C1748" s="16">
        <f>80.11/(1+B2)</f>
        <v>80.11</v>
      </c>
      <c r="D1748" s="17" t="s">
        <v>11</v>
      </c>
      <c r="E1748" s="17" t="s">
        <v>11</v>
      </c>
      <c r="F1748" s="18"/>
      <c r="G1748" s="36" t="str">
        <f>IF(ISNUMBER(F1748),C1748*F1748,"")</f>
        <v/>
      </c>
    </row>
    <row r="1749" spans="1:7" ht="12" customHeight="1" outlineLevel="2" x14ac:dyDescent="0.2">
      <c r="A1749" s="14" t="s">
        <v>3456</v>
      </c>
      <c r="B1749" s="15" t="s">
        <v>3457</v>
      </c>
      <c r="C1749" s="16">
        <f>111.5/(1+B2)</f>
        <v>111.5</v>
      </c>
      <c r="D1749" s="17" t="s">
        <v>11</v>
      </c>
      <c r="E1749" s="17"/>
      <c r="F1749" s="18"/>
      <c r="G1749" s="36" t="str">
        <f>IF(ISNUMBER(F1749),C1749*F1749,"")</f>
        <v/>
      </c>
    </row>
    <row r="1750" spans="1:7" ht="12" customHeight="1" outlineLevel="2" x14ac:dyDescent="0.2">
      <c r="A1750" s="14" t="s">
        <v>3458</v>
      </c>
      <c r="B1750" s="15" t="s">
        <v>3459</v>
      </c>
      <c r="C1750" s="16">
        <f>108.41/(1+B2)</f>
        <v>108.41</v>
      </c>
      <c r="D1750" s="17" t="s">
        <v>11</v>
      </c>
      <c r="E1750" s="17"/>
      <c r="F1750" s="18"/>
      <c r="G1750" s="36" t="str">
        <f>IF(ISNUMBER(F1750),C1750*F1750,"")</f>
        <v/>
      </c>
    </row>
    <row r="1751" spans="1:7" ht="12" customHeight="1" outlineLevel="2" x14ac:dyDescent="0.2">
      <c r="A1751" s="14" t="s">
        <v>3460</v>
      </c>
      <c r="B1751" s="15" t="s">
        <v>3461</v>
      </c>
      <c r="C1751" s="16">
        <f>175.73/(1+B2)</f>
        <v>175.73</v>
      </c>
      <c r="D1751" s="17" t="s">
        <v>11</v>
      </c>
      <c r="E1751" s="17" t="s">
        <v>11</v>
      </c>
      <c r="F1751" s="18"/>
      <c r="G1751" s="36" t="str">
        <f>IF(ISNUMBER(F1751),C1751*F1751,"")</f>
        <v/>
      </c>
    </row>
    <row r="1752" spans="1:7" ht="12" customHeight="1" outlineLevel="2" x14ac:dyDescent="0.2">
      <c r="A1752" s="14" t="s">
        <v>3462</v>
      </c>
      <c r="B1752" s="15" t="s">
        <v>3463</v>
      </c>
      <c r="C1752" s="16">
        <f>171.8/(1+B2)</f>
        <v>171.8</v>
      </c>
      <c r="D1752" s="17" t="s">
        <v>11</v>
      </c>
      <c r="E1752" s="17" t="s">
        <v>53</v>
      </c>
      <c r="F1752" s="18"/>
      <c r="G1752" s="36" t="str">
        <f>IF(ISNUMBER(F1752),C1752*F1752,"")</f>
        <v/>
      </c>
    </row>
    <row r="1753" spans="1:7" ht="12" customHeight="1" outlineLevel="2" x14ac:dyDescent="0.2">
      <c r="A1753" s="14" t="s">
        <v>3464</v>
      </c>
      <c r="B1753" s="15" t="s">
        <v>3465</v>
      </c>
      <c r="C1753" s="16">
        <f>171.8/(1+B2)</f>
        <v>171.8</v>
      </c>
      <c r="D1753" s="17" t="s">
        <v>11</v>
      </c>
      <c r="E1753" s="17" t="s">
        <v>11</v>
      </c>
      <c r="F1753" s="18"/>
      <c r="G1753" s="36" t="str">
        <f>IF(ISNUMBER(F1753),C1753*F1753,"")</f>
        <v/>
      </c>
    </row>
    <row r="1754" spans="1:7" ht="12" customHeight="1" outlineLevel="2" x14ac:dyDescent="0.2">
      <c r="A1754" s="14" t="s">
        <v>3466</v>
      </c>
      <c r="B1754" s="15" t="s">
        <v>3467</v>
      </c>
      <c r="C1754" s="16">
        <f>171.8/(1+B2)</f>
        <v>171.8</v>
      </c>
      <c r="D1754" s="17" t="s">
        <v>11</v>
      </c>
      <c r="E1754" s="17" t="s">
        <v>14</v>
      </c>
      <c r="F1754" s="18"/>
      <c r="G1754" s="36" t="str">
        <f>IF(ISNUMBER(F1754),C1754*F1754,"")</f>
        <v/>
      </c>
    </row>
    <row r="1755" spans="1:7" ht="12" customHeight="1" outlineLevel="2" x14ac:dyDescent="0.2">
      <c r="A1755" s="14" t="s">
        <v>3468</v>
      </c>
      <c r="B1755" s="15" t="s">
        <v>3469</v>
      </c>
      <c r="C1755" s="16">
        <f>175.73/(1+B2)</f>
        <v>175.73</v>
      </c>
      <c r="D1755" s="17" t="s">
        <v>11</v>
      </c>
      <c r="E1755" s="17" t="s">
        <v>14</v>
      </c>
      <c r="F1755" s="18"/>
      <c r="G1755" s="36" t="str">
        <f>IF(ISNUMBER(F1755),C1755*F1755,"")</f>
        <v/>
      </c>
    </row>
    <row r="1756" spans="1:7" ht="12" customHeight="1" outlineLevel="2" x14ac:dyDescent="0.2">
      <c r="A1756" s="14" t="s">
        <v>3470</v>
      </c>
      <c r="B1756" s="15" t="s">
        <v>3471</v>
      </c>
      <c r="C1756" s="16">
        <f>171.8/(1+B2)</f>
        <v>171.8</v>
      </c>
      <c r="D1756" s="17" t="s">
        <v>11</v>
      </c>
      <c r="E1756" s="17" t="s">
        <v>11</v>
      </c>
      <c r="F1756" s="18"/>
      <c r="G1756" s="36" t="str">
        <f>IF(ISNUMBER(F1756),C1756*F1756,"")</f>
        <v/>
      </c>
    </row>
    <row r="1757" spans="1:7" ht="12" customHeight="1" outlineLevel="2" x14ac:dyDescent="0.2">
      <c r="A1757" s="14" t="s">
        <v>3472</v>
      </c>
      <c r="B1757" s="15" t="s">
        <v>3473</v>
      </c>
      <c r="C1757" s="16">
        <f>166.98/(1+B2)</f>
        <v>166.98</v>
      </c>
      <c r="D1757" s="17" t="s">
        <v>11</v>
      </c>
      <c r="E1757" s="17" t="s">
        <v>11</v>
      </c>
      <c r="F1757" s="18"/>
      <c r="G1757" s="36" t="str">
        <f>IF(ISNUMBER(F1757),C1757*F1757,"")</f>
        <v/>
      </c>
    </row>
    <row r="1758" spans="1:7" ht="12" customHeight="1" outlineLevel="2" x14ac:dyDescent="0.2">
      <c r="A1758" s="14" t="s">
        <v>3474</v>
      </c>
      <c r="B1758" s="15" t="s">
        <v>3475</v>
      </c>
      <c r="C1758" s="16">
        <f>123.25/(1+B2)</f>
        <v>123.25</v>
      </c>
      <c r="D1758" s="17" t="s">
        <v>11</v>
      </c>
      <c r="E1758" s="17"/>
      <c r="F1758" s="18"/>
      <c r="G1758" s="36" t="str">
        <f>IF(ISNUMBER(F1758),C1758*F1758,"")</f>
        <v/>
      </c>
    </row>
    <row r="1759" spans="1:7" ht="12" customHeight="1" outlineLevel="2" x14ac:dyDescent="0.2">
      <c r="A1759" s="14" t="s">
        <v>3476</v>
      </c>
      <c r="B1759" s="15" t="s">
        <v>3477</v>
      </c>
      <c r="C1759" s="16">
        <f>79.13/(1+B2)</f>
        <v>79.13</v>
      </c>
      <c r="D1759" s="17" t="s">
        <v>11</v>
      </c>
      <c r="E1759" s="17" t="s">
        <v>11</v>
      </c>
      <c r="F1759" s="18"/>
      <c r="G1759" s="36" t="str">
        <f>IF(ISNUMBER(F1759),C1759*F1759,"")</f>
        <v/>
      </c>
    </row>
    <row r="1760" spans="1:7" ht="12" customHeight="1" outlineLevel="2" x14ac:dyDescent="0.2">
      <c r="A1760" s="14" t="s">
        <v>3478</v>
      </c>
      <c r="B1760" s="15" t="s">
        <v>3479</v>
      </c>
      <c r="C1760" s="16">
        <f>79.13/(1+B2)</f>
        <v>79.13</v>
      </c>
      <c r="D1760" s="17" t="s">
        <v>11</v>
      </c>
      <c r="E1760" s="17" t="s">
        <v>14</v>
      </c>
      <c r="F1760" s="18"/>
      <c r="G1760" s="36" t="str">
        <f>IF(ISNUMBER(F1760),C1760*F1760,"")</f>
        <v/>
      </c>
    </row>
    <row r="1761" spans="1:7" ht="12" customHeight="1" outlineLevel="2" x14ac:dyDescent="0.2">
      <c r="A1761" s="14" t="s">
        <v>3480</v>
      </c>
      <c r="B1761" s="15" t="s">
        <v>3481</v>
      </c>
      <c r="C1761" s="16">
        <f>79.13/(1+B2)</f>
        <v>79.13</v>
      </c>
      <c r="D1761" s="17" t="s">
        <v>11</v>
      </c>
      <c r="E1761" s="17" t="s">
        <v>11</v>
      </c>
      <c r="F1761" s="18"/>
      <c r="G1761" s="36" t="str">
        <f>IF(ISNUMBER(F1761),C1761*F1761,"")</f>
        <v/>
      </c>
    </row>
    <row r="1762" spans="1:7" ht="12" customHeight="1" outlineLevel="2" x14ac:dyDescent="0.2">
      <c r="A1762" s="14" t="s">
        <v>3482</v>
      </c>
      <c r="B1762" s="15" t="s">
        <v>3483</v>
      </c>
      <c r="C1762" s="16">
        <f>79.13/(1+B2)</f>
        <v>79.13</v>
      </c>
      <c r="D1762" s="17" t="s">
        <v>11</v>
      </c>
      <c r="E1762" s="17" t="s">
        <v>11</v>
      </c>
      <c r="F1762" s="18"/>
      <c r="G1762" s="36" t="str">
        <f>IF(ISNUMBER(F1762),C1762*F1762,"")</f>
        <v/>
      </c>
    </row>
    <row r="1763" spans="1:7" ht="12" customHeight="1" outlineLevel="2" x14ac:dyDescent="0.2">
      <c r="A1763" s="14" t="s">
        <v>3484</v>
      </c>
      <c r="B1763" s="15" t="s">
        <v>3485</v>
      </c>
      <c r="C1763" s="16">
        <f>79.13/(1+B2)</f>
        <v>79.13</v>
      </c>
      <c r="D1763" s="17" t="s">
        <v>11</v>
      </c>
      <c r="E1763" s="17" t="s">
        <v>11</v>
      </c>
      <c r="F1763" s="18"/>
      <c r="G1763" s="36" t="str">
        <f>IF(ISNUMBER(F1763),C1763*F1763,"")</f>
        <v/>
      </c>
    </row>
    <row r="1764" spans="1:7" ht="12" customHeight="1" outlineLevel="2" x14ac:dyDescent="0.2">
      <c r="A1764" s="14" t="s">
        <v>3486</v>
      </c>
      <c r="B1764" s="15" t="s">
        <v>3487</v>
      </c>
      <c r="C1764" s="16">
        <f>79.13/(1+B2)</f>
        <v>79.13</v>
      </c>
      <c r="D1764" s="17" t="s">
        <v>11</v>
      </c>
      <c r="E1764" s="17" t="s">
        <v>11</v>
      </c>
      <c r="F1764" s="18"/>
      <c r="G1764" s="36" t="str">
        <f>IF(ISNUMBER(F1764),C1764*F1764,"")</f>
        <v/>
      </c>
    </row>
    <row r="1765" spans="1:7" ht="24" customHeight="1" outlineLevel="2" x14ac:dyDescent="0.2">
      <c r="A1765" s="14" t="s">
        <v>3488</v>
      </c>
      <c r="B1765" s="15" t="s">
        <v>3489</v>
      </c>
      <c r="C1765" s="16">
        <f>127.78/(1+B2)</f>
        <v>127.78</v>
      </c>
      <c r="D1765" s="17" t="s">
        <v>11</v>
      </c>
      <c r="E1765" s="17" t="s">
        <v>14</v>
      </c>
      <c r="F1765" s="18"/>
      <c r="G1765" s="36" t="str">
        <f>IF(ISNUMBER(F1765),C1765*F1765,"")</f>
        <v/>
      </c>
    </row>
    <row r="1766" spans="1:7" ht="12" customHeight="1" outlineLevel="2" x14ac:dyDescent="0.2">
      <c r="A1766" s="14" t="s">
        <v>3490</v>
      </c>
      <c r="B1766" s="15" t="s">
        <v>3491</v>
      </c>
      <c r="C1766" s="16">
        <f>127.78/(1+B2)</f>
        <v>127.78</v>
      </c>
      <c r="D1766" s="17" t="s">
        <v>14</v>
      </c>
      <c r="E1766" s="17" t="s">
        <v>11</v>
      </c>
      <c r="F1766" s="18"/>
      <c r="G1766" s="36" t="str">
        <f>IF(ISNUMBER(F1766),C1766*F1766,"")</f>
        <v/>
      </c>
    </row>
    <row r="1767" spans="1:7" s="1" customFormat="1" ht="15.95" customHeight="1" outlineLevel="1" x14ac:dyDescent="0.25">
      <c r="A1767" s="11"/>
      <c r="B1767" s="12" t="s">
        <v>3492</v>
      </c>
      <c r="C1767" s="13"/>
      <c r="D1767" s="13"/>
      <c r="E1767" s="13"/>
      <c r="F1767" s="13"/>
      <c r="G1767" s="35"/>
    </row>
    <row r="1768" spans="1:7" ht="12" customHeight="1" outlineLevel="2" x14ac:dyDescent="0.2">
      <c r="A1768" s="14" t="s">
        <v>3493</v>
      </c>
      <c r="B1768" s="15" t="s">
        <v>3494</v>
      </c>
      <c r="C1768" s="16">
        <f>37.04/(1+B2)</f>
        <v>37.04</v>
      </c>
      <c r="D1768" s="17" t="s">
        <v>11</v>
      </c>
      <c r="E1768" s="17"/>
      <c r="F1768" s="18"/>
      <c r="G1768" s="36" t="str">
        <f>IF(ISNUMBER(F1768),C1768*F1768,"")</f>
        <v/>
      </c>
    </row>
    <row r="1769" spans="1:7" ht="12" customHeight="1" outlineLevel="2" x14ac:dyDescent="0.2">
      <c r="A1769" s="14" t="s">
        <v>3495</v>
      </c>
      <c r="B1769" s="15" t="s">
        <v>3496</v>
      </c>
      <c r="C1769" s="16">
        <f>73/(1+B2)</f>
        <v>73</v>
      </c>
      <c r="D1769" s="17" t="s">
        <v>11</v>
      </c>
      <c r="E1769" s="17" t="s">
        <v>14</v>
      </c>
      <c r="F1769" s="18"/>
      <c r="G1769" s="36" t="str">
        <f>IF(ISNUMBER(F1769),C1769*F1769,"")</f>
        <v/>
      </c>
    </row>
    <row r="1770" spans="1:7" ht="24" customHeight="1" outlineLevel="2" x14ac:dyDescent="0.2">
      <c r="A1770" s="14" t="s">
        <v>3497</v>
      </c>
      <c r="B1770" s="15" t="s">
        <v>3498</v>
      </c>
      <c r="C1770" s="16">
        <f>69.83/(1+B2)</f>
        <v>69.83</v>
      </c>
      <c r="D1770" s="17" t="s">
        <v>11</v>
      </c>
      <c r="E1770" s="17" t="s">
        <v>53</v>
      </c>
      <c r="F1770" s="18"/>
      <c r="G1770" s="36" t="str">
        <f>IF(ISNUMBER(F1770),C1770*F1770,"")</f>
        <v/>
      </c>
    </row>
    <row r="1771" spans="1:7" ht="12" customHeight="1" outlineLevel="2" x14ac:dyDescent="0.2">
      <c r="A1771" s="14" t="s">
        <v>3499</v>
      </c>
      <c r="B1771" s="15" t="s">
        <v>3500</v>
      </c>
      <c r="C1771" s="16">
        <f>33.54/(1+B2)</f>
        <v>33.54</v>
      </c>
      <c r="D1771" s="17" t="s">
        <v>14</v>
      </c>
      <c r="E1771" s="17"/>
      <c r="F1771" s="18"/>
      <c r="G1771" s="36" t="str">
        <f>IF(ISNUMBER(F1771),C1771*F1771,"")</f>
        <v/>
      </c>
    </row>
    <row r="1772" spans="1:7" ht="12" customHeight="1" outlineLevel="2" x14ac:dyDescent="0.2">
      <c r="A1772" s="14" t="s">
        <v>3501</v>
      </c>
      <c r="B1772" s="15" t="s">
        <v>3502</v>
      </c>
      <c r="C1772" s="16">
        <f>33.54/(1+B2)</f>
        <v>33.54</v>
      </c>
      <c r="D1772" s="17" t="s">
        <v>11</v>
      </c>
      <c r="E1772" s="17" t="s">
        <v>53</v>
      </c>
      <c r="F1772" s="18"/>
      <c r="G1772" s="36" t="str">
        <f>IF(ISNUMBER(F1772),C1772*F1772,"")</f>
        <v/>
      </c>
    </row>
    <row r="1773" spans="1:7" ht="12" customHeight="1" outlineLevel="2" x14ac:dyDescent="0.2">
      <c r="A1773" s="14" t="s">
        <v>3503</v>
      </c>
      <c r="B1773" s="15" t="s">
        <v>3504</v>
      </c>
      <c r="C1773" s="16">
        <f>33.54/(1+B2)</f>
        <v>33.54</v>
      </c>
      <c r="D1773" s="17" t="s">
        <v>11</v>
      </c>
      <c r="E1773" s="17" t="s">
        <v>14</v>
      </c>
      <c r="F1773" s="18"/>
      <c r="G1773" s="36" t="str">
        <f>IF(ISNUMBER(F1773),C1773*F1773,"")</f>
        <v/>
      </c>
    </row>
    <row r="1774" spans="1:7" ht="12" customHeight="1" outlineLevel="2" x14ac:dyDescent="0.2">
      <c r="A1774" s="14" t="s">
        <v>3505</v>
      </c>
      <c r="B1774" s="15" t="s">
        <v>3506</v>
      </c>
      <c r="C1774" s="16">
        <f>17.12/(1+B2)</f>
        <v>17.12</v>
      </c>
      <c r="D1774" s="17" t="s">
        <v>11</v>
      </c>
      <c r="E1774" s="17" t="s">
        <v>53</v>
      </c>
      <c r="F1774" s="18"/>
      <c r="G1774" s="36" t="str">
        <f>IF(ISNUMBER(F1774),C1774*F1774,"")</f>
        <v/>
      </c>
    </row>
    <row r="1775" spans="1:7" ht="24" customHeight="1" outlineLevel="2" x14ac:dyDescent="0.2">
      <c r="A1775" s="14" t="s">
        <v>3507</v>
      </c>
      <c r="B1775" s="15" t="s">
        <v>3508</v>
      </c>
      <c r="C1775" s="16">
        <f>56.28/(1+B2)</f>
        <v>56.28</v>
      </c>
      <c r="D1775" s="17" t="s">
        <v>11</v>
      </c>
      <c r="E1775" s="17"/>
      <c r="F1775" s="18"/>
      <c r="G1775" s="36" t="str">
        <f>IF(ISNUMBER(F1775),C1775*F1775,"")</f>
        <v/>
      </c>
    </row>
    <row r="1776" spans="1:7" ht="12" customHeight="1" outlineLevel="2" x14ac:dyDescent="0.2">
      <c r="A1776" s="14" t="s">
        <v>3509</v>
      </c>
      <c r="B1776" s="15" t="s">
        <v>3510</v>
      </c>
      <c r="C1776" s="16">
        <f>43.49/(1+B2)</f>
        <v>43.49</v>
      </c>
      <c r="D1776" s="17" t="s">
        <v>14</v>
      </c>
      <c r="E1776" s="17"/>
      <c r="F1776" s="18"/>
      <c r="G1776" s="36" t="str">
        <f>IF(ISNUMBER(F1776),C1776*F1776,"")</f>
        <v/>
      </c>
    </row>
    <row r="1777" spans="1:7" ht="24" customHeight="1" outlineLevel="2" x14ac:dyDescent="0.2">
      <c r="A1777" s="14" t="s">
        <v>3511</v>
      </c>
      <c r="B1777" s="15" t="s">
        <v>3512</v>
      </c>
      <c r="C1777" s="16">
        <f>118.13/(1+B2)</f>
        <v>118.13</v>
      </c>
      <c r="D1777" s="17" t="s">
        <v>11</v>
      </c>
      <c r="E1777" s="17"/>
      <c r="F1777" s="18"/>
      <c r="G1777" s="36" t="str">
        <f>IF(ISNUMBER(F1777),C1777*F1777,"")</f>
        <v/>
      </c>
    </row>
    <row r="1778" spans="1:7" ht="24" customHeight="1" outlineLevel="2" x14ac:dyDescent="0.2">
      <c r="A1778" s="14" t="s">
        <v>3513</v>
      </c>
      <c r="B1778" s="15" t="s">
        <v>3514</v>
      </c>
      <c r="C1778" s="16">
        <f>118.13/(1+B2)</f>
        <v>118.13</v>
      </c>
      <c r="D1778" s="17" t="s">
        <v>11</v>
      </c>
      <c r="E1778" s="17"/>
      <c r="F1778" s="18"/>
      <c r="G1778" s="36" t="str">
        <f>IF(ISNUMBER(F1778),C1778*F1778,"")</f>
        <v/>
      </c>
    </row>
    <row r="1779" spans="1:7" ht="12" customHeight="1" outlineLevel="2" x14ac:dyDescent="0.2">
      <c r="A1779" s="14" t="s">
        <v>3515</v>
      </c>
      <c r="B1779" s="15" t="s">
        <v>3516</v>
      </c>
      <c r="C1779" s="16">
        <f>83.53/(1+B2)</f>
        <v>83.53</v>
      </c>
      <c r="D1779" s="17" t="s">
        <v>11</v>
      </c>
      <c r="E1779" s="17"/>
      <c r="F1779" s="18"/>
      <c r="G1779" s="36" t="str">
        <f>IF(ISNUMBER(F1779),C1779*F1779,"")</f>
        <v/>
      </c>
    </row>
    <row r="1780" spans="1:7" ht="24" customHeight="1" outlineLevel="2" x14ac:dyDescent="0.2">
      <c r="A1780" s="14" t="s">
        <v>3517</v>
      </c>
      <c r="B1780" s="15" t="s">
        <v>3518</v>
      </c>
      <c r="C1780" s="16">
        <f>83.53/(1+B2)</f>
        <v>83.53</v>
      </c>
      <c r="D1780" s="17" t="s">
        <v>11</v>
      </c>
      <c r="E1780" s="17"/>
      <c r="F1780" s="18"/>
      <c r="G1780" s="36" t="str">
        <f>IF(ISNUMBER(F1780),C1780*F1780,"")</f>
        <v/>
      </c>
    </row>
    <row r="1781" spans="1:7" ht="24" customHeight="1" outlineLevel="2" x14ac:dyDescent="0.2">
      <c r="A1781" s="14" t="s">
        <v>3519</v>
      </c>
      <c r="B1781" s="15" t="s">
        <v>3520</v>
      </c>
      <c r="C1781" s="16">
        <f>83.53/(1+B2)</f>
        <v>83.53</v>
      </c>
      <c r="D1781" s="17" t="s">
        <v>11</v>
      </c>
      <c r="E1781" s="17"/>
      <c r="F1781" s="18"/>
      <c r="G1781" s="36" t="str">
        <f>IF(ISNUMBER(F1781),C1781*F1781,"")</f>
        <v/>
      </c>
    </row>
    <row r="1782" spans="1:7" ht="24" customHeight="1" outlineLevel="2" x14ac:dyDescent="0.2">
      <c r="A1782" s="14" t="s">
        <v>3521</v>
      </c>
      <c r="B1782" s="15" t="s">
        <v>3522</v>
      </c>
      <c r="C1782" s="16">
        <f>83.53/(1+B2)</f>
        <v>83.53</v>
      </c>
      <c r="D1782" s="17" t="s">
        <v>11</v>
      </c>
      <c r="E1782" s="17" t="s">
        <v>11</v>
      </c>
      <c r="F1782" s="18"/>
      <c r="G1782" s="36" t="str">
        <f>IF(ISNUMBER(F1782),C1782*F1782,"")</f>
        <v/>
      </c>
    </row>
    <row r="1783" spans="1:7" ht="12" customHeight="1" outlineLevel="2" x14ac:dyDescent="0.2">
      <c r="A1783" s="14" t="s">
        <v>3523</v>
      </c>
      <c r="B1783" s="15" t="s">
        <v>3524</v>
      </c>
      <c r="C1783" s="16">
        <f>135/(1+B2)</f>
        <v>135</v>
      </c>
      <c r="D1783" s="17" t="s">
        <v>11</v>
      </c>
      <c r="E1783" s="17"/>
      <c r="F1783" s="18"/>
      <c r="G1783" s="36" t="str">
        <f>IF(ISNUMBER(F1783),C1783*F1783,"")</f>
        <v/>
      </c>
    </row>
    <row r="1784" spans="1:7" ht="12" customHeight="1" outlineLevel="2" x14ac:dyDescent="0.2">
      <c r="A1784" s="14" t="s">
        <v>3525</v>
      </c>
      <c r="B1784" s="15" t="s">
        <v>3526</v>
      </c>
      <c r="C1784" s="16">
        <f>73.99/(1+B2)</f>
        <v>73.989999999999995</v>
      </c>
      <c r="D1784" s="17" t="s">
        <v>11</v>
      </c>
      <c r="E1784" s="17" t="s">
        <v>11</v>
      </c>
      <c r="F1784" s="18"/>
      <c r="G1784" s="36" t="str">
        <f>IF(ISNUMBER(F1784),C1784*F1784,"")</f>
        <v/>
      </c>
    </row>
    <row r="1785" spans="1:7" ht="12" customHeight="1" outlineLevel="2" x14ac:dyDescent="0.2">
      <c r="A1785" s="14" t="s">
        <v>3527</v>
      </c>
      <c r="B1785" s="15" t="s">
        <v>3528</v>
      </c>
      <c r="C1785" s="16">
        <f>138.3/(1+B2)</f>
        <v>138.30000000000001</v>
      </c>
      <c r="D1785" s="17" t="s">
        <v>11</v>
      </c>
      <c r="E1785" s="17"/>
      <c r="F1785" s="18"/>
      <c r="G1785" s="36" t="str">
        <f>IF(ISNUMBER(F1785),C1785*F1785,"")</f>
        <v/>
      </c>
    </row>
    <row r="1786" spans="1:7" ht="12" customHeight="1" outlineLevel="2" x14ac:dyDescent="0.2">
      <c r="A1786" s="14" t="s">
        <v>3529</v>
      </c>
      <c r="B1786" s="15" t="s">
        <v>3530</v>
      </c>
      <c r="C1786" s="16">
        <f>106.95/(1+B2)</f>
        <v>106.95</v>
      </c>
      <c r="D1786" s="17" t="s">
        <v>11</v>
      </c>
      <c r="E1786" s="17"/>
      <c r="F1786" s="18"/>
      <c r="G1786" s="36" t="str">
        <f>IF(ISNUMBER(F1786),C1786*F1786,"")</f>
        <v/>
      </c>
    </row>
    <row r="1787" spans="1:7" ht="12" customHeight="1" outlineLevel="2" x14ac:dyDescent="0.2">
      <c r="A1787" s="14" t="s">
        <v>3531</v>
      </c>
      <c r="B1787" s="15" t="s">
        <v>3532</v>
      </c>
      <c r="C1787" s="16">
        <f>87.25/(1+B2)</f>
        <v>87.25</v>
      </c>
      <c r="D1787" s="17" t="s">
        <v>11</v>
      </c>
      <c r="E1787" s="17" t="s">
        <v>14</v>
      </c>
      <c r="F1787" s="18"/>
      <c r="G1787" s="36" t="str">
        <f>IF(ISNUMBER(F1787),C1787*F1787,"")</f>
        <v/>
      </c>
    </row>
    <row r="1788" spans="1:7" ht="12" customHeight="1" outlineLevel="2" x14ac:dyDescent="0.2">
      <c r="A1788" s="14" t="s">
        <v>3533</v>
      </c>
      <c r="B1788" s="15" t="s">
        <v>3534</v>
      </c>
      <c r="C1788" s="16">
        <f>78.75/(1+B2)</f>
        <v>78.75</v>
      </c>
      <c r="D1788" s="17" t="s">
        <v>11</v>
      </c>
      <c r="E1788" s="17" t="s">
        <v>14</v>
      </c>
      <c r="F1788" s="18"/>
      <c r="G1788" s="36" t="str">
        <f>IF(ISNUMBER(F1788),C1788*F1788,"")</f>
        <v/>
      </c>
    </row>
    <row r="1789" spans="1:7" ht="12" customHeight="1" outlineLevel="2" x14ac:dyDescent="0.2">
      <c r="A1789" s="14" t="s">
        <v>3535</v>
      </c>
      <c r="B1789" s="15" t="s">
        <v>3536</v>
      </c>
      <c r="C1789" s="16">
        <f>110.34/(1+B2)</f>
        <v>110.34</v>
      </c>
      <c r="D1789" s="17" t="s">
        <v>11</v>
      </c>
      <c r="E1789" s="17" t="s">
        <v>11</v>
      </c>
      <c r="F1789" s="18"/>
      <c r="G1789" s="36" t="str">
        <f>IF(ISNUMBER(F1789),C1789*F1789,"")</f>
        <v/>
      </c>
    </row>
    <row r="1790" spans="1:7" ht="12" customHeight="1" outlineLevel="2" x14ac:dyDescent="0.2">
      <c r="A1790" s="14" t="s">
        <v>3537</v>
      </c>
      <c r="B1790" s="15" t="s">
        <v>3538</v>
      </c>
      <c r="C1790" s="16">
        <f>130.69/(1+B2)</f>
        <v>130.69</v>
      </c>
      <c r="D1790" s="17" t="s">
        <v>11</v>
      </c>
      <c r="E1790" s="17"/>
      <c r="F1790" s="18"/>
      <c r="G1790" s="36" t="str">
        <f>IF(ISNUMBER(F1790),C1790*F1790,"")</f>
        <v/>
      </c>
    </row>
    <row r="1791" spans="1:7" ht="12" customHeight="1" outlineLevel="2" x14ac:dyDescent="0.2">
      <c r="A1791" s="14" t="s">
        <v>3539</v>
      </c>
      <c r="B1791" s="15" t="s">
        <v>3540</v>
      </c>
      <c r="C1791" s="16">
        <f>155.79/(1+B2)</f>
        <v>155.79</v>
      </c>
      <c r="D1791" s="17" t="s">
        <v>11</v>
      </c>
      <c r="E1791" s="17" t="s">
        <v>11</v>
      </c>
      <c r="F1791" s="18"/>
      <c r="G1791" s="36" t="str">
        <f>IF(ISNUMBER(F1791),C1791*F1791,"")</f>
        <v/>
      </c>
    </row>
    <row r="1792" spans="1:7" ht="12" customHeight="1" outlineLevel="2" x14ac:dyDescent="0.2">
      <c r="A1792" s="14" t="s">
        <v>3541</v>
      </c>
      <c r="B1792" s="15" t="s">
        <v>3542</v>
      </c>
      <c r="C1792" s="16">
        <f>155.79/(1+B2)</f>
        <v>155.79</v>
      </c>
      <c r="D1792" s="17" t="s">
        <v>11</v>
      </c>
      <c r="E1792" s="17" t="s">
        <v>11</v>
      </c>
      <c r="F1792" s="18"/>
      <c r="G1792" s="36" t="str">
        <f>IF(ISNUMBER(F1792),C1792*F1792,"")</f>
        <v/>
      </c>
    </row>
    <row r="1793" spans="1:7" ht="12" customHeight="1" outlineLevel="2" x14ac:dyDescent="0.2">
      <c r="A1793" s="14" t="s">
        <v>3543</v>
      </c>
      <c r="B1793" s="15" t="s">
        <v>3544</v>
      </c>
      <c r="C1793" s="16">
        <f>155.79/(1+B2)</f>
        <v>155.79</v>
      </c>
      <c r="D1793" s="17" t="s">
        <v>11</v>
      </c>
      <c r="E1793" s="17" t="s">
        <v>11</v>
      </c>
      <c r="F1793" s="18"/>
      <c r="G1793" s="36" t="str">
        <f>IF(ISNUMBER(F1793),C1793*F1793,"")</f>
        <v/>
      </c>
    </row>
    <row r="1794" spans="1:7" ht="12" customHeight="1" outlineLevel="2" x14ac:dyDescent="0.2">
      <c r="A1794" s="14" t="s">
        <v>3545</v>
      </c>
      <c r="B1794" s="15" t="s">
        <v>3546</v>
      </c>
      <c r="C1794" s="16">
        <f>154.08/(1+B2)</f>
        <v>154.08000000000001</v>
      </c>
      <c r="D1794" s="17" t="s">
        <v>11</v>
      </c>
      <c r="E1794" s="17"/>
      <c r="F1794" s="18"/>
      <c r="G1794" s="36" t="str">
        <f>IF(ISNUMBER(F1794),C1794*F1794,"")</f>
        <v/>
      </c>
    </row>
    <row r="1795" spans="1:7" ht="24" customHeight="1" outlineLevel="2" x14ac:dyDescent="0.2">
      <c r="A1795" s="14" t="s">
        <v>3547</v>
      </c>
      <c r="B1795" s="15" t="s">
        <v>3548</v>
      </c>
      <c r="C1795" s="16">
        <f>154.08/(1+B2)</f>
        <v>154.08000000000001</v>
      </c>
      <c r="D1795" s="17" t="s">
        <v>11</v>
      </c>
      <c r="E1795" s="17"/>
      <c r="F1795" s="18"/>
      <c r="G1795" s="36" t="str">
        <f>IF(ISNUMBER(F1795),C1795*F1795,"")</f>
        <v/>
      </c>
    </row>
    <row r="1796" spans="1:7" ht="12" customHeight="1" outlineLevel="2" x14ac:dyDescent="0.2">
      <c r="A1796" s="14" t="s">
        <v>3549</v>
      </c>
      <c r="B1796" s="15" t="s">
        <v>3550</v>
      </c>
      <c r="C1796" s="16">
        <f>154.08/(1+B2)</f>
        <v>154.08000000000001</v>
      </c>
      <c r="D1796" s="17" t="s">
        <v>11</v>
      </c>
      <c r="E1796" s="17"/>
      <c r="F1796" s="18"/>
      <c r="G1796" s="36" t="str">
        <f>IF(ISNUMBER(F1796),C1796*F1796,"")</f>
        <v/>
      </c>
    </row>
    <row r="1797" spans="1:7" ht="12" customHeight="1" outlineLevel="2" x14ac:dyDescent="0.2">
      <c r="A1797" s="14" t="s">
        <v>3551</v>
      </c>
      <c r="B1797" s="15" t="s">
        <v>3552</v>
      </c>
      <c r="C1797" s="16">
        <f>100.66/(1+B2)</f>
        <v>100.66</v>
      </c>
      <c r="D1797" s="17" t="s">
        <v>11</v>
      </c>
      <c r="E1797" s="17" t="s">
        <v>11</v>
      </c>
      <c r="F1797" s="18"/>
      <c r="G1797" s="36" t="str">
        <f>IF(ISNUMBER(F1797),C1797*F1797,"")</f>
        <v/>
      </c>
    </row>
    <row r="1798" spans="1:7" ht="12" customHeight="1" outlineLevel="2" x14ac:dyDescent="0.2">
      <c r="A1798" s="14" t="s">
        <v>3553</v>
      </c>
      <c r="B1798" s="15" t="s">
        <v>3554</v>
      </c>
      <c r="C1798" s="16">
        <f>82.16/(1+B2)</f>
        <v>82.16</v>
      </c>
      <c r="D1798" s="17" t="s">
        <v>11</v>
      </c>
      <c r="E1798" s="17"/>
      <c r="F1798" s="18"/>
      <c r="G1798" s="36" t="str">
        <f>IF(ISNUMBER(F1798),C1798*F1798,"")</f>
        <v/>
      </c>
    </row>
    <row r="1799" spans="1:7" ht="12" customHeight="1" outlineLevel="2" x14ac:dyDescent="0.2">
      <c r="A1799" s="14" t="s">
        <v>3555</v>
      </c>
      <c r="B1799" s="15" t="s">
        <v>3556</v>
      </c>
      <c r="C1799" s="16">
        <f>75.91/(1+B2)</f>
        <v>75.91</v>
      </c>
      <c r="D1799" s="17" t="s">
        <v>11</v>
      </c>
      <c r="E1799" s="17" t="s">
        <v>11</v>
      </c>
      <c r="F1799" s="18"/>
      <c r="G1799" s="36" t="str">
        <f>IF(ISNUMBER(F1799),C1799*F1799,"")</f>
        <v/>
      </c>
    </row>
    <row r="1800" spans="1:7" ht="12" customHeight="1" outlineLevel="2" x14ac:dyDescent="0.2">
      <c r="A1800" s="14" t="s">
        <v>3557</v>
      </c>
      <c r="B1800" s="15" t="s">
        <v>3558</v>
      </c>
      <c r="C1800" s="16">
        <f>113.46/(1+B2)</f>
        <v>113.46</v>
      </c>
      <c r="D1800" s="17" t="s">
        <v>11</v>
      </c>
      <c r="E1800" s="17"/>
      <c r="F1800" s="18"/>
      <c r="G1800" s="36" t="str">
        <f>IF(ISNUMBER(F1800),C1800*F1800,"")</f>
        <v/>
      </c>
    </row>
    <row r="1801" spans="1:7" ht="12" customHeight="1" outlineLevel="2" x14ac:dyDescent="0.2">
      <c r="A1801" s="14" t="s">
        <v>3559</v>
      </c>
      <c r="B1801" s="15" t="s">
        <v>3560</v>
      </c>
      <c r="C1801" s="16">
        <f>99.79/(1+B2)</f>
        <v>99.79</v>
      </c>
      <c r="D1801" s="17" t="s">
        <v>11</v>
      </c>
      <c r="E1801" s="17" t="s">
        <v>14</v>
      </c>
      <c r="F1801" s="18"/>
      <c r="G1801" s="36" t="str">
        <f>IF(ISNUMBER(F1801),C1801*F1801,"")</f>
        <v/>
      </c>
    </row>
    <row r="1802" spans="1:7" ht="12" customHeight="1" outlineLevel="2" x14ac:dyDescent="0.2">
      <c r="A1802" s="14" t="s">
        <v>3561</v>
      </c>
      <c r="B1802" s="15" t="s">
        <v>3562</v>
      </c>
      <c r="C1802" s="16">
        <f>94.08/(1+B2)</f>
        <v>94.08</v>
      </c>
      <c r="D1802" s="17" t="s">
        <v>11</v>
      </c>
      <c r="E1802" s="17" t="s">
        <v>14</v>
      </c>
      <c r="F1802" s="18"/>
      <c r="G1802" s="36" t="str">
        <f>IF(ISNUMBER(F1802),C1802*F1802,"")</f>
        <v/>
      </c>
    </row>
    <row r="1803" spans="1:7" ht="12" customHeight="1" outlineLevel="2" x14ac:dyDescent="0.2">
      <c r="A1803" s="14" t="s">
        <v>3563</v>
      </c>
      <c r="B1803" s="15" t="s">
        <v>3564</v>
      </c>
      <c r="C1803" s="16">
        <f>109.8/(1+B2)</f>
        <v>109.8</v>
      </c>
      <c r="D1803" s="17" t="s">
        <v>11</v>
      </c>
      <c r="E1803" s="17" t="s">
        <v>106</v>
      </c>
      <c r="F1803" s="18"/>
      <c r="G1803" s="36" t="str">
        <f>IF(ISNUMBER(F1803),C1803*F1803,"")</f>
        <v/>
      </c>
    </row>
    <row r="1804" spans="1:7" ht="12" customHeight="1" outlineLevel="2" x14ac:dyDescent="0.2">
      <c r="A1804" s="14" t="s">
        <v>3565</v>
      </c>
      <c r="B1804" s="15" t="s">
        <v>3566</v>
      </c>
      <c r="C1804" s="16">
        <f>97.99/(1+B2)</f>
        <v>97.99</v>
      </c>
      <c r="D1804" s="17" t="s">
        <v>11</v>
      </c>
      <c r="E1804" s="17" t="s">
        <v>11</v>
      </c>
      <c r="F1804" s="18"/>
      <c r="G1804" s="36" t="str">
        <f>IF(ISNUMBER(F1804),C1804*F1804,"")</f>
        <v/>
      </c>
    </row>
    <row r="1805" spans="1:7" ht="12" customHeight="1" outlineLevel="2" x14ac:dyDescent="0.2">
      <c r="A1805" s="14" t="s">
        <v>3567</v>
      </c>
      <c r="B1805" s="15" t="s">
        <v>3568</v>
      </c>
      <c r="C1805" s="16">
        <f>143.74/(1+B2)</f>
        <v>143.74</v>
      </c>
      <c r="D1805" s="17" t="s">
        <v>11</v>
      </c>
      <c r="E1805" s="17"/>
      <c r="F1805" s="18"/>
      <c r="G1805" s="36" t="str">
        <f>IF(ISNUMBER(F1805),C1805*F1805,"")</f>
        <v/>
      </c>
    </row>
    <row r="1806" spans="1:7" ht="12" customHeight="1" outlineLevel="2" x14ac:dyDescent="0.2">
      <c r="A1806" s="14" t="s">
        <v>3569</v>
      </c>
      <c r="B1806" s="15" t="s">
        <v>3570</v>
      </c>
      <c r="C1806" s="16">
        <f>143.74/(1+B2)</f>
        <v>143.74</v>
      </c>
      <c r="D1806" s="17" t="s">
        <v>11</v>
      </c>
      <c r="E1806" s="17" t="s">
        <v>11</v>
      </c>
      <c r="F1806" s="18"/>
      <c r="G1806" s="36" t="str">
        <f>IF(ISNUMBER(F1806),C1806*F1806,"")</f>
        <v/>
      </c>
    </row>
    <row r="1807" spans="1:7" ht="12" customHeight="1" outlineLevel="2" x14ac:dyDescent="0.2">
      <c r="A1807" s="14" t="s">
        <v>3571</v>
      </c>
      <c r="B1807" s="15" t="s">
        <v>3572</v>
      </c>
      <c r="C1807" s="16">
        <f>211.08/(1+B2)</f>
        <v>211.08</v>
      </c>
      <c r="D1807" s="17" t="s">
        <v>11</v>
      </c>
      <c r="E1807" s="17" t="s">
        <v>14</v>
      </c>
      <c r="F1807" s="18"/>
      <c r="G1807" s="36" t="str">
        <f>IF(ISNUMBER(F1807),C1807*F1807,"")</f>
        <v/>
      </c>
    </row>
    <row r="1808" spans="1:7" ht="12" customHeight="1" outlineLevel="2" x14ac:dyDescent="0.2">
      <c r="A1808" s="14" t="s">
        <v>3573</v>
      </c>
      <c r="B1808" s="15" t="s">
        <v>3574</v>
      </c>
      <c r="C1808" s="16">
        <f>203.76/(1+B2)</f>
        <v>203.76</v>
      </c>
      <c r="D1808" s="17" t="s">
        <v>11</v>
      </c>
      <c r="E1808" s="17" t="s">
        <v>14</v>
      </c>
      <c r="F1808" s="18"/>
      <c r="G1808" s="36" t="str">
        <f>IF(ISNUMBER(F1808),C1808*F1808,"")</f>
        <v/>
      </c>
    </row>
    <row r="1809" spans="1:7" ht="12" customHeight="1" outlineLevel="2" x14ac:dyDescent="0.2">
      <c r="A1809" s="14" t="s">
        <v>3575</v>
      </c>
      <c r="B1809" s="15" t="s">
        <v>3576</v>
      </c>
      <c r="C1809" s="16">
        <f>181.44/(1+B2)</f>
        <v>181.44</v>
      </c>
      <c r="D1809" s="17" t="s">
        <v>11</v>
      </c>
      <c r="E1809" s="17"/>
      <c r="F1809" s="18"/>
      <c r="G1809" s="36" t="str">
        <f>IF(ISNUMBER(F1809),C1809*F1809,"")</f>
        <v/>
      </c>
    </row>
    <row r="1810" spans="1:7" ht="12" customHeight="1" outlineLevel="2" x14ac:dyDescent="0.2">
      <c r="A1810" s="14" t="s">
        <v>3577</v>
      </c>
      <c r="B1810" s="15" t="s">
        <v>3578</v>
      </c>
      <c r="C1810" s="16">
        <f>158.26/(1+B2)</f>
        <v>158.26</v>
      </c>
      <c r="D1810" s="17" t="s">
        <v>11</v>
      </c>
      <c r="E1810" s="17"/>
      <c r="F1810" s="18"/>
      <c r="G1810" s="36" t="str">
        <f>IF(ISNUMBER(F1810),C1810*F1810,"")</f>
        <v/>
      </c>
    </row>
    <row r="1811" spans="1:7" ht="12" customHeight="1" outlineLevel="2" x14ac:dyDescent="0.2">
      <c r="A1811" s="14" t="s">
        <v>3579</v>
      </c>
      <c r="B1811" s="15" t="s">
        <v>3580</v>
      </c>
      <c r="C1811" s="16">
        <f>158.26/(1+B2)</f>
        <v>158.26</v>
      </c>
      <c r="D1811" s="17" t="s">
        <v>11</v>
      </c>
      <c r="E1811" s="17"/>
      <c r="F1811" s="18"/>
      <c r="G1811" s="36" t="str">
        <f>IF(ISNUMBER(F1811),C1811*F1811,"")</f>
        <v/>
      </c>
    </row>
    <row r="1812" spans="1:7" ht="12" customHeight="1" outlineLevel="2" x14ac:dyDescent="0.2">
      <c r="A1812" s="14" t="s">
        <v>3581</v>
      </c>
      <c r="B1812" s="15" t="s">
        <v>3582</v>
      </c>
      <c r="C1812" s="16">
        <f>158.26/(1+B2)</f>
        <v>158.26</v>
      </c>
      <c r="D1812" s="17" t="s">
        <v>11</v>
      </c>
      <c r="E1812" s="17"/>
      <c r="F1812" s="18"/>
      <c r="G1812" s="36" t="str">
        <f>IF(ISNUMBER(F1812),C1812*F1812,"")</f>
        <v/>
      </c>
    </row>
    <row r="1813" spans="1:7" ht="12" customHeight="1" outlineLevel="2" x14ac:dyDescent="0.2">
      <c r="A1813" s="14" t="s">
        <v>3583</v>
      </c>
      <c r="B1813" s="15" t="s">
        <v>3584</v>
      </c>
      <c r="C1813" s="16">
        <f>94.64/(1+B2)</f>
        <v>94.64</v>
      </c>
      <c r="D1813" s="17" t="s">
        <v>11</v>
      </c>
      <c r="E1813" s="17"/>
      <c r="F1813" s="18"/>
      <c r="G1813" s="36" t="str">
        <f>IF(ISNUMBER(F1813),C1813*F1813,"")</f>
        <v/>
      </c>
    </row>
    <row r="1814" spans="1:7" ht="12" customHeight="1" outlineLevel="2" x14ac:dyDescent="0.2">
      <c r="A1814" s="14" t="s">
        <v>3585</v>
      </c>
      <c r="B1814" s="15" t="s">
        <v>3586</v>
      </c>
      <c r="C1814" s="16">
        <f>75.06/(1+B2)</f>
        <v>75.06</v>
      </c>
      <c r="D1814" s="17" t="s">
        <v>11</v>
      </c>
      <c r="E1814" s="17" t="s">
        <v>11</v>
      </c>
      <c r="F1814" s="18"/>
      <c r="G1814" s="36" t="str">
        <f>IF(ISNUMBER(F1814),C1814*F1814,"")</f>
        <v/>
      </c>
    </row>
    <row r="1815" spans="1:7" ht="12" customHeight="1" outlineLevel="2" x14ac:dyDescent="0.2">
      <c r="A1815" s="14" t="s">
        <v>3587</v>
      </c>
      <c r="B1815" s="15" t="s">
        <v>3588</v>
      </c>
      <c r="C1815" s="16">
        <f>90.78/(1+B2)</f>
        <v>90.78</v>
      </c>
      <c r="D1815" s="17" t="s">
        <v>11</v>
      </c>
      <c r="E1815" s="17" t="s">
        <v>11</v>
      </c>
      <c r="F1815" s="18"/>
      <c r="G1815" s="36" t="str">
        <f>IF(ISNUMBER(F1815),C1815*F1815,"")</f>
        <v/>
      </c>
    </row>
    <row r="1816" spans="1:7" ht="12" customHeight="1" outlineLevel="2" x14ac:dyDescent="0.2">
      <c r="A1816" s="14" t="s">
        <v>3589</v>
      </c>
      <c r="B1816" s="15" t="s">
        <v>3590</v>
      </c>
      <c r="C1816" s="16">
        <f>79.85/(1+B2)</f>
        <v>79.849999999999994</v>
      </c>
      <c r="D1816" s="17" t="s">
        <v>14</v>
      </c>
      <c r="E1816" s="17" t="s">
        <v>53</v>
      </c>
      <c r="F1816" s="18"/>
      <c r="G1816" s="36" t="str">
        <f>IF(ISNUMBER(F1816),C1816*F1816,"")</f>
        <v/>
      </c>
    </row>
    <row r="1817" spans="1:7" ht="12" customHeight="1" outlineLevel="2" x14ac:dyDescent="0.2">
      <c r="A1817" s="14" t="s">
        <v>3591</v>
      </c>
      <c r="B1817" s="15" t="s">
        <v>3592</v>
      </c>
      <c r="C1817" s="16">
        <f>76.88/(1+B2)</f>
        <v>76.88</v>
      </c>
      <c r="D1817" s="17" t="s">
        <v>11</v>
      </c>
      <c r="E1817" s="17" t="s">
        <v>53</v>
      </c>
      <c r="F1817" s="18"/>
      <c r="G1817" s="36" t="str">
        <f>IF(ISNUMBER(F1817),C1817*F1817,"")</f>
        <v/>
      </c>
    </row>
    <row r="1818" spans="1:7" ht="12" customHeight="1" outlineLevel="2" x14ac:dyDescent="0.2">
      <c r="A1818" s="14" t="s">
        <v>3593</v>
      </c>
      <c r="B1818" s="15" t="s">
        <v>3594</v>
      </c>
      <c r="C1818" s="16">
        <f>144.9/(1+B2)</f>
        <v>144.9</v>
      </c>
      <c r="D1818" s="17" t="s">
        <v>11</v>
      </c>
      <c r="E1818" s="17" t="s">
        <v>14</v>
      </c>
      <c r="F1818" s="18"/>
      <c r="G1818" s="36" t="str">
        <f>IF(ISNUMBER(F1818),C1818*F1818,"")</f>
        <v/>
      </c>
    </row>
    <row r="1819" spans="1:7" ht="12" customHeight="1" outlineLevel="2" x14ac:dyDescent="0.2">
      <c r="A1819" s="14" t="s">
        <v>3595</v>
      </c>
      <c r="B1819" s="15" t="s">
        <v>3596</v>
      </c>
      <c r="C1819" s="16">
        <f>139.64/(1+B2)</f>
        <v>139.63999999999999</v>
      </c>
      <c r="D1819" s="17" t="s">
        <v>11</v>
      </c>
      <c r="E1819" s="17" t="s">
        <v>53</v>
      </c>
      <c r="F1819" s="18"/>
      <c r="G1819" s="36" t="str">
        <f>IF(ISNUMBER(F1819),C1819*F1819,"")</f>
        <v/>
      </c>
    </row>
    <row r="1820" spans="1:7" ht="12" customHeight="1" outlineLevel="2" x14ac:dyDescent="0.2">
      <c r="A1820" s="14" t="s">
        <v>3597</v>
      </c>
      <c r="B1820" s="15" t="s">
        <v>3598</v>
      </c>
      <c r="C1820" s="16">
        <f>139.64/(1+B2)</f>
        <v>139.63999999999999</v>
      </c>
      <c r="D1820" s="17" t="s">
        <v>11</v>
      </c>
      <c r="E1820" s="17"/>
      <c r="F1820" s="18"/>
      <c r="G1820" s="36" t="str">
        <f>IF(ISNUMBER(F1820),C1820*F1820,"")</f>
        <v/>
      </c>
    </row>
    <row r="1821" spans="1:7" ht="12" customHeight="1" outlineLevel="2" x14ac:dyDescent="0.2">
      <c r="A1821" s="14" t="s">
        <v>3599</v>
      </c>
      <c r="B1821" s="15" t="s">
        <v>3600</v>
      </c>
      <c r="C1821" s="16">
        <f>141.71/(1+B2)</f>
        <v>141.71</v>
      </c>
      <c r="D1821" s="17" t="s">
        <v>11</v>
      </c>
      <c r="E1821" s="17" t="s">
        <v>11</v>
      </c>
      <c r="F1821" s="18"/>
      <c r="G1821" s="36" t="str">
        <f>IF(ISNUMBER(F1821),C1821*F1821,"")</f>
        <v/>
      </c>
    </row>
    <row r="1822" spans="1:7" ht="12" customHeight="1" outlineLevel="2" x14ac:dyDescent="0.2">
      <c r="A1822" s="14" t="s">
        <v>3601</v>
      </c>
      <c r="B1822" s="15" t="s">
        <v>3602</v>
      </c>
      <c r="C1822" s="16">
        <f>137.94/(1+B2)</f>
        <v>137.94</v>
      </c>
      <c r="D1822" s="17" t="s">
        <v>11</v>
      </c>
      <c r="E1822" s="17" t="s">
        <v>11</v>
      </c>
      <c r="F1822" s="18"/>
      <c r="G1822" s="36" t="str">
        <f>IF(ISNUMBER(F1822),C1822*F1822,"")</f>
        <v/>
      </c>
    </row>
    <row r="1823" spans="1:7" ht="12" customHeight="1" outlineLevel="2" x14ac:dyDescent="0.2">
      <c r="A1823" s="14" t="s">
        <v>3603</v>
      </c>
      <c r="B1823" s="15" t="s">
        <v>3604</v>
      </c>
      <c r="C1823" s="16">
        <f>97.01/(1+B2)</f>
        <v>97.01</v>
      </c>
      <c r="D1823" s="17" t="s">
        <v>11</v>
      </c>
      <c r="E1823" s="17" t="s">
        <v>11</v>
      </c>
      <c r="F1823" s="18"/>
      <c r="G1823" s="36" t="str">
        <f>IF(ISNUMBER(F1823),C1823*F1823,"")</f>
        <v/>
      </c>
    </row>
    <row r="1824" spans="1:7" ht="12" customHeight="1" outlineLevel="2" x14ac:dyDescent="0.2">
      <c r="A1824" s="14" t="s">
        <v>3605</v>
      </c>
      <c r="B1824" s="15" t="s">
        <v>3606</v>
      </c>
      <c r="C1824" s="16">
        <f>116.31/(1+B2)</f>
        <v>116.31</v>
      </c>
      <c r="D1824" s="17" t="s">
        <v>11</v>
      </c>
      <c r="E1824" s="17"/>
      <c r="F1824" s="18"/>
      <c r="G1824" s="36" t="str">
        <f>IF(ISNUMBER(F1824),C1824*F1824,"")</f>
        <v/>
      </c>
    </row>
    <row r="1825" spans="1:7" ht="24" customHeight="1" outlineLevel="2" x14ac:dyDescent="0.2">
      <c r="A1825" s="14" t="s">
        <v>3607</v>
      </c>
      <c r="B1825" s="15" t="s">
        <v>3608</v>
      </c>
      <c r="C1825" s="16">
        <f>113.15/(1+B2)</f>
        <v>113.15</v>
      </c>
      <c r="D1825" s="17" t="s">
        <v>11</v>
      </c>
      <c r="E1825" s="17"/>
      <c r="F1825" s="18"/>
      <c r="G1825" s="36" t="str">
        <f>IF(ISNUMBER(F1825),C1825*F1825,"")</f>
        <v/>
      </c>
    </row>
    <row r="1826" spans="1:7" ht="12" customHeight="1" outlineLevel="2" x14ac:dyDescent="0.2">
      <c r="A1826" s="14" t="s">
        <v>3609</v>
      </c>
      <c r="B1826" s="15" t="s">
        <v>3610</v>
      </c>
      <c r="C1826" s="16">
        <f>121.34/(1+B2)</f>
        <v>121.34</v>
      </c>
      <c r="D1826" s="17" t="s">
        <v>11</v>
      </c>
      <c r="E1826" s="17" t="s">
        <v>53</v>
      </c>
      <c r="F1826" s="18"/>
      <c r="G1826" s="36" t="str">
        <f>IF(ISNUMBER(F1826),C1826*F1826,"")</f>
        <v/>
      </c>
    </row>
    <row r="1827" spans="1:7" ht="12" customHeight="1" outlineLevel="2" x14ac:dyDescent="0.2">
      <c r="A1827" s="14" t="s">
        <v>3611</v>
      </c>
      <c r="B1827" s="15" t="s">
        <v>3612</v>
      </c>
      <c r="C1827" s="16">
        <f>126.95/(1+B2)</f>
        <v>126.95</v>
      </c>
      <c r="D1827" s="17" t="s">
        <v>14</v>
      </c>
      <c r="E1827" s="17"/>
      <c r="F1827" s="18"/>
      <c r="G1827" s="36" t="str">
        <f>IF(ISNUMBER(F1827),C1827*F1827,"")</f>
        <v/>
      </c>
    </row>
    <row r="1828" spans="1:7" s="1" customFormat="1" ht="15.95" customHeight="1" outlineLevel="1" x14ac:dyDescent="0.25">
      <c r="A1828" s="11"/>
      <c r="B1828" s="12" t="s">
        <v>3613</v>
      </c>
      <c r="C1828" s="13"/>
      <c r="D1828" s="13"/>
      <c r="E1828" s="13"/>
      <c r="F1828" s="13"/>
      <c r="G1828" s="35"/>
    </row>
    <row r="1829" spans="1:7" ht="12" customHeight="1" outlineLevel="2" x14ac:dyDescent="0.2">
      <c r="A1829" s="14" t="s">
        <v>3614</v>
      </c>
      <c r="B1829" s="15" t="s">
        <v>3615</v>
      </c>
      <c r="C1829" s="16">
        <f>103.66/(1+B2)</f>
        <v>103.66</v>
      </c>
      <c r="D1829" s="17" t="s">
        <v>11</v>
      </c>
      <c r="E1829" s="17" t="s">
        <v>14</v>
      </c>
      <c r="F1829" s="18"/>
      <c r="G1829" s="36" t="str">
        <f>IF(ISNUMBER(F1829),C1829*F1829,"")</f>
        <v/>
      </c>
    </row>
    <row r="1830" spans="1:7" ht="12" customHeight="1" outlineLevel="2" x14ac:dyDescent="0.2">
      <c r="A1830" s="14" t="s">
        <v>3616</v>
      </c>
      <c r="B1830" s="15" t="s">
        <v>3617</v>
      </c>
      <c r="C1830" s="16">
        <f>65.64/(1+B2)</f>
        <v>65.64</v>
      </c>
      <c r="D1830" s="17" t="s">
        <v>11</v>
      </c>
      <c r="E1830" s="17" t="s">
        <v>106</v>
      </c>
      <c r="F1830" s="18"/>
      <c r="G1830" s="36" t="str">
        <f>IF(ISNUMBER(F1830),C1830*F1830,"")</f>
        <v/>
      </c>
    </row>
    <row r="1831" spans="1:7" ht="12" customHeight="1" outlineLevel="2" x14ac:dyDescent="0.2">
      <c r="A1831" s="14" t="s">
        <v>3618</v>
      </c>
      <c r="B1831" s="15" t="s">
        <v>3619</v>
      </c>
      <c r="C1831" s="16">
        <f>85.32/(1+B2)</f>
        <v>85.32</v>
      </c>
      <c r="D1831" s="17" t="s">
        <v>11</v>
      </c>
      <c r="E1831" s="17" t="s">
        <v>14</v>
      </c>
      <c r="F1831" s="18"/>
      <c r="G1831" s="36" t="str">
        <f>IF(ISNUMBER(F1831),C1831*F1831,"")</f>
        <v/>
      </c>
    </row>
    <row r="1832" spans="1:7" ht="12" customHeight="1" outlineLevel="2" x14ac:dyDescent="0.2">
      <c r="A1832" s="14" t="s">
        <v>3620</v>
      </c>
      <c r="B1832" s="15" t="s">
        <v>3621</v>
      </c>
      <c r="C1832" s="16">
        <f>339.72/(1+B2)</f>
        <v>339.72</v>
      </c>
      <c r="D1832" s="17" t="s">
        <v>11</v>
      </c>
      <c r="E1832" s="17" t="s">
        <v>11</v>
      </c>
      <c r="F1832" s="18"/>
      <c r="G1832" s="36" t="str">
        <f>IF(ISNUMBER(F1832),C1832*F1832,"")</f>
        <v/>
      </c>
    </row>
    <row r="1833" spans="1:7" ht="12" customHeight="1" outlineLevel="2" x14ac:dyDescent="0.2">
      <c r="A1833" s="14" t="s">
        <v>3622</v>
      </c>
      <c r="B1833" s="15" t="s">
        <v>3623</v>
      </c>
      <c r="C1833" s="16">
        <f>158.34/(1+B2)</f>
        <v>158.34</v>
      </c>
      <c r="D1833" s="17" t="s">
        <v>11</v>
      </c>
      <c r="E1833" s="17" t="s">
        <v>11</v>
      </c>
      <c r="F1833" s="18"/>
      <c r="G1833" s="36" t="str">
        <f>IF(ISNUMBER(F1833),C1833*F1833,"")</f>
        <v/>
      </c>
    </row>
    <row r="1834" spans="1:7" ht="12" customHeight="1" outlineLevel="2" x14ac:dyDescent="0.2">
      <c r="A1834" s="14" t="s">
        <v>3624</v>
      </c>
      <c r="B1834" s="15" t="s">
        <v>3625</v>
      </c>
      <c r="C1834" s="16">
        <f>65.75/(1+B2)</f>
        <v>65.75</v>
      </c>
      <c r="D1834" s="17" t="s">
        <v>11</v>
      </c>
      <c r="E1834" s="17"/>
      <c r="F1834" s="18"/>
      <c r="G1834" s="36" t="str">
        <f>IF(ISNUMBER(F1834),C1834*F1834,"")</f>
        <v/>
      </c>
    </row>
    <row r="1835" spans="1:7" ht="12" customHeight="1" outlineLevel="2" x14ac:dyDescent="0.2">
      <c r="A1835" s="14" t="s">
        <v>3626</v>
      </c>
      <c r="B1835" s="15" t="s">
        <v>3627</v>
      </c>
      <c r="C1835" s="16">
        <f>65.63/(1+B2)</f>
        <v>65.63</v>
      </c>
      <c r="D1835" s="17" t="s">
        <v>11</v>
      </c>
      <c r="E1835" s="17" t="s">
        <v>11</v>
      </c>
      <c r="F1835" s="18"/>
      <c r="G1835" s="36" t="str">
        <f>IF(ISNUMBER(F1835),C1835*F1835,"")</f>
        <v/>
      </c>
    </row>
    <row r="1836" spans="1:7" ht="12" customHeight="1" outlineLevel="2" x14ac:dyDescent="0.2">
      <c r="A1836" s="14" t="s">
        <v>3628</v>
      </c>
      <c r="B1836" s="15" t="s">
        <v>3629</v>
      </c>
      <c r="C1836" s="16">
        <f>240/(1+B2)</f>
        <v>240</v>
      </c>
      <c r="D1836" s="17" t="s">
        <v>11</v>
      </c>
      <c r="E1836" s="17" t="s">
        <v>14</v>
      </c>
      <c r="F1836" s="18"/>
      <c r="G1836" s="36" t="str">
        <f>IF(ISNUMBER(F1836),C1836*F1836,"")</f>
        <v/>
      </c>
    </row>
    <row r="1837" spans="1:7" ht="12" customHeight="1" outlineLevel="2" x14ac:dyDescent="0.2">
      <c r="A1837" s="14" t="s">
        <v>3630</v>
      </c>
      <c r="B1837" s="15" t="s">
        <v>3631</v>
      </c>
      <c r="C1837" s="16">
        <f>38.25/(1+B2)</f>
        <v>38.25</v>
      </c>
      <c r="D1837" s="17" t="s">
        <v>11</v>
      </c>
      <c r="E1837" s="17" t="s">
        <v>106</v>
      </c>
      <c r="F1837" s="18"/>
      <c r="G1837" s="36" t="str">
        <f>IF(ISNUMBER(F1837),C1837*F1837,"")</f>
        <v/>
      </c>
    </row>
    <row r="1838" spans="1:7" ht="12" customHeight="1" outlineLevel="2" x14ac:dyDescent="0.2">
      <c r="A1838" s="14" t="s">
        <v>3632</v>
      </c>
      <c r="B1838" s="15" t="s">
        <v>3633</v>
      </c>
      <c r="C1838" s="16">
        <f>206.54/(1+B2)</f>
        <v>206.54</v>
      </c>
      <c r="D1838" s="17" t="s">
        <v>11</v>
      </c>
      <c r="E1838" s="17" t="s">
        <v>11</v>
      </c>
      <c r="F1838" s="18"/>
      <c r="G1838" s="36" t="str">
        <f>IF(ISNUMBER(F1838),C1838*F1838,"")</f>
        <v/>
      </c>
    </row>
    <row r="1839" spans="1:7" ht="12" customHeight="1" outlineLevel="2" x14ac:dyDescent="0.2">
      <c r="A1839" s="14" t="s">
        <v>3634</v>
      </c>
      <c r="B1839" s="15" t="s">
        <v>3635</v>
      </c>
      <c r="C1839" s="16">
        <f>20.22/(1+B2)</f>
        <v>20.22</v>
      </c>
      <c r="D1839" s="17" t="s">
        <v>106</v>
      </c>
      <c r="E1839" s="17"/>
      <c r="F1839" s="18"/>
      <c r="G1839" s="36" t="str">
        <f>IF(ISNUMBER(F1839),C1839*F1839,"")</f>
        <v/>
      </c>
    </row>
    <row r="1840" spans="1:7" ht="12" customHeight="1" outlineLevel="2" x14ac:dyDescent="0.2">
      <c r="A1840" s="14" t="s">
        <v>3636</v>
      </c>
      <c r="B1840" s="15" t="s">
        <v>3637</v>
      </c>
      <c r="C1840" s="16">
        <f>56.61/(1+B2)</f>
        <v>56.61</v>
      </c>
      <c r="D1840" s="17" t="s">
        <v>11</v>
      </c>
      <c r="E1840" s="17"/>
      <c r="F1840" s="18"/>
      <c r="G1840" s="36" t="str">
        <f>IF(ISNUMBER(F1840),C1840*F1840,"")</f>
        <v/>
      </c>
    </row>
    <row r="1841" spans="1:7" ht="12" customHeight="1" outlineLevel="2" x14ac:dyDescent="0.2">
      <c r="A1841" s="14" t="s">
        <v>3638</v>
      </c>
      <c r="B1841" s="15" t="s">
        <v>3639</v>
      </c>
      <c r="C1841" s="16">
        <f>105.46/(1+B2)</f>
        <v>105.46</v>
      </c>
      <c r="D1841" s="17"/>
      <c r="E1841" s="17" t="s">
        <v>53</v>
      </c>
      <c r="F1841" s="18"/>
      <c r="G1841" s="36" t="str">
        <f>IF(ISNUMBER(F1841),C1841*F1841,"")</f>
        <v/>
      </c>
    </row>
    <row r="1842" spans="1:7" ht="12" customHeight="1" outlineLevel="2" x14ac:dyDescent="0.2">
      <c r="A1842" s="14" t="s">
        <v>3640</v>
      </c>
      <c r="B1842" s="15" t="s">
        <v>3641</v>
      </c>
      <c r="C1842" s="16">
        <f>47.96/(1+B2)</f>
        <v>47.96</v>
      </c>
      <c r="D1842" s="17" t="s">
        <v>11</v>
      </c>
      <c r="E1842" s="17" t="s">
        <v>11</v>
      </c>
      <c r="F1842" s="18"/>
      <c r="G1842" s="36" t="str">
        <f>IF(ISNUMBER(F1842),C1842*F1842,"")</f>
        <v/>
      </c>
    </row>
    <row r="1843" spans="1:7" ht="12" customHeight="1" outlineLevel="2" x14ac:dyDescent="0.2">
      <c r="A1843" s="14" t="s">
        <v>3642</v>
      </c>
      <c r="B1843" s="15" t="s">
        <v>3643</v>
      </c>
      <c r="C1843" s="16">
        <f>54.44/(1+B2)</f>
        <v>54.44</v>
      </c>
      <c r="D1843" s="17" t="s">
        <v>11</v>
      </c>
      <c r="E1843" s="17" t="s">
        <v>53</v>
      </c>
      <c r="F1843" s="18"/>
      <c r="G1843" s="36" t="str">
        <f>IF(ISNUMBER(F1843),C1843*F1843,"")</f>
        <v/>
      </c>
    </row>
    <row r="1844" spans="1:7" ht="12" customHeight="1" outlineLevel="2" x14ac:dyDescent="0.2">
      <c r="A1844" s="14" t="s">
        <v>3644</v>
      </c>
      <c r="B1844" s="15" t="s">
        <v>3645</v>
      </c>
      <c r="C1844" s="16">
        <f>54.44/(1+B2)</f>
        <v>54.44</v>
      </c>
      <c r="D1844" s="17" t="s">
        <v>14</v>
      </c>
      <c r="E1844" s="17" t="s">
        <v>53</v>
      </c>
      <c r="F1844" s="18"/>
      <c r="G1844" s="36" t="str">
        <f>IF(ISNUMBER(F1844),C1844*F1844,"")</f>
        <v/>
      </c>
    </row>
    <row r="1845" spans="1:7" ht="12" customHeight="1" outlineLevel="2" x14ac:dyDescent="0.2">
      <c r="A1845" s="14" t="s">
        <v>3646</v>
      </c>
      <c r="B1845" s="15" t="s">
        <v>3647</v>
      </c>
      <c r="C1845" s="16">
        <f>48/(1+B2)</f>
        <v>48</v>
      </c>
      <c r="D1845" s="17" t="s">
        <v>53</v>
      </c>
      <c r="E1845" s="17"/>
      <c r="F1845" s="18"/>
      <c r="G1845" s="36" t="str">
        <f>IF(ISNUMBER(F1845),C1845*F1845,"")</f>
        <v/>
      </c>
    </row>
    <row r="1846" spans="1:7" ht="12" customHeight="1" outlineLevel="2" x14ac:dyDescent="0.2">
      <c r="A1846" s="14" t="s">
        <v>3648</v>
      </c>
      <c r="B1846" s="15" t="s">
        <v>3649</v>
      </c>
      <c r="C1846" s="16">
        <f>48/(1+B2)</f>
        <v>48</v>
      </c>
      <c r="D1846" s="17" t="s">
        <v>53</v>
      </c>
      <c r="E1846" s="17"/>
      <c r="F1846" s="18"/>
      <c r="G1846" s="36" t="str">
        <f>IF(ISNUMBER(F1846),C1846*F1846,"")</f>
        <v/>
      </c>
    </row>
    <row r="1847" spans="1:7" ht="12" customHeight="1" outlineLevel="2" x14ac:dyDescent="0.2">
      <c r="A1847" s="14" t="s">
        <v>3650</v>
      </c>
      <c r="B1847" s="15" t="s">
        <v>3651</v>
      </c>
      <c r="C1847" s="16">
        <f>48/(1+B2)</f>
        <v>48</v>
      </c>
      <c r="D1847" s="17" t="s">
        <v>53</v>
      </c>
      <c r="E1847" s="17"/>
      <c r="F1847" s="18"/>
      <c r="G1847" s="36" t="str">
        <f>IF(ISNUMBER(F1847),C1847*F1847,"")</f>
        <v/>
      </c>
    </row>
    <row r="1848" spans="1:7" ht="12" customHeight="1" outlineLevel="2" x14ac:dyDescent="0.2">
      <c r="A1848" s="14" t="s">
        <v>3652</v>
      </c>
      <c r="B1848" s="15" t="s">
        <v>3653</v>
      </c>
      <c r="C1848" s="16">
        <f>45.49/(1+B2)</f>
        <v>45.49</v>
      </c>
      <c r="D1848" s="17" t="s">
        <v>53</v>
      </c>
      <c r="E1848" s="17"/>
      <c r="F1848" s="18"/>
      <c r="G1848" s="36" t="str">
        <f>IF(ISNUMBER(F1848),C1848*F1848,"")</f>
        <v/>
      </c>
    </row>
    <row r="1849" spans="1:7" ht="12" customHeight="1" outlineLevel="2" x14ac:dyDescent="0.2">
      <c r="A1849" s="14" t="s">
        <v>3654</v>
      </c>
      <c r="B1849" s="15" t="s">
        <v>3655</v>
      </c>
      <c r="C1849" s="16">
        <f>25.32/(1+B2)</f>
        <v>25.32</v>
      </c>
      <c r="D1849" s="17" t="s">
        <v>14</v>
      </c>
      <c r="E1849" s="17" t="s">
        <v>53</v>
      </c>
      <c r="F1849" s="18"/>
      <c r="G1849" s="36" t="str">
        <f>IF(ISNUMBER(F1849),C1849*F1849,"")</f>
        <v/>
      </c>
    </row>
    <row r="1850" spans="1:7" ht="12" customHeight="1" outlineLevel="2" x14ac:dyDescent="0.2">
      <c r="A1850" s="14" t="s">
        <v>3656</v>
      </c>
      <c r="B1850" s="15" t="s">
        <v>3657</v>
      </c>
      <c r="C1850" s="16">
        <f>29.21/(1+B2)</f>
        <v>29.21</v>
      </c>
      <c r="D1850" s="17" t="s">
        <v>53</v>
      </c>
      <c r="E1850" s="17" t="s">
        <v>106</v>
      </c>
      <c r="F1850" s="18"/>
      <c r="G1850" s="36" t="str">
        <f>IF(ISNUMBER(F1850),C1850*F1850,"")</f>
        <v/>
      </c>
    </row>
    <row r="1851" spans="1:7" ht="12" customHeight="1" outlineLevel="2" x14ac:dyDescent="0.2">
      <c r="A1851" s="14" t="s">
        <v>3658</v>
      </c>
      <c r="B1851" s="15" t="s">
        <v>3659</v>
      </c>
      <c r="C1851" s="16">
        <f>24.08/(1+B2)</f>
        <v>24.08</v>
      </c>
      <c r="D1851" s="17" t="s">
        <v>53</v>
      </c>
      <c r="E1851" s="17"/>
      <c r="F1851" s="18"/>
      <c r="G1851" s="36" t="str">
        <f>IF(ISNUMBER(F1851),C1851*F1851,"")</f>
        <v/>
      </c>
    </row>
    <row r="1852" spans="1:7" ht="12" customHeight="1" outlineLevel="2" x14ac:dyDescent="0.2">
      <c r="A1852" s="14" t="s">
        <v>3660</v>
      </c>
      <c r="B1852" s="15" t="s">
        <v>3661</v>
      </c>
      <c r="C1852" s="16">
        <f>22.64/(1+B2)</f>
        <v>22.64</v>
      </c>
      <c r="D1852" s="17" t="s">
        <v>11</v>
      </c>
      <c r="E1852" s="17" t="s">
        <v>53</v>
      </c>
      <c r="F1852" s="18"/>
      <c r="G1852" s="36" t="str">
        <f>IF(ISNUMBER(F1852),C1852*F1852,"")</f>
        <v/>
      </c>
    </row>
    <row r="1853" spans="1:7" ht="12" customHeight="1" outlineLevel="2" x14ac:dyDescent="0.2">
      <c r="A1853" s="14" t="s">
        <v>3662</v>
      </c>
      <c r="B1853" s="15" t="s">
        <v>3663</v>
      </c>
      <c r="C1853" s="16">
        <f>31.58/(1+B2)</f>
        <v>31.58</v>
      </c>
      <c r="D1853" s="17" t="s">
        <v>53</v>
      </c>
      <c r="E1853" s="17"/>
      <c r="F1853" s="18"/>
      <c r="G1853" s="36" t="str">
        <f>IF(ISNUMBER(F1853),C1853*F1853,"")</f>
        <v/>
      </c>
    </row>
    <row r="1854" spans="1:7" ht="12" customHeight="1" outlineLevel="2" x14ac:dyDescent="0.2">
      <c r="A1854" s="14" t="s">
        <v>3664</v>
      </c>
      <c r="B1854" s="15" t="s">
        <v>3665</v>
      </c>
      <c r="C1854" s="16">
        <f>53.86/(1+B2)</f>
        <v>53.86</v>
      </c>
      <c r="D1854" s="17" t="s">
        <v>11</v>
      </c>
      <c r="E1854" s="17" t="s">
        <v>53</v>
      </c>
      <c r="F1854" s="18"/>
      <c r="G1854" s="36" t="str">
        <f>IF(ISNUMBER(F1854),C1854*F1854,"")</f>
        <v/>
      </c>
    </row>
    <row r="1855" spans="1:7" ht="24" customHeight="1" outlineLevel="2" x14ac:dyDescent="0.2">
      <c r="A1855" s="14" t="s">
        <v>3666</v>
      </c>
      <c r="B1855" s="15" t="s">
        <v>3667</v>
      </c>
      <c r="C1855" s="16">
        <f>64.19/(1+B2)</f>
        <v>64.19</v>
      </c>
      <c r="D1855" s="17" t="s">
        <v>11</v>
      </c>
      <c r="E1855" s="17" t="s">
        <v>53</v>
      </c>
      <c r="F1855" s="18"/>
      <c r="G1855" s="36" t="str">
        <f>IF(ISNUMBER(F1855),C1855*F1855,"")</f>
        <v/>
      </c>
    </row>
    <row r="1856" spans="1:7" ht="12" customHeight="1" outlineLevel="2" x14ac:dyDescent="0.2">
      <c r="A1856" s="14" t="s">
        <v>3668</v>
      </c>
      <c r="B1856" s="15" t="s">
        <v>3669</v>
      </c>
      <c r="C1856" s="16">
        <f>43.14/(1+B2)</f>
        <v>43.14</v>
      </c>
      <c r="D1856" s="17" t="s">
        <v>53</v>
      </c>
      <c r="E1856" s="17"/>
      <c r="F1856" s="18"/>
      <c r="G1856" s="36" t="str">
        <f>IF(ISNUMBER(F1856),C1856*F1856,"")</f>
        <v/>
      </c>
    </row>
    <row r="1857" spans="1:7" ht="12" customHeight="1" outlineLevel="2" x14ac:dyDescent="0.2">
      <c r="A1857" s="14" t="s">
        <v>3670</v>
      </c>
      <c r="B1857" s="15" t="s">
        <v>3671</v>
      </c>
      <c r="C1857" s="16">
        <f>60.9/(1+B2)</f>
        <v>60.9</v>
      </c>
      <c r="D1857" s="17" t="s">
        <v>14</v>
      </c>
      <c r="E1857" s="17"/>
      <c r="F1857" s="18"/>
      <c r="G1857" s="36" t="str">
        <f>IF(ISNUMBER(F1857),C1857*F1857,"")</f>
        <v/>
      </c>
    </row>
    <row r="1858" spans="1:7" ht="12" customHeight="1" outlineLevel="2" x14ac:dyDescent="0.2">
      <c r="A1858" s="14" t="s">
        <v>3672</v>
      </c>
      <c r="B1858" s="15" t="s">
        <v>3673</v>
      </c>
      <c r="C1858" s="16">
        <f>60.9/(1+B2)</f>
        <v>60.9</v>
      </c>
      <c r="D1858" s="17" t="s">
        <v>53</v>
      </c>
      <c r="E1858" s="17"/>
      <c r="F1858" s="18"/>
      <c r="G1858" s="36" t="str">
        <f>IF(ISNUMBER(F1858),C1858*F1858,"")</f>
        <v/>
      </c>
    </row>
    <row r="1859" spans="1:7" ht="12" customHeight="1" outlineLevel="2" x14ac:dyDescent="0.2">
      <c r="A1859" s="14" t="s">
        <v>3674</v>
      </c>
      <c r="B1859" s="15" t="s">
        <v>3675</v>
      </c>
      <c r="C1859" s="16">
        <f>19.55/(1+B2)</f>
        <v>19.55</v>
      </c>
      <c r="D1859" s="17" t="s">
        <v>106</v>
      </c>
      <c r="E1859" s="17"/>
      <c r="F1859" s="18"/>
      <c r="G1859" s="36" t="str">
        <f>IF(ISNUMBER(F1859),C1859*F1859,"")</f>
        <v/>
      </c>
    </row>
    <row r="1860" spans="1:7" ht="12" customHeight="1" outlineLevel="2" x14ac:dyDescent="0.2">
      <c r="A1860" s="14" t="s">
        <v>3676</v>
      </c>
      <c r="B1860" s="15" t="s">
        <v>3677</v>
      </c>
      <c r="C1860" s="16">
        <f>38.56/(1+B2)</f>
        <v>38.56</v>
      </c>
      <c r="D1860" s="17" t="s">
        <v>53</v>
      </c>
      <c r="E1860" s="17"/>
      <c r="F1860" s="18"/>
      <c r="G1860" s="36" t="str">
        <f>IF(ISNUMBER(F1860),C1860*F1860,"")</f>
        <v/>
      </c>
    </row>
    <row r="1861" spans="1:7" ht="12" customHeight="1" outlineLevel="2" x14ac:dyDescent="0.2">
      <c r="A1861" s="14" t="s">
        <v>3678</v>
      </c>
      <c r="B1861" s="15" t="s">
        <v>3679</v>
      </c>
      <c r="C1861" s="16">
        <f>27.68/(1+B2)</f>
        <v>27.68</v>
      </c>
      <c r="D1861" s="17" t="s">
        <v>53</v>
      </c>
      <c r="E1861" s="17"/>
      <c r="F1861" s="18"/>
      <c r="G1861" s="36" t="str">
        <f>IF(ISNUMBER(F1861),C1861*F1861,"")</f>
        <v/>
      </c>
    </row>
    <row r="1862" spans="1:7" ht="12" customHeight="1" outlineLevel="2" x14ac:dyDescent="0.2">
      <c r="A1862" s="14" t="s">
        <v>3680</v>
      </c>
      <c r="B1862" s="15" t="s">
        <v>3681</v>
      </c>
      <c r="C1862" s="16">
        <f>59.16/(1+B2)</f>
        <v>59.16</v>
      </c>
      <c r="D1862" s="17" t="s">
        <v>53</v>
      </c>
      <c r="E1862" s="17"/>
      <c r="F1862" s="18"/>
      <c r="G1862" s="36" t="str">
        <f>IF(ISNUMBER(F1862),C1862*F1862,"")</f>
        <v/>
      </c>
    </row>
    <row r="1863" spans="1:7" ht="12" customHeight="1" outlineLevel="2" x14ac:dyDescent="0.2">
      <c r="A1863" s="14" t="s">
        <v>3682</v>
      </c>
      <c r="B1863" s="15" t="s">
        <v>3683</v>
      </c>
      <c r="C1863" s="16">
        <f>23.31/(1+B2)</f>
        <v>23.31</v>
      </c>
      <c r="D1863" s="17" t="s">
        <v>11</v>
      </c>
      <c r="E1863" s="17"/>
      <c r="F1863" s="18"/>
      <c r="G1863" s="36" t="str">
        <f>IF(ISNUMBER(F1863),C1863*F1863,"")</f>
        <v/>
      </c>
    </row>
    <row r="1864" spans="1:7" ht="12" customHeight="1" outlineLevel="2" x14ac:dyDescent="0.2">
      <c r="A1864" s="14" t="s">
        <v>3684</v>
      </c>
      <c r="B1864" s="15" t="s">
        <v>3685</v>
      </c>
      <c r="C1864" s="16">
        <f>17.46/(1+B2)</f>
        <v>17.46</v>
      </c>
      <c r="D1864" s="17" t="s">
        <v>53</v>
      </c>
      <c r="E1864" s="17" t="s">
        <v>106</v>
      </c>
      <c r="F1864" s="18"/>
      <c r="G1864" s="36" t="str">
        <f>IF(ISNUMBER(F1864),C1864*F1864,"")</f>
        <v/>
      </c>
    </row>
    <row r="1865" spans="1:7" ht="12" customHeight="1" outlineLevel="2" x14ac:dyDescent="0.2">
      <c r="A1865" s="14" t="s">
        <v>3686</v>
      </c>
      <c r="B1865" s="15" t="s">
        <v>3687</v>
      </c>
      <c r="C1865" s="16">
        <f>19.51/(1+B2)</f>
        <v>19.510000000000002</v>
      </c>
      <c r="D1865" s="17" t="s">
        <v>11</v>
      </c>
      <c r="E1865" s="17"/>
      <c r="F1865" s="18"/>
      <c r="G1865" s="36" t="str">
        <f>IF(ISNUMBER(F1865),C1865*F1865,"")</f>
        <v/>
      </c>
    </row>
    <row r="1866" spans="1:7" ht="12" customHeight="1" outlineLevel="2" x14ac:dyDescent="0.2">
      <c r="A1866" s="14" t="s">
        <v>3688</v>
      </c>
      <c r="B1866" s="15" t="s">
        <v>3689</v>
      </c>
      <c r="C1866" s="16">
        <f>21.54/(1+B2)</f>
        <v>21.54</v>
      </c>
      <c r="D1866" s="17" t="s">
        <v>53</v>
      </c>
      <c r="E1866" s="17" t="s">
        <v>14</v>
      </c>
      <c r="F1866" s="18"/>
      <c r="G1866" s="36" t="str">
        <f>IF(ISNUMBER(F1866),C1866*F1866,"")</f>
        <v/>
      </c>
    </row>
    <row r="1867" spans="1:7" ht="12" customHeight="1" outlineLevel="2" x14ac:dyDescent="0.2">
      <c r="A1867" s="14" t="s">
        <v>3690</v>
      </c>
      <c r="B1867" s="15" t="s">
        <v>3691</v>
      </c>
      <c r="C1867" s="16">
        <f>27.95/(1+B2)</f>
        <v>27.95</v>
      </c>
      <c r="D1867" s="17" t="s">
        <v>53</v>
      </c>
      <c r="E1867" s="17"/>
      <c r="F1867" s="18"/>
      <c r="G1867" s="36" t="str">
        <f>IF(ISNUMBER(F1867),C1867*F1867,"")</f>
        <v/>
      </c>
    </row>
    <row r="1868" spans="1:7" ht="12" customHeight="1" outlineLevel="2" x14ac:dyDescent="0.2">
      <c r="A1868" s="14" t="s">
        <v>3692</v>
      </c>
      <c r="B1868" s="15" t="s">
        <v>3693</v>
      </c>
      <c r="C1868" s="16">
        <f>29.32/(1+B2)</f>
        <v>29.32</v>
      </c>
      <c r="D1868" s="17" t="s">
        <v>14</v>
      </c>
      <c r="E1868" s="17"/>
      <c r="F1868" s="18"/>
      <c r="G1868" s="36" t="str">
        <f>IF(ISNUMBER(F1868),C1868*F1868,"")</f>
        <v/>
      </c>
    </row>
    <row r="1869" spans="1:7" ht="12" customHeight="1" outlineLevel="2" x14ac:dyDescent="0.2">
      <c r="A1869" s="14" t="s">
        <v>3694</v>
      </c>
      <c r="B1869" s="15" t="s">
        <v>3695</v>
      </c>
      <c r="C1869" s="16">
        <f>24.39/(1+B2)</f>
        <v>24.39</v>
      </c>
      <c r="D1869" s="17" t="s">
        <v>53</v>
      </c>
      <c r="E1869" s="17"/>
      <c r="F1869" s="18"/>
      <c r="G1869" s="36" t="str">
        <f>IF(ISNUMBER(F1869),C1869*F1869,"")</f>
        <v/>
      </c>
    </row>
    <row r="1870" spans="1:7" ht="12" customHeight="1" outlineLevel="2" x14ac:dyDescent="0.2">
      <c r="A1870" s="14" t="s">
        <v>3696</v>
      </c>
      <c r="B1870" s="15" t="s">
        <v>3697</v>
      </c>
      <c r="C1870" s="16">
        <f>30.61/(1+B2)</f>
        <v>30.61</v>
      </c>
      <c r="D1870" s="17" t="s">
        <v>53</v>
      </c>
      <c r="E1870" s="17"/>
      <c r="F1870" s="18"/>
      <c r="G1870" s="36" t="str">
        <f>IF(ISNUMBER(F1870),C1870*F1870,"")</f>
        <v/>
      </c>
    </row>
    <row r="1871" spans="1:7" ht="12" customHeight="1" outlineLevel="2" x14ac:dyDescent="0.2">
      <c r="A1871" s="14" t="s">
        <v>3698</v>
      </c>
      <c r="B1871" s="15" t="s">
        <v>3699</v>
      </c>
      <c r="C1871" s="16">
        <f>29.09/(1+B2)</f>
        <v>29.09</v>
      </c>
      <c r="D1871" s="17" t="s">
        <v>11</v>
      </c>
      <c r="E1871" s="17"/>
      <c r="F1871" s="18"/>
      <c r="G1871" s="36" t="str">
        <f>IF(ISNUMBER(F1871),C1871*F1871,"")</f>
        <v/>
      </c>
    </row>
    <row r="1872" spans="1:7" ht="12" customHeight="1" outlineLevel="2" x14ac:dyDescent="0.2">
      <c r="A1872" s="14" t="s">
        <v>3700</v>
      </c>
      <c r="B1872" s="15" t="s">
        <v>3701</v>
      </c>
      <c r="C1872" s="16">
        <f>21.83/(1+B2)</f>
        <v>21.83</v>
      </c>
      <c r="D1872" s="17" t="s">
        <v>11</v>
      </c>
      <c r="E1872" s="17"/>
      <c r="F1872" s="18"/>
      <c r="G1872" s="36" t="str">
        <f>IF(ISNUMBER(F1872),C1872*F1872,"")</f>
        <v/>
      </c>
    </row>
    <row r="1873" spans="1:7" ht="12" customHeight="1" outlineLevel="2" x14ac:dyDescent="0.2">
      <c r="A1873" s="14" t="s">
        <v>3702</v>
      </c>
      <c r="B1873" s="15" t="s">
        <v>3703</v>
      </c>
      <c r="C1873" s="16">
        <f>24.69/(1+B2)</f>
        <v>24.69</v>
      </c>
      <c r="D1873" s="17" t="s">
        <v>53</v>
      </c>
      <c r="E1873" s="17"/>
      <c r="F1873" s="18"/>
      <c r="G1873" s="36" t="str">
        <f>IF(ISNUMBER(F1873),C1873*F1873,"")</f>
        <v/>
      </c>
    </row>
    <row r="1874" spans="1:7" ht="12" customHeight="1" outlineLevel="2" x14ac:dyDescent="0.2">
      <c r="A1874" s="14" t="s">
        <v>3704</v>
      </c>
      <c r="B1874" s="15" t="s">
        <v>3705</v>
      </c>
      <c r="C1874" s="16">
        <f>30.08/(1+B2)</f>
        <v>30.08</v>
      </c>
      <c r="D1874" s="17" t="s">
        <v>14</v>
      </c>
      <c r="E1874" s="17"/>
      <c r="F1874" s="18"/>
      <c r="G1874" s="36" t="str">
        <f>IF(ISNUMBER(F1874),C1874*F1874,"")</f>
        <v/>
      </c>
    </row>
    <row r="1875" spans="1:7" ht="12" customHeight="1" outlineLevel="2" x14ac:dyDescent="0.2">
      <c r="A1875" s="14" t="s">
        <v>3706</v>
      </c>
      <c r="B1875" s="15" t="s">
        <v>3707</v>
      </c>
      <c r="C1875" s="16">
        <f>34.61/(1+B2)</f>
        <v>34.61</v>
      </c>
      <c r="D1875" s="17" t="s">
        <v>53</v>
      </c>
      <c r="E1875" s="17"/>
      <c r="F1875" s="18"/>
      <c r="G1875" s="36" t="str">
        <f>IF(ISNUMBER(F1875),C1875*F1875,"")</f>
        <v/>
      </c>
    </row>
    <row r="1876" spans="1:7" ht="12" customHeight="1" outlineLevel="2" x14ac:dyDescent="0.2">
      <c r="A1876" s="14" t="s">
        <v>3708</v>
      </c>
      <c r="B1876" s="15" t="s">
        <v>3709</v>
      </c>
      <c r="C1876" s="16">
        <f>31.42/(1+B2)</f>
        <v>31.42</v>
      </c>
      <c r="D1876" s="17" t="s">
        <v>53</v>
      </c>
      <c r="E1876" s="17"/>
      <c r="F1876" s="18"/>
      <c r="G1876" s="36" t="str">
        <f>IF(ISNUMBER(F1876),C1876*F1876,"")</f>
        <v/>
      </c>
    </row>
    <row r="1877" spans="1:7" ht="12" customHeight="1" outlineLevel="2" x14ac:dyDescent="0.2">
      <c r="A1877" s="14" t="s">
        <v>3710</v>
      </c>
      <c r="B1877" s="15" t="s">
        <v>3711</v>
      </c>
      <c r="C1877" s="16">
        <f>36.64/(1+B2)</f>
        <v>36.64</v>
      </c>
      <c r="D1877" s="17" t="s">
        <v>53</v>
      </c>
      <c r="E1877" s="17"/>
      <c r="F1877" s="18"/>
      <c r="G1877" s="36" t="str">
        <f>IF(ISNUMBER(F1877),C1877*F1877,"")</f>
        <v/>
      </c>
    </row>
    <row r="1878" spans="1:7" ht="12" customHeight="1" outlineLevel="2" x14ac:dyDescent="0.2">
      <c r="A1878" s="14" t="s">
        <v>3712</v>
      </c>
      <c r="B1878" s="15" t="s">
        <v>3713</v>
      </c>
      <c r="C1878" s="16">
        <f>40.98/(1+B2)</f>
        <v>40.98</v>
      </c>
      <c r="D1878" s="17" t="s">
        <v>11</v>
      </c>
      <c r="E1878" s="17"/>
      <c r="F1878" s="18"/>
      <c r="G1878" s="36" t="str">
        <f>IF(ISNUMBER(F1878),C1878*F1878,"")</f>
        <v/>
      </c>
    </row>
    <row r="1879" spans="1:7" ht="12" customHeight="1" outlineLevel="2" x14ac:dyDescent="0.2">
      <c r="A1879" s="14" t="s">
        <v>3714</v>
      </c>
      <c r="B1879" s="15" t="s">
        <v>3715</v>
      </c>
      <c r="C1879" s="16">
        <f>38.26/(1+B2)</f>
        <v>38.26</v>
      </c>
      <c r="D1879" s="17" t="s">
        <v>14</v>
      </c>
      <c r="E1879" s="17"/>
      <c r="F1879" s="18"/>
      <c r="G1879" s="36" t="str">
        <f>IF(ISNUMBER(F1879),C1879*F1879,"")</f>
        <v/>
      </c>
    </row>
    <row r="1880" spans="1:7" ht="12" customHeight="1" outlineLevel="2" x14ac:dyDescent="0.2">
      <c r="A1880" s="14" t="s">
        <v>3716</v>
      </c>
      <c r="B1880" s="15" t="s">
        <v>3717</v>
      </c>
      <c r="C1880" s="16">
        <f>29.68/(1+B2)</f>
        <v>29.68</v>
      </c>
      <c r="D1880" s="17" t="s">
        <v>53</v>
      </c>
      <c r="E1880" s="17" t="s">
        <v>11</v>
      </c>
      <c r="F1880" s="18"/>
      <c r="G1880" s="36" t="str">
        <f>IF(ISNUMBER(F1880),C1880*F1880,"")</f>
        <v/>
      </c>
    </row>
    <row r="1881" spans="1:7" ht="12" customHeight="1" outlineLevel="2" x14ac:dyDescent="0.2">
      <c r="A1881" s="14" t="s">
        <v>3718</v>
      </c>
      <c r="B1881" s="15" t="s">
        <v>3719</v>
      </c>
      <c r="C1881" s="16">
        <f>44.63/(1+B2)</f>
        <v>44.63</v>
      </c>
      <c r="D1881" s="17" t="s">
        <v>14</v>
      </c>
      <c r="E1881" s="17"/>
      <c r="F1881" s="18"/>
      <c r="G1881" s="36" t="str">
        <f>IF(ISNUMBER(F1881),C1881*F1881,"")</f>
        <v/>
      </c>
    </row>
    <row r="1882" spans="1:7" ht="12" customHeight="1" outlineLevel="2" x14ac:dyDescent="0.2">
      <c r="A1882" s="14" t="s">
        <v>3720</v>
      </c>
      <c r="B1882" s="15" t="s">
        <v>3721</v>
      </c>
      <c r="C1882" s="16">
        <f>34.66/(1+B2)</f>
        <v>34.659999999999997</v>
      </c>
      <c r="D1882" s="17" t="s">
        <v>53</v>
      </c>
      <c r="E1882" s="17"/>
      <c r="F1882" s="18"/>
      <c r="G1882" s="36" t="str">
        <f>IF(ISNUMBER(F1882),C1882*F1882,"")</f>
        <v/>
      </c>
    </row>
    <row r="1883" spans="1:7" ht="12" customHeight="1" outlineLevel="2" x14ac:dyDescent="0.2">
      <c r="A1883" s="14" t="s">
        <v>3722</v>
      </c>
      <c r="B1883" s="15" t="s">
        <v>3723</v>
      </c>
      <c r="C1883" s="16">
        <f>89.04/(1+B2)</f>
        <v>89.04</v>
      </c>
      <c r="D1883" s="17" t="s">
        <v>11</v>
      </c>
      <c r="E1883" s="17"/>
      <c r="F1883" s="18"/>
      <c r="G1883" s="36" t="str">
        <f>IF(ISNUMBER(F1883),C1883*F1883,"")</f>
        <v/>
      </c>
    </row>
    <row r="1884" spans="1:7" ht="12" customHeight="1" outlineLevel="2" x14ac:dyDescent="0.2">
      <c r="A1884" s="14" t="s">
        <v>3724</v>
      </c>
      <c r="B1884" s="15" t="s">
        <v>3725</v>
      </c>
      <c r="C1884" s="16">
        <f>76.78/(1+B2)</f>
        <v>76.78</v>
      </c>
      <c r="D1884" s="17" t="s">
        <v>14</v>
      </c>
      <c r="E1884" s="17"/>
      <c r="F1884" s="18"/>
      <c r="G1884" s="36" t="str">
        <f>IF(ISNUMBER(F1884),C1884*F1884,"")</f>
        <v/>
      </c>
    </row>
    <row r="1885" spans="1:7" ht="12" customHeight="1" outlineLevel="2" x14ac:dyDescent="0.2">
      <c r="A1885" s="14" t="s">
        <v>3726</v>
      </c>
      <c r="B1885" s="15" t="s">
        <v>3727</v>
      </c>
      <c r="C1885" s="16">
        <f>65.26/(1+B2)</f>
        <v>65.260000000000005</v>
      </c>
      <c r="D1885" s="17" t="s">
        <v>53</v>
      </c>
      <c r="E1885" s="17"/>
      <c r="F1885" s="18"/>
      <c r="G1885" s="36" t="str">
        <f>IF(ISNUMBER(F1885),C1885*F1885,"")</f>
        <v/>
      </c>
    </row>
    <row r="1886" spans="1:7" ht="12" customHeight="1" outlineLevel="2" x14ac:dyDescent="0.2">
      <c r="A1886" s="14" t="s">
        <v>3728</v>
      </c>
      <c r="B1886" s="15" t="s">
        <v>3729</v>
      </c>
      <c r="C1886" s="16">
        <f>87.33/(1+B2)</f>
        <v>87.33</v>
      </c>
      <c r="D1886" s="17" t="s">
        <v>11</v>
      </c>
      <c r="E1886" s="17" t="s">
        <v>14</v>
      </c>
      <c r="F1886" s="18"/>
      <c r="G1886" s="36" t="str">
        <f>IF(ISNUMBER(F1886),C1886*F1886,"")</f>
        <v/>
      </c>
    </row>
    <row r="1887" spans="1:7" ht="12" customHeight="1" outlineLevel="2" x14ac:dyDescent="0.2">
      <c r="A1887" s="14" t="s">
        <v>3730</v>
      </c>
      <c r="B1887" s="15" t="s">
        <v>3731</v>
      </c>
      <c r="C1887" s="16">
        <f>30/(1+B2)</f>
        <v>30</v>
      </c>
      <c r="D1887" s="17" t="s">
        <v>11</v>
      </c>
      <c r="E1887" s="17"/>
      <c r="F1887" s="18"/>
      <c r="G1887" s="36" t="str">
        <f>IF(ISNUMBER(F1887),C1887*F1887,"")</f>
        <v/>
      </c>
    </row>
    <row r="1888" spans="1:7" ht="12" customHeight="1" outlineLevel="2" x14ac:dyDescent="0.2">
      <c r="A1888" s="14" t="s">
        <v>3732</v>
      </c>
      <c r="B1888" s="15" t="s">
        <v>3733</v>
      </c>
      <c r="C1888" s="16">
        <f>54.06/(1+B2)</f>
        <v>54.06</v>
      </c>
      <c r="D1888" s="17" t="s">
        <v>11</v>
      </c>
      <c r="E1888" s="17" t="s">
        <v>14</v>
      </c>
      <c r="F1888" s="18"/>
      <c r="G1888" s="36" t="str">
        <f>IF(ISNUMBER(F1888),C1888*F1888,"")</f>
        <v/>
      </c>
    </row>
    <row r="1889" spans="1:7" ht="12" customHeight="1" outlineLevel="2" x14ac:dyDescent="0.2">
      <c r="A1889" s="14" t="s">
        <v>3734</v>
      </c>
      <c r="B1889" s="15" t="s">
        <v>3735</v>
      </c>
      <c r="C1889" s="16">
        <f>80.56/(1+B2)</f>
        <v>80.56</v>
      </c>
      <c r="D1889" s="17" t="s">
        <v>11</v>
      </c>
      <c r="E1889" s="17" t="s">
        <v>53</v>
      </c>
      <c r="F1889" s="18"/>
      <c r="G1889" s="36" t="str">
        <f>IF(ISNUMBER(F1889),C1889*F1889,"")</f>
        <v/>
      </c>
    </row>
    <row r="1890" spans="1:7" s="1" customFormat="1" ht="15.95" customHeight="1" outlineLevel="1" x14ac:dyDescent="0.25">
      <c r="A1890" s="11"/>
      <c r="B1890" s="12" t="s">
        <v>3736</v>
      </c>
      <c r="C1890" s="13"/>
      <c r="D1890" s="13"/>
      <c r="E1890" s="13"/>
      <c r="F1890" s="13"/>
      <c r="G1890" s="35"/>
    </row>
    <row r="1891" spans="1:7" ht="12" customHeight="1" outlineLevel="2" x14ac:dyDescent="0.2">
      <c r="A1891" s="14" t="s">
        <v>3737</v>
      </c>
      <c r="B1891" s="15" t="s">
        <v>3738</v>
      </c>
      <c r="C1891" s="16">
        <f>307.8/(1+B2)</f>
        <v>307.8</v>
      </c>
      <c r="D1891" s="17" t="s">
        <v>11</v>
      </c>
      <c r="E1891" s="17" t="s">
        <v>11</v>
      </c>
      <c r="F1891" s="18"/>
      <c r="G1891" s="36" t="str">
        <f>IF(ISNUMBER(F1891),C1891*F1891,"")</f>
        <v/>
      </c>
    </row>
    <row r="1892" spans="1:7" ht="12" customHeight="1" outlineLevel="2" x14ac:dyDescent="0.2">
      <c r="A1892" s="14" t="s">
        <v>3739</v>
      </c>
      <c r="B1892" s="15" t="s">
        <v>3740</v>
      </c>
      <c r="C1892" s="16">
        <f>250.8/(1+B2)</f>
        <v>250.8</v>
      </c>
      <c r="D1892" s="17" t="s">
        <v>11</v>
      </c>
      <c r="E1892" s="17"/>
      <c r="F1892" s="18"/>
      <c r="G1892" s="36" t="str">
        <f>IF(ISNUMBER(F1892),C1892*F1892,"")</f>
        <v/>
      </c>
    </row>
    <row r="1893" spans="1:7" ht="12" customHeight="1" outlineLevel="2" x14ac:dyDescent="0.2">
      <c r="A1893" s="14" t="s">
        <v>3741</v>
      </c>
      <c r="B1893" s="15" t="s">
        <v>3742</v>
      </c>
      <c r="C1893" s="16">
        <f>224.44/(1+B2)</f>
        <v>224.44</v>
      </c>
      <c r="D1893" s="17" t="s">
        <v>11</v>
      </c>
      <c r="E1893" s="17" t="s">
        <v>14</v>
      </c>
      <c r="F1893" s="18"/>
      <c r="G1893" s="36" t="str">
        <f>IF(ISNUMBER(F1893),C1893*F1893,"")</f>
        <v/>
      </c>
    </row>
    <row r="1894" spans="1:7" ht="12" customHeight="1" outlineLevel="2" x14ac:dyDescent="0.2">
      <c r="A1894" s="14" t="s">
        <v>3743</v>
      </c>
      <c r="B1894" s="15" t="s">
        <v>3744</v>
      </c>
      <c r="C1894" s="16">
        <f>224.44/(1+B2)</f>
        <v>224.44</v>
      </c>
      <c r="D1894" s="17" t="s">
        <v>11</v>
      </c>
      <c r="E1894" s="17" t="s">
        <v>14</v>
      </c>
      <c r="F1894" s="18"/>
      <c r="G1894" s="36" t="str">
        <f>IF(ISNUMBER(F1894),C1894*F1894,"")</f>
        <v/>
      </c>
    </row>
    <row r="1895" spans="1:7" ht="12" customHeight="1" outlineLevel="2" x14ac:dyDescent="0.2">
      <c r="A1895" s="14" t="s">
        <v>3745</v>
      </c>
      <c r="B1895" s="15" t="s">
        <v>3746</v>
      </c>
      <c r="C1895" s="16">
        <f>108.75/(1+B2)</f>
        <v>108.75</v>
      </c>
      <c r="D1895" s="17" t="s">
        <v>11</v>
      </c>
      <c r="E1895" s="17" t="s">
        <v>14</v>
      </c>
      <c r="F1895" s="18"/>
      <c r="G1895" s="36" t="str">
        <f>IF(ISNUMBER(F1895),C1895*F1895,"")</f>
        <v/>
      </c>
    </row>
    <row r="1896" spans="1:7" ht="12" customHeight="1" outlineLevel="2" x14ac:dyDescent="0.2">
      <c r="A1896" s="14" t="s">
        <v>3747</v>
      </c>
      <c r="B1896" s="15" t="s">
        <v>3748</v>
      </c>
      <c r="C1896" s="16">
        <f>210/(1+B2)</f>
        <v>210</v>
      </c>
      <c r="D1896" s="17" t="s">
        <v>11</v>
      </c>
      <c r="E1896" s="17" t="s">
        <v>53</v>
      </c>
      <c r="F1896" s="18"/>
      <c r="G1896" s="36" t="str">
        <f>IF(ISNUMBER(F1896),C1896*F1896,"")</f>
        <v/>
      </c>
    </row>
    <row r="1897" spans="1:7" ht="12" customHeight="1" outlineLevel="2" x14ac:dyDescent="0.2">
      <c r="A1897" s="14" t="s">
        <v>3749</v>
      </c>
      <c r="B1897" s="15" t="s">
        <v>3750</v>
      </c>
      <c r="C1897" s="16">
        <f>210/(1+B2)</f>
        <v>210</v>
      </c>
      <c r="D1897" s="17" t="s">
        <v>11</v>
      </c>
      <c r="E1897" s="17" t="s">
        <v>14</v>
      </c>
      <c r="F1897" s="18"/>
      <c r="G1897" s="36" t="str">
        <f>IF(ISNUMBER(F1897),C1897*F1897,"")</f>
        <v/>
      </c>
    </row>
    <row r="1898" spans="1:7" ht="12" customHeight="1" outlineLevel="2" x14ac:dyDescent="0.2">
      <c r="A1898" s="14" t="s">
        <v>3751</v>
      </c>
      <c r="B1898" s="15" t="s">
        <v>3752</v>
      </c>
      <c r="C1898" s="16">
        <f>415/(1+B2)</f>
        <v>415</v>
      </c>
      <c r="D1898" s="17" t="s">
        <v>11</v>
      </c>
      <c r="E1898" s="17" t="s">
        <v>11</v>
      </c>
      <c r="F1898" s="18"/>
      <c r="G1898" s="36" t="str">
        <f>IF(ISNUMBER(F1898),C1898*F1898,"")</f>
        <v/>
      </c>
    </row>
    <row r="1899" spans="1:7" ht="12" customHeight="1" outlineLevel="2" x14ac:dyDescent="0.2">
      <c r="A1899" s="14" t="s">
        <v>3753</v>
      </c>
      <c r="B1899" s="15" t="s">
        <v>3754</v>
      </c>
      <c r="C1899" s="16">
        <f>209.65/(1+B2)</f>
        <v>209.65</v>
      </c>
      <c r="D1899" s="17" t="s">
        <v>11</v>
      </c>
      <c r="E1899" s="17"/>
      <c r="F1899" s="18"/>
      <c r="G1899" s="36" t="str">
        <f>IF(ISNUMBER(F1899),C1899*F1899,"")</f>
        <v/>
      </c>
    </row>
    <row r="1900" spans="1:7" ht="12" customHeight="1" outlineLevel="2" x14ac:dyDescent="0.2">
      <c r="A1900" s="14" t="s">
        <v>3755</v>
      </c>
      <c r="B1900" s="15" t="s">
        <v>3756</v>
      </c>
      <c r="C1900" s="16">
        <f>253.71/(1+B2)</f>
        <v>253.71</v>
      </c>
      <c r="D1900" s="17" t="s">
        <v>11</v>
      </c>
      <c r="E1900" s="17" t="s">
        <v>11</v>
      </c>
      <c r="F1900" s="18"/>
      <c r="G1900" s="36" t="str">
        <f>IF(ISNUMBER(F1900),C1900*F1900,"")</f>
        <v/>
      </c>
    </row>
    <row r="1901" spans="1:7" ht="12" customHeight="1" outlineLevel="2" x14ac:dyDescent="0.2">
      <c r="A1901" s="14" t="s">
        <v>3757</v>
      </c>
      <c r="B1901" s="15" t="s">
        <v>3758</v>
      </c>
      <c r="C1901" s="16">
        <f>253.71/(1+B2)</f>
        <v>253.71</v>
      </c>
      <c r="D1901" s="17" t="s">
        <v>11</v>
      </c>
      <c r="E1901" s="17" t="s">
        <v>11</v>
      </c>
      <c r="F1901" s="18"/>
      <c r="G1901" s="36" t="str">
        <f>IF(ISNUMBER(F1901),C1901*F1901,"")</f>
        <v/>
      </c>
    </row>
    <row r="1902" spans="1:7" ht="12" customHeight="1" outlineLevel="2" x14ac:dyDescent="0.2">
      <c r="A1902" s="14" t="s">
        <v>3759</v>
      </c>
      <c r="B1902" s="15" t="s">
        <v>3760</v>
      </c>
      <c r="C1902" s="16">
        <f>242.21/(1+B2)</f>
        <v>242.21</v>
      </c>
      <c r="D1902" s="17" t="s">
        <v>11</v>
      </c>
      <c r="E1902" s="17" t="s">
        <v>11</v>
      </c>
      <c r="F1902" s="18"/>
      <c r="G1902" s="36" t="str">
        <f>IF(ISNUMBER(F1902),C1902*F1902,"")</f>
        <v/>
      </c>
    </row>
    <row r="1903" spans="1:7" ht="12" customHeight="1" outlineLevel="2" x14ac:dyDescent="0.2">
      <c r="A1903" s="14" t="s">
        <v>3761</v>
      </c>
      <c r="B1903" s="15" t="s">
        <v>3762</v>
      </c>
      <c r="C1903" s="16">
        <f>253.71/(1+B2)</f>
        <v>253.71</v>
      </c>
      <c r="D1903" s="17" t="s">
        <v>11</v>
      </c>
      <c r="E1903" s="17"/>
      <c r="F1903" s="18"/>
      <c r="G1903" s="36" t="str">
        <f>IF(ISNUMBER(F1903),C1903*F1903,"")</f>
        <v/>
      </c>
    </row>
    <row r="1904" spans="1:7" ht="12" customHeight="1" outlineLevel="2" x14ac:dyDescent="0.2">
      <c r="A1904" s="14" t="s">
        <v>3763</v>
      </c>
      <c r="B1904" s="15" t="s">
        <v>3764</v>
      </c>
      <c r="C1904" s="16">
        <f>167.98/(1+B2)</f>
        <v>167.98</v>
      </c>
      <c r="D1904" s="17" t="s">
        <v>11</v>
      </c>
      <c r="E1904" s="17"/>
      <c r="F1904" s="18"/>
      <c r="G1904" s="36" t="str">
        <f>IF(ISNUMBER(F1904),C1904*F1904,"")</f>
        <v/>
      </c>
    </row>
    <row r="1905" spans="1:7" ht="12" customHeight="1" outlineLevel="2" x14ac:dyDescent="0.2">
      <c r="A1905" s="14" t="s">
        <v>3765</v>
      </c>
      <c r="B1905" s="15" t="s">
        <v>3766</v>
      </c>
      <c r="C1905" s="16">
        <f>167.98/(1+B2)</f>
        <v>167.98</v>
      </c>
      <c r="D1905" s="17" t="s">
        <v>11</v>
      </c>
      <c r="E1905" s="17" t="s">
        <v>14</v>
      </c>
      <c r="F1905" s="18"/>
      <c r="G1905" s="36" t="str">
        <f>IF(ISNUMBER(F1905),C1905*F1905,"")</f>
        <v/>
      </c>
    </row>
    <row r="1906" spans="1:7" ht="12" customHeight="1" outlineLevel="2" x14ac:dyDescent="0.2">
      <c r="A1906" s="14" t="s">
        <v>3767</v>
      </c>
      <c r="B1906" s="15" t="s">
        <v>3768</v>
      </c>
      <c r="C1906" s="16">
        <f>158.83/(1+B2)</f>
        <v>158.83000000000001</v>
      </c>
      <c r="D1906" s="17" t="s">
        <v>11</v>
      </c>
      <c r="E1906" s="17" t="s">
        <v>11</v>
      </c>
      <c r="F1906" s="18"/>
      <c r="G1906" s="36" t="str">
        <f>IF(ISNUMBER(F1906),C1906*F1906,"")</f>
        <v/>
      </c>
    </row>
    <row r="1907" spans="1:7" ht="12" customHeight="1" outlineLevel="2" x14ac:dyDescent="0.2">
      <c r="A1907" s="14" t="s">
        <v>3769</v>
      </c>
      <c r="B1907" s="15" t="s">
        <v>3770</v>
      </c>
      <c r="C1907" s="16">
        <f>158.83/(1+B2)</f>
        <v>158.83000000000001</v>
      </c>
      <c r="D1907" s="17" t="s">
        <v>11</v>
      </c>
      <c r="E1907" s="17" t="s">
        <v>11</v>
      </c>
      <c r="F1907" s="18"/>
      <c r="G1907" s="36" t="str">
        <f>IF(ISNUMBER(F1907),C1907*F1907,"")</f>
        <v/>
      </c>
    </row>
    <row r="1908" spans="1:7" ht="12" customHeight="1" outlineLevel="2" x14ac:dyDescent="0.2">
      <c r="A1908" s="14" t="s">
        <v>3771</v>
      </c>
      <c r="B1908" s="15" t="s">
        <v>3772</v>
      </c>
      <c r="C1908" s="16">
        <f>167.98/(1+B2)</f>
        <v>167.98</v>
      </c>
      <c r="D1908" s="17" t="s">
        <v>11</v>
      </c>
      <c r="E1908" s="17" t="s">
        <v>11</v>
      </c>
      <c r="F1908" s="18"/>
      <c r="G1908" s="36" t="str">
        <f>IF(ISNUMBER(F1908),C1908*F1908,"")</f>
        <v/>
      </c>
    </row>
    <row r="1909" spans="1:7" ht="12" customHeight="1" outlineLevel="2" x14ac:dyDescent="0.2">
      <c r="A1909" s="14" t="s">
        <v>3773</v>
      </c>
      <c r="B1909" s="15" t="s">
        <v>3774</v>
      </c>
      <c r="C1909" s="16">
        <f>292.33/(1+B2)</f>
        <v>292.33</v>
      </c>
      <c r="D1909" s="17" t="s">
        <v>11</v>
      </c>
      <c r="E1909" s="17"/>
      <c r="F1909" s="18"/>
      <c r="G1909" s="36" t="str">
        <f>IF(ISNUMBER(F1909),C1909*F1909,"")</f>
        <v/>
      </c>
    </row>
    <row r="1910" spans="1:7" ht="12" customHeight="1" outlineLevel="2" x14ac:dyDescent="0.2">
      <c r="A1910" s="14" t="s">
        <v>3775</v>
      </c>
      <c r="B1910" s="15" t="s">
        <v>3776</v>
      </c>
      <c r="C1910" s="16">
        <f>263.33/(1+B2)</f>
        <v>263.33</v>
      </c>
      <c r="D1910" s="17" t="s">
        <v>11</v>
      </c>
      <c r="E1910" s="17"/>
      <c r="F1910" s="18"/>
      <c r="G1910" s="36" t="str">
        <f>IF(ISNUMBER(F1910),C1910*F1910,"")</f>
        <v/>
      </c>
    </row>
    <row r="1911" spans="1:7" ht="12" customHeight="1" outlineLevel="2" x14ac:dyDescent="0.2">
      <c r="A1911" s="14" t="s">
        <v>3777</v>
      </c>
      <c r="B1911" s="15" t="s">
        <v>3778</v>
      </c>
      <c r="C1911" s="16">
        <f>263.33/(1+B2)</f>
        <v>263.33</v>
      </c>
      <c r="D1911" s="17" t="s">
        <v>11</v>
      </c>
      <c r="E1911" s="17"/>
      <c r="F1911" s="18"/>
      <c r="G1911" s="36" t="str">
        <f>IF(ISNUMBER(F1911),C1911*F1911,"")</f>
        <v/>
      </c>
    </row>
    <row r="1912" spans="1:7" ht="12" customHeight="1" outlineLevel="2" x14ac:dyDescent="0.2">
      <c r="A1912" s="14" t="s">
        <v>3779</v>
      </c>
      <c r="B1912" s="15" t="s">
        <v>3780</v>
      </c>
      <c r="C1912" s="16">
        <f>263.33/(1+B2)</f>
        <v>263.33</v>
      </c>
      <c r="D1912" s="17" t="s">
        <v>11</v>
      </c>
      <c r="E1912" s="17"/>
      <c r="F1912" s="18"/>
      <c r="G1912" s="36" t="str">
        <f>IF(ISNUMBER(F1912),C1912*F1912,"")</f>
        <v/>
      </c>
    </row>
    <row r="1913" spans="1:7" ht="12" customHeight="1" outlineLevel="2" x14ac:dyDescent="0.2">
      <c r="A1913" s="14" t="s">
        <v>3781</v>
      </c>
      <c r="B1913" s="15" t="s">
        <v>3782</v>
      </c>
      <c r="C1913" s="16">
        <f>248.43/(1+B2)</f>
        <v>248.43</v>
      </c>
      <c r="D1913" s="17" t="s">
        <v>11</v>
      </c>
      <c r="E1913" s="17"/>
      <c r="F1913" s="18"/>
      <c r="G1913" s="36" t="str">
        <f>IF(ISNUMBER(F1913),C1913*F1913,"")</f>
        <v/>
      </c>
    </row>
    <row r="1914" spans="1:7" ht="12" customHeight="1" outlineLevel="2" x14ac:dyDescent="0.2">
      <c r="A1914" s="14" t="s">
        <v>3783</v>
      </c>
      <c r="B1914" s="15" t="s">
        <v>3784</v>
      </c>
      <c r="C1914" s="16">
        <f>174.08/(1+B2)</f>
        <v>174.08</v>
      </c>
      <c r="D1914" s="17" t="s">
        <v>11</v>
      </c>
      <c r="E1914" s="17" t="s">
        <v>11</v>
      </c>
      <c r="F1914" s="18"/>
      <c r="G1914" s="36" t="str">
        <f>IF(ISNUMBER(F1914),C1914*F1914,"")</f>
        <v/>
      </c>
    </row>
    <row r="1915" spans="1:7" ht="12" customHeight="1" outlineLevel="2" x14ac:dyDescent="0.2">
      <c r="A1915" s="14" t="s">
        <v>3785</v>
      </c>
      <c r="B1915" s="15" t="s">
        <v>3786</v>
      </c>
      <c r="C1915" s="16">
        <f>174.08/(1+B2)</f>
        <v>174.08</v>
      </c>
      <c r="D1915" s="17" t="s">
        <v>11</v>
      </c>
      <c r="E1915" s="17"/>
      <c r="F1915" s="18"/>
      <c r="G1915" s="36" t="str">
        <f>IF(ISNUMBER(F1915),C1915*F1915,"")</f>
        <v/>
      </c>
    </row>
    <row r="1916" spans="1:7" ht="12" customHeight="1" outlineLevel="2" x14ac:dyDescent="0.2">
      <c r="A1916" s="14" t="s">
        <v>3787</v>
      </c>
      <c r="B1916" s="15" t="s">
        <v>3788</v>
      </c>
      <c r="C1916" s="16">
        <f>174.08/(1+B2)</f>
        <v>174.08</v>
      </c>
      <c r="D1916" s="17" t="s">
        <v>11</v>
      </c>
      <c r="E1916" s="17"/>
      <c r="F1916" s="18"/>
      <c r="G1916" s="36" t="str">
        <f>IF(ISNUMBER(F1916),C1916*F1916,"")</f>
        <v/>
      </c>
    </row>
    <row r="1917" spans="1:7" ht="12" customHeight="1" outlineLevel="2" x14ac:dyDescent="0.2">
      <c r="A1917" s="14" t="s">
        <v>3789</v>
      </c>
      <c r="B1917" s="15" t="s">
        <v>3790</v>
      </c>
      <c r="C1917" s="16">
        <f>174.08/(1+B2)</f>
        <v>174.08</v>
      </c>
      <c r="D1917" s="17" t="s">
        <v>11</v>
      </c>
      <c r="E1917" s="17" t="s">
        <v>11</v>
      </c>
      <c r="F1917" s="18"/>
      <c r="G1917" s="36" t="str">
        <f>IF(ISNUMBER(F1917),C1917*F1917,"")</f>
        <v/>
      </c>
    </row>
    <row r="1918" spans="1:7" ht="12" customHeight="1" outlineLevel="2" x14ac:dyDescent="0.2">
      <c r="A1918" s="14" t="s">
        <v>3791</v>
      </c>
      <c r="B1918" s="15" t="s">
        <v>3792</v>
      </c>
      <c r="C1918" s="16">
        <f>188.69/(1+B2)</f>
        <v>188.69</v>
      </c>
      <c r="D1918" s="17" t="s">
        <v>11</v>
      </c>
      <c r="E1918" s="17"/>
      <c r="F1918" s="18"/>
      <c r="G1918" s="36" t="str">
        <f>IF(ISNUMBER(F1918),C1918*F1918,"")</f>
        <v/>
      </c>
    </row>
    <row r="1919" spans="1:7" ht="12" customHeight="1" outlineLevel="2" x14ac:dyDescent="0.2">
      <c r="A1919" s="14" t="s">
        <v>3793</v>
      </c>
      <c r="B1919" s="15" t="s">
        <v>3794</v>
      </c>
      <c r="C1919" s="16">
        <f>126.9/(1+B2)</f>
        <v>126.9</v>
      </c>
      <c r="D1919" s="17" t="s">
        <v>11</v>
      </c>
      <c r="E1919" s="17" t="s">
        <v>11</v>
      </c>
      <c r="F1919" s="18"/>
      <c r="G1919" s="36" t="str">
        <f>IF(ISNUMBER(F1919),C1919*F1919,"")</f>
        <v/>
      </c>
    </row>
    <row r="1920" spans="1:7" ht="12" customHeight="1" outlineLevel="2" x14ac:dyDescent="0.2">
      <c r="A1920" s="14" t="s">
        <v>3795</v>
      </c>
      <c r="B1920" s="15" t="s">
        <v>3796</v>
      </c>
      <c r="C1920" s="16">
        <f>130.05/(1+B2)</f>
        <v>130.05000000000001</v>
      </c>
      <c r="D1920" s="17" t="s">
        <v>11</v>
      </c>
      <c r="E1920" s="17"/>
      <c r="F1920" s="18"/>
      <c r="G1920" s="36" t="str">
        <f>IF(ISNUMBER(F1920),C1920*F1920,"")</f>
        <v/>
      </c>
    </row>
    <row r="1921" spans="1:7" ht="12" customHeight="1" outlineLevel="2" x14ac:dyDescent="0.2">
      <c r="A1921" s="14" t="s">
        <v>3797</v>
      </c>
      <c r="B1921" s="15" t="s">
        <v>3798</v>
      </c>
      <c r="C1921" s="16">
        <f>188.69/(1+B2)</f>
        <v>188.69</v>
      </c>
      <c r="D1921" s="17" t="s">
        <v>11</v>
      </c>
      <c r="E1921" s="17" t="s">
        <v>11</v>
      </c>
      <c r="F1921" s="18"/>
      <c r="G1921" s="36" t="str">
        <f>IF(ISNUMBER(F1921),C1921*F1921,"")</f>
        <v/>
      </c>
    </row>
    <row r="1922" spans="1:7" ht="12" customHeight="1" outlineLevel="2" x14ac:dyDescent="0.2">
      <c r="A1922" s="14" t="s">
        <v>3799</v>
      </c>
      <c r="B1922" s="15" t="s">
        <v>3800</v>
      </c>
      <c r="C1922" s="16">
        <f>88.13/(1+B2)</f>
        <v>88.13</v>
      </c>
      <c r="D1922" s="17" t="s">
        <v>11</v>
      </c>
      <c r="E1922" s="17" t="s">
        <v>11</v>
      </c>
      <c r="F1922" s="18"/>
      <c r="G1922" s="36" t="str">
        <f>IF(ISNUMBER(F1922),C1922*F1922,"")</f>
        <v/>
      </c>
    </row>
    <row r="1923" spans="1:7" ht="12" customHeight="1" outlineLevel="2" x14ac:dyDescent="0.2">
      <c r="A1923" s="14" t="s">
        <v>3801</v>
      </c>
      <c r="B1923" s="15" t="s">
        <v>3802</v>
      </c>
      <c r="C1923" s="16">
        <f>268.8/(1+B2)</f>
        <v>268.8</v>
      </c>
      <c r="D1923" s="17" t="s">
        <v>11</v>
      </c>
      <c r="E1923" s="17"/>
      <c r="F1923" s="18"/>
      <c r="G1923" s="36" t="str">
        <f>IF(ISNUMBER(F1923),C1923*F1923,"")</f>
        <v/>
      </c>
    </row>
    <row r="1924" spans="1:7" ht="12" customHeight="1" outlineLevel="2" x14ac:dyDescent="0.2">
      <c r="A1924" s="14" t="s">
        <v>3803</v>
      </c>
      <c r="B1924" s="15" t="s">
        <v>3804</v>
      </c>
      <c r="C1924" s="16">
        <f>282.5/(1+B2)</f>
        <v>282.5</v>
      </c>
      <c r="D1924" s="17" t="s">
        <v>11</v>
      </c>
      <c r="E1924" s="17" t="s">
        <v>11</v>
      </c>
      <c r="F1924" s="18"/>
      <c r="G1924" s="36" t="str">
        <f>IF(ISNUMBER(F1924),C1924*F1924,"")</f>
        <v/>
      </c>
    </row>
    <row r="1925" spans="1:7" ht="12" customHeight="1" outlineLevel="2" x14ac:dyDescent="0.2">
      <c r="A1925" s="14" t="s">
        <v>3805</v>
      </c>
      <c r="B1925" s="15" t="s">
        <v>3806</v>
      </c>
      <c r="C1925" s="16">
        <f>282.5/(1+B2)</f>
        <v>282.5</v>
      </c>
      <c r="D1925" s="17" t="s">
        <v>11</v>
      </c>
      <c r="E1925" s="17" t="s">
        <v>11</v>
      </c>
      <c r="F1925" s="18"/>
      <c r="G1925" s="36" t="str">
        <f>IF(ISNUMBER(F1925),C1925*F1925,"")</f>
        <v/>
      </c>
    </row>
    <row r="1926" spans="1:7" ht="12" customHeight="1" outlineLevel="2" x14ac:dyDescent="0.2">
      <c r="A1926" s="14" t="s">
        <v>3807</v>
      </c>
      <c r="B1926" s="15" t="s">
        <v>3808</v>
      </c>
      <c r="C1926" s="16">
        <f>282.5/(1+B2)</f>
        <v>282.5</v>
      </c>
      <c r="D1926" s="17" t="s">
        <v>11</v>
      </c>
      <c r="E1926" s="17" t="s">
        <v>11</v>
      </c>
      <c r="F1926" s="18"/>
      <c r="G1926" s="36" t="str">
        <f>IF(ISNUMBER(F1926),C1926*F1926,"")</f>
        <v/>
      </c>
    </row>
    <row r="1927" spans="1:7" ht="12" customHeight="1" outlineLevel="2" x14ac:dyDescent="0.2">
      <c r="A1927" s="14" t="s">
        <v>3809</v>
      </c>
      <c r="B1927" s="15" t="s">
        <v>3810</v>
      </c>
      <c r="C1927" s="16">
        <f>250.23/(1+B2)</f>
        <v>250.23</v>
      </c>
      <c r="D1927" s="17" t="s">
        <v>14</v>
      </c>
      <c r="E1927" s="17" t="s">
        <v>53</v>
      </c>
      <c r="F1927" s="18"/>
      <c r="G1927" s="36" t="str">
        <f>IF(ISNUMBER(F1927),C1927*F1927,"")</f>
        <v/>
      </c>
    </row>
    <row r="1928" spans="1:7" s="1" customFormat="1" ht="15.95" customHeight="1" outlineLevel="1" x14ac:dyDescent="0.25">
      <c r="A1928" s="11"/>
      <c r="B1928" s="12" t="s">
        <v>3811</v>
      </c>
      <c r="C1928" s="13"/>
      <c r="D1928" s="13"/>
      <c r="E1928" s="13"/>
      <c r="F1928" s="13"/>
      <c r="G1928" s="35"/>
    </row>
    <row r="1929" spans="1:7" ht="12" customHeight="1" outlineLevel="2" x14ac:dyDescent="0.2">
      <c r="A1929" s="14" t="s">
        <v>3812</v>
      </c>
      <c r="B1929" s="15" t="s">
        <v>3813</v>
      </c>
      <c r="C1929" s="16">
        <f>211.6/(1+B2)</f>
        <v>211.6</v>
      </c>
      <c r="D1929" s="17" t="s">
        <v>11</v>
      </c>
      <c r="E1929" s="17" t="s">
        <v>11</v>
      </c>
      <c r="F1929" s="18"/>
      <c r="G1929" s="36" t="str">
        <f>IF(ISNUMBER(F1929),C1929*F1929,"")</f>
        <v/>
      </c>
    </row>
    <row r="1930" spans="1:7" ht="24" customHeight="1" outlineLevel="2" x14ac:dyDescent="0.2">
      <c r="A1930" s="14" t="s">
        <v>3814</v>
      </c>
      <c r="B1930" s="15" t="s">
        <v>3815</v>
      </c>
      <c r="C1930" s="16">
        <f>257.83/(1+B2)</f>
        <v>257.83</v>
      </c>
      <c r="D1930" s="17" t="s">
        <v>11</v>
      </c>
      <c r="E1930" s="17" t="s">
        <v>11</v>
      </c>
      <c r="F1930" s="18"/>
      <c r="G1930" s="36" t="str">
        <f>IF(ISNUMBER(F1930),C1930*F1930,"")</f>
        <v/>
      </c>
    </row>
    <row r="1931" spans="1:7" ht="24" customHeight="1" outlineLevel="2" x14ac:dyDescent="0.2">
      <c r="A1931" s="14" t="s">
        <v>3816</v>
      </c>
      <c r="B1931" s="15" t="s">
        <v>3817</v>
      </c>
      <c r="C1931" s="16">
        <f>257.83/(1+B2)</f>
        <v>257.83</v>
      </c>
      <c r="D1931" s="17" t="s">
        <v>11</v>
      </c>
      <c r="E1931" s="17" t="s">
        <v>11</v>
      </c>
      <c r="F1931" s="18"/>
      <c r="G1931" s="36" t="str">
        <f>IF(ISNUMBER(F1931),C1931*F1931,"")</f>
        <v/>
      </c>
    </row>
    <row r="1932" spans="1:7" ht="12" customHeight="1" outlineLevel="2" x14ac:dyDescent="0.2">
      <c r="A1932" s="14" t="s">
        <v>3818</v>
      </c>
      <c r="B1932" s="15" t="s">
        <v>3819</v>
      </c>
      <c r="C1932" s="16">
        <f>257.83/(1+B2)</f>
        <v>257.83</v>
      </c>
      <c r="D1932" s="17" t="s">
        <v>11</v>
      </c>
      <c r="E1932" s="17" t="s">
        <v>11</v>
      </c>
      <c r="F1932" s="18"/>
      <c r="G1932" s="36" t="str">
        <f>IF(ISNUMBER(F1932),C1932*F1932,"")</f>
        <v/>
      </c>
    </row>
    <row r="1933" spans="1:7" ht="12" customHeight="1" outlineLevel="2" x14ac:dyDescent="0.2">
      <c r="A1933" s="14" t="s">
        <v>3820</v>
      </c>
      <c r="B1933" s="15" t="s">
        <v>3821</v>
      </c>
      <c r="C1933" s="16">
        <f>237.89/(1+B2)</f>
        <v>237.89</v>
      </c>
      <c r="D1933" s="17" t="s">
        <v>11</v>
      </c>
      <c r="E1933" s="17" t="s">
        <v>14</v>
      </c>
      <c r="F1933" s="18"/>
      <c r="G1933" s="36" t="str">
        <f>IF(ISNUMBER(F1933),C1933*F1933,"")</f>
        <v/>
      </c>
    </row>
    <row r="1934" spans="1:7" ht="12" customHeight="1" outlineLevel="2" x14ac:dyDescent="0.2">
      <c r="A1934" s="14" t="s">
        <v>3822</v>
      </c>
      <c r="B1934" s="15" t="s">
        <v>3823</v>
      </c>
      <c r="C1934" s="16">
        <f>257.83/(1+B2)</f>
        <v>257.83</v>
      </c>
      <c r="D1934" s="17" t="s">
        <v>11</v>
      </c>
      <c r="E1934" s="17" t="s">
        <v>11</v>
      </c>
      <c r="F1934" s="18"/>
      <c r="G1934" s="36" t="str">
        <f>IF(ISNUMBER(F1934),C1934*F1934,"")</f>
        <v/>
      </c>
    </row>
    <row r="1935" spans="1:7" ht="24" customHeight="1" outlineLevel="2" x14ac:dyDescent="0.2">
      <c r="A1935" s="14" t="s">
        <v>3824</v>
      </c>
      <c r="B1935" s="15" t="s">
        <v>3825</v>
      </c>
      <c r="C1935" s="16">
        <f>193.75/(1+B2)</f>
        <v>193.75</v>
      </c>
      <c r="D1935" s="17" t="s">
        <v>11</v>
      </c>
      <c r="E1935" s="17" t="s">
        <v>53</v>
      </c>
      <c r="F1935" s="18"/>
      <c r="G1935" s="36" t="str">
        <f>IF(ISNUMBER(F1935),C1935*F1935,"")</f>
        <v/>
      </c>
    </row>
    <row r="1936" spans="1:7" ht="24" customHeight="1" outlineLevel="2" x14ac:dyDescent="0.2">
      <c r="A1936" s="14" t="s">
        <v>3826</v>
      </c>
      <c r="B1936" s="15" t="s">
        <v>3827</v>
      </c>
      <c r="C1936" s="16">
        <f>193.75/(1+B2)</f>
        <v>193.75</v>
      </c>
      <c r="D1936" s="17" t="s">
        <v>11</v>
      </c>
      <c r="E1936" s="17" t="s">
        <v>11</v>
      </c>
      <c r="F1936" s="18"/>
      <c r="G1936" s="36" t="str">
        <f>IF(ISNUMBER(F1936),C1936*F1936,"")</f>
        <v/>
      </c>
    </row>
    <row r="1937" spans="1:7" ht="24" customHeight="1" outlineLevel="2" x14ac:dyDescent="0.2">
      <c r="A1937" s="14" t="s">
        <v>3828</v>
      </c>
      <c r="B1937" s="15" t="s">
        <v>3829</v>
      </c>
      <c r="C1937" s="16">
        <f>193.75/(1+B2)</f>
        <v>193.75</v>
      </c>
      <c r="D1937" s="17" t="s">
        <v>11</v>
      </c>
      <c r="E1937" s="17" t="s">
        <v>11</v>
      </c>
      <c r="F1937" s="18"/>
      <c r="G1937" s="36" t="str">
        <f>IF(ISNUMBER(F1937),C1937*F1937,"")</f>
        <v/>
      </c>
    </row>
    <row r="1938" spans="1:7" ht="24" customHeight="1" outlineLevel="2" x14ac:dyDescent="0.2">
      <c r="A1938" s="14" t="s">
        <v>3830</v>
      </c>
      <c r="B1938" s="15" t="s">
        <v>3831</v>
      </c>
      <c r="C1938" s="16">
        <f>150.64/(1+B2)</f>
        <v>150.63999999999999</v>
      </c>
      <c r="D1938" s="17" t="s">
        <v>11</v>
      </c>
      <c r="E1938" s="17" t="s">
        <v>53</v>
      </c>
      <c r="F1938" s="18"/>
      <c r="G1938" s="36" t="str">
        <f>IF(ISNUMBER(F1938),C1938*F1938,"")</f>
        <v/>
      </c>
    </row>
    <row r="1939" spans="1:7" ht="24" customHeight="1" outlineLevel="2" x14ac:dyDescent="0.2">
      <c r="A1939" s="14" t="s">
        <v>3832</v>
      </c>
      <c r="B1939" s="15" t="s">
        <v>3833</v>
      </c>
      <c r="C1939" s="16">
        <f>193.75/(1+B2)</f>
        <v>193.75</v>
      </c>
      <c r="D1939" s="17" t="s">
        <v>11</v>
      </c>
      <c r="E1939" s="17"/>
      <c r="F1939" s="18"/>
      <c r="G1939" s="36" t="str">
        <f>IF(ISNUMBER(F1939),C1939*F1939,"")</f>
        <v/>
      </c>
    </row>
    <row r="1940" spans="1:7" ht="12" customHeight="1" outlineLevel="2" x14ac:dyDescent="0.2">
      <c r="A1940" s="14" t="s">
        <v>3834</v>
      </c>
      <c r="B1940" s="15" t="s">
        <v>3835</v>
      </c>
      <c r="C1940" s="16">
        <f>196.3/(1+B2)</f>
        <v>196.3</v>
      </c>
      <c r="D1940" s="17" t="s">
        <v>11</v>
      </c>
      <c r="E1940" s="17" t="s">
        <v>11</v>
      </c>
      <c r="F1940" s="18"/>
      <c r="G1940" s="36" t="str">
        <f>IF(ISNUMBER(F1940),C1940*F1940,"")</f>
        <v/>
      </c>
    </row>
    <row r="1941" spans="1:7" ht="12" customHeight="1" outlineLevel="2" x14ac:dyDescent="0.2">
      <c r="A1941" s="14" t="s">
        <v>3836</v>
      </c>
      <c r="B1941" s="15" t="s">
        <v>3837</v>
      </c>
      <c r="C1941" s="16">
        <f>196.3/(1+B2)</f>
        <v>196.3</v>
      </c>
      <c r="D1941" s="17" t="s">
        <v>11</v>
      </c>
      <c r="E1941" s="17" t="s">
        <v>14</v>
      </c>
      <c r="F1941" s="18"/>
      <c r="G1941" s="36" t="str">
        <f>IF(ISNUMBER(F1941),C1941*F1941,"")</f>
        <v/>
      </c>
    </row>
    <row r="1942" spans="1:7" ht="12" customHeight="1" outlineLevel="2" x14ac:dyDescent="0.2">
      <c r="A1942" s="14" t="s">
        <v>3838</v>
      </c>
      <c r="B1942" s="15" t="s">
        <v>3839</v>
      </c>
      <c r="C1942" s="16">
        <f>95.2/(1+B2)</f>
        <v>95.2</v>
      </c>
      <c r="D1942" s="17" t="s">
        <v>11</v>
      </c>
      <c r="E1942" s="17" t="s">
        <v>11</v>
      </c>
      <c r="F1942" s="18"/>
      <c r="G1942" s="36" t="str">
        <f>IF(ISNUMBER(F1942),C1942*F1942,"")</f>
        <v/>
      </c>
    </row>
    <row r="1943" spans="1:7" ht="24" customHeight="1" outlineLevel="2" x14ac:dyDescent="0.2">
      <c r="A1943" s="14" t="s">
        <v>3840</v>
      </c>
      <c r="B1943" s="15" t="s">
        <v>3841</v>
      </c>
      <c r="C1943" s="16">
        <f>63.25/(1+B2)</f>
        <v>63.25</v>
      </c>
      <c r="D1943" s="17" t="s">
        <v>11</v>
      </c>
      <c r="E1943" s="17" t="s">
        <v>11</v>
      </c>
      <c r="F1943" s="18"/>
      <c r="G1943" s="36" t="str">
        <f>IF(ISNUMBER(F1943),C1943*F1943,"")</f>
        <v/>
      </c>
    </row>
    <row r="1944" spans="1:7" ht="12" customHeight="1" outlineLevel="2" x14ac:dyDescent="0.2">
      <c r="A1944" s="14" t="s">
        <v>3842</v>
      </c>
      <c r="B1944" s="15" t="s">
        <v>3843</v>
      </c>
      <c r="C1944" s="16">
        <f>79.85/(1+B2)</f>
        <v>79.849999999999994</v>
      </c>
      <c r="D1944" s="17" t="s">
        <v>11</v>
      </c>
      <c r="E1944" s="17"/>
      <c r="F1944" s="18"/>
      <c r="G1944" s="36" t="str">
        <f>IF(ISNUMBER(F1944),C1944*F1944,"")</f>
        <v/>
      </c>
    </row>
    <row r="1945" spans="1:7" ht="12" customHeight="1" outlineLevel="2" x14ac:dyDescent="0.2">
      <c r="A1945" s="14" t="s">
        <v>3844</v>
      </c>
      <c r="B1945" s="15" t="s">
        <v>3845</v>
      </c>
      <c r="C1945" s="16">
        <f>68.55/(1+B2)</f>
        <v>68.55</v>
      </c>
      <c r="D1945" s="17" t="s">
        <v>11</v>
      </c>
      <c r="E1945" s="17"/>
      <c r="F1945" s="18"/>
      <c r="G1945" s="36" t="str">
        <f>IF(ISNUMBER(F1945),C1945*F1945,"")</f>
        <v/>
      </c>
    </row>
    <row r="1946" spans="1:7" ht="24" customHeight="1" outlineLevel="2" x14ac:dyDescent="0.2">
      <c r="A1946" s="14" t="s">
        <v>3846</v>
      </c>
      <c r="B1946" s="15" t="s">
        <v>3847</v>
      </c>
      <c r="C1946" s="16">
        <f>121.94/(1+B2)</f>
        <v>121.94</v>
      </c>
      <c r="D1946" s="17" t="s">
        <v>11</v>
      </c>
      <c r="E1946" s="17" t="s">
        <v>11</v>
      </c>
      <c r="F1946" s="18"/>
      <c r="G1946" s="36" t="str">
        <f>IF(ISNUMBER(F1946),C1946*F1946,"")</f>
        <v/>
      </c>
    </row>
    <row r="1947" spans="1:7" ht="24" customHeight="1" outlineLevel="2" x14ac:dyDescent="0.2">
      <c r="A1947" s="14" t="s">
        <v>3848</v>
      </c>
      <c r="B1947" s="15" t="s">
        <v>3849</v>
      </c>
      <c r="C1947" s="16">
        <f>53.33/(1+B2)</f>
        <v>53.33</v>
      </c>
      <c r="D1947" s="17" t="s">
        <v>11</v>
      </c>
      <c r="E1947" s="17" t="s">
        <v>11</v>
      </c>
      <c r="F1947" s="18"/>
      <c r="G1947" s="36" t="str">
        <f>IF(ISNUMBER(F1947),C1947*F1947,"")</f>
        <v/>
      </c>
    </row>
    <row r="1948" spans="1:7" ht="24" customHeight="1" outlineLevel="2" x14ac:dyDescent="0.2">
      <c r="A1948" s="14" t="s">
        <v>3850</v>
      </c>
      <c r="B1948" s="15" t="s">
        <v>3851</v>
      </c>
      <c r="C1948" s="16">
        <f>208.61/(1+B2)</f>
        <v>208.61</v>
      </c>
      <c r="D1948" s="17"/>
      <c r="E1948" s="17" t="s">
        <v>11</v>
      </c>
      <c r="F1948" s="18"/>
      <c r="G1948" s="36" t="str">
        <f>IF(ISNUMBER(F1948),C1948*F1948,"")</f>
        <v/>
      </c>
    </row>
    <row r="1949" spans="1:7" ht="24" customHeight="1" outlineLevel="2" x14ac:dyDescent="0.2">
      <c r="A1949" s="14" t="s">
        <v>3852</v>
      </c>
      <c r="B1949" s="15" t="s">
        <v>3853</v>
      </c>
      <c r="C1949" s="16">
        <f>32.66/(1+B2)</f>
        <v>32.659999999999997</v>
      </c>
      <c r="D1949" s="17" t="s">
        <v>53</v>
      </c>
      <c r="E1949" s="17" t="s">
        <v>11</v>
      </c>
      <c r="F1949" s="18"/>
      <c r="G1949" s="36" t="str">
        <f>IF(ISNUMBER(F1949),C1949*F1949,"")</f>
        <v/>
      </c>
    </row>
    <row r="1950" spans="1:7" ht="12" customHeight="1" outlineLevel="2" x14ac:dyDescent="0.2">
      <c r="A1950" s="14" t="s">
        <v>3854</v>
      </c>
      <c r="B1950" s="15" t="s">
        <v>3855</v>
      </c>
      <c r="C1950" s="16">
        <f>240.7/(1+B2)</f>
        <v>240.7</v>
      </c>
      <c r="D1950" s="17" t="s">
        <v>11</v>
      </c>
      <c r="E1950" s="17"/>
      <c r="F1950" s="18"/>
      <c r="G1950" s="36" t="str">
        <f>IF(ISNUMBER(F1950),C1950*F1950,"")</f>
        <v/>
      </c>
    </row>
    <row r="1951" spans="1:7" ht="12" customHeight="1" outlineLevel="2" x14ac:dyDescent="0.2">
      <c r="A1951" s="14" t="s">
        <v>3856</v>
      </c>
      <c r="B1951" s="15" t="s">
        <v>3857</v>
      </c>
      <c r="C1951" s="16">
        <f>176.71/(1+B2)</f>
        <v>176.71</v>
      </c>
      <c r="D1951" s="17" t="s">
        <v>11</v>
      </c>
      <c r="E1951" s="17"/>
      <c r="F1951" s="18"/>
      <c r="G1951" s="36" t="str">
        <f>IF(ISNUMBER(F1951),C1951*F1951,"")</f>
        <v/>
      </c>
    </row>
    <row r="1952" spans="1:7" ht="12" customHeight="1" outlineLevel="2" x14ac:dyDescent="0.2">
      <c r="A1952" s="14" t="s">
        <v>3858</v>
      </c>
      <c r="B1952" s="15" t="s">
        <v>3859</v>
      </c>
      <c r="C1952" s="16">
        <f>240.7/(1+B2)</f>
        <v>240.7</v>
      </c>
      <c r="D1952" s="17" t="s">
        <v>11</v>
      </c>
      <c r="E1952" s="17" t="s">
        <v>11</v>
      </c>
      <c r="F1952" s="18"/>
      <c r="G1952" s="36" t="str">
        <f>IF(ISNUMBER(F1952),C1952*F1952,"")</f>
        <v/>
      </c>
    </row>
    <row r="1953" spans="1:7" ht="24" customHeight="1" outlineLevel="2" x14ac:dyDescent="0.2">
      <c r="A1953" s="14" t="s">
        <v>3860</v>
      </c>
      <c r="B1953" s="15" t="s">
        <v>3861</v>
      </c>
      <c r="C1953" s="16">
        <f>125.44/(1+B2)</f>
        <v>125.44</v>
      </c>
      <c r="D1953" s="17" t="s">
        <v>11</v>
      </c>
      <c r="E1953" s="17" t="s">
        <v>11</v>
      </c>
      <c r="F1953" s="18"/>
      <c r="G1953" s="36" t="str">
        <f>IF(ISNUMBER(F1953),C1953*F1953,"")</f>
        <v/>
      </c>
    </row>
    <row r="1954" spans="1:7" ht="12" customHeight="1" outlineLevel="2" x14ac:dyDescent="0.2">
      <c r="A1954" s="14" t="s">
        <v>3862</v>
      </c>
      <c r="B1954" s="15" t="s">
        <v>3863</v>
      </c>
      <c r="C1954" s="16">
        <f>145.91/(1+B2)</f>
        <v>145.91</v>
      </c>
      <c r="D1954" s="17" t="s">
        <v>11</v>
      </c>
      <c r="E1954" s="17" t="s">
        <v>11</v>
      </c>
      <c r="F1954" s="18"/>
      <c r="G1954" s="36" t="str">
        <f>IF(ISNUMBER(F1954),C1954*F1954,"")</f>
        <v/>
      </c>
    </row>
    <row r="1955" spans="1:7" ht="12" customHeight="1" outlineLevel="2" x14ac:dyDescent="0.2">
      <c r="A1955" s="14" t="s">
        <v>3864</v>
      </c>
      <c r="B1955" s="15" t="s">
        <v>3865</v>
      </c>
      <c r="C1955" s="16">
        <f>158.73/(1+B2)</f>
        <v>158.72999999999999</v>
      </c>
      <c r="D1955" s="17" t="s">
        <v>11</v>
      </c>
      <c r="E1955" s="17"/>
      <c r="F1955" s="18"/>
      <c r="G1955" s="36" t="str">
        <f>IF(ISNUMBER(F1955),C1955*F1955,"")</f>
        <v/>
      </c>
    </row>
    <row r="1956" spans="1:7" ht="24" customHeight="1" outlineLevel="2" x14ac:dyDescent="0.2">
      <c r="A1956" s="14" t="s">
        <v>3866</v>
      </c>
      <c r="B1956" s="15" t="s">
        <v>3867</v>
      </c>
      <c r="C1956" s="16">
        <f>148.71/(1+B2)</f>
        <v>148.71</v>
      </c>
      <c r="D1956" s="17" t="s">
        <v>11</v>
      </c>
      <c r="E1956" s="17" t="s">
        <v>14</v>
      </c>
      <c r="F1956" s="18"/>
      <c r="G1956" s="36" t="str">
        <f>IF(ISNUMBER(F1956),C1956*F1956,"")</f>
        <v/>
      </c>
    </row>
    <row r="1957" spans="1:7" ht="12" customHeight="1" outlineLevel="2" x14ac:dyDescent="0.2">
      <c r="A1957" s="14" t="s">
        <v>3868</v>
      </c>
      <c r="B1957" s="15" t="s">
        <v>3869</v>
      </c>
      <c r="C1957" s="16">
        <f>190.94/(1+B2)</f>
        <v>190.94</v>
      </c>
      <c r="D1957" s="17" t="s">
        <v>11</v>
      </c>
      <c r="E1957" s="17"/>
      <c r="F1957" s="18"/>
      <c r="G1957" s="36" t="str">
        <f>IF(ISNUMBER(F1957),C1957*F1957,"")</f>
        <v/>
      </c>
    </row>
    <row r="1958" spans="1:7" ht="12" customHeight="1" outlineLevel="2" x14ac:dyDescent="0.2">
      <c r="A1958" s="14" t="s">
        <v>3870</v>
      </c>
      <c r="B1958" s="15" t="s">
        <v>3871</v>
      </c>
      <c r="C1958" s="16">
        <f>102.6/(1+B2)</f>
        <v>102.6</v>
      </c>
      <c r="D1958" s="17" t="s">
        <v>11</v>
      </c>
      <c r="E1958" s="17"/>
      <c r="F1958" s="18"/>
      <c r="G1958" s="36" t="str">
        <f>IF(ISNUMBER(F1958),C1958*F1958,"")</f>
        <v/>
      </c>
    </row>
    <row r="1959" spans="1:7" ht="12" customHeight="1" outlineLevel="2" x14ac:dyDescent="0.2">
      <c r="A1959" s="14" t="s">
        <v>3872</v>
      </c>
      <c r="B1959" s="15" t="s">
        <v>3873</v>
      </c>
      <c r="C1959" s="16">
        <f>102.6/(1+B2)</f>
        <v>102.6</v>
      </c>
      <c r="D1959" s="17" t="s">
        <v>11</v>
      </c>
      <c r="E1959" s="17" t="s">
        <v>11</v>
      </c>
      <c r="F1959" s="18"/>
      <c r="G1959" s="36" t="str">
        <f>IF(ISNUMBER(F1959),C1959*F1959,"")</f>
        <v/>
      </c>
    </row>
    <row r="1960" spans="1:7" ht="12" customHeight="1" outlineLevel="2" x14ac:dyDescent="0.2">
      <c r="A1960" s="14" t="s">
        <v>3874</v>
      </c>
      <c r="B1960" s="15" t="s">
        <v>3875</v>
      </c>
      <c r="C1960" s="16">
        <f>102.6/(1+B2)</f>
        <v>102.6</v>
      </c>
      <c r="D1960" s="17" t="s">
        <v>11</v>
      </c>
      <c r="E1960" s="17"/>
      <c r="F1960" s="18"/>
      <c r="G1960" s="36" t="str">
        <f>IF(ISNUMBER(F1960),C1960*F1960,"")</f>
        <v/>
      </c>
    </row>
    <row r="1961" spans="1:7" ht="12" customHeight="1" outlineLevel="2" x14ac:dyDescent="0.2">
      <c r="A1961" s="14" t="s">
        <v>3876</v>
      </c>
      <c r="B1961" s="15" t="s">
        <v>3877</v>
      </c>
      <c r="C1961" s="16">
        <f>103.41/(1+B2)</f>
        <v>103.41</v>
      </c>
      <c r="D1961" s="17" t="s">
        <v>11</v>
      </c>
      <c r="E1961" s="17"/>
      <c r="F1961" s="18"/>
      <c r="G1961" s="36" t="str">
        <f>IF(ISNUMBER(F1961),C1961*F1961,"")</f>
        <v/>
      </c>
    </row>
    <row r="1962" spans="1:7" ht="12" customHeight="1" outlineLevel="2" x14ac:dyDescent="0.2">
      <c r="A1962" s="14" t="s">
        <v>3878</v>
      </c>
      <c r="B1962" s="15" t="s">
        <v>3879</v>
      </c>
      <c r="C1962" s="16">
        <f>211.31/(1+B2)</f>
        <v>211.31</v>
      </c>
      <c r="D1962" s="17" t="s">
        <v>11</v>
      </c>
      <c r="E1962" s="17"/>
      <c r="F1962" s="18"/>
      <c r="G1962" s="36" t="str">
        <f>IF(ISNUMBER(F1962),C1962*F1962,"")</f>
        <v/>
      </c>
    </row>
    <row r="1963" spans="1:7" ht="12" customHeight="1" outlineLevel="2" x14ac:dyDescent="0.2">
      <c r="A1963" s="14" t="s">
        <v>3880</v>
      </c>
      <c r="B1963" s="15" t="s">
        <v>3881</v>
      </c>
      <c r="C1963" s="16">
        <f>78.5/(1+B2)</f>
        <v>78.5</v>
      </c>
      <c r="D1963" s="17" t="s">
        <v>11</v>
      </c>
      <c r="E1963" s="17" t="s">
        <v>11</v>
      </c>
      <c r="F1963" s="18"/>
      <c r="G1963" s="36" t="str">
        <f>IF(ISNUMBER(F1963),C1963*F1963,"")</f>
        <v/>
      </c>
    </row>
    <row r="1964" spans="1:7" ht="12" customHeight="1" outlineLevel="2" x14ac:dyDescent="0.2">
      <c r="A1964" s="14" t="s">
        <v>3882</v>
      </c>
      <c r="B1964" s="15" t="s">
        <v>3883</v>
      </c>
      <c r="C1964" s="16">
        <f>76.38/(1+B2)</f>
        <v>76.38</v>
      </c>
      <c r="D1964" s="17" t="s">
        <v>11</v>
      </c>
      <c r="E1964" s="17" t="s">
        <v>11</v>
      </c>
      <c r="F1964" s="18"/>
      <c r="G1964" s="36" t="str">
        <f>IF(ISNUMBER(F1964),C1964*F1964,"")</f>
        <v/>
      </c>
    </row>
    <row r="1965" spans="1:7" ht="12" customHeight="1" outlineLevel="2" x14ac:dyDescent="0.2">
      <c r="A1965" s="14" t="s">
        <v>3884</v>
      </c>
      <c r="B1965" s="15" t="s">
        <v>3885</v>
      </c>
      <c r="C1965" s="16">
        <f>68.13/(1+B2)</f>
        <v>68.13</v>
      </c>
      <c r="D1965" s="17" t="s">
        <v>11</v>
      </c>
      <c r="E1965" s="17" t="s">
        <v>106</v>
      </c>
      <c r="F1965" s="18"/>
      <c r="G1965" s="36" t="str">
        <f>IF(ISNUMBER(F1965),C1965*F1965,"")</f>
        <v/>
      </c>
    </row>
    <row r="1966" spans="1:7" ht="12" customHeight="1" outlineLevel="2" x14ac:dyDescent="0.2">
      <c r="A1966" s="14" t="s">
        <v>3886</v>
      </c>
      <c r="B1966" s="15" t="s">
        <v>3887</v>
      </c>
      <c r="C1966" s="16">
        <f>103.75/(1+B2)</f>
        <v>103.75</v>
      </c>
      <c r="D1966" s="17" t="s">
        <v>11</v>
      </c>
      <c r="E1966" s="17" t="s">
        <v>11</v>
      </c>
      <c r="F1966" s="18"/>
      <c r="G1966" s="36" t="str">
        <f>IF(ISNUMBER(F1966),C1966*F1966,"")</f>
        <v/>
      </c>
    </row>
    <row r="1967" spans="1:7" ht="12" customHeight="1" outlineLevel="2" x14ac:dyDescent="0.2">
      <c r="A1967" s="14" t="s">
        <v>3888</v>
      </c>
      <c r="B1967" s="15" t="s">
        <v>3889</v>
      </c>
      <c r="C1967" s="16">
        <f>196.65/(1+B2)</f>
        <v>196.65</v>
      </c>
      <c r="D1967" s="17" t="s">
        <v>11</v>
      </c>
      <c r="E1967" s="17"/>
      <c r="F1967" s="18"/>
      <c r="G1967" s="36" t="str">
        <f>IF(ISNUMBER(F1967),C1967*F1967,"")</f>
        <v/>
      </c>
    </row>
    <row r="1968" spans="1:7" ht="12" customHeight="1" outlineLevel="2" x14ac:dyDescent="0.2">
      <c r="A1968" s="14" t="s">
        <v>3890</v>
      </c>
      <c r="B1968" s="15" t="s">
        <v>3891</v>
      </c>
      <c r="C1968" s="16">
        <f>79.49/(1+B2)</f>
        <v>79.489999999999995</v>
      </c>
      <c r="D1968" s="17" t="s">
        <v>11</v>
      </c>
      <c r="E1968" s="17" t="s">
        <v>11</v>
      </c>
      <c r="F1968" s="18"/>
      <c r="G1968" s="36" t="str">
        <f>IF(ISNUMBER(F1968),C1968*F1968,"")</f>
        <v/>
      </c>
    </row>
    <row r="1969" spans="1:7" ht="12" customHeight="1" outlineLevel="2" x14ac:dyDescent="0.2">
      <c r="A1969" s="14" t="s">
        <v>3892</v>
      </c>
      <c r="B1969" s="15" t="s">
        <v>3893</v>
      </c>
      <c r="C1969" s="16">
        <f>137/(1+B2)</f>
        <v>137</v>
      </c>
      <c r="D1969" s="17" t="s">
        <v>14</v>
      </c>
      <c r="E1969" s="17" t="s">
        <v>53</v>
      </c>
      <c r="F1969" s="18"/>
      <c r="G1969" s="36" t="str">
        <f>IF(ISNUMBER(F1969),C1969*F1969,"")</f>
        <v/>
      </c>
    </row>
    <row r="1970" spans="1:7" ht="12" customHeight="1" outlineLevel="2" x14ac:dyDescent="0.2">
      <c r="A1970" s="14" t="s">
        <v>3894</v>
      </c>
      <c r="B1970" s="15" t="s">
        <v>3895</v>
      </c>
      <c r="C1970" s="16">
        <f>128.53/(1+B2)</f>
        <v>128.53</v>
      </c>
      <c r="D1970" s="17" t="s">
        <v>14</v>
      </c>
      <c r="E1970" s="17" t="s">
        <v>53</v>
      </c>
      <c r="F1970" s="18"/>
      <c r="G1970" s="36" t="str">
        <f>IF(ISNUMBER(F1970),C1970*F1970,"")</f>
        <v/>
      </c>
    </row>
    <row r="1971" spans="1:7" ht="12" customHeight="1" outlineLevel="2" x14ac:dyDescent="0.2">
      <c r="A1971" s="14" t="s">
        <v>3896</v>
      </c>
      <c r="B1971" s="15" t="s">
        <v>3897</v>
      </c>
      <c r="C1971" s="16">
        <f>131.18/(1+B2)</f>
        <v>131.18</v>
      </c>
      <c r="D1971" s="17" t="s">
        <v>11</v>
      </c>
      <c r="E1971" s="17" t="s">
        <v>53</v>
      </c>
      <c r="F1971" s="18"/>
      <c r="G1971" s="36" t="str">
        <f>IF(ISNUMBER(F1971),C1971*F1971,"")</f>
        <v/>
      </c>
    </row>
    <row r="1972" spans="1:7" ht="12" customHeight="1" outlineLevel="2" x14ac:dyDescent="0.2">
      <c r="A1972" s="14" t="s">
        <v>3898</v>
      </c>
      <c r="B1972" s="15" t="s">
        <v>3899</v>
      </c>
      <c r="C1972" s="16">
        <f>108.64/(1+B2)</f>
        <v>108.64</v>
      </c>
      <c r="D1972" s="17" t="s">
        <v>11</v>
      </c>
      <c r="E1972" s="17" t="s">
        <v>14</v>
      </c>
      <c r="F1972" s="18"/>
      <c r="G1972" s="36" t="str">
        <f>IF(ISNUMBER(F1972),C1972*F1972,"")</f>
        <v/>
      </c>
    </row>
    <row r="1973" spans="1:7" ht="12" customHeight="1" outlineLevel="2" x14ac:dyDescent="0.2">
      <c r="A1973" s="14" t="s">
        <v>3900</v>
      </c>
      <c r="B1973" s="15" t="s">
        <v>3901</v>
      </c>
      <c r="C1973" s="16">
        <f>89.09/(1+B2)</f>
        <v>89.09</v>
      </c>
      <c r="D1973" s="17" t="s">
        <v>11</v>
      </c>
      <c r="E1973" s="17" t="s">
        <v>11</v>
      </c>
      <c r="F1973" s="18"/>
      <c r="G1973" s="36" t="str">
        <f>IF(ISNUMBER(F1973),C1973*F1973,"")</f>
        <v/>
      </c>
    </row>
    <row r="1974" spans="1:7" ht="24" customHeight="1" outlineLevel="2" x14ac:dyDescent="0.2">
      <c r="A1974" s="14" t="s">
        <v>3902</v>
      </c>
      <c r="B1974" s="15" t="s">
        <v>3903</v>
      </c>
      <c r="C1974" s="16">
        <f>89.09/(1+B2)</f>
        <v>89.09</v>
      </c>
      <c r="D1974" s="17" t="s">
        <v>11</v>
      </c>
      <c r="E1974" s="17" t="s">
        <v>53</v>
      </c>
      <c r="F1974" s="18"/>
      <c r="G1974" s="36" t="str">
        <f>IF(ISNUMBER(F1974),C1974*F1974,"")</f>
        <v/>
      </c>
    </row>
    <row r="1975" spans="1:7" ht="12" customHeight="1" outlineLevel="2" x14ac:dyDescent="0.2">
      <c r="A1975" s="14" t="s">
        <v>3904</v>
      </c>
      <c r="B1975" s="15" t="s">
        <v>3905</v>
      </c>
      <c r="C1975" s="16">
        <f>70.96/(1+B2)</f>
        <v>70.959999999999994</v>
      </c>
      <c r="D1975" s="17" t="s">
        <v>11</v>
      </c>
      <c r="E1975" s="17" t="s">
        <v>53</v>
      </c>
      <c r="F1975" s="18"/>
      <c r="G1975" s="36" t="str">
        <f>IF(ISNUMBER(F1975),C1975*F1975,"")</f>
        <v/>
      </c>
    </row>
    <row r="1976" spans="1:7" ht="12" customHeight="1" outlineLevel="2" x14ac:dyDescent="0.2">
      <c r="A1976" s="14" t="s">
        <v>3906</v>
      </c>
      <c r="B1976" s="15" t="s">
        <v>3907</v>
      </c>
      <c r="C1976" s="16">
        <f>70.96/(1+B2)</f>
        <v>70.959999999999994</v>
      </c>
      <c r="D1976" s="17" t="s">
        <v>14</v>
      </c>
      <c r="E1976" s="17" t="s">
        <v>53</v>
      </c>
      <c r="F1976" s="18"/>
      <c r="G1976" s="36" t="str">
        <f>IF(ISNUMBER(F1976),C1976*F1976,"")</f>
        <v/>
      </c>
    </row>
    <row r="1977" spans="1:7" ht="24" customHeight="1" outlineLevel="2" x14ac:dyDescent="0.2">
      <c r="A1977" s="14" t="s">
        <v>3908</v>
      </c>
      <c r="B1977" s="15" t="s">
        <v>3909</v>
      </c>
      <c r="C1977" s="16">
        <f>41.73/(1+B2)</f>
        <v>41.73</v>
      </c>
      <c r="D1977" s="17" t="s">
        <v>14</v>
      </c>
      <c r="E1977" s="17" t="s">
        <v>53</v>
      </c>
      <c r="F1977" s="18"/>
      <c r="G1977" s="36" t="str">
        <f>IF(ISNUMBER(F1977),C1977*F1977,"")</f>
        <v/>
      </c>
    </row>
    <row r="1978" spans="1:7" ht="12" customHeight="1" outlineLevel="2" x14ac:dyDescent="0.2">
      <c r="A1978" s="14" t="s">
        <v>3910</v>
      </c>
      <c r="B1978" s="15" t="s">
        <v>3911</v>
      </c>
      <c r="C1978" s="16">
        <f>47.43/(1+B2)</f>
        <v>47.43</v>
      </c>
      <c r="D1978" s="17" t="s">
        <v>14</v>
      </c>
      <c r="E1978" s="17" t="s">
        <v>11</v>
      </c>
      <c r="F1978" s="18"/>
      <c r="G1978" s="36" t="str">
        <f>IF(ISNUMBER(F1978),C1978*F1978,"")</f>
        <v/>
      </c>
    </row>
    <row r="1979" spans="1:7" ht="12" customHeight="1" outlineLevel="2" x14ac:dyDescent="0.2">
      <c r="A1979" s="14" t="s">
        <v>3912</v>
      </c>
      <c r="B1979" s="15" t="s">
        <v>3913</v>
      </c>
      <c r="C1979" s="16">
        <f>50.23/(1+B2)</f>
        <v>50.23</v>
      </c>
      <c r="D1979" s="17" t="s">
        <v>11</v>
      </c>
      <c r="E1979" s="17" t="s">
        <v>53</v>
      </c>
      <c r="F1979" s="18"/>
      <c r="G1979" s="36" t="str">
        <f>IF(ISNUMBER(F1979),C1979*F1979,"")</f>
        <v/>
      </c>
    </row>
    <row r="1980" spans="1:7" ht="12" customHeight="1" outlineLevel="2" x14ac:dyDescent="0.2">
      <c r="A1980" s="14" t="s">
        <v>3914</v>
      </c>
      <c r="B1980" s="15" t="s">
        <v>3915</v>
      </c>
      <c r="C1980" s="16">
        <f>32.75/(1+B2)</f>
        <v>32.75</v>
      </c>
      <c r="D1980" s="17" t="s">
        <v>14</v>
      </c>
      <c r="E1980" s="17" t="s">
        <v>14</v>
      </c>
      <c r="F1980" s="18"/>
      <c r="G1980" s="36" t="str">
        <f>IF(ISNUMBER(F1980),C1980*F1980,"")</f>
        <v/>
      </c>
    </row>
    <row r="1981" spans="1:7" ht="12" customHeight="1" outlineLevel="2" x14ac:dyDescent="0.2">
      <c r="A1981" s="14" t="s">
        <v>3916</v>
      </c>
      <c r="B1981" s="15" t="s">
        <v>3917</v>
      </c>
      <c r="C1981" s="16">
        <f>32.75/(1+B2)</f>
        <v>32.75</v>
      </c>
      <c r="D1981" s="17" t="s">
        <v>11</v>
      </c>
      <c r="E1981" s="17" t="s">
        <v>53</v>
      </c>
      <c r="F1981" s="18"/>
      <c r="G1981" s="36" t="str">
        <f>IF(ISNUMBER(F1981),C1981*F1981,"")</f>
        <v/>
      </c>
    </row>
    <row r="1982" spans="1:7" ht="12" customHeight="1" outlineLevel="2" x14ac:dyDescent="0.2">
      <c r="A1982" s="14" t="s">
        <v>3918</v>
      </c>
      <c r="B1982" s="15" t="s">
        <v>3919</v>
      </c>
      <c r="C1982" s="16">
        <f>36.75/(1+B2)</f>
        <v>36.75</v>
      </c>
      <c r="D1982" s="17" t="s">
        <v>11</v>
      </c>
      <c r="E1982" s="17" t="s">
        <v>11</v>
      </c>
      <c r="F1982" s="18"/>
      <c r="G1982" s="36" t="str">
        <f>IF(ISNUMBER(F1982),C1982*F1982,"")</f>
        <v/>
      </c>
    </row>
    <row r="1983" spans="1:7" ht="12" customHeight="1" outlineLevel="2" x14ac:dyDescent="0.2">
      <c r="A1983" s="14" t="s">
        <v>3920</v>
      </c>
      <c r="B1983" s="15" t="s">
        <v>3921</v>
      </c>
      <c r="C1983" s="16">
        <f>66.38/(1+B2)</f>
        <v>66.38</v>
      </c>
      <c r="D1983" s="17" t="s">
        <v>11</v>
      </c>
      <c r="E1983" s="17" t="s">
        <v>11</v>
      </c>
      <c r="F1983" s="18"/>
      <c r="G1983" s="36" t="str">
        <f>IF(ISNUMBER(F1983),C1983*F1983,"")</f>
        <v/>
      </c>
    </row>
    <row r="1984" spans="1:7" ht="12" customHeight="1" outlineLevel="2" x14ac:dyDescent="0.2">
      <c r="A1984" s="14" t="s">
        <v>3922</v>
      </c>
      <c r="B1984" s="15" t="s">
        <v>3923</v>
      </c>
      <c r="C1984" s="16">
        <f>73.01/(1+B2)</f>
        <v>73.010000000000005</v>
      </c>
      <c r="D1984" s="17"/>
      <c r="E1984" s="17" t="s">
        <v>11</v>
      </c>
      <c r="F1984" s="18"/>
      <c r="G1984" s="36" t="str">
        <f>IF(ISNUMBER(F1984),C1984*F1984,"")</f>
        <v/>
      </c>
    </row>
    <row r="1985" spans="1:7" ht="12" customHeight="1" outlineLevel="2" x14ac:dyDescent="0.2">
      <c r="A1985" s="14" t="s">
        <v>3924</v>
      </c>
      <c r="B1985" s="15" t="s">
        <v>3925</v>
      </c>
      <c r="C1985" s="16">
        <f>73.01/(1+B2)</f>
        <v>73.010000000000005</v>
      </c>
      <c r="D1985" s="17" t="s">
        <v>11</v>
      </c>
      <c r="E1985" s="17" t="s">
        <v>14</v>
      </c>
      <c r="F1985" s="18"/>
      <c r="G1985" s="36" t="str">
        <f>IF(ISNUMBER(F1985),C1985*F1985,"")</f>
        <v/>
      </c>
    </row>
    <row r="1986" spans="1:7" ht="12" customHeight="1" outlineLevel="2" x14ac:dyDescent="0.2">
      <c r="A1986" s="14" t="s">
        <v>3926</v>
      </c>
      <c r="B1986" s="15" t="s">
        <v>3927</v>
      </c>
      <c r="C1986" s="16">
        <f>48.55/(1+B2)</f>
        <v>48.55</v>
      </c>
      <c r="D1986" s="17" t="s">
        <v>11</v>
      </c>
      <c r="E1986" s="17" t="s">
        <v>11</v>
      </c>
      <c r="F1986" s="18"/>
      <c r="G1986" s="36" t="str">
        <f>IF(ISNUMBER(F1986),C1986*F1986,"")</f>
        <v/>
      </c>
    </row>
    <row r="1987" spans="1:7" ht="12" customHeight="1" outlineLevel="2" x14ac:dyDescent="0.2">
      <c r="A1987" s="14" t="s">
        <v>3928</v>
      </c>
      <c r="B1987" s="15" t="s">
        <v>3929</v>
      </c>
      <c r="C1987" s="16">
        <f>49.58/(1+B2)</f>
        <v>49.58</v>
      </c>
      <c r="D1987" s="17" t="s">
        <v>14</v>
      </c>
      <c r="E1987" s="17"/>
      <c r="F1987" s="18"/>
      <c r="G1987" s="36" t="str">
        <f>IF(ISNUMBER(F1987),C1987*F1987,"")</f>
        <v/>
      </c>
    </row>
    <row r="1988" spans="1:7" ht="12" customHeight="1" outlineLevel="2" x14ac:dyDescent="0.2">
      <c r="A1988" s="14" t="s">
        <v>3930</v>
      </c>
      <c r="B1988" s="15" t="s">
        <v>3931</v>
      </c>
      <c r="C1988" s="16">
        <f>52.16/(1+B2)</f>
        <v>52.16</v>
      </c>
      <c r="D1988" s="17" t="s">
        <v>14</v>
      </c>
      <c r="E1988" s="17" t="s">
        <v>53</v>
      </c>
      <c r="F1988" s="18"/>
      <c r="G1988" s="36" t="str">
        <f>IF(ISNUMBER(F1988),C1988*F1988,"")</f>
        <v/>
      </c>
    </row>
    <row r="1989" spans="1:7" ht="12" customHeight="1" outlineLevel="2" x14ac:dyDescent="0.2">
      <c r="A1989" s="14" t="s">
        <v>3932</v>
      </c>
      <c r="B1989" s="15" t="s">
        <v>3933</v>
      </c>
      <c r="C1989" s="16">
        <f>49.58/(1+B2)</f>
        <v>49.58</v>
      </c>
      <c r="D1989" s="17" t="s">
        <v>53</v>
      </c>
      <c r="E1989" s="17" t="s">
        <v>11</v>
      </c>
      <c r="F1989" s="18"/>
      <c r="G1989" s="36" t="str">
        <f>IF(ISNUMBER(F1989),C1989*F1989,"")</f>
        <v/>
      </c>
    </row>
    <row r="1990" spans="1:7" ht="24" customHeight="1" outlineLevel="2" x14ac:dyDescent="0.2">
      <c r="A1990" s="14" t="s">
        <v>3934</v>
      </c>
      <c r="B1990" s="15" t="s">
        <v>3935</v>
      </c>
      <c r="C1990" s="16">
        <f>37.86/(1+B2)</f>
        <v>37.86</v>
      </c>
      <c r="D1990" s="17" t="s">
        <v>11</v>
      </c>
      <c r="E1990" s="17" t="s">
        <v>106</v>
      </c>
      <c r="F1990" s="18"/>
      <c r="G1990" s="36" t="str">
        <f>IF(ISNUMBER(F1990),C1990*F1990,"")</f>
        <v/>
      </c>
    </row>
    <row r="1991" spans="1:7" ht="12" customHeight="1" outlineLevel="2" x14ac:dyDescent="0.2">
      <c r="A1991" s="14" t="s">
        <v>3936</v>
      </c>
      <c r="B1991" s="15" t="s">
        <v>3937</v>
      </c>
      <c r="C1991" s="16">
        <f>53.01/(1+B2)</f>
        <v>53.01</v>
      </c>
      <c r="D1991" s="17" t="s">
        <v>11</v>
      </c>
      <c r="E1991" s="17"/>
      <c r="F1991" s="18"/>
      <c r="G1991" s="36" t="str">
        <f>IF(ISNUMBER(F1991),C1991*F1991,"")</f>
        <v/>
      </c>
    </row>
    <row r="1992" spans="1:7" ht="12" customHeight="1" outlineLevel="2" x14ac:dyDescent="0.2">
      <c r="A1992" s="14" t="s">
        <v>3938</v>
      </c>
      <c r="B1992" s="15" t="s">
        <v>3939</v>
      </c>
      <c r="C1992" s="16">
        <f>53.01/(1+B2)</f>
        <v>53.01</v>
      </c>
      <c r="D1992" s="17" t="s">
        <v>14</v>
      </c>
      <c r="E1992" s="17" t="s">
        <v>11</v>
      </c>
      <c r="F1992" s="18"/>
      <c r="G1992" s="36" t="str">
        <f>IF(ISNUMBER(F1992),C1992*F1992,"")</f>
        <v/>
      </c>
    </row>
    <row r="1993" spans="1:7" ht="12" customHeight="1" outlineLevel="2" x14ac:dyDescent="0.2">
      <c r="A1993" s="14" t="s">
        <v>3940</v>
      </c>
      <c r="B1993" s="15" t="s">
        <v>3941</v>
      </c>
      <c r="C1993" s="16">
        <f>66.26/(1+B2)</f>
        <v>66.260000000000005</v>
      </c>
      <c r="D1993" s="17" t="s">
        <v>14</v>
      </c>
      <c r="E1993" s="17" t="s">
        <v>106</v>
      </c>
      <c r="F1993" s="18"/>
      <c r="G1993" s="36" t="str">
        <f>IF(ISNUMBER(F1993),C1993*F1993,"")</f>
        <v/>
      </c>
    </row>
    <row r="1994" spans="1:7" ht="12" customHeight="1" outlineLevel="2" x14ac:dyDescent="0.2">
      <c r="A1994" s="14" t="s">
        <v>3942</v>
      </c>
      <c r="B1994" s="15" t="s">
        <v>3943</v>
      </c>
      <c r="C1994" s="16">
        <f>62.13/(1+B2)</f>
        <v>62.13</v>
      </c>
      <c r="D1994" s="17" t="s">
        <v>11</v>
      </c>
      <c r="E1994" s="17" t="s">
        <v>53</v>
      </c>
      <c r="F1994" s="18"/>
      <c r="G1994" s="36" t="str">
        <f>IF(ISNUMBER(F1994),C1994*F1994,"")</f>
        <v/>
      </c>
    </row>
    <row r="1995" spans="1:7" ht="12" customHeight="1" outlineLevel="2" x14ac:dyDescent="0.2">
      <c r="A1995" s="14" t="s">
        <v>3944</v>
      </c>
      <c r="B1995" s="15" t="s">
        <v>3945</v>
      </c>
      <c r="C1995" s="16">
        <f>66.26/(1+B2)</f>
        <v>66.260000000000005</v>
      </c>
      <c r="D1995" s="17" t="s">
        <v>14</v>
      </c>
      <c r="E1995" s="17" t="s">
        <v>106</v>
      </c>
      <c r="F1995" s="18"/>
      <c r="G1995" s="36" t="str">
        <f>IF(ISNUMBER(F1995),C1995*F1995,"")</f>
        <v/>
      </c>
    </row>
    <row r="1996" spans="1:7" ht="12" customHeight="1" outlineLevel="2" x14ac:dyDescent="0.2">
      <c r="A1996" s="14" t="s">
        <v>3946</v>
      </c>
      <c r="B1996" s="15" t="s">
        <v>3947</v>
      </c>
      <c r="C1996" s="16">
        <f>66.26/(1+B2)</f>
        <v>66.260000000000005</v>
      </c>
      <c r="D1996" s="17" t="s">
        <v>14</v>
      </c>
      <c r="E1996" s="17" t="s">
        <v>106</v>
      </c>
      <c r="F1996" s="18"/>
      <c r="G1996" s="36" t="str">
        <f>IF(ISNUMBER(F1996),C1996*F1996,"")</f>
        <v/>
      </c>
    </row>
    <row r="1997" spans="1:7" ht="12" customHeight="1" outlineLevel="2" x14ac:dyDescent="0.2">
      <c r="A1997" s="14" t="s">
        <v>3948</v>
      </c>
      <c r="B1997" s="15" t="s">
        <v>3949</v>
      </c>
      <c r="C1997" s="16">
        <f>67.55/(1+B2)</f>
        <v>67.55</v>
      </c>
      <c r="D1997" s="17" t="s">
        <v>14</v>
      </c>
      <c r="E1997" s="17" t="s">
        <v>53</v>
      </c>
      <c r="F1997" s="18"/>
      <c r="G1997" s="36" t="str">
        <f>IF(ISNUMBER(F1997),C1997*F1997,"")</f>
        <v/>
      </c>
    </row>
    <row r="1998" spans="1:7" ht="12" customHeight="1" outlineLevel="2" x14ac:dyDescent="0.2">
      <c r="A1998" s="14" t="s">
        <v>3950</v>
      </c>
      <c r="B1998" s="15" t="s">
        <v>3951</v>
      </c>
      <c r="C1998" s="16">
        <f>66.26/(1+B2)</f>
        <v>66.260000000000005</v>
      </c>
      <c r="D1998" s="17" t="s">
        <v>14</v>
      </c>
      <c r="E1998" s="17" t="s">
        <v>11</v>
      </c>
      <c r="F1998" s="18"/>
      <c r="G1998" s="36" t="str">
        <f>IF(ISNUMBER(F1998),C1998*F1998,"")</f>
        <v/>
      </c>
    </row>
    <row r="1999" spans="1:7" ht="12" customHeight="1" outlineLevel="2" x14ac:dyDescent="0.2">
      <c r="A1999" s="14" t="s">
        <v>3952</v>
      </c>
      <c r="B1999" s="15" t="s">
        <v>3953</v>
      </c>
      <c r="C1999" s="16">
        <f>43.94/(1+B2)</f>
        <v>43.94</v>
      </c>
      <c r="D1999" s="17" t="s">
        <v>11</v>
      </c>
      <c r="E1999" s="17" t="s">
        <v>106</v>
      </c>
      <c r="F1999" s="18"/>
      <c r="G1999" s="36" t="str">
        <f>IF(ISNUMBER(F1999),C1999*F1999,"")</f>
        <v/>
      </c>
    </row>
    <row r="2000" spans="1:7" ht="12" customHeight="1" outlineLevel="2" x14ac:dyDescent="0.2">
      <c r="A2000" s="14" t="s">
        <v>3954</v>
      </c>
      <c r="B2000" s="15" t="s">
        <v>3955</v>
      </c>
      <c r="C2000" s="16">
        <f>43.94/(1+B2)</f>
        <v>43.94</v>
      </c>
      <c r="D2000" s="17" t="s">
        <v>11</v>
      </c>
      <c r="E2000" s="17" t="s">
        <v>106</v>
      </c>
      <c r="F2000" s="18"/>
      <c r="G2000" s="36" t="str">
        <f>IF(ISNUMBER(F2000),C2000*F2000,"")</f>
        <v/>
      </c>
    </row>
    <row r="2001" spans="1:7" ht="12" customHeight="1" outlineLevel="2" x14ac:dyDescent="0.2">
      <c r="A2001" s="14" t="s">
        <v>3956</v>
      </c>
      <c r="B2001" s="15" t="s">
        <v>3957</v>
      </c>
      <c r="C2001" s="16">
        <f>43.94/(1+B2)</f>
        <v>43.94</v>
      </c>
      <c r="D2001" s="17" t="s">
        <v>11</v>
      </c>
      <c r="E2001" s="17" t="s">
        <v>106</v>
      </c>
      <c r="F2001" s="18"/>
      <c r="G2001" s="36" t="str">
        <f>IF(ISNUMBER(F2001),C2001*F2001,"")</f>
        <v/>
      </c>
    </row>
    <row r="2002" spans="1:7" ht="12" customHeight="1" outlineLevel="2" x14ac:dyDescent="0.2">
      <c r="A2002" s="14" t="s">
        <v>3958</v>
      </c>
      <c r="B2002" s="15" t="s">
        <v>3959</v>
      </c>
      <c r="C2002" s="16">
        <f>20.69/(1+B2)</f>
        <v>20.69</v>
      </c>
      <c r="D2002" s="17" t="s">
        <v>11</v>
      </c>
      <c r="E2002" s="17" t="s">
        <v>11</v>
      </c>
      <c r="F2002" s="18"/>
      <c r="G2002" s="36" t="str">
        <f>IF(ISNUMBER(F2002),C2002*F2002,"")</f>
        <v/>
      </c>
    </row>
    <row r="2003" spans="1:7" ht="12" customHeight="1" outlineLevel="2" x14ac:dyDescent="0.2">
      <c r="A2003" s="14" t="s">
        <v>3960</v>
      </c>
      <c r="B2003" s="15" t="s">
        <v>3961</v>
      </c>
      <c r="C2003" s="16">
        <f>47.9/(1+B2)</f>
        <v>47.9</v>
      </c>
      <c r="D2003" s="17" t="s">
        <v>11</v>
      </c>
      <c r="E2003" s="17"/>
      <c r="F2003" s="18"/>
      <c r="G2003" s="36" t="str">
        <f>IF(ISNUMBER(F2003),C2003*F2003,"")</f>
        <v/>
      </c>
    </row>
    <row r="2004" spans="1:7" s="1" customFormat="1" ht="15.95" customHeight="1" outlineLevel="1" x14ac:dyDescent="0.25">
      <c r="A2004" s="11"/>
      <c r="B2004" s="12" t="s">
        <v>3962</v>
      </c>
      <c r="C2004" s="13"/>
      <c r="D2004" s="13"/>
      <c r="E2004" s="13"/>
      <c r="F2004" s="13"/>
      <c r="G2004" s="35"/>
    </row>
    <row r="2005" spans="1:7" ht="12" customHeight="1" outlineLevel="2" x14ac:dyDescent="0.2">
      <c r="A2005" s="14" t="s">
        <v>3963</v>
      </c>
      <c r="B2005" s="15" t="s">
        <v>3964</v>
      </c>
      <c r="C2005" s="16">
        <f>108.86/(1+B2)</f>
        <v>108.86</v>
      </c>
      <c r="D2005" s="17" t="s">
        <v>11</v>
      </c>
      <c r="E2005" s="17" t="s">
        <v>11</v>
      </c>
      <c r="F2005" s="18"/>
      <c r="G2005" s="36" t="str">
        <f>IF(ISNUMBER(F2005),C2005*F2005,"")</f>
        <v/>
      </c>
    </row>
    <row r="2006" spans="1:7" ht="12" customHeight="1" outlineLevel="2" x14ac:dyDescent="0.2">
      <c r="A2006" s="14" t="s">
        <v>3965</v>
      </c>
      <c r="B2006" s="15" t="s">
        <v>3966</v>
      </c>
      <c r="C2006" s="16">
        <f>30.5/(1+B2)</f>
        <v>30.5</v>
      </c>
      <c r="D2006" s="17" t="s">
        <v>14</v>
      </c>
      <c r="E2006" s="17" t="s">
        <v>11</v>
      </c>
      <c r="F2006" s="18"/>
      <c r="G2006" s="36" t="str">
        <f>IF(ISNUMBER(F2006),C2006*F2006,"")</f>
        <v/>
      </c>
    </row>
    <row r="2007" spans="1:7" ht="12" customHeight="1" outlineLevel="2" x14ac:dyDescent="0.2">
      <c r="A2007" s="14" t="s">
        <v>3967</v>
      </c>
      <c r="B2007" s="15" t="s">
        <v>3968</v>
      </c>
      <c r="C2007" s="16">
        <f>72.58/(1+B2)</f>
        <v>72.58</v>
      </c>
      <c r="D2007" s="17" t="s">
        <v>11</v>
      </c>
      <c r="E2007" s="17" t="s">
        <v>11</v>
      </c>
      <c r="F2007" s="18"/>
      <c r="G2007" s="36" t="str">
        <f>IF(ISNUMBER(F2007),C2007*F2007,"")</f>
        <v/>
      </c>
    </row>
    <row r="2008" spans="1:7" ht="12" customHeight="1" outlineLevel="2" x14ac:dyDescent="0.2">
      <c r="A2008" s="14" t="s">
        <v>3969</v>
      </c>
      <c r="B2008" s="15" t="s">
        <v>3970</v>
      </c>
      <c r="C2008" s="16">
        <f>20.83/(1+B2)</f>
        <v>20.83</v>
      </c>
      <c r="D2008" s="17" t="s">
        <v>11</v>
      </c>
      <c r="E2008" s="17"/>
      <c r="F2008" s="18"/>
      <c r="G2008" s="36" t="str">
        <f>IF(ISNUMBER(F2008),C2008*F2008,"")</f>
        <v/>
      </c>
    </row>
    <row r="2009" spans="1:7" ht="12" customHeight="1" outlineLevel="2" x14ac:dyDescent="0.2">
      <c r="A2009" s="14" t="s">
        <v>3971</v>
      </c>
      <c r="B2009" s="15" t="s">
        <v>3972</v>
      </c>
      <c r="C2009" s="16">
        <f>20.34/(1+B2)</f>
        <v>20.34</v>
      </c>
      <c r="D2009" s="17" t="s">
        <v>14</v>
      </c>
      <c r="E2009" s="17"/>
      <c r="F2009" s="18"/>
      <c r="G2009" s="36" t="str">
        <f>IF(ISNUMBER(F2009),C2009*F2009,"")</f>
        <v/>
      </c>
    </row>
    <row r="2010" spans="1:7" ht="12" customHeight="1" outlineLevel="2" x14ac:dyDescent="0.2">
      <c r="A2010" s="14" t="s">
        <v>3973</v>
      </c>
      <c r="B2010" s="15" t="s">
        <v>3974</v>
      </c>
      <c r="C2010" s="16">
        <f>46.18/(1+B2)</f>
        <v>46.18</v>
      </c>
      <c r="D2010" s="17" t="s">
        <v>11</v>
      </c>
      <c r="E2010" s="17" t="s">
        <v>11</v>
      </c>
      <c r="F2010" s="18"/>
      <c r="G2010" s="36" t="str">
        <f>IF(ISNUMBER(F2010),C2010*F2010,"")</f>
        <v/>
      </c>
    </row>
    <row r="2011" spans="1:7" ht="12" customHeight="1" outlineLevel="2" x14ac:dyDescent="0.2">
      <c r="A2011" s="14" t="s">
        <v>3975</v>
      </c>
      <c r="B2011" s="15" t="s">
        <v>3976</v>
      </c>
      <c r="C2011" s="16">
        <f>62.57/(1+B2)</f>
        <v>62.57</v>
      </c>
      <c r="D2011" s="17" t="s">
        <v>11</v>
      </c>
      <c r="E2011" s="17"/>
      <c r="F2011" s="18"/>
      <c r="G2011" s="36" t="str">
        <f>IF(ISNUMBER(F2011),C2011*F2011,"")</f>
        <v/>
      </c>
    </row>
    <row r="2012" spans="1:7" ht="12" customHeight="1" outlineLevel="2" x14ac:dyDescent="0.2">
      <c r="A2012" s="14" t="s">
        <v>3977</v>
      </c>
      <c r="B2012" s="15" t="s">
        <v>3978</v>
      </c>
      <c r="C2012" s="16">
        <f>98.59/(1+B2)</f>
        <v>98.59</v>
      </c>
      <c r="D2012" s="17" t="s">
        <v>11</v>
      </c>
      <c r="E2012" s="17"/>
      <c r="F2012" s="18"/>
      <c r="G2012" s="36" t="str">
        <f>IF(ISNUMBER(F2012),C2012*F2012,"")</f>
        <v/>
      </c>
    </row>
    <row r="2013" spans="1:7" ht="12" customHeight="1" outlineLevel="2" x14ac:dyDescent="0.2">
      <c r="A2013" s="14" t="s">
        <v>3979</v>
      </c>
      <c r="B2013" s="15" t="s">
        <v>3980</v>
      </c>
      <c r="C2013" s="16">
        <f>62.06/(1+B2)</f>
        <v>62.06</v>
      </c>
      <c r="D2013" s="17" t="s">
        <v>53</v>
      </c>
      <c r="E2013" s="17" t="s">
        <v>11</v>
      </c>
      <c r="F2013" s="18"/>
      <c r="G2013" s="36" t="str">
        <f>IF(ISNUMBER(F2013),C2013*F2013,"")</f>
        <v/>
      </c>
    </row>
    <row r="2014" spans="1:7" ht="12" customHeight="1" outlineLevel="2" x14ac:dyDescent="0.2">
      <c r="A2014" s="14" t="s">
        <v>3981</v>
      </c>
      <c r="B2014" s="15" t="s">
        <v>3982</v>
      </c>
      <c r="C2014" s="16">
        <f>24.6/(1+B2)</f>
        <v>24.6</v>
      </c>
      <c r="D2014" s="17" t="s">
        <v>14</v>
      </c>
      <c r="E2014" s="17"/>
      <c r="F2014" s="18"/>
      <c r="G2014" s="36" t="str">
        <f>IF(ISNUMBER(F2014),C2014*F2014,"")</f>
        <v/>
      </c>
    </row>
    <row r="2015" spans="1:7" ht="12" customHeight="1" outlineLevel="2" x14ac:dyDescent="0.2">
      <c r="A2015" s="14" t="s">
        <v>3983</v>
      </c>
      <c r="B2015" s="15" t="s">
        <v>3984</v>
      </c>
      <c r="C2015" s="16">
        <f>21.94/(1+B2)</f>
        <v>21.94</v>
      </c>
      <c r="D2015" s="17" t="s">
        <v>53</v>
      </c>
      <c r="E2015" s="17"/>
      <c r="F2015" s="18"/>
      <c r="G2015" s="36" t="str">
        <f>IF(ISNUMBER(F2015),C2015*F2015,"")</f>
        <v/>
      </c>
    </row>
    <row r="2016" spans="1:7" ht="12" customHeight="1" outlineLevel="2" x14ac:dyDescent="0.2">
      <c r="A2016" s="14" t="s">
        <v>3985</v>
      </c>
      <c r="B2016" s="15" t="s">
        <v>3986</v>
      </c>
      <c r="C2016" s="16">
        <f>84.73/(1+B2)</f>
        <v>84.73</v>
      </c>
      <c r="D2016" s="17" t="s">
        <v>11</v>
      </c>
      <c r="E2016" s="17"/>
      <c r="F2016" s="18"/>
      <c r="G2016" s="36" t="str">
        <f>IF(ISNUMBER(F2016),C2016*F2016,"")</f>
        <v/>
      </c>
    </row>
    <row r="2017" spans="1:7" ht="12" customHeight="1" outlineLevel="2" x14ac:dyDescent="0.2">
      <c r="A2017" s="14" t="s">
        <v>3987</v>
      </c>
      <c r="B2017" s="15" t="s">
        <v>3988</v>
      </c>
      <c r="C2017" s="16">
        <f>84.73/(1+B2)</f>
        <v>84.73</v>
      </c>
      <c r="D2017" s="17" t="s">
        <v>11</v>
      </c>
      <c r="E2017" s="17"/>
      <c r="F2017" s="18"/>
      <c r="G2017" s="36" t="str">
        <f>IF(ISNUMBER(F2017),C2017*F2017,"")</f>
        <v/>
      </c>
    </row>
    <row r="2018" spans="1:7" ht="12" customHeight="1" outlineLevel="2" x14ac:dyDescent="0.2">
      <c r="A2018" s="14" t="s">
        <v>3989</v>
      </c>
      <c r="B2018" s="15" t="s">
        <v>3990</v>
      </c>
      <c r="C2018" s="16">
        <f>84.73/(1+B2)</f>
        <v>84.73</v>
      </c>
      <c r="D2018" s="17" t="s">
        <v>11</v>
      </c>
      <c r="E2018" s="17" t="s">
        <v>11</v>
      </c>
      <c r="F2018" s="18"/>
      <c r="G2018" s="36" t="str">
        <f>IF(ISNUMBER(F2018),C2018*F2018,"")</f>
        <v/>
      </c>
    </row>
    <row r="2019" spans="1:7" ht="12" customHeight="1" outlineLevel="2" x14ac:dyDescent="0.2">
      <c r="A2019" s="14" t="s">
        <v>3991</v>
      </c>
      <c r="B2019" s="15" t="s">
        <v>3992</v>
      </c>
      <c r="C2019" s="16">
        <f>84.73/(1+B2)</f>
        <v>84.73</v>
      </c>
      <c r="D2019" s="17" t="s">
        <v>11</v>
      </c>
      <c r="E2019" s="17" t="s">
        <v>11</v>
      </c>
      <c r="F2019" s="18"/>
      <c r="G2019" s="36" t="str">
        <f>IF(ISNUMBER(F2019),C2019*F2019,"")</f>
        <v/>
      </c>
    </row>
    <row r="2020" spans="1:7" ht="12" customHeight="1" outlineLevel="2" x14ac:dyDescent="0.2">
      <c r="A2020" s="14" t="s">
        <v>3993</v>
      </c>
      <c r="B2020" s="15" t="s">
        <v>3994</v>
      </c>
      <c r="C2020" s="16">
        <f>71.84/(1+B2)</f>
        <v>71.84</v>
      </c>
      <c r="D2020" s="17" t="s">
        <v>11</v>
      </c>
      <c r="E2020" s="17"/>
      <c r="F2020" s="18"/>
      <c r="G2020" s="36" t="str">
        <f>IF(ISNUMBER(F2020),C2020*F2020,"")</f>
        <v/>
      </c>
    </row>
    <row r="2021" spans="1:7" ht="12" customHeight="1" outlineLevel="2" x14ac:dyDescent="0.2">
      <c r="A2021" s="14" t="s">
        <v>3995</v>
      </c>
      <c r="B2021" s="15" t="s">
        <v>3996</v>
      </c>
      <c r="C2021" s="16">
        <f>115.41/(1+B2)</f>
        <v>115.41</v>
      </c>
      <c r="D2021" s="17" t="s">
        <v>14</v>
      </c>
      <c r="E2021" s="17" t="s">
        <v>11</v>
      </c>
      <c r="F2021" s="18"/>
      <c r="G2021" s="36" t="str">
        <f>IF(ISNUMBER(F2021),C2021*F2021,"")</f>
        <v/>
      </c>
    </row>
    <row r="2022" spans="1:7" ht="12" customHeight="1" outlineLevel="2" x14ac:dyDescent="0.2">
      <c r="A2022" s="14" t="s">
        <v>3997</v>
      </c>
      <c r="B2022" s="15" t="s">
        <v>3998</v>
      </c>
      <c r="C2022" s="16">
        <f>207.75/(1+B2)</f>
        <v>207.75</v>
      </c>
      <c r="D2022" s="17" t="s">
        <v>11</v>
      </c>
      <c r="E2022" s="17"/>
      <c r="F2022" s="18"/>
      <c r="G2022" s="36" t="str">
        <f>IF(ISNUMBER(F2022),C2022*F2022,"")</f>
        <v/>
      </c>
    </row>
    <row r="2023" spans="1:7" ht="12" customHeight="1" outlineLevel="2" x14ac:dyDescent="0.2">
      <c r="A2023" s="14" t="s">
        <v>3999</v>
      </c>
      <c r="B2023" s="15" t="s">
        <v>4000</v>
      </c>
      <c r="C2023" s="16">
        <f>103.28/(1+B2)</f>
        <v>103.28</v>
      </c>
      <c r="D2023" s="17" t="s">
        <v>11</v>
      </c>
      <c r="E2023" s="17" t="s">
        <v>11</v>
      </c>
      <c r="F2023" s="18"/>
      <c r="G2023" s="36" t="str">
        <f>IF(ISNUMBER(F2023),C2023*F2023,"")</f>
        <v/>
      </c>
    </row>
    <row r="2024" spans="1:7" ht="12" customHeight="1" outlineLevel="2" x14ac:dyDescent="0.2">
      <c r="A2024" s="14" t="s">
        <v>4001</v>
      </c>
      <c r="B2024" s="15" t="s">
        <v>4002</v>
      </c>
      <c r="C2024" s="16">
        <f>123.6/(1+B2)</f>
        <v>123.6</v>
      </c>
      <c r="D2024" s="17" t="s">
        <v>11</v>
      </c>
      <c r="E2024" s="17" t="s">
        <v>11</v>
      </c>
      <c r="F2024" s="18"/>
      <c r="G2024" s="36" t="str">
        <f>IF(ISNUMBER(F2024),C2024*F2024,"")</f>
        <v/>
      </c>
    </row>
    <row r="2025" spans="1:7" ht="12" customHeight="1" outlineLevel="2" x14ac:dyDescent="0.2">
      <c r="A2025" s="14" t="s">
        <v>4003</v>
      </c>
      <c r="B2025" s="15" t="s">
        <v>4004</v>
      </c>
      <c r="C2025" s="16">
        <f>112.09/(1+B2)</f>
        <v>112.09</v>
      </c>
      <c r="D2025" s="17" t="s">
        <v>11</v>
      </c>
      <c r="E2025" s="17" t="s">
        <v>11</v>
      </c>
      <c r="F2025" s="18"/>
      <c r="G2025" s="36" t="str">
        <f>IF(ISNUMBER(F2025),C2025*F2025,"")</f>
        <v/>
      </c>
    </row>
    <row r="2026" spans="1:7" ht="12" customHeight="1" outlineLevel="2" x14ac:dyDescent="0.2">
      <c r="A2026" s="14" t="s">
        <v>4005</v>
      </c>
      <c r="B2026" s="15" t="s">
        <v>4006</v>
      </c>
      <c r="C2026" s="16">
        <f>123.6/(1+B2)</f>
        <v>123.6</v>
      </c>
      <c r="D2026" s="17" t="s">
        <v>11</v>
      </c>
      <c r="E2026" s="17" t="s">
        <v>11</v>
      </c>
      <c r="F2026" s="18"/>
      <c r="G2026" s="36" t="str">
        <f>IF(ISNUMBER(F2026),C2026*F2026,"")</f>
        <v/>
      </c>
    </row>
    <row r="2027" spans="1:7" ht="12" customHeight="1" outlineLevel="2" x14ac:dyDescent="0.2">
      <c r="A2027" s="14" t="s">
        <v>4007</v>
      </c>
      <c r="B2027" s="15" t="s">
        <v>4008</v>
      </c>
      <c r="C2027" s="16">
        <f>123.6/(1+B2)</f>
        <v>123.6</v>
      </c>
      <c r="D2027" s="17" t="s">
        <v>11</v>
      </c>
      <c r="E2027" s="17" t="s">
        <v>11</v>
      </c>
      <c r="F2027" s="18"/>
      <c r="G2027" s="36" t="str">
        <f>IF(ISNUMBER(F2027),C2027*F2027,"")</f>
        <v/>
      </c>
    </row>
    <row r="2028" spans="1:7" ht="12" customHeight="1" outlineLevel="2" x14ac:dyDescent="0.2">
      <c r="A2028" s="14" t="s">
        <v>4009</v>
      </c>
      <c r="B2028" s="15" t="s">
        <v>4010</v>
      </c>
      <c r="C2028" s="16">
        <f>236.76/(1+B2)</f>
        <v>236.76</v>
      </c>
      <c r="D2028" s="17" t="s">
        <v>11</v>
      </c>
      <c r="E2028" s="17"/>
      <c r="F2028" s="18"/>
      <c r="G2028" s="36" t="str">
        <f>IF(ISNUMBER(F2028),C2028*F2028,"")</f>
        <v/>
      </c>
    </row>
    <row r="2029" spans="1:7" ht="12" customHeight="1" outlineLevel="2" x14ac:dyDescent="0.2">
      <c r="A2029" s="14" t="s">
        <v>4011</v>
      </c>
      <c r="B2029" s="15" t="s">
        <v>4012</v>
      </c>
      <c r="C2029" s="16">
        <f>57.45/(1+B2)</f>
        <v>57.45</v>
      </c>
      <c r="D2029" s="17" t="s">
        <v>14</v>
      </c>
      <c r="E2029" s="17" t="s">
        <v>11</v>
      </c>
      <c r="F2029" s="18"/>
      <c r="G2029" s="36" t="str">
        <f>IF(ISNUMBER(F2029),C2029*F2029,"")</f>
        <v/>
      </c>
    </row>
    <row r="2030" spans="1:7" ht="12" customHeight="1" outlineLevel="2" x14ac:dyDescent="0.2">
      <c r="A2030" s="14" t="s">
        <v>4013</v>
      </c>
      <c r="B2030" s="15" t="s">
        <v>4014</v>
      </c>
      <c r="C2030" s="16">
        <f>60.58/(1+B2)</f>
        <v>60.58</v>
      </c>
      <c r="D2030" s="17" t="s">
        <v>11</v>
      </c>
      <c r="E2030" s="17"/>
      <c r="F2030" s="18"/>
      <c r="G2030" s="36" t="str">
        <f>IF(ISNUMBER(F2030),C2030*F2030,"")</f>
        <v/>
      </c>
    </row>
    <row r="2031" spans="1:7" ht="12" customHeight="1" outlineLevel="2" x14ac:dyDescent="0.2">
      <c r="A2031" s="14" t="s">
        <v>4015</v>
      </c>
      <c r="B2031" s="15" t="s">
        <v>4016</v>
      </c>
      <c r="C2031" s="16">
        <f>344.09/(1+B2)</f>
        <v>344.09</v>
      </c>
      <c r="D2031" s="17" t="s">
        <v>11</v>
      </c>
      <c r="E2031" s="17"/>
      <c r="F2031" s="18"/>
      <c r="G2031" s="36" t="str">
        <f>IF(ISNUMBER(F2031),C2031*F2031,"")</f>
        <v/>
      </c>
    </row>
    <row r="2032" spans="1:7" ht="12" customHeight="1" outlineLevel="2" x14ac:dyDescent="0.2">
      <c r="A2032" s="14" t="s">
        <v>4017</v>
      </c>
      <c r="B2032" s="15" t="s">
        <v>4018</v>
      </c>
      <c r="C2032" s="16">
        <f>189.53/(1+B2)</f>
        <v>189.53</v>
      </c>
      <c r="D2032" s="17" t="s">
        <v>11</v>
      </c>
      <c r="E2032" s="17"/>
      <c r="F2032" s="18"/>
      <c r="G2032" s="36" t="str">
        <f>IF(ISNUMBER(F2032),C2032*F2032,"")</f>
        <v/>
      </c>
    </row>
    <row r="2033" spans="1:7" ht="12" customHeight="1" outlineLevel="2" x14ac:dyDescent="0.2">
      <c r="A2033" s="14" t="s">
        <v>4019</v>
      </c>
      <c r="B2033" s="15" t="s">
        <v>4020</v>
      </c>
      <c r="C2033" s="16">
        <f>55.94/(1+B2)</f>
        <v>55.94</v>
      </c>
      <c r="D2033" s="17" t="s">
        <v>14</v>
      </c>
      <c r="E2033" s="17" t="s">
        <v>11</v>
      </c>
      <c r="F2033" s="18"/>
      <c r="G2033" s="36" t="str">
        <f>IF(ISNUMBER(F2033),C2033*F2033,"")</f>
        <v/>
      </c>
    </row>
    <row r="2034" spans="1:7" ht="12" customHeight="1" outlineLevel="2" x14ac:dyDescent="0.2">
      <c r="A2034" s="14" t="s">
        <v>4021</v>
      </c>
      <c r="B2034" s="15" t="s">
        <v>4022</v>
      </c>
      <c r="C2034" s="19">
        <f>1556.24/(1+B2)</f>
        <v>1556.24</v>
      </c>
      <c r="D2034" s="17" t="s">
        <v>11</v>
      </c>
      <c r="E2034" s="17"/>
      <c r="F2034" s="18"/>
      <c r="G2034" s="36" t="str">
        <f>IF(ISNUMBER(F2034),C2034*F2034,"")</f>
        <v/>
      </c>
    </row>
    <row r="2035" spans="1:7" s="1" customFormat="1" ht="15.95" customHeight="1" outlineLevel="1" x14ac:dyDescent="0.25">
      <c r="A2035" s="11"/>
      <c r="B2035" s="12" t="s">
        <v>4023</v>
      </c>
      <c r="C2035" s="13"/>
      <c r="D2035" s="13"/>
      <c r="E2035" s="13"/>
      <c r="F2035" s="13"/>
      <c r="G2035" s="35"/>
    </row>
    <row r="2036" spans="1:7" s="1" customFormat="1" ht="12.95" customHeight="1" outlineLevel="2" x14ac:dyDescent="0.2">
      <c r="A2036" s="20"/>
      <c r="B2036" s="21" t="s">
        <v>4024</v>
      </c>
      <c r="C2036" s="22"/>
      <c r="D2036" s="22"/>
      <c r="E2036" s="22"/>
      <c r="F2036" s="22"/>
      <c r="G2036" s="37"/>
    </row>
    <row r="2037" spans="1:7" ht="12" customHeight="1" outlineLevel="3" x14ac:dyDescent="0.2">
      <c r="A2037" s="14" t="s">
        <v>4025</v>
      </c>
      <c r="B2037" s="15" t="s">
        <v>4026</v>
      </c>
      <c r="C2037" s="16">
        <f>93.89/(1+B2)</f>
        <v>93.89</v>
      </c>
      <c r="D2037" s="17" t="s">
        <v>14</v>
      </c>
      <c r="E2037" s="17" t="s">
        <v>14</v>
      </c>
      <c r="F2037" s="18"/>
      <c r="G2037" s="36" t="str">
        <f>IF(ISNUMBER(F2037),C2037*F2037,"")</f>
        <v/>
      </c>
    </row>
    <row r="2038" spans="1:7" ht="12" customHeight="1" outlineLevel="3" x14ac:dyDescent="0.2">
      <c r="A2038" s="14" t="s">
        <v>4027</v>
      </c>
      <c r="B2038" s="15" t="s">
        <v>4028</v>
      </c>
      <c r="C2038" s="16">
        <f>93.89/(1+B2)</f>
        <v>93.89</v>
      </c>
      <c r="D2038" s="17" t="s">
        <v>14</v>
      </c>
      <c r="E2038" s="17" t="s">
        <v>11</v>
      </c>
      <c r="F2038" s="18"/>
      <c r="G2038" s="36" t="str">
        <f>IF(ISNUMBER(F2038),C2038*F2038,"")</f>
        <v/>
      </c>
    </row>
    <row r="2039" spans="1:7" ht="12" customHeight="1" outlineLevel="3" x14ac:dyDescent="0.2">
      <c r="A2039" s="14" t="s">
        <v>4029</v>
      </c>
      <c r="B2039" s="15" t="s">
        <v>4030</v>
      </c>
      <c r="C2039" s="16">
        <f>119.74/(1+B2)</f>
        <v>119.74</v>
      </c>
      <c r="D2039" s="17" t="s">
        <v>11</v>
      </c>
      <c r="E2039" s="17" t="s">
        <v>106</v>
      </c>
      <c r="F2039" s="18"/>
      <c r="G2039" s="36" t="str">
        <f>IF(ISNUMBER(F2039),C2039*F2039,"")</f>
        <v/>
      </c>
    </row>
    <row r="2040" spans="1:7" ht="12" customHeight="1" outlineLevel="3" x14ac:dyDescent="0.2">
      <c r="A2040" s="14" t="s">
        <v>4031</v>
      </c>
      <c r="B2040" s="15" t="s">
        <v>4032</v>
      </c>
      <c r="C2040" s="16">
        <f>62.1/(1+B2)</f>
        <v>62.1</v>
      </c>
      <c r="D2040" s="17" t="s">
        <v>11</v>
      </c>
      <c r="E2040" s="17" t="s">
        <v>53</v>
      </c>
      <c r="F2040" s="18"/>
      <c r="G2040" s="36" t="str">
        <f>IF(ISNUMBER(F2040),C2040*F2040,"")</f>
        <v/>
      </c>
    </row>
    <row r="2041" spans="1:7" ht="12" customHeight="1" outlineLevel="3" x14ac:dyDescent="0.2">
      <c r="A2041" s="14" t="s">
        <v>4033</v>
      </c>
      <c r="B2041" s="15" t="s">
        <v>4034</v>
      </c>
      <c r="C2041" s="16">
        <f>41.18/(1+B2)</f>
        <v>41.18</v>
      </c>
      <c r="D2041" s="17" t="s">
        <v>11</v>
      </c>
      <c r="E2041" s="17"/>
      <c r="F2041" s="18"/>
      <c r="G2041" s="36" t="str">
        <f>IF(ISNUMBER(F2041),C2041*F2041,"")</f>
        <v/>
      </c>
    </row>
    <row r="2042" spans="1:7" ht="12" customHeight="1" outlineLevel="3" x14ac:dyDescent="0.2">
      <c r="A2042" s="14" t="s">
        <v>4035</v>
      </c>
      <c r="B2042" s="15" t="s">
        <v>4036</v>
      </c>
      <c r="C2042" s="16">
        <f>134.1/(1+B2)</f>
        <v>134.1</v>
      </c>
      <c r="D2042" s="17" t="s">
        <v>11</v>
      </c>
      <c r="E2042" s="17" t="s">
        <v>11</v>
      </c>
      <c r="F2042" s="18"/>
      <c r="G2042" s="36" t="str">
        <f>IF(ISNUMBER(F2042),C2042*F2042,"")</f>
        <v/>
      </c>
    </row>
    <row r="2043" spans="1:7" ht="12" customHeight="1" outlineLevel="3" x14ac:dyDescent="0.2">
      <c r="A2043" s="14" t="s">
        <v>4037</v>
      </c>
      <c r="B2043" s="15" t="s">
        <v>4038</v>
      </c>
      <c r="C2043" s="16">
        <f>75.84/(1+B2)</f>
        <v>75.84</v>
      </c>
      <c r="D2043" s="17" t="s">
        <v>11</v>
      </c>
      <c r="E2043" s="17"/>
      <c r="F2043" s="18"/>
      <c r="G2043" s="36" t="str">
        <f>IF(ISNUMBER(F2043),C2043*F2043,"")</f>
        <v/>
      </c>
    </row>
    <row r="2044" spans="1:7" ht="12" customHeight="1" outlineLevel="3" x14ac:dyDescent="0.2">
      <c r="A2044" s="14" t="s">
        <v>4039</v>
      </c>
      <c r="B2044" s="15" t="s">
        <v>4040</v>
      </c>
      <c r="C2044" s="16">
        <f>102.24/(1+B2)</f>
        <v>102.24</v>
      </c>
      <c r="D2044" s="17" t="s">
        <v>14</v>
      </c>
      <c r="E2044" s="17" t="s">
        <v>106</v>
      </c>
      <c r="F2044" s="18"/>
      <c r="G2044" s="36" t="str">
        <f>IF(ISNUMBER(F2044),C2044*F2044,"")</f>
        <v/>
      </c>
    </row>
    <row r="2045" spans="1:7" ht="12" customHeight="1" outlineLevel="3" x14ac:dyDescent="0.2">
      <c r="A2045" s="14" t="s">
        <v>4041</v>
      </c>
      <c r="B2045" s="15" t="s">
        <v>4042</v>
      </c>
      <c r="C2045" s="16">
        <f>102.24/(1+B2)</f>
        <v>102.24</v>
      </c>
      <c r="D2045" s="17" t="s">
        <v>14</v>
      </c>
      <c r="E2045" s="17"/>
      <c r="F2045" s="18"/>
      <c r="G2045" s="36" t="str">
        <f>IF(ISNUMBER(F2045),C2045*F2045,"")</f>
        <v/>
      </c>
    </row>
    <row r="2046" spans="1:7" ht="12" customHeight="1" outlineLevel="3" x14ac:dyDescent="0.2">
      <c r="A2046" s="14" t="s">
        <v>4043</v>
      </c>
      <c r="B2046" s="15" t="s">
        <v>4044</v>
      </c>
      <c r="C2046" s="16">
        <f>102.24/(1+B2)</f>
        <v>102.24</v>
      </c>
      <c r="D2046" s="17" t="s">
        <v>14</v>
      </c>
      <c r="E2046" s="17" t="s">
        <v>106</v>
      </c>
      <c r="F2046" s="18"/>
      <c r="G2046" s="36" t="str">
        <f>IF(ISNUMBER(F2046),C2046*F2046,"")</f>
        <v/>
      </c>
    </row>
    <row r="2047" spans="1:7" ht="12" customHeight="1" outlineLevel="3" x14ac:dyDescent="0.2">
      <c r="A2047" s="14" t="s">
        <v>4045</v>
      </c>
      <c r="B2047" s="15" t="s">
        <v>4046</v>
      </c>
      <c r="C2047" s="16">
        <f>75.23/(1+B2)</f>
        <v>75.23</v>
      </c>
      <c r="D2047" s="17" t="s">
        <v>14</v>
      </c>
      <c r="E2047" s="17" t="s">
        <v>53</v>
      </c>
      <c r="F2047" s="18"/>
      <c r="G2047" s="36" t="str">
        <f>IF(ISNUMBER(F2047),C2047*F2047,"")</f>
        <v/>
      </c>
    </row>
    <row r="2048" spans="1:7" ht="12" customHeight="1" outlineLevel="3" x14ac:dyDescent="0.2">
      <c r="A2048" s="14" t="s">
        <v>4047</v>
      </c>
      <c r="B2048" s="15" t="s">
        <v>4048</v>
      </c>
      <c r="C2048" s="16">
        <f>39.94/(1+B2)</f>
        <v>39.94</v>
      </c>
      <c r="D2048" s="17" t="s">
        <v>14</v>
      </c>
      <c r="E2048" s="17" t="s">
        <v>106</v>
      </c>
      <c r="F2048" s="18"/>
      <c r="G2048" s="36" t="str">
        <f>IF(ISNUMBER(F2048),C2048*F2048,"")</f>
        <v/>
      </c>
    </row>
    <row r="2049" spans="1:7" ht="12" customHeight="1" outlineLevel="3" x14ac:dyDescent="0.2">
      <c r="A2049" s="14" t="s">
        <v>4049</v>
      </c>
      <c r="B2049" s="15" t="s">
        <v>4050</v>
      </c>
      <c r="C2049" s="16">
        <f>84.88/(1+B2)</f>
        <v>84.88</v>
      </c>
      <c r="D2049" s="17" t="s">
        <v>11</v>
      </c>
      <c r="E2049" s="17" t="s">
        <v>11</v>
      </c>
      <c r="F2049" s="18"/>
      <c r="G2049" s="36" t="str">
        <f>IF(ISNUMBER(F2049),C2049*F2049,"")</f>
        <v/>
      </c>
    </row>
    <row r="2050" spans="1:7" ht="12" customHeight="1" outlineLevel="3" x14ac:dyDescent="0.2">
      <c r="A2050" s="14" t="s">
        <v>4051</v>
      </c>
      <c r="B2050" s="15" t="s">
        <v>4052</v>
      </c>
      <c r="C2050" s="16">
        <f>77/(1+B2)</f>
        <v>77</v>
      </c>
      <c r="D2050" s="17" t="s">
        <v>11</v>
      </c>
      <c r="E2050" s="17" t="s">
        <v>14</v>
      </c>
      <c r="F2050" s="18"/>
      <c r="G2050" s="36" t="str">
        <f>IF(ISNUMBER(F2050),C2050*F2050,"")</f>
        <v/>
      </c>
    </row>
    <row r="2051" spans="1:7" ht="12" customHeight="1" outlineLevel="3" x14ac:dyDescent="0.2">
      <c r="A2051" s="14" t="s">
        <v>4053</v>
      </c>
      <c r="B2051" s="15" t="s">
        <v>4054</v>
      </c>
      <c r="C2051" s="16">
        <f>38.13/(1+B2)</f>
        <v>38.130000000000003</v>
      </c>
      <c r="D2051" s="17" t="s">
        <v>14</v>
      </c>
      <c r="E2051" s="17" t="s">
        <v>106</v>
      </c>
      <c r="F2051" s="18"/>
      <c r="G2051" s="36" t="str">
        <f>IF(ISNUMBER(F2051),C2051*F2051,"")</f>
        <v/>
      </c>
    </row>
    <row r="2052" spans="1:7" ht="12" customHeight="1" outlineLevel="3" x14ac:dyDescent="0.2">
      <c r="A2052" s="14" t="s">
        <v>4055</v>
      </c>
      <c r="B2052" s="15" t="s">
        <v>4056</v>
      </c>
      <c r="C2052" s="16">
        <f>46.38/(1+B2)</f>
        <v>46.38</v>
      </c>
      <c r="D2052" s="17" t="s">
        <v>11</v>
      </c>
      <c r="E2052" s="17" t="s">
        <v>53</v>
      </c>
      <c r="F2052" s="18"/>
      <c r="G2052" s="36" t="str">
        <f>IF(ISNUMBER(F2052),C2052*F2052,"")</f>
        <v/>
      </c>
    </row>
    <row r="2053" spans="1:7" ht="12" customHeight="1" outlineLevel="3" x14ac:dyDescent="0.2">
      <c r="A2053" s="14" t="s">
        <v>4057</v>
      </c>
      <c r="B2053" s="15" t="s">
        <v>4058</v>
      </c>
      <c r="C2053" s="16">
        <f>46.38/(1+B2)</f>
        <v>46.38</v>
      </c>
      <c r="D2053" s="17" t="s">
        <v>11</v>
      </c>
      <c r="E2053" s="17" t="s">
        <v>53</v>
      </c>
      <c r="F2053" s="18"/>
      <c r="G2053" s="36" t="str">
        <f>IF(ISNUMBER(F2053),C2053*F2053,"")</f>
        <v/>
      </c>
    </row>
    <row r="2054" spans="1:7" ht="12" customHeight="1" outlineLevel="3" x14ac:dyDescent="0.2">
      <c r="A2054" s="14" t="s">
        <v>4059</v>
      </c>
      <c r="B2054" s="15" t="s">
        <v>4060</v>
      </c>
      <c r="C2054" s="16">
        <f>46.38/(1+B2)</f>
        <v>46.38</v>
      </c>
      <c r="D2054" s="17" t="s">
        <v>11</v>
      </c>
      <c r="E2054" s="17" t="s">
        <v>14</v>
      </c>
      <c r="F2054" s="18"/>
      <c r="G2054" s="36" t="str">
        <f>IF(ISNUMBER(F2054),C2054*F2054,"")</f>
        <v/>
      </c>
    </row>
    <row r="2055" spans="1:7" ht="12" customHeight="1" outlineLevel="3" x14ac:dyDescent="0.2">
      <c r="A2055" s="14" t="s">
        <v>4061</v>
      </c>
      <c r="B2055" s="15" t="s">
        <v>4062</v>
      </c>
      <c r="C2055" s="16">
        <f>80.05/(1+B2)</f>
        <v>80.05</v>
      </c>
      <c r="D2055" s="17" t="s">
        <v>11</v>
      </c>
      <c r="E2055" s="17" t="s">
        <v>14</v>
      </c>
      <c r="F2055" s="18"/>
      <c r="G2055" s="36" t="str">
        <f>IF(ISNUMBER(F2055),C2055*F2055,"")</f>
        <v/>
      </c>
    </row>
    <row r="2056" spans="1:7" ht="12" customHeight="1" outlineLevel="3" x14ac:dyDescent="0.2">
      <c r="A2056" s="14" t="s">
        <v>4063</v>
      </c>
      <c r="B2056" s="15" t="s">
        <v>4064</v>
      </c>
      <c r="C2056" s="16">
        <f>113.44/(1+B2)</f>
        <v>113.44</v>
      </c>
      <c r="D2056" s="17" t="s">
        <v>11</v>
      </c>
      <c r="E2056" s="17"/>
      <c r="F2056" s="18"/>
      <c r="G2056" s="36" t="str">
        <f>IF(ISNUMBER(F2056),C2056*F2056,"")</f>
        <v/>
      </c>
    </row>
    <row r="2057" spans="1:7" ht="12" customHeight="1" outlineLevel="3" x14ac:dyDescent="0.2">
      <c r="A2057" s="14" t="s">
        <v>4065</v>
      </c>
      <c r="B2057" s="15" t="s">
        <v>4066</v>
      </c>
      <c r="C2057" s="16">
        <f>65.29/(1+B2)</f>
        <v>65.290000000000006</v>
      </c>
      <c r="D2057" s="17" t="s">
        <v>53</v>
      </c>
      <c r="E2057" s="17" t="s">
        <v>53</v>
      </c>
      <c r="F2057" s="18"/>
      <c r="G2057" s="36" t="str">
        <f>IF(ISNUMBER(F2057),C2057*F2057,"")</f>
        <v/>
      </c>
    </row>
    <row r="2058" spans="1:7" ht="12" customHeight="1" outlineLevel="3" x14ac:dyDescent="0.2">
      <c r="A2058" s="14" t="s">
        <v>4067</v>
      </c>
      <c r="B2058" s="15" t="s">
        <v>4068</v>
      </c>
      <c r="C2058" s="16">
        <f>52.34/(1+B2)</f>
        <v>52.34</v>
      </c>
      <c r="D2058" s="17" t="s">
        <v>11</v>
      </c>
      <c r="E2058" s="17" t="s">
        <v>14</v>
      </c>
      <c r="F2058" s="18"/>
      <c r="G2058" s="36" t="str">
        <f>IF(ISNUMBER(F2058),C2058*F2058,"")</f>
        <v/>
      </c>
    </row>
    <row r="2059" spans="1:7" ht="12" customHeight="1" outlineLevel="3" x14ac:dyDescent="0.2">
      <c r="A2059" s="14" t="s">
        <v>4069</v>
      </c>
      <c r="B2059" s="15" t="s">
        <v>4070</v>
      </c>
      <c r="C2059" s="16">
        <f>65.29/(1+B2)</f>
        <v>65.290000000000006</v>
      </c>
      <c r="D2059" s="17" t="s">
        <v>53</v>
      </c>
      <c r="E2059" s="17" t="s">
        <v>11</v>
      </c>
      <c r="F2059" s="18"/>
      <c r="G2059" s="36" t="str">
        <f>IF(ISNUMBER(F2059),C2059*F2059,"")</f>
        <v/>
      </c>
    </row>
    <row r="2060" spans="1:7" ht="12" customHeight="1" outlineLevel="3" x14ac:dyDescent="0.2">
      <c r="A2060" s="14" t="s">
        <v>4071</v>
      </c>
      <c r="B2060" s="15" t="s">
        <v>4072</v>
      </c>
      <c r="C2060" s="16">
        <f>99.33/(1+B2)</f>
        <v>99.33</v>
      </c>
      <c r="D2060" s="17" t="s">
        <v>11</v>
      </c>
      <c r="E2060" s="17" t="s">
        <v>53</v>
      </c>
      <c r="F2060" s="18"/>
      <c r="G2060" s="36" t="str">
        <f>IF(ISNUMBER(F2060),C2060*F2060,"")</f>
        <v/>
      </c>
    </row>
    <row r="2061" spans="1:7" ht="12" customHeight="1" outlineLevel="3" x14ac:dyDescent="0.2">
      <c r="A2061" s="14" t="s">
        <v>4073</v>
      </c>
      <c r="B2061" s="15" t="s">
        <v>4074</v>
      </c>
      <c r="C2061" s="16">
        <f>135.19/(1+B2)</f>
        <v>135.19</v>
      </c>
      <c r="D2061" s="17" t="s">
        <v>14</v>
      </c>
      <c r="E2061" s="17" t="s">
        <v>11</v>
      </c>
      <c r="F2061" s="18"/>
      <c r="G2061" s="36" t="str">
        <f>IF(ISNUMBER(F2061),C2061*F2061,"")</f>
        <v/>
      </c>
    </row>
    <row r="2062" spans="1:7" ht="12" customHeight="1" outlineLevel="3" x14ac:dyDescent="0.2">
      <c r="A2062" s="14" t="s">
        <v>4075</v>
      </c>
      <c r="B2062" s="15" t="s">
        <v>4076</v>
      </c>
      <c r="C2062" s="16">
        <f>99.33/(1+B2)</f>
        <v>99.33</v>
      </c>
      <c r="D2062" s="17" t="s">
        <v>11</v>
      </c>
      <c r="E2062" s="17" t="s">
        <v>53</v>
      </c>
      <c r="F2062" s="18"/>
      <c r="G2062" s="36" t="str">
        <f>IF(ISNUMBER(F2062),C2062*F2062,"")</f>
        <v/>
      </c>
    </row>
    <row r="2063" spans="1:7" ht="24" customHeight="1" outlineLevel="3" x14ac:dyDescent="0.2">
      <c r="A2063" s="14" t="s">
        <v>4077</v>
      </c>
      <c r="B2063" s="15" t="s">
        <v>4078</v>
      </c>
      <c r="C2063" s="16">
        <f>93.99/(1+B2)</f>
        <v>93.99</v>
      </c>
      <c r="D2063" s="17" t="s">
        <v>11</v>
      </c>
      <c r="E2063" s="17" t="s">
        <v>14</v>
      </c>
      <c r="F2063" s="18"/>
      <c r="G2063" s="36" t="str">
        <f>IF(ISNUMBER(F2063),C2063*F2063,"")</f>
        <v/>
      </c>
    </row>
    <row r="2064" spans="1:7" ht="12" customHeight="1" outlineLevel="3" x14ac:dyDescent="0.2">
      <c r="A2064" s="14" t="s">
        <v>4079</v>
      </c>
      <c r="B2064" s="15" t="s">
        <v>4080</v>
      </c>
      <c r="C2064" s="16">
        <f>96.83/(1+B2)</f>
        <v>96.83</v>
      </c>
      <c r="D2064" s="17" t="s">
        <v>11</v>
      </c>
      <c r="E2064" s="17"/>
      <c r="F2064" s="18"/>
      <c r="G2064" s="36" t="str">
        <f>IF(ISNUMBER(F2064),C2064*F2064,"")</f>
        <v/>
      </c>
    </row>
    <row r="2065" spans="1:7" ht="12" customHeight="1" outlineLevel="3" x14ac:dyDescent="0.2">
      <c r="A2065" s="14" t="s">
        <v>4081</v>
      </c>
      <c r="B2065" s="15" t="s">
        <v>4082</v>
      </c>
      <c r="C2065" s="16">
        <f>96.83/(1+B2)</f>
        <v>96.83</v>
      </c>
      <c r="D2065" s="17" t="s">
        <v>11</v>
      </c>
      <c r="E2065" s="17" t="s">
        <v>11</v>
      </c>
      <c r="F2065" s="18"/>
      <c r="G2065" s="36" t="str">
        <f>IF(ISNUMBER(F2065),C2065*F2065,"")</f>
        <v/>
      </c>
    </row>
    <row r="2066" spans="1:7" ht="12" customHeight="1" outlineLevel="3" x14ac:dyDescent="0.2">
      <c r="A2066" s="14" t="s">
        <v>4083</v>
      </c>
      <c r="B2066" s="15" t="s">
        <v>4084</v>
      </c>
      <c r="C2066" s="16">
        <f>96.83/(1+B2)</f>
        <v>96.83</v>
      </c>
      <c r="D2066" s="17" t="s">
        <v>11</v>
      </c>
      <c r="E2066" s="17" t="s">
        <v>106</v>
      </c>
      <c r="F2066" s="18"/>
      <c r="G2066" s="36" t="str">
        <f>IF(ISNUMBER(F2066),C2066*F2066,"")</f>
        <v/>
      </c>
    </row>
    <row r="2067" spans="1:7" ht="12" customHeight="1" outlineLevel="3" x14ac:dyDescent="0.2">
      <c r="A2067" s="14" t="s">
        <v>4085</v>
      </c>
      <c r="B2067" s="15" t="s">
        <v>4086</v>
      </c>
      <c r="C2067" s="16">
        <f>86.91/(1+B2)</f>
        <v>86.91</v>
      </c>
      <c r="D2067" s="17" t="s">
        <v>14</v>
      </c>
      <c r="E2067" s="17" t="s">
        <v>53</v>
      </c>
      <c r="F2067" s="18"/>
      <c r="G2067" s="36" t="str">
        <f>IF(ISNUMBER(F2067),C2067*F2067,"")</f>
        <v/>
      </c>
    </row>
    <row r="2068" spans="1:7" ht="12" customHeight="1" outlineLevel="3" x14ac:dyDescent="0.2">
      <c r="A2068" s="14" t="s">
        <v>4087</v>
      </c>
      <c r="B2068" s="15" t="s">
        <v>4088</v>
      </c>
      <c r="C2068" s="16">
        <f>86.91/(1+B2)</f>
        <v>86.91</v>
      </c>
      <c r="D2068" s="17" t="s">
        <v>11</v>
      </c>
      <c r="E2068" s="17" t="s">
        <v>53</v>
      </c>
      <c r="F2068" s="18"/>
      <c r="G2068" s="36" t="str">
        <f>IF(ISNUMBER(F2068),C2068*F2068,"")</f>
        <v/>
      </c>
    </row>
    <row r="2069" spans="1:7" ht="12" customHeight="1" outlineLevel="3" x14ac:dyDescent="0.2">
      <c r="A2069" s="14" t="s">
        <v>4089</v>
      </c>
      <c r="B2069" s="15" t="s">
        <v>4090</v>
      </c>
      <c r="C2069" s="16">
        <f>50.86/(1+B2)</f>
        <v>50.86</v>
      </c>
      <c r="D2069" s="17" t="s">
        <v>11</v>
      </c>
      <c r="E2069" s="17"/>
      <c r="F2069" s="18"/>
      <c r="G2069" s="36" t="str">
        <f>IF(ISNUMBER(F2069),C2069*F2069,"")</f>
        <v/>
      </c>
    </row>
    <row r="2070" spans="1:7" ht="12" customHeight="1" outlineLevel="3" x14ac:dyDescent="0.2">
      <c r="A2070" s="14" t="s">
        <v>4091</v>
      </c>
      <c r="B2070" s="15" t="s">
        <v>4092</v>
      </c>
      <c r="C2070" s="16">
        <f>51.76/(1+B2)</f>
        <v>51.76</v>
      </c>
      <c r="D2070" s="17" t="s">
        <v>11</v>
      </c>
      <c r="E2070" s="17" t="s">
        <v>53</v>
      </c>
      <c r="F2070" s="18"/>
      <c r="G2070" s="36" t="str">
        <f>IF(ISNUMBER(F2070),C2070*F2070,"")</f>
        <v/>
      </c>
    </row>
    <row r="2071" spans="1:7" ht="12" customHeight="1" outlineLevel="3" x14ac:dyDescent="0.2">
      <c r="A2071" s="14" t="s">
        <v>4093</v>
      </c>
      <c r="B2071" s="15" t="s">
        <v>4094</v>
      </c>
      <c r="C2071" s="16">
        <f>61.26/(1+B2)</f>
        <v>61.26</v>
      </c>
      <c r="D2071" s="17" t="s">
        <v>14</v>
      </c>
      <c r="E2071" s="17" t="s">
        <v>53</v>
      </c>
      <c r="F2071" s="18"/>
      <c r="G2071" s="36" t="str">
        <f>IF(ISNUMBER(F2071),C2071*F2071,"")</f>
        <v/>
      </c>
    </row>
    <row r="2072" spans="1:7" ht="12" customHeight="1" outlineLevel="3" x14ac:dyDescent="0.2">
      <c r="A2072" s="14" t="s">
        <v>4095</v>
      </c>
      <c r="B2072" s="15" t="s">
        <v>4096</v>
      </c>
      <c r="C2072" s="16">
        <f>60.26/(1+B2)</f>
        <v>60.26</v>
      </c>
      <c r="D2072" s="17" t="s">
        <v>14</v>
      </c>
      <c r="E2072" s="17"/>
      <c r="F2072" s="18"/>
      <c r="G2072" s="36" t="str">
        <f>IF(ISNUMBER(F2072),C2072*F2072,"")</f>
        <v/>
      </c>
    </row>
    <row r="2073" spans="1:7" ht="12" customHeight="1" outlineLevel="3" x14ac:dyDescent="0.2">
      <c r="A2073" s="14" t="s">
        <v>4097</v>
      </c>
      <c r="B2073" s="15" t="s">
        <v>4098</v>
      </c>
      <c r="C2073" s="16">
        <f>45.71/(1+B2)</f>
        <v>45.71</v>
      </c>
      <c r="D2073" s="17" t="s">
        <v>53</v>
      </c>
      <c r="E2073" s="17" t="s">
        <v>106</v>
      </c>
      <c r="F2073" s="18"/>
      <c r="G2073" s="36" t="str">
        <f>IF(ISNUMBER(F2073),C2073*F2073,"")</f>
        <v/>
      </c>
    </row>
    <row r="2074" spans="1:7" ht="12" customHeight="1" outlineLevel="3" x14ac:dyDescent="0.2">
      <c r="A2074" s="14" t="s">
        <v>4099</v>
      </c>
      <c r="B2074" s="15" t="s">
        <v>4100</v>
      </c>
      <c r="C2074" s="16">
        <f>45.71/(1+B2)</f>
        <v>45.71</v>
      </c>
      <c r="D2074" s="17" t="s">
        <v>14</v>
      </c>
      <c r="E2074" s="17"/>
      <c r="F2074" s="18"/>
      <c r="G2074" s="36" t="str">
        <f>IF(ISNUMBER(F2074),C2074*F2074,"")</f>
        <v/>
      </c>
    </row>
    <row r="2075" spans="1:7" ht="12" customHeight="1" outlineLevel="3" x14ac:dyDescent="0.2">
      <c r="A2075" s="14" t="s">
        <v>4101</v>
      </c>
      <c r="B2075" s="15" t="s">
        <v>4102</v>
      </c>
      <c r="C2075" s="16">
        <f>53.84/(1+B2)</f>
        <v>53.84</v>
      </c>
      <c r="D2075" s="17" t="s">
        <v>53</v>
      </c>
      <c r="E2075" s="17" t="s">
        <v>11</v>
      </c>
      <c r="F2075" s="18"/>
      <c r="G2075" s="36" t="str">
        <f>IF(ISNUMBER(F2075),C2075*F2075,"")</f>
        <v/>
      </c>
    </row>
    <row r="2076" spans="1:7" ht="12" customHeight="1" outlineLevel="3" x14ac:dyDescent="0.2">
      <c r="A2076" s="14" t="s">
        <v>4103</v>
      </c>
      <c r="B2076" s="15" t="s">
        <v>4104</v>
      </c>
      <c r="C2076" s="16">
        <f>54.46/(1+B2)</f>
        <v>54.46</v>
      </c>
      <c r="D2076" s="17"/>
      <c r="E2076" s="17" t="s">
        <v>53</v>
      </c>
      <c r="F2076" s="18"/>
      <c r="G2076" s="36" t="str">
        <f>IF(ISNUMBER(F2076),C2076*F2076,"")</f>
        <v/>
      </c>
    </row>
    <row r="2077" spans="1:7" ht="12" customHeight="1" outlineLevel="3" x14ac:dyDescent="0.2">
      <c r="A2077" s="14" t="s">
        <v>4105</v>
      </c>
      <c r="B2077" s="15" t="s">
        <v>4106</v>
      </c>
      <c r="C2077" s="16">
        <f>55.63/(1+B2)</f>
        <v>55.63</v>
      </c>
      <c r="D2077" s="17" t="s">
        <v>11</v>
      </c>
      <c r="E2077" s="17" t="s">
        <v>53</v>
      </c>
      <c r="F2077" s="18"/>
      <c r="G2077" s="36" t="str">
        <f>IF(ISNUMBER(F2077),C2077*F2077,"")</f>
        <v/>
      </c>
    </row>
    <row r="2078" spans="1:7" ht="12" customHeight="1" outlineLevel="3" x14ac:dyDescent="0.2">
      <c r="A2078" s="14" t="s">
        <v>4107</v>
      </c>
      <c r="B2078" s="15" t="s">
        <v>4108</v>
      </c>
      <c r="C2078" s="16">
        <f>68.58/(1+B2)</f>
        <v>68.58</v>
      </c>
      <c r="D2078" s="17" t="s">
        <v>11</v>
      </c>
      <c r="E2078" s="17"/>
      <c r="F2078" s="18"/>
      <c r="G2078" s="36" t="str">
        <f>IF(ISNUMBER(F2078),C2078*F2078,"")</f>
        <v/>
      </c>
    </row>
    <row r="2079" spans="1:7" ht="12" customHeight="1" outlineLevel="3" x14ac:dyDescent="0.2">
      <c r="A2079" s="14" t="s">
        <v>4109</v>
      </c>
      <c r="B2079" s="15" t="s">
        <v>4110</v>
      </c>
      <c r="C2079" s="16">
        <f>76.8/(1+B2)</f>
        <v>76.8</v>
      </c>
      <c r="D2079" s="17" t="s">
        <v>11</v>
      </c>
      <c r="E2079" s="17" t="s">
        <v>14</v>
      </c>
      <c r="F2079" s="18"/>
      <c r="G2079" s="36" t="str">
        <f>IF(ISNUMBER(F2079),C2079*F2079,"")</f>
        <v/>
      </c>
    </row>
    <row r="2080" spans="1:7" ht="12" customHeight="1" outlineLevel="3" x14ac:dyDescent="0.2">
      <c r="A2080" s="14" t="s">
        <v>4111</v>
      </c>
      <c r="B2080" s="15" t="s">
        <v>4112</v>
      </c>
      <c r="C2080" s="16">
        <f>56.14/(1+B2)</f>
        <v>56.14</v>
      </c>
      <c r="D2080" s="17" t="s">
        <v>11</v>
      </c>
      <c r="E2080" s="17" t="s">
        <v>14</v>
      </c>
      <c r="F2080" s="18"/>
      <c r="G2080" s="36" t="str">
        <f>IF(ISNUMBER(F2080),C2080*F2080,"")</f>
        <v/>
      </c>
    </row>
    <row r="2081" spans="1:7" ht="12" customHeight="1" outlineLevel="3" x14ac:dyDescent="0.2">
      <c r="A2081" s="14" t="s">
        <v>4113</v>
      </c>
      <c r="B2081" s="15" t="s">
        <v>4114</v>
      </c>
      <c r="C2081" s="16">
        <f>55.11/(1+B2)</f>
        <v>55.11</v>
      </c>
      <c r="D2081" s="17" t="s">
        <v>53</v>
      </c>
      <c r="E2081" s="17"/>
      <c r="F2081" s="18"/>
      <c r="G2081" s="36" t="str">
        <f>IF(ISNUMBER(F2081),C2081*F2081,"")</f>
        <v/>
      </c>
    </row>
    <row r="2082" spans="1:7" ht="12" customHeight="1" outlineLevel="3" x14ac:dyDescent="0.2">
      <c r="A2082" s="14" t="s">
        <v>4115</v>
      </c>
      <c r="B2082" s="15" t="s">
        <v>4116</v>
      </c>
      <c r="C2082" s="16">
        <f>31.25/(1+B2)</f>
        <v>31.25</v>
      </c>
      <c r="D2082" s="17" t="s">
        <v>11</v>
      </c>
      <c r="E2082" s="17" t="s">
        <v>106</v>
      </c>
      <c r="F2082" s="18"/>
      <c r="G2082" s="36" t="str">
        <f>IF(ISNUMBER(F2082),C2082*F2082,"")</f>
        <v/>
      </c>
    </row>
    <row r="2083" spans="1:7" ht="12" customHeight="1" outlineLevel="3" x14ac:dyDescent="0.2">
      <c r="A2083" s="14" t="s">
        <v>4117</v>
      </c>
      <c r="B2083" s="15" t="s">
        <v>4118</v>
      </c>
      <c r="C2083" s="16">
        <f>36.05/(1+B2)</f>
        <v>36.049999999999997</v>
      </c>
      <c r="D2083" s="17" t="s">
        <v>11</v>
      </c>
      <c r="E2083" s="17"/>
      <c r="F2083" s="18"/>
      <c r="G2083" s="36" t="str">
        <f>IF(ISNUMBER(F2083),C2083*F2083,"")</f>
        <v/>
      </c>
    </row>
    <row r="2084" spans="1:7" ht="12" customHeight="1" outlineLevel="3" x14ac:dyDescent="0.2">
      <c r="A2084" s="14" t="s">
        <v>4119</v>
      </c>
      <c r="B2084" s="15" t="s">
        <v>4120</v>
      </c>
      <c r="C2084" s="16">
        <f>37.73/(1+B2)</f>
        <v>37.729999999999997</v>
      </c>
      <c r="D2084" s="17" t="s">
        <v>11</v>
      </c>
      <c r="E2084" s="17"/>
      <c r="F2084" s="18"/>
      <c r="G2084" s="36" t="str">
        <f>IF(ISNUMBER(F2084),C2084*F2084,"")</f>
        <v/>
      </c>
    </row>
    <row r="2085" spans="1:7" ht="12" customHeight="1" outlineLevel="3" x14ac:dyDescent="0.2">
      <c r="A2085" s="14" t="s">
        <v>4121</v>
      </c>
      <c r="B2085" s="15" t="s">
        <v>4122</v>
      </c>
      <c r="C2085" s="16">
        <f>36.05/(1+B2)</f>
        <v>36.049999999999997</v>
      </c>
      <c r="D2085" s="17" t="s">
        <v>14</v>
      </c>
      <c r="E2085" s="17"/>
      <c r="F2085" s="18"/>
      <c r="G2085" s="36" t="str">
        <f>IF(ISNUMBER(F2085),C2085*F2085,"")</f>
        <v/>
      </c>
    </row>
    <row r="2086" spans="1:7" ht="12" customHeight="1" outlineLevel="3" x14ac:dyDescent="0.2">
      <c r="A2086" s="14" t="s">
        <v>4123</v>
      </c>
      <c r="B2086" s="15" t="s">
        <v>4124</v>
      </c>
      <c r="C2086" s="16">
        <f>37.73/(1+B2)</f>
        <v>37.729999999999997</v>
      </c>
      <c r="D2086" s="17" t="s">
        <v>14</v>
      </c>
      <c r="E2086" s="17"/>
      <c r="F2086" s="18"/>
      <c r="G2086" s="36" t="str">
        <f>IF(ISNUMBER(F2086),C2086*F2086,"")</f>
        <v/>
      </c>
    </row>
    <row r="2087" spans="1:7" ht="12" customHeight="1" outlineLevel="3" x14ac:dyDescent="0.2">
      <c r="A2087" s="14" t="s">
        <v>4125</v>
      </c>
      <c r="B2087" s="15" t="s">
        <v>4126</v>
      </c>
      <c r="C2087" s="16">
        <f>36.05/(1+B2)</f>
        <v>36.049999999999997</v>
      </c>
      <c r="D2087" s="17" t="s">
        <v>11</v>
      </c>
      <c r="E2087" s="17" t="s">
        <v>53</v>
      </c>
      <c r="F2087" s="18"/>
      <c r="G2087" s="36" t="str">
        <f>IF(ISNUMBER(F2087),C2087*F2087,"")</f>
        <v/>
      </c>
    </row>
    <row r="2088" spans="1:7" ht="12" customHeight="1" outlineLevel="3" x14ac:dyDescent="0.2">
      <c r="A2088" s="14" t="s">
        <v>4127</v>
      </c>
      <c r="B2088" s="15" t="s">
        <v>4128</v>
      </c>
      <c r="C2088" s="16">
        <f>37.99/(1+B2)</f>
        <v>37.99</v>
      </c>
      <c r="D2088" s="17" t="s">
        <v>14</v>
      </c>
      <c r="E2088" s="17"/>
      <c r="F2088" s="18"/>
      <c r="G2088" s="36" t="str">
        <f>IF(ISNUMBER(F2088),C2088*F2088,"")</f>
        <v/>
      </c>
    </row>
    <row r="2089" spans="1:7" ht="12" customHeight="1" outlineLevel="3" x14ac:dyDescent="0.2">
      <c r="A2089" s="14" t="s">
        <v>4129</v>
      </c>
      <c r="B2089" s="15" t="s">
        <v>4130</v>
      </c>
      <c r="C2089" s="16">
        <f>81.39/(1+B2)</f>
        <v>81.39</v>
      </c>
      <c r="D2089" s="17" t="s">
        <v>14</v>
      </c>
      <c r="E2089" s="17" t="s">
        <v>106</v>
      </c>
      <c r="F2089" s="18"/>
      <c r="G2089" s="36" t="str">
        <f>IF(ISNUMBER(F2089),C2089*F2089,"")</f>
        <v/>
      </c>
    </row>
    <row r="2090" spans="1:7" ht="12" customHeight="1" outlineLevel="3" x14ac:dyDescent="0.2">
      <c r="A2090" s="14" t="s">
        <v>4131</v>
      </c>
      <c r="B2090" s="15" t="s">
        <v>4132</v>
      </c>
      <c r="C2090" s="16">
        <f>77.15/(1+B2)</f>
        <v>77.150000000000006</v>
      </c>
      <c r="D2090" s="17" t="s">
        <v>11</v>
      </c>
      <c r="E2090" s="17" t="s">
        <v>106</v>
      </c>
      <c r="F2090" s="18"/>
      <c r="G2090" s="36" t="str">
        <f>IF(ISNUMBER(F2090),C2090*F2090,"")</f>
        <v/>
      </c>
    </row>
    <row r="2091" spans="1:7" ht="12" customHeight="1" outlineLevel="3" x14ac:dyDescent="0.2">
      <c r="A2091" s="14" t="s">
        <v>4133</v>
      </c>
      <c r="B2091" s="15" t="s">
        <v>4134</v>
      </c>
      <c r="C2091" s="16">
        <f>70.93/(1+B2)</f>
        <v>70.930000000000007</v>
      </c>
      <c r="D2091" s="17" t="s">
        <v>14</v>
      </c>
      <c r="E2091" s="17" t="s">
        <v>53</v>
      </c>
      <c r="F2091" s="18"/>
      <c r="G2091" s="36" t="str">
        <f>IF(ISNUMBER(F2091),C2091*F2091,"")</f>
        <v/>
      </c>
    </row>
    <row r="2092" spans="1:7" ht="24" customHeight="1" outlineLevel="3" x14ac:dyDescent="0.2">
      <c r="A2092" s="14" t="s">
        <v>4135</v>
      </c>
      <c r="B2092" s="15" t="s">
        <v>4136</v>
      </c>
      <c r="C2092" s="16">
        <f>74.59/(1+B2)</f>
        <v>74.59</v>
      </c>
      <c r="D2092" s="17" t="s">
        <v>11</v>
      </c>
      <c r="E2092" s="17"/>
      <c r="F2092" s="18"/>
      <c r="G2092" s="36" t="str">
        <f>IF(ISNUMBER(F2092),C2092*F2092,"")</f>
        <v/>
      </c>
    </row>
    <row r="2093" spans="1:7" ht="12" customHeight="1" outlineLevel="3" x14ac:dyDescent="0.2">
      <c r="A2093" s="14" t="s">
        <v>4137</v>
      </c>
      <c r="B2093" s="15" t="s">
        <v>4138</v>
      </c>
      <c r="C2093" s="16">
        <f>65.28/(1+B2)</f>
        <v>65.28</v>
      </c>
      <c r="D2093" s="17" t="s">
        <v>53</v>
      </c>
      <c r="E2093" s="17"/>
      <c r="F2093" s="18"/>
      <c r="G2093" s="36" t="str">
        <f>IF(ISNUMBER(F2093),C2093*F2093,"")</f>
        <v/>
      </c>
    </row>
    <row r="2094" spans="1:7" ht="12" customHeight="1" outlineLevel="3" x14ac:dyDescent="0.2">
      <c r="A2094" s="14" t="s">
        <v>4139</v>
      </c>
      <c r="B2094" s="15" t="s">
        <v>4140</v>
      </c>
      <c r="C2094" s="16">
        <f>50/(1+B2)</f>
        <v>50</v>
      </c>
      <c r="D2094" s="17" t="s">
        <v>11</v>
      </c>
      <c r="E2094" s="17"/>
      <c r="F2094" s="18"/>
      <c r="G2094" s="36" t="str">
        <f>IF(ISNUMBER(F2094),C2094*F2094,"")</f>
        <v/>
      </c>
    </row>
    <row r="2095" spans="1:7" ht="12" customHeight="1" outlineLevel="3" x14ac:dyDescent="0.2">
      <c r="A2095" s="14" t="s">
        <v>4141</v>
      </c>
      <c r="B2095" s="15" t="s">
        <v>4142</v>
      </c>
      <c r="C2095" s="16">
        <f>77.88/(1+B2)</f>
        <v>77.88</v>
      </c>
      <c r="D2095" s="17" t="s">
        <v>14</v>
      </c>
      <c r="E2095" s="17" t="s">
        <v>106</v>
      </c>
      <c r="F2095" s="18"/>
      <c r="G2095" s="36" t="str">
        <f>IF(ISNUMBER(F2095),C2095*F2095,"")</f>
        <v/>
      </c>
    </row>
    <row r="2096" spans="1:7" ht="12" customHeight="1" outlineLevel="3" x14ac:dyDescent="0.2">
      <c r="A2096" s="14" t="s">
        <v>4143</v>
      </c>
      <c r="B2096" s="15" t="s">
        <v>4144</v>
      </c>
      <c r="C2096" s="16">
        <f>176.65/(1+B2)</f>
        <v>176.65</v>
      </c>
      <c r="D2096" s="17" t="s">
        <v>14</v>
      </c>
      <c r="E2096" s="17" t="s">
        <v>11</v>
      </c>
      <c r="F2096" s="18"/>
      <c r="G2096" s="36" t="str">
        <f>IF(ISNUMBER(F2096),C2096*F2096,"")</f>
        <v/>
      </c>
    </row>
    <row r="2097" spans="1:7" ht="12" customHeight="1" outlineLevel="3" x14ac:dyDescent="0.2">
      <c r="A2097" s="14" t="s">
        <v>4145</v>
      </c>
      <c r="B2097" s="15" t="s">
        <v>4146</v>
      </c>
      <c r="C2097" s="16">
        <f>54.73/(1+B2)</f>
        <v>54.73</v>
      </c>
      <c r="D2097" s="17" t="s">
        <v>14</v>
      </c>
      <c r="E2097" s="17" t="s">
        <v>14</v>
      </c>
      <c r="F2097" s="18"/>
      <c r="G2097" s="36" t="str">
        <f>IF(ISNUMBER(F2097),C2097*F2097,"")</f>
        <v/>
      </c>
    </row>
    <row r="2098" spans="1:7" ht="12" customHeight="1" outlineLevel="3" x14ac:dyDescent="0.2">
      <c r="A2098" s="14" t="s">
        <v>4147</v>
      </c>
      <c r="B2098" s="15" t="s">
        <v>4148</v>
      </c>
      <c r="C2098" s="16">
        <f>54.73/(1+B2)</f>
        <v>54.73</v>
      </c>
      <c r="D2098" s="17" t="s">
        <v>14</v>
      </c>
      <c r="E2098" s="17"/>
      <c r="F2098" s="18"/>
      <c r="G2098" s="36" t="str">
        <f>IF(ISNUMBER(F2098),C2098*F2098,"")</f>
        <v/>
      </c>
    </row>
    <row r="2099" spans="1:7" ht="24" customHeight="1" outlineLevel="3" x14ac:dyDescent="0.2">
      <c r="A2099" s="14" t="s">
        <v>4149</v>
      </c>
      <c r="B2099" s="15" t="s">
        <v>4150</v>
      </c>
      <c r="C2099" s="16">
        <f>52.48/(1+B2)</f>
        <v>52.48</v>
      </c>
      <c r="D2099" s="17" t="s">
        <v>11</v>
      </c>
      <c r="E2099" s="17" t="s">
        <v>14</v>
      </c>
      <c r="F2099" s="18"/>
      <c r="G2099" s="36" t="str">
        <f>IF(ISNUMBER(F2099),C2099*F2099,"")</f>
        <v/>
      </c>
    </row>
    <row r="2100" spans="1:7" ht="12" customHeight="1" outlineLevel="3" x14ac:dyDescent="0.2">
      <c r="A2100" s="14" t="s">
        <v>4151</v>
      </c>
      <c r="B2100" s="15" t="s">
        <v>4152</v>
      </c>
      <c r="C2100" s="16">
        <f>54.73/(1+B2)</f>
        <v>54.73</v>
      </c>
      <c r="D2100" s="17" t="s">
        <v>11</v>
      </c>
      <c r="E2100" s="17" t="s">
        <v>14</v>
      </c>
      <c r="F2100" s="18"/>
      <c r="G2100" s="36" t="str">
        <f>IF(ISNUMBER(F2100),C2100*F2100,"")</f>
        <v/>
      </c>
    </row>
    <row r="2101" spans="1:7" ht="12" customHeight="1" outlineLevel="3" x14ac:dyDescent="0.2">
      <c r="A2101" s="14" t="s">
        <v>4153</v>
      </c>
      <c r="B2101" s="15" t="s">
        <v>4154</v>
      </c>
      <c r="C2101" s="16">
        <f>52.48/(1+B2)</f>
        <v>52.48</v>
      </c>
      <c r="D2101" s="17" t="s">
        <v>11</v>
      </c>
      <c r="E2101" s="17" t="s">
        <v>11</v>
      </c>
      <c r="F2101" s="18"/>
      <c r="G2101" s="36" t="str">
        <f>IF(ISNUMBER(F2101),C2101*F2101,"")</f>
        <v/>
      </c>
    </row>
    <row r="2102" spans="1:7" ht="12" customHeight="1" outlineLevel="3" x14ac:dyDescent="0.2">
      <c r="A2102" s="14" t="s">
        <v>4155</v>
      </c>
      <c r="B2102" s="15" t="s">
        <v>4156</v>
      </c>
      <c r="C2102" s="16">
        <f>54.73/(1+B2)</f>
        <v>54.73</v>
      </c>
      <c r="D2102" s="17" t="s">
        <v>11</v>
      </c>
      <c r="E2102" s="17" t="s">
        <v>14</v>
      </c>
      <c r="F2102" s="18"/>
      <c r="G2102" s="36" t="str">
        <f>IF(ISNUMBER(F2102),C2102*F2102,"")</f>
        <v/>
      </c>
    </row>
    <row r="2103" spans="1:7" s="1" customFormat="1" ht="12.95" customHeight="1" outlineLevel="2" x14ac:dyDescent="0.2">
      <c r="A2103" s="20"/>
      <c r="B2103" s="21" t="s">
        <v>4157</v>
      </c>
      <c r="C2103" s="22"/>
      <c r="D2103" s="22"/>
      <c r="E2103" s="22"/>
      <c r="F2103" s="22"/>
      <c r="G2103" s="37"/>
    </row>
    <row r="2104" spans="1:7" ht="12" customHeight="1" outlineLevel="3" x14ac:dyDescent="0.2">
      <c r="A2104" s="14" t="s">
        <v>4158</v>
      </c>
      <c r="B2104" s="15" t="s">
        <v>4159</v>
      </c>
      <c r="C2104" s="16">
        <f>195/(1+B2)</f>
        <v>195</v>
      </c>
      <c r="D2104" s="17" t="s">
        <v>11</v>
      </c>
      <c r="E2104" s="17"/>
      <c r="F2104" s="18"/>
      <c r="G2104" s="36" t="str">
        <f>IF(ISNUMBER(F2104),C2104*F2104,"")</f>
        <v/>
      </c>
    </row>
    <row r="2105" spans="1:7" ht="12" customHeight="1" outlineLevel="3" x14ac:dyDescent="0.2">
      <c r="A2105" s="14" t="s">
        <v>4160</v>
      </c>
      <c r="B2105" s="15" t="s">
        <v>4161</v>
      </c>
      <c r="C2105" s="16">
        <f>258.78/(1+B2)</f>
        <v>258.77999999999997</v>
      </c>
      <c r="D2105" s="17" t="s">
        <v>11</v>
      </c>
      <c r="E2105" s="17"/>
      <c r="F2105" s="18"/>
      <c r="G2105" s="36" t="str">
        <f>IF(ISNUMBER(F2105),C2105*F2105,"")</f>
        <v/>
      </c>
    </row>
    <row r="2106" spans="1:7" ht="12" customHeight="1" outlineLevel="3" x14ac:dyDescent="0.2">
      <c r="A2106" s="14" t="s">
        <v>4162</v>
      </c>
      <c r="B2106" s="15" t="s">
        <v>4163</v>
      </c>
      <c r="C2106" s="16">
        <f>296.1/(1+B2)</f>
        <v>296.10000000000002</v>
      </c>
      <c r="D2106" s="17" t="s">
        <v>11</v>
      </c>
      <c r="E2106" s="17" t="s">
        <v>11</v>
      </c>
      <c r="F2106" s="18"/>
      <c r="G2106" s="36" t="str">
        <f>IF(ISNUMBER(F2106),C2106*F2106,"")</f>
        <v/>
      </c>
    </row>
    <row r="2107" spans="1:7" ht="12" customHeight="1" outlineLevel="3" x14ac:dyDescent="0.2">
      <c r="A2107" s="14" t="s">
        <v>4164</v>
      </c>
      <c r="B2107" s="15" t="s">
        <v>4165</v>
      </c>
      <c r="C2107" s="16">
        <f>171.84/(1+B2)</f>
        <v>171.84</v>
      </c>
      <c r="D2107" s="17" t="s">
        <v>11</v>
      </c>
      <c r="E2107" s="17" t="s">
        <v>11</v>
      </c>
      <c r="F2107" s="18"/>
      <c r="G2107" s="36" t="str">
        <f>IF(ISNUMBER(F2107),C2107*F2107,"")</f>
        <v/>
      </c>
    </row>
    <row r="2108" spans="1:7" ht="12" customHeight="1" outlineLevel="3" x14ac:dyDescent="0.2">
      <c r="A2108" s="14" t="s">
        <v>4166</v>
      </c>
      <c r="B2108" s="15" t="s">
        <v>4167</v>
      </c>
      <c r="C2108" s="16">
        <f>190.09/(1+B2)</f>
        <v>190.09</v>
      </c>
      <c r="D2108" s="17" t="s">
        <v>11</v>
      </c>
      <c r="E2108" s="17" t="s">
        <v>11</v>
      </c>
      <c r="F2108" s="18"/>
      <c r="G2108" s="36" t="str">
        <f>IF(ISNUMBER(F2108),C2108*F2108,"")</f>
        <v/>
      </c>
    </row>
    <row r="2109" spans="1:7" ht="12" customHeight="1" outlineLevel="3" x14ac:dyDescent="0.2">
      <c r="A2109" s="14" t="s">
        <v>4168</v>
      </c>
      <c r="B2109" s="15" t="s">
        <v>4169</v>
      </c>
      <c r="C2109" s="16">
        <f>198.03/(1+B2)</f>
        <v>198.03</v>
      </c>
      <c r="D2109" s="17" t="s">
        <v>11</v>
      </c>
      <c r="E2109" s="17" t="s">
        <v>11</v>
      </c>
      <c r="F2109" s="18"/>
      <c r="G2109" s="36" t="str">
        <f>IF(ISNUMBER(F2109),C2109*F2109,"")</f>
        <v/>
      </c>
    </row>
    <row r="2110" spans="1:7" ht="12" customHeight="1" outlineLevel="3" x14ac:dyDescent="0.2">
      <c r="A2110" s="14" t="s">
        <v>4170</v>
      </c>
      <c r="B2110" s="15" t="s">
        <v>4171</v>
      </c>
      <c r="C2110" s="16">
        <f>198.03/(1+B2)</f>
        <v>198.03</v>
      </c>
      <c r="D2110" s="17" t="s">
        <v>11</v>
      </c>
      <c r="E2110" s="17" t="s">
        <v>11</v>
      </c>
      <c r="F2110" s="18"/>
      <c r="G2110" s="36" t="str">
        <f>IF(ISNUMBER(F2110),C2110*F2110,"")</f>
        <v/>
      </c>
    </row>
    <row r="2111" spans="1:7" ht="12" customHeight="1" outlineLevel="3" x14ac:dyDescent="0.2">
      <c r="A2111" s="14" t="s">
        <v>4172</v>
      </c>
      <c r="B2111" s="15" t="s">
        <v>4173</v>
      </c>
      <c r="C2111" s="16">
        <f>367.21/(1+B2)</f>
        <v>367.21</v>
      </c>
      <c r="D2111" s="17" t="s">
        <v>11</v>
      </c>
      <c r="E2111" s="17" t="s">
        <v>11</v>
      </c>
      <c r="F2111" s="18"/>
      <c r="G2111" s="36" t="str">
        <f>IF(ISNUMBER(F2111),C2111*F2111,"")</f>
        <v/>
      </c>
    </row>
    <row r="2112" spans="1:7" ht="12" customHeight="1" outlineLevel="3" x14ac:dyDescent="0.2">
      <c r="A2112" s="14" t="s">
        <v>4174</v>
      </c>
      <c r="B2112" s="15" t="s">
        <v>4175</v>
      </c>
      <c r="C2112" s="16">
        <f>385.61/(1+B2)</f>
        <v>385.61</v>
      </c>
      <c r="D2112" s="17" t="s">
        <v>11</v>
      </c>
      <c r="E2112" s="17" t="s">
        <v>11</v>
      </c>
      <c r="F2112" s="18"/>
      <c r="G2112" s="36" t="str">
        <f>IF(ISNUMBER(F2112),C2112*F2112,"")</f>
        <v/>
      </c>
    </row>
    <row r="2113" spans="1:7" ht="12" customHeight="1" outlineLevel="3" x14ac:dyDescent="0.2">
      <c r="A2113" s="14" t="s">
        <v>4176</v>
      </c>
      <c r="B2113" s="15" t="s">
        <v>4177</v>
      </c>
      <c r="C2113" s="16">
        <f>365.19/(1+B2)</f>
        <v>365.19</v>
      </c>
      <c r="D2113" s="17" t="s">
        <v>11</v>
      </c>
      <c r="E2113" s="17" t="s">
        <v>14</v>
      </c>
      <c r="F2113" s="18"/>
      <c r="G2113" s="36" t="str">
        <f>IF(ISNUMBER(F2113),C2113*F2113,"")</f>
        <v/>
      </c>
    </row>
    <row r="2114" spans="1:7" ht="12" customHeight="1" outlineLevel="3" x14ac:dyDescent="0.2">
      <c r="A2114" s="14" t="s">
        <v>4178</v>
      </c>
      <c r="B2114" s="15" t="s">
        <v>4179</v>
      </c>
      <c r="C2114" s="16">
        <f>406.21/(1+B2)</f>
        <v>406.21</v>
      </c>
      <c r="D2114" s="17" t="s">
        <v>11</v>
      </c>
      <c r="E2114" s="17" t="s">
        <v>11</v>
      </c>
      <c r="F2114" s="18"/>
      <c r="G2114" s="36" t="str">
        <f>IF(ISNUMBER(F2114),C2114*F2114,"")</f>
        <v/>
      </c>
    </row>
    <row r="2115" spans="1:7" ht="12" customHeight="1" outlineLevel="3" x14ac:dyDescent="0.2">
      <c r="A2115" s="14" t="s">
        <v>4180</v>
      </c>
      <c r="B2115" s="15" t="s">
        <v>4181</v>
      </c>
      <c r="C2115" s="16">
        <f>406.21/(1+B2)</f>
        <v>406.21</v>
      </c>
      <c r="D2115" s="17" t="s">
        <v>11</v>
      </c>
      <c r="E2115" s="17" t="s">
        <v>14</v>
      </c>
      <c r="F2115" s="18"/>
      <c r="G2115" s="36" t="str">
        <f>IF(ISNUMBER(F2115),C2115*F2115,"")</f>
        <v/>
      </c>
    </row>
    <row r="2116" spans="1:7" ht="12" customHeight="1" outlineLevel="3" x14ac:dyDescent="0.2">
      <c r="A2116" s="14" t="s">
        <v>4182</v>
      </c>
      <c r="B2116" s="15" t="s">
        <v>4183</v>
      </c>
      <c r="C2116" s="16">
        <f>437.68/(1+B2)</f>
        <v>437.68</v>
      </c>
      <c r="D2116" s="17" t="s">
        <v>11</v>
      </c>
      <c r="E2116" s="17"/>
      <c r="F2116" s="18"/>
      <c r="G2116" s="36" t="str">
        <f>IF(ISNUMBER(F2116),C2116*F2116,"")</f>
        <v/>
      </c>
    </row>
    <row r="2117" spans="1:7" ht="12" customHeight="1" outlineLevel="3" x14ac:dyDescent="0.2">
      <c r="A2117" s="14" t="s">
        <v>4184</v>
      </c>
      <c r="B2117" s="15" t="s">
        <v>4185</v>
      </c>
      <c r="C2117" s="16">
        <f>184.18/(1+B2)</f>
        <v>184.18</v>
      </c>
      <c r="D2117" s="17" t="s">
        <v>11</v>
      </c>
      <c r="E2117" s="17" t="s">
        <v>14</v>
      </c>
      <c r="F2117" s="18"/>
      <c r="G2117" s="36" t="str">
        <f>IF(ISNUMBER(F2117),C2117*F2117,"")</f>
        <v/>
      </c>
    </row>
    <row r="2118" spans="1:7" ht="12" customHeight="1" outlineLevel="3" x14ac:dyDescent="0.2">
      <c r="A2118" s="14" t="s">
        <v>4186</v>
      </c>
      <c r="B2118" s="15" t="s">
        <v>4187</v>
      </c>
      <c r="C2118" s="16">
        <f>189.88/(1+B2)</f>
        <v>189.88</v>
      </c>
      <c r="D2118" s="17" t="s">
        <v>11</v>
      </c>
      <c r="E2118" s="17" t="s">
        <v>14</v>
      </c>
      <c r="F2118" s="18"/>
      <c r="G2118" s="36" t="str">
        <f>IF(ISNUMBER(F2118),C2118*F2118,"")</f>
        <v/>
      </c>
    </row>
    <row r="2119" spans="1:7" ht="12" customHeight="1" outlineLevel="3" x14ac:dyDescent="0.2">
      <c r="A2119" s="14" t="s">
        <v>4188</v>
      </c>
      <c r="B2119" s="15" t="s">
        <v>4189</v>
      </c>
      <c r="C2119" s="16">
        <f>247.35/(1+B2)</f>
        <v>247.35</v>
      </c>
      <c r="D2119" s="17" t="s">
        <v>11</v>
      </c>
      <c r="E2119" s="17" t="s">
        <v>14</v>
      </c>
      <c r="F2119" s="18"/>
      <c r="G2119" s="36" t="str">
        <f>IF(ISNUMBER(F2119),C2119*F2119,"")</f>
        <v/>
      </c>
    </row>
    <row r="2120" spans="1:7" ht="12" customHeight="1" outlineLevel="3" x14ac:dyDescent="0.2">
      <c r="A2120" s="14" t="s">
        <v>4190</v>
      </c>
      <c r="B2120" s="15" t="s">
        <v>4191</v>
      </c>
      <c r="C2120" s="16">
        <f>444.38/(1+B2)</f>
        <v>444.38</v>
      </c>
      <c r="D2120" s="17" t="s">
        <v>11</v>
      </c>
      <c r="E2120" s="17"/>
      <c r="F2120" s="18"/>
      <c r="G2120" s="36" t="str">
        <f>IF(ISNUMBER(F2120),C2120*F2120,"")</f>
        <v/>
      </c>
    </row>
    <row r="2121" spans="1:7" ht="12" customHeight="1" outlineLevel="3" x14ac:dyDescent="0.2">
      <c r="A2121" s="14" t="s">
        <v>4192</v>
      </c>
      <c r="B2121" s="15" t="s">
        <v>4193</v>
      </c>
      <c r="C2121" s="16">
        <f>204.71/(1+B2)</f>
        <v>204.71</v>
      </c>
      <c r="D2121" s="17" t="s">
        <v>11</v>
      </c>
      <c r="E2121" s="17" t="s">
        <v>11</v>
      </c>
      <c r="F2121" s="18"/>
      <c r="G2121" s="36" t="str">
        <f>IF(ISNUMBER(F2121),C2121*F2121,"")</f>
        <v/>
      </c>
    </row>
    <row r="2122" spans="1:7" ht="12" customHeight="1" outlineLevel="3" x14ac:dyDescent="0.2">
      <c r="A2122" s="14" t="s">
        <v>4194</v>
      </c>
      <c r="B2122" s="15" t="s">
        <v>4195</v>
      </c>
      <c r="C2122" s="16">
        <f>204.71/(1+B2)</f>
        <v>204.71</v>
      </c>
      <c r="D2122" s="17" t="s">
        <v>11</v>
      </c>
      <c r="E2122" s="17" t="s">
        <v>11</v>
      </c>
      <c r="F2122" s="18"/>
      <c r="G2122" s="36" t="str">
        <f>IF(ISNUMBER(F2122),C2122*F2122,"")</f>
        <v/>
      </c>
    </row>
    <row r="2123" spans="1:7" ht="12" customHeight="1" outlineLevel="3" x14ac:dyDescent="0.2">
      <c r="A2123" s="14" t="s">
        <v>4196</v>
      </c>
      <c r="B2123" s="15" t="s">
        <v>4197</v>
      </c>
      <c r="C2123" s="16">
        <f>256.86/(1+B2)</f>
        <v>256.86</v>
      </c>
      <c r="D2123" s="17" t="s">
        <v>11</v>
      </c>
      <c r="E2123" s="17" t="s">
        <v>11</v>
      </c>
      <c r="F2123" s="18"/>
      <c r="G2123" s="36" t="str">
        <f>IF(ISNUMBER(F2123),C2123*F2123,"")</f>
        <v/>
      </c>
    </row>
    <row r="2124" spans="1:7" ht="12" customHeight="1" outlineLevel="3" x14ac:dyDescent="0.2">
      <c r="A2124" s="14" t="s">
        <v>4198</v>
      </c>
      <c r="B2124" s="15" t="s">
        <v>4199</v>
      </c>
      <c r="C2124" s="16">
        <f>285.83/(1+B2)</f>
        <v>285.83</v>
      </c>
      <c r="D2124" s="17" t="s">
        <v>11</v>
      </c>
      <c r="E2124" s="17"/>
      <c r="F2124" s="18"/>
      <c r="G2124" s="36" t="str">
        <f>IF(ISNUMBER(F2124),C2124*F2124,"")</f>
        <v/>
      </c>
    </row>
    <row r="2125" spans="1:7" ht="12" customHeight="1" outlineLevel="3" x14ac:dyDescent="0.2">
      <c r="A2125" s="14" t="s">
        <v>4200</v>
      </c>
      <c r="B2125" s="15" t="s">
        <v>4201</v>
      </c>
      <c r="C2125" s="16">
        <f>285.83/(1+B2)</f>
        <v>285.83</v>
      </c>
      <c r="D2125" s="17" t="s">
        <v>11</v>
      </c>
      <c r="E2125" s="17" t="s">
        <v>11</v>
      </c>
      <c r="F2125" s="18"/>
      <c r="G2125" s="36" t="str">
        <f>IF(ISNUMBER(F2125),C2125*F2125,"")</f>
        <v/>
      </c>
    </row>
    <row r="2126" spans="1:7" ht="12" customHeight="1" outlineLevel="3" x14ac:dyDescent="0.2">
      <c r="A2126" s="14" t="s">
        <v>4202</v>
      </c>
      <c r="B2126" s="15" t="s">
        <v>4203</v>
      </c>
      <c r="C2126" s="16">
        <f>233.69/(1+B2)</f>
        <v>233.69</v>
      </c>
      <c r="D2126" s="17" t="s">
        <v>11</v>
      </c>
      <c r="E2126" s="17" t="s">
        <v>14</v>
      </c>
      <c r="F2126" s="18"/>
      <c r="G2126" s="36" t="str">
        <f>IF(ISNUMBER(F2126),C2126*F2126,"")</f>
        <v/>
      </c>
    </row>
    <row r="2127" spans="1:7" ht="12" customHeight="1" outlineLevel="3" x14ac:dyDescent="0.2">
      <c r="A2127" s="14" t="s">
        <v>4204</v>
      </c>
      <c r="B2127" s="15" t="s">
        <v>4205</v>
      </c>
      <c r="C2127" s="16">
        <f>252.07/(1+B2)</f>
        <v>252.07</v>
      </c>
      <c r="D2127" s="17" t="s">
        <v>11</v>
      </c>
      <c r="E2127" s="17"/>
      <c r="F2127" s="18"/>
      <c r="G2127" s="36" t="str">
        <f>IF(ISNUMBER(F2127),C2127*F2127,"")</f>
        <v/>
      </c>
    </row>
    <row r="2128" spans="1:7" ht="12" customHeight="1" outlineLevel="3" x14ac:dyDescent="0.2">
      <c r="A2128" s="14" t="s">
        <v>4206</v>
      </c>
      <c r="B2128" s="15" t="s">
        <v>4207</v>
      </c>
      <c r="C2128" s="16">
        <f>317.38/(1+B2)</f>
        <v>317.38</v>
      </c>
      <c r="D2128" s="17" t="s">
        <v>11</v>
      </c>
      <c r="E2128" s="17"/>
      <c r="F2128" s="18"/>
      <c r="G2128" s="36" t="str">
        <f>IF(ISNUMBER(F2128),C2128*F2128,"")</f>
        <v/>
      </c>
    </row>
    <row r="2129" spans="1:7" ht="12" customHeight="1" outlineLevel="3" x14ac:dyDescent="0.2">
      <c r="A2129" s="14" t="s">
        <v>4208</v>
      </c>
      <c r="B2129" s="15" t="s">
        <v>4209</v>
      </c>
      <c r="C2129" s="16">
        <f>320.98/(1+B2)</f>
        <v>320.98</v>
      </c>
      <c r="D2129" s="17" t="s">
        <v>11</v>
      </c>
      <c r="E2129" s="17" t="s">
        <v>11</v>
      </c>
      <c r="F2129" s="18"/>
      <c r="G2129" s="36" t="str">
        <f>IF(ISNUMBER(F2129),C2129*F2129,"")</f>
        <v/>
      </c>
    </row>
    <row r="2130" spans="1:7" ht="12" customHeight="1" outlineLevel="3" x14ac:dyDescent="0.2">
      <c r="A2130" s="14" t="s">
        <v>4210</v>
      </c>
      <c r="B2130" s="15" t="s">
        <v>4211</v>
      </c>
      <c r="C2130" s="16">
        <f>336.43/(1+B2)</f>
        <v>336.43</v>
      </c>
      <c r="D2130" s="17" t="s">
        <v>11</v>
      </c>
      <c r="E2130" s="17"/>
      <c r="F2130" s="18"/>
      <c r="G2130" s="36" t="str">
        <f>IF(ISNUMBER(F2130),C2130*F2130,"")</f>
        <v/>
      </c>
    </row>
    <row r="2131" spans="1:7" ht="12" customHeight="1" outlineLevel="3" x14ac:dyDescent="0.2">
      <c r="A2131" s="14" t="s">
        <v>4212</v>
      </c>
      <c r="B2131" s="15" t="s">
        <v>4213</v>
      </c>
      <c r="C2131" s="16">
        <f>440.09/(1+B2)</f>
        <v>440.09</v>
      </c>
      <c r="D2131" s="17" t="s">
        <v>11</v>
      </c>
      <c r="E2131" s="17" t="s">
        <v>11</v>
      </c>
      <c r="F2131" s="18"/>
      <c r="G2131" s="36" t="str">
        <f>IF(ISNUMBER(F2131),C2131*F2131,"")</f>
        <v/>
      </c>
    </row>
    <row r="2132" spans="1:7" ht="12" customHeight="1" outlineLevel="3" x14ac:dyDescent="0.2">
      <c r="A2132" s="14" t="s">
        <v>4214</v>
      </c>
      <c r="B2132" s="15" t="s">
        <v>4215</v>
      </c>
      <c r="C2132" s="16">
        <f>139.7/(1+B2)</f>
        <v>139.69999999999999</v>
      </c>
      <c r="D2132" s="17" t="s">
        <v>11</v>
      </c>
      <c r="E2132" s="17"/>
      <c r="F2132" s="18"/>
      <c r="G2132" s="36" t="str">
        <f>IF(ISNUMBER(F2132),C2132*F2132,"")</f>
        <v/>
      </c>
    </row>
    <row r="2133" spans="1:7" ht="12" customHeight="1" outlineLevel="3" x14ac:dyDescent="0.2">
      <c r="A2133" s="14" t="s">
        <v>4216</v>
      </c>
      <c r="B2133" s="15" t="s">
        <v>4217</v>
      </c>
      <c r="C2133" s="16">
        <f>139.7/(1+B2)</f>
        <v>139.69999999999999</v>
      </c>
      <c r="D2133" s="17" t="s">
        <v>14</v>
      </c>
      <c r="E2133" s="17"/>
      <c r="F2133" s="18"/>
      <c r="G2133" s="36" t="str">
        <f>IF(ISNUMBER(F2133),C2133*F2133,"")</f>
        <v/>
      </c>
    </row>
    <row r="2134" spans="1:7" ht="12" customHeight="1" outlineLevel="3" x14ac:dyDescent="0.2">
      <c r="A2134" s="14" t="s">
        <v>4218</v>
      </c>
      <c r="B2134" s="15" t="s">
        <v>4219</v>
      </c>
      <c r="C2134" s="16">
        <f>280.04/(1+B2)</f>
        <v>280.04000000000002</v>
      </c>
      <c r="D2134" s="17" t="s">
        <v>11</v>
      </c>
      <c r="E2134" s="17" t="s">
        <v>11</v>
      </c>
      <c r="F2134" s="18"/>
      <c r="G2134" s="36" t="str">
        <f>IF(ISNUMBER(F2134),C2134*F2134,"")</f>
        <v/>
      </c>
    </row>
    <row r="2135" spans="1:7" ht="12" customHeight="1" outlineLevel="3" x14ac:dyDescent="0.2">
      <c r="A2135" s="14" t="s">
        <v>4220</v>
      </c>
      <c r="B2135" s="15" t="s">
        <v>4221</v>
      </c>
      <c r="C2135" s="16">
        <f>266/(1+B2)</f>
        <v>266</v>
      </c>
      <c r="D2135" s="17" t="s">
        <v>11</v>
      </c>
      <c r="E2135" s="17" t="s">
        <v>11</v>
      </c>
      <c r="F2135" s="18"/>
      <c r="G2135" s="36" t="str">
        <f>IF(ISNUMBER(F2135),C2135*F2135,"")</f>
        <v/>
      </c>
    </row>
    <row r="2136" spans="1:7" ht="12" customHeight="1" outlineLevel="3" x14ac:dyDescent="0.2">
      <c r="A2136" s="14" t="s">
        <v>4222</v>
      </c>
      <c r="B2136" s="15" t="s">
        <v>4223</v>
      </c>
      <c r="C2136" s="16">
        <f>266/(1+B2)</f>
        <v>266</v>
      </c>
      <c r="D2136" s="17" t="s">
        <v>11</v>
      </c>
      <c r="E2136" s="17"/>
      <c r="F2136" s="18"/>
      <c r="G2136" s="36" t="str">
        <f>IF(ISNUMBER(F2136),C2136*F2136,"")</f>
        <v/>
      </c>
    </row>
    <row r="2137" spans="1:7" ht="12" customHeight="1" outlineLevel="3" x14ac:dyDescent="0.2">
      <c r="A2137" s="14" t="s">
        <v>4224</v>
      </c>
      <c r="B2137" s="15" t="s">
        <v>4225</v>
      </c>
      <c r="C2137" s="16">
        <f>156.01/(1+B2)</f>
        <v>156.01</v>
      </c>
      <c r="D2137" s="17" t="s">
        <v>11</v>
      </c>
      <c r="E2137" s="17" t="s">
        <v>14</v>
      </c>
      <c r="F2137" s="18"/>
      <c r="G2137" s="36" t="str">
        <f>IF(ISNUMBER(F2137),C2137*F2137,"")</f>
        <v/>
      </c>
    </row>
    <row r="2138" spans="1:7" ht="12" customHeight="1" outlineLevel="3" x14ac:dyDescent="0.2">
      <c r="A2138" s="14" t="s">
        <v>4226</v>
      </c>
      <c r="B2138" s="15" t="s">
        <v>4227</v>
      </c>
      <c r="C2138" s="16">
        <f>156.01/(1+B2)</f>
        <v>156.01</v>
      </c>
      <c r="D2138" s="17" t="s">
        <v>11</v>
      </c>
      <c r="E2138" s="17" t="s">
        <v>14</v>
      </c>
      <c r="F2138" s="18"/>
      <c r="G2138" s="36" t="str">
        <f>IF(ISNUMBER(F2138),C2138*F2138,"")</f>
        <v/>
      </c>
    </row>
    <row r="2139" spans="1:7" ht="12" customHeight="1" outlineLevel="3" x14ac:dyDescent="0.2">
      <c r="A2139" s="14" t="s">
        <v>4228</v>
      </c>
      <c r="B2139" s="15" t="s">
        <v>4229</v>
      </c>
      <c r="C2139" s="16">
        <f>68.51/(1+B2)</f>
        <v>68.510000000000005</v>
      </c>
      <c r="D2139" s="17" t="s">
        <v>11</v>
      </c>
      <c r="E2139" s="17" t="s">
        <v>11</v>
      </c>
      <c r="F2139" s="18"/>
      <c r="G2139" s="36" t="str">
        <f>IF(ISNUMBER(F2139),C2139*F2139,"")</f>
        <v/>
      </c>
    </row>
    <row r="2140" spans="1:7" ht="12" customHeight="1" outlineLevel="3" x14ac:dyDescent="0.2">
      <c r="A2140" s="14" t="s">
        <v>4230</v>
      </c>
      <c r="B2140" s="15" t="s">
        <v>4231</v>
      </c>
      <c r="C2140" s="16">
        <f>165/(1+B2)</f>
        <v>165</v>
      </c>
      <c r="D2140" s="17" t="s">
        <v>11</v>
      </c>
      <c r="E2140" s="17" t="s">
        <v>53</v>
      </c>
      <c r="F2140" s="18"/>
      <c r="G2140" s="36" t="str">
        <f>IF(ISNUMBER(F2140),C2140*F2140,"")</f>
        <v/>
      </c>
    </row>
    <row r="2141" spans="1:7" ht="12" customHeight="1" outlineLevel="3" x14ac:dyDescent="0.2">
      <c r="A2141" s="14" t="s">
        <v>4232</v>
      </c>
      <c r="B2141" s="15" t="s">
        <v>4233</v>
      </c>
      <c r="C2141" s="16">
        <f>217.42/(1+B2)</f>
        <v>217.42</v>
      </c>
      <c r="D2141" s="17" t="s">
        <v>11</v>
      </c>
      <c r="E2141" s="17" t="s">
        <v>14</v>
      </c>
      <c r="F2141" s="18"/>
      <c r="G2141" s="36" t="str">
        <f>IF(ISNUMBER(F2141),C2141*F2141,"")</f>
        <v/>
      </c>
    </row>
    <row r="2142" spans="1:7" ht="12" customHeight="1" outlineLevel="3" x14ac:dyDescent="0.2">
      <c r="A2142" s="14" t="s">
        <v>4234</v>
      </c>
      <c r="B2142" s="15" t="s">
        <v>4235</v>
      </c>
      <c r="C2142" s="16">
        <f>225.31/(1+B2)</f>
        <v>225.31</v>
      </c>
      <c r="D2142" s="17" t="s">
        <v>11</v>
      </c>
      <c r="E2142" s="17"/>
      <c r="F2142" s="18"/>
      <c r="G2142" s="36" t="str">
        <f>IF(ISNUMBER(F2142),C2142*F2142,"")</f>
        <v/>
      </c>
    </row>
    <row r="2143" spans="1:7" ht="12" customHeight="1" outlineLevel="3" x14ac:dyDescent="0.2">
      <c r="A2143" s="14" t="s">
        <v>4236</v>
      </c>
      <c r="B2143" s="15" t="s">
        <v>4237</v>
      </c>
      <c r="C2143" s="16">
        <f>170.6/(1+B2)</f>
        <v>170.6</v>
      </c>
      <c r="D2143" s="17" t="s">
        <v>11</v>
      </c>
      <c r="E2143" s="17" t="s">
        <v>11</v>
      </c>
      <c r="F2143" s="18"/>
      <c r="G2143" s="36" t="str">
        <f>IF(ISNUMBER(F2143),C2143*F2143,"")</f>
        <v/>
      </c>
    </row>
    <row r="2144" spans="1:7" ht="12" customHeight="1" outlineLevel="3" x14ac:dyDescent="0.2">
      <c r="A2144" s="14" t="s">
        <v>4238</v>
      </c>
      <c r="B2144" s="15" t="s">
        <v>4239</v>
      </c>
      <c r="C2144" s="16">
        <f>170.83/(1+B2)</f>
        <v>170.83</v>
      </c>
      <c r="D2144" s="17" t="s">
        <v>11</v>
      </c>
      <c r="E2144" s="17" t="s">
        <v>11</v>
      </c>
      <c r="F2144" s="18"/>
      <c r="G2144" s="36" t="str">
        <f>IF(ISNUMBER(F2144),C2144*F2144,"")</f>
        <v/>
      </c>
    </row>
    <row r="2145" spans="1:7" ht="12" customHeight="1" outlineLevel="3" x14ac:dyDescent="0.2">
      <c r="A2145" s="14" t="s">
        <v>4240</v>
      </c>
      <c r="B2145" s="15" t="s">
        <v>4241</v>
      </c>
      <c r="C2145" s="16">
        <f>323.1/(1+B2)</f>
        <v>323.10000000000002</v>
      </c>
      <c r="D2145" s="17" t="s">
        <v>11</v>
      </c>
      <c r="E2145" s="17" t="s">
        <v>11</v>
      </c>
      <c r="F2145" s="18"/>
      <c r="G2145" s="36" t="str">
        <f>IF(ISNUMBER(F2145),C2145*F2145,"")</f>
        <v/>
      </c>
    </row>
    <row r="2146" spans="1:7" ht="12" customHeight="1" outlineLevel="3" x14ac:dyDescent="0.2">
      <c r="A2146" s="14" t="s">
        <v>4242</v>
      </c>
      <c r="B2146" s="15" t="s">
        <v>4243</v>
      </c>
      <c r="C2146" s="16">
        <f>357.94/(1+B2)</f>
        <v>357.94</v>
      </c>
      <c r="D2146" s="17" t="s">
        <v>11</v>
      </c>
      <c r="E2146" s="17" t="s">
        <v>53</v>
      </c>
      <c r="F2146" s="18"/>
      <c r="G2146" s="36" t="str">
        <f>IF(ISNUMBER(F2146),C2146*F2146,"")</f>
        <v/>
      </c>
    </row>
    <row r="2147" spans="1:7" ht="12" customHeight="1" outlineLevel="3" x14ac:dyDescent="0.2">
      <c r="A2147" s="14" t="s">
        <v>4244</v>
      </c>
      <c r="B2147" s="15" t="s">
        <v>4245</v>
      </c>
      <c r="C2147" s="16">
        <f>394.8/(1+B2)</f>
        <v>394.8</v>
      </c>
      <c r="D2147" s="17"/>
      <c r="E2147" s="17" t="s">
        <v>106</v>
      </c>
      <c r="F2147" s="18"/>
      <c r="G2147" s="36" t="str">
        <f>IF(ISNUMBER(F2147),C2147*F2147,"")</f>
        <v/>
      </c>
    </row>
    <row r="2148" spans="1:7" ht="12" customHeight="1" outlineLevel="3" x14ac:dyDescent="0.2">
      <c r="A2148" s="14" t="s">
        <v>4246</v>
      </c>
      <c r="B2148" s="15" t="s">
        <v>4247</v>
      </c>
      <c r="C2148" s="16">
        <f>210.34/(1+B2)</f>
        <v>210.34</v>
      </c>
      <c r="D2148" s="17" t="s">
        <v>11</v>
      </c>
      <c r="E2148" s="17" t="s">
        <v>11</v>
      </c>
      <c r="F2148" s="18"/>
      <c r="G2148" s="36" t="str">
        <f>IF(ISNUMBER(F2148),C2148*F2148,"")</f>
        <v/>
      </c>
    </row>
    <row r="2149" spans="1:7" ht="12" customHeight="1" outlineLevel="3" x14ac:dyDescent="0.2">
      <c r="A2149" s="14" t="s">
        <v>4248</v>
      </c>
      <c r="B2149" s="15" t="s">
        <v>4249</v>
      </c>
      <c r="C2149" s="16">
        <f>210.34/(1+B2)</f>
        <v>210.34</v>
      </c>
      <c r="D2149" s="17" t="s">
        <v>11</v>
      </c>
      <c r="E2149" s="17" t="s">
        <v>11</v>
      </c>
      <c r="F2149" s="18"/>
      <c r="G2149" s="36" t="str">
        <f>IF(ISNUMBER(F2149),C2149*F2149,"")</f>
        <v/>
      </c>
    </row>
    <row r="2150" spans="1:7" ht="12" customHeight="1" outlineLevel="3" x14ac:dyDescent="0.2">
      <c r="A2150" s="14" t="s">
        <v>4250</v>
      </c>
      <c r="B2150" s="15" t="s">
        <v>4251</v>
      </c>
      <c r="C2150" s="16">
        <f>210.34/(1+B2)</f>
        <v>210.34</v>
      </c>
      <c r="D2150" s="17" t="s">
        <v>11</v>
      </c>
      <c r="E2150" s="17" t="s">
        <v>14</v>
      </c>
      <c r="F2150" s="18"/>
      <c r="G2150" s="36" t="str">
        <f>IF(ISNUMBER(F2150),C2150*F2150,"")</f>
        <v/>
      </c>
    </row>
    <row r="2151" spans="1:7" ht="12" customHeight="1" outlineLevel="3" x14ac:dyDescent="0.2">
      <c r="A2151" s="14" t="s">
        <v>4252</v>
      </c>
      <c r="B2151" s="15" t="s">
        <v>4253</v>
      </c>
      <c r="C2151" s="16">
        <f>303.45/(1+B2)</f>
        <v>303.45</v>
      </c>
      <c r="D2151" s="17"/>
      <c r="E2151" s="17" t="s">
        <v>11</v>
      </c>
      <c r="F2151" s="18"/>
      <c r="G2151" s="36" t="str">
        <f>IF(ISNUMBER(F2151),C2151*F2151,"")</f>
        <v/>
      </c>
    </row>
    <row r="2152" spans="1:7" ht="12" customHeight="1" outlineLevel="3" x14ac:dyDescent="0.2">
      <c r="A2152" s="14" t="s">
        <v>4254</v>
      </c>
      <c r="B2152" s="15" t="s">
        <v>4255</v>
      </c>
      <c r="C2152" s="16">
        <f>303.45/(1+B2)</f>
        <v>303.45</v>
      </c>
      <c r="D2152" s="17" t="s">
        <v>11</v>
      </c>
      <c r="E2152" s="17"/>
      <c r="F2152" s="18"/>
      <c r="G2152" s="36" t="str">
        <f>IF(ISNUMBER(F2152),C2152*F2152,"")</f>
        <v/>
      </c>
    </row>
    <row r="2153" spans="1:7" ht="12" customHeight="1" outlineLevel="3" x14ac:dyDescent="0.2">
      <c r="A2153" s="14" t="s">
        <v>4256</v>
      </c>
      <c r="B2153" s="15" t="s">
        <v>4257</v>
      </c>
      <c r="C2153" s="16">
        <f>204.08/(1+B2)</f>
        <v>204.08</v>
      </c>
      <c r="D2153" s="17" t="s">
        <v>11</v>
      </c>
      <c r="E2153" s="17"/>
      <c r="F2153" s="18"/>
      <c r="G2153" s="36" t="str">
        <f>IF(ISNUMBER(F2153),C2153*F2153,"")</f>
        <v/>
      </c>
    </row>
    <row r="2154" spans="1:7" s="1" customFormat="1" ht="15.95" customHeight="1" outlineLevel="1" x14ac:dyDescent="0.25">
      <c r="A2154" s="11"/>
      <c r="B2154" s="12" t="s">
        <v>4258</v>
      </c>
      <c r="C2154" s="13"/>
      <c r="D2154" s="13"/>
      <c r="E2154" s="13"/>
      <c r="F2154" s="13"/>
      <c r="G2154" s="35"/>
    </row>
    <row r="2155" spans="1:7" ht="12" customHeight="1" outlineLevel="2" x14ac:dyDescent="0.2">
      <c r="A2155" s="14" t="s">
        <v>4259</v>
      </c>
      <c r="B2155" s="15" t="s">
        <v>4260</v>
      </c>
      <c r="C2155" s="16">
        <f>189.21/(1+B2)</f>
        <v>189.21</v>
      </c>
      <c r="D2155" s="17" t="s">
        <v>11</v>
      </c>
      <c r="E2155" s="17" t="s">
        <v>11</v>
      </c>
      <c r="F2155" s="18"/>
      <c r="G2155" s="36" t="str">
        <f>IF(ISNUMBER(F2155),C2155*F2155,"")</f>
        <v/>
      </c>
    </row>
    <row r="2156" spans="1:7" ht="12" customHeight="1" outlineLevel="2" x14ac:dyDescent="0.2">
      <c r="A2156" s="14" t="s">
        <v>4261</v>
      </c>
      <c r="B2156" s="15" t="s">
        <v>4262</v>
      </c>
      <c r="C2156" s="16">
        <f>556.25/(1+B2)</f>
        <v>556.25</v>
      </c>
      <c r="D2156" s="17" t="s">
        <v>11</v>
      </c>
      <c r="E2156" s="17"/>
      <c r="F2156" s="18"/>
      <c r="G2156" s="36" t="str">
        <f>IF(ISNUMBER(F2156),C2156*F2156,"")</f>
        <v/>
      </c>
    </row>
    <row r="2157" spans="1:7" ht="12" customHeight="1" outlineLevel="2" x14ac:dyDescent="0.2">
      <c r="A2157" s="14" t="s">
        <v>4263</v>
      </c>
      <c r="B2157" s="15" t="s">
        <v>4264</v>
      </c>
      <c r="C2157" s="16">
        <f>109.46/(1+B2)</f>
        <v>109.46</v>
      </c>
      <c r="D2157" s="17" t="s">
        <v>11</v>
      </c>
      <c r="E2157" s="17"/>
      <c r="F2157" s="18"/>
      <c r="G2157" s="36" t="str">
        <f>IF(ISNUMBER(F2157),C2157*F2157,"")</f>
        <v/>
      </c>
    </row>
    <row r="2158" spans="1:7" ht="12" customHeight="1" outlineLevel="2" x14ac:dyDescent="0.2">
      <c r="A2158" s="14" t="s">
        <v>4265</v>
      </c>
      <c r="B2158" s="15" t="s">
        <v>4266</v>
      </c>
      <c r="C2158" s="16">
        <f>92.58/(1+B2)</f>
        <v>92.58</v>
      </c>
      <c r="D2158" s="17" t="s">
        <v>11</v>
      </c>
      <c r="E2158" s="17"/>
      <c r="F2158" s="18"/>
      <c r="G2158" s="36" t="str">
        <f>IF(ISNUMBER(F2158),C2158*F2158,"")</f>
        <v/>
      </c>
    </row>
    <row r="2159" spans="1:7" ht="12" customHeight="1" outlineLevel="2" x14ac:dyDescent="0.2">
      <c r="A2159" s="14" t="s">
        <v>4267</v>
      </c>
      <c r="B2159" s="15" t="s">
        <v>4268</v>
      </c>
      <c r="C2159" s="16">
        <f>97.46/(1+B2)</f>
        <v>97.46</v>
      </c>
      <c r="D2159" s="17" t="s">
        <v>11</v>
      </c>
      <c r="E2159" s="17" t="s">
        <v>14</v>
      </c>
      <c r="F2159" s="18"/>
      <c r="G2159" s="36" t="str">
        <f>IF(ISNUMBER(F2159),C2159*F2159,"")</f>
        <v/>
      </c>
    </row>
    <row r="2160" spans="1:7" ht="12" customHeight="1" outlineLevel="2" x14ac:dyDescent="0.2">
      <c r="A2160" s="14" t="s">
        <v>4269</v>
      </c>
      <c r="B2160" s="15" t="s">
        <v>4270</v>
      </c>
      <c r="C2160" s="16">
        <f>94.13/(1+B2)</f>
        <v>94.13</v>
      </c>
      <c r="D2160" s="17" t="s">
        <v>11</v>
      </c>
      <c r="E2160" s="17"/>
      <c r="F2160" s="18"/>
      <c r="G2160" s="36" t="str">
        <f>IF(ISNUMBER(F2160),C2160*F2160,"")</f>
        <v/>
      </c>
    </row>
    <row r="2161" spans="1:7" ht="12" customHeight="1" outlineLevel="2" x14ac:dyDescent="0.2">
      <c r="A2161" s="14" t="s">
        <v>4271</v>
      </c>
      <c r="B2161" s="15" t="s">
        <v>4272</v>
      </c>
      <c r="C2161" s="16">
        <f>97.46/(1+B2)</f>
        <v>97.46</v>
      </c>
      <c r="D2161" s="17" t="s">
        <v>11</v>
      </c>
      <c r="E2161" s="17"/>
      <c r="F2161" s="18"/>
      <c r="G2161" s="36" t="str">
        <f>IF(ISNUMBER(F2161),C2161*F2161,"")</f>
        <v/>
      </c>
    </row>
    <row r="2162" spans="1:7" ht="12" customHeight="1" outlineLevel="2" x14ac:dyDescent="0.2">
      <c r="A2162" s="14" t="s">
        <v>4273</v>
      </c>
      <c r="B2162" s="15" t="s">
        <v>4274</v>
      </c>
      <c r="C2162" s="16">
        <f>97.46/(1+B2)</f>
        <v>97.46</v>
      </c>
      <c r="D2162" s="17" t="s">
        <v>11</v>
      </c>
      <c r="E2162" s="17" t="s">
        <v>11</v>
      </c>
      <c r="F2162" s="18"/>
      <c r="G2162" s="36" t="str">
        <f>IF(ISNUMBER(F2162),C2162*F2162,"")</f>
        <v/>
      </c>
    </row>
    <row r="2163" spans="1:7" ht="12" customHeight="1" outlineLevel="2" x14ac:dyDescent="0.2">
      <c r="A2163" s="14" t="s">
        <v>4275</v>
      </c>
      <c r="B2163" s="15" t="s">
        <v>4276</v>
      </c>
      <c r="C2163" s="16">
        <f>97.46/(1+B2)</f>
        <v>97.46</v>
      </c>
      <c r="D2163" s="17" t="s">
        <v>11</v>
      </c>
      <c r="E2163" s="17" t="s">
        <v>11</v>
      </c>
      <c r="F2163" s="18"/>
      <c r="G2163" s="36" t="str">
        <f>IF(ISNUMBER(F2163),C2163*F2163,"")</f>
        <v/>
      </c>
    </row>
    <row r="2164" spans="1:7" ht="12" customHeight="1" outlineLevel="2" x14ac:dyDescent="0.2">
      <c r="A2164" s="14" t="s">
        <v>4277</v>
      </c>
      <c r="B2164" s="15" t="s">
        <v>4278</v>
      </c>
      <c r="C2164" s="16">
        <f>97.46/(1+B2)</f>
        <v>97.46</v>
      </c>
      <c r="D2164" s="17" t="s">
        <v>11</v>
      </c>
      <c r="E2164" s="17" t="s">
        <v>11</v>
      </c>
      <c r="F2164" s="18"/>
      <c r="G2164" s="36" t="str">
        <f>IF(ISNUMBER(F2164),C2164*F2164,"")</f>
        <v/>
      </c>
    </row>
    <row r="2165" spans="1:7" ht="12" customHeight="1" outlineLevel="2" x14ac:dyDescent="0.2">
      <c r="A2165" s="14" t="s">
        <v>4279</v>
      </c>
      <c r="B2165" s="15" t="s">
        <v>4280</v>
      </c>
      <c r="C2165" s="16">
        <f>94.14/(1+B2)</f>
        <v>94.14</v>
      </c>
      <c r="D2165" s="17" t="s">
        <v>11</v>
      </c>
      <c r="E2165" s="17" t="s">
        <v>11</v>
      </c>
      <c r="F2165" s="18"/>
      <c r="G2165" s="36" t="str">
        <f>IF(ISNUMBER(F2165),C2165*F2165,"")</f>
        <v/>
      </c>
    </row>
    <row r="2166" spans="1:7" ht="12" customHeight="1" outlineLevel="2" x14ac:dyDescent="0.2">
      <c r="A2166" s="14" t="s">
        <v>4281</v>
      </c>
      <c r="B2166" s="15" t="s">
        <v>4282</v>
      </c>
      <c r="C2166" s="16">
        <f>94.13/(1+B2)</f>
        <v>94.13</v>
      </c>
      <c r="D2166" s="17" t="s">
        <v>11</v>
      </c>
      <c r="E2166" s="17"/>
      <c r="F2166" s="18"/>
      <c r="G2166" s="36" t="str">
        <f>IF(ISNUMBER(F2166),C2166*F2166,"")</f>
        <v/>
      </c>
    </row>
    <row r="2167" spans="1:7" ht="12" customHeight="1" outlineLevel="2" x14ac:dyDescent="0.2">
      <c r="A2167" s="14" t="s">
        <v>4283</v>
      </c>
      <c r="B2167" s="15" t="s">
        <v>4284</v>
      </c>
      <c r="C2167" s="16">
        <f>94.13/(1+B2)</f>
        <v>94.13</v>
      </c>
      <c r="D2167" s="17" t="s">
        <v>11</v>
      </c>
      <c r="E2167" s="17"/>
      <c r="F2167" s="18"/>
      <c r="G2167" s="36" t="str">
        <f>IF(ISNUMBER(F2167),C2167*F2167,"")</f>
        <v/>
      </c>
    </row>
    <row r="2168" spans="1:7" ht="12" customHeight="1" outlineLevel="2" x14ac:dyDescent="0.2">
      <c r="A2168" s="14" t="s">
        <v>4285</v>
      </c>
      <c r="B2168" s="15" t="s">
        <v>4286</v>
      </c>
      <c r="C2168" s="16">
        <f>92.58/(1+B2)</f>
        <v>92.58</v>
      </c>
      <c r="D2168" s="17" t="s">
        <v>11</v>
      </c>
      <c r="E2168" s="17"/>
      <c r="F2168" s="18"/>
      <c r="G2168" s="36" t="str">
        <f>IF(ISNUMBER(F2168),C2168*F2168,"")</f>
        <v/>
      </c>
    </row>
    <row r="2169" spans="1:7" ht="12" customHeight="1" outlineLevel="2" x14ac:dyDescent="0.2">
      <c r="A2169" s="14" t="s">
        <v>4287</v>
      </c>
      <c r="B2169" s="15" t="s">
        <v>4288</v>
      </c>
      <c r="C2169" s="16">
        <f>94.13/(1+B2)</f>
        <v>94.13</v>
      </c>
      <c r="D2169" s="17" t="s">
        <v>11</v>
      </c>
      <c r="E2169" s="17" t="s">
        <v>11</v>
      </c>
      <c r="F2169" s="18"/>
      <c r="G2169" s="36" t="str">
        <f>IF(ISNUMBER(F2169),C2169*F2169,"")</f>
        <v/>
      </c>
    </row>
    <row r="2170" spans="1:7" ht="12" customHeight="1" outlineLevel="2" x14ac:dyDescent="0.2">
      <c r="A2170" s="14" t="s">
        <v>4289</v>
      </c>
      <c r="B2170" s="15" t="s">
        <v>4290</v>
      </c>
      <c r="C2170" s="16">
        <f>94.14/(1+B2)</f>
        <v>94.14</v>
      </c>
      <c r="D2170" s="17" t="s">
        <v>11</v>
      </c>
      <c r="E2170" s="17"/>
      <c r="F2170" s="18"/>
      <c r="G2170" s="36" t="str">
        <f>IF(ISNUMBER(F2170),C2170*F2170,"")</f>
        <v/>
      </c>
    </row>
    <row r="2171" spans="1:7" ht="12" customHeight="1" outlineLevel="2" x14ac:dyDescent="0.2">
      <c r="A2171" s="14" t="s">
        <v>4291</v>
      </c>
      <c r="B2171" s="15" t="s">
        <v>4292</v>
      </c>
      <c r="C2171" s="16">
        <f>94.14/(1+B2)</f>
        <v>94.14</v>
      </c>
      <c r="D2171" s="17" t="s">
        <v>11</v>
      </c>
      <c r="E2171" s="17" t="s">
        <v>11</v>
      </c>
      <c r="F2171" s="18"/>
      <c r="G2171" s="36" t="str">
        <f>IF(ISNUMBER(F2171),C2171*F2171,"")</f>
        <v/>
      </c>
    </row>
    <row r="2172" spans="1:7" ht="12" customHeight="1" outlineLevel="2" x14ac:dyDescent="0.2">
      <c r="A2172" s="14" t="s">
        <v>4293</v>
      </c>
      <c r="B2172" s="15" t="s">
        <v>4294</v>
      </c>
      <c r="C2172" s="16">
        <f>97.46/(1+B2)</f>
        <v>97.46</v>
      </c>
      <c r="D2172" s="17" t="s">
        <v>11</v>
      </c>
      <c r="E2172" s="17"/>
      <c r="F2172" s="18"/>
      <c r="G2172" s="36" t="str">
        <f>IF(ISNUMBER(F2172),C2172*F2172,"")</f>
        <v/>
      </c>
    </row>
    <row r="2173" spans="1:7" ht="24" customHeight="1" outlineLevel="2" x14ac:dyDescent="0.2">
      <c r="A2173" s="14" t="s">
        <v>4295</v>
      </c>
      <c r="B2173" s="15" t="s">
        <v>4296</v>
      </c>
      <c r="C2173" s="16">
        <f>70.48/(1+B2)</f>
        <v>70.48</v>
      </c>
      <c r="D2173" s="17" t="s">
        <v>14</v>
      </c>
      <c r="E2173" s="17" t="s">
        <v>14</v>
      </c>
      <c r="F2173" s="18"/>
      <c r="G2173" s="36" t="str">
        <f>IF(ISNUMBER(F2173),C2173*F2173,"")</f>
        <v/>
      </c>
    </row>
    <row r="2174" spans="1:7" ht="12" customHeight="1" outlineLevel="2" x14ac:dyDescent="0.2">
      <c r="A2174" s="14" t="s">
        <v>4297</v>
      </c>
      <c r="B2174" s="15" t="s">
        <v>4298</v>
      </c>
      <c r="C2174" s="16">
        <f>64.35/(1+B2)</f>
        <v>64.349999999999994</v>
      </c>
      <c r="D2174" s="17" t="s">
        <v>14</v>
      </c>
      <c r="E2174" s="17" t="s">
        <v>11</v>
      </c>
      <c r="F2174" s="18"/>
      <c r="G2174" s="36" t="str">
        <f>IF(ISNUMBER(F2174),C2174*F2174,"")</f>
        <v/>
      </c>
    </row>
    <row r="2175" spans="1:7" ht="12" customHeight="1" outlineLevel="2" x14ac:dyDescent="0.2">
      <c r="A2175" s="14" t="s">
        <v>4299</v>
      </c>
      <c r="B2175" s="15" t="s">
        <v>4300</v>
      </c>
      <c r="C2175" s="16">
        <f>63.2/(1+B2)</f>
        <v>63.2</v>
      </c>
      <c r="D2175" s="17" t="s">
        <v>11</v>
      </c>
      <c r="E2175" s="17"/>
      <c r="F2175" s="18"/>
      <c r="G2175" s="36" t="str">
        <f>IF(ISNUMBER(F2175),C2175*F2175,"")</f>
        <v/>
      </c>
    </row>
    <row r="2176" spans="1:7" ht="12" customHeight="1" outlineLevel="2" x14ac:dyDescent="0.2">
      <c r="A2176" s="14" t="s">
        <v>4301</v>
      </c>
      <c r="B2176" s="15" t="s">
        <v>4302</v>
      </c>
      <c r="C2176" s="16">
        <f>68.78/(1+B2)</f>
        <v>68.78</v>
      </c>
      <c r="D2176" s="17" t="s">
        <v>14</v>
      </c>
      <c r="E2176" s="17" t="s">
        <v>14</v>
      </c>
      <c r="F2176" s="18"/>
      <c r="G2176" s="36" t="str">
        <f>IF(ISNUMBER(F2176),C2176*F2176,"")</f>
        <v/>
      </c>
    </row>
    <row r="2177" spans="1:7" ht="12" customHeight="1" outlineLevel="2" x14ac:dyDescent="0.2">
      <c r="A2177" s="14" t="s">
        <v>4303</v>
      </c>
      <c r="B2177" s="15" t="s">
        <v>4304</v>
      </c>
      <c r="C2177" s="16">
        <f>63.2/(1+B2)</f>
        <v>63.2</v>
      </c>
      <c r="D2177" s="17" t="s">
        <v>11</v>
      </c>
      <c r="E2177" s="17"/>
      <c r="F2177" s="18"/>
      <c r="G2177" s="36" t="str">
        <f>IF(ISNUMBER(F2177),C2177*F2177,"")</f>
        <v/>
      </c>
    </row>
    <row r="2178" spans="1:7" ht="12" customHeight="1" outlineLevel="2" x14ac:dyDescent="0.2">
      <c r="A2178" s="14" t="s">
        <v>4305</v>
      </c>
      <c r="B2178" s="15" t="s">
        <v>4306</v>
      </c>
      <c r="C2178" s="16">
        <f>63.2/(1+B2)</f>
        <v>63.2</v>
      </c>
      <c r="D2178" s="17" t="s">
        <v>11</v>
      </c>
      <c r="E2178" s="17"/>
      <c r="F2178" s="18"/>
      <c r="G2178" s="36" t="str">
        <f>IF(ISNUMBER(F2178),C2178*F2178,"")</f>
        <v/>
      </c>
    </row>
    <row r="2179" spans="1:7" ht="12" customHeight="1" outlineLevel="2" x14ac:dyDescent="0.2">
      <c r="A2179" s="14" t="s">
        <v>4307</v>
      </c>
      <c r="B2179" s="15" t="s">
        <v>4308</v>
      </c>
      <c r="C2179" s="16">
        <f>68.78/(1+B2)</f>
        <v>68.78</v>
      </c>
      <c r="D2179" s="17" t="s">
        <v>11</v>
      </c>
      <c r="E2179" s="17"/>
      <c r="F2179" s="18"/>
      <c r="G2179" s="36" t="str">
        <f>IF(ISNUMBER(F2179),C2179*F2179,"")</f>
        <v/>
      </c>
    </row>
    <row r="2180" spans="1:7" ht="12" customHeight="1" outlineLevel="2" x14ac:dyDescent="0.2">
      <c r="A2180" s="14" t="s">
        <v>4309</v>
      </c>
      <c r="B2180" s="15" t="s">
        <v>4310</v>
      </c>
      <c r="C2180" s="16">
        <f>63.2/(1+B2)</f>
        <v>63.2</v>
      </c>
      <c r="D2180" s="17" t="s">
        <v>11</v>
      </c>
      <c r="E2180" s="17"/>
      <c r="F2180" s="18"/>
      <c r="G2180" s="36" t="str">
        <f>IF(ISNUMBER(F2180),C2180*F2180,"")</f>
        <v/>
      </c>
    </row>
    <row r="2181" spans="1:7" ht="12" customHeight="1" outlineLevel="2" x14ac:dyDescent="0.2">
      <c r="A2181" s="14" t="s">
        <v>4311</v>
      </c>
      <c r="B2181" s="15" t="s">
        <v>4312</v>
      </c>
      <c r="C2181" s="16">
        <f>64.06/(1+B2)</f>
        <v>64.06</v>
      </c>
      <c r="D2181" s="17" t="s">
        <v>11</v>
      </c>
      <c r="E2181" s="17" t="s">
        <v>11</v>
      </c>
      <c r="F2181" s="18"/>
      <c r="G2181" s="36" t="str">
        <f>IF(ISNUMBER(F2181),C2181*F2181,"")</f>
        <v/>
      </c>
    </row>
    <row r="2182" spans="1:7" ht="12" customHeight="1" outlineLevel="2" x14ac:dyDescent="0.2">
      <c r="A2182" s="14" t="s">
        <v>4313</v>
      </c>
      <c r="B2182" s="15" t="s">
        <v>4314</v>
      </c>
      <c r="C2182" s="16">
        <f>64.06/(1+B2)</f>
        <v>64.06</v>
      </c>
      <c r="D2182" s="17" t="s">
        <v>11</v>
      </c>
      <c r="E2182" s="17"/>
      <c r="F2182" s="18"/>
      <c r="G2182" s="36" t="str">
        <f>IF(ISNUMBER(F2182),C2182*F2182,"")</f>
        <v/>
      </c>
    </row>
    <row r="2183" spans="1:7" ht="12" customHeight="1" outlineLevel="2" x14ac:dyDescent="0.2">
      <c r="A2183" s="14" t="s">
        <v>4315</v>
      </c>
      <c r="B2183" s="15" t="s">
        <v>4316</v>
      </c>
      <c r="C2183" s="16">
        <f>63.2/(1+B2)</f>
        <v>63.2</v>
      </c>
      <c r="D2183" s="17" t="s">
        <v>11</v>
      </c>
      <c r="E2183" s="17" t="s">
        <v>11</v>
      </c>
      <c r="F2183" s="18"/>
      <c r="G2183" s="36" t="str">
        <f>IF(ISNUMBER(F2183),C2183*F2183,"")</f>
        <v/>
      </c>
    </row>
    <row r="2184" spans="1:7" ht="12" customHeight="1" outlineLevel="2" x14ac:dyDescent="0.2">
      <c r="A2184" s="14" t="s">
        <v>4317</v>
      </c>
      <c r="B2184" s="15" t="s">
        <v>4318</v>
      </c>
      <c r="C2184" s="16">
        <f>68.78/(1+B2)</f>
        <v>68.78</v>
      </c>
      <c r="D2184" s="17" t="s">
        <v>11</v>
      </c>
      <c r="E2184" s="17" t="s">
        <v>11</v>
      </c>
      <c r="F2184" s="18"/>
      <c r="G2184" s="36" t="str">
        <f>IF(ISNUMBER(F2184),C2184*F2184,"")</f>
        <v/>
      </c>
    </row>
    <row r="2185" spans="1:7" ht="12" customHeight="1" outlineLevel="2" x14ac:dyDescent="0.2">
      <c r="A2185" s="14" t="s">
        <v>4319</v>
      </c>
      <c r="B2185" s="15" t="s">
        <v>4320</v>
      </c>
      <c r="C2185" s="16">
        <f>83.06/(1+B2)</f>
        <v>83.06</v>
      </c>
      <c r="D2185" s="17" t="s">
        <v>11</v>
      </c>
      <c r="E2185" s="17" t="s">
        <v>14</v>
      </c>
      <c r="F2185" s="18"/>
      <c r="G2185" s="36" t="str">
        <f>IF(ISNUMBER(F2185),C2185*F2185,"")</f>
        <v/>
      </c>
    </row>
    <row r="2186" spans="1:7" ht="12" customHeight="1" outlineLevel="2" x14ac:dyDescent="0.2">
      <c r="A2186" s="14" t="s">
        <v>4321</v>
      </c>
      <c r="B2186" s="15" t="s">
        <v>4322</v>
      </c>
      <c r="C2186" s="16">
        <f>83.06/(1+B2)</f>
        <v>83.06</v>
      </c>
      <c r="D2186" s="17" t="s">
        <v>11</v>
      </c>
      <c r="E2186" s="17" t="s">
        <v>53</v>
      </c>
      <c r="F2186" s="18"/>
      <c r="G2186" s="36" t="str">
        <f>IF(ISNUMBER(F2186),C2186*F2186,"")</f>
        <v/>
      </c>
    </row>
    <row r="2187" spans="1:7" ht="24" customHeight="1" outlineLevel="2" x14ac:dyDescent="0.2">
      <c r="A2187" s="14" t="s">
        <v>4323</v>
      </c>
      <c r="B2187" s="15" t="s">
        <v>4324</v>
      </c>
      <c r="C2187" s="16">
        <f>83.06/(1+B2)</f>
        <v>83.06</v>
      </c>
      <c r="D2187" s="17" t="s">
        <v>11</v>
      </c>
      <c r="E2187" s="17" t="s">
        <v>53</v>
      </c>
      <c r="F2187" s="18"/>
      <c r="G2187" s="36" t="str">
        <f>IF(ISNUMBER(F2187),C2187*F2187,"")</f>
        <v/>
      </c>
    </row>
    <row r="2188" spans="1:7" ht="12" customHeight="1" outlineLevel="2" x14ac:dyDescent="0.2">
      <c r="A2188" s="14" t="s">
        <v>4325</v>
      </c>
      <c r="B2188" s="15" t="s">
        <v>4326</v>
      </c>
      <c r="C2188" s="16">
        <f>84.73/(1+B2)</f>
        <v>84.73</v>
      </c>
      <c r="D2188" s="17" t="s">
        <v>11</v>
      </c>
      <c r="E2188" s="17" t="s">
        <v>14</v>
      </c>
      <c r="F2188" s="18"/>
      <c r="G2188" s="36" t="str">
        <f>IF(ISNUMBER(F2188),C2188*F2188,"")</f>
        <v/>
      </c>
    </row>
    <row r="2189" spans="1:7" ht="12" customHeight="1" outlineLevel="2" x14ac:dyDescent="0.2">
      <c r="A2189" s="14" t="s">
        <v>4327</v>
      </c>
      <c r="B2189" s="15" t="s">
        <v>4328</v>
      </c>
      <c r="C2189" s="16">
        <f>141.13/(1+B2)</f>
        <v>141.13</v>
      </c>
      <c r="D2189" s="17" t="s">
        <v>11</v>
      </c>
      <c r="E2189" s="17"/>
      <c r="F2189" s="18"/>
      <c r="G2189" s="36" t="str">
        <f>IF(ISNUMBER(F2189),C2189*F2189,"")</f>
        <v/>
      </c>
    </row>
    <row r="2190" spans="1:7" ht="12" customHeight="1" outlineLevel="2" x14ac:dyDescent="0.2">
      <c r="A2190" s="14" t="s">
        <v>4329</v>
      </c>
      <c r="B2190" s="15" t="s">
        <v>4330</v>
      </c>
      <c r="C2190" s="16">
        <f>141.13/(1+B2)</f>
        <v>141.13</v>
      </c>
      <c r="D2190" s="17" t="s">
        <v>11</v>
      </c>
      <c r="E2190" s="17"/>
      <c r="F2190" s="18"/>
      <c r="G2190" s="36" t="str">
        <f>IF(ISNUMBER(F2190),C2190*F2190,"")</f>
        <v/>
      </c>
    </row>
    <row r="2191" spans="1:7" ht="12" customHeight="1" outlineLevel="2" x14ac:dyDescent="0.2">
      <c r="A2191" s="14" t="s">
        <v>4331</v>
      </c>
      <c r="B2191" s="15" t="s">
        <v>4332</v>
      </c>
      <c r="C2191" s="16">
        <f>141.13/(1+B2)</f>
        <v>141.13</v>
      </c>
      <c r="D2191" s="17" t="s">
        <v>11</v>
      </c>
      <c r="E2191" s="17"/>
      <c r="F2191" s="18"/>
      <c r="G2191" s="36" t="str">
        <f>IF(ISNUMBER(F2191),C2191*F2191,"")</f>
        <v/>
      </c>
    </row>
    <row r="2192" spans="1:7" ht="12" customHeight="1" outlineLevel="2" x14ac:dyDescent="0.2">
      <c r="A2192" s="14" t="s">
        <v>4333</v>
      </c>
      <c r="B2192" s="15" t="s">
        <v>4334</v>
      </c>
      <c r="C2192" s="16">
        <f>141.13/(1+B2)</f>
        <v>141.13</v>
      </c>
      <c r="D2192" s="17" t="s">
        <v>11</v>
      </c>
      <c r="E2192" s="17"/>
      <c r="F2192" s="18"/>
      <c r="G2192" s="36" t="str">
        <f>IF(ISNUMBER(F2192),C2192*F2192,"")</f>
        <v/>
      </c>
    </row>
    <row r="2193" spans="1:7" ht="12" customHeight="1" outlineLevel="2" x14ac:dyDescent="0.2">
      <c r="A2193" s="14" t="s">
        <v>4335</v>
      </c>
      <c r="B2193" s="15" t="s">
        <v>4336</v>
      </c>
      <c r="C2193" s="16">
        <f>150.91/(1+B2)</f>
        <v>150.91</v>
      </c>
      <c r="D2193" s="17" t="s">
        <v>11</v>
      </c>
      <c r="E2193" s="17" t="s">
        <v>14</v>
      </c>
      <c r="F2193" s="18"/>
      <c r="G2193" s="36" t="str">
        <f>IF(ISNUMBER(F2193),C2193*F2193,"")</f>
        <v/>
      </c>
    </row>
    <row r="2194" spans="1:7" ht="12" customHeight="1" outlineLevel="2" x14ac:dyDescent="0.2">
      <c r="A2194" s="14" t="s">
        <v>4337</v>
      </c>
      <c r="B2194" s="15" t="s">
        <v>4338</v>
      </c>
      <c r="C2194" s="16">
        <f>59.98/(1+B2)</f>
        <v>59.98</v>
      </c>
      <c r="D2194" s="17" t="s">
        <v>14</v>
      </c>
      <c r="E2194" s="17" t="s">
        <v>11</v>
      </c>
      <c r="F2194" s="18"/>
      <c r="G2194" s="36" t="str">
        <f>IF(ISNUMBER(F2194),C2194*F2194,"")</f>
        <v/>
      </c>
    </row>
    <row r="2195" spans="1:7" ht="12" customHeight="1" outlineLevel="2" x14ac:dyDescent="0.2">
      <c r="A2195" s="14" t="s">
        <v>4339</v>
      </c>
      <c r="B2195" s="15" t="s">
        <v>4340</v>
      </c>
      <c r="C2195" s="16">
        <f>59.98/(1+B2)</f>
        <v>59.98</v>
      </c>
      <c r="D2195" s="17" t="s">
        <v>14</v>
      </c>
      <c r="E2195" s="17" t="s">
        <v>11</v>
      </c>
      <c r="F2195" s="18"/>
      <c r="G2195" s="36" t="str">
        <f>IF(ISNUMBER(F2195),C2195*F2195,"")</f>
        <v/>
      </c>
    </row>
    <row r="2196" spans="1:7" ht="12" customHeight="1" outlineLevel="2" x14ac:dyDescent="0.2">
      <c r="A2196" s="14" t="s">
        <v>4341</v>
      </c>
      <c r="B2196" s="15" t="s">
        <v>4342</v>
      </c>
      <c r="C2196" s="16">
        <f>59.98/(1+B2)</f>
        <v>59.98</v>
      </c>
      <c r="D2196" s="17" t="s">
        <v>14</v>
      </c>
      <c r="E2196" s="17" t="s">
        <v>11</v>
      </c>
      <c r="F2196" s="18"/>
      <c r="G2196" s="36" t="str">
        <f>IF(ISNUMBER(F2196),C2196*F2196,"")</f>
        <v/>
      </c>
    </row>
    <row r="2197" spans="1:7" ht="12" customHeight="1" outlineLevel="2" x14ac:dyDescent="0.2">
      <c r="A2197" s="14" t="s">
        <v>4343</v>
      </c>
      <c r="B2197" s="15" t="s">
        <v>4344</v>
      </c>
      <c r="C2197" s="16">
        <f>59.98/(1+B2)</f>
        <v>59.98</v>
      </c>
      <c r="D2197" s="17" t="s">
        <v>14</v>
      </c>
      <c r="E2197" s="17"/>
      <c r="F2197" s="18"/>
      <c r="G2197" s="36" t="str">
        <f>IF(ISNUMBER(F2197),C2197*F2197,"")</f>
        <v/>
      </c>
    </row>
    <row r="2198" spans="1:7" ht="12" customHeight="1" outlineLevel="2" x14ac:dyDescent="0.2">
      <c r="A2198" s="14" t="s">
        <v>4345</v>
      </c>
      <c r="B2198" s="15" t="s">
        <v>4346</v>
      </c>
      <c r="C2198" s="16">
        <f>59.98/(1+B2)</f>
        <v>59.98</v>
      </c>
      <c r="D2198" s="17" t="s">
        <v>14</v>
      </c>
      <c r="E2198" s="17" t="s">
        <v>11</v>
      </c>
      <c r="F2198" s="18"/>
      <c r="G2198" s="36" t="str">
        <f>IF(ISNUMBER(F2198),C2198*F2198,"")</f>
        <v/>
      </c>
    </row>
    <row r="2199" spans="1:7" ht="24" customHeight="1" outlineLevel="2" x14ac:dyDescent="0.2">
      <c r="A2199" s="14" t="s">
        <v>4347</v>
      </c>
      <c r="B2199" s="15" t="s">
        <v>4348</v>
      </c>
      <c r="C2199" s="16">
        <f>159.86/(1+B2)</f>
        <v>159.86000000000001</v>
      </c>
      <c r="D2199" s="17" t="s">
        <v>11</v>
      </c>
      <c r="E2199" s="17"/>
      <c r="F2199" s="18"/>
      <c r="G2199" s="36" t="str">
        <f>IF(ISNUMBER(F2199),C2199*F2199,"")</f>
        <v/>
      </c>
    </row>
    <row r="2200" spans="1:7" ht="24" customHeight="1" outlineLevel="2" x14ac:dyDescent="0.2">
      <c r="A2200" s="14" t="s">
        <v>4349</v>
      </c>
      <c r="B2200" s="15" t="s">
        <v>4350</v>
      </c>
      <c r="C2200" s="16">
        <f>155.9/(1+B2)</f>
        <v>155.9</v>
      </c>
      <c r="D2200" s="17" t="s">
        <v>11</v>
      </c>
      <c r="E2200" s="17"/>
      <c r="F2200" s="18"/>
      <c r="G2200" s="36" t="str">
        <f>IF(ISNUMBER(F2200),C2200*F2200,"")</f>
        <v/>
      </c>
    </row>
    <row r="2201" spans="1:7" ht="24" customHeight="1" outlineLevel="2" x14ac:dyDescent="0.2">
      <c r="A2201" s="14" t="s">
        <v>4351</v>
      </c>
      <c r="B2201" s="15" t="s">
        <v>4352</v>
      </c>
      <c r="C2201" s="16">
        <f>171.29/(1+B2)</f>
        <v>171.29</v>
      </c>
      <c r="D2201" s="17" t="s">
        <v>11</v>
      </c>
      <c r="E2201" s="17" t="s">
        <v>11</v>
      </c>
      <c r="F2201" s="18"/>
      <c r="G2201" s="36" t="str">
        <f>IF(ISNUMBER(F2201),C2201*F2201,"")</f>
        <v/>
      </c>
    </row>
    <row r="2202" spans="1:7" ht="24" customHeight="1" outlineLevel="2" x14ac:dyDescent="0.2">
      <c r="A2202" s="14" t="s">
        <v>4353</v>
      </c>
      <c r="B2202" s="15" t="s">
        <v>4354</v>
      </c>
      <c r="C2202" s="16">
        <f>173.57/(1+B2)</f>
        <v>173.57</v>
      </c>
      <c r="D2202" s="17" t="s">
        <v>11</v>
      </c>
      <c r="E2202" s="17" t="s">
        <v>11</v>
      </c>
      <c r="F2202" s="18"/>
      <c r="G2202" s="36" t="str">
        <f>IF(ISNUMBER(F2202),C2202*F2202,"")</f>
        <v/>
      </c>
    </row>
    <row r="2203" spans="1:7" ht="24" customHeight="1" outlineLevel="2" x14ac:dyDescent="0.2">
      <c r="A2203" s="14" t="s">
        <v>4355</v>
      </c>
      <c r="B2203" s="15" t="s">
        <v>4356</v>
      </c>
      <c r="C2203" s="16">
        <f>173.57/(1+B2)</f>
        <v>173.57</v>
      </c>
      <c r="D2203" s="17" t="s">
        <v>11</v>
      </c>
      <c r="E2203" s="17" t="s">
        <v>11</v>
      </c>
      <c r="F2203" s="18"/>
      <c r="G2203" s="36" t="str">
        <f>IF(ISNUMBER(F2203),C2203*F2203,"")</f>
        <v/>
      </c>
    </row>
    <row r="2204" spans="1:7" ht="12" customHeight="1" outlineLevel="2" x14ac:dyDescent="0.2">
      <c r="A2204" s="14" t="s">
        <v>4357</v>
      </c>
      <c r="B2204" s="15" t="s">
        <v>4358</v>
      </c>
      <c r="C2204" s="16">
        <f>155.9/(1+B2)</f>
        <v>155.9</v>
      </c>
      <c r="D2204" s="17" t="s">
        <v>11</v>
      </c>
      <c r="E2204" s="17" t="s">
        <v>11</v>
      </c>
      <c r="F2204" s="18"/>
      <c r="G2204" s="36" t="str">
        <f>IF(ISNUMBER(F2204),C2204*F2204,"")</f>
        <v/>
      </c>
    </row>
    <row r="2205" spans="1:7" ht="12" customHeight="1" outlineLevel="2" x14ac:dyDescent="0.2">
      <c r="A2205" s="14" t="s">
        <v>4359</v>
      </c>
      <c r="B2205" s="15" t="s">
        <v>4360</v>
      </c>
      <c r="C2205" s="16">
        <f>155.9/(1+B2)</f>
        <v>155.9</v>
      </c>
      <c r="D2205" s="17" t="s">
        <v>11</v>
      </c>
      <c r="E2205" s="17" t="s">
        <v>11</v>
      </c>
      <c r="F2205" s="18"/>
      <c r="G2205" s="36" t="str">
        <f>IF(ISNUMBER(F2205),C2205*F2205,"")</f>
        <v/>
      </c>
    </row>
    <row r="2206" spans="1:7" ht="12" customHeight="1" outlineLevel="2" x14ac:dyDescent="0.2">
      <c r="A2206" s="14" t="s">
        <v>4361</v>
      </c>
      <c r="B2206" s="15" t="s">
        <v>4362</v>
      </c>
      <c r="C2206" s="16">
        <f>155.9/(1+B2)</f>
        <v>155.9</v>
      </c>
      <c r="D2206" s="17" t="s">
        <v>11</v>
      </c>
      <c r="E2206" s="17" t="s">
        <v>11</v>
      </c>
      <c r="F2206" s="18"/>
      <c r="G2206" s="36" t="str">
        <f>IF(ISNUMBER(F2206),C2206*F2206,"")</f>
        <v/>
      </c>
    </row>
    <row r="2207" spans="1:7" ht="24" customHeight="1" outlineLevel="2" x14ac:dyDescent="0.2">
      <c r="A2207" s="14" t="s">
        <v>4363</v>
      </c>
      <c r="B2207" s="15" t="s">
        <v>4364</v>
      </c>
      <c r="C2207" s="16">
        <f>155.9/(1+B2)</f>
        <v>155.9</v>
      </c>
      <c r="D2207" s="17" t="s">
        <v>11</v>
      </c>
      <c r="E2207" s="17" t="s">
        <v>11</v>
      </c>
      <c r="F2207" s="18"/>
      <c r="G2207" s="36" t="str">
        <f>IF(ISNUMBER(F2207),C2207*F2207,"")</f>
        <v/>
      </c>
    </row>
    <row r="2208" spans="1:7" ht="24" customHeight="1" outlineLevel="2" x14ac:dyDescent="0.2">
      <c r="A2208" s="14" t="s">
        <v>4365</v>
      </c>
      <c r="B2208" s="15" t="s">
        <v>4366</v>
      </c>
      <c r="C2208" s="16">
        <f>155.9/(1+B2)</f>
        <v>155.9</v>
      </c>
      <c r="D2208" s="17" t="s">
        <v>11</v>
      </c>
      <c r="E2208" s="17"/>
      <c r="F2208" s="18"/>
      <c r="G2208" s="36" t="str">
        <f>IF(ISNUMBER(F2208),C2208*F2208,"")</f>
        <v/>
      </c>
    </row>
    <row r="2209" spans="1:7" ht="24" customHeight="1" outlineLevel="2" x14ac:dyDescent="0.2">
      <c r="A2209" s="14" t="s">
        <v>4367</v>
      </c>
      <c r="B2209" s="15" t="s">
        <v>4368</v>
      </c>
      <c r="C2209" s="16">
        <f>155.9/(1+B2)</f>
        <v>155.9</v>
      </c>
      <c r="D2209" s="17" t="s">
        <v>11</v>
      </c>
      <c r="E2209" s="17"/>
      <c r="F2209" s="18"/>
      <c r="G2209" s="36" t="str">
        <f>IF(ISNUMBER(F2209),C2209*F2209,"")</f>
        <v/>
      </c>
    </row>
    <row r="2210" spans="1:7" ht="12" customHeight="1" outlineLevel="2" x14ac:dyDescent="0.2">
      <c r="A2210" s="14" t="s">
        <v>4369</v>
      </c>
      <c r="B2210" s="15" t="s">
        <v>4370</v>
      </c>
      <c r="C2210" s="16">
        <f>143.88/(1+B2)</f>
        <v>143.88</v>
      </c>
      <c r="D2210" s="17" t="s">
        <v>11</v>
      </c>
      <c r="E2210" s="17" t="s">
        <v>11</v>
      </c>
      <c r="F2210" s="18"/>
      <c r="G2210" s="36" t="str">
        <f>IF(ISNUMBER(F2210),C2210*F2210,"")</f>
        <v/>
      </c>
    </row>
    <row r="2211" spans="1:7" ht="24" customHeight="1" outlineLevel="2" x14ac:dyDescent="0.2">
      <c r="A2211" s="14" t="s">
        <v>4371</v>
      </c>
      <c r="B2211" s="15" t="s">
        <v>4372</v>
      </c>
      <c r="C2211" s="16">
        <f>127.19/(1+B2)</f>
        <v>127.19</v>
      </c>
      <c r="D2211" s="17" t="s">
        <v>11</v>
      </c>
      <c r="E2211" s="17" t="s">
        <v>11</v>
      </c>
      <c r="F2211" s="18"/>
      <c r="G2211" s="36" t="str">
        <f>IF(ISNUMBER(F2211),C2211*F2211,"")</f>
        <v/>
      </c>
    </row>
    <row r="2212" spans="1:7" ht="24" customHeight="1" outlineLevel="2" x14ac:dyDescent="0.2">
      <c r="A2212" s="14" t="s">
        <v>4373</v>
      </c>
      <c r="B2212" s="15" t="s">
        <v>4374</v>
      </c>
      <c r="C2212" s="16">
        <f>127.19/(1+B2)</f>
        <v>127.19</v>
      </c>
      <c r="D2212" s="17" t="s">
        <v>11</v>
      </c>
      <c r="E2212" s="17"/>
      <c r="F2212" s="18"/>
      <c r="G2212" s="36" t="str">
        <f>IF(ISNUMBER(F2212),C2212*F2212,"")</f>
        <v/>
      </c>
    </row>
    <row r="2213" spans="1:7" ht="24" customHeight="1" outlineLevel="2" x14ac:dyDescent="0.2">
      <c r="A2213" s="14" t="s">
        <v>4375</v>
      </c>
      <c r="B2213" s="15" t="s">
        <v>4376</v>
      </c>
      <c r="C2213" s="16">
        <f>135.46/(1+B2)</f>
        <v>135.46</v>
      </c>
      <c r="D2213" s="17" t="s">
        <v>11</v>
      </c>
      <c r="E2213" s="17"/>
      <c r="F2213" s="18"/>
      <c r="G2213" s="36" t="str">
        <f>IF(ISNUMBER(F2213),C2213*F2213,"")</f>
        <v/>
      </c>
    </row>
    <row r="2214" spans="1:7" ht="24" customHeight="1" outlineLevel="2" x14ac:dyDescent="0.2">
      <c r="A2214" s="14" t="s">
        <v>4377</v>
      </c>
      <c r="B2214" s="15" t="s">
        <v>4378</v>
      </c>
      <c r="C2214" s="16">
        <f>127.19/(1+B2)</f>
        <v>127.19</v>
      </c>
      <c r="D2214" s="17" t="s">
        <v>11</v>
      </c>
      <c r="E2214" s="17" t="s">
        <v>11</v>
      </c>
      <c r="F2214" s="18"/>
      <c r="G2214" s="36" t="str">
        <f>IF(ISNUMBER(F2214),C2214*F2214,"")</f>
        <v/>
      </c>
    </row>
    <row r="2215" spans="1:7" ht="24" customHeight="1" outlineLevel="2" x14ac:dyDescent="0.2">
      <c r="A2215" s="14" t="s">
        <v>4379</v>
      </c>
      <c r="B2215" s="15" t="s">
        <v>4380</v>
      </c>
      <c r="C2215" s="16">
        <f>121.11/(1+B2)</f>
        <v>121.11</v>
      </c>
      <c r="D2215" s="17" t="s">
        <v>11</v>
      </c>
      <c r="E2215" s="17"/>
      <c r="F2215" s="18"/>
      <c r="G2215" s="36" t="str">
        <f>IF(ISNUMBER(F2215),C2215*F2215,"")</f>
        <v/>
      </c>
    </row>
    <row r="2216" spans="1:7" ht="24" customHeight="1" outlineLevel="2" x14ac:dyDescent="0.2">
      <c r="A2216" s="14" t="s">
        <v>4381</v>
      </c>
      <c r="B2216" s="15" t="s">
        <v>4382</v>
      </c>
      <c r="C2216" s="16">
        <f>127.19/(1+B2)</f>
        <v>127.19</v>
      </c>
      <c r="D2216" s="17" t="s">
        <v>11</v>
      </c>
      <c r="E2216" s="17"/>
      <c r="F2216" s="18"/>
      <c r="G2216" s="36" t="str">
        <f>IF(ISNUMBER(F2216),C2216*F2216,"")</f>
        <v/>
      </c>
    </row>
    <row r="2217" spans="1:7" ht="24" customHeight="1" outlineLevel="2" x14ac:dyDescent="0.2">
      <c r="A2217" s="14" t="s">
        <v>4383</v>
      </c>
      <c r="B2217" s="15" t="s">
        <v>4384</v>
      </c>
      <c r="C2217" s="16">
        <f>127.19/(1+B2)</f>
        <v>127.19</v>
      </c>
      <c r="D2217" s="17" t="s">
        <v>11</v>
      </c>
      <c r="E2217" s="17"/>
      <c r="F2217" s="18"/>
      <c r="G2217" s="36" t="str">
        <f>IF(ISNUMBER(F2217),C2217*F2217,"")</f>
        <v/>
      </c>
    </row>
    <row r="2218" spans="1:7" ht="12" customHeight="1" outlineLevel="2" x14ac:dyDescent="0.2">
      <c r="A2218" s="14" t="s">
        <v>4385</v>
      </c>
      <c r="B2218" s="15" t="s">
        <v>4386</v>
      </c>
      <c r="C2218" s="16">
        <f>55.58/(1+B2)</f>
        <v>55.58</v>
      </c>
      <c r="D2218" s="17" t="s">
        <v>11</v>
      </c>
      <c r="E2218" s="17"/>
      <c r="F2218" s="18"/>
      <c r="G2218" s="36" t="str">
        <f>IF(ISNUMBER(F2218),C2218*F2218,"")</f>
        <v/>
      </c>
    </row>
    <row r="2219" spans="1:7" s="1" customFormat="1" ht="15.95" customHeight="1" outlineLevel="1" x14ac:dyDescent="0.25">
      <c r="A2219" s="11"/>
      <c r="B2219" s="12" t="s">
        <v>4387</v>
      </c>
      <c r="C2219" s="13"/>
      <c r="D2219" s="13"/>
      <c r="E2219" s="13"/>
      <c r="F2219" s="13"/>
      <c r="G2219" s="35"/>
    </row>
    <row r="2220" spans="1:7" ht="12" customHeight="1" outlineLevel="2" x14ac:dyDescent="0.2">
      <c r="A2220" s="14" t="s">
        <v>4388</v>
      </c>
      <c r="B2220" s="15" t="s">
        <v>4389</v>
      </c>
      <c r="C2220" s="16">
        <f>153.58/(1+B2)</f>
        <v>153.58000000000001</v>
      </c>
      <c r="D2220" s="17" t="s">
        <v>14</v>
      </c>
      <c r="E2220" s="17" t="s">
        <v>11</v>
      </c>
      <c r="F2220" s="18"/>
      <c r="G2220" s="36" t="str">
        <f>IF(ISNUMBER(F2220),C2220*F2220,"")</f>
        <v/>
      </c>
    </row>
    <row r="2221" spans="1:7" ht="12" customHeight="1" outlineLevel="2" x14ac:dyDescent="0.2">
      <c r="A2221" s="14" t="s">
        <v>4390</v>
      </c>
      <c r="B2221" s="15" t="s">
        <v>4391</v>
      </c>
      <c r="C2221" s="16">
        <f>153.58/(1+B2)</f>
        <v>153.58000000000001</v>
      </c>
      <c r="D2221" s="17" t="s">
        <v>14</v>
      </c>
      <c r="E2221" s="17" t="s">
        <v>11</v>
      </c>
      <c r="F2221" s="18"/>
      <c r="G2221" s="36" t="str">
        <f>IF(ISNUMBER(F2221),C2221*F2221,"")</f>
        <v/>
      </c>
    </row>
    <row r="2222" spans="1:7" ht="12" customHeight="1" outlineLevel="2" x14ac:dyDescent="0.2">
      <c r="A2222" s="14" t="s">
        <v>4392</v>
      </c>
      <c r="B2222" s="15" t="s">
        <v>4393</v>
      </c>
      <c r="C2222" s="16">
        <f>256.29/(1+B2)</f>
        <v>256.29000000000002</v>
      </c>
      <c r="D2222" s="17" t="s">
        <v>11</v>
      </c>
      <c r="E2222" s="17"/>
      <c r="F2222" s="18"/>
      <c r="G2222" s="36" t="str">
        <f>IF(ISNUMBER(F2222),C2222*F2222,"")</f>
        <v/>
      </c>
    </row>
    <row r="2223" spans="1:7" ht="12" customHeight="1" outlineLevel="2" x14ac:dyDescent="0.2">
      <c r="A2223" s="14" t="s">
        <v>4394</v>
      </c>
      <c r="B2223" s="15" t="s">
        <v>4395</v>
      </c>
      <c r="C2223" s="16">
        <f>190.31/(1+B2)</f>
        <v>190.31</v>
      </c>
      <c r="D2223" s="17" t="s">
        <v>11</v>
      </c>
      <c r="E2223" s="17"/>
      <c r="F2223" s="18"/>
      <c r="G2223" s="36" t="str">
        <f>IF(ISNUMBER(F2223),C2223*F2223,"")</f>
        <v/>
      </c>
    </row>
    <row r="2224" spans="1:7" ht="12" customHeight="1" outlineLevel="2" x14ac:dyDescent="0.2">
      <c r="A2224" s="14" t="s">
        <v>4396</v>
      </c>
      <c r="B2224" s="15" t="s">
        <v>4397</v>
      </c>
      <c r="C2224" s="16">
        <f>209.36/(1+B2)</f>
        <v>209.36</v>
      </c>
      <c r="D2224" s="17"/>
      <c r="E2224" s="17" t="s">
        <v>53</v>
      </c>
      <c r="F2224" s="18"/>
      <c r="G2224" s="36" t="str">
        <f>IF(ISNUMBER(F2224),C2224*F2224,"")</f>
        <v/>
      </c>
    </row>
    <row r="2225" spans="1:7" ht="12" customHeight="1" outlineLevel="2" x14ac:dyDescent="0.2">
      <c r="A2225" s="14" t="s">
        <v>4398</v>
      </c>
      <c r="B2225" s="15" t="s">
        <v>4399</v>
      </c>
      <c r="C2225" s="16">
        <f>209.36/(1+B2)</f>
        <v>209.36</v>
      </c>
      <c r="D2225" s="17" t="s">
        <v>11</v>
      </c>
      <c r="E2225" s="17" t="s">
        <v>53</v>
      </c>
      <c r="F2225" s="18"/>
      <c r="G2225" s="36" t="str">
        <f>IF(ISNUMBER(F2225),C2225*F2225,"")</f>
        <v/>
      </c>
    </row>
    <row r="2226" spans="1:7" ht="12" customHeight="1" outlineLevel="2" x14ac:dyDescent="0.2">
      <c r="A2226" s="14" t="s">
        <v>4400</v>
      </c>
      <c r="B2226" s="15" t="s">
        <v>4401</v>
      </c>
      <c r="C2226" s="16">
        <f>168.61/(1+B2)</f>
        <v>168.61</v>
      </c>
      <c r="D2226" s="17" t="s">
        <v>11</v>
      </c>
      <c r="E2226" s="17" t="s">
        <v>53</v>
      </c>
      <c r="F2226" s="18"/>
      <c r="G2226" s="36" t="str">
        <f>IF(ISNUMBER(F2226),C2226*F2226,"")</f>
        <v/>
      </c>
    </row>
    <row r="2227" spans="1:7" ht="12" customHeight="1" outlineLevel="2" x14ac:dyDescent="0.2">
      <c r="A2227" s="14" t="s">
        <v>4402</v>
      </c>
      <c r="B2227" s="15" t="s">
        <v>4403</v>
      </c>
      <c r="C2227" s="16">
        <f>168.61/(1+B2)</f>
        <v>168.61</v>
      </c>
      <c r="D2227" s="17" t="s">
        <v>11</v>
      </c>
      <c r="E2227" s="17" t="s">
        <v>53</v>
      </c>
      <c r="F2227" s="18"/>
      <c r="G2227" s="36" t="str">
        <f>IF(ISNUMBER(F2227),C2227*F2227,"")</f>
        <v/>
      </c>
    </row>
    <row r="2228" spans="1:7" ht="12" customHeight="1" outlineLevel="2" x14ac:dyDescent="0.2">
      <c r="A2228" s="14" t="s">
        <v>4404</v>
      </c>
      <c r="B2228" s="15" t="s">
        <v>4405</v>
      </c>
      <c r="C2228" s="16">
        <f>217.59/(1+B2)</f>
        <v>217.59</v>
      </c>
      <c r="D2228" s="17" t="s">
        <v>11</v>
      </c>
      <c r="E2228" s="17" t="s">
        <v>11</v>
      </c>
      <c r="F2228" s="18"/>
      <c r="G2228" s="36" t="str">
        <f>IF(ISNUMBER(F2228),C2228*F2228,"")</f>
        <v/>
      </c>
    </row>
    <row r="2229" spans="1:7" ht="12" customHeight="1" outlineLevel="2" x14ac:dyDescent="0.2">
      <c r="A2229" s="14" t="s">
        <v>4406</v>
      </c>
      <c r="B2229" s="15" t="s">
        <v>4407</v>
      </c>
      <c r="C2229" s="16">
        <f>149.23/(1+B2)</f>
        <v>149.22999999999999</v>
      </c>
      <c r="D2229" s="17" t="s">
        <v>11</v>
      </c>
      <c r="E2229" s="17" t="s">
        <v>106</v>
      </c>
      <c r="F2229" s="18"/>
      <c r="G2229" s="36" t="str">
        <f>IF(ISNUMBER(F2229),C2229*F2229,"")</f>
        <v/>
      </c>
    </row>
    <row r="2230" spans="1:7" ht="12" customHeight="1" outlineLevel="2" x14ac:dyDescent="0.2">
      <c r="A2230" s="14" t="s">
        <v>4408</v>
      </c>
      <c r="B2230" s="15" t="s">
        <v>4409</v>
      </c>
      <c r="C2230" s="16">
        <f>149.23/(1+B2)</f>
        <v>149.22999999999999</v>
      </c>
      <c r="D2230" s="17" t="s">
        <v>11</v>
      </c>
      <c r="E2230" s="17" t="s">
        <v>106</v>
      </c>
      <c r="F2230" s="18"/>
      <c r="G2230" s="36" t="str">
        <f>IF(ISNUMBER(F2230),C2230*F2230,"")</f>
        <v/>
      </c>
    </row>
    <row r="2231" spans="1:7" ht="12" customHeight="1" outlineLevel="2" x14ac:dyDescent="0.2">
      <c r="A2231" s="14" t="s">
        <v>4410</v>
      </c>
      <c r="B2231" s="15" t="s">
        <v>4411</v>
      </c>
      <c r="C2231" s="16">
        <f>149.23/(1+B2)</f>
        <v>149.22999999999999</v>
      </c>
      <c r="D2231" s="17" t="s">
        <v>11</v>
      </c>
      <c r="E2231" s="17" t="s">
        <v>106</v>
      </c>
      <c r="F2231" s="18"/>
      <c r="G2231" s="36" t="str">
        <f>IF(ISNUMBER(F2231),C2231*F2231,"")</f>
        <v/>
      </c>
    </row>
    <row r="2232" spans="1:7" ht="12" customHeight="1" outlineLevel="2" x14ac:dyDescent="0.2">
      <c r="A2232" s="14" t="s">
        <v>4412</v>
      </c>
      <c r="B2232" s="15" t="s">
        <v>4413</v>
      </c>
      <c r="C2232" s="16">
        <f>149.23/(1+B2)</f>
        <v>149.22999999999999</v>
      </c>
      <c r="D2232" s="17" t="s">
        <v>11</v>
      </c>
      <c r="E2232" s="17" t="s">
        <v>106</v>
      </c>
      <c r="F2232" s="18"/>
      <c r="G2232" s="36" t="str">
        <f>IF(ISNUMBER(F2232),C2232*F2232,"")</f>
        <v/>
      </c>
    </row>
    <row r="2233" spans="1:7" ht="12" customHeight="1" outlineLevel="2" x14ac:dyDescent="0.2">
      <c r="A2233" s="14" t="s">
        <v>4414</v>
      </c>
      <c r="B2233" s="15" t="s">
        <v>4415</v>
      </c>
      <c r="C2233" s="16">
        <f>149.23/(1+B2)</f>
        <v>149.22999999999999</v>
      </c>
      <c r="D2233" s="17" t="s">
        <v>11</v>
      </c>
      <c r="E2233" s="17" t="s">
        <v>53</v>
      </c>
      <c r="F2233" s="18"/>
      <c r="G2233" s="36" t="str">
        <f>IF(ISNUMBER(F2233),C2233*F2233,"")</f>
        <v/>
      </c>
    </row>
    <row r="2234" spans="1:7" ht="12" customHeight="1" outlineLevel="2" x14ac:dyDescent="0.2">
      <c r="A2234" s="14" t="s">
        <v>4416</v>
      </c>
      <c r="B2234" s="15" t="s">
        <v>4417</v>
      </c>
      <c r="C2234" s="16">
        <f>174.1/(1+B2)</f>
        <v>174.1</v>
      </c>
      <c r="D2234" s="17" t="s">
        <v>11</v>
      </c>
      <c r="E2234" s="17"/>
      <c r="F2234" s="18"/>
      <c r="G2234" s="36" t="str">
        <f>IF(ISNUMBER(F2234),C2234*F2234,"")</f>
        <v/>
      </c>
    </row>
    <row r="2235" spans="1:7" ht="12" customHeight="1" outlineLevel="2" x14ac:dyDescent="0.2">
      <c r="A2235" s="14" t="s">
        <v>4418</v>
      </c>
      <c r="B2235" s="15" t="s">
        <v>4419</v>
      </c>
      <c r="C2235" s="16">
        <f>174.1/(1+B2)</f>
        <v>174.1</v>
      </c>
      <c r="D2235" s="17" t="s">
        <v>11</v>
      </c>
      <c r="E2235" s="17"/>
      <c r="F2235" s="18"/>
      <c r="G2235" s="36" t="str">
        <f>IF(ISNUMBER(F2235),C2235*F2235,"")</f>
        <v/>
      </c>
    </row>
    <row r="2236" spans="1:7" ht="12" customHeight="1" outlineLevel="2" x14ac:dyDescent="0.2">
      <c r="A2236" s="14" t="s">
        <v>4420</v>
      </c>
      <c r="B2236" s="15" t="s">
        <v>4421</v>
      </c>
      <c r="C2236" s="16">
        <f>174.1/(1+B2)</f>
        <v>174.1</v>
      </c>
      <c r="D2236" s="17" t="s">
        <v>11</v>
      </c>
      <c r="E2236" s="17" t="s">
        <v>14</v>
      </c>
      <c r="F2236" s="18"/>
      <c r="G2236" s="36" t="str">
        <f>IF(ISNUMBER(F2236),C2236*F2236,"")</f>
        <v/>
      </c>
    </row>
    <row r="2237" spans="1:7" ht="12" customHeight="1" outlineLevel="2" x14ac:dyDescent="0.2">
      <c r="A2237" s="14" t="s">
        <v>4422</v>
      </c>
      <c r="B2237" s="15" t="s">
        <v>4423</v>
      </c>
      <c r="C2237" s="16">
        <f>261.5/(1+B2)</f>
        <v>261.5</v>
      </c>
      <c r="D2237" s="17" t="s">
        <v>11</v>
      </c>
      <c r="E2237" s="17"/>
      <c r="F2237" s="18"/>
      <c r="G2237" s="36" t="str">
        <f>IF(ISNUMBER(F2237),C2237*F2237,"")</f>
        <v/>
      </c>
    </row>
    <row r="2238" spans="1:7" ht="12" customHeight="1" outlineLevel="2" x14ac:dyDescent="0.2">
      <c r="A2238" s="14" t="s">
        <v>4424</v>
      </c>
      <c r="B2238" s="15" t="s">
        <v>4425</v>
      </c>
      <c r="C2238" s="16">
        <f>136.16/(1+B2)</f>
        <v>136.16</v>
      </c>
      <c r="D2238" s="17" t="s">
        <v>11</v>
      </c>
      <c r="E2238" s="17" t="s">
        <v>11</v>
      </c>
      <c r="F2238" s="18"/>
      <c r="G2238" s="36" t="str">
        <f>IF(ISNUMBER(F2238),C2238*F2238,"")</f>
        <v/>
      </c>
    </row>
    <row r="2239" spans="1:7" ht="12" customHeight="1" outlineLevel="2" x14ac:dyDescent="0.2">
      <c r="A2239" s="14" t="s">
        <v>4426</v>
      </c>
      <c r="B2239" s="15" t="s">
        <v>4427</v>
      </c>
      <c r="C2239" s="16">
        <f>150.74/(1+B2)</f>
        <v>150.74</v>
      </c>
      <c r="D2239" s="17" t="s">
        <v>11</v>
      </c>
      <c r="E2239" s="17"/>
      <c r="F2239" s="18"/>
      <c r="G2239" s="36" t="str">
        <f>IF(ISNUMBER(F2239),C2239*F2239,"")</f>
        <v/>
      </c>
    </row>
    <row r="2240" spans="1:7" ht="12" customHeight="1" outlineLevel="2" x14ac:dyDescent="0.2">
      <c r="A2240" s="14" t="s">
        <v>4428</v>
      </c>
      <c r="B2240" s="15" t="s">
        <v>4429</v>
      </c>
      <c r="C2240" s="16">
        <f>150.74/(1+B2)</f>
        <v>150.74</v>
      </c>
      <c r="D2240" s="17" t="s">
        <v>11</v>
      </c>
      <c r="E2240" s="17"/>
      <c r="F2240" s="18"/>
      <c r="G2240" s="36" t="str">
        <f>IF(ISNUMBER(F2240),C2240*F2240,"")</f>
        <v/>
      </c>
    </row>
    <row r="2241" spans="1:7" ht="12" customHeight="1" outlineLevel="2" x14ac:dyDescent="0.2">
      <c r="A2241" s="14" t="s">
        <v>4430</v>
      </c>
      <c r="B2241" s="15" t="s">
        <v>4431</v>
      </c>
      <c r="C2241" s="16">
        <f>136.16/(1+B2)</f>
        <v>136.16</v>
      </c>
      <c r="D2241" s="17" t="s">
        <v>11</v>
      </c>
      <c r="E2241" s="17"/>
      <c r="F2241" s="18"/>
      <c r="G2241" s="36" t="str">
        <f>IF(ISNUMBER(F2241),C2241*F2241,"")</f>
        <v/>
      </c>
    </row>
    <row r="2242" spans="1:7" ht="12" customHeight="1" outlineLevel="2" x14ac:dyDescent="0.2">
      <c r="A2242" s="14" t="s">
        <v>4432</v>
      </c>
      <c r="B2242" s="15" t="s">
        <v>4433</v>
      </c>
      <c r="C2242" s="16">
        <f>184.1/(1+B2)</f>
        <v>184.1</v>
      </c>
      <c r="D2242" s="17" t="s">
        <v>11</v>
      </c>
      <c r="E2242" s="17" t="s">
        <v>106</v>
      </c>
      <c r="F2242" s="18"/>
      <c r="G2242" s="36" t="str">
        <f>IF(ISNUMBER(F2242),C2242*F2242,"")</f>
        <v/>
      </c>
    </row>
    <row r="2243" spans="1:7" ht="12" customHeight="1" outlineLevel="2" x14ac:dyDescent="0.2">
      <c r="A2243" s="14" t="s">
        <v>4434</v>
      </c>
      <c r="B2243" s="15" t="s">
        <v>4435</v>
      </c>
      <c r="C2243" s="16">
        <f>184.1/(1+B2)</f>
        <v>184.1</v>
      </c>
      <c r="D2243" s="17" t="s">
        <v>11</v>
      </c>
      <c r="E2243" s="17" t="s">
        <v>11</v>
      </c>
      <c r="F2243" s="18"/>
      <c r="G2243" s="36" t="str">
        <f>IF(ISNUMBER(F2243),C2243*F2243,"")</f>
        <v/>
      </c>
    </row>
    <row r="2244" spans="1:7" ht="12" customHeight="1" outlineLevel="2" x14ac:dyDescent="0.2">
      <c r="A2244" s="14" t="s">
        <v>4436</v>
      </c>
      <c r="B2244" s="15" t="s">
        <v>4437</v>
      </c>
      <c r="C2244" s="16">
        <f>184.1/(1+B2)</f>
        <v>184.1</v>
      </c>
      <c r="D2244" s="17" t="s">
        <v>11</v>
      </c>
      <c r="E2244" s="17" t="s">
        <v>14</v>
      </c>
      <c r="F2244" s="18"/>
      <c r="G2244" s="36" t="str">
        <f>IF(ISNUMBER(F2244),C2244*F2244,"")</f>
        <v/>
      </c>
    </row>
    <row r="2245" spans="1:7" ht="12" customHeight="1" outlineLevel="2" x14ac:dyDescent="0.2">
      <c r="A2245" s="14" t="s">
        <v>4438</v>
      </c>
      <c r="B2245" s="15" t="s">
        <v>4439</v>
      </c>
      <c r="C2245" s="16">
        <f>93.73/(1+B2)</f>
        <v>93.73</v>
      </c>
      <c r="D2245" s="17" t="s">
        <v>11</v>
      </c>
      <c r="E2245" s="17" t="s">
        <v>11</v>
      </c>
      <c r="F2245" s="18"/>
      <c r="G2245" s="36" t="str">
        <f>IF(ISNUMBER(F2245),C2245*F2245,"")</f>
        <v/>
      </c>
    </row>
    <row r="2246" spans="1:7" ht="12" customHeight="1" outlineLevel="2" x14ac:dyDescent="0.2">
      <c r="A2246" s="14" t="s">
        <v>4440</v>
      </c>
      <c r="B2246" s="15" t="s">
        <v>4441</v>
      </c>
      <c r="C2246" s="16">
        <f>93.73/(1+B2)</f>
        <v>93.73</v>
      </c>
      <c r="D2246" s="17" t="s">
        <v>11</v>
      </c>
      <c r="E2246" s="17" t="s">
        <v>14</v>
      </c>
      <c r="F2246" s="18"/>
      <c r="G2246" s="36" t="str">
        <f>IF(ISNUMBER(F2246),C2246*F2246,"")</f>
        <v/>
      </c>
    </row>
    <row r="2247" spans="1:7" ht="12" customHeight="1" outlineLevel="2" x14ac:dyDescent="0.2">
      <c r="A2247" s="14" t="s">
        <v>4442</v>
      </c>
      <c r="B2247" s="15" t="s">
        <v>4443</v>
      </c>
      <c r="C2247" s="16">
        <f>149.33/(1+B2)</f>
        <v>149.33000000000001</v>
      </c>
      <c r="D2247" s="17" t="s">
        <v>11</v>
      </c>
      <c r="E2247" s="17" t="s">
        <v>53</v>
      </c>
      <c r="F2247" s="18"/>
      <c r="G2247" s="36" t="str">
        <f>IF(ISNUMBER(F2247),C2247*F2247,"")</f>
        <v/>
      </c>
    </row>
    <row r="2248" spans="1:7" ht="12" customHeight="1" outlineLevel="2" x14ac:dyDescent="0.2">
      <c r="A2248" s="14" t="s">
        <v>4444</v>
      </c>
      <c r="B2248" s="15" t="s">
        <v>4445</v>
      </c>
      <c r="C2248" s="16">
        <f>128.75/(1+B2)</f>
        <v>128.75</v>
      </c>
      <c r="D2248" s="17" t="s">
        <v>11</v>
      </c>
      <c r="E2248" s="17"/>
      <c r="F2248" s="18"/>
      <c r="G2248" s="36" t="str">
        <f>IF(ISNUMBER(F2248),C2248*F2248,"")</f>
        <v/>
      </c>
    </row>
    <row r="2249" spans="1:7" ht="12" customHeight="1" outlineLevel="2" x14ac:dyDescent="0.2">
      <c r="A2249" s="14" t="s">
        <v>4446</v>
      </c>
      <c r="B2249" s="15" t="s">
        <v>4447</v>
      </c>
      <c r="C2249" s="16">
        <f>185.86/(1+B2)</f>
        <v>185.86</v>
      </c>
      <c r="D2249" s="17" t="s">
        <v>11</v>
      </c>
      <c r="E2249" s="17" t="s">
        <v>14</v>
      </c>
      <c r="F2249" s="18"/>
      <c r="G2249" s="36" t="str">
        <f>IF(ISNUMBER(F2249),C2249*F2249,"")</f>
        <v/>
      </c>
    </row>
    <row r="2250" spans="1:7" ht="12" customHeight="1" outlineLevel="2" x14ac:dyDescent="0.2">
      <c r="A2250" s="14" t="s">
        <v>4448</v>
      </c>
      <c r="B2250" s="15" t="s">
        <v>4449</v>
      </c>
      <c r="C2250" s="16">
        <f>197.61/(1+B2)</f>
        <v>197.61</v>
      </c>
      <c r="D2250" s="17" t="s">
        <v>11</v>
      </c>
      <c r="E2250" s="17" t="s">
        <v>14</v>
      </c>
      <c r="F2250" s="18"/>
      <c r="G2250" s="36" t="str">
        <f>IF(ISNUMBER(F2250),C2250*F2250,"")</f>
        <v/>
      </c>
    </row>
    <row r="2251" spans="1:7" ht="12" customHeight="1" outlineLevel="2" x14ac:dyDescent="0.2">
      <c r="A2251" s="14" t="s">
        <v>4450</v>
      </c>
      <c r="B2251" s="15" t="s">
        <v>4451</v>
      </c>
      <c r="C2251" s="16">
        <f>197.61/(1+B2)</f>
        <v>197.61</v>
      </c>
      <c r="D2251" s="17" t="s">
        <v>11</v>
      </c>
      <c r="E2251" s="17" t="s">
        <v>11</v>
      </c>
      <c r="F2251" s="18"/>
      <c r="G2251" s="36" t="str">
        <f>IF(ISNUMBER(F2251),C2251*F2251,"")</f>
        <v/>
      </c>
    </row>
    <row r="2252" spans="1:7" ht="24" customHeight="1" outlineLevel="2" x14ac:dyDescent="0.2">
      <c r="A2252" s="14" t="s">
        <v>4452</v>
      </c>
      <c r="B2252" s="15" t="s">
        <v>4453</v>
      </c>
      <c r="C2252" s="16">
        <f>197.61/(1+B2)</f>
        <v>197.61</v>
      </c>
      <c r="D2252" s="17" t="s">
        <v>11</v>
      </c>
      <c r="E2252" s="17" t="s">
        <v>14</v>
      </c>
      <c r="F2252" s="18"/>
      <c r="G2252" s="36" t="str">
        <f>IF(ISNUMBER(F2252),C2252*F2252,"")</f>
        <v/>
      </c>
    </row>
    <row r="2253" spans="1:7" ht="12" customHeight="1" outlineLevel="2" x14ac:dyDescent="0.2">
      <c r="A2253" s="14" t="s">
        <v>4454</v>
      </c>
      <c r="B2253" s="15" t="s">
        <v>4455</v>
      </c>
      <c r="C2253" s="16">
        <f>197.61/(1+B2)</f>
        <v>197.61</v>
      </c>
      <c r="D2253" s="17" t="s">
        <v>11</v>
      </c>
      <c r="E2253" s="17"/>
      <c r="F2253" s="18"/>
      <c r="G2253" s="36" t="str">
        <f>IF(ISNUMBER(F2253),C2253*F2253,"")</f>
        <v/>
      </c>
    </row>
    <row r="2254" spans="1:7" s="1" customFormat="1" ht="15.95" customHeight="1" outlineLevel="1" x14ac:dyDescent="0.25">
      <c r="A2254" s="11"/>
      <c r="B2254" s="12" t="s">
        <v>4456</v>
      </c>
      <c r="C2254" s="13"/>
      <c r="D2254" s="13"/>
      <c r="E2254" s="13"/>
      <c r="F2254" s="13"/>
      <c r="G2254" s="35"/>
    </row>
    <row r="2255" spans="1:7" ht="12" customHeight="1" outlineLevel="2" x14ac:dyDescent="0.2">
      <c r="A2255" s="14" t="s">
        <v>4457</v>
      </c>
      <c r="B2255" s="15" t="s">
        <v>4458</v>
      </c>
      <c r="C2255" s="16">
        <f>21.41/(1+B2)</f>
        <v>21.41</v>
      </c>
      <c r="D2255" s="17" t="s">
        <v>11</v>
      </c>
      <c r="E2255" s="17" t="s">
        <v>11</v>
      </c>
      <c r="F2255" s="18"/>
      <c r="G2255" s="36" t="str">
        <f>IF(ISNUMBER(F2255),C2255*F2255,"")</f>
        <v/>
      </c>
    </row>
    <row r="2256" spans="1:7" ht="12" customHeight="1" outlineLevel="2" x14ac:dyDescent="0.2">
      <c r="A2256" s="14" t="s">
        <v>4459</v>
      </c>
      <c r="B2256" s="15" t="s">
        <v>4460</v>
      </c>
      <c r="C2256" s="16">
        <f>36.5/(1+B2)</f>
        <v>36.5</v>
      </c>
      <c r="D2256" s="17" t="s">
        <v>11</v>
      </c>
      <c r="E2256" s="17" t="s">
        <v>14</v>
      </c>
      <c r="F2256" s="18"/>
      <c r="G2256" s="36" t="str">
        <f>IF(ISNUMBER(F2256),C2256*F2256,"")</f>
        <v/>
      </c>
    </row>
    <row r="2257" spans="1:7" ht="12" customHeight="1" outlineLevel="2" x14ac:dyDescent="0.2">
      <c r="A2257" s="14" t="s">
        <v>4461</v>
      </c>
      <c r="B2257" s="15" t="s">
        <v>4462</v>
      </c>
      <c r="C2257" s="16">
        <f>30.78/(1+B2)</f>
        <v>30.78</v>
      </c>
      <c r="D2257" s="17" t="s">
        <v>14</v>
      </c>
      <c r="E2257" s="17"/>
      <c r="F2257" s="18"/>
      <c r="G2257" s="36" t="str">
        <f>IF(ISNUMBER(F2257),C2257*F2257,"")</f>
        <v/>
      </c>
    </row>
    <row r="2258" spans="1:7" ht="12" customHeight="1" outlineLevel="2" x14ac:dyDescent="0.2">
      <c r="A2258" s="14" t="s">
        <v>4463</v>
      </c>
      <c r="B2258" s="15" t="s">
        <v>4464</v>
      </c>
      <c r="C2258" s="16">
        <f>41.83/(1+B2)</f>
        <v>41.83</v>
      </c>
      <c r="D2258" s="17" t="s">
        <v>14</v>
      </c>
      <c r="E2258" s="17" t="s">
        <v>14</v>
      </c>
      <c r="F2258" s="18"/>
      <c r="G2258" s="36" t="str">
        <f>IF(ISNUMBER(F2258),C2258*F2258,"")</f>
        <v/>
      </c>
    </row>
    <row r="2259" spans="1:7" ht="12" customHeight="1" outlineLevel="2" x14ac:dyDescent="0.2">
      <c r="A2259" s="14" t="s">
        <v>4465</v>
      </c>
      <c r="B2259" s="15" t="s">
        <v>4466</v>
      </c>
      <c r="C2259" s="16">
        <f>38.84/(1+B2)</f>
        <v>38.840000000000003</v>
      </c>
      <c r="D2259" s="17" t="s">
        <v>11</v>
      </c>
      <c r="E2259" s="17" t="s">
        <v>14</v>
      </c>
      <c r="F2259" s="18"/>
      <c r="G2259" s="36" t="str">
        <f>IF(ISNUMBER(F2259),C2259*F2259,"")</f>
        <v/>
      </c>
    </row>
    <row r="2260" spans="1:7" ht="12" customHeight="1" outlineLevel="2" x14ac:dyDescent="0.2">
      <c r="A2260" s="14" t="s">
        <v>4467</v>
      </c>
      <c r="B2260" s="15" t="s">
        <v>4468</v>
      </c>
      <c r="C2260" s="16">
        <f>42.55/(1+B2)</f>
        <v>42.55</v>
      </c>
      <c r="D2260" s="17" t="s">
        <v>14</v>
      </c>
      <c r="E2260" s="17"/>
      <c r="F2260" s="18"/>
      <c r="G2260" s="36" t="str">
        <f>IF(ISNUMBER(F2260),C2260*F2260,"")</f>
        <v/>
      </c>
    </row>
    <row r="2261" spans="1:7" ht="12" customHeight="1" outlineLevel="2" x14ac:dyDescent="0.2">
      <c r="A2261" s="14" t="s">
        <v>4469</v>
      </c>
      <c r="B2261" s="15" t="s">
        <v>4470</v>
      </c>
      <c r="C2261" s="16">
        <f>116.86/(1+B2)</f>
        <v>116.86</v>
      </c>
      <c r="D2261" s="17" t="s">
        <v>11</v>
      </c>
      <c r="E2261" s="17" t="s">
        <v>11</v>
      </c>
      <c r="F2261" s="18"/>
      <c r="G2261" s="36" t="str">
        <f>IF(ISNUMBER(F2261),C2261*F2261,"")</f>
        <v/>
      </c>
    </row>
    <row r="2262" spans="1:7" ht="12" customHeight="1" outlineLevel="2" x14ac:dyDescent="0.2">
      <c r="A2262" s="14" t="s">
        <v>4471</v>
      </c>
      <c r="B2262" s="15" t="s">
        <v>4472</v>
      </c>
      <c r="C2262" s="16">
        <f>89.13/(1+B2)</f>
        <v>89.13</v>
      </c>
      <c r="D2262" s="17" t="s">
        <v>11</v>
      </c>
      <c r="E2262" s="17" t="s">
        <v>14</v>
      </c>
      <c r="F2262" s="18"/>
      <c r="G2262" s="36" t="str">
        <f>IF(ISNUMBER(F2262),C2262*F2262,"")</f>
        <v/>
      </c>
    </row>
    <row r="2263" spans="1:7" ht="12" customHeight="1" outlineLevel="2" x14ac:dyDescent="0.2">
      <c r="A2263" s="14" t="s">
        <v>4473</v>
      </c>
      <c r="B2263" s="15" t="s">
        <v>4474</v>
      </c>
      <c r="C2263" s="16">
        <f>20.63/(1+B2)</f>
        <v>20.63</v>
      </c>
      <c r="D2263" s="17" t="s">
        <v>53</v>
      </c>
      <c r="E2263" s="17" t="s">
        <v>53</v>
      </c>
      <c r="F2263" s="18"/>
      <c r="G2263" s="36" t="str">
        <f>IF(ISNUMBER(F2263),C2263*F2263,"")</f>
        <v/>
      </c>
    </row>
    <row r="2264" spans="1:7" ht="12" customHeight="1" outlineLevel="2" x14ac:dyDescent="0.2">
      <c r="A2264" s="14" t="s">
        <v>4475</v>
      </c>
      <c r="B2264" s="15" t="s">
        <v>4476</v>
      </c>
      <c r="C2264" s="16">
        <f>87/(1+B2)</f>
        <v>87</v>
      </c>
      <c r="D2264" s="17" t="s">
        <v>14</v>
      </c>
      <c r="E2264" s="17" t="s">
        <v>106</v>
      </c>
      <c r="F2264" s="18"/>
      <c r="G2264" s="36" t="str">
        <f>IF(ISNUMBER(F2264),C2264*F2264,"")</f>
        <v/>
      </c>
    </row>
    <row r="2265" spans="1:7" ht="12" customHeight="1" outlineLevel="2" x14ac:dyDescent="0.2">
      <c r="A2265" s="14" t="s">
        <v>4477</v>
      </c>
      <c r="B2265" s="15" t="s">
        <v>4478</v>
      </c>
      <c r="C2265" s="16">
        <f>91.87/(1+B2)</f>
        <v>91.87</v>
      </c>
      <c r="D2265" s="17" t="s">
        <v>11</v>
      </c>
      <c r="E2265" s="17"/>
      <c r="F2265" s="18"/>
      <c r="G2265" s="36" t="str">
        <f>IF(ISNUMBER(F2265),C2265*F2265,"")</f>
        <v/>
      </c>
    </row>
    <row r="2266" spans="1:7" ht="24" customHeight="1" outlineLevel="2" x14ac:dyDescent="0.2">
      <c r="A2266" s="14" t="s">
        <v>4479</v>
      </c>
      <c r="B2266" s="15" t="s">
        <v>4480</v>
      </c>
      <c r="C2266" s="16">
        <f>37.2/(1+B2)</f>
        <v>37.200000000000003</v>
      </c>
      <c r="D2266" s="17" t="s">
        <v>11</v>
      </c>
      <c r="E2266" s="17" t="s">
        <v>14</v>
      </c>
      <c r="F2266" s="18"/>
      <c r="G2266" s="36" t="str">
        <f>IF(ISNUMBER(F2266),C2266*F2266,"")</f>
        <v/>
      </c>
    </row>
    <row r="2267" spans="1:7" ht="12" customHeight="1" outlineLevel="2" x14ac:dyDescent="0.2">
      <c r="A2267" s="14" t="s">
        <v>4481</v>
      </c>
      <c r="B2267" s="15" t="s">
        <v>4482</v>
      </c>
      <c r="C2267" s="16">
        <f>236.18/(1+B2)</f>
        <v>236.18</v>
      </c>
      <c r="D2267" s="17" t="s">
        <v>11</v>
      </c>
      <c r="E2267" s="17"/>
      <c r="F2267" s="18"/>
      <c r="G2267" s="36" t="str">
        <f>IF(ISNUMBER(F2267),C2267*F2267,"")</f>
        <v/>
      </c>
    </row>
    <row r="2268" spans="1:7" ht="12" customHeight="1" outlineLevel="2" x14ac:dyDescent="0.2">
      <c r="A2268" s="14" t="s">
        <v>4483</v>
      </c>
      <c r="B2268" s="15" t="s">
        <v>4484</v>
      </c>
      <c r="C2268" s="16">
        <f>164.94/(1+B2)</f>
        <v>164.94</v>
      </c>
      <c r="D2268" s="17" t="s">
        <v>11</v>
      </c>
      <c r="E2268" s="17"/>
      <c r="F2268" s="18"/>
      <c r="G2268" s="36" t="str">
        <f>IF(ISNUMBER(F2268),C2268*F2268,"")</f>
        <v/>
      </c>
    </row>
    <row r="2269" spans="1:7" ht="12" customHeight="1" outlineLevel="2" x14ac:dyDescent="0.2">
      <c r="A2269" s="14" t="s">
        <v>4485</v>
      </c>
      <c r="B2269" s="15" t="s">
        <v>4486</v>
      </c>
      <c r="C2269" s="16">
        <f>37.24/(1+B2)</f>
        <v>37.24</v>
      </c>
      <c r="D2269" s="17" t="s">
        <v>14</v>
      </c>
      <c r="E2269" s="17" t="s">
        <v>14</v>
      </c>
      <c r="F2269" s="18"/>
      <c r="G2269" s="36" t="str">
        <f>IF(ISNUMBER(F2269),C2269*F2269,"")</f>
        <v/>
      </c>
    </row>
    <row r="2270" spans="1:7" ht="12" customHeight="1" outlineLevel="2" x14ac:dyDescent="0.2">
      <c r="A2270" s="14" t="s">
        <v>4487</v>
      </c>
      <c r="B2270" s="15" t="s">
        <v>4488</v>
      </c>
      <c r="C2270" s="16">
        <f>151.94/(1+B2)</f>
        <v>151.94</v>
      </c>
      <c r="D2270" s="17" t="s">
        <v>11</v>
      </c>
      <c r="E2270" s="17" t="s">
        <v>11</v>
      </c>
      <c r="F2270" s="18"/>
      <c r="G2270" s="36" t="str">
        <f>IF(ISNUMBER(F2270),C2270*F2270,"")</f>
        <v/>
      </c>
    </row>
    <row r="2271" spans="1:7" ht="12" customHeight="1" outlineLevel="2" x14ac:dyDescent="0.2">
      <c r="A2271" s="14" t="s">
        <v>4489</v>
      </c>
      <c r="B2271" s="15" t="s">
        <v>4490</v>
      </c>
      <c r="C2271" s="16">
        <f>20.09/(1+B2)</f>
        <v>20.09</v>
      </c>
      <c r="D2271" s="17" t="s">
        <v>11</v>
      </c>
      <c r="E2271" s="17"/>
      <c r="F2271" s="18"/>
      <c r="G2271" s="36" t="str">
        <f>IF(ISNUMBER(F2271),C2271*F2271,"")</f>
        <v/>
      </c>
    </row>
    <row r="2272" spans="1:7" ht="12" customHeight="1" outlineLevel="2" x14ac:dyDescent="0.2">
      <c r="A2272" s="14" t="s">
        <v>4491</v>
      </c>
      <c r="B2272" s="15" t="s">
        <v>4492</v>
      </c>
      <c r="C2272" s="16">
        <f>75/(1+B2)</f>
        <v>75</v>
      </c>
      <c r="D2272" s="17" t="s">
        <v>11</v>
      </c>
      <c r="E2272" s="17" t="s">
        <v>53</v>
      </c>
      <c r="F2272" s="18"/>
      <c r="G2272" s="36" t="str">
        <f>IF(ISNUMBER(F2272),C2272*F2272,"")</f>
        <v/>
      </c>
    </row>
    <row r="2273" spans="1:7" ht="12" customHeight="1" outlineLevel="2" x14ac:dyDescent="0.2">
      <c r="A2273" s="14" t="s">
        <v>4493</v>
      </c>
      <c r="B2273" s="15" t="s">
        <v>4494</v>
      </c>
      <c r="C2273" s="16">
        <f>75.29/(1+B2)</f>
        <v>75.290000000000006</v>
      </c>
      <c r="D2273" s="17" t="s">
        <v>11</v>
      </c>
      <c r="E2273" s="17" t="s">
        <v>14</v>
      </c>
      <c r="F2273" s="18"/>
      <c r="G2273" s="36" t="str">
        <f>IF(ISNUMBER(F2273),C2273*F2273,"")</f>
        <v/>
      </c>
    </row>
    <row r="2274" spans="1:7" ht="12" customHeight="1" outlineLevel="2" x14ac:dyDescent="0.2">
      <c r="A2274" s="14" t="s">
        <v>4495</v>
      </c>
      <c r="B2274" s="15" t="s">
        <v>4496</v>
      </c>
      <c r="C2274" s="16">
        <f>37.53/(1+B2)</f>
        <v>37.53</v>
      </c>
      <c r="D2274" s="17" t="s">
        <v>11</v>
      </c>
      <c r="E2274" s="17" t="s">
        <v>14</v>
      </c>
      <c r="F2274" s="18"/>
      <c r="G2274" s="36" t="str">
        <f>IF(ISNUMBER(F2274),C2274*F2274,"")</f>
        <v/>
      </c>
    </row>
    <row r="2275" spans="1:7" ht="12" customHeight="1" outlineLevel="2" x14ac:dyDescent="0.2">
      <c r="A2275" s="14" t="s">
        <v>4497</v>
      </c>
      <c r="B2275" s="15" t="s">
        <v>4498</v>
      </c>
      <c r="C2275" s="16">
        <f>164.43/(1+B2)</f>
        <v>164.43</v>
      </c>
      <c r="D2275" s="17" t="s">
        <v>11</v>
      </c>
      <c r="E2275" s="17" t="s">
        <v>11</v>
      </c>
      <c r="F2275" s="18"/>
      <c r="G2275" s="36" t="str">
        <f>IF(ISNUMBER(F2275),C2275*F2275,"")</f>
        <v/>
      </c>
    </row>
    <row r="2276" spans="1:7" ht="12" customHeight="1" outlineLevel="2" x14ac:dyDescent="0.2">
      <c r="A2276" s="14" t="s">
        <v>4499</v>
      </c>
      <c r="B2276" s="15" t="s">
        <v>4500</v>
      </c>
      <c r="C2276" s="16">
        <f>14.11/(1+B2)</f>
        <v>14.11</v>
      </c>
      <c r="D2276" s="17" t="s">
        <v>14</v>
      </c>
      <c r="E2276" s="17"/>
      <c r="F2276" s="18"/>
      <c r="G2276" s="36" t="str">
        <f>IF(ISNUMBER(F2276),C2276*F2276,"")</f>
        <v/>
      </c>
    </row>
    <row r="2277" spans="1:7" ht="12" customHeight="1" outlineLevel="2" x14ac:dyDescent="0.2">
      <c r="A2277" s="14" t="s">
        <v>4501</v>
      </c>
      <c r="B2277" s="15" t="s">
        <v>4502</v>
      </c>
      <c r="C2277" s="16">
        <f>75.65/(1+B2)</f>
        <v>75.650000000000006</v>
      </c>
      <c r="D2277" s="17" t="s">
        <v>11</v>
      </c>
      <c r="E2277" s="17" t="s">
        <v>53</v>
      </c>
      <c r="F2277" s="18"/>
      <c r="G2277" s="36" t="str">
        <f>IF(ISNUMBER(F2277),C2277*F2277,"")</f>
        <v/>
      </c>
    </row>
    <row r="2278" spans="1:7" ht="24" customHeight="1" outlineLevel="2" x14ac:dyDescent="0.2">
      <c r="A2278" s="14" t="s">
        <v>4503</v>
      </c>
      <c r="B2278" s="15" t="s">
        <v>4504</v>
      </c>
      <c r="C2278" s="16">
        <f>85.33/(1+B2)</f>
        <v>85.33</v>
      </c>
      <c r="D2278" s="17" t="s">
        <v>11</v>
      </c>
      <c r="E2278" s="17" t="s">
        <v>14</v>
      </c>
      <c r="F2278" s="18"/>
      <c r="G2278" s="36" t="str">
        <f>IF(ISNUMBER(F2278),C2278*F2278,"")</f>
        <v/>
      </c>
    </row>
    <row r="2279" spans="1:7" ht="12" customHeight="1" outlineLevel="2" x14ac:dyDescent="0.2">
      <c r="A2279" s="14" t="s">
        <v>4505</v>
      </c>
      <c r="B2279" s="15" t="s">
        <v>4506</v>
      </c>
      <c r="C2279" s="16">
        <f>183.83/(1+B2)</f>
        <v>183.83</v>
      </c>
      <c r="D2279" s="17" t="s">
        <v>11</v>
      </c>
      <c r="E2279" s="17" t="s">
        <v>106</v>
      </c>
      <c r="F2279" s="18"/>
      <c r="G2279" s="36" t="str">
        <f>IF(ISNUMBER(F2279),C2279*F2279,"")</f>
        <v/>
      </c>
    </row>
    <row r="2280" spans="1:7" ht="12" customHeight="1" outlineLevel="2" x14ac:dyDescent="0.2">
      <c r="A2280" s="14" t="s">
        <v>4507</v>
      </c>
      <c r="B2280" s="15" t="s">
        <v>4508</v>
      </c>
      <c r="C2280" s="16">
        <f>42.68/(1+B2)</f>
        <v>42.68</v>
      </c>
      <c r="D2280" s="17" t="s">
        <v>14</v>
      </c>
      <c r="E2280" s="17" t="s">
        <v>11</v>
      </c>
      <c r="F2280" s="18"/>
      <c r="G2280" s="36" t="str">
        <f>IF(ISNUMBER(F2280),C2280*F2280,"")</f>
        <v/>
      </c>
    </row>
    <row r="2281" spans="1:7" ht="12" customHeight="1" outlineLevel="2" x14ac:dyDescent="0.2">
      <c r="A2281" s="14" t="s">
        <v>4509</v>
      </c>
      <c r="B2281" s="15" t="s">
        <v>4510</v>
      </c>
      <c r="C2281" s="16">
        <f>93.91/(1+B2)</f>
        <v>93.91</v>
      </c>
      <c r="D2281" s="17" t="s">
        <v>11</v>
      </c>
      <c r="E2281" s="17" t="s">
        <v>11</v>
      </c>
      <c r="F2281" s="18"/>
      <c r="G2281" s="36" t="str">
        <f>IF(ISNUMBER(F2281),C2281*F2281,"")</f>
        <v/>
      </c>
    </row>
    <row r="2282" spans="1:7" ht="12" customHeight="1" outlineLevel="2" x14ac:dyDescent="0.2">
      <c r="A2282" s="14" t="s">
        <v>4511</v>
      </c>
      <c r="B2282" s="15" t="s">
        <v>4512</v>
      </c>
      <c r="C2282" s="16">
        <f>102.6/(1+B2)</f>
        <v>102.6</v>
      </c>
      <c r="D2282" s="17" t="s">
        <v>11</v>
      </c>
      <c r="E2282" s="17"/>
      <c r="F2282" s="18"/>
      <c r="G2282" s="36" t="str">
        <f>IF(ISNUMBER(F2282),C2282*F2282,"")</f>
        <v/>
      </c>
    </row>
    <row r="2283" spans="1:7" ht="12" customHeight="1" outlineLevel="2" x14ac:dyDescent="0.2">
      <c r="A2283" s="14" t="s">
        <v>4513</v>
      </c>
      <c r="B2283" s="15" t="s">
        <v>4514</v>
      </c>
      <c r="C2283" s="16">
        <f>417.8/(1+B2)</f>
        <v>417.8</v>
      </c>
      <c r="D2283" s="17" t="s">
        <v>11</v>
      </c>
      <c r="E2283" s="17" t="s">
        <v>14</v>
      </c>
      <c r="F2283" s="18"/>
      <c r="G2283" s="36" t="str">
        <f>IF(ISNUMBER(F2283),C2283*F2283,"")</f>
        <v/>
      </c>
    </row>
    <row r="2284" spans="1:7" ht="12" customHeight="1" outlineLevel="2" x14ac:dyDescent="0.2">
      <c r="A2284" s="14" t="s">
        <v>4515</v>
      </c>
      <c r="B2284" s="15" t="s">
        <v>4516</v>
      </c>
      <c r="C2284" s="16">
        <f>272.61/(1+B2)</f>
        <v>272.61</v>
      </c>
      <c r="D2284" s="17" t="s">
        <v>11</v>
      </c>
      <c r="E2284" s="17" t="s">
        <v>14</v>
      </c>
      <c r="F2284" s="18"/>
      <c r="G2284" s="36" t="str">
        <f>IF(ISNUMBER(F2284),C2284*F2284,"")</f>
        <v/>
      </c>
    </row>
    <row r="2285" spans="1:7" s="1" customFormat="1" ht="15.95" customHeight="1" x14ac:dyDescent="0.25">
      <c r="A2285" s="8"/>
      <c r="B2285" s="9" t="s">
        <v>4517</v>
      </c>
      <c r="C2285" s="10"/>
      <c r="D2285" s="10"/>
      <c r="E2285" s="10"/>
      <c r="F2285" s="10"/>
      <c r="G2285" s="34"/>
    </row>
    <row r="2286" spans="1:7" ht="24" customHeight="1" outlineLevel="1" x14ac:dyDescent="0.2">
      <c r="A2286" s="14" t="s">
        <v>4518</v>
      </c>
      <c r="B2286" s="15" t="s">
        <v>4519</v>
      </c>
      <c r="C2286" s="16">
        <f>177.95/(1+B2)</f>
        <v>177.95</v>
      </c>
      <c r="D2286" s="17" t="s">
        <v>11</v>
      </c>
      <c r="E2286" s="17"/>
      <c r="F2286" s="18"/>
      <c r="G2286" s="36" t="str">
        <f>IF(ISNUMBER(F2286),C2286*F2286,"")</f>
        <v/>
      </c>
    </row>
    <row r="2287" spans="1:7" ht="24" customHeight="1" outlineLevel="1" x14ac:dyDescent="0.2">
      <c r="A2287" s="14" t="s">
        <v>4520</v>
      </c>
      <c r="B2287" s="15" t="s">
        <v>4521</v>
      </c>
      <c r="C2287" s="16">
        <f>213.83/(1+B2)</f>
        <v>213.83</v>
      </c>
      <c r="D2287" s="17" t="s">
        <v>11</v>
      </c>
      <c r="E2287" s="17"/>
      <c r="F2287" s="18"/>
      <c r="G2287" s="36" t="str">
        <f>IF(ISNUMBER(F2287),C2287*F2287,"")</f>
        <v/>
      </c>
    </row>
    <row r="2288" spans="1:7" ht="12" customHeight="1" outlineLevel="1" x14ac:dyDescent="0.2">
      <c r="A2288" s="14" t="s">
        <v>4522</v>
      </c>
      <c r="B2288" s="15" t="s">
        <v>4523</v>
      </c>
      <c r="C2288" s="16">
        <f>192.6/(1+B2)</f>
        <v>192.6</v>
      </c>
      <c r="D2288" s="17" t="s">
        <v>11</v>
      </c>
      <c r="E2288" s="17"/>
      <c r="F2288" s="18"/>
      <c r="G2288" s="36" t="str">
        <f>IF(ISNUMBER(F2288),C2288*F2288,"")</f>
        <v/>
      </c>
    </row>
    <row r="2289" spans="1:7" ht="12" customHeight="1" outlineLevel="1" x14ac:dyDescent="0.2">
      <c r="A2289" s="14" t="s">
        <v>4524</v>
      </c>
      <c r="B2289" s="15" t="s">
        <v>4525</v>
      </c>
      <c r="C2289" s="16">
        <f>142.74/(1+B2)</f>
        <v>142.74</v>
      </c>
      <c r="D2289" s="17" t="s">
        <v>11</v>
      </c>
      <c r="E2289" s="17"/>
      <c r="F2289" s="18"/>
      <c r="G2289" s="36" t="str">
        <f>IF(ISNUMBER(F2289),C2289*F2289,"")</f>
        <v/>
      </c>
    </row>
    <row r="2290" spans="1:7" ht="12" customHeight="1" outlineLevel="1" x14ac:dyDescent="0.2">
      <c r="A2290" s="14" t="s">
        <v>4526</v>
      </c>
      <c r="B2290" s="15" t="s">
        <v>4527</v>
      </c>
      <c r="C2290" s="16">
        <f>20/(1+B2)</f>
        <v>20</v>
      </c>
      <c r="D2290" s="17" t="s">
        <v>106</v>
      </c>
      <c r="E2290" s="17"/>
      <c r="F2290" s="18"/>
      <c r="G2290" s="36" t="str">
        <f>IF(ISNUMBER(F2290),C2290*F2290,"")</f>
        <v/>
      </c>
    </row>
    <row r="2291" spans="1:7" ht="12" customHeight="1" outlineLevel="1" x14ac:dyDescent="0.2">
      <c r="A2291" s="14" t="s">
        <v>4528</v>
      </c>
      <c r="B2291" s="15" t="s">
        <v>4529</v>
      </c>
      <c r="C2291" s="16">
        <f>247.42/(1+B2)</f>
        <v>247.42</v>
      </c>
      <c r="D2291" s="17" t="s">
        <v>14</v>
      </c>
      <c r="E2291" s="17"/>
      <c r="F2291" s="18"/>
      <c r="G2291" s="36" t="str">
        <f>IF(ISNUMBER(F2291),C2291*F2291,"")</f>
        <v/>
      </c>
    </row>
    <row r="2292" spans="1:7" ht="12" customHeight="1" outlineLevel="1" x14ac:dyDescent="0.2">
      <c r="A2292" s="14" t="s">
        <v>4530</v>
      </c>
      <c r="B2292" s="15" t="s">
        <v>4531</v>
      </c>
      <c r="C2292" s="16">
        <f>295/(1+B2)</f>
        <v>295</v>
      </c>
      <c r="D2292" s="17" t="s">
        <v>11</v>
      </c>
      <c r="E2292" s="17"/>
      <c r="F2292" s="18"/>
      <c r="G2292" s="36" t="str">
        <f>IF(ISNUMBER(F2292),C2292*F2292,"")</f>
        <v/>
      </c>
    </row>
    <row r="2293" spans="1:7" ht="24" customHeight="1" outlineLevel="1" x14ac:dyDescent="0.2">
      <c r="A2293" s="14" t="s">
        <v>4532</v>
      </c>
      <c r="B2293" s="15" t="s">
        <v>4533</v>
      </c>
      <c r="C2293" s="16">
        <f>275.96/(1+B2)</f>
        <v>275.95999999999998</v>
      </c>
      <c r="D2293" s="17" t="s">
        <v>11</v>
      </c>
      <c r="E2293" s="17"/>
      <c r="F2293" s="18"/>
      <c r="G2293" s="36" t="str">
        <f>IF(ISNUMBER(F2293),C2293*F2293,"")</f>
        <v/>
      </c>
    </row>
    <row r="2294" spans="1:7" ht="12" customHeight="1" outlineLevel="1" x14ac:dyDescent="0.2">
      <c r="A2294" s="14" t="s">
        <v>4534</v>
      </c>
      <c r="B2294" s="15" t="s">
        <v>4535</v>
      </c>
      <c r="C2294" s="16">
        <f>237.9/(1+B2)</f>
        <v>237.9</v>
      </c>
      <c r="D2294" s="17" t="s">
        <v>11</v>
      </c>
      <c r="E2294" s="17"/>
      <c r="F2294" s="18"/>
      <c r="G2294" s="36" t="str">
        <f>IF(ISNUMBER(F2294),C2294*F2294,"")</f>
        <v/>
      </c>
    </row>
    <row r="2295" spans="1:7" ht="12" customHeight="1" outlineLevel="1" x14ac:dyDescent="0.2">
      <c r="A2295" s="14" t="s">
        <v>4536</v>
      </c>
      <c r="B2295" s="15" t="s">
        <v>4537</v>
      </c>
      <c r="C2295" s="16">
        <f>295/(1+B2)</f>
        <v>295</v>
      </c>
      <c r="D2295" s="17" t="s">
        <v>11</v>
      </c>
      <c r="E2295" s="17"/>
      <c r="F2295" s="18"/>
      <c r="G2295" s="36" t="str">
        <f>IF(ISNUMBER(F2295),C2295*F2295,"")</f>
        <v/>
      </c>
    </row>
    <row r="2296" spans="1:7" ht="12" customHeight="1" outlineLevel="1" x14ac:dyDescent="0.2">
      <c r="A2296" s="14" t="s">
        <v>4538</v>
      </c>
      <c r="B2296" s="15" t="s">
        <v>4539</v>
      </c>
      <c r="C2296" s="16">
        <f>202.2/(1+B2)</f>
        <v>202.2</v>
      </c>
      <c r="D2296" s="17" t="s">
        <v>11</v>
      </c>
      <c r="E2296" s="17"/>
      <c r="F2296" s="18"/>
      <c r="G2296" s="36" t="str">
        <f>IF(ISNUMBER(F2296),C2296*F2296,"")</f>
        <v/>
      </c>
    </row>
    <row r="2297" spans="1:7" ht="12" customHeight="1" outlineLevel="1" x14ac:dyDescent="0.2">
      <c r="A2297" s="14" t="s">
        <v>4540</v>
      </c>
      <c r="B2297" s="15" t="s">
        <v>4541</v>
      </c>
      <c r="C2297" s="16">
        <f>231.08/(1+B2)</f>
        <v>231.08</v>
      </c>
      <c r="D2297" s="17" t="s">
        <v>11</v>
      </c>
      <c r="E2297" s="17"/>
      <c r="F2297" s="18"/>
      <c r="G2297" s="36" t="str">
        <f>IF(ISNUMBER(F2297),C2297*F2297,"")</f>
        <v/>
      </c>
    </row>
    <row r="2298" spans="1:7" ht="12" customHeight="1" outlineLevel="1" x14ac:dyDescent="0.2">
      <c r="A2298" s="14" t="s">
        <v>4542</v>
      </c>
      <c r="B2298" s="15" t="s">
        <v>4543</v>
      </c>
      <c r="C2298" s="16">
        <f>111.12/(1+B2)</f>
        <v>111.12</v>
      </c>
      <c r="D2298" s="17" t="s">
        <v>11</v>
      </c>
      <c r="E2298" s="17"/>
      <c r="F2298" s="18"/>
      <c r="G2298" s="36" t="str">
        <f>IF(ISNUMBER(F2298),C2298*F2298,"")</f>
        <v/>
      </c>
    </row>
    <row r="2299" spans="1:7" ht="12" customHeight="1" outlineLevel="1" x14ac:dyDescent="0.2">
      <c r="A2299" s="14" t="s">
        <v>4544</v>
      </c>
      <c r="B2299" s="15" t="s">
        <v>4545</v>
      </c>
      <c r="C2299" s="16">
        <f>266.03/(1+B2)</f>
        <v>266.02999999999997</v>
      </c>
      <c r="D2299" s="17" t="s">
        <v>11</v>
      </c>
      <c r="E2299" s="17"/>
      <c r="F2299" s="18"/>
      <c r="G2299" s="36" t="str">
        <f>IF(ISNUMBER(F2299),C2299*F2299,"")</f>
        <v/>
      </c>
    </row>
    <row r="2300" spans="1:7" ht="12" customHeight="1" outlineLevel="1" x14ac:dyDescent="0.2">
      <c r="A2300" s="14" t="s">
        <v>4546</v>
      </c>
      <c r="B2300" s="15" t="s">
        <v>4547</v>
      </c>
      <c r="C2300" s="16">
        <f>150.73/(1+B2)</f>
        <v>150.72999999999999</v>
      </c>
      <c r="D2300" s="17" t="s">
        <v>11</v>
      </c>
      <c r="E2300" s="17"/>
      <c r="F2300" s="18"/>
      <c r="G2300" s="36" t="str">
        <f>IF(ISNUMBER(F2300),C2300*F2300,"")</f>
        <v/>
      </c>
    </row>
    <row r="2301" spans="1:7" ht="12" customHeight="1" outlineLevel="1" x14ac:dyDescent="0.2">
      <c r="A2301" s="14" t="s">
        <v>4548</v>
      </c>
      <c r="B2301" s="15" t="s">
        <v>4549</v>
      </c>
      <c r="C2301" s="16">
        <f>174.88/(1+B2)</f>
        <v>174.88</v>
      </c>
      <c r="D2301" s="17" t="s">
        <v>11</v>
      </c>
      <c r="E2301" s="17"/>
      <c r="F2301" s="18"/>
      <c r="G2301" s="36" t="str">
        <f>IF(ISNUMBER(F2301),C2301*F2301,"")</f>
        <v/>
      </c>
    </row>
    <row r="2302" spans="1:7" ht="12" customHeight="1" outlineLevel="1" x14ac:dyDescent="0.2">
      <c r="A2302" s="14" t="s">
        <v>4550</v>
      </c>
      <c r="B2302" s="15" t="s">
        <v>4551</v>
      </c>
      <c r="C2302" s="16">
        <f>219.82/(1+B2)</f>
        <v>219.82</v>
      </c>
      <c r="D2302" s="17" t="s">
        <v>11</v>
      </c>
      <c r="E2302" s="17"/>
      <c r="F2302" s="18"/>
      <c r="G2302" s="36" t="str">
        <f>IF(ISNUMBER(F2302),C2302*F2302,"")</f>
        <v/>
      </c>
    </row>
    <row r="2303" spans="1:7" ht="12" customHeight="1" outlineLevel="1" x14ac:dyDescent="0.2">
      <c r="A2303" s="14" t="s">
        <v>4552</v>
      </c>
      <c r="B2303" s="15" t="s">
        <v>4553</v>
      </c>
      <c r="C2303" s="16">
        <f>201.8/(1+B2)</f>
        <v>201.8</v>
      </c>
      <c r="D2303" s="17" t="s">
        <v>11</v>
      </c>
      <c r="E2303" s="17"/>
      <c r="F2303" s="18"/>
      <c r="G2303" s="36" t="str">
        <f>IF(ISNUMBER(F2303),C2303*F2303,"")</f>
        <v/>
      </c>
    </row>
    <row r="2304" spans="1:7" ht="24" customHeight="1" outlineLevel="1" x14ac:dyDescent="0.2">
      <c r="A2304" s="14" t="s">
        <v>4554</v>
      </c>
      <c r="B2304" s="15" t="s">
        <v>4555</v>
      </c>
      <c r="C2304" s="16">
        <f>45.67/(1+B2)</f>
        <v>45.67</v>
      </c>
      <c r="D2304" s="17" t="s">
        <v>14</v>
      </c>
      <c r="E2304" s="17"/>
      <c r="F2304" s="18"/>
      <c r="G2304" s="36" t="str">
        <f>IF(ISNUMBER(F2304),C2304*F2304,"")</f>
        <v/>
      </c>
    </row>
    <row r="2305" spans="1:7" ht="24" customHeight="1" outlineLevel="1" x14ac:dyDescent="0.2">
      <c r="A2305" s="14" t="s">
        <v>4556</v>
      </c>
      <c r="B2305" s="15" t="s">
        <v>4557</v>
      </c>
      <c r="C2305" s="16">
        <f>40.99/(1+B2)</f>
        <v>40.99</v>
      </c>
      <c r="D2305" s="17" t="s">
        <v>11</v>
      </c>
      <c r="E2305" s="17"/>
      <c r="F2305" s="18"/>
      <c r="G2305" s="36" t="str">
        <f>IF(ISNUMBER(F2305),C2305*F2305,"")</f>
        <v/>
      </c>
    </row>
    <row r="2306" spans="1:7" ht="12" customHeight="1" outlineLevel="1" x14ac:dyDescent="0.2">
      <c r="A2306" s="14" t="s">
        <v>4558</v>
      </c>
      <c r="B2306" s="15" t="s">
        <v>4559</v>
      </c>
      <c r="C2306" s="16">
        <f>47.12/(1+B2)</f>
        <v>47.12</v>
      </c>
      <c r="D2306" s="17" t="s">
        <v>11</v>
      </c>
      <c r="E2306" s="17"/>
      <c r="F2306" s="18"/>
      <c r="G2306" s="36" t="str">
        <f>IF(ISNUMBER(F2306),C2306*F2306,"")</f>
        <v/>
      </c>
    </row>
    <row r="2307" spans="1:7" ht="24" customHeight="1" outlineLevel="1" x14ac:dyDescent="0.2">
      <c r="A2307" s="14" t="s">
        <v>4560</v>
      </c>
      <c r="B2307" s="15" t="s">
        <v>4561</v>
      </c>
      <c r="C2307" s="16">
        <f>66.02/(1+B2)</f>
        <v>66.02</v>
      </c>
      <c r="D2307" s="17" t="s">
        <v>11</v>
      </c>
      <c r="E2307" s="17"/>
      <c r="F2307" s="18"/>
      <c r="G2307" s="36" t="str">
        <f>IF(ISNUMBER(F2307),C2307*F2307,"")</f>
        <v/>
      </c>
    </row>
    <row r="2308" spans="1:7" ht="12" customHeight="1" outlineLevel="1" x14ac:dyDescent="0.2">
      <c r="A2308" s="14" t="s">
        <v>4562</v>
      </c>
      <c r="B2308" s="15" t="s">
        <v>4563</v>
      </c>
      <c r="C2308" s="16">
        <f>39.81/(1+B2)</f>
        <v>39.81</v>
      </c>
      <c r="D2308" s="17" t="s">
        <v>11</v>
      </c>
      <c r="E2308" s="17"/>
      <c r="F2308" s="18"/>
      <c r="G2308" s="36" t="str">
        <f>IF(ISNUMBER(F2308),C2308*F2308,"")</f>
        <v/>
      </c>
    </row>
    <row r="2309" spans="1:7" ht="24" customHeight="1" outlineLevel="1" x14ac:dyDescent="0.2">
      <c r="A2309" s="14" t="s">
        <v>4564</v>
      </c>
      <c r="B2309" s="15" t="s">
        <v>4565</v>
      </c>
      <c r="C2309" s="16">
        <f>137.67/(1+B2)</f>
        <v>137.66999999999999</v>
      </c>
      <c r="D2309" s="17" t="s">
        <v>11</v>
      </c>
      <c r="E2309" s="17"/>
      <c r="F2309" s="18"/>
      <c r="G2309" s="36" t="str">
        <f>IF(ISNUMBER(F2309),C2309*F2309,"")</f>
        <v/>
      </c>
    </row>
    <row r="2310" spans="1:7" ht="24" customHeight="1" outlineLevel="1" x14ac:dyDescent="0.2">
      <c r="A2310" s="14" t="s">
        <v>4566</v>
      </c>
      <c r="B2310" s="15" t="s">
        <v>4567</v>
      </c>
      <c r="C2310" s="16">
        <f>137.67/(1+B2)</f>
        <v>137.66999999999999</v>
      </c>
      <c r="D2310" s="17" t="s">
        <v>11</v>
      </c>
      <c r="E2310" s="17"/>
      <c r="F2310" s="18"/>
      <c r="G2310" s="36" t="str">
        <f>IF(ISNUMBER(F2310),C2310*F2310,"")</f>
        <v/>
      </c>
    </row>
    <row r="2311" spans="1:7" ht="24" customHeight="1" outlineLevel="1" x14ac:dyDescent="0.2">
      <c r="A2311" s="14" t="s">
        <v>4568</v>
      </c>
      <c r="B2311" s="15" t="s">
        <v>4569</v>
      </c>
      <c r="C2311" s="16">
        <f>115.57/(1+B2)</f>
        <v>115.57</v>
      </c>
      <c r="D2311" s="17" t="s">
        <v>11</v>
      </c>
      <c r="E2311" s="17"/>
      <c r="F2311" s="18"/>
      <c r="G2311" s="36" t="str">
        <f>IF(ISNUMBER(F2311),C2311*F2311,"")</f>
        <v/>
      </c>
    </row>
    <row r="2312" spans="1:7" ht="24" customHeight="1" outlineLevel="1" x14ac:dyDescent="0.2">
      <c r="A2312" s="14" t="s">
        <v>4570</v>
      </c>
      <c r="B2312" s="15" t="s">
        <v>4571</v>
      </c>
      <c r="C2312" s="16">
        <f>114.73/(1+B2)</f>
        <v>114.73</v>
      </c>
      <c r="D2312" s="17" t="s">
        <v>11</v>
      </c>
      <c r="E2312" s="17"/>
      <c r="F2312" s="18"/>
      <c r="G2312" s="36" t="str">
        <f>IF(ISNUMBER(F2312),C2312*F2312,"")</f>
        <v/>
      </c>
    </row>
    <row r="2313" spans="1:7" ht="24" customHeight="1" outlineLevel="1" x14ac:dyDescent="0.2">
      <c r="A2313" s="14" t="s">
        <v>4572</v>
      </c>
      <c r="B2313" s="15" t="s">
        <v>4573</v>
      </c>
      <c r="C2313" s="16">
        <f>93.31/(1+B2)</f>
        <v>93.31</v>
      </c>
      <c r="D2313" s="17" t="s">
        <v>11</v>
      </c>
      <c r="E2313" s="17"/>
      <c r="F2313" s="18"/>
      <c r="G2313" s="36" t="str">
        <f>IF(ISNUMBER(F2313),C2313*F2313,"")</f>
        <v/>
      </c>
    </row>
    <row r="2314" spans="1:7" ht="24" customHeight="1" outlineLevel="1" x14ac:dyDescent="0.2">
      <c r="A2314" s="14" t="s">
        <v>4574</v>
      </c>
      <c r="B2314" s="15" t="s">
        <v>4575</v>
      </c>
      <c r="C2314" s="16">
        <f>88.57/(1+B2)</f>
        <v>88.57</v>
      </c>
      <c r="D2314" s="17" t="s">
        <v>11</v>
      </c>
      <c r="E2314" s="17"/>
      <c r="F2314" s="18"/>
      <c r="G2314" s="36" t="str">
        <f>IF(ISNUMBER(F2314),C2314*F2314,"")</f>
        <v/>
      </c>
    </row>
    <row r="2315" spans="1:7" ht="24" customHeight="1" outlineLevel="1" x14ac:dyDescent="0.2">
      <c r="A2315" s="14" t="s">
        <v>4576</v>
      </c>
      <c r="B2315" s="15" t="s">
        <v>4577</v>
      </c>
      <c r="C2315" s="16">
        <f>94.88/(1+B2)</f>
        <v>94.88</v>
      </c>
      <c r="D2315" s="17" t="s">
        <v>11</v>
      </c>
      <c r="E2315" s="17"/>
      <c r="F2315" s="18"/>
      <c r="G2315" s="36" t="str">
        <f>IF(ISNUMBER(F2315),C2315*F2315,"")</f>
        <v/>
      </c>
    </row>
    <row r="2316" spans="1:7" ht="24" customHeight="1" outlineLevel="1" x14ac:dyDescent="0.2">
      <c r="A2316" s="14" t="s">
        <v>4578</v>
      </c>
      <c r="B2316" s="15" t="s">
        <v>4579</v>
      </c>
      <c r="C2316" s="16">
        <f>287.5/(1+B2)</f>
        <v>287.5</v>
      </c>
      <c r="D2316" s="17" t="s">
        <v>11</v>
      </c>
      <c r="E2316" s="17"/>
      <c r="F2316" s="18"/>
      <c r="G2316" s="36" t="str">
        <f>IF(ISNUMBER(F2316),C2316*F2316,"")</f>
        <v/>
      </c>
    </row>
    <row r="2317" spans="1:7" ht="24" customHeight="1" outlineLevel="1" x14ac:dyDescent="0.2">
      <c r="A2317" s="14" t="s">
        <v>4580</v>
      </c>
      <c r="B2317" s="15" t="s">
        <v>4581</v>
      </c>
      <c r="C2317" s="16">
        <f>76.87/(1+B2)</f>
        <v>76.87</v>
      </c>
      <c r="D2317" s="17" t="s">
        <v>11</v>
      </c>
      <c r="E2317" s="17"/>
      <c r="F2317" s="18"/>
      <c r="G2317" s="36" t="str">
        <f>IF(ISNUMBER(F2317),C2317*F2317,"")</f>
        <v/>
      </c>
    </row>
    <row r="2318" spans="1:7" ht="24" customHeight="1" outlineLevel="1" x14ac:dyDescent="0.2">
      <c r="A2318" s="14" t="s">
        <v>4582</v>
      </c>
      <c r="B2318" s="15" t="s">
        <v>4583</v>
      </c>
      <c r="C2318" s="16">
        <f>52.25/(1+B2)</f>
        <v>52.25</v>
      </c>
      <c r="D2318" s="17" t="s">
        <v>11</v>
      </c>
      <c r="E2318" s="17" t="s">
        <v>11</v>
      </c>
      <c r="F2318" s="18"/>
      <c r="G2318" s="36" t="str">
        <f>IF(ISNUMBER(F2318),C2318*F2318,"")</f>
        <v/>
      </c>
    </row>
    <row r="2319" spans="1:7" ht="24" customHeight="1" outlineLevel="1" x14ac:dyDescent="0.2">
      <c r="A2319" s="14" t="s">
        <v>4584</v>
      </c>
      <c r="B2319" s="15" t="s">
        <v>4585</v>
      </c>
      <c r="C2319" s="16">
        <f>56.28/(1+B2)</f>
        <v>56.28</v>
      </c>
      <c r="D2319" s="17" t="s">
        <v>11</v>
      </c>
      <c r="E2319" s="17"/>
      <c r="F2319" s="18"/>
      <c r="G2319" s="36" t="str">
        <f>IF(ISNUMBER(F2319),C2319*F2319,"")</f>
        <v/>
      </c>
    </row>
    <row r="2320" spans="1:7" ht="24" customHeight="1" outlineLevel="1" x14ac:dyDescent="0.2">
      <c r="A2320" s="14" t="s">
        <v>4586</v>
      </c>
      <c r="B2320" s="15" t="s">
        <v>4587</v>
      </c>
      <c r="C2320" s="16">
        <f>64.06/(1+B2)</f>
        <v>64.06</v>
      </c>
      <c r="D2320" s="17" t="s">
        <v>11</v>
      </c>
      <c r="E2320" s="17"/>
      <c r="F2320" s="18"/>
      <c r="G2320" s="36" t="str">
        <f>IF(ISNUMBER(F2320),C2320*F2320,"")</f>
        <v/>
      </c>
    </row>
    <row r="2321" spans="1:7" ht="24" customHeight="1" outlineLevel="1" x14ac:dyDescent="0.2">
      <c r="A2321" s="14" t="s">
        <v>4588</v>
      </c>
      <c r="B2321" s="15" t="s">
        <v>4589</v>
      </c>
      <c r="C2321" s="16">
        <f>57.35/(1+B2)</f>
        <v>57.35</v>
      </c>
      <c r="D2321" s="17" t="s">
        <v>11</v>
      </c>
      <c r="E2321" s="17"/>
      <c r="F2321" s="18"/>
      <c r="G2321" s="36" t="str">
        <f>IF(ISNUMBER(F2321),C2321*F2321,"")</f>
        <v/>
      </c>
    </row>
    <row r="2322" spans="1:7" ht="24" customHeight="1" outlineLevel="1" x14ac:dyDescent="0.2">
      <c r="A2322" s="14" t="s">
        <v>4590</v>
      </c>
      <c r="B2322" s="15" t="s">
        <v>4591</v>
      </c>
      <c r="C2322" s="16">
        <f>50.24/(1+B2)</f>
        <v>50.24</v>
      </c>
      <c r="D2322" s="17" t="s">
        <v>14</v>
      </c>
      <c r="E2322" s="17"/>
      <c r="F2322" s="18"/>
      <c r="G2322" s="36" t="str">
        <f>IF(ISNUMBER(F2322),C2322*F2322,"")</f>
        <v/>
      </c>
    </row>
    <row r="2323" spans="1:7" ht="24" customHeight="1" outlineLevel="1" x14ac:dyDescent="0.2">
      <c r="A2323" s="14" t="s">
        <v>4592</v>
      </c>
      <c r="B2323" s="15" t="s">
        <v>4593</v>
      </c>
      <c r="C2323" s="16">
        <f>76.87/(1+B2)</f>
        <v>76.87</v>
      </c>
      <c r="D2323" s="17" t="s">
        <v>11</v>
      </c>
      <c r="E2323" s="17"/>
      <c r="F2323" s="18"/>
      <c r="G2323" s="36" t="str">
        <f>IF(ISNUMBER(F2323),C2323*F2323,"")</f>
        <v/>
      </c>
    </row>
    <row r="2324" spans="1:7" ht="24" customHeight="1" outlineLevel="1" x14ac:dyDescent="0.2">
      <c r="A2324" s="14" t="s">
        <v>4594</v>
      </c>
      <c r="B2324" s="15" t="s">
        <v>4595</v>
      </c>
      <c r="C2324" s="16">
        <f>118.76/(1+B2)</f>
        <v>118.76</v>
      </c>
      <c r="D2324" s="17" t="s">
        <v>14</v>
      </c>
      <c r="E2324" s="17"/>
      <c r="F2324" s="18"/>
      <c r="G2324" s="36" t="str">
        <f>IF(ISNUMBER(F2324),C2324*F2324,"")</f>
        <v/>
      </c>
    </row>
    <row r="2325" spans="1:7" ht="24" customHeight="1" outlineLevel="1" x14ac:dyDescent="0.2">
      <c r="A2325" s="14" t="s">
        <v>4596</v>
      </c>
      <c r="B2325" s="15" t="s">
        <v>4597</v>
      </c>
      <c r="C2325" s="16">
        <f>125.61/(1+B2)</f>
        <v>125.61</v>
      </c>
      <c r="D2325" s="17" t="s">
        <v>11</v>
      </c>
      <c r="E2325" s="17"/>
      <c r="F2325" s="18"/>
      <c r="G2325" s="36" t="str">
        <f>IF(ISNUMBER(F2325),C2325*F2325,"")</f>
        <v/>
      </c>
    </row>
    <row r="2326" spans="1:7" ht="24" customHeight="1" outlineLevel="1" x14ac:dyDescent="0.2">
      <c r="A2326" s="14" t="s">
        <v>4598</v>
      </c>
      <c r="B2326" s="15" t="s">
        <v>4599</v>
      </c>
      <c r="C2326" s="16">
        <f>122.62/(1+B2)</f>
        <v>122.62</v>
      </c>
      <c r="D2326" s="17" t="s">
        <v>11</v>
      </c>
      <c r="E2326" s="17"/>
      <c r="F2326" s="18"/>
      <c r="G2326" s="36" t="str">
        <f>IF(ISNUMBER(F2326),C2326*F2326,"")</f>
        <v/>
      </c>
    </row>
    <row r="2327" spans="1:7" ht="24" customHeight="1" outlineLevel="1" x14ac:dyDescent="0.2">
      <c r="A2327" s="14" t="s">
        <v>4600</v>
      </c>
      <c r="B2327" s="15" t="s">
        <v>4601</v>
      </c>
      <c r="C2327" s="16">
        <f>83.63/(1+B2)</f>
        <v>83.63</v>
      </c>
      <c r="D2327" s="17" t="s">
        <v>11</v>
      </c>
      <c r="E2327" s="17"/>
      <c r="F2327" s="18"/>
      <c r="G2327" s="36" t="str">
        <f>IF(ISNUMBER(F2327),C2327*F2327,"")</f>
        <v/>
      </c>
    </row>
    <row r="2328" spans="1:7" ht="24" customHeight="1" outlineLevel="1" x14ac:dyDescent="0.2">
      <c r="A2328" s="14" t="s">
        <v>4602</v>
      </c>
      <c r="B2328" s="15" t="s">
        <v>4603</v>
      </c>
      <c r="C2328" s="16">
        <f>52.25/(1+B2)</f>
        <v>52.25</v>
      </c>
      <c r="D2328" s="17" t="s">
        <v>11</v>
      </c>
      <c r="E2328" s="17" t="s">
        <v>14</v>
      </c>
      <c r="F2328" s="18"/>
      <c r="G2328" s="36" t="str">
        <f>IF(ISNUMBER(F2328),C2328*F2328,"")</f>
        <v/>
      </c>
    </row>
    <row r="2329" spans="1:7" ht="24" customHeight="1" outlineLevel="1" x14ac:dyDescent="0.2">
      <c r="A2329" s="14" t="s">
        <v>4604</v>
      </c>
      <c r="B2329" s="15" t="s">
        <v>4605</v>
      </c>
      <c r="C2329" s="16">
        <f>51.69/(1+B2)</f>
        <v>51.69</v>
      </c>
      <c r="D2329" s="17" t="s">
        <v>11</v>
      </c>
      <c r="E2329" s="17"/>
      <c r="F2329" s="18"/>
      <c r="G2329" s="36" t="str">
        <f>IF(ISNUMBER(F2329),C2329*F2329,"")</f>
        <v/>
      </c>
    </row>
    <row r="2330" spans="1:7" ht="12" customHeight="1" outlineLevel="1" x14ac:dyDescent="0.2">
      <c r="A2330" s="14" t="s">
        <v>4606</v>
      </c>
      <c r="B2330" s="15" t="s">
        <v>4607</v>
      </c>
      <c r="C2330" s="16">
        <f>66.23/(1+B2)</f>
        <v>66.23</v>
      </c>
      <c r="D2330" s="17" t="s">
        <v>14</v>
      </c>
      <c r="E2330" s="17"/>
      <c r="F2330" s="18"/>
      <c r="G2330" s="36" t="str">
        <f>IF(ISNUMBER(F2330),C2330*F2330,"")</f>
        <v/>
      </c>
    </row>
    <row r="2331" spans="1:7" ht="12" customHeight="1" outlineLevel="1" x14ac:dyDescent="0.2">
      <c r="A2331" s="14" t="s">
        <v>4608</v>
      </c>
      <c r="B2331" s="15" t="s">
        <v>4609</v>
      </c>
      <c r="C2331" s="16">
        <f>63.13/(1+B2)</f>
        <v>63.13</v>
      </c>
      <c r="D2331" s="17" t="s">
        <v>14</v>
      </c>
      <c r="E2331" s="17"/>
      <c r="F2331" s="18"/>
      <c r="G2331" s="36" t="str">
        <f>IF(ISNUMBER(F2331),C2331*F2331,"")</f>
        <v/>
      </c>
    </row>
    <row r="2332" spans="1:7" ht="24" customHeight="1" outlineLevel="1" x14ac:dyDescent="0.2">
      <c r="A2332" s="14" t="s">
        <v>4610</v>
      </c>
      <c r="B2332" s="15" t="s">
        <v>4611</v>
      </c>
      <c r="C2332" s="16">
        <f>144.94/(1+B2)</f>
        <v>144.94</v>
      </c>
      <c r="D2332" s="17" t="s">
        <v>11</v>
      </c>
      <c r="E2332" s="17"/>
      <c r="F2332" s="18"/>
      <c r="G2332" s="36" t="str">
        <f>IF(ISNUMBER(F2332),C2332*F2332,"")</f>
        <v/>
      </c>
    </row>
    <row r="2333" spans="1:7" ht="24" customHeight="1" outlineLevel="1" x14ac:dyDescent="0.2">
      <c r="A2333" s="14" t="s">
        <v>4612</v>
      </c>
      <c r="B2333" s="15" t="s">
        <v>4613</v>
      </c>
      <c r="C2333" s="16">
        <f>120.58/(1+B2)</f>
        <v>120.58</v>
      </c>
      <c r="D2333" s="17" t="s">
        <v>11</v>
      </c>
      <c r="E2333" s="17"/>
      <c r="F2333" s="18"/>
      <c r="G2333" s="36" t="str">
        <f>IF(ISNUMBER(F2333),C2333*F2333,"")</f>
        <v/>
      </c>
    </row>
    <row r="2334" spans="1:7" ht="24" customHeight="1" outlineLevel="1" x14ac:dyDescent="0.2">
      <c r="A2334" s="14" t="s">
        <v>4614</v>
      </c>
      <c r="B2334" s="15" t="s">
        <v>4615</v>
      </c>
      <c r="C2334" s="16">
        <f>31.75/(1+B2)</f>
        <v>31.75</v>
      </c>
      <c r="D2334" s="17" t="s">
        <v>11</v>
      </c>
      <c r="E2334" s="17"/>
      <c r="F2334" s="18"/>
      <c r="G2334" s="36" t="str">
        <f>IF(ISNUMBER(F2334),C2334*F2334,"")</f>
        <v/>
      </c>
    </row>
    <row r="2335" spans="1:7" ht="24" customHeight="1" outlineLevel="1" x14ac:dyDescent="0.2">
      <c r="A2335" s="14" t="s">
        <v>4616</v>
      </c>
      <c r="B2335" s="15" t="s">
        <v>4617</v>
      </c>
      <c r="C2335" s="16">
        <f>64.67/(1+B2)</f>
        <v>64.67</v>
      </c>
      <c r="D2335" s="17" t="s">
        <v>11</v>
      </c>
      <c r="E2335" s="17"/>
      <c r="F2335" s="18"/>
      <c r="G2335" s="36" t="str">
        <f>IF(ISNUMBER(F2335),C2335*F2335,"")</f>
        <v/>
      </c>
    </row>
    <row r="2336" spans="1:7" ht="24" customHeight="1" outlineLevel="1" x14ac:dyDescent="0.2">
      <c r="A2336" s="14" t="s">
        <v>4618</v>
      </c>
      <c r="B2336" s="15" t="s">
        <v>4619</v>
      </c>
      <c r="C2336" s="16">
        <f>94.88/(1+B2)</f>
        <v>94.88</v>
      </c>
      <c r="D2336" s="17" t="s">
        <v>14</v>
      </c>
      <c r="E2336" s="17"/>
      <c r="F2336" s="18"/>
      <c r="G2336" s="36" t="str">
        <f>IF(ISNUMBER(F2336),C2336*F2336,"")</f>
        <v/>
      </c>
    </row>
    <row r="2337" spans="1:7" ht="12" customHeight="1" outlineLevel="1" x14ac:dyDescent="0.2">
      <c r="A2337" s="14" t="s">
        <v>4620</v>
      </c>
      <c r="B2337" s="15" t="s">
        <v>4621</v>
      </c>
      <c r="C2337" s="16">
        <f>137.67/(1+B2)</f>
        <v>137.66999999999999</v>
      </c>
      <c r="D2337" s="17" t="s">
        <v>11</v>
      </c>
      <c r="E2337" s="17"/>
      <c r="F2337" s="18"/>
      <c r="G2337" s="36" t="str">
        <f>IF(ISNUMBER(F2337),C2337*F2337,"")</f>
        <v/>
      </c>
    </row>
    <row r="2338" spans="1:7" ht="24" customHeight="1" outlineLevel="1" x14ac:dyDescent="0.2">
      <c r="A2338" s="14" t="s">
        <v>4622</v>
      </c>
      <c r="B2338" s="15" t="s">
        <v>4623</v>
      </c>
      <c r="C2338" s="16">
        <f>47.5/(1+B2)</f>
        <v>47.5</v>
      </c>
      <c r="D2338" s="17" t="s">
        <v>11</v>
      </c>
      <c r="E2338" s="17"/>
      <c r="F2338" s="18"/>
      <c r="G2338" s="36" t="str">
        <f>IF(ISNUMBER(F2338),C2338*F2338,"")</f>
        <v/>
      </c>
    </row>
    <row r="2339" spans="1:7" ht="24" customHeight="1" outlineLevel="1" x14ac:dyDescent="0.2">
      <c r="A2339" s="14" t="s">
        <v>4624</v>
      </c>
      <c r="B2339" s="15" t="s">
        <v>4625</v>
      </c>
      <c r="C2339" s="16">
        <f>70.29/(1+B2)</f>
        <v>70.290000000000006</v>
      </c>
      <c r="D2339" s="17" t="s">
        <v>11</v>
      </c>
      <c r="E2339" s="17"/>
      <c r="F2339" s="18"/>
      <c r="G2339" s="36" t="str">
        <f>IF(ISNUMBER(F2339),C2339*F2339,"")</f>
        <v/>
      </c>
    </row>
    <row r="2340" spans="1:7" ht="24" customHeight="1" outlineLevel="1" x14ac:dyDescent="0.2">
      <c r="A2340" s="14" t="s">
        <v>4626</v>
      </c>
      <c r="B2340" s="15" t="s">
        <v>4627</v>
      </c>
      <c r="C2340" s="16">
        <f>48.14/(1+B2)</f>
        <v>48.14</v>
      </c>
      <c r="D2340" s="17" t="s">
        <v>11</v>
      </c>
      <c r="E2340" s="17"/>
      <c r="F2340" s="18"/>
      <c r="G2340" s="36" t="str">
        <f>IF(ISNUMBER(F2340),C2340*F2340,"")</f>
        <v/>
      </c>
    </row>
    <row r="2341" spans="1:7" ht="24" customHeight="1" outlineLevel="1" x14ac:dyDescent="0.2">
      <c r="A2341" s="14" t="s">
        <v>4628</v>
      </c>
      <c r="B2341" s="15" t="s">
        <v>4629</v>
      </c>
      <c r="C2341" s="16">
        <f>44.48/(1+B2)</f>
        <v>44.48</v>
      </c>
      <c r="D2341" s="17" t="s">
        <v>11</v>
      </c>
      <c r="E2341" s="17"/>
      <c r="F2341" s="18"/>
      <c r="G2341" s="36" t="str">
        <f>IF(ISNUMBER(F2341),C2341*F2341,"")</f>
        <v/>
      </c>
    </row>
    <row r="2342" spans="1:7" ht="24" customHeight="1" outlineLevel="1" x14ac:dyDescent="0.2">
      <c r="A2342" s="14" t="s">
        <v>4630</v>
      </c>
      <c r="B2342" s="15" t="s">
        <v>4631</v>
      </c>
      <c r="C2342" s="16">
        <f>68.33/(1+B2)</f>
        <v>68.33</v>
      </c>
      <c r="D2342" s="17" t="s">
        <v>11</v>
      </c>
      <c r="E2342" s="17"/>
      <c r="F2342" s="18"/>
      <c r="G2342" s="36" t="str">
        <f>IF(ISNUMBER(F2342),C2342*F2342,"")</f>
        <v/>
      </c>
    </row>
    <row r="2343" spans="1:7" ht="24" customHeight="1" outlineLevel="1" x14ac:dyDescent="0.2">
      <c r="A2343" s="14" t="s">
        <v>4632</v>
      </c>
      <c r="B2343" s="15" t="s">
        <v>4633</v>
      </c>
      <c r="C2343" s="16">
        <f>64.69/(1+B2)</f>
        <v>64.69</v>
      </c>
      <c r="D2343" s="17" t="s">
        <v>11</v>
      </c>
      <c r="E2343" s="17"/>
      <c r="F2343" s="18"/>
      <c r="G2343" s="36" t="str">
        <f>IF(ISNUMBER(F2343),C2343*F2343,"")</f>
        <v/>
      </c>
    </row>
    <row r="2344" spans="1:7" ht="24" customHeight="1" outlineLevel="1" x14ac:dyDescent="0.2">
      <c r="A2344" s="14" t="s">
        <v>4634</v>
      </c>
      <c r="B2344" s="15" t="s">
        <v>4635</v>
      </c>
      <c r="C2344" s="16">
        <f>64.31/(1+B2)</f>
        <v>64.31</v>
      </c>
      <c r="D2344" s="17" t="s">
        <v>11</v>
      </c>
      <c r="E2344" s="17"/>
      <c r="F2344" s="18"/>
      <c r="G2344" s="36" t="str">
        <f>IF(ISNUMBER(F2344),C2344*F2344,"")</f>
        <v/>
      </c>
    </row>
    <row r="2345" spans="1:7" ht="24" customHeight="1" outlineLevel="1" x14ac:dyDescent="0.2">
      <c r="A2345" s="14" t="s">
        <v>4636</v>
      </c>
      <c r="B2345" s="15" t="s">
        <v>4637</v>
      </c>
      <c r="C2345" s="16">
        <f>44.22/(1+B2)</f>
        <v>44.22</v>
      </c>
      <c r="D2345" s="17" t="s">
        <v>11</v>
      </c>
      <c r="E2345" s="17"/>
      <c r="F2345" s="18"/>
      <c r="G2345" s="36" t="str">
        <f>IF(ISNUMBER(F2345),C2345*F2345,"")</f>
        <v/>
      </c>
    </row>
    <row r="2346" spans="1:7" ht="24" customHeight="1" outlineLevel="1" x14ac:dyDescent="0.2">
      <c r="A2346" s="14" t="s">
        <v>4638</v>
      </c>
      <c r="B2346" s="15" t="s">
        <v>4639</v>
      </c>
      <c r="C2346" s="16">
        <f>72.38/(1+B2)</f>
        <v>72.38</v>
      </c>
      <c r="D2346" s="17" t="s">
        <v>11</v>
      </c>
      <c r="E2346" s="17"/>
      <c r="F2346" s="18"/>
      <c r="G2346" s="36" t="str">
        <f>IF(ISNUMBER(F2346),C2346*F2346,"")</f>
        <v/>
      </c>
    </row>
    <row r="2347" spans="1:7" ht="24" customHeight="1" outlineLevel="1" x14ac:dyDescent="0.2">
      <c r="A2347" s="14" t="s">
        <v>4640</v>
      </c>
      <c r="B2347" s="15" t="s">
        <v>4641</v>
      </c>
      <c r="C2347" s="16">
        <f>46.22/(1+B2)</f>
        <v>46.22</v>
      </c>
      <c r="D2347" s="17" t="s">
        <v>11</v>
      </c>
      <c r="E2347" s="17"/>
      <c r="F2347" s="18"/>
      <c r="G2347" s="36" t="str">
        <f>IF(ISNUMBER(F2347),C2347*F2347,"")</f>
        <v/>
      </c>
    </row>
    <row r="2348" spans="1:7" ht="24" customHeight="1" outlineLevel="1" x14ac:dyDescent="0.2">
      <c r="A2348" s="14" t="s">
        <v>4642</v>
      </c>
      <c r="B2348" s="15" t="s">
        <v>4643</v>
      </c>
      <c r="C2348" s="16">
        <f>45.67/(1+B2)</f>
        <v>45.67</v>
      </c>
      <c r="D2348" s="17" t="s">
        <v>11</v>
      </c>
      <c r="E2348" s="17"/>
      <c r="F2348" s="18"/>
      <c r="G2348" s="36" t="str">
        <f>IF(ISNUMBER(F2348),C2348*F2348,"")</f>
        <v/>
      </c>
    </row>
    <row r="2349" spans="1:7" ht="24" customHeight="1" outlineLevel="1" x14ac:dyDescent="0.2">
      <c r="A2349" s="14" t="s">
        <v>4644</v>
      </c>
      <c r="B2349" s="15" t="s">
        <v>4645</v>
      </c>
      <c r="C2349" s="16">
        <f>75.25/(1+B2)</f>
        <v>75.25</v>
      </c>
      <c r="D2349" s="17" t="s">
        <v>11</v>
      </c>
      <c r="E2349" s="17"/>
      <c r="F2349" s="18"/>
      <c r="G2349" s="36" t="str">
        <f>IF(ISNUMBER(F2349),C2349*F2349,"")</f>
        <v/>
      </c>
    </row>
    <row r="2350" spans="1:7" ht="12" customHeight="1" outlineLevel="1" x14ac:dyDescent="0.2">
      <c r="A2350" s="14" t="s">
        <v>4646</v>
      </c>
      <c r="B2350" s="15" t="s">
        <v>4647</v>
      </c>
      <c r="C2350" s="16">
        <f>54.18/(1+B2)</f>
        <v>54.18</v>
      </c>
      <c r="D2350" s="17" t="s">
        <v>11</v>
      </c>
      <c r="E2350" s="17"/>
      <c r="F2350" s="18"/>
      <c r="G2350" s="36" t="str">
        <f>IF(ISNUMBER(F2350),C2350*F2350,"")</f>
        <v/>
      </c>
    </row>
    <row r="2351" spans="1:7" ht="12" customHeight="1" outlineLevel="1" x14ac:dyDescent="0.2">
      <c r="A2351" s="14" t="s">
        <v>4648</v>
      </c>
      <c r="B2351" s="15" t="s">
        <v>4649</v>
      </c>
      <c r="C2351" s="16">
        <f>136.82/(1+B2)</f>
        <v>136.82</v>
      </c>
      <c r="D2351" s="17" t="s">
        <v>11</v>
      </c>
      <c r="E2351" s="17"/>
      <c r="F2351" s="18"/>
      <c r="G2351" s="36" t="str">
        <f>IF(ISNUMBER(F2351),C2351*F2351,"")</f>
        <v/>
      </c>
    </row>
    <row r="2352" spans="1:7" ht="24" customHeight="1" outlineLevel="1" x14ac:dyDescent="0.2">
      <c r="A2352" s="14" t="s">
        <v>4650</v>
      </c>
      <c r="B2352" s="15" t="s">
        <v>4651</v>
      </c>
      <c r="C2352" s="16">
        <f>162.45/(1+B2)</f>
        <v>162.44999999999999</v>
      </c>
      <c r="D2352" s="17" t="s">
        <v>11</v>
      </c>
      <c r="E2352" s="17"/>
      <c r="F2352" s="18"/>
      <c r="G2352" s="36" t="str">
        <f>IF(ISNUMBER(F2352),C2352*F2352,"")</f>
        <v/>
      </c>
    </row>
    <row r="2353" spans="1:7" s="1" customFormat="1" ht="15.95" customHeight="1" x14ac:dyDescent="0.25">
      <c r="A2353" s="8"/>
      <c r="B2353" s="9" t="s">
        <v>4652</v>
      </c>
      <c r="C2353" s="10"/>
      <c r="D2353" s="10"/>
      <c r="E2353" s="10"/>
      <c r="F2353" s="10"/>
      <c r="G2353" s="34"/>
    </row>
    <row r="2354" spans="1:7" ht="12" customHeight="1" outlineLevel="1" x14ac:dyDescent="0.2">
      <c r="A2354" s="14" t="s">
        <v>4653</v>
      </c>
      <c r="B2354" s="15" t="s">
        <v>4654</v>
      </c>
      <c r="C2354" s="16">
        <f>647.16/(1+B2)</f>
        <v>647.16</v>
      </c>
      <c r="D2354" s="17" t="s">
        <v>11</v>
      </c>
      <c r="E2354" s="17" t="s">
        <v>11</v>
      </c>
      <c r="F2354" s="18"/>
      <c r="G2354" s="36" t="str">
        <f>IF(ISNUMBER(F2354),C2354*F2354,"")</f>
        <v/>
      </c>
    </row>
    <row r="2355" spans="1:7" ht="12" customHeight="1" outlineLevel="1" x14ac:dyDescent="0.2">
      <c r="A2355" s="14" t="s">
        <v>4655</v>
      </c>
      <c r="B2355" s="15" t="s">
        <v>4656</v>
      </c>
      <c r="C2355" s="16">
        <f>73.16/(1+B2)</f>
        <v>73.16</v>
      </c>
      <c r="D2355" s="17" t="s">
        <v>11</v>
      </c>
      <c r="E2355" s="17" t="s">
        <v>53</v>
      </c>
      <c r="F2355" s="18"/>
      <c r="G2355" s="36" t="str">
        <f>IF(ISNUMBER(F2355),C2355*F2355,"")</f>
        <v/>
      </c>
    </row>
    <row r="2356" spans="1:7" s="1" customFormat="1" ht="15.95" customHeight="1" x14ac:dyDescent="0.25">
      <c r="A2356" s="8"/>
      <c r="B2356" s="9" t="s">
        <v>4657</v>
      </c>
      <c r="C2356" s="10"/>
      <c r="D2356" s="10"/>
      <c r="E2356" s="10"/>
      <c r="F2356" s="10"/>
      <c r="G2356" s="34"/>
    </row>
    <row r="2357" spans="1:7" s="1" customFormat="1" ht="15.95" customHeight="1" outlineLevel="1" x14ac:dyDescent="0.25">
      <c r="A2357" s="11"/>
      <c r="B2357" s="12" t="s">
        <v>4658</v>
      </c>
      <c r="C2357" s="13"/>
      <c r="D2357" s="13"/>
      <c r="E2357" s="13"/>
      <c r="F2357" s="13"/>
      <c r="G2357" s="35"/>
    </row>
    <row r="2358" spans="1:7" ht="12" customHeight="1" outlineLevel="2" x14ac:dyDescent="0.2">
      <c r="A2358" s="14" t="s">
        <v>4659</v>
      </c>
      <c r="B2358" s="15" t="s">
        <v>4660</v>
      </c>
      <c r="C2358" s="16">
        <f>985.4/(1+B2)</f>
        <v>985.4</v>
      </c>
      <c r="D2358" s="17" t="s">
        <v>11</v>
      </c>
      <c r="E2358" s="17"/>
      <c r="F2358" s="18"/>
      <c r="G2358" s="36" t="str">
        <f>IF(ISNUMBER(F2358),C2358*F2358,"")</f>
        <v/>
      </c>
    </row>
    <row r="2359" spans="1:7" ht="12" customHeight="1" outlineLevel="2" x14ac:dyDescent="0.2">
      <c r="A2359" s="14" t="s">
        <v>4661</v>
      </c>
      <c r="B2359" s="15" t="s">
        <v>4662</v>
      </c>
      <c r="C2359" s="19">
        <f>1037.5/(1+B2)</f>
        <v>1037.5</v>
      </c>
      <c r="D2359" s="17" t="s">
        <v>11</v>
      </c>
      <c r="E2359" s="17"/>
      <c r="F2359" s="18"/>
      <c r="G2359" s="36" t="str">
        <f>IF(ISNUMBER(F2359),C2359*F2359,"")</f>
        <v/>
      </c>
    </row>
    <row r="2360" spans="1:7" ht="12" customHeight="1" outlineLevel="2" x14ac:dyDescent="0.2">
      <c r="A2360" s="14" t="s">
        <v>4663</v>
      </c>
      <c r="B2360" s="15" t="s">
        <v>4664</v>
      </c>
      <c r="C2360" s="16">
        <f>920.4/(1+B2)</f>
        <v>920.4</v>
      </c>
      <c r="D2360" s="17" t="s">
        <v>11</v>
      </c>
      <c r="E2360" s="17"/>
      <c r="F2360" s="18"/>
      <c r="G2360" s="36" t="str">
        <f>IF(ISNUMBER(F2360),C2360*F2360,"")</f>
        <v/>
      </c>
    </row>
    <row r="2361" spans="1:7" ht="24" customHeight="1" outlineLevel="2" x14ac:dyDescent="0.2">
      <c r="A2361" s="14" t="s">
        <v>4665</v>
      </c>
      <c r="B2361" s="15" t="s">
        <v>4666</v>
      </c>
      <c r="C2361" s="19">
        <f>1080/(1+B2)</f>
        <v>1080</v>
      </c>
      <c r="D2361" s="17" t="s">
        <v>11</v>
      </c>
      <c r="E2361" s="17"/>
      <c r="F2361" s="18"/>
      <c r="G2361" s="36" t="str">
        <f>IF(ISNUMBER(F2361),C2361*F2361,"")</f>
        <v/>
      </c>
    </row>
    <row r="2362" spans="1:7" ht="24" customHeight="1" outlineLevel="2" x14ac:dyDescent="0.2">
      <c r="A2362" s="14" t="s">
        <v>4667</v>
      </c>
      <c r="B2362" s="15" t="s">
        <v>4668</v>
      </c>
      <c r="C2362" s="19">
        <f>1482/(1+B2)</f>
        <v>1482</v>
      </c>
      <c r="D2362" s="17" t="s">
        <v>11</v>
      </c>
      <c r="E2362" s="17"/>
      <c r="F2362" s="18"/>
      <c r="G2362" s="36" t="str">
        <f>IF(ISNUMBER(F2362),C2362*F2362,"")</f>
        <v/>
      </c>
    </row>
    <row r="2363" spans="1:7" ht="12" customHeight="1" outlineLevel="2" x14ac:dyDescent="0.2">
      <c r="A2363" s="14" t="s">
        <v>4669</v>
      </c>
      <c r="B2363" s="15" t="s">
        <v>4670</v>
      </c>
      <c r="C2363" s="19">
        <f>1387.5/(1+B2)</f>
        <v>1387.5</v>
      </c>
      <c r="D2363" s="17" t="s">
        <v>11</v>
      </c>
      <c r="E2363" s="17"/>
      <c r="F2363" s="18"/>
      <c r="G2363" s="36" t="str">
        <f>IF(ISNUMBER(F2363),C2363*F2363,"")</f>
        <v/>
      </c>
    </row>
    <row r="2364" spans="1:7" ht="12" customHeight="1" outlineLevel="2" x14ac:dyDescent="0.2">
      <c r="A2364" s="14" t="s">
        <v>4671</v>
      </c>
      <c r="B2364" s="15" t="s">
        <v>4672</v>
      </c>
      <c r="C2364" s="19">
        <f>1058.2/(1+B2)</f>
        <v>1058.2</v>
      </c>
      <c r="D2364" s="17" t="s">
        <v>11</v>
      </c>
      <c r="E2364" s="17"/>
      <c r="F2364" s="18"/>
      <c r="G2364" s="36" t="str">
        <f>IF(ISNUMBER(F2364),C2364*F2364,"")</f>
        <v/>
      </c>
    </row>
    <row r="2365" spans="1:7" ht="24" customHeight="1" outlineLevel="2" x14ac:dyDescent="0.2">
      <c r="A2365" s="14" t="s">
        <v>4673</v>
      </c>
      <c r="B2365" s="15" t="s">
        <v>4674</v>
      </c>
      <c r="C2365" s="19">
        <f>1544.4/(1+B2)</f>
        <v>1544.4</v>
      </c>
      <c r="D2365" s="17" t="s">
        <v>11</v>
      </c>
      <c r="E2365" s="17"/>
      <c r="F2365" s="18"/>
      <c r="G2365" s="36" t="str">
        <f>IF(ISNUMBER(F2365),C2365*F2365,"")</f>
        <v/>
      </c>
    </row>
    <row r="2366" spans="1:7" ht="12" customHeight="1" outlineLevel="2" x14ac:dyDescent="0.2">
      <c r="A2366" s="14" t="s">
        <v>4675</v>
      </c>
      <c r="B2366" s="15" t="s">
        <v>4676</v>
      </c>
      <c r="C2366" s="16">
        <f>912.5/(1+B2)</f>
        <v>912.5</v>
      </c>
      <c r="D2366" s="17" t="s">
        <v>11</v>
      </c>
      <c r="E2366" s="17"/>
      <c r="F2366" s="18"/>
      <c r="G2366" s="36" t="str">
        <f>IF(ISNUMBER(F2366),C2366*F2366,"")</f>
        <v/>
      </c>
    </row>
    <row r="2367" spans="1:7" ht="24" customHeight="1" outlineLevel="2" x14ac:dyDescent="0.2">
      <c r="A2367" s="14" t="s">
        <v>4677</v>
      </c>
      <c r="B2367" s="15" t="s">
        <v>4678</v>
      </c>
      <c r="C2367" s="19">
        <f>1430/(1+B2)</f>
        <v>1430</v>
      </c>
      <c r="D2367" s="17" t="s">
        <v>11</v>
      </c>
      <c r="E2367" s="17"/>
      <c r="F2367" s="18"/>
      <c r="G2367" s="36" t="str">
        <f>IF(ISNUMBER(F2367),C2367*F2367,"")</f>
        <v/>
      </c>
    </row>
    <row r="2368" spans="1:7" ht="12" customHeight="1" outlineLevel="2" x14ac:dyDescent="0.2">
      <c r="A2368" s="14" t="s">
        <v>4679</v>
      </c>
      <c r="B2368" s="15" t="s">
        <v>4680</v>
      </c>
      <c r="C2368" s="16">
        <f>758.75/(1+B2)</f>
        <v>758.75</v>
      </c>
      <c r="D2368" s="17" t="s">
        <v>11</v>
      </c>
      <c r="E2368" s="17"/>
      <c r="F2368" s="18"/>
      <c r="G2368" s="36" t="str">
        <f>IF(ISNUMBER(F2368),C2368*F2368,"")</f>
        <v/>
      </c>
    </row>
    <row r="2369" spans="1:7" ht="24" customHeight="1" outlineLevel="2" x14ac:dyDescent="0.2">
      <c r="A2369" s="14" t="s">
        <v>4681</v>
      </c>
      <c r="B2369" s="15" t="s">
        <v>4682</v>
      </c>
      <c r="C2369" s="19">
        <f>1150/(1+B2)</f>
        <v>1150</v>
      </c>
      <c r="D2369" s="17" t="s">
        <v>11</v>
      </c>
      <c r="E2369" s="17"/>
      <c r="F2369" s="18"/>
      <c r="G2369" s="36" t="str">
        <f>IF(ISNUMBER(F2369),C2369*F2369,"")</f>
        <v/>
      </c>
    </row>
    <row r="2370" spans="1:7" ht="12" customHeight="1" outlineLevel="2" x14ac:dyDescent="0.2">
      <c r="A2370" s="14" t="s">
        <v>4683</v>
      </c>
      <c r="B2370" s="15" t="s">
        <v>4684</v>
      </c>
      <c r="C2370" s="16">
        <f>906.1/(1+B2)</f>
        <v>906.1</v>
      </c>
      <c r="D2370" s="17" t="s">
        <v>11</v>
      </c>
      <c r="E2370" s="17"/>
      <c r="F2370" s="18"/>
      <c r="G2370" s="36" t="str">
        <f>IF(ISNUMBER(F2370),C2370*F2370,"")</f>
        <v/>
      </c>
    </row>
    <row r="2371" spans="1:7" ht="12" customHeight="1" outlineLevel="2" x14ac:dyDescent="0.2">
      <c r="A2371" s="14" t="s">
        <v>4685</v>
      </c>
      <c r="B2371" s="15" t="s">
        <v>4686</v>
      </c>
      <c r="C2371" s="19">
        <f>1052.5/(1+B2)</f>
        <v>1052.5</v>
      </c>
      <c r="D2371" s="17" t="s">
        <v>11</v>
      </c>
      <c r="E2371" s="17"/>
      <c r="F2371" s="18"/>
      <c r="G2371" s="36" t="str">
        <f>IF(ISNUMBER(F2371),C2371*F2371,"")</f>
        <v/>
      </c>
    </row>
    <row r="2372" spans="1:7" ht="24" customHeight="1" outlineLevel="2" x14ac:dyDescent="0.2">
      <c r="A2372" s="14" t="s">
        <v>4687</v>
      </c>
      <c r="B2372" s="15" t="s">
        <v>4688</v>
      </c>
      <c r="C2372" s="19">
        <f>1450/(1+B2)</f>
        <v>1450</v>
      </c>
      <c r="D2372" s="17" t="s">
        <v>11</v>
      </c>
      <c r="E2372" s="17"/>
      <c r="F2372" s="18"/>
      <c r="G2372" s="36" t="str">
        <f>IF(ISNUMBER(F2372),C2372*F2372,"")</f>
        <v/>
      </c>
    </row>
    <row r="2373" spans="1:7" ht="24" customHeight="1" outlineLevel="2" x14ac:dyDescent="0.2">
      <c r="A2373" s="14" t="s">
        <v>4689</v>
      </c>
      <c r="B2373" s="15" t="s">
        <v>4690</v>
      </c>
      <c r="C2373" s="19">
        <f>1240/(1+B2)</f>
        <v>1240</v>
      </c>
      <c r="D2373" s="17" t="s">
        <v>11</v>
      </c>
      <c r="E2373" s="17"/>
      <c r="F2373" s="18"/>
      <c r="G2373" s="36" t="str">
        <f>IF(ISNUMBER(F2373),C2373*F2373,"")</f>
        <v/>
      </c>
    </row>
    <row r="2374" spans="1:7" ht="24" customHeight="1" outlineLevel="2" x14ac:dyDescent="0.2">
      <c r="A2374" s="14" t="s">
        <v>4691</v>
      </c>
      <c r="B2374" s="15" t="s">
        <v>4692</v>
      </c>
      <c r="C2374" s="19">
        <f>1693.75/(1+B2)</f>
        <v>1693.75</v>
      </c>
      <c r="D2374" s="17" t="s">
        <v>11</v>
      </c>
      <c r="E2374" s="17"/>
      <c r="F2374" s="18"/>
      <c r="G2374" s="36" t="str">
        <f>IF(ISNUMBER(F2374),C2374*F2374,"")</f>
        <v/>
      </c>
    </row>
    <row r="2375" spans="1:7" ht="24" customHeight="1" outlineLevel="2" x14ac:dyDescent="0.2">
      <c r="A2375" s="14" t="s">
        <v>4693</v>
      </c>
      <c r="B2375" s="15" t="s">
        <v>4694</v>
      </c>
      <c r="C2375" s="19">
        <f>1963/(1+B2)</f>
        <v>1963</v>
      </c>
      <c r="D2375" s="17" t="s">
        <v>11</v>
      </c>
      <c r="E2375" s="17"/>
      <c r="F2375" s="18"/>
      <c r="G2375" s="36" t="str">
        <f>IF(ISNUMBER(F2375),C2375*F2375,"")</f>
        <v/>
      </c>
    </row>
    <row r="2376" spans="1:7" s="1" customFormat="1" ht="15.95" customHeight="1" outlineLevel="1" x14ac:dyDescent="0.25">
      <c r="A2376" s="11"/>
      <c r="B2376" s="12" t="s">
        <v>4695</v>
      </c>
      <c r="C2376" s="13"/>
      <c r="D2376" s="13"/>
      <c r="E2376" s="13"/>
      <c r="F2376" s="13"/>
      <c r="G2376" s="35"/>
    </row>
    <row r="2377" spans="1:7" ht="12" customHeight="1" outlineLevel="2" x14ac:dyDescent="0.2">
      <c r="A2377" s="14" t="s">
        <v>4696</v>
      </c>
      <c r="B2377" s="15" t="s">
        <v>4697</v>
      </c>
      <c r="C2377" s="16">
        <f>81.9/(1+B2)</f>
        <v>81.900000000000006</v>
      </c>
      <c r="D2377" s="17" t="s">
        <v>11</v>
      </c>
      <c r="E2377" s="17" t="s">
        <v>11</v>
      </c>
      <c r="F2377" s="18"/>
      <c r="G2377" s="36" t="str">
        <f>IF(ISNUMBER(F2377),C2377*F2377,"")</f>
        <v/>
      </c>
    </row>
    <row r="2378" spans="1:7" ht="12" customHeight="1" outlineLevel="2" x14ac:dyDescent="0.2">
      <c r="A2378" s="14" t="s">
        <v>4698</v>
      </c>
      <c r="B2378" s="15" t="s">
        <v>4699</v>
      </c>
      <c r="C2378" s="16">
        <f>101.4/(1+B2)</f>
        <v>101.4</v>
      </c>
      <c r="D2378" s="17" t="s">
        <v>11</v>
      </c>
      <c r="E2378" s="17" t="s">
        <v>11</v>
      </c>
      <c r="F2378" s="18"/>
      <c r="G2378" s="36" t="str">
        <f>IF(ISNUMBER(F2378),C2378*F2378,"")</f>
        <v/>
      </c>
    </row>
    <row r="2379" spans="1:7" ht="12" customHeight="1" outlineLevel="2" x14ac:dyDescent="0.2">
      <c r="A2379" s="14" t="s">
        <v>4700</v>
      </c>
      <c r="B2379" s="15" t="s">
        <v>4701</v>
      </c>
      <c r="C2379" s="16">
        <f>105.3/(1+B2)</f>
        <v>105.3</v>
      </c>
      <c r="D2379" s="17" t="s">
        <v>11</v>
      </c>
      <c r="E2379" s="17" t="s">
        <v>11</v>
      </c>
      <c r="F2379" s="18"/>
      <c r="G2379" s="36" t="str">
        <f>IF(ISNUMBER(F2379),C2379*F2379,"")</f>
        <v/>
      </c>
    </row>
    <row r="2380" spans="1:7" ht="12" customHeight="1" outlineLevel="2" x14ac:dyDescent="0.2">
      <c r="A2380" s="14" t="s">
        <v>4702</v>
      </c>
      <c r="B2380" s="15" t="s">
        <v>4703</v>
      </c>
      <c r="C2380" s="16">
        <f>114.4/(1+B2)</f>
        <v>114.4</v>
      </c>
      <c r="D2380" s="17" t="s">
        <v>11</v>
      </c>
      <c r="E2380" s="17" t="s">
        <v>11</v>
      </c>
      <c r="F2380" s="18"/>
      <c r="G2380" s="36" t="str">
        <f>IF(ISNUMBER(F2380),C2380*F2380,"")</f>
        <v/>
      </c>
    </row>
    <row r="2381" spans="1:7" ht="12" customHeight="1" outlineLevel="2" x14ac:dyDescent="0.2">
      <c r="A2381" s="14" t="s">
        <v>4704</v>
      </c>
      <c r="B2381" s="15" t="s">
        <v>4705</v>
      </c>
      <c r="C2381" s="16">
        <f>119.6/(1+B2)</f>
        <v>119.6</v>
      </c>
      <c r="D2381" s="17" t="s">
        <v>11</v>
      </c>
      <c r="E2381" s="17" t="s">
        <v>11</v>
      </c>
      <c r="F2381" s="18"/>
      <c r="G2381" s="36" t="str">
        <f>IF(ISNUMBER(F2381),C2381*F2381,"")</f>
        <v/>
      </c>
    </row>
    <row r="2382" spans="1:7" ht="12" customHeight="1" outlineLevel="2" x14ac:dyDescent="0.2">
      <c r="A2382" s="14" t="s">
        <v>4706</v>
      </c>
      <c r="B2382" s="15" t="s">
        <v>4707</v>
      </c>
      <c r="C2382" s="16">
        <f>118.75/(1+B2)</f>
        <v>118.75</v>
      </c>
      <c r="D2382" s="17" t="s">
        <v>11</v>
      </c>
      <c r="E2382" s="17" t="s">
        <v>11</v>
      </c>
      <c r="F2382" s="18"/>
      <c r="G2382" s="36" t="str">
        <f>IF(ISNUMBER(F2382),C2382*F2382,"")</f>
        <v/>
      </c>
    </row>
    <row r="2383" spans="1:7" ht="12" customHeight="1" outlineLevel="2" x14ac:dyDescent="0.2">
      <c r="A2383" s="14" t="s">
        <v>4708</v>
      </c>
      <c r="B2383" s="15" t="s">
        <v>4709</v>
      </c>
      <c r="C2383" s="16">
        <f>121.25/(1+B2)</f>
        <v>121.25</v>
      </c>
      <c r="D2383" s="17" t="s">
        <v>11</v>
      </c>
      <c r="E2383" s="17"/>
      <c r="F2383" s="18"/>
      <c r="G2383" s="36" t="str">
        <f>IF(ISNUMBER(F2383),C2383*F2383,"")</f>
        <v/>
      </c>
    </row>
    <row r="2384" spans="1:7" ht="12" customHeight="1" outlineLevel="2" x14ac:dyDescent="0.2">
      <c r="A2384" s="14" t="s">
        <v>4710</v>
      </c>
      <c r="B2384" s="15" t="s">
        <v>4711</v>
      </c>
      <c r="C2384" s="16">
        <f>136.5/(1+B2)</f>
        <v>136.5</v>
      </c>
      <c r="D2384" s="17" t="s">
        <v>11</v>
      </c>
      <c r="E2384" s="17" t="s">
        <v>11</v>
      </c>
      <c r="F2384" s="18"/>
      <c r="G2384" s="36" t="str">
        <f>IF(ISNUMBER(F2384),C2384*F2384,"")</f>
        <v/>
      </c>
    </row>
    <row r="2385" spans="1:7" ht="12" customHeight="1" outlineLevel="2" x14ac:dyDescent="0.2">
      <c r="A2385" s="14" t="s">
        <v>4712</v>
      </c>
      <c r="B2385" s="15" t="s">
        <v>4713</v>
      </c>
      <c r="C2385" s="16">
        <f>141.25/(1+B2)</f>
        <v>141.25</v>
      </c>
      <c r="D2385" s="17" t="s">
        <v>11</v>
      </c>
      <c r="E2385" s="17"/>
      <c r="F2385" s="18"/>
      <c r="G2385" s="36" t="str">
        <f>IF(ISNUMBER(F2385),C2385*F2385,"")</f>
        <v/>
      </c>
    </row>
    <row r="2386" spans="1:7" ht="12" customHeight="1" outlineLevel="2" x14ac:dyDescent="0.2">
      <c r="A2386" s="14" t="s">
        <v>4714</v>
      </c>
      <c r="B2386" s="15" t="s">
        <v>4715</v>
      </c>
      <c r="C2386" s="16">
        <f>197.5/(1+B2)</f>
        <v>197.5</v>
      </c>
      <c r="D2386" s="17" t="s">
        <v>11</v>
      </c>
      <c r="E2386" s="17" t="s">
        <v>14</v>
      </c>
      <c r="F2386" s="18"/>
      <c r="G2386" s="36" t="str">
        <f>IF(ISNUMBER(F2386),C2386*F2386,"")</f>
        <v/>
      </c>
    </row>
    <row r="2387" spans="1:7" ht="12" customHeight="1" outlineLevel="2" x14ac:dyDescent="0.2">
      <c r="A2387" s="14" t="s">
        <v>4716</v>
      </c>
      <c r="B2387" s="15" t="s">
        <v>4717</v>
      </c>
      <c r="C2387" s="16">
        <f>131.25/(1+B2)</f>
        <v>131.25</v>
      </c>
      <c r="D2387" s="17" t="s">
        <v>11</v>
      </c>
      <c r="E2387" s="17"/>
      <c r="F2387" s="18"/>
      <c r="G2387" s="36" t="str">
        <f>IF(ISNUMBER(F2387),C2387*F2387,"")</f>
        <v/>
      </c>
    </row>
    <row r="2388" spans="1:7" ht="12" customHeight="1" outlineLevel="2" x14ac:dyDescent="0.2">
      <c r="A2388" s="14" t="s">
        <v>4718</v>
      </c>
      <c r="B2388" s="15" t="s">
        <v>4719</v>
      </c>
      <c r="C2388" s="16">
        <f>169/(1+B2)</f>
        <v>169</v>
      </c>
      <c r="D2388" s="17" t="s">
        <v>11</v>
      </c>
      <c r="E2388" s="17"/>
      <c r="F2388" s="18"/>
      <c r="G2388" s="36" t="str">
        <f>IF(ISNUMBER(F2388),C2388*F2388,"")</f>
        <v/>
      </c>
    </row>
    <row r="2389" spans="1:7" ht="12" customHeight="1" outlineLevel="2" x14ac:dyDescent="0.2">
      <c r="A2389" s="14" t="s">
        <v>4720</v>
      </c>
      <c r="B2389" s="15" t="s">
        <v>4721</v>
      </c>
      <c r="C2389" s="16">
        <f>168.75/(1+B2)</f>
        <v>168.75</v>
      </c>
      <c r="D2389" s="17" t="s">
        <v>11</v>
      </c>
      <c r="E2389" s="17" t="s">
        <v>14</v>
      </c>
      <c r="F2389" s="18"/>
      <c r="G2389" s="36" t="str">
        <f>IF(ISNUMBER(F2389),C2389*F2389,"")</f>
        <v/>
      </c>
    </row>
    <row r="2390" spans="1:7" ht="12" customHeight="1" outlineLevel="2" x14ac:dyDescent="0.2">
      <c r="A2390" s="14" t="s">
        <v>4722</v>
      </c>
      <c r="B2390" s="15" t="s">
        <v>4723</v>
      </c>
      <c r="C2390" s="16">
        <f>183.75/(1+B2)</f>
        <v>183.75</v>
      </c>
      <c r="D2390" s="17" t="s">
        <v>11</v>
      </c>
      <c r="E2390" s="17" t="s">
        <v>11</v>
      </c>
      <c r="F2390" s="18"/>
      <c r="G2390" s="36" t="str">
        <f>IF(ISNUMBER(F2390),C2390*F2390,"")</f>
        <v/>
      </c>
    </row>
    <row r="2391" spans="1:7" ht="12" customHeight="1" outlineLevel="2" x14ac:dyDescent="0.2">
      <c r="A2391" s="14" t="s">
        <v>4724</v>
      </c>
      <c r="B2391" s="15" t="s">
        <v>4725</v>
      </c>
      <c r="C2391" s="16">
        <f>191.25/(1+B2)</f>
        <v>191.25</v>
      </c>
      <c r="D2391" s="17" t="s">
        <v>11</v>
      </c>
      <c r="E2391" s="17"/>
      <c r="F2391" s="18"/>
      <c r="G2391" s="36" t="str">
        <f>IF(ISNUMBER(F2391),C2391*F2391,"")</f>
        <v/>
      </c>
    </row>
    <row r="2392" spans="1:7" ht="12" customHeight="1" outlineLevel="2" x14ac:dyDescent="0.2">
      <c r="A2392" s="14" t="s">
        <v>4726</v>
      </c>
      <c r="B2392" s="15" t="s">
        <v>4727</v>
      </c>
      <c r="C2392" s="16">
        <f>210.6/(1+B2)</f>
        <v>210.6</v>
      </c>
      <c r="D2392" s="17" t="s">
        <v>11</v>
      </c>
      <c r="E2392" s="17"/>
      <c r="F2392" s="18"/>
      <c r="G2392" s="36" t="str">
        <f>IF(ISNUMBER(F2392),C2392*F2392,"")</f>
        <v/>
      </c>
    </row>
    <row r="2393" spans="1:7" ht="12" customHeight="1" outlineLevel="2" x14ac:dyDescent="0.2">
      <c r="A2393" s="14" t="s">
        <v>4728</v>
      </c>
      <c r="B2393" s="15" t="s">
        <v>4729</v>
      </c>
      <c r="C2393" s="16">
        <f>227.5/(1+B2)</f>
        <v>227.5</v>
      </c>
      <c r="D2393" s="17" t="s">
        <v>11</v>
      </c>
      <c r="E2393" s="17"/>
      <c r="F2393" s="18"/>
      <c r="G2393" s="36" t="str">
        <f>IF(ISNUMBER(F2393),C2393*F2393,"")</f>
        <v/>
      </c>
    </row>
    <row r="2394" spans="1:7" ht="12" customHeight="1" outlineLevel="2" x14ac:dyDescent="0.2">
      <c r="A2394" s="14" t="s">
        <v>4730</v>
      </c>
      <c r="B2394" s="15" t="s">
        <v>4731</v>
      </c>
      <c r="C2394" s="16">
        <f>234/(1+B2)</f>
        <v>234</v>
      </c>
      <c r="D2394" s="17" t="s">
        <v>11</v>
      </c>
      <c r="E2394" s="17"/>
      <c r="F2394" s="18"/>
      <c r="G2394" s="36" t="str">
        <f>IF(ISNUMBER(F2394),C2394*F2394,"")</f>
        <v/>
      </c>
    </row>
    <row r="2395" spans="1:7" ht="12" customHeight="1" outlineLevel="2" x14ac:dyDescent="0.2">
      <c r="A2395" s="14" t="s">
        <v>4732</v>
      </c>
      <c r="B2395" s="15" t="s">
        <v>4733</v>
      </c>
      <c r="C2395" s="16">
        <f>245.7/(1+B2)</f>
        <v>245.7</v>
      </c>
      <c r="D2395" s="17" t="s">
        <v>11</v>
      </c>
      <c r="E2395" s="17"/>
      <c r="F2395" s="18"/>
      <c r="G2395" s="36" t="str">
        <f>IF(ISNUMBER(F2395),C2395*F2395,"")</f>
        <v/>
      </c>
    </row>
    <row r="2396" spans="1:7" ht="12" customHeight="1" outlineLevel="2" x14ac:dyDescent="0.2">
      <c r="A2396" s="14" t="s">
        <v>4734</v>
      </c>
      <c r="B2396" s="15" t="s">
        <v>4735</v>
      </c>
      <c r="C2396" s="16">
        <f>252.2/(1+B2)</f>
        <v>252.2</v>
      </c>
      <c r="D2396" s="17" t="s">
        <v>11</v>
      </c>
      <c r="E2396" s="17"/>
      <c r="F2396" s="18"/>
      <c r="G2396" s="36" t="str">
        <f>IF(ISNUMBER(F2396),C2396*F2396,"")</f>
        <v/>
      </c>
    </row>
    <row r="2397" spans="1:7" ht="12" customHeight="1" outlineLevel="2" x14ac:dyDescent="0.2">
      <c r="A2397" s="14" t="s">
        <v>4736</v>
      </c>
      <c r="B2397" s="15" t="s">
        <v>4737</v>
      </c>
      <c r="C2397" s="16">
        <f>253.75/(1+B2)</f>
        <v>253.75</v>
      </c>
      <c r="D2397" s="17" t="s">
        <v>11</v>
      </c>
      <c r="E2397" s="17"/>
      <c r="F2397" s="18"/>
      <c r="G2397" s="36" t="str">
        <f>IF(ISNUMBER(F2397),C2397*F2397,"")</f>
        <v/>
      </c>
    </row>
    <row r="2398" spans="1:7" ht="12" customHeight="1" outlineLevel="2" x14ac:dyDescent="0.2">
      <c r="A2398" s="14" t="s">
        <v>4738</v>
      </c>
      <c r="B2398" s="15" t="s">
        <v>4739</v>
      </c>
      <c r="C2398" s="16">
        <f>28.75/(1+B2)</f>
        <v>28.75</v>
      </c>
      <c r="D2398" s="17" t="s">
        <v>11</v>
      </c>
      <c r="E2398" s="17"/>
      <c r="F2398" s="18"/>
      <c r="G2398" s="36" t="str">
        <f>IF(ISNUMBER(F2398),C2398*F2398,"")</f>
        <v/>
      </c>
    </row>
    <row r="2399" spans="1:7" ht="12" customHeight="1" outlineLevel="2" x14ac:dyDescent="0.2">
      <c r="A2399" s="14" t="s">
        <v>4740</v>
      </c>
      <c r="B2399" s="15" t="s">
        <v>4741</v>
      </c>
      <c r="C2399" s="16">
        <f>29.9/(1+B2)</f>
        <v>29.9</v>
      </c>
      <c r="D2399" s="17" t="s">
        <v>14</v>
      </c>
      <c r="E2399" s="17"/>
      <c r="F2399" s="18"/>
      <c r="G2399" s="36" t="str">
        <f>IF(ISNUMBER(F2399),C2399*F2399,"")</f>
        <v/>
      </c>
    </row>
    <row r="2400" spans="1:7" ht="12" customHeight="1" outlineLevel="2" x14ac:dyDescent="0.2">
      <c r="A2400" s="14" t="s">
        <v>4742</v>
      </c>
      <c r="B2400" s="15" t="s">
        <v>4743</v>
      </c>
      <c r="C2400" s="16">
        <f>59.87/(1+B2)</f>
        <v>59.87</v>
      </c>
      <c r="D2400" s="17" t="s">
        <v>11</v>
      </c>
      <c r="E2400" s="17"/>
      <c r="F2400" s="18"/>
      <c r="G2400" s="36" t="str">
        <f>IF(ISNUMBER(F2400),C2400*F2400,"")</f>
        <v/>
      </c>
    </row>
    <row r="2401" spans="1:7" ht="12" customHeight="1" outlineLevel="2" x14ac:dyDescent="0.2">
      <c r="A2401" s="14" t="s">
        <v>4744</v>
      </c>
      <c r="B2401" s="15" t="s">
        <v>4745</v>
      </c>
      <c r="C2401" s="16">
        <f>60.39/(1+B2)</f>
        <v>60.39</v>
      </c>
      <c r="D2401" s="17" t="s">
        <v>11</v>
      </c>
      <c r="E2401" s="17"/>
      <c r="F2401" s="18"/>
      <c r="G2401" s="36" t="str">
        <f>IF(ISNUMBER(F2401),C2401*F2401,"")</f>
        <v/>
      </c>
    </row>
    <row r="2402" spans="1:7" ht="12" customHeight="1" outlineLevel="2" x14ac:dyDescent="0.2">
      <c r="A2402" s="14" t="s">
        <v>4746</v>
      </c>
      <c r="B2402" s="15" t="s">
        <v>4747</v>
      </c>
      <c r="C2402" s="16">
        <f>53.75/(1+B2)</f>
        <v>53.75</v>
      </c>
      <c r="D2402" s="17" t="s">
        <v>11</v>
      </c>
      <c r="E2402" s="17" t="s">
        <v>53</v>
      </c>
      <c r="F2402" s="18"/>
      <c r="G2402" s="36" t="str">
        <f>IF(ISNUMBER(F2402),C2402*F2402,"")</f>
        <v/>
      </c>
    </row>
    <row r="2403" spans="1:7" ht="12" customHeight="1" outlineLevel="2" x14ac:dyDescent="0.2">
      <c r="A2403" s="14" t="s">
        <v>4748</v>
      </c>
      <c r="B2403" s="15" t="s">
        <v>4749</v>
      </c>
      <c r="C2403" s="16">
        <f>53.75/(1+B2)</f>
        <v>53.75</v>
      </c>
      <c r="D2403" s="17" t="s">
        <v>11</v>
      </c>
      <c r="E2403" s="17" t="s">
        <v>11</v>
      </c>
      <c r="F2403" s="18"/>
      <c r="G2403" s="36" t="str">
        <f>IF(ISNUMBER(F2403),C2403*F2403,"")</f>
        <v/>
      </c>
    </row>
    <row r="2404" spans="1:7" ht="12" customHeight="1" outlineLevel="2" x14ac:dyDescent="0.2">
      <c r="A2404" s="14" t="s">
        <v>4750</v>
      </c>
      <c r="B2404" s="15" t="s">
        <v>4751</v>
      </c>
      <c r="C2404" s="16">
        <f>53.75/(1+B2)</f>
        <v>53.75</v>
      </c>
      <c r="D2404" s="17" t="s">
        <v>11</v>
      </c>
      <c r="E2404" s="17" t="s">
        <v>11</v>
      </c>
      <c r="F2404" s="18"/>
      <c r="G2404" s="36" t="str">
        <f>IF(ISNUMBER(F2404),C2404*F2404,"")</f>
        <v/>
      </c>
    </row>
    <row r="2405" spans="1:7" ht="12" customHeight="1" outlineLevel="2" x14ac:dyDescent="0.2">
      <c r="A2405" s="14" t="s">
        <v>4752</v>
      </c>
      <c r="B2405" s="15" t="s">
        <v>4753</v>
      </c>
      <c r="C2405" s="16">
        <f>53.75/(1+B2)</f>
        <v>53.75</v>
      </c>
      <c r="D2405" s="17" t="s">
        <v>11</v>
      </c>
      <c r="E2405" s="17" t="s">
        <v>14</v>
      </c>
      <c r="F2405" s="18"/>
      <c r="G2405" s="36" t="str">
        <f>IF(ISNUMBER(F2405),C2405*F2405,"")</f>
        <v/>
      </c>
    </row>
    <row r="2406" spans="1:7" s="1" customFormat="1" ht="15.95" customHeight="1" outlineLevel="1" x14ac:dyDescent="0.25">
      <c r="A2406" s="11"/>
      <c r="B2406" s="12" t="s">
        <v>4754</v>
      </c>
      <c r="C2406" s="13"/>
      <c r="D2406" s="13"/>
      <c r="E2406" s="13"/>
      <c r="F2406" s="13"/>
      <c r="G2406" s="35"/>
    </row>
    <row r="2407" spans="1:7" ht="24" customHeight="1" outlineLevel="2" x14ac:dyDescent="0.2">
      <c r="A2407" s="14" t="s">
        <v>4755</v>
      </c>
      <c r="B2407" s="15" t="s">
        <v>4756</v>
      </c>
      <c r="C2407" s="16">
        <f>416.25/(1+B2)</f>
        <v>416.25</v>
      </c>
      <c r="D2407" s="17" t="s">
        <v>11</v>
      </c>
      <c r="E2407" s="17"/>
      <c r="F2407" s="18"/>
      <c r="G2407" s="36" t="str">
        <f>IF(ISNUMBER(F2407),C2407*F2407,"")</f>
        <v/>
      </c>
    </row>
    <row r="2408" spans="1:7" ht="12" customHeight="1" outlineLevel="2" x14ac:dyDescent="0.2">
      <c r="A2408" s="14" t="s">
        <v>4757</v>
      </c>
      <c r="B2408" s="15" t="s">
        <v>4758</v>
      </c>
      <c r="C2408" s="16">
        <f>49.17/(1+B2)</f>
        <v>49.17</v>
      </c>
      <c r="D2408" s="17" t="s">
        <v>53</v>
      </c>
      <c r="E2408" s="17"/>
      <c r="F2408" s="18"/>
      <c r="G2408" s="36" t="str">
        <f>IF(ISNUMBER(F2408),C2408*F2408,"")</f>
        <v/>
      </c>
    </row>
    <row r="2409" spans="1:7" ht="12" customHeight="1" outlineLevel="2" x14ac:dyDescent="0.2">
      <c r="A2409" s="14" t="s">
        <v>4759</v>
      </c>
      <c r="B2409" s="15" t="s">
        <v>4760</v>
      </c>
      <c r="C2409" s="16">
        <f>78.01/(1+B2)</f>
        <v>78.010000000000005</v>
      </c>
      <c r="D2409" s="17" t="s">
        <v>11</v>
      </c>
      <c r="E2409" s="17"/>
      <c r="F2409" s="18"/>
      <c r="G2409" s="36" t="str">
        <f>IF(ISNUMBER(F2409),C2409*F2409,"")</f>
        <v/>
      </c>
    </row>
    <row r="2410" spans="1:7" ht="12" customHeight="1" outlineLevel="2" x14ac:dyDescent="0.2">
      <c r="A2410" s="14" t="s">
        <v>4761</v>
      </c>
      <c r="B2410" s="15" t="s">
        <v>4762</v>
      </c>
      <c r="C2410" s="16">
        <f>86.25/(1+B2)</f>
        <v>86.25</v>
      </c>
      <c r="D2410" s="17" t="s">
        <v>11</v>
      </c>
      <c r="E2410" s="17"/>
      <c r="F2410" s="18"/>
      <c r="G2410" s="36" t="str">
        <f>IF(ISNUMBER(F2410),C2410*F2410,"")</f>
        <v/>
      </c>
    </row>
    <row r="2411" spans="1:7" ht="12" customHeight="1" outlineLevel="2" x14ac:dyDescent="0.2">
      <c r="A2411" s="14" t="s">
        <v>4763</v>
      </c>
      <c r="B2411" s="15" t="s">
        <v>4764</v>
      </c>
      <c r="C2411" s="16">
        <f>105/(1+B2)</f>
        <v>105</v>
      </c>
      <c r="D2411" s="17" t="s">
        <v>11</v>
      </c>
      <c r="E2411" s="17"/>
      <c r="F2411" s="18"/>
      <c r="G2411" s="36" t="str">
        <f>IF(ISNUMBER(F2411),C2411*F2411,"")</f>
        <v/>
      </c>
    </row>
    <row r="2412" spans="1:7" ht="12" customHeight="1" outlineLevel="2" x14ac:dyDescent="0.2">
      <c r="A2412" s="14" t="s">
        <v>4765</v>
      </c>
      <c r="B2412" s="15" t="s">
        <v>4766</v>
      </c>
      <c r="C2412" s="16">
        <f>130/(1+B2)</f>
        <v>130</v>
      </c>
      <c r="D2412" s="17" t="s">
        <v>14</v>
      </c>
      <c r="E2412" s="17" t="s">
        <v>53</v>
      </c>
      <c r="F2412" s="18"/>
      <c r="G2412" s="36" t="str">
        <f>IF(ISNUMBER(F2412),C2412*F2412,"")</f>
        <v/>
      </c>
    </row>
    <row r="2413" spans="1:7" ht="12" customHeight="1" outlineLevel="2" x14ac:dyDescent="0.2">
      <c r="A2413" s="14" t="s">
        <v>4767</v>
      </c>
      <c r="B2413" s="15" t="s">
        <v>4768</v>
      </c>
      <c r="C2413" s="16">
        <f>93.75/(1+B2)</f>
        <v>93.75</v>
      </c>
      <c r="D2413" s="17" t="s">
        <v>14</v>
      </c>
      <c r="E2413" s="17" t="s">
        <v>14</v>
      </c>
      <c r="F2413" s="18"/>
      <c r="G2413" s="36" t="str">
        <f>IF(ISNUMBER(F2413),C2413*F2413,"")</f>
        <v/>
      </c>
    </row>
    <row r="2414" spans="1:7" ht="12" customHeight="1" outlineLevel="2" x14ac:dyDescent="0.2">
      <c r="A2414" s="14" t="s">
        <v>4769</v>
      </c>
      <c r="B2414" s="15" t="s">
        <v>4770</v>
      </c>
      <c r="C2414" s="16">
        <f>126.25/(1+B2)</f>
        <v>126.25</v>
      </c>
      <c r="D2414" s="17" t="s">
        <v>14</v>
      </c>
      <c r="E2414" s="17"/>
      <c r="F2414" s="18"/>
      <c r="G2414" s="36" t="str">
        <f>IF(ISNUMBER(F2414),C2414*F2414,"")</f>
        <v/>
      </c>
    </row>
    <row r="2415" spans="1:7" ht="12" customHeight="1" outlineLevel="2" x14ac:dyDescent="0.2">
      <c r="A2415" s="14" t="s">
        <v>4771</v>
      </c>
      <c r="B2415" s="15" t="s">
        <v>4772</v>
      </c>
      <c r="C2415" s="16">
        <f>109.2/(1+B2)</f>
        <v>109.2</v>
      </c>
      <c r="D2415" s="17" t="s">
        <v>14</v>
      </c>
      <c r="E2415" s="17" t="s">
        <v>14</v>
      </c>
      <c r="F2415" s="18"/>
      <c r="G2415" s="36" t="str">
        <f>IF(ISNUMBER(F2415),C2415*F2415,"")</f>
        <v/>
      </c>
    </row>
    <row r="2416" spans="1:7" ht="12" customHeight="1" outlineLevel="2" x14ac:dyDescent="0.2">
      <c r="A2416" s="14" t="s">
        <v>4773</v>
      </c>
      <c r="B2416" s="15" t="s">
        <v>4774</v>
      </c>
      <c r="C2416" s="16">
        <f>126.1/(1+B2)</f>
        <v>126.1</v>
      </c>
      <c r="D2416" s="17" t="s">
        <v>11</v>
      </c>
      <c r="E2416" s="17"/>
      <c r="F2416" s="18"/>
      <c r="G2416" s="36" t="str">
        <f>IF(ISNUMBER(F2416),C2416*F2416,"")</f>
        <v/>
      </c>
    </row>
    <row r="2417" spans="1:7" ht="12" customHeight="1" outlineLevel="2" x14ac:dyDescent="0.2">
      <c r="A2417" s="14" t="s">
        <v>4775</v>
      </c>
      <c r="B2417" s="15" t="s">
        <v>4776</v>
      </c>
      <c r="C2417" s="16">
        <f>121.25/(1+B2)</f>
        <v>121.25</v>
      </c>
      <c r="D2417" s="17" t="s">
        <v>11</v>
      </c>
      <c r="E2417" s="17" t="s">
        <v>14</v>
      </c>
      <c r="F2417" s="18"/>
      <c r="G2417" s="36" t="str">
        <f>IF(ISNUMBER(F2417),C2417*F2417,"")</f>
        <v/>
      </c>
    </row>
    <row r="2418" spans="1:7" ht="12" customHeight="1" outlineLevel="2" x14ac:dyDescent="0.2">
      <c r="A2418" s="14" t="s">
        <v>4777</v>
      </c>
      <c r="B2418" s="15" t="s">
        <v>4778</v>
      </c>
      <c r="C2418" s="16">
        <f>107.5/(1+B2)</f>
        <v>107.5</v>
      </c>
      <c r="D2418" s="17" t="s">
        <v>11</v>
      </c>
      <c r="E2418" s="17"/>
      <c r="F2418" s="18"/>
      <c r="G2418" s="36" t="str">
        <f>IF(ISNUMBER(F2418),C2418*F2418,"")</f>
        <v/>
      </c>
    </row>
    <row r="2419" spans="1:7" ht="12" customHeight="1" outlineLevel="2" x14ac:dyDescent="0.2">
      <c r="A2419" s="14" t="s">
        <v>4779</v>
      </c>
      <c r="B2419" s="15" t="s">
        <v>4780</v>
      </c>
      <c r="C2419" s="16">
        <f>127.4/(1+B2)</f>
        <v>127.4</v>
      </c>
      <c r="D2419" s="17" t="s">
        <v>14</v>
      </c>
      <c r="E2419" s="17"/>
      <c r="F2419" s="18"/>
      <c r="G2419" s="36" t="str">
        <f>IF(ISNUMBER(F2419),C2419*F2419,"")</f>
        <v/>
      </c>
    </row>
    <row r="2420" spans="1:7" ht="12" customHeight="1" outlineLevel="2" x14ac:dyDescent="0.2">
      <c r="A2420" s="14" t="s">
        <v>4781</v>
      </c>
      <c r="B2420" s="15" t="s">
        <v>4782</v>
      </c>
      <c r="C2420" s="16">
        <f>135/(1+B2)</f>
        <v>135</v>
      </c>
      <c r="D2420" s="17" t="s">
        <v>14</v>
      </c>
      <c r="E2420" s="17"/>
      <c r="F2420" s="18"/>
      <c r="G2420" s="36" t="str">
        <f>IF(ISNUMBER(F2420),C2420*F2420,"")</f>
        <v/>
      </c>
    </row>
    <row r="2421" spans="1:7" ht="12" customHeight="1" outlineLevel="2" x14ac:dyDescent="0.2">
      <c r="A2421" s="14" t="s">
        <v>4783</v>
      </c>
      <c r="B2421" s="15" t="s">
        <v>4784</v>
      </c>
      <c r="C2421" s="16">
        <f>139.1/(1+B2)</f>
        <v>139.1</v>
      </c>
      <c r="D2421" s="17" t="s">
        <v>11</v>
      </c>
      <c r="E2421" s="17"/>
      <c r="F2421" s="18"/>
      <c r="G2421" s="36" t="str">
        <f>IF(ISNUMBER(F2421),C2421*F2421,"")</f>
        <v/>
      </c>
    </row>
    <row r="2422" spans="1:7" ht="12" customHeight="1" outlineLevel="2" x14ac:dyDescent="0.2">
      <c r="A2422" s="14" t="s">
        <v>4785</v>
      </c>
      <c r="B2422" s="15" t="s">
        <v>4786</v>
      </c>
      <c r="C2422" s="16">
        <f>101.25/(1+B2)</f>
        <v>101.25</v>
      </c>
      <c r="D2422" s="17" t="s">
        <v>53</v>
      </c>
      <c r="E2422" s="17"/>
      <c r="F2422" s="18"/>
      <c r="G2422" s="36" t="str">
        <f>IF(ISNUMBER(F2422),C2422*F2422,"")</f>
        <v/>
      </c>
    </row>
    <row r="2423" spans="1:7" ht="12" customHeight="1" outlineLevel="2" x14ac:dyDescent="0.2">
      <c r="A2423" s="14" t="s">
        <v>4787</v>
      </c>
      <c r="B2423" s="15" t="s">
        <v>4788</v>
      </c>
      <c r="C2423" s="16">
        <f>128.75/(1+B2)</f>
        <v>128.75</v>
      </c>
      <c r="D2423" s="17" t="s">
        <v>11</v>
      </c>
      <c r="E2423" s="17" t="s">
        <v>14</v>
      </c>
      <c r="F2423" s="18"/>
      <c r="G2423" s="36" t="str">
        <f>IF(ISNUMBER(F2423),C2423*F2423,"")</f>
        <v/>
      </c>
    </row>
    <row r="2424" spans="1:7" ht="12" customHeight="1" outlineLevel="2" x14ac:dyDescent="0.2">
      <c r="A2424" s="14" t="s">
        <v>4789</v>
      </c>
      <c r="B2424" s="15" t="s">
        <v>4790</v>
      </c>
      <c r="C2424" s="16">
        <f>144.3/(1+B2)</f>
        <v>144.30000000000001</v>
      </c>
      <c r="D2424" s="17" t="s">
        <v>14</v>
      </c>
      <c r="E2424" s="17"/>
      <c r="F2424" s="18"/>
      <c r="G2424" s="36" t="str">
        <f>IF(ISNUMBER(F2424),C2424*F2424,"")</f>
        <v/>
      </c>
    </row>
    <row r="2425" spans="1:7" ht="12" customHeight="1" outlineLevel="2" x14ac:dyDescent="0.2">
      <c r="A2425" s="14" t="s">
        <v>4791</v>
      </c>
      <c r="B2425" s="15" t="s">
        <v>4792</v>
      </c>
      <c r="C2425" s="16">
        <f>88.75/(1+B2)</f>
        <v>88.75</v>
      </c>
      <c r="D2425" s="17" t="s">
        <v>14</v>
      </c>
      <c r="E2425" s="17"/>
      <c r="F2425" s="18"/>
      <c r="G2425" s="36" t="str">
        <f>IF(ISNUMBER(F2425),C2425*F2425,"")</f>
        <v/>
      </c>
    </row>
    <row r="2426" spans="1:7" ht="12" customHeight="1" outlineLevel="2" x14ac:dyDescent="0.2">
      <c r="A2426" s="14" t="s">
        <v>4793</v>
      </c>
      <c r="B2426" s="15" t="s">
        <v>4794</v>
      </c>
      <c r="C2426" s="16">
        <f>110/(1+B2)</f>
        <v>110</v>
      </c>
      <c r="D2426" s="17" t="s">
        <v>11</v>
      </c>
      <c r="E2426" s="17"/>
      <c r="F2426" s="18"/>
      <c r="G2426" s="36" t="str">
        <f>IF(ISNUMBER(F2426),C2426*F2426,"")</f>
        <v/>
      </c>
    </row>
    <row r="2427" spans="1:7" ht="12" customHeight="1" outlineLevel="2" x14ac:dyDescent="0.2">
      <c r="A2427" s="14" t="s">
        <v>4795</v>
      </c>
      <c r="B2427" s="15" t="s">
        <v>4796</v>
      </c>
      <c r="C2427" s="16">
        <f>120.9/(1+B2)</f>
        <v>120.9</v>
      </c>
      <c r="D2427" s="17" t="s">
        <v>14</v>
      </c>
      <c r="E2427" s="17"/>
      <c r="F2427" s="18"/>
      <c r="G2427" s="36" t="str">
        <f>IF(ISNUMBER(F2427),C2427*F2427,"")</f>
        <v/>
      </c>
    </row>
    <row r="2428" spans="1:7" ht="12" customHeight="1" outlineLevel="2" x14ac:dyDescent="0.2">
      <c r="A2428" s="14" t="s">
        <v>4797</v>
      </c>
      <c r="B2428" s="15" t="s">
        <v>4798</v>
      </c>
      <c r="C2428" s="16">
        <f>182/(1+B2)</f>
        <v>182</v>
      </c>
      <c r="D2428" s="17" t="s">
        <v>14</v>
      </c>
      <c r="E2428" s="17" t="s">
        <v>14</v>
      </c>
      <c r="F2428" s="18"/>
      <c r="G2428" s="36" t="str">
        <f>IF(ISNUMBER(F2428),C2428*F2428,"")</f>
        <v/>
      </c>
    </row>
    <row r="2429" spans="1:7" ht="12" customHeight="1" outlineLevel="2" x14ac:dyDescent="0.2">
      <c r="A2429" s="14" t="s">
        <v>4799</v>
      </c>
      <c r="B2429" s="15" t="s">
        <v>4800</v>
      </c>
      <c r="C2429" s="16">
        <f>188.5/(1+B2)</f>
        <v>188.5</v>
      </c>
      <c r="D2429" s="17" t="s">
        <v>53</v>
      </c>
      <c r="E2429" s="17" t="s">
        <v>53</v>
      </c>
      <c r="F2429" s="18"/>
      <c r="G2429" s="36" t="str">
        <f>IF(ISNUMBER(F2429),C2429*F2429,"")</f>
        <v/>
      </c>
    </row>
    <row r="2430" spans="1:7" ht="12" customHeight="1" outlineLevel="2" x14ac:dyDescent="0.2">
      <c r="A2430" s="14" t="s">
        <v>4801</v>
      </c>
      <c r="B2430" s="15" t="s">
        <v>4802</v>
      </c>
      <c r="C2430" s="16">
        <f>51.25/(1+B2)</f>
        <v>51.25</v>
      </c>
      <c r="D2430" s="17" t="s">
        <v>11</v>
      </c>
      <c r="E2430" s="17" t="s">
        <v>11</v>
      </c>
      <c r="F2430" s="18"/>
      <c r="G2430" s="36" t="str">
        <f>IF(ISNUMBER(F2430),C2430*F2430,"")</f>
        <v/>
      </c>
    </row>
    <row r="2431" spans="1:7" ht="12" customHeight="1" outlineLevel="2" x14ac:dyDescent="0.2">
      <c r="A2431" s="14" t="s">
        <v>4803</v>
      </c>
      <c r="B2431" s="15" t="s">
        <v>4804</v>
      </c>
      <c r="C2431" s="16">
        <f>48.1/(1+B2)</f>
        <v>48.1</v>
      </c>
      <c r="D2431" s="17" t="s">
        <v>11</v>
      </c>
      <c r="E2431" s="17"/>
      <c r="F2431" s="18"/>
      <c r="G2431" s="36" t="str">
        <f>IF(ISNUMBER(F2431),C2431*F2431,"")</f>
        <v/>
      </c>
    </row>
    <row r="2432" spans="1:7" ht="12" customHeight="1" outlineLevel="2" x14ac:dyDescent="0.2">
      <c r="A2432" s="14" t="s">
        <v>4805</v>
      </c>
      <c r="B2432" s="15" t="s">
        <v>4806</v>
      </c>
      <c r="C2432" s="16">
        <f>48.1/(1+B2)</f>
        <v>48.1</v>
      </c>
      <c r="D2432" s="17" t="s">
        <v>11</v>
      </c>
      <c r="E2432" s="17" t="s">
        <v>53</v>
      </c>
      <c r="F2432" s="18"/>
      <c r="G2432" s="36" t="str">
        <f>IF(ISNUMBER(F2432),C2432*F2432,"")</f>
        <v/>
      </c>
    </row>
    <row r="2433" spans="1:7" ht="12" customHeight="1" outlineLevel="2" x14ac:dyDescent="0.2">
      <c r="A2433" s="14" t="s">
        <v>4807</v>
      </c>
      <c r="B2433" s="15" t="s">
        <v>4808</v>
      </c>
      <c r="C2433" s="16">
        <f>83.75/(1+B2)</f>
        <v>83.75</v>
      </c>
      <c r="D2433" s="17" t="s">
        <v>11</v>
      </c>
      <c r="E2433" s="17" t="s">
        <v>53</v>
      </c>
      <c r="F2433" s="18"/>
      <c r="G2433" s="36" t="str">
        <f>IF(ISNUMBER(F2433),C2433*F2433,"")</f>
        <v/>
      </c>
    </row>
    <row r="2434" spans="1:7" ht="12" customHeight="1" outlineLevel="2" x14ac:dyDescent="0.2">
      <c r="A2434" s="14" t="s">
        <v>4809</v>
      </c>
      <c r="B2434" s="15" t="s">
        <v>4810</v>
      </c>
      <c r="C2434" s="16">
        <f>68.75/(1+B2)</f>
        <v>68.75</v>
      </c>
      <c r="D2434" s="17" t="s">
        <v>11</v>
      </c>
      <c r="E2434" s="17"/>
      <c r="F2434" s="18"/>
      <c r="G2434" s="36" t="str">
        <f>IF(ISNUMBER(F2434),C2434*F2434,"")</f>
        <v/>
      </c>
    </row>
    <row r="2435" spans="1:7" ht="12" customHeight="1" outlineLevel="2" x14ac:dyDescent="0.2">
      <c r="A2435" s="14" t="s">
        <v>4811</v>
      </c>
      <c r="B2435" s="15" t="s">
        <v>4812</v>
      </c>
      <c r="C2435" s="16">
        <f>71.25/(1+B2)</f>
        <v>71.25</v>
      </c>
      <c r="D2435" s="17" t="s">
        <v>11</v>
      </c>
      <c r="E2435" s="17" t="s">
        <v>11</v>
      </c>
      <c r="F2435" s="18"/>
      <c r="G2435" s="36" t="str">
        <f>IF(ISNUMBER(F2435),C2435*F2435,"")</f>
        <v/>
      </c>
    </row>
    <row r="2436" spans="1:7" ht="12" customHeight="1" outlineLevel="2" x14ac:dyDescent="0.2">
      <c r="A2436" s="14" t="s">
        <v>4813</v>
      </c>
      <c r="B2436" s="15" t="s">
        <v>4814</v>
      </c>
      <c r="C2436" s="16">
        <f>80.8/(1+B2)</f>
        <v>80.8</v>
      </c>
      <c r="D2436" s="17" t="s">
        <v>53</v>
      </c>
      <c r="E2436" s="17" t="s">
        <v>106</v>
      </c>
      <c r="F2436" s="18"/>
      <c r="G2436" s="36" t="str">
        <f>IF(ISNUMBER(F2436),C2436*F2436,"")</f>
        <v/>
      </c>
    </row>
    <row r="2437" spans="1:7" ht="12" customHeight="1" outlineLevel="2" x14ac:dyDescent="0.2">
      <c r="A2437" s="14" t="s">
        <v>4815</v>
      </c>
      <c r="B2437" s="15" t="s">
        <v>4816</v>
      </c>
      <c r="C2437" s="16">
        <f>91.25/(1+B2)</f>
        <v>91.25</v>
      </c>
      <c r="D2437" s="17" t="s">
        <v>11</v>
      </c>
      <c r="E2437" s="17" t="s">
        <v>14</v>
      </c>
      <c r="F2437" s="18"/>
      <c r="G2437" s="36" t="str">
        <f>IF(ISNUMBER(F2437),C2437*F2437,"")</f>
        <v/>
      </c>
    </row>
    <row r="2438" spans="1:7" ht="12" customHeight="1" outlineLevel="2" x14ac:dyDescent="0.2">
      <c r="A2438" s="14" t="s">
        <v>4817</v>
      </c>
      <c r="B2438" s="15" t="s">
        <v>4818</v>
      </c>
      <c r="C2438" s="16">
        <f>137.5/(1+B2)</f>
        <v>137.5</v>
      </c>
      <c r="D2438" s="17" t="s">
        <v>11</v>
      </c>
      <c r="E2438" s="17" t="s">
        <v>11</v>
      </c>
      <c r="F2438" s="18"/>
      <c r="G2438" s="36" t="str">
        <f>IF(ISNUMBER(F2438),C2438*F2438,"")</f>
        <v/>
      </c>
    </row>
    <row r="2439" spans="1:7" ht="24" customHeight="1" outlineLevel="2" x14ac:dyDescent="0.2">
      <c r="A2439" s="14" t="s">
        <v>4819</v>
      </c>
      <c r="B2439" s="15" t="s">
        <v>4820</v>
      </c>
      <c r="C2439" s="16">
        <f>82.5/(1+B2)</f>
        <v>82.5</v>
      </c>
      <c r="D2439" s="17" t="s">
        <v>11</v>
      </c>
      <c r="E2439" s="17" t="s">
        <v>11</v>
      </c>
      <c r="F2439" s="18"/>
      <c r="G2439" s="36" t="str">
        <f>IF(ISNUMBER(F2439),C2439*F2439,"")</f>
        <v/>
      </c>
    </row>
    <row r="2440" spans="1:7" ht="24" customHeight="1" outlineLevel="2" x14ac:dyDescent="0.2">
      <c r="A2440" s="14" t="s">
        <v>4821</v>
      </c>
      <c r="B2440" s="15" t="s">
        <v>4822</v>
      </c>
      <c r="C2440" s="16">
        <f>83.75/(1+B2)</f>
        <v>83.75</v>
      </c>
      <c r="D2440" s="17" t="s">
        <v>11</v>
      </c>
      <c r="E2440" s="17" t="s">
        <v>11</v>
      </c>
      <c r="F2440" s="18"/>
      <c r="G2440" s="36" t="str">
        <f>IF(ISNUMBER(F2440),C2440*F2440,"")</f>
        <v/>
      </c>
    </row>
    <row r="2441" spans="1:7" ht="24" customHeight="1" outlineLevel="2" x14ac:dyDescent="0.2">
      <c r="A2441" s="14" t="s">
        <v>4823</v>
      </c>
      <c r="B2441" s="15" t="s">
        <v>4824</v>
      </c>
      <c r="C2441" s="16">
        <f>83.75/(1+B2)</f>
        <v>83.75</v>
      </c>
      <c r="D2441" s="17" t="s">
        <v>53</v>
      </c>
      <c r="E2441" s="17"/>
      <c r="F2441" s="18"/>
      <c r="G2441" s="36" t="str">
        <f>IF(ISNUMBER(F2441),C2441*F2441,"")</f>
        <v/>
      </c>
    </row>
    <row r="2442" spans="1:7" ht="24" customHeight="1" outlineLevel="2" x14ac:dyDescent="0.2">
      <c r="A2442" s="14" t="s">
        <v>4825</v>
      </c>
      <c r="B2442" s="15" t="s">
        <v>4826</v>
      </c>
      <c r="C2442" s="16">
        <f>95/(1+B2)</f>
        <v>95</v>
      </c>
      <c r="D2442" s="17" t="s">
        <v>11</v>
      </c>
      <c r="E2442" s="17" t="s">
        <v>14</v>
      </c>
      <c r="F2442" s="18"/>
      <c r="G2442" s="36" t="str">
        <f>IF(ISNUMBER(F2442),C2442*F2442,"")</f>
        <v/>
      </c>
    </row>
    <row r="2443" spans="1:7" ht="24" customHeight="1" outlineLevel="2" x14ac:dyDescent="0.2">
      <c r="A2443" s="14" t="s">
        <v>4827</v>
      </c>
      <c r="B2443" s="15" t="s">
        <v>4828</v>
      </c>
      <c r="C2443" s="16">
        <f>95/(1+B2)</f>
        <v>95</v>
      </c>
      <c r="D2443" s="17" t="s">
        <v>11</v>
      </c>
      <c r="E2443" s="17"/>
      <c r="F2443" s="18"/>
      <c r="G2443" s="36" t="str">
        <f>IF(ISNUMBER(F2443),C2443*F2443,"")</f>
        <v/>
      </c>
    </row>
    <row r="2444" spans="1:7" ht="24" customHeight="1" outlineLevel="2" x14ac:dyDescent="0.2">
      <c r="A2444" s="14" t="s">
        <v>4829</v>
      </c>
      <c r="B2444" s="15" t="s">
        <v>4830</v>
      </c>
      <c r="C2444" s="16">
        <f>139.1/(1+B2)</f>
        <v>139.1</v>
      </c>
      <c r="D2444" s="17" t="s">
        <v>11</v>
      </c>
      <c r="E2444" s="17"/>
      <c r="F2444" s="18"/>
      <c r="G2444" s="36" t="str">
        <f>IF(ISNUMBER(F2444),C2444*F2444,"")</f>
        <v/>
      </c>
    </row>
    <row r="2445" spans="1:7" ht="24" customHeight="1" outlineLevel="2" x14ac:dyDescent="0.2">
      <c r="A2445" s="14" t="s">
        <v>4831</v>
      </c>
      <c r="B2445" s="15" t="s">
        <v>4832</v>
      </c>
      <c r="C2445" s="16">
        <f>124.8/(1+B2)</f>
        <v>124.8</v>
      </c>
      <c r="D2445" s="17" t="s">
        <v>11</v>
      </c>
      <c r="E2445" s="17" t="s">
        <v>11</v>
      </c>
      <c r="F2445" s="18"/>
      <c r="G2445" s="36" t="str">
        <f>IF(ISNUMBER(F2445),C2445*F2445,"")</f>
        <v/>
      </c>
    </row>
    <row r="2446" spans="1:7" ht="12" customHeight="1" outlineLevel="2" x14ac:dyDescent="0.2">
      <c r="A2446" s="14" t="s">
        <v>4833</v>
      </c>
      <c r="B2446" s="15" t="s">
        <v>4834</v>
      </c>
      <c r="C2446" s="16">
        <f>31.25/(1+B2)</f>
        <v>31.25</v>
      </c>
      <c r="D2446" s="17" t="s">
        <v>11</v>
      </c>
      <c r="E2446" s="17" t="s">
        <v>11</v>
      </c>
      <c r="F2446" s="18"/>
      <c r="G2446" s="36" t="str">
        <f>IF(ISNUMBER(F2446),C2446*F2446,"")</f>
        <v/>
      </c>
    </row>
    <row r="2447" spans="1:7" ht="12" customHeight="1" outlineLevel="2" x14ac:dyDescent="0.2">
      <c r="A2447" s="14" t="s">
        <v>4835</v>
      </c>
      <c r="B2447" s="15" t="s">
        <v>4836</v>
      </c>
      <c r="C2447" s="16">
        <f>43.75/(1+B2)</f>
        <v>43.75</v>
      </c>
      <c r="D2447" s="17" t="s">
        <v>14</v>
      </c>
      <c r="E2447" s="17" t="s">
        <v>11</v>
      </c>
      <c r="F2447" s="18"/>
      <c r="G2447" s="36" t="str">
        <f>IF(ISNUMBER(F2447),C2447*F2447,"")</f>
        <v/>
      </c>
    </row>
    <row r="2448" spans="1:7" ht="12" customHeight="1" outlineLevel="2" x14ac:dyDescent="0.2">
      <c r="A2448" s="14" t="s">
        <v>4837</v>
      </c>
      <c r="B2448" s="15" t="s">
        <v>4838</v>
      </c>
      <c r="C2448" s="16">
        <f>55/(1+B2)</f>
        <v>55</v>
      </c>
      <c r="D2448" s="17" t="s">
        <v>14</v>
      </c>
      <c r="E2448" s="17"/>
      <c r="F2448" s="18"/>
      <c r="G2448" s="36" t="str">
        <f>IF(ISNUMBER(F2448),C2448*F2448,"")</f>
        <v/>
      </c>
    </row>
    <row r="2449" spans="1:7" ht="12" customHeight="1" outlineLevel="2" x14ac:dyDescent="0.2">
      <c r="A2449" s="14" t="s">
        <v>4839</v>
      </c>
      <c r="B2449" s="15" t="s">
        <v>4840</v>
      </c>
      <c r="C2449" s="16">
        <f>42.9/(1+B2)</f>
        <v>42.9</v>
      </c>
      <c r="D2449" s="17" t="s">
        <v>53</v>
      </c>
      <c r="E2449" s="17"/>
      <c r="F2449" s="18"/>
      <c r="G2449" s="36" t="str">
        <f>IF(ISNUMBER(F2449),C2449*F2449,"")</f>
        <v/>
      </c>
    </row>
    <row r="2450" spans="1:7" ht="12" customHeight="1" outlineLevel="2" x14ac:dyDescent="0.2">
      <c r="A2450" s="14" t="s">
        <v>4841</v>
      </c>
      <c r="B2450" s="15" t="s">
        <v>4842</v>
      </c>
      <c r="C2450" s="16">
        <f>130/(1+B2)</f>
        <v>130</v>
      </c>
      <c r="D2450" s="17" t="s">
        <v>14</v>
      </c>
      <c r="E2450" s="17"/>
      <c r="F2450" s="18"/>
      <c r="G2450" s="36" t="str">
        <f>IF(ISNUMBER(F2450),C2450*F2450,"")</f>
        <v/>
      </c>
    </row>
    <row r="2451" spans="1:7" ht="12" customHeight="1" outlineLevel="2" x14ac:dyDescent="0.2">
      <c r="A2451" s="14" t="s">
        <v>4843</v>
      </c>
      <c r="B2451" s="15" t="s">
        <v>4844</v>
      </c>
      <c r="C2451" s="16">
        <f>77.5/(1+B2)</f>
        <v>77.5</v>
      </c>
      <c r="D2451" s="17" t="s">
        <v>11</v>
      </c>
      <c r="E2451" s="17" t="s">
        <v>11</v>
      </c>
      <c r="F2451" s="18"/>
      <c r="G2451" s="36" t="str">
        <f>IF(ISNUMBER(F2451),C2451*F2451,"")</f>
        <v/>
      </c>
    </row>
    <row r="2452" spans="1:7" ht="12" customHeight="1" outlineLevel="2" x14ac:dyDescent="0.2">
      <c r="A2452" s="14" t="s">
        <v>4845</v>
      </c>
      <c r="B2452" s="15" t="s">
        <v>4846</v>
      </c>
      <c r="C2452" s="16">
        <f>158.75/(1+B2)</f>
        <v>158.75</v>
      </c>
      <c r="D2452" s="17" t="s">
        <v>11</v>
      </c>
      <c r="E2452" s="17"/>
      <c r="F2452" s="18"/>
      <c r="G2452" s="36" t="str">
        <f>IF(ISNUMBER(F2452),C2452*F2452,"")</f>
        <v/>
      </c>
    </row>
    <row r="2453" spans="1:7" ht="24" customHeight="1" outlineLevel="2" x14ac:dyDescent="0.2">
      <c r="A2453" s="14" t="s">
        <v>4847</v>
      </c>
      <c r="B2453" s="15" t="s">
        <v>4848</v>
      </c>
      <c r="C2453" s="16">
        <f>222.19/(1+B2)</f>
        <v>222.19</v>
      </c>
      <c r="D2453" s="17" t="s">
        <v>11</v>
      </c>
      <c r="E2453" s="17"/>
      <c r="F2453" s="18"/>
      <c r="G2453" s="36" t="str">
        <f>IF(ISNUMBER(F2453),C2453*F2453,"")</f>
        <v/>
      </c>
    </row>
    <row r="2454" spans="1:7" s="1" customFormat="1" ht="15.95" customHeight="1" x14ac:dyDescent="0.25">
      <c r="A2454" s="8"/>
      <c r="B2454" s="9" t="s">
        <v>4849</v>
      </c>
      <c r="C2454" s="10"/>
      <c r="D2454" s="10"/>
      <c r="E2454" s="10"/>
      <c r="F2454" s="10"/>
      <c r="G2454" s="34"/>
    </row>
    <row r="2455" spans="1:7" ht="12" customHeight="1" outlineLevel="1" x14ac:dyDescent="0.2">
      <c r="A2455" s="14" t="s">
        <v>4850</v>
      </c>
      <c r="B2455" s="15" t="s">
        <v>4851</v>
      </c>
      <c r="C2455" s="19">
        <f>20770/(1+B2)</f>
        <v>20770</v>
      </c>
      <c r="D2455" s="17" t="s">
        <v>11</v>
      </c>
      <c r="E2455" s="17" t="s">
        <v>11</v>
      </c>
      <c r="F2455" s="18"/>
      <c r="G2455" s="36" t="str">
        <f>IF(ISNUMBER(F2455),C2455*F2455,"")</f>
        <v/>
      </c>
    </row>
    <row r="2456" spans="1:7" s="1" customFormat="1" ht="15.95" customHeight="1" x14ac:dyDescent="0.25">
      <c r="A2456" s="8"/>
      <c r="B2456" s="9" t="s">
        <v>4852</v>
      </c>
      <c r="C2456" s="10"/>
      <c r="D2456" s="10"/>
      <c r="E2456" s="10"/>
      <c r="F2456" s="10"/>
      <c r="G2456" s="34"/>
    </row>
    <row r="2457" spans="1:7" ht="12" customHeight="1" outlineLevel="1" x14ac:dyDescent="0.2">
      <c r="A2457" s="14" t="s">
        <v>4853</v>
      </c>
      <c r="B2457" s="15" t="s">
        <v>4854</v>
      </c>
      <c r="C2457" s="19">
        <f>3784.76/(1+B2)</f>
        <v>3784.76</v>
      </c>
      <c r="D2457" s="17" t="s">
        <v>11</v>
      </c>
      <c r="E2457" s="17"/>
      <c r="F2457" s="18"/>
      <c r="G2457" s="36" t="str">
        <f>IF(ISNUMBER(F2457),C2457*F2457,"")</f>
        <v/>
      </c>
    </row>
    <row r="2458" spans="1:7" ht="12" customHeight="1" outlineLevel="1" x14ac:dyDescent="0.2">
      <c r="A2458" s="14" t="s">
        <v>4855</v>
      </c>
      <c r="B2458" s="15" t="s">
        <v>4856</v>
      </c>
      <c r="C2458" s="19">
        <f>3694.36/(1+B2)</f>
        <v>3694.36</v>
      </c>
      <c r="D2458" s="17" t="s">
        <v>11</v>
      </c>
      <c r="E2458" s="17"/>
      <c r="F2458" s="18"/>
      <c r="G2458" s="36" t="str">
        <f>IF(ISNUMBER(F2458),C2458*F2458,"")</f>
        <v/>
      </c>
    </row>
    <row r="2459" spans="1:7" ht="12" customHeight="1" outlineLevel="1" x14ac:dyDescent="0.2">
      <c r="A2459" s="14" t="s">
        <v>4857</v>
      </c>
      <c r="B2459" s="15" t="s">
        <v>4858</v>
      </c>
      <c r="C2459" s="19">
        <f>3703.56/(1+B2)</f>
        <v>3703.56</v>
      </c>
      <c r="D2459" s="17" t="s">
        <v>11</v>
      </c>
      <c r="E2459" s="17"/>
      <c r="F2459" s="18"/>
      <c r="G2459" s="36" t="str">
        <f>IF(ISNUMBER(F2459),C2459*F2459,"")</f>
        <v/>
      </c>
    </row>
    <row r="2460" spans="1:7" ht="12" customHeight="1" outlineLevel="1" x14ac:dyDescent="0.2">
      <c r="A2460" s="14" t="s">
        <v>4859</v>
      </c>
      <c r="B2460" s="15" t="s">
        <v>4860</v>
      </c>
      <c r="C2460" s="19">
        <f>3618.91/(1+B2)</f>
        <v>3618.91</v>
      </c>
      <c r="D2460" s="17" t="s">
        <v>11</v>
      </c>
      <c r="E2460" s="17"/>
      <c r="F2460" s="18"/>
      <c r="G2460" s="36" t="str">
        <f>IF(ISNUMBER(F2460),C2460*F2460,"")</f>
        <v/>
      </c>
    </row>
    <row r="2461" spans="1:7" ht="12" customHeight="1" outlineLevel="1" x14ac:dyDescent="0.2">
      <c r="A2461" s="14" t="s">
        <v>4861</v>
      </c>
      <c r="B2461" s="15" t="s">
        <v>4862</v>
      </c>
      <c r="C2461" s="19">
        <f>3498.63/(1+B2)</f>
        <v>3498.63</v>
      </c>
      <c r="D2461" s="17" t="s">
        <v>11</v>
      </c>
      <c r="E2461" s="17"/>
      <c r="F2461" s="18"/>
      <c r="G2461" s="36" t="str">
        <f>IF(ISNUMBER(F2461),C2461*F2461,"")</f>
        <v/>
      </c>
    </row>
    <row r="2462" spans="1:7" ht="12" customHeight="1" outlineLevel="1" x14ac:dyDescent="0.2">
      <c r="A2462" s="14" t="s">
        <v>4863</v>
      </c>
      <c r="B2462" s="15" t="s">
        <v>4864</v>
      </c>
      <c r="C2462" s="16">
        <f>988.8/(1+B2)</f>
        <v>988.8</v>
      </c>
      <c r="D2462" s="17" t="s">
        <v>11</v>
      </c>
      <c r="E2462" s="17"/>
      <c r="F2462" s="18"/>
      <c r="G2462" s="36" t="str">
        <f>IF(ISNUMBER(F2462),C2462*F2462,"")</f>
        <v/>
      </c>
    </row>
    <row r="2463" spans="1:7" s="1" customFormat="1" ht="15.95" customHeight="1" x14ac:dyDescent="0.25">
      <c r="A2463" s="8"/>
      <c r="B2463" s="9" t="s">
        <v>4865</v>
      </c>
      <c r="C2463" s="10"/>
      <c r="D2463" s="10"/>
      <c r="E2463" s="10"/>
      <c r="F2463" s="10"/>
      <c r="G2463" s="34"/>
    </row>
    <row r="2464" spans="1:7" ht="24" customHeight="1" outlineLevel="1" x14ac:dyDescent="0.2">
      <c r="A2464" s="14" t="s">
        <v>4866</v>
      </c>
      <c r="B2464" s="15" t="s">
        <v>4867</v>
      </c>
      <c r="C2464" s="16">
        <f>226/(1+B2)</f>
        <v>226</v>
      </c>
      <c r="D2464" s="17" t="s">
        <v>11</v>
      </c>
      <c r="E2464" s="17" t="s">
        <v>11</v>
      </c>
      <c r="F2464" s="18"/>
      <c r="G2464" s="36" t="str">
        <f>IF(ISNUMBER(F2464),C2464*F2464,"")</f>
        <v/>
      </c>
    </row>
    <row r="2465" spans="1:7" ht="24" customHeight="1" outlineLevel="1" x14ac:dyDescent="0.2">
      <c r="A2465" s="14" t="s">
        <v>4868</v>
      </c>
      <c r="B2465" s="15" t="s">
        <v>4869</v>
      </c>
      <c r="C2465" s="16">
        <f>275/(1+B2)</f>
        <v>275</v>
      </c>
      <c r="D2465" s="17" t="s">
        <v>11</v>
      </c>
      <c r="E2465" s="17" t="s">
        <v>106</v>
      </c>
      <c r="F2465" s="18"/>
      <c r="G2465" s="36" t="str">
        <f>IF(ISNUMBER(F2465),C2465*F2465,"")</f>
        <v/>
      </c>
    </row>
    <row r="2466" spans="1:7" ht="24" customHeight="1" outlineLevel="1" x14ac:dyDescent="0.2">
      <c r="A2466" s="14" t="s">
        <v>4870</v>
      </c>
      <c r="B2466" s="15" t="s">
        <v>4871</v>
      </c>
      <c r="C2466" s="16">
        <f>294/(1+B2)</f>
        <v>294</v>
      </c>
      <c r="D2466" s="17" t="s">
        <v>11</v>
      </c>
      <c r="E2466" s="17" t="s">
        <v>14</v>
      </c>
      <c r="F2466" s="18"/>
      <c r="G2466" s="36" t="str">
        <f>IF(ISNUMBER(F2466),C2466*F2466,"")</f>
        <v/>
      </c>
    </row>
    <row r="2467" spans="1:7" ht="24" customHeight="1" outlineLevel="1" x14ac:dyDescent="0.2">
      <c r="A2467" s="14" t="s">
        <v>4872</v>
      </c>
      <c r="B2467" s="15" t="s">
        <v>4873</v>
      </c>
      <c r="C2467" s="16">
        <f>260/(1+B2)</f>
        <v>260</v>
      </c>
      <c r="D2467" s="17" t="s">
        <v>11</v>
      </c>
      <c r="E2467" s="17" t="s">
        <v>106</v>
      </c>
      <c r="F2467" s="18"/>
      <c r="G2467" s="36" t="str">
        <f>IF(ISNUMBER(F2467),C2467*F2467,"")</f>
        <v/>
      </c>
    </row>
    <row r="2468" spans="1:7" ht="24" customHeight="1" outlineLevel="1" x14ac:dyDescent="0.2">
      <c r="A2468" s="14" t="s">
        <v>4874</v>
      </c>
      <c r="B2468" s="15" t="s">
        <v>4875</v>
      </c>
      <c r="C2468" s="16">
        <f>275/(1+B2)</f>
        <v>275</v>
      </c>
      <c r="D2468" s="17" t="s">
        <v>11</v>
      </c>
      <c r="E2468" s="17" t="s">
        <v>14</v>
      </c>
      <c r="F2468" s="18"/>
      <c r="G2468" s="36" t="str">
        <f>IF(ISNUMBER(F2468),C2468*F2468,"")</f>
        <v/>
      </c>
    </row>
    <row r="2469" spans="1:7" ht="12" customHeight="1" outlineLevel="1" x14ac:dyDescent="0.2">
      <c r="A2469" s="14" t="s">
        <v>4876</v>
      </c>
      <c r="B2469" s="15" t="s">
        <v>4877</v>
      </c>
      <c r="C2469" s="16">
        <f>587.44/(1+B2)</f>
        <v>587.44000000000005</v>
      </c>
      <c r="D2469" s="17" t="s">
        <v>11</v>
      </c>
      <c r="E2469" s="17" t="s">
        <v>11</v>
      </c>
      <c r="F2469" s="18"/>
      <c r="G2469" s="36" t="str">
        <f>IF(ISNUMBER(F2469),C2469*F2469,"")</f>
        <v/>
      </c>
    </row>
    <row r="2470" spans="1:7" ht="24" customHeight="1" outlineLevel="1" x14ac:dyDescent="0.2">
      <c r="A2470" s="14" t="s">
        <v>4878</v>
      </c>
      <c r="B2470" s="15" t="s">
        <v>4879</v>
      </c>
      <c r="C2470" s="16">
        <f>88.1/(1+B2)</f>
        <v>88.1</v>
      </c>
      <c r="D2470" s="17" t="s">
        <v>53</v>
      </c>
      <c r="E2470" s="17"/>
      <c r="F2470" s="18"/>
      <c r="G2470" s="36" t="str">
        <f>IF(ISNUMBER(F2470),C2470*F2470,"")</f>
        <v/>
      </c>
    </row>
    <row r="2471" spans="1:7" ht="24" customHeight="1" outlineLevel="1" x14ac:dyDescent="0.2">
      <c r="A2471" s="14" t="s">
        <v>4880</v>
      </c>
      <c r="B2471" s="15" t="s">
        <v>4881</v>
      </c>
      <c r="C2471" s="16">
        <f>127.79/(1+B2)</f>
        <v>127.79</v>
      </c>
      <c r="D2471" s="17" t="s">
        <v>53</v>
      </c>
      <c r="E2471" s="17"/>
      <c r="F2471" s="18"/>
      <c r="G2471" s="36" t="str">
        <f>IF(ISNUMBER(F2471),C2471*F2471,"")</f>
        <v/>
      </c>
    </row>
    <row r="2472" spans="1:7" ht="24" customHeight="1" outlineLevel="1" x14ac:dyDescent="0.2">
      <c r="A2472" s="14" t="s">
        <v>4882</v>
      </c>
      <c r="B2472" s="15" t="s">
        <v>4883</v>
      </c>
      <c r="C2472" s="16">
        <f>140.37/(1+B2)</f>
        <v>140.37</v>
      </c>
      <c r="D2472" s="17" t="s">
        <v>11</v>
      </c>
      <c r="E2472" s="17"/>
      <c r="F2472" s="18"/>
      <c r="G2472" s="36" t="str">
        <f>IF(ISNUMBER(F2472),C2472*F2472,"")</f>
        <v/>
      </c>
    </row>
    <row r="2473" spans="1:7" ht="24" customHeight="1" outlineLevel="1" x14ac:dyDescent="0.2">
      <c r="A2473" s="14" t="s">
        <v>4884</v>
      </c>
      <c r="B2473" s="15" t="s">
        <v>4885</v>
      </c>
      <c r="C2473" s="16">
        <f>82.29/(1+B2)</f>
        <v>82.29</v>
      </c>
      <c r="D2473" s="17" t="s">
        <v>11</v>
      </c>
      <c r="E2473" s="17" t="s">
        <v>53</v>
      </c>
      <c r="F2473" s="18"/>
      <c r="G2473" s="36" t="str">
        <f>IF(ISNUMBER(F2473),C2473*F2473,"")</f>
        <v/>
      </c>
    </row>
    <row r="2474" spans="1:7" ht="24" customHeight="1" outlineLevel="1" x14ac:dyDescent="0.2">
      <c r="A2474" s="14" t="s">
        <v>4886</v>
      </c>
      <c r="B2474" s="15" t="s">
        <v>4887</v>
      </c>
      <c r="C2474" s="16">
        <f>126.82/(1+B2)</f>
        <v>126.82</v>
      </c>
      <c r="D2474" s="17" t="s">
        <v>14</v>
      </c>
      <c r="E2474" s="17"/>
      <c r="F2474" s="18"/>
      <c r="G2474" s="36" t="str">
        <f>IF(ISNUMBER(F2474),C2474*F2474,"")</f>
        <v/>
      </c>
    </row>
    <row r="2475" spans="1:7" ht="24" customHeight="1" outlineLevel="1" x14ac:dyDescent="0.2">
      <c r="A2475" s="14" t="s">
        <v>4888</v>
      </c>
      <c r="B2475" s="15" t="s">
        <v>4889</v>
      </c>
      <c r="C2475" s="16">
        <f>62.93/(1+B2)</f>
        <v>62.93</v>
      </c>
      <c r="D2475" s="17" t="s">
        <v>53</v>
      </c>
      <c r="E2475" s="17"/>
      <c r="F2475" s="18"/>
      <c r="G2475" s="36" t="str">
        <f>IF(ISNUMBER(F2475),C2475*F2475,"")</f>
        <v/>
      </c>
    </row>
    <row r="2476" spans="1:7" ht="24" customHeight="1" outlineLevel="1" x14ac:dyDescent="0.2">
      <c r="A2476" s="14" t="s">
        <v>4890</v>
      </c>
      <c r="B2476" s="15" t="s">
        <v>4891</v>
      </c>
      <c r="C2476" s="16">
        <f>74.54/(1+B2)</f>
        <v>74.540000000000006</v>
      </c>
      <c r="D2476" s="17" t="s">
        <v>53</v>
      </c>
      <c r="E2476" s="17"/>
      <c r="F2476" s="18"/>
      <c r="G2476" s="36" t="str">
        <f>IF(ISNUMBER(F2476),C2476*F2476,"")</f>
        <v/>
      </c>
    </row>
    <row r="2477" spans="1:7" ht="12" customHeight="1" outlineLevel="1" x14ac:dyDescent="0.2">
      <c r="A2477" s="14" t="s">
        <v>4892</v>
      </c>
      <c r="B2477" s="15" t="s">
        <v>4893</v>
      </c>
      <c r="C2477" s="16">
        <f>438.72/(1+B2)</f>
        <v>438.72</v>
      </c>
      <c r="D2477" s="17" t="s">
        <v>11</v>
      </c>
      <c r="E2477" s="17" t="s">
        <v>53</v>
      </c>
      <c r="F2477" s="18"/>
      <c r="G2477" s="36" t="str">
        <f>IF(ISNUMBER(F2477),C2477*F2477,"")</f>
        <v/>
      </c>
    </row>
    <row r="2478" spans="1:7" ht="24" customHeight="1" outlineLevel="1" x14ac:dyDescent="0.2">
      <c r="A2478" s="14" t="s">
        <v>4894</v>
      </c>
      <c r="B2478" s="15" t="s">
        <v>4895</v>
      </c>
      <c r="C2478" s="16">
        <f>102.62/(1+B2)</f>
        <v>102.62</v>
      </c>
      <c r="D2478" s="17" t="s">
        <v>11</v>
      </c>
      <c r="E2478" s="17"/>
      <c r="F2478" s="18"/>
      <c r="G2478" s="36" t="str">
        <f>IF(ISNUMBER(F2478),C2478*F2478,"")</f>
        <v/>
      </c>
    </row>
    <row r="2479" spans="1:7" ht="24" customHeight="1" outlineLevel="1" x14ac:dyDescent="0.2">
      <c r="A2479" s="14" t="s">
        <v>4896</v>
      </c>
      <c r="B2479" s="15" t="s">
        <v>4897</v>
      </c>
      <c r="C2479" s="16">
        <f>97/(1+B2)</f>
        <v>97</v>
      </c>
      <c r="D2479" s="17" t="s">
        <v>11</v>
      </c>
      <c r="E2479" s="17" t="s">
        <v>53</v>
      </c>
      <c r="F2479" s="18"/>
      <c r="G2479" s="36" t="str">
        <f>IF(ISNUMBER(F2479),C2479*F2479,"")</f>
        <v/>
      </c>
    </row>
    <row r="2480" spans="1:7" ht="24" customHeight="1" outlineLevel="1" x14ac:dyDescent="0.2">
      <c r="A2480" s="14" t="s">
        <v>4898</v>
      </c>
      <c r="B2480" s="15" t="s">
        <v>4899</v>
      </c>
      <c r="C2480" s="16">
        <f>141/(1+B2)</f>
        <v>141</v>
      </c>
      <c r="D2480" s="17" t="s">
        <v>14</v>
      </c>
      <c r="E2480" s="17" t="s">
        <v>106</v>
      </c>
      <c r="F2480" s="18"/>
      <c r="G2480" s="36" t="str">
        <f>IF(ISNUMBER(F2480),C2480*F2480,"")</f>
        <v/>
      </c>
    </row>
    <row r="2481" spans="1:7" ht="12" customHeight="1" outlineLevel="1" x14ac:dyDescent="0.2">
      <c r="A2481" s="14" t="s">
        <v>4900</v>
      </c>
      <c r="B2481" s="15" t="s">
        <v>4901</v>
      </c>
      <c r="C2481" s="16">
        <f>40.66/(1+B2)</f>
        <v>40.659999999999997</v>
      </c>
      <c r="D2481" s="17" t="s">
        <v>11</v>
      </c>
      <c r="E2481" s="17" t="s">
        <v>14</v>
      </c>
      <c r="F2481" s="18"/>
      <c r="G2481" s="36" t="str">
        <f>IF(ISNUMBER(F2481),C2481*F2481,"")</f>
        <v/>
      </c>
    </row>
    <row r="2482" spans="1:7" ht="24" customHeight="1" outlineLevel="1" x14ac:dyDescent="0.2">
      <c r="A2482" s="14" t="s">
        <v>4902</v>
      </c>
      <c r="B2482" s="15" t="s">
        <v>4903</v>
      </c>
      <c r="C2482" s="19">
        <f>1606.38/(1+B2)</f>
        <v>1606.38</v>
      </c>
      <c r="D2482" s="17" t="s">
        <v>11</v>
      </c>
      <c r="E2482" s="17"/>
      <c r="F2482" s="18"/>
      <c r="G2482" s="36" t="str">
        <f>IF(ISNUMBER(F2482),C2482*F2482,"")</f>
        <v/>
      </c>
    </row>
    <row r="2483" spans="1:7" ht="24" customHeight="1" outlineLevel="1" x14ac:dyDescent="0.2">
      <c r="A2483" s="14" t="s">
        <v>4904</v>
      </c>
      <c r="B2483" s="15" t="s">
        <v>4905</v>
      </c>
      <c r="C2483" s="16">
        <f>170/(1+B2)</f>
        <v>170</v>
      </c>
      <c r="D2483" s="17" t="s">
        <v>14</v>
      </c>
      <c r="E2483" s="17" t="s">
        <v>106</v>
      </c>
      <c r="F2483" s="18"/>
      <c r="G2483" s="36" t="str">
        <f>IF(ISNUMBER(F2483),C2483*F2483,"")</f>
        <v/>
      </c>
    </row>
    <row r="2484" spans="1:7" ht="24" customHeight="1" outlineLevel="1" x14ac:dyDescent="0.2">
      <c r="A2484" s="14" t="s">
        <v>4906</v>
      </c>
      <c r="B2484" s="15" t="s">
        <v>4907</v>
      </c>
      <c r="C2484" s="19">
        <f>4185/(1+B2)</f>
        <v>4185</v>
      </c>
      <c r="D2484" s="17" t="s">
        <v>11</v>
      </c>
      <c r="E2484" s="17"/>
      <c r="F2484" s="18"/>
      <c r="G2484" s="36" t="str">
        <f>IF(ISNUMBER(F2484),C2484*F2484,"")</f>
        <v/>
      </c>
    </row>
    <row r="2485" spans="1:7" ht="24" customHeight="1" outlineLevel="1" x14ac:dyDescent="0.2">
      <c r="A2485" s="14" t="s">
        <v>4908</v>
      </c>
      <c r="B2485" s="15" t="s">
        <v>4909</v>
      </c>
      <c r="C2485" s="16">
        <f>183/(1+B2)</f>
        <v>183</v>
      </c>
      <c r="D2485" s="17" t="s">
        <v>11</v>
      </c>
      <c r="E2485" s="17" t="s">
        <v>106</v>
      </c>
      <c r="F2485" s="18"/>
      <c r="G2485" s="36" t="str">
        <f>IF(ISNUMBER(F2485),C2485*F2485,"")</f>
        <v/>
      </c>
    </row>
    <row r="2486" spans="1:7" ht="12" customHeight="1" outlineLevel="1" x14ac:dyDescent="0.2">
      <c r="A2486" s="14" t="s">
        <v>4910</v>
      </c>
      <c r="B2486" s="15" t="s">
        <v>4911</v>
      </c>
      <c r="C2486" s="16">
        <f>253/(1+B2)</f>
        <v>253</v>
      </c>
      <c r="D2486" s="17" t="s">
        <v>11</v>
      </c>
      <c r="E2486" s="17" t="s">
        <v>11</v>
      </c>
      <c r="F2486" s="18"/>
      <c r="G2486" s="36" t="str">
        <f>IF(ISNUMBER(F2486),C2486*F2486,"")</f>
        <v/>
      </c>
    </row>
    <row r="2487" spans="1:7" ht="12" customHeight="1" outlineLevel="1" x14ac:dyDescent="0.2">
      <c r="A2487" s="14" t="s">
        <v>4912</v>
      </c>
      <c r="B2487" s="15" t="s">
        <v>4913</v>
      </c>
      <c r="C2487" s="16">
        <f>294/(1+B2)</f>
        <v>294</v>
      </c>
      <c r="D2487" s="17" t="s">
        <v>11</v>
      </c>
      <c r="E2487" s="17" t="s">
        <v>106</v>
      </c>
      <c r="F2487" s="18"/>
      <c r="G2487" s="36" t="str">
        <f>IF(ISNUMBER(F2487),C2487*F2487,"")</f>
        <v/>
      </c>
    </row>
    <row r="2488" spans="1:7" ht="12" customHeight="1" outlineLevel="1" x14ac:dyDescent="0.2">
      <c r="A2488" s="14" t="s">
        <v>4914</v>
      </c>
      <c r="B2488" s="15" t="s">
        <v>4915</v>
      </c>
      <c r="C2488" s="16">
        <f>324/(1+B2)</f>
        <v>324</v>
      </c>
      <c r="D2488" s="17" t="s">
        <v>11</v>
      </c>
      <c r="E2488" s="17" t="s">
        <v>53</v>
      </c>
      <c r="F2488" s="18"/>
      <c r="G2488" s="36" t="str">
        <f>IF(ISNUMBER(F2488),C2488*F2488,"")</f>
        <v/>
      </c>
    </row>
    <row r="2489" spans="1:7" ht="24" customHeight="1" outlineLevel="1" x14ac:dyDescent="0.2">
      <c r="A2489" s="14" t="s">
        <v>4916</v>
      </c>
      <c r="B2489" s="15" t="s">
        <v>4917</v>
      </c>
      <c r="C2489" s="16">
        <f>77.45/(1+B2)</f>
        <v>77.45</v>
      </c>
      <c r="D2489" s="17" t="s">
        <v>53</v>
      </c>
      <c r="E2489" s="17"/>
      <c r="F2489" s="18"/>
      <c r="G2489" s="36" t="str">
        <f>IF(ISNUMBER(F2489),C2489*F2489,"")</f>
        <v/>
      </c>
    </row>
    <row r="2490" spans="1:7" ht="24" customHeight="1" outlineLevel="1" x14ac:dyDescent="0.2">
      <c r="A2490" s="14" t="s">
        <v>4918</v>
      </c>
      <c r="B2490" s="15" t="s">
        <v>4919</v>
      </c>
      <c r="C2490" s="16">
        <f>95.84/(1+B2)</f>
        <v>95.84</v>
      </c>
      <c r="D2490" s="17" t="s">
        <v>14</v>
      </c>
      <c r="E2490" s="17"/>
      <c r="F2490" s="18"/>
      <c r="G2490" s="36" t="str">
        <f>IF(ISNUMBER(F2490),C2490*F2490,"")</f>
        <v/>
      </c>
    </row>
    <row r="2491" spans="1:7" ht="24" customHeight="1" outlineLevel="1" x14ac:dyDescent="0.2">
      <c r="A2491" s="14" t="s">
        <v>4920</v>
      </c>
      <c r="B2491" s="15" t="s">
        <v>4921</v>
      </c>
      <c r="C2491" s="16">
        <f>127.79/(1+B2)</f>
        <v>127.79</v>
      </c>
      <c r="D2491" s="17" t="s">
        <v>11</v>
      </c>
      <c r="E2491" s="17"/>
      <c r="F2491" s="18"/>
      <c r="G2491" s="36" t="str">
        <f>IF(ISNUMBER(F2491),C2491*F2491,"")</f>
        <v/>
      </c>
    </row>
    <row r="2492" spans="1:7" ht="12" customHeight="1" outlineLevel="1" x14ac:dyDescent="0.2">
      <c r="A2492" s="14" t="s">
        <v>4922</v>
      </c>
      <c r="B2492" s="15" t="s">
        <v>4923</v>
      </c>
      <c r="C2492" s="16">
        <f>118.98/(1+B2)</f>
        <v>118.98</v>
      </c>
      <c r="D2492" s="17" t="s">
        <v>11</v>
      </c>
      <c r="E2492" s="17" t="s">
        <v>106</v>
      </c>
      <c r="F2492" s="18"/>
      <c r="G2492" s="36" t="str">
        <f>IF(ISNUMBER(F2492),C2492*F2492,"")</f>
        <v/>
      </c>
    </row>
    <row r="2493" spans="1:7" ht="12" customHeight="1" outlineLevel="1" x14ac:dyDescent="0.2">
      <c r="A2493" s="14" t="s">
        <v>4924</v>
      </c>
      <c r="B2493" s="15" t="s">
        <v>4925</v>
      </c>
      <c r="C2493" s="16">
        <f>557.7/(1+B2)</f>
        <v>557.70000000000005</v>
      </c>
      <c r="D2493" s="17" t="s">
        <v>11</v>
      </c>
      <c r="E2493" s="17" t="s">
        <v>14</v>
      </c>
      <c r="F2493" s="18"/>
      <c r="G2493" s="36" t="str">
        <f>IF(ISNUMBER(F2493),C2493*F2493,"")</f>
        <v/>
      </c>
    </row>
    <row r="2494" spans="1:7" ht="12" customHeight="1" outlineLevel="1" x14ac:dyDescent="0.2">
      <c r="A2494" s="14" t="s">
        <v>4926</v>
      </c>
      <c r="B2494" s="15" t="s">
        <v>4927</v>
      </c>
      <c r="C2494" s="16">
        <f>141.28/(1+B2)</f>
        <v>141.28</v>
      </c>
      <c r="D2494" s="17" t="s">
        <v>11</v>
      </c>
      <c r="E2494" s="17" t="s">
        <v>106</v>
      </c>
      <c r="F2494" s="18"/>
      <c r="G2494" s="36" t="str">
        <f>IF(ISNUMBER(F2494),C2494*F2494,"")</f>
        <v/>
      </c>
    </row>
    <row r="2495" spans="1:7" ht="24" customHeight="1" outlineLevel="1" x14ac:dyDescent="0.2">
      <c r="A2495" s="14" t="s">
        <v>4928</v>
      </c>
      <c r="B2495" s="15" t="s">
        <v>4929</v>
      </c>
      <c r="C2495" s="16">
        <f>113.27/(1+B2)</f>
        <v>113.27</v>
      </c>
      <c r="D2495" s="17" t="s">
        <v>53</v>
      </c>
      <c r="E2495" s="17"/>
      <c r="F2495" s="18"/>
      <c r="G2495" s="36" t="str">
        <f>IF(ISNUMBER(F2495),C2495*F2495,"")</f>
        <v/>
      </c>
    </row>
    <row r="2496" spans="1:7" ht="24" customHeight="1" outlineLevel="1" x14ac:dyDescent="0.2">
      <c r="A2496" s="14" t="s">
        <v>4930</v>
      </c>
      <c r="B2496" s="15" t="s">
        <v>4931</v>
      </c>
      <c r="C2496" s="16">
        <f>99/(1+B2)</f>
        <v>99</v>
      </c>
      <c r="D2496" s="17" t="s">
        <v>11</v>
      </c>
      <c r="E2496" s="17" t="s">
        <v>53</v>
      </c>
      <c r="F2496" s="18"/>
      <c r="G2496" s="36" t="str">
        <f>IF(ISNUMBER(F2496),C2496*F2496,"")</f>
        <v/>
      </c>
    </row>
    <row r="2497" spans="1:7" ht="24" customHeight="1" outlineLevel="1" x14ac:dyDescent="0.2">
      <c r="A2497" s="14" t="s">
        <v>4932</v>
      </c>
      <c r="B2497" s="15" t="s">
        <v>4933</v>
      </c>
      <c r="C2497" s="16">
        <f>146/(1+B2)</f>
        <v>146</v>
      </c>
      <c r="D2497" s="17" t="s">
        <v>11</v>
      </c>
      <c r="E2497" s="17" t="s">
        <v>106</v>
      </c>
      <c r="F2497" s="18"/>
      <c r="G2497" s="36" t="str">
        <f>IF(ISNUMBER(F2497),C2497*F2497,"")</f>
        <v/>
      </c>
    </row>
    <row r="2498" spans="1:7" ht="24" customHeight="1" outlineLevel="1" x14ac:dyDescent="0.2">
      <c r="A2498" s="14" t="s">
        <v>4934</v>
      </c>
      <c r="B2498" s="15" t="s">
        <v>4935</v>
      </c>
      <c r="C2498" s="16">
        <f>173/(1+B2)</f>
        <v>173</v>
      </c>
      <c r="D2498" s="17" t="s">
        <v>11</v>
      </c>
      <c r="E2498" s="17" t="s">
        <v>106</v>
      </c>
      <c r="F2498" s="18"/>
      <c r="G2498" s="36" t="str">
        <f>IF(ISNUMBER(F2498),C2498*F2498,"")</f>
        <v/>
      </c>
    </row>
    <row r="2499" spans="1:7" ht="24" customHeight="1" outlineLevel="1" x14ac:dyDescent="0.2">
      <c r="A2499" s="14" t="s">
        <v>4936</v>
      </c>
      <c r="B2499" s="15" t="s">
        <v>4937</v>
      </c>
      <c r="C2499" s="16">
        <f>187/(1+B2)</f>
        <v>187</v>
      </c>
      <c r="D2499" s="17" t="s">
        <v>11</v>
      </c>
      <c r="E2499" s="17" t="s">
        <v>106</v>
      </c>
      <c r="F2499" s="18"/>
      <c r="G2499" s="36" t="str">
        <f>IF(ISNUMBER(F2499),C2499*F2499,"")</f>
        <v/>
      </c>
    </row>
    <row r="2500" spans="1:7" ht="24" customHeight="1" outlineLevel="1" x14ac:dyDescent="0.2">
      <c r="A2500" s="14" t="s">
        <v>4938</v>
      </c>
      <c r="B2500" s="15" t="s">
        <v>4939</v>
      </c>
      <c r="C2500" s="16">
        <f>59.05/(1+B2)</f>
        <v>59.05</v>
      </c>
      <c r="D2500" s="17" t="s">
        <v>14</v>
      </c>
      <c r="E2500" s="17"/>
      <c r="F2500" s="18"/>
      <c r="G2500" s="36" t="str">
        <f>IF(ISNUMBER(F2500),C2500*F2500,"")</f>
        <v/>
      </c>
    </row>
    <row r="2501" spans="1:7" ht="24" customHeight="1" outlineLevel="1" x14ac:dyDescent="0.2">
      <c r="A2501" s="14" t="s">
        <v>4940</v>
      </c>
      <c r="B2501" s="15" t="s">
        <v>4941</v>
      </c>
      <c r="C2501" s="16">
        <f>83.26/(1+B2)</f>
        <v>83.26</v>
      </c>
      <c r="D2501" s="17" t="s">
        <v>14</v>
      </c>
      <c r="E2501" s="17"/>
      <c r="F2501" s="18"/>
      <c r="G2501" s="36" t="str">
        <f>IF(ISNUMBER(F2501),C2501*F2501,"")</f>
        <v/>
      </c>
    </row>
    <row r="2502" spans="1:7" ht="12" customHeight="1" outlineLevel="1" x14ac:dyDescent="0.2">
      <c r="A2502" s="14" t="s">
        <v>4942</v>
      </c>
      <c r="B2502" s="15" t="s">
        <v>4943</v>
      </c>
      <c r="C2502" s="16">
        <f>126.41/(1+B2)</f>
        <v>126.41</v>
      </c>
      <c r="D2502" s="17" t="s">
        <v>11</v>
      </c>
      <c r="E2502" s="17" t="s">
        <v>53</v>
      </c>
      <c r="F2502" s="18"/>
      <c r="G2502" s="36" t="str">
        <f>IF(ISNUMBER(F2502),C2502*F2502,"")</f>
        <v/>
      </c>
    </row>
    <row r="2503" spans="1:7" ht="24" customHeight="1" outlineLevel="1" x14ac:dyDescent="0.2">
      <c r="A2503" s="14" t="s">
        <v>4944</v>
      </c>
      <c r="B2503" s="15" t="s">
        <v>4945</v>
      </c>
      <c r="C2503" s="19">
        <f>1331.04/(1+B2)</f>
        <v>1331.04</v>
      </c>
      <c r="D2503" s="17" t="s">
        <v>11</v>
      </c>
      <c r="E2503" s="17" t="s">
        <v>11</v>
      </c>
      <c r="F2503" s="18"/>
      <c r="G2503" s="36" t="str">
        <f>IF(ISNUMBER(F2503),C2503*F2503,"")</f>
        <v/>
      </c>
    </row>
    <row r="2504" spans="1:7" ht="24" customHeight="1" outlineLevel="1" x14ac:dyDescent="0.2">
      <c r="A2504" s="14" t="s">
        <v>4946</v>
      </c>
      <c r="B2504" s="15" t="s">
        <v>4947</v>
      </c>
      <c r="C2504" s="16">
        <f>96/(1+B2)</f>
        <v>96</v>
      </c>
      <c r="D2504" s="17" t="s">
        <v>11</v>
      </c>
      <c r="E2504" s="17" t="s">
        <v>53</v>
      </c>
      <c r="F2504" s="18"/>
      <c r="G2504" s="36" t="str">
        <f>IF(ISNUMBER(F2504),C2504*F2504,"")</f>
        <v/>
      </c>
    </row>
    <row r="2505" spans="1:7" ht="24" customHeight="1" outlineLevel="1" x14ac:dyDescent="0.2">
      <c r="A2505" s="14" t="s">
        <v>4948</v>
      </c>
      <c r="B2505" s="15" t="s">
        <v>4949</v>
      </c>
      <c r="C2505" s="16">
        <f>129/(1+B2)</f>
        <v>129</v>
      </c>
      <c r="D2505" s="17" t="s">
        <v>53</v>
      </c>
      <c r="E2505" s="17" t="s">
        <v>53</v>
      </c>
      <c r="F2505" s="18"/>
      <c r="G2505" s="36" t="str">
        <f>IF(ISNUMBER(F2505),C2505*F2505,"")</f>
        <v/>
      </c>
    </row>
    <row r="2506" spans="1:7" ht="24" customHeight="1" outlineLevel="1" x14ac:dyDescent="0.2">
      <c r="A2506" s="14" t="s">
        <v>4950</v>
      </c>
      <c r="B2506" s="15" t="s">
        <v>4951</v>
      </c>
      <c r="C2506" s="16">
        <f>109.39/(1+B2)</f>
        <v>109.39</v>
      </c>
      <c r="D2506" s="17" t="s">
        <v>14</v>
      </c>
      <c r="E2506" s="17"/>
      <c r="F2506" s="18"/>
      <c r="G2506" s="36" t="str">
        <f>IF(ISNUMBER(F2506),C2506*F2506,"")</f>
        <v/>
      </c>
    </row>
    <row r="2507" spans="1:7" ht="24" customHeight="1" outlineLevel="1" x14ac:dyDescent="0.2">
      <c r="A2507" s="14" t="s">
        <v>4952</v>
      </c>
      <c r="B2507" s="15" t="s">
        <v>4953</v>
      </c>
      <c r="C2507" s="16">
        <f>154/(1+B2)</f>
        <v>154</v>
      </c>
      <c r="D2507" s="17" t="s">
        <v>14</v>
      </c>
      <c r="E2507" s="17" t="s">
        <v>106</v>
      </c>
      <c r="F2507" s="18"/>
      <c r="G2507" s="36" t="str">
        <f>IF(ISNUMBER(F2507),C2507*F2507,"")</f>
        <v/>
      </c>
    </row>
    <row r="2508" spans="1:7" ht="12" customHeight="1" outlineLevel="1" x14ac:dyDescent="0.2">
      <c r="A2508" s="14" t="s">
        <v>4954</v>
      </c>
      <c r="B2508" s="15" t="s">
        <v>4955</v>
      </c>
      <c r="C2508" s="16">
        <f>43.56/(1+B2)</f>
        <v>43.56</v>
      </c>
      <c r="D2508" s="17" t="s">
        <v>11</v>
      </c>
      <c r="E2508" s="17" t="s">
        <v>53</v>
      </c>
      <c r="F2508" s="18"/>
      <c r="G2508" s="36" t="str">
        <f>IF(ISNUMBER(F2508),C2508*F2508,"")</f>
        <v/>
      </c>
    </row>
    <row r="2509" spans="1:7" ht="24" customHeight="1" outlineLevel="1" x14ac:dyDescent="0.2">
      <c r="A2509" s="14" t="s">
        <v>4956</v>
      </c>
      <c r="B2509" s="15" t="s">
        <v>4957</v>
      </c>
      <c r="C2509" s="19">
        <f>4185/(1+B2)</f>
        <v>4185</v>
      </c>
      <c r="D2509" s="17" t="s">
        <v>11</v>
      </c>
      <c r="E2509" s="17" t="s">
        <v>11</v>
      </c>
      <c r="F2509" s="18"/>
      <c r="G2509" s="36" t="str">
        <f>IF(ISNUMBER(F2509),C2509*F2509,"")</f>
        <v/>
      </c>
    </row>
    <row r="2510" spans="1:7" ht="24" customHeight="1" outlineLevel="1" x14ac:dyDescent="0.2">
      <c r="A2510" s="14" t="s">
        <v>4958</v>
      </c>
      <c r="B2510" s="15" t="s">
        <v>4959</v>
      </c>
      <c r="C2510" s="16">
        <f>171/(1+B2)</f>
        <v>171</v>
      </c>
      <c r="D2510" s="17" t="s">
        <v>11</v>
      </c>
      <c r="E2510" s="17" t="s">
        <v>106</v>
      </c>
      <c r="F2510" s="18"/>
      <c r="G2510" s="36" t="str">
        <f>IF(ISNUMBER(F2510),C2510*F2510,"")</f>
        <v/>
      </c>
    </row>
    <row r="2511" spans="1:7" ht="12" customHeight="1" outlineLevel="1" x14ac:dyDescent="0.2">
      <c r="A2511" s="14" t="s">
        <v>4960</v>
      </c>
      <c r="B2511" s="15" t="s">
        <v>4961</v>
      </c>
      <c r="C2511" s="16">
        <f>117.14/(1+B2)</f>
        <v>117.14</v>
      </c>
      <c r="D2511" s="17" t="s">
        <v>11</v>
      </c>
      <c r="E2511" s="17"/>
      <c r="F2511" s="18"/>
      <c r="G2511" s="36" t="str">
        <f>IF(ISNUMBER(F2511),C2511*F2511,"")</f>
        <v/>
      </c>
    </row>
    <row r="2512" spans="1:7" ht="24" customHeight="1" outlineLevel="1" x14ac:dyDescent="0.2">
      <c r="A2512" s="14" t="s">
        <v>4962</v>
      </c>
      <c r="B2512" s="15" t="s">
        <v>4963</v>
      </c>
      <c r="C2512" s="16">
        <f>241/(1+B2)</f>
        <v>241</v>
      </c>
      <c r="D2512" s="17" t="s">
        <v>14</v>
      </c>
      <c r="E2512" s="17"/>
      <c r="F2512" s="18"/>
      <c r="G2512" s="36" t="str">
        <f>IF(ISNUMBER(F2512),C2512*F2512,"")</f>
        <v/>
      </c>
    </row>
    <row r="2513" spans="1:7" ht="24" customHeight="1" outlineLevel="1" x14ac:dyDescent="0.2">
      <c r="A2513" s="14" t="s">
        <v>4964</v>
      </c>
      <c r="B2513" s="15" t="s">
        <v>4965</v>
      </c>
      <c r="C2513" s="16">
        <f>285/(1+B2)</f>
        <v>285</v>
      </c>
      <c r="D2513" s="17" t="s">
        <v>11</v>
      </c>
      <c r="E2513" s="17" t="s">
        <v>106</v>
      </c>
      <c r="F2513" s="18"/>
      <c r="G2513" s="36" t="str">
        <f>IF(ISNUMBER(F2513),C2513*F2513,"")</f>
        <v/>
      </c>
    </row>
    <row r="2514" spans="1:7" ht="24" customHeight="1" outlineLevel="1" x14ac:dyDescent="0.2">
      <c r="A2514" s="14" t="s">
        <v>4966</v>
      </c>
      <c r="B2514" s="15" t="s">
        <v>4967</v>
      </c>
      <c r="C2514" s="19">
        <f>7606/(1+B2)</f>
        <v>7606</v>
      </c>
      <c r="D2514" s="17" t="s">
        <v>11</v>
      </c>
      <c r="E2514" s="17" t="s">
        <v>11</v>
      </c>
      <c r="F2514" s="18"/>
      <c r="G2514" s="36" t="str">
        <f>IF(ISNUMBER(F2514),C2514*F2514,"")</f>
        <v/>
      </c>
    </row>
    <row r="2515" spans="1:7" ht="24" customHeight="1" outlineLevel="1" x14ac:dyDescent="0.2">
      <c r="A2515" s="14" t="s">
        <v>4968</v>
      </c>
      <c r="B2515" s="15" t="s">
        <v>4969</v>
      </c>
      <c r="C2515" s="16">
        <f>314/(1+B2)</f>
        <v>314</v>
      </c>
      <c r="D2515" s="17" t="s">
        <v>11</v>
      </c>
      <c r="E2515" s="17" t="s">
        <v>14</v>
      </c>
      <c r="F2515" s="18"/>
      <c r="G2515" s="36" t="str">
        <f>IF(ISNUMBER(F2515),C2515*F2515,"")</f>
        <v/>
      </c>
    </row>
    <row r="2516" spans="1:7" s="1" customFormat="1" ht="15.95" customHeight="1" x14ac:dyDescent="0.25">
      <c r="A2516" s="8"/>
      <c r="B2516" s="9" t="s">
        <v>4970</v>
      </c>
      <c r="C2516" s="10"/>
      <c r="D2516" s="10"/>
      <c r="E2516" s="10"/>
      <c r="F2516" s="10"/>
      <c r="G2516" s="34"/>
    </row>
    <row r="2517" spans="1:7" s="1" customFormat="1" ht="15.95" customHeight="1" outlineLevel="1" x14ac:dyDescent="0.25">
      <c r="A2517" s="11"/>
      <c r="B2517" s="12" t="s">
        <v>4971</v>
      </c>
      <c r="C2517" s="13"/>
      <c r="D2517" s="13"/>
      <c r="E2517" s="13"/>
      <c r="F2517" s="13"/>
      <c r="G2517" s="35"/>
    </row>
    <row r="2518" spans="1:7" ht="24" customHeight="1" outlineLevel="2" x14ac:dyDescent="0.2">
      <c r="A2518" s="14" t="s">
        <v>4972</v>
      </c>
      <c r="B2518" s="15" t="s">
        <v>4973</v>
      </c>
      <c r="C2518" s="19">
        <f>2007.81/(1+B2)</f>
        <v>2007.81</v>
      </c>
      <c r="D2518" s="17" t="s">
        <v>11</v>
      </c>
      <c r="E2518" s="17"/>
      <c r="F2518" s="18"/>
      <c r="G2518" s="36" t="str">
        <f>IF(ISNUMBER(F2518),C2518*F2518,"")</f>
        <v/>
      </c>
    </row>
    <row r="2519" spans="1:7" ht="24" customHeight="1" outlineLevel="2" x14ac:dyDescent="0.2">
      <c r="A2519" s="14" t="s">
        <v>4974</v>
      </c>
      <c r="B2519" s="15" t="s">
        <v>4975</v>
      </c>
      <c r="C2519" s="19">
        <f>2224.67/(1+B2)</f>
        <v>2224.67</v>
      </c>
      <c r="D2519" s="17" t="s">
        <v>11</v>
      </c>
      <c r="E2519" s="17"/>
      <c r="F2519" s="18"/>
      <c r="G2519" s="36" t="str">
        <f>IF(ISNUMBER(F2519),C2519*F2519,"")</f>
        <v/>
      </c>
    </row>
    <row r="2520" spans="1:7" ht="24" customHeight="1" outlineLevel="2" x14ac:dyDescent="0.2">
      <c r="A2520" s="14" t="s">
        <v>4976</v>
      </c>
      <c r="B2520" s="15" t="s">
        <v>4977</v>
      </c>
      <c r="C2520" s="19">
        <f>2524.77/(1+B2)</f>
        <v>2524.77</v>
      </c>
      <c r="D2520" s="17" t="s">
        <v>11</v>
      </c>
      <c r="E2520" s="17"/>
      <c r="F2520" s="18"/>
      <c r="G2520" s="36" t="str">
        <f>IF(ISNUMBER(F2520),C2520*F2520,"")</f>
        <v/>
      </c>
    </row>
    <row r="2521" spans="1:7" ht="24" customHeight="1" outlineLevel="2" x14ac:dyDescent="0.2">
      <c r="A2521" s="14" t="s">
        <v>4978</v>
      </c>
      <c r="B2521" s="15" t="s">
        <v>4979</v>
      </c>
      <c r="C2521" s="19">
        <f>2027.18/(1+B2)</f>
        <v>2027.18</v>
      </c>
      <c r="D2521" s="17" t="s">
        <v>11</v>
      </c>
      <c r="E2521" s="17"/>
      <c r="F2521" s="18"/>
      <c r="G2521" s="36" t="str">
        <f>IF(ISNUMBER(F2521),C2521*F2521,"")</f>
        <v/>
      </c>
    </row>
    <row r="2522" spans="1:7" ht="24" customHeight="1" outlineLevel="2" x14ac:dyDescent="0.2">
      <c r="A2522" s="14" t="s">
        <v>4980</v>
      </c>
      <c r="B2522" s="15" t="s">
        <v>4981</v>
      </c>
      <c r="C2522" s="19">
        <f>3052.38/(1+B2)</f>
        <v>3052.38</v>
      </c>
      <c r="D2522" s="17" t="s">
        <v>11</v>
      </c>
      <c r="E2522" s="17"/>
      <c r="F2522" s="18"/>
      <c r="G2522" s="36" t="str">
        <f>IF(ISNUMBER(F2522),C2522*F2522,"")</f>
        <v/>
      </c>
    </row>
    <row r="2523" spans="1:7" ht="24" customHeight="1" outlineLevel="2" x14ac:dyDescent="0.2">
      <c r="A2523" s="14" t="s">
        <v>4982</v>
      </c>
      <c r="B2523" s="15" t="s">
        <v>4983</v>
      </c>
      <c r="C2523" s="19">
        <f>2263.39/(1+B2)</f>
        <v>2263.39</v>
      </c>
      <c r="D2523" s="17" t="s">
        <v>11</v>
      </c>
      <c r="E2523" s="17"/>
      <c r="F2523" s="18"/>
      <c r="G2523" s="36" t="str">
        <f>IF(ISNUMBER(F2523),C2523*F2523,"")</f>
        <v/>
      </c>
    </row>
    <row r="2524" spans="1:7" s="1" customFormat="1" ht="15.95" customHeight="1" outlineLevel="1" x14ac:dyDescent="0.25">
      <c r="A2524" s="11"/>
      <c r="B2524" s="12" t="s">
        <v>4984</v>
      </c>
      <c r="C2524" s="13"/>
      <c r="D2524" s="13"/>
      <c r="E2524" s="13"/>
      <c r="F2524" s="13"/>
      <c r="G2524" s="35"/>
    </row>
    <row r="2525" spans="1:7" s="1" customFormat="1" ht="12.95" customHeight="1" outlineLevel="2" x14ac:dyDescent="0.2">
      <c r="A2525" s="20"/>
      <c r="B2525" s="21" t="s">
        <v>4985</v>
      </c>
      <c r="C2525" s="22"/>
      <c r="D2525" s="22"/>
      <c r="E2525" s="22"/>
      <c r="F2525" s="22"/>
      <c r="G2525" s="37"/>
    </row>
    <row r="2526" spans="1:7" ht="12" customHeight="1" outlineLevel="3" x14ac:dyDescent="0.2">
      <c r="A2526" s="14" t="s">
        <v>4986</v>
      </c>
      <c r="B2526" s="15" t="s">
        <v>4987</v>
      </c>
      <c r="C2526" s="19">
        <f>9484.8/(1+B2)</f>
        <v>9484.7999999999993</v>
      </c>
      <c r="D2526" s="17" t="s">
        <v>11</v>
      </c>
      <c r="E2526" s="17"/>
      <c r="F2526" s="18"/>
      <c r="G2526" s="36" t="str">
        <f>IF(ISNUMBER(F2526),C2526*F2526,"")</f>
        <v/>
      </c>
    </row>
    <row r="2527" spans="1:7" ht="12" customHeight="1" outlineLevel="3" x14ac:dyDescent="0.2">
      <c r="A2527" s="14" t="s">
        <v>4988</v>
      </c>
      <c r="B2527" s="15" t="s">
        <v>4989</v>
      </c>
      <c r="C2527" s="19">
        <f>4446.43/(1+B2)</f>
        <v>4446.43</v>
      </c>
      <c r="D2527" s="17" t="s">
        <v>11</v>
      </c>
      <c r="E2527" s="17"/>
      <c r="F2527" s="18"/>
      <c r="G2527" s="36" t="str">
        <f>IF(ISNUMBER(F2527),C2527*F2527,"")</f>
        <v/>
      </c>
    </row>
    <row r="2528" spans="1:7" ht="12" customHeight="1" outlineLevel="3" x14ac:dyDescent="0.2">
      <c r="A2528" s="14" t="s">
        <v>4990</v>
      </c>
      <c r="B2528" s="15" t="s">
        <v>4991</v>
      </c>
      <c r="C2528" s="19">
        <f>7443.63/(1+B2)</f>
        <v>7443.63</v>
      </c>
      <c r="D2528" s="17" t="s">
        <v>11</v>
      </c>
      <c r="E2528" s="17"/>
      <c r="F2528" s="18"/>
      <c r="G2528" s="36" t="str">
        <f>IF(ISNUMBER(F2528),C2528*F2528,"")</f>
        <v/>
      </c>
    </row>
    <row r="2529" spans="1:7" ht="24" customHeight="1" outlineLevel="3" x14ac:dyDescent="0.2">
      <c r="A2529" s="14" t="s">
        <v>4992</v>
      </c>
      <c r="B2529" s="15" t="s">
        <v>4993</v>
      </c>
      <c r="C2529" s="19">
        <f>2981.71/(1+B2)</f>
        <v>2981.71</v>
      </c>
      <c r="D2529" s="17" t="s">
        <v>11</v>
      </c>
      <c r="E2529" s="17"/>
      <c r="F2529" s="18"/>
      <c r="G2529" s="36" t="str">
        <f>IF(ISNUMBER(F2529),C2529*F2529,"")</f>
        <v/>
      </c>
    </row>
    <row r="2530" spans="1:7" ht="24" customHeight="1" outlineLevel="3" x14ac:dyDescent="0.2">
      <c r="A2530" s="14" t="s">
        <v>4994</v>
      </c>
      <c r="B2530" s="15" t="s">
        <v>4995</v>
      </c>
      <c r="C2530" s="19">
        <f>3557.72/(1+B2)</f>
        <v>3557.72</v>
      </c>
      <c r="D2530" s="17" t="s">
        <v>11</v>
      </c>
      <c r="E2530" s="17"/>
      <c r="F2530" s="18"/>
      <c r="G2530" s="36" t="str">
        <f>IF(ISNUMBER(F2530),C2530*F2530,"")</f>
        <v/>
      </c>
    </row>
    <row r="2531" spans="1:7" ht="24" customHeight="1" outlineLevel="3" x14ac:dyDescent="0.2">
      <c r="A2531" s="14" t="s">
        <v>4996</v>
      </c>
      <c r="B2531" s="15" t="s">
        <v>4997</v>
      </c>
      <c r="C2531" s="19">
        <f>5153.13/(1+B2)</f>
        <v>5153.13</v>
      </c>
      <c r="D2531" s="17" t="s">
        <v>11</v>
      </c>
      <c r="E2531" s="17"/>
      <c r="F2531" s="18"/>
      <c r="G2531" s="36" t="str">
        <f>IF(ISNUMBER(F2531),C2531*F2531,"")</f>
        <v/>
      </c>
    </row>
    <row r="2532" spans="1:7" ht="24" customHeight="1" outlineLevel="3" x14ac:dyDescent="0.2">
      <c r="A2532" s="14" t="s">
        <v>4998</v>
      </c>
      <c r="B2532" s="15" t="s">
        <v>4999</v>
      </c>
      <c r="C2532" s="19">
        <f>2679.67/(1+B2)</f>
        <v>2679.67</v>
      </c>
      <c r="D2532" s="17" t="s">
        <v>11</v>
      </c>
      <c r="E2532" s="17"/>
      <c r="F2532" s="18"/>
      <c r="G2532" s="36" t="str">
        <f>IF(ISNUMBER(F2532),C2532*F2532,"")</f>
        <v/>
      </c>
    </row>
    <row r="2533" spans="1:7" ht="12" customHeight="1" outlineLevel="3" x14ac:dyDescent="0.2">
      <c r="A2533" s="14" t="s">
        <v>5000</v>
      </c>
      <c r="B2533" s="15" t="s">
        <v>5001</v>
      </c>
      <c r="C2533" s="19">
        <f>4818.17/(1+B2)</f>
        <v>4818.17</v>
      </c>
      <c r="D2533" s="17" t="s">
        <v>11</v>
      </c>
      <c r="E2533" s="17"/>
      <c r="F2533" s="18"/>
      <c r="G2533" s="36" t="str">
        <f>IF(ISNUMBER(F2533),C2533*F2533,"")</f>
        <v/>
      </c>
    </row>
    <row r="2534" spans="1:7" ht="12" customHeight="1" outlineLevel="3" x14ac:dyDescent="0.2">
      <c r="A2534" s="14" t="s">
        <v>5002</v>
      </c>
      <c r="B2534" s="15" t="s">
        <v>5003</v>
      </c>
      <c r="C2534" s="19">
        <f>6199.64/(1+B2)</f>
        <v>6199.64</v>
      </c>
      <c r="D2534" s="17" t="s">
        <v>11</v>
      </c>
      <c r="E2534" s="17"/>
      <c r="F2534" s="18"/>
      <c r="G2534" s="36" t="str">
        <f>IF(ISNUMBER(F2534),C2534*F2534,"")</f>
        <v/>
      </c>
    </row>
    <row r="2535" spans="1:7" ht="12" customHeight="1" outlineLevel="3" x14ac:dyDescent="0.2">
      <c r="A2535" s="14" t="s">
        <v>5004</v>
      </c>
      <c r="B2535" s="15" t="s">
        <v>5005</v>
      </c>
      <c r="C2535" s="19">
        <f>6711.75/(1+B2)</f>
        <v>6711.75</v>
      </c>
      <c r="D2535" s="17" t="s">
        <v>11</v>
      </c>
      <c r="E2535" s="17"/>
      <c r="F2535" s="18"/>
      <c r="G2535" s="36" t="str">
        <f>IF(ISNUMBER(F2535),C2535*F2535,"")</f>
        <v/>
      </c>
    </row>
    <row r="2536" spans="1:7" ht="12" customHeight="1" outlineLevel="3" x14ac:dyDescent="0.2">
      <c r="A2536" s="14" t="s">
        <v>5006</v>
      </c>
      <c r="B2536" s="15" t="s">
        <v>5007</v>
      </c>
      <c r="C2536" s="19">
        <f>5735.92/(1+B2)</f>
        <v>5735.92</v>
      </c>
      <c r="D2536" s="17" t="s">
        <v>11</v>
      </c>
      <c r="E2536" s="17"/>
      <c r="F2536" s="18"/>
      <c r="G2536" s="36" t="str">
        <f>IF(ISNUMBER(F2536),C2536*F2536,"")</f>
        <v/>
      </c>
    </row>
    <row r="2537" spans="1:7" ht="12" customHeight="1" outlineLevel="3" x14ac:dyDescent="0.2">
      <c r="A2537" s="14" t="s">
        <v>5008</v>
      </c>
      <c r="B2537" s="15" t="s">
        <v>5009</v>
      </c>
      <c r="C2537" s="19">
        <f>5602.33/(1+B2)</f>
        <v>5602.33</v>
      </c>
      <c r="D2537" s="17" t="s">
        <v>11</v>
      </c>
      <c r="E2537" s="17"/>
      <c r="F2537" s="18"/>
      <c r="G2537" s="36" t="str">
        <f>IF(ISNUMBER(F2537),C2537*F2537,"")</f>
        <v/>
      </c>
    </row>
    <row r="2538" spans="1:7" ht="24" customHeight="1" outlineLevel="3" x14ac:dyDescent="0.2">
      <c r="A2538" s="14" t="s">
        <v>5010</v>
      </c>
      <c r="B2538" s="15" t="s">
        <v>5011</v>
      </c>
      <c r="C2538" s="19">
        <f>7461.05/(1+B2)</f>
        <v>7461.05</v>
      </c>
      <c r="D2538" s="17" t="s">
        <v>11</v>
      </c>
      <c r="E2538" s="17"/>
      <c r="F2538" s="18"/>
      <c r="G2538" s="36" t="str">
        <f>IF(ISNUMBER(F2538),C2538*F2538,"")</f>
        <v/>
      </c>
    </row>
    <row r="2539" spans="1:7" ht="24" customHeight="1" outlineLevel="3" x14ac:dyDescent="0.2">
      <c r="A2539" s="14" t="s">
        <v>5012</v>
      </c>
      <c r="B2539" s="15" t="s">
        <v>5013</v>
      </c>
      <c r="C2539" s="19">
        <f>8970.3/(1+B2)</f>
        <v>8970.2999999999993</v>
      </c>
      <c r="D2539" s="17" t="s">
        <v>11</v>
      </c>
      <c r="E2539" s="17"/>
      <c r="F2539" s="18"/>
      <c r="G2539" s="36" t="str">
        <f>IF(ISNUMBER(F2539),C2539*F2539,"")</f>
        <v/>
      </c>
    </row>
    <row r="2540" spans="1:7" ht="24" customHeight="1" outlineLevel="3" x14ac:dyDescent="0.2">
      <c r="A2540" s="14" t="s">
        <v>5014</v>
      </c>
      <c r="B2540" s="15" t="s">
        <v>5015</v>
      </c>
      <c r="C2540" s="19">
        <f>3402.83/(1+B2)</f>
        <v>3402.83</v>
      </c>
      <c r="D2540" s="17" t="s">
        <v>11</v>
      </c>
      <c r="E2540" s="17"/>
      <c r="F2540" s="18"/>
      <c r="G2540" s="36" t="str">
        <f>IF(ISNUMBER(F2540),C2540*F2540,"")</f>
        <v/>
      </c>
    </row>
    <row r="2541" spans="1:7" ht="24" customHeight="1" outlineLevel="3" x14ac:dyDescent="0.2">
      <c r="A2541" s="14" t="s">
        <v>5016</v>
      </c>
      <c r="B2541" s="15" t="s">
        <v>5017</v>
      </c>
      <c r="C2541" s="19">
        <f>3991.43/(1+B2)</f>
        <v>3991.43</v>
      </c>
      <c r="D2541" s="17" t="s">
        <v>11</v>
      </c>
      <c r="E2541" s="17"/>
      <c r="F2541" s="18"/>
      <c r="G2541" s="36" t="str">
        <f>IF(ISNUMBER(F2541),C2541*F2541,"")</f>
        <v/>
      </c>
    </row>
    <row r="2542" spans="1:7" ht="24" customHeight="1" outlineLevel="3" x14ac:dyDescent="0.2">
      <c r="A2542" s="14" t="s">
        <v>5018</v>
      </c>
      <c r="B2542" s="15" t="s">
        <v>5019</v>
      </c>
      <c r="C2542" s="19">
        <f>4298.31/(1+B2)</f>
        <v>4298.3100000000004</v>
      </c>
      <c r="D2542" s="17" t="s">
        <v>11</v>
      </c>
      <c r="E2542" s="17"/>
      <c r="F2542" s="18"/>
      <c r="G2542" s="36" t="str">
        <f>IF(ISNUMBER(F2542),C2542*F2542,"")</f>
        <v/>
      </c>
    </row>
    <row r="2543" spans="1:7" ht="24" customHeight="1" outlineLevel="3" x14ac:dyDescent="0.2">
      <c r="A2543" s="14" t="s">
        <v>5020</v>
      </c>
      <c r="B2543" s="15" t="s">
        <v>5021</v>
      </c>
      <c r="C2543" s="19">
        <f>6990/(1+B2)</f>
        <v>6990</v>
      </c>
      <c r="D2543" s="17" t="s">
        <v>11</v>
      </c>
      <c r="E2543" s="17" t="s">
        <v>11</v>
      </c>
      <c r="F2543" s="18"/>
      <c r="G2543" s="36" t="str">
        <f>IF(ISNUMBER(F2543),C2543*F2543,"")</f>
        <v/>
      </c>
    </row>
    <row r="2544" spans="1:7" ht="24" customHeight="1" outlineLevel="3" x14ac:dyDescent="0.2">
      <c r="A2544" s="14" t="s">
        <v>5022</v>
      </c>
      <c r="B2544" s="15" t="s">
        <v>5023</v>
      </c>
      <c r="C2544" s="19">
        <f>7100/(1+B2)</f>
        <v>7100</v>
      </c>
      <c r="D2544" s="17" t="s">
        <v>11</v>
      </c>
      <c r="E2544" s="17" t="s">
        <v>11</v>
      </c>
      <c r="F2544" s="18"/>
      <c r="G2544" s="36" t="str">
        <f>IF(ISNUMBER(F2544),C2544*F2544,"")</f>
        <v/>
      </c>
    </row>
    <row r="2545" spans="1:7" ht="24" customHeight="1" outlineLevel="3" x14ac:dyDescent="0.2">
      <c r="A2545" s="14" t="s">
        <v>5024</v>
      </c>
      <c r="B2545" s="15" t="s">
        <v>5025</v>
      </c>
      <c r="C2545" s="19">
        <f>7200/(1+B2)</f>
        <v>7200</v>
      </c>
      <c r="D2545" s="17" t="s">
        <v>11</v>
      </c>
      <c r="E2545" s="17" t="s">
        <v>11</v>
      </c>
      <c r="F2545" s="18"/>
      <c r="G2545" s="36" t="str">
        <f>IF(ISNUMBER(F2545),C2545*F2545,"")</f>
        <v/>
      </c>
    </row>
    <row r="2546" spans="1:7" ht="12" customHeight="1" outlineLevel="3" x14ac:dyDescent="0.2">
      <c r="A2546" s="14" t="s">
        <v>5026</v>
      </c>
      <c r="B2546" s="15" t="s">
        <v>5027</v>
      </c>
      <c r="C2546" s="19">
        <f>5578.12/(1+B2)</f>
        <v>5578.12</v>
      </c>
      <c r="D2546" s="17" t="s">
        <v>11</v>
      </c>
      <c r="E2546" s="17"/>
      <c r="F2546" s="18"/>
      <c r="G2546" s="36" t="str">
        <f>IF(ISNUMBER(F2546),C2546*F2546,"")</f>
        <v/>
      </c>
    </row>
    <row r="2547" spans="1:7" ht="12" customHeight="1" outlineLevel="3" x14ac:dyDescent="0.2">
      <c r="A2547" s="14" t="s">
        <v>5028</v>
      </c>
      <c r="B2547" s="15" t="s">
        <v>5029</v>
      </c>
      <c r="C2547" s="19">
        <f>3126.92/(1+B2)</f>
        <v>3126.92</v>
      </c>
      <c r="D2547" s="17" t="s">
        <v>11</v>
      </c>
      <c r="E2547" s="17"/>
      <c r="F2547" s="18"/>
      <c r="G2547" s="36" t="str">
        <f>IF(ISNUMBER(F2547),C2547*F2547,"")</f>
        <v/>
      </c>
    </row>
    <row r="2548" spans="1:7" ht="12" customHeight="1" outlineLevel="3" x14ac:dyDescent="0.2">
      <c r="A2548" s="14" t="s">
        <v>5030</v>
      </c>
      <c r="B2548" s="15" t="s">
        <v>5031</v>
      </c>
      <c r="C2548" s="19">
        <f>5567.47/(1+B2)</f>
        <v>5567.47</v>
      </c>
      <c r="D2548" s="17" t="s">
        <v>11</v>
      </c>
      <c r="E2548" s="17"/>
      <c r="F2548" s="18"/>
      <c r="G2548" s="36" t="str">
        <f>IF(ISNUMBER(F2548),C2548*F2548,"")</f>
        <v/>
      </c>
    </row>
    <row r="2549" spans="1:7" ht="12" customHeight="1" outlineLevel="3" x14ac:dyDescent="0.2">
      <c r="A2549" s="14" t="s">
        <v>5032</v>
      </c>
      <c r="B2549" s="15" t="s">
        <v>5033</v>
      </c>
      <c r="C2549" s="19">
        <f>9402.07/(1+B2)</f>
        <v>9402.07</v>
      </c>
      <c r="D2549" s="17" t="s">
        <v>11</v>
      </c>
      <c r="E2549" s="17"/>
      <c r="F2549" s="18"/>
      <c r="G2549" s="36" t="str">
        <f>IF(ISNUMBER(F2549),C2549*F2549,"")</f>
        <v/>
      </c>
    </row>
    <row r="2550" spans="1:7" ht="12" customHeight="1" outlineLevel="3" x14ac:dyDescent="0.2">
      <c r="A2550" s="14" t="s">
        <v>5034</v>
      </c>
      <c r="B2550" s="15" t="s">
        <v>5035</v>
      </c>
      <c r="C2550" s="19">
        <f>3181.14/(1+B2)</f>
        <v>3181.14</v>
      </c>
      <c r="D2550" s="17" t="s">
        <v>11</v>
      </c>
      <c r="E2550" s="17"/>
      <c r="F2550" s="18"/>
      <c r="G2550" s="36" t="str">
        <f>IF(ISNUMBER(F2550),C2550*F2550,"")</f>
        <v/>
      </c>
    </row>
    <row r="2551" spans="1:7" ht="12" customHeight="1" outlineLevel="3" x14ac:dyDescent="0.2">
      <c r="A2551" s="14" t="s">
        <v>5036</v>
      </c>
      <c r="B2551" s="15" t="s">
        <v>5037</v>
      </c>
      <c r="C2551" s="19">
        <f>2638.04/(1+B2)</f>
        <v>2638.04</v>
      </c>
      <c r="D2551" s="17" t="s">
        <v>11</v>
      </c>
      <c r="E2551" s="17"/>
      <c r="F2551" s="18"/>
      <c r="G2551" s="36" t="str">
        <f>IF(ISNUMBER(F2551),C2551*F2551,"")</f>
        <v/>
      </c>
    </row>
    <row r="2552" spans="1:7" ht="12" customHeight="1" outlineLevel="3" x14ac:dyDescent="0.2">
      <c r="A2552" s="14" t="s">
        <v>5038</v>
      </c>
      <c r="B2552" s="15" t="s">
        <v>5039</v>
      </c>
      <c r="C2552" s="19">
        <f>3460.91/(1+B2)</f>
        <v>3460.91</v>
      </c>
      <c r="D2552" s="17" t="s">
        <v>11</v>
      </c>
      <c r="E2552" s="17"/>
      <c r="F2552" s="18"/>
      <c r="G2552" s="36" t="str">
        <f>IF(ISNUMBER(F2552),C2552*F2552,"")</f>
        <v/>
      </c>
    </row>
    <row r="2553" spans="1:7" ht="12" customHeight="1" outlineLevel="3" x14ac:dyDescent="0.2">
      <c r="A2553" s="14" t="s">
        <v>5040</v>
      </c>
      <c r="B2553" s="15" t="s">
        <v>5041</v>
      </c>
      <c r="C2553" s="19">
        <f>2767.76/(1+B2)</f>
        <v>2767.76</v>
      </c>
      <c r="D2553" s="17" t="s">
        <v>11</v>
      </c>
      <c r="E2553" s="17"/>
      <c r="F2553" s="18"/>
      <c r="G2553" s="36" t="str">
        <f>IF(ISNUMBER(F2553),C2553*F2553,"")</f>
        <v/>
      </c>
    </row>
    <row r="2554" spans="1:7" ht="24" customHeight="1" outlineLevel="3" x14ac:dyDescent="0.2">
      <c r="A2554" s="14" t="s">
        <v>5042</v>
      </c>
      <c r="B2554" s="15" t="s">
        <v>5043</v>
      </c>
      <c r="C2554" s="19">
        <f>3458.98/(1+B2)</f>
        <v>3458.98</v>
      </c>
      <c r="D2554" s="17" t="s">
        <v>11</v>
      </c>
      <c r="E2554" s="17"/>
      <c r="F2554" s="18"/>
      <c r="G2554" s="36" t="str">
        <f>IF(ISNUMBER(F2554),C2554*F2554,"")</f>
        <v/>
      </c>
    </row>
    <row r="2555" spans="1:7" ht="12" customHeight="1" outlineLevel="3" x14ac:dyDescent="0.2">
      <c r="A2555" s="14" t="s">
        <v>5044</v>
      </c>
      <c r="B2555" s="15" t="s">
        <v>5045</v>
      </c>
      <c r="C2555" s="19">
        <f>3188.35/(1+B2)</f>
        <v>3188.35</v>
      </c>
      <c r="D2555" s="17" t="s">
        <v>11</v>
      </c>
      <c r="E2555" s="17"/>
      <c r="F2555" s="18"/>
      <c r="G2555" s="36" t="str">
        <f>IF(ISNUMBER(F2555),C2555*F2555,"")</f>
        <v/>
      </c>
    </row>
    <row r="2556" spans="1:7" ht="12" customHeight="1" outlineLevel="3" x14ac:dyDescent="0.2">
      <c r="A2556" s="14" t="s">
        <v>5046</v>
      </c>
      <c r="B2556" s="15" t="s">
        <v>5047</v>
      </c>
      <c r="C2556" s="19">
        <f>3625.2/(1+B2)</f>
        <v>3625.2</v>
      </c>
      <c r="D2556" s="17" t="s">
        <v>11</v>
      </c>
      <c r="E2556" s="17"/>
      <c r="F2556" s="18"/>
      <c r="G2556" s="36" t="str">
        <f>IF(ISNUMBER(F2556),C2556*F2556,"")</f>
        <v/>
      </c>
    </row>
    <row r="2557" spans="1:7" ht="12" customHeight="1" outlineLevel="3" x14ac:dyDescent="0.2">
      <c r="A2557" s="14" t="s">
        <v>5048</v>
      </c>
      <c r="B2557" s="15" t="s">
        <v>5049</v>
      </c>
      <c r="C2557" s="19">
        <f>5384.51/(1+B2)</f>
        <v>5384.51</v>
      </c>
      <c r="D2557" s="17" t="s">
        <v>11</v>
      </c>
      <c r="E2557" s="17"/>
      <c r="F2557" s="18"/>
      <c r="G2557" s="36" t="str">
        <f>IF(ISNUMBER(F2557),C2557*F2557,"")</f>
        <v/>
      </c>
    </row>
    <row r="2558" spans="1:7" s="1" customFormat="1" ht="12.95" customHeight="1" outlineLevel="2" x14ac:dyDescent="0.2">
      <c r="A2558" s="20"/>
      <c r="B2558" s="21" t="s">
        <v>5050</v>
      </c>
      <c r="C2558" s="22"/>
      <c r="D2558" s="22"/>
      <c r="E2558" s="22"/>
      <c r="F2558" s="22"/>
      <c r="G2558" s="37"/>
    </row>
    <row r="2559" spans="1:7" ht="24" customHeight="1" outlineLevel="3" x14ac:dyDescent="0.2">
      <c r="A2559" s="14" t="s">
        <v>5051</v>
      </c>
      <c r="B2559" s="15" t="s">
        <v>5052</v>
      </c>
      <c r="C2559" s="19">
        <f>6033/(1+B2)</f>
        <v>6033</v>
      </c>
      <c r="D2559" s="17" t="s">
        <v>11</v>
      </c>
      <c r="E2559" s="17"/>
      <c r="F2559" s="18"/>
      <c r="G2559" s="36" t="str">
        <f>IF(ISNUMBER(F2559),C2559*F2559,"")</f>
        <v/>
      </c>
    </row>
    <row r="2560" spans="1:7" ht="24" customHeight="1" outlineLevel="3" x14ac:dyDescent="0.2">
      <c r="A2560" s="14" t="s">
        <v>5053</v>
      </c>
      <c r="B2560" s="15" t="s">
        <v>5054</v>
      </c>
      <c r="C2560" s="19">
        <f>7853/(1+B2)</f>
        <v>7853</v>
      </c>
      <c r="D2560" s="17" t="s">
        <v>11</v>
      </c>
      <c r="E2560" s="17"/>
      <c r="F2560" s="18"/>
      <c r="G2560" s="36" t="str">
        <f>IF(ISNUMBER(F2560),C2560*F2560,"")</f>
        <v/>
      </c>
    </row>
    <row r="2561" spans="1:7" ht="24" customHeight="1" outlineLevel="3" x14ac:dyDescent="0.2">
      <c r="A2561" s="14" t="s">
        <v>5055</v>
      </c>
      <c r="B2561" s="15" t="s">
        <v>5056</v>
      </c>
      <c r="C2561" s="19">
        <f>5123/(1+B2)</f>
        <v>5123</v>
      </c>
      <c r="D2561" s="17" t="s">
        <v>11</v>
      </c>
      <c r="E2561" s="17"/>
      <c r="F2561" s="18"/>
      <c r="G2561" s="36" t="str">
        <f>IF(ISNUMBER(F2561),C2561*F2561,"")</f>
        <v/>
      </c>
    </row>
    <row r="2562" spans="1:7" ht="12" customHeight="1" outlineLevel="3" x14ac:dyDescent="0.2">
      <c r="A2562" s="14" t="s">
        <v>5057</v>
      </c>
      <c r="B2562" s="15" t="s">
        <v>5058</v>
      </c>
      <c r="C2562" s="19">
        <f>5371/(1+B2)</f>
        <v>5371</v>
      </c>
      <c r="D2562" s="17" t="s">
        <v>11</v>
      </c>
      <c r="E2562" s="17"/>
      <c r="F2562" s="18"/>
      <c r="G2562" s="36" t="str">
        <f>IF(ISNUMBER(F2562),C2562*F2562,"")</f>
        <v/>
      </c>
    </row>
    <row r="2563" spans="1:7" ht="24" customHeight="1" outlineLevel="3" x14ac:dyDescent="0.2">
      <c r="A2563" s="14" t="s">
        <v>5059</v>
      </c>
      <c r="B2563" s="15" t="s">
        <v>5060</v>
      </c>
      <c r="C2563" s="19">
        <f>6860/(1+B2)</f>
        <v>6860</v>
      </c>
      <c r="D2563" s="17" t="s">
        <v>11</v>
      </c>
      <c r="E2563" s="17"/>
      <c r="F2563" s="18"/>
      <c r="G2563" s="36" t="str">
        <f>IF(ISNUMBER(F2563),C2563*F2563,"")</f>
        <v/>
      </c>
    </row>
    <row r="2564" spans="1:7" ht="24" customHeight="1" outlineLevel="3" x14ac:dyDescent="0.2">
      <c r="A2564" s="14" t="s">
        <v>5061</v>
      </c>
      <c r="B2564" s="15" t="s">
        <v>5062</v>
      </c>
      <c r="C2564" s="19">
        <f>3302/(1+B2)</f>
        <v>3302</v>
      </c>
      <c r="D2564" s="17" t="s">
        <v>11</v>
      </c>
      <c r="E2564" s="17"/>
      <c r="F2564" s="18"/>
      <c r="G2564" s="36" t="str">
        <f>IF(ISNUMBER(F2564),C2564*F2564,"")</f>
        <v/>
      </c>
    </row>
    <row r="2565" spans="1:7" ht="24" customHeight="1" outlineLevel="3" x14ac:dyDescent="0.2">
      <c r="A2565" s="14" t="s">
        <v>5063</v>
      </c>
      <c r="B2565" s="15" t="s">
        <v>5064</v>
      </c>
      <c r="C2565" s="19">
        <f>8681/(1+B2)</f>
        <v>8681</v>
      </c>
      <c r="D2565" s="17" t="s">
        <v>11</v>
      </c>
      <c r="E2565" s="17"/>
      <c r="F2565" s="18"/>
      <c r="G2565" s="36" t="str">
        <f>IF(ISNUMBER(F2565),C2565*F2565,"")</f>
        <v/>
      </c>
    </row>
    <row r="2566" spans="1:7" ht="24" customHeight="1" outlineLevel="3" x14ac:dyDescent="0.2">
      <c r="A2566" s="14" t="s">
        <v>5065</v>
      </c>
      <c r="B2566" s="15" t="s">
        <v>5066</v>
      </c>
      <c r="C2566" s="19">
        <f>6860/(1+B2)</f>
        <v>6860</v>
      </c>
      <c r="D2566" s="17" t="s">
        <v>11</v>
      </c>
      <c r="E2566" s="17"/>
      <c r="F2566" s="18"/>
      <c r="G2566" s="36" t="str">
        <f>IF(ISNUMBER(F2566),C2566*F2566,"")</f>
        <v/>
      </c>
    </row>
    <row r="2567" spans="1:7" ht="24" customHeight="1" outlineLevel="3" x14ac:dyDescent="0.2">
      <c r="A2567" s="14" t="s">
        <v>5067</v>
      </c>
      <c r="B2567" s="15" t="s">
        <v>5068</v>
      </c>
      <c r="C2567" s="19">
        <f>7026/(1+B2)</f>
        <v>7026</v>
      </c>
      <c r="D2567" s="17" t="s">
        <v>11</v>
      </c>
      <c r="E2567" s="17"/>
      <c r="F2567" s="18"/>
      <c r="G2567" s="36" t="str">
        <f>IF(ISNUMBER(F2567),C2567*F2567,"")</f>
        <v/>
      </c>
    </row>
    <row r="2568" spans="1:7" ht="12" customHeight="1" outlineLevel="3" x14ac:dyDescent="0.2">
      <c r="A2568" s="14" t="s">
        <v>5069</v>
      </c>
      <c r="B2568" s="15" t="s">
        <v>5070</v>
      </c>
      <c r="C2568" s="19">
        <f>4129/(1+B2)</f>
        <v>4129</v>
      </c>
      <c r="D2568" s="17" t="s">
        <v>11</v>
      </c>
      <c r="E2568" s="17"/>
      <c r="F2568" s="18"/>
      <c r="G2568" s="36" t="str">
        <f>IF(ISNUMBER(F2568),C2568*F2568,"")</f>
        <v/>
      </c>
    </row>
    <row r="2569" spans="1:7" ht="12" customHeight="1" outlineLevel="3" x14ac:dyDescent="0.2">
      <c r="A2569" s="14" t="s">
        <v>5071</v>
      </c>
      <c r="B2569" s="15" t="s">
        <v>5072</v>
      </c>
      <c r="C2569" s="19">
        <f>8102/(1+B2)</f>
        <v>8102</v>
      </c>
      <c r="D2569" s="17" t="s">
        <v>11</v>
      </c>
      <c r="E2569" s="17"/>
      <c r="F2569" s="18"/>
      <c r="G2569" s="36" t="str">
        <f>IF(ISNUMBER(F2569),C2569*F2569,"")</f>
        <v/>
      </c>
    </row>
    <row r="2570" spans="1:7" ht="12" customHeight="1" outlineLevel="3" x14ac:dyDescent="0.2">
      <c r="A2570" s="14" t="s">
        <v>5073</v>
      </c>
      <c r="B2570" s="15" t="s">
        <v>5074</v>
      </c>
      <c r="C2570" s="19">
        <f>4874/(1+B2)</f>
        <v>4874</v>
      </c>
      <c r="D2570" s="17" t="s">
        <v>11</v>
      </c>
      <c r="E2570" s="17"/>
      <c r="F2570" s="18"/>
      <c r="G2570" s="36" t="str">
        <f>IF(ISNUMBER(F2570),C2570*F2570,"")</f>
        <v/>
      </c>
    </row>
    <row r="2571" spans="1:7" ht="12" customHeight="1" outlineLevel="3" x14ac:dyDescent="0.2">
      <c r="A2571" s="14" t="s">
        <v>5075</v>
      </c>
      <c r="B2571" s="15" t="s">
        <v>5076</v>
      </c>
      <c r="C2571" s="19">
        <f>4874/(1+B2)</f>
        <v>4874</v>
      </c>
      <c r="D2571" s="17" t="s">
        <v>11</v>
      </c>
      <c r="E2571" s="17" t="s">
        <v>11</v>
      </c>
      <c r="F2571" s="18"/>
      <c r="G2571" s="36" t="str">
        <f>IF(ISNUMBER(F2571),C2571*F2571,"")</f>
        <v/>
      </c>
    </row>
    <row r="2572" spans="1:7" ht="12" customHeight="1" outlineLevel="3" x14ac:dyDescent="0.2">
      <c r="A2572" s="14" t="s">
        <v>5077</v>
      </c>
      <c r="B2572" s="15" t="s">
        <v>5078</v>
      </c>
      <c r="C2572" s="19">
        <f>6364/(1+B2)</f>
        <v>6364</v>
      </c>
      <c r="D2572" s="17" t="s">
        <v>11</v>
      </c>
      <c r="E2572" s="17"/>
      <c r="F2572" s="18"/>
      <c r="G2572" s="36" t="str">
        <f>IF(ISNUMBER(F2572),C2572*F2572,"")</f>
        <v/>
      </c>
    </row>
    <row r="2573" spans="1:7" ht="24" customHeight="1" outlineLevel="3" x14ac:dyDescent="0.2">
      <c r="A2573" s="14" t="s">
        <v>5079</v>
      </c>
      <c r="B2573" s="15" t="s">
        <v>5080</v>
      </c>
      <c r="C2573" s="19">
        <f>2226/(1+B2)</f>
        <v>2226</v>
      </c>
      <c r="D2573" s="17" t="s">
        <v>11</v>
      </c>
      <c r="E2573" s="17"/>
      <c r="F2573" s="18"/>
      <c r="G2573" s="36" t="str">
        <f>IF(ISNUMBER(F2573),C2573*F2573,"")</f>
        <v/>
      </c>
    </row>
    <row r="2574" spans="1:7" ht="12" customHeight="1" outlineLevel="3" x14ac:dyDescent="0.2">
      <c r="A2574" s="14" t="s">
        <v>5081</v>
      </c>
      <c r="B2574" s="15" t="s">
        <v>5082</v>
      </c>
      <c r="C2574" s="19">
        <f>4129/(1+B2)</f>
        <v>4129</v>
      </c>
      <c r="D2574" s="17" t="s">
        <v>11</v>
      </c>
      <c r="E2574" s="17"/>
      <c r="F2574" s="18"/>
      <c r="G2574" s="36" t="str">
        <f>IF(ISNUMBER(F2574),C2574*F2574,"")</f>
        <v/>
      </c>
    </row>
    <row r="2575" spans="1:7" ht="24" customHeight="1" outlineLevel="3" x14ac:dyDescent="0.2">
      <c r="A2575" s="14" t="s">
        <v>5083</v>
      </c>
      <c r="B2575" s="15" t="s">
        <v>5084</v>
      </c>
      <c r="C2575" s="19">
        <f>9674/(1+B2)</f>
        <v>9674</v>
      </c>
      <c r="D2575" s="17" t="s">
        <v>11</v>
      </c>
      <c r="E2575" s="17"/>
      <c r="F2575" s="18"/>
      <c r="G2575" s="36" t="str">
        <f>IF(ISNUMBER(F2575),C2575*F2575,"")</f>
        <v/>
      </c>
    </row>
    <row r="2576" spans="1:7" ht="12" customHeight="1" outlineLevel="3" x14ac:dyDescent="0.2">
      <c r="A2576" s="14" t="s">
        <v>5085</v>
      </c>
      <c r="B2576" s="15" t="s">
        <v>5086</v>
      </c>
      <c r="C2576" s="19">
        <f>5785/(1+B2)</f>
        <v>5785</v>
      </c>
      <c r="D2576" s="17" t="s">
        <v>11</v>
      </c>
      <c r="E2576" s="17"/>
      <c r="F2576" s="18"/>
      <c r="G2576" s="36" t="str">
        <f>IF(ISNUMBER(F2576),C2576*F2576,"")</f>
        <v/>
      </c>
    </row>
    <row r="2577" spans="1:7" ht="24" customHeight="1" outlineLevel="3" x14ac:dyDescent="0.2">
      <c r="A2577" s="14" t="s">
        <v>5087</v>
      </c>
      <c r="B2577" s="15" t="s">
        <v>5088</v>
      </c>
      <c r="C2577" s="19">
        <f>4957/(1+B2)</f>
        <v>4957</v>
      </c>
      <c r="D2577" s="17" t="s">
        <v>11</v>
      </c>
      <c r="E2577" s="17"/>
      <c r="F2577" s="18"/>
      <c r="G2577" s="36" t="str">
        <f>IF(ISNUMBER(F2577),C2577*F2577,"")</f>
        <v/>
      </c>
    </row>
    <row r="2578" spans="1:7" ht="24" customHeight="1" outlineLevel="3" x14ac:dyDescent="0.2">
      <c r="A2578" s="14" t="s">
        <v>5089</v>
      </c>
      <c r="B2578" s="15" t="s">
        <v>5090</v>
      </c>
      <c r="C2578" s="19">
        <f>3798/(1+B2)</f>
        <v>3798</v>
      </c>
      <c r="D2578" s="17" t="s">
        <v>11</v>
      </c>
      <c r="E2578" s="17"/>
      <c r="F2578" s="18"/>
      <c r="G2578" s="36" t="str">
        <f>IF(ISNUMBER(F2578),C2578*F2578,"")</f>
        <v/>
      </c>
    </row>
    <row r="2579" spans="1:7" ht="24" customHeight="1" outlineLevel="3" x14ac:dyDescent="0.2">
      <c r="A2579" s="14" t="s">
        <v>5091</v>
      </c>
      <c r="B2579" s="15" t="s">
        <v>5092</v>
      </c>
      <c r="C2579" s="19">
        <f>3302/(1+B2)</f>
        <v>3302</v>
      </c>
      <c r="D2579" s="17" t="s">
        <v>11</v>
      </c>
      <c r="E2579" s="17"/>
      <c r="F2579" s="18"/>
      <c r="G2579" s="36" t="str">
        <f>IF(ISNUMBER(F2579),C2579*F2579,"")</f>
        <v/>
      </c>
    </row>
    <row r="2580" spans="1:7" ht="24" customHeight="1" outlineLevel="3" x14ac:dyDescent="0.2">
      <c r="A2580" s="14" t="s">
        <v>5093</v>
      </c>
      <c r="B2580" s="15" t="s">
        <v>5094</v>
      </c>
      <c r="C2580" s="19">
        <f>7605/(1+B2)</f>
        <v>7605</v>
      </c>
      <c r="D2580" s="17" t="s">
        <v>11</v>
      </c>
      <c r="E2580" s="17"/>
      <c r="F2580" s="18"/>
      <c r="G2580" s="36" t="str">
        <f>IF(ISNUMBER(F2580),C2580*F2580,"")</f>
        <v/>
      </c>
    </row>
    <row r="2581" spans="1:7" ht="24" customHeight="1" outlineLevel="3" x14ac:dyDescent="0.2">
      <c r="A2581" s="14" t="s">
        <v>5095</v>
      </c>
      <c r="B2581" s="15" t="s">
        <v>5096</v>
      </c>
      <c r="C2581" s="19">
        <f>5950/(1+B2)</f>
        <v>5950</v>
      </c>
      <c r="D2581" s="17" t="s">
        <v>11</v>
      </c>
      <c r="E2581" s="17"/>
      <c r="F2581" s="18"/>
      <c r="G2581" s="36" t="str">
        <f>IF(ISNUMBER(F2581),C2581*F2581,"")</f>
        <v/>
      </c>
    </row>
    <row r="2582" spans="1:7" ht="24" customHeight="1" outlineLevel="3" x14ac:dyDescent="0.2">
      <c r="A2582" s="14" t="s">
        <v>5097</v>
      </c>
      <c r="B2582" s="15" t="s">
        <v>5098</v>
      </c>
      <c r="C2582" s="19">
        <f>8929/(1+B2)</f>
        <v>8929</v>
      </c>
      <c r="D2582" s="17" t="s">
        <v>11</v>
      </c>
      <c r="E2582" s="17"/>
      <c r="F2582" s="18"/>
      <c r="G2582" s="36" t="str">
        <f>IF(ISNUMBER(F2582),C2582*F2582,"")</f>
        <v/>
      </c>
    </row>
    <row r="2583" spans="1:7" s="1" customFormat="1" ht="12.95" customHeight="1" outlineLevel="2" x14ac:dyDescent="0.2">
      <c r="A2583" s="20"/>
      <c r="B2583" s="21" t="s">
        <v>5099</v>
      </c>
      <c r="C2583" s="22"/>
      <c r="D2583" s="22"/>
      <c r="E2583" s="22"/>
      <c r="F2583" s="22"/>
      <c r="G2583" s="37"/>
    </row>
    <row r="2584" spans="1:7" ht="12" customHeight="1" outlineLevel="3" x14ac:dyDescent="0.2">
      <c r="A2584" s="14" t="s">
        <v>5100</v>
      </c>
      <c r="B2584" s="15" t="s">
        <v>5101</v>
      </c>
      <c r="C2584" s="19">
        <f>8835.66/(1+B2)</f>
        <v>8835.66</v>
      </c>
      <c r="D2584" s="17" t="s">
        <v>11</v>
      </c>
      <c r="E2584" s="17"/>
      <c r="F2584" s="18"/>
      <c r="G2584" s="36" t="str">
        <f>IF(ISNUMBER(F2584),C2584*F2584,"")</f>
        <v/>
      </c>
    </row>
    <row r="2585" spans="1:7" ht="12" customHeight="1" outlineLevel="3" x14ac:dyDescent="0.2">
      <c r="A2585" s="14" t="s">
        <v>5102</v>
      </c>
      <c r="B2585" s="15" t="s">
        <v>5103</v>
      </c>
      <c r="C2585" s="19">
        <f>6258.59/(1+B2)</f>
        <v>6258.59</v>
      </c>
      <c r="D2585" s="17" t="s">
        <v>11</v>
      </c>
      <c r="E2585" s="17"/>
      <c r="F2585" s="18"/>
      <c r="G2585" s="36" t="str">
        <f>IF(ISNUMBER(F2585),C2585*F2585,"")</f>
        <v/>
      </c>
    </row>
    <row r="2586" spans="1:7" ht="12" customHeight="1" outlineLevel="3" x14ac:dyDescent="0.2">
      <c r="A2586" s="14" t="s">
        <v>5104</v>
      </c>
      <c r="B2586" s="15" t="s">
        <v>5105</v>
      </c>
      <c r="C2586" s="19">
        <f>9258.98/(1+B2)</f>
        <v>9258.98</v>
      </c>
      <c r="D2586" s="17" t="s">
        <v>11</v>
      </c>
      <c r="E2586" s="17"/>
      <c r="F2586" s="18"/>
      <c r="G2586" s="36" t="str">
        <f>IF(ISNUMBER(F2586),C2586*F2586,"")</f>
        <v/>
      </c>
    </row>
    <row r="2587" spans="1:7" ht="12" customHeight="1" outlineLevel="3" x14ac:dyDescent="0.2">
      <c r="A2587" s="14" t="s">
        <v>5106</v>
      </c>
      <c r="B2587" s="15" t="s">
        <v>5107</v>
      </c>
      <c r="C2587" s="19">
        <f>3745.17/(1+B2)</f>
        <v>3745.17</v>
      </c>
      <c r="D2587" s="17" t="s">
        <v>11</v>
      </c>
      <c r="E2587" s="17"/>
      <c r="F2587" s="18"/>
      <c r="G2587" s="36" t="str">
        <f>IF(ISNUMBER(F2587),C2587*F2587,"")</f>
        <v/>
      </c>
    </row>
    <row r="2588" spans="1:7" s="1" customFormat="1" ht="12.95" customHeight="1" outlineLevel="2" x14ac:dyDescent="0.2">
      <c r="A2588" s="20"/>
      <c r="B2588" s="21" t="s">
        <v>5108</v>
      </c>
      <c r="C2588" s="22"/>
      <c r="D2588" s="22"/>
      <c r="E2588" s="22"/>
      <c r="F2588" s="22"/>
      <c r="G2588" s="37"/>
    </row>
    <row r="2589" spans="1:7" ht="12" customHeight="1" outlineLevel="3" x14ac:dyDescent="0.2">
      <c r="A2589" s="14" t="s">
        <v>5109</v>
      </c>
      <c r="B2589" s="15" t="s">
        <v>5110</v>
      </c>
      <c r="C2589" s="19">
        <f>5714.23/(1+B2)</f>
        <v>5714.23</v>
      </c>
      <c r="D2589" s="17" t="s">
        <v>11</v>
      </c>
      <c r="E2589" s="17"/>
      <c r="F2589" s="18"/>
      <c r="G2589" s="36" t="str">
        <f>IF(ISNUMBER(F2589),C2589*F2589,"")</f>
        <v/>
      </c>
    </row>
    <row r="2590" spans="1:7" ht="12" customHeight="1" outlineLevel="3" x14ac:dyDescent="0.2">
      <c r="A2590" s="14" t="s">
        <v>5111</v>
      </c>
      <c r="B2590" s="15" t="s">
        <v>5112</v>
      </c>
      <c r="C2590" s="19">
        <f>7858.54/(1+B2)</f>
        <v>7858.54</v>
      </c>
      <c r="D2590" s="17" t="s">
        <v>11</v>
      </c>
      <c r="E2590" s="17"/>
      <c r="F2590" s="18"/>
      <c r="G2590" s="36" t="str">
        <f>IF(ISNUMBER(F2590),C2590*F2590,"")</f>
        <v/>
      </c>
    </row>
    <row r="2591" spans="1:7" ht="12" customHeight="1" outlineLevel="3" x14ac:dyDescent="0.2">
      <c r="A2591" s="14" t="s">
        <v>5113</v>
      </c>
      <c r="B2591" s="15" t="s">
        <v>5114</v>
      </c>
      <c r="C2591" s="19">
        <f>7955.07/(1+B2)</f>
        <v>7955.07</v>
      </c>
      <c r="D2591" s="17" t="s">
        <v>11</v>
      </c>
      <c r="E2591" s="17"/>
      <c r="F2591" s="18"/>
      <c r="G2591" s="36" t="str">
        <f>IF(ISNUMBER(F2591),C2591*F2591,"")</f>
        <v/>
      </c>
    </row>
    <row r="2592" spans="1:7" ht="12" customHeight="1" outlineLevel="3" x14ac:dyDescent="0.2">
      <c r="A2592" s="14" t="s">
        <v>5115</v>
      </c>
      <c r="B2592" s="15" t="s">
        <v>5116</v>
      </c>
      <c r="C2592" s="19">
        <f>1177.59/(1+B2)</f>
        <v>1177.5899999999999</v>
      </c>
      <c r="D2592" s="17" t="s">
        <v>11</v>
      </c>
      <c r="E2592" s="17"/>
      <c r="F2592" s="18"/>
      <c r="G2592" s="36" t="str">
        <f>IF(ISNUMBER(F2592),C2592*F2592,"")</f>
        <v/>
      </c>
    </row>
    <row r="2593" spans="1:7" ht="12" customHeight="1" outlineLevel="3" x14ac:dyDescent="0.2">
      <c r="A2593" s="14" t="s">
        <v>5117</v>
      </c>
      <c r="B2593" s="15" t="s">
        <v>5118</v>
      </c>
      <c r="C2593" s="19">
        <f>9523.22/(1+B2)</f>
        <v>9523.2199999999993</v>
      </c>
      <c r="D2593" s="17" t="s">
        <v>11</v>
      </c>
      <c r="E2593" s="17"/>
      <c r="F2593" s="18"/>
      <c r="G2593" s="36" t="str">
        <f>IF(ISNUMBER(F2593),C2593*F2593,"")</f>
        <v/>
      </c>
    </row>
    <row r="2594" spans="1:7" ht="12" customHeight="1" outlineLevel="3" x14ac:dyDescent="0.2">
      <c r="A2594" s="14" t="s">
        <v>5119</v>
      </c>
      <c r="B2594" s="15" t="s">
        <v>5120</v>
      </c>
      <c r="C2594" s="19">
        <f>6731.43/(1+B2)</f>
        <v>6731.43</v>
      </c>
      <c r="D2594" s="17" t="s">
        <v>11</v>
      </c>
      <c r="E2594" s="17"/>
      <c r="F2594" s="18"/>
      <c r="G2594" s="36" t="str">
        <f>IF(ISNUMBER(F2594),C2594*F2594,"")</f>
        <v/>
      </c>
    </row>
    <row r="2595" spans="1:7" s="1" customFormat="1" ht="12.95" customHeight="1" outlineLevel="2" x14ac:dyDescent="0.2">
      <c r="A2595" s="20"/>
      <c r="B2595" s="21" t="s">
        <v>5121</v>
      </c>
      <c r="C2595" s="22"/>
      <c r="D2595" s="22"/>
      <c r="E2595" s="22"/>
      <c r="F2595" s="22"/>
      <c r="G2595" s="37"/>
    </row>
    <row r="2596" spans="1:7" ht="12" customHeight="1" outlineLevel="3" x14ac:dyDescent="0.2">
      <c r="A2596" s="14" t="s">
        <v>5122</v>
      </c>
      <c r="B2596" s="15" t="s">
        <v>5123</v>
      </c>
      <c r="C2596" s="19">
        <f>3109.77/(1+B2)</f>
        <v>3109.77</v>
      </c>
      <c r="D2596" s="17" t="s">
        <v>11</v>
      </c>
      <c r="E2596" s="17"/>
      <c r="F2596" s="18"/>
      <c r="G2596" s="36" t="str">
        <f>IF(ISNUMBER(F2596),C2596*F2596,"")</f>
        <v/>
      </c>
    </row>
    <row r="2597" spans="1:7" ht="12" customHeight="1" outlineLevel="3" x14ac:dyDescent="0.2">
      <c r="A2597" s="14" t="s">
        <v>5124</v>
      </c>
      <c r="B2597" s="15" t="s">
        <v>5125</v>
      </c>
      <c r="C2597" s="19">
        <f>4401.84/(1+B2)</f>
        <v>4401.84</v>
      </c>
      <c r="D2597" s="17" t="s">
        <v>11</v>
      </c>
      <c r="E2597" s="17"/>
      <c r="F2597" s="18"/>
      <c r="G2597" s="36" t="str">
        <f>IF(ISNUMBER(F2597),C2597*F2597,"")</f>
        <v/>
      </c>
    </row>
    <row r="2598" spans="1:7" ht="12" customHeight="1" outlineLevel="3" x14ac:dyDescent="0.2">
      <c r="A2598" s="14" t="s">
        <v>5126</v>
      </c>
      <c r="B2598" s="15" t="s">
        <v>5127</v>
      </c>
      <c r="C2598" s="19">
        <f>5352.93/(1+B2)</f>
        <v>5352.93</v>
      </c>
      <c r="D2598" s="17" t="s">
        <v>11</v>
      </c>
      <c r="E2598" s="17" t="s">
        <v>11</v>
      </c>
      <c r="F2598" s="18"/>
      <c r="G2598" s="36" t="str">
        <f>IF(ISNUMBER(F2598),C2598*F2598,"")</f>
        <v/>
      </c>
    </row>
    <row r="2599" spans="1:7" ht="12" customHeight="1" outlineLevel="3" x14ac:dyDescent="0.2">
      <c r="A2599" s="14" t="s">
        <v>5128</v>
      </c>
      <c r="B2599" s="15" t="s">
        <v>5129</v>
      </c>
      <c r="C2599" s="19">
        <f>5032.16/(1+B2)</f>
        <v>5032.16</v>
      </c>
      <c r="D2599" s="17" t="s">
        <v>11</v>
      </c>
      <c r="E2599" s="17"/>
      <c r="F2599" s="18"/>
      <c r="G2599" s="36" t="str">
        <f>IF(ISNUMBER(F2599),C2599*F2599,"")</f>
        <v/>
      </c>
    </row>
    <row r="2600" spans="1:7" ht="12" customHeight="1" outlineLevel="3" x14ac:dyDescent="0.2">
      <c r="A2600" s="14" t="s">
        <v>5130</v>
      </c>
      <c r="B2600" s="15" t="s">
        <v>5131</v>
      </c>
      <c r="C2600" s="19">
        <f>5240.1/(1+B2)</f>
        <v>5240.1000000000004</v>
      </c>
      <c r="D2600" s="17" t="s">
        <v>11</v>
      </c>
      <c r="E2600" s="17"/>
      <c r="F2600" s="18"/>
      <c r="G2600" s="36" t="str">
        <f>IF(ISNUMBER(F2600),C2600*F2600,"")</f>
        <v/>
      </c>
    </row>
    <row r="2601" spans="1:7" s="1" customFormat="1" ht="12.95" customHeight="1" outlineLevel="2" x14ac:dyDescent="0.2">
      <c r="A2601" s="20"/>
      <c r="B2601" s="21" t="s">
        <v>5132</v>
      </c>
      <c r="C2601" s="22"/>
      <c r="D2601" s="22"/>
      <c r="E2601" s="22"/>
      <c r="F2601" s="22"/>
      <c r="G2601" s="37"/>
    </row>
    <row r="2602" spans="1:7" ht="12" customHeight="1" outlineLevel="3" x14ac:dyDescent="0.2">
      <c r="A2602" s="14" t="s">
        <v>5133</v>
      </c>
      <c r="B2602" s="15" t="s">
        <v>5134</v>
      </c>
      <c r="C2602" s="16">
        <f>53.68/(1+B2)</f>
        <v>53.68</v>
      </c>
      <c r="D2602" s="17" t="s">
        <v>53</v>
      </c>
      <c r="E2602" s="17"/>
      <c r="F2602" s="18"/>
      <c r="G2602" s="36" t="str">
        <f>IF(ISNUMBER(F2602),C2602*F2602,"")</f>
        <v/>
      </c>
    </row>
    <row r="2603" spans="1:7" ht="12" customHeight="1" outlineLevel="3" x14ac:dyDescent="0.2">
      <c r="A2603" s="14" t="s">
        <v>5135</v>
      </c>
      <c r="B2603" s="15" t="s">
        <v>5136</v>
      </c>
      <c r="C2603" s="16">
        <f>572.18/(1+B2)</f>
        <v>572.17999999999995</v>
      </c>
      <c r="D2603" s="17" t="s">
        <v>11</v>
      </c>
      <c r="E2603" s="17" t="s">
        <v>53</v>
      </c>
      <c r="F2603" s="18"/>
      <c r="G2603" s="36" t="str">
        <f>IF(ISNUMBER(F2603),C2603*F2603,"")</f>
        <v/>
      </c>
    </row>
    <row r="2604" spans="1:7" ht="12" customHeight="1" outlineLevel="3" x14ac:dyDescent="0.2">
      <c r="A2604" s="14" t="s">
        <v>5137</v>
      </c>
      <c r="B2604" s="15" t="s">
        <v>5138</v>
      </c>
      <c r="C2604" s="16">
        <f>299/(1+B2)</f>
        <v>299</v>
      </c>
      <c r="D2604" s="17" t="s">
        <v>11</v>
      </c>
      <c r="E2604" s="17"/>
      <c r="F2604" s="18"/>
      <c r="G2604" s="36" t="str">
        <f>IF(ISNUMBER(F2604),C2604*F2604,"")</f>
        <v/>
      </c>
    </row>
    <row r="2605" spans="1:7" ht="24" customHeight="1" outlineLevel="3" x14ac:dyDescent="0.2">
      <c r="A2605" s="14" t="s">
        <v>5139</v>
      </c>
      <c r="B2605" s="15" t="s">
        <v>5140</v>
      </c>
      <c r="C2605" s="16">
        <f>33.66/(1+B2)</f>
        <v>33.659999999999997</v>
      </c>
      <c r="D2605" s="17" t="s">
        <v>11</v>
      </c>
      <c r="E2605" s="17"/>
      <c r="F2605" s="18"/>
      <c r="G2605" s="36" t="str">
        <f>IF(ISNUMBER(F2605),C2605*F2605,"")</f>
        <v/>
      </c>
    </row>
    <row r="2606" spans="1:7" ht="24" customHeight="1" outlineLevel="3" x14ac:dyDescent="0.2">
      <c r="A2606" s="14" t="s">
        <v>5141</v>
      </c>
      <c r="B2606" s="15" t="s">
        <v>5142</v>
      </c>
      <c r="C2606" s="16">
        <f>33.66/(1+B2)</f>
        <v>33.659999999999997</v>
      </c>
      <c r="D2606" s="17" t="s">
        <v>14</v>
      </c>
      <c r="E2606" s="17"/>
      <c r="F2606" s="18"/>
      <c r="G2606" s="36" t="str">
        <f>IF(ISNUMBER(F2606),C2606*F2606,"")</f>
        <v/>
      </c>
    </row>
    <row r="2607" spans="1:7" ht="24" customHeight="1" outlineLevel="3" x14ac:dyDescent="0.2">
      <c r="A2607" s="14" t="s">
        <v>5143</v>
      </c>
      <c r="B2607" s="15" t="s">
        <v>5144</v>
      </c>
      <c r="C2607" s="16">
        <f>33.66/(1+B2)</f>
        <v>33.659999999999997</v>
      </c>
      <c r="D2607" s="17" t="s">
        <v>11</v>
      </c>
      <c r="E2607" s="17"/>
      <c r="F2607" s="18"/>
      <c r="G2607" s="36" t="str">
        <f>IF(ISNUMBER(F2607),C2607*F2607,"")</f>
        <v/>
      </c>
    </row>
    <row r="2608" spans="1:7" ht="12" customHeight="1" outlineLevel="3" x14ac:dyDescent="0.2">
      <c r="A2608" s="14" t="s">
        <v>5145</v>
      </c>
      <c r="B2608" s="15" t="s">
        <v>5146</v>
      </c>
      <c r="C2608" s="16">
        <f>70.37/(1+B2)</f>
        <v>70.37</v>
      </c>
      <c r="D2608" s="17" t="s">
        <v>11</v>
      </c>
      <c r="E2608" s="17"/>
      <c r="F2608" s="18"/>
      <c r="G2608" s="36" t="str">
        <f>IF(ISNUMBER(F2608),C2608*F2608,"")</f>
        <v/>
      </c>
    </row>
    <row r="2609" spans="1:7" ht="24" customHeight="1" outlineLevel="3" x14ac:dyDescent="0.2">
      <c r="A2609" s="14" t="s">
        <v>5147</v>
      </c>
      <c r="B2609" s="15" t="s">
        <v>5148</v>
      </c>
      <c r="C2609" s="16">
        <f>38.25/(1+B2)</f>
        <v>38.25</v>
      </c>
      <c r="D2609" s="17" t="s">
        <v>14</v>
      </c>
      <c r="E2609" s="17"/>
      <c r="F2609" s="18"/>
      <c r="G2609" s="36" t="str">
        <f>IF(ISNUMBER(F2609),C2609*F2609,"")</f>
        <v/>
      </c>
    </row>
    <row r="2610" spans="1:7" ht="24" customHeight="1" outlineLevel="3" x14ac:dyDescent="0.2">
      <c r="A2610" s="14" t="s">
        <v>5149</v>
      </c>
      <c r="B2610" s="15" t="s">
        <v>5150</v>
      </c>
      <c r="C2610" s="16">
        <f>38.25/(1+B2)</f>
        <v>38.25</v>
      </c>
      <c r="D2610" s="17" t="s">
        <v>11</v>
      </c>
      <c r="E2610" s="17"/>
      <c r="F2610" s="18"/>
      <c r="G2610" s="36" t="str">
        <f>IF(ISNUMBER(F2610),C2610*F2610,"")</f>
        <v/>
      </c>
    </row>
    <row r="2611" spans="1:7" ht="24" customHeight="1" outlineLevel="3" x14ac:dyDescent="0.2">
      <c r="A2611" s="14" t="s">
        <v>5151</v>
      </c>
      <c r="B2611" s="15" t="s">
        <v>5152</v>
      </c>
      <c r="C2611" s="16">
        <f>38.25/(1+B2)</f>
        <v>38.25</v>
      </c>
      <c r="D2611" s="17" t="s">
        <v>11</v>
      </c>
      <c r="E2611" s="17"/>
      <c r="F2611" s="18"/>
      <c r="G2611" s="36" t="str">
        <f>IF(ISNUMBER(F2611),C2611*F2611,"")</f>
        <v/>
      </c>
    </row>
    <row r="2612" spans="1:7" ht="24" customHeight="1" outlineLevel="3" x14ac:dyDescent="0.2">
      <c r="A2612" s="14" t="s">
        <v>5153</v>
      </c>
      <c r="B2612" s="15" t="s">
        <v>5154</v>
      </c>
      <c r="C2612" s="16">
        <f>38.25/(1+B2)</f>
        <v>38.25</v>
      </c>
      <c r="D2612" s="17" t="s">
        <v>14</v>
      </c>
      <c r="E2612" s="17"/>
      <c r="F2612" s="18"/>
      <c r="G2612" s="36" t="str">
        <f>IF(ISNUMBER(F2612),C2612*F2612,"")</f>
        <v/>
      </c>
    </row>
    <row r="2613" spans="1:7" ht="12" customHeight="1" outlineLevel="3" x14ac:dyDescent="0.2">
      <c r="A2613" s="14" t="s">
        <v>5155</v>
      </c>
      <c r="B2613" s="15" t="s">
        <v>5156</v>
      </c>
      <c r="C2613" s="16">
        <f>52.89/(1+B2)</f>
        <v>52.89</v>
      </c>
      <c r="D2613" s="17" t="s">
        <v>11</v>
      </c>
      <c r="E2613" s="17"/>
      <c r="F2613" s="18"/>
      <c r="G2613" s="36" t="str">
        <f>IF(ISNUMBER(F2613),C2613*F2613,"")</f>
        <v/>
      </c>
    </row>
    <row r="2614" spans="1:7" ht="12" customHeight="1" outlineLevel="3" x14ac:dyDescent="0.2">
      <c r="A2614" s="14" t="s">
        <v>5157</v>
      </c>
      <c r="B2614" s="15" t="s">
        <v>5158</v>
      </c>
      <c r="C2614" s="16">
        <f>52.46/(1+B2)</f>
        <v>52.46</v>
      </c>
      <c r="D2614" s="17" t="s">
        <v>53</v>
      </c>
      <c r="E2614" s="17"/>
      <c r="F2614" s="18"/>
      <c r="G2614" s="36" t="str">
        <f>IF(ISNUMBER(F2614),C2614*F2614,"")</f>
        <v/>
      </c>
    </row>
    <row r="2615" spans="1:7" ht="24" customHeight="1" outlineLevel="3" x14ac:dyDescent="0.2">
      <c r="A2615" s="14" t="s">
        <v>5159</v>
      </c>
      <c r="B2615" s="15" t="s">
        <v>5160</v>
      </c>
      <c r="C2615" s="16">
        <f>145.32/(1+B2)</f>
        <v>145.32</v>
      </c>
      <c r="D2615" s="17" t="s">
        <v>11</v>
      </c>
      <c r="E2615" s="17"/>
      <c r="F2615" s="18"/>
      <c r="G2615" s="36" t="str">
        <f>IF(ISNUMBER(F2615),C2615*F2615,"")</f>
        <v/>
      </c>
    </row>
    <row r="2616" spans="1:7" ht="12" customHeight="1" outlineLevel="3" x14ac:dyDescent="0.2">
      <c r="A2616" s="14" t="s">
        <v>5161</v>
      </c>
      <c r="B2616" s="15" t="s">
        <v>5162</v>
      </c>
      <c r="C2616" s="16">
        <f>198.99/(1+B2)</f>
        <v>198.99</v>
      </c>
      <c r="D2616" s="17" t="s">
        <v>11</v>
      </c>
      <c r="E2616" s="17"/>
      <c r="F2616" s="18"/>
      <c r="G2616" s="36" t="str">
        <f>IF(ISNUMBER(F2616),C2616*F2616,"")</f>
        <v/>
      </c>
    </row>
    <row r="2617" spans="1:7" ht="12" customHeight="1" outlineLevel="3" x14ac:dyDescent="0.2">
      <c r="A2617" s="14" t="s">
        <v>5163</v>
      </c>
      <c r="B2617" s="15" t="s">
        <v>5164</v>
      </c>
      <c r="C2617" s="16">
        <f>201.88/(1+B2)</f>
        <v>201.88</v>
      </c>
      <c r="D2617" s="17" t="s">
        <v>11</v>
      </c>
      <c r="E2617" s="17"/>
      <c r="F2617" s="18"/>
      <c r="G2617" s="36" t="str">
        <f>IF(ISNUMBER(F2617),C2617*F2617,"")</f>
        <v/>
      </c>
    </row>
    <row r="2618" spans="1:7" ht="12" customHeight="1" outlineLevel="3" x14ac:dyDescent="0.2">
      <c r="A2618" s="14" t="s">
        <v>5165</v>
      </c>
      <c r="B2618" s="15" t="s">
        <v>5166</v>
      </c>
      <c r="C2618" s="16">
        <f>201.88/(1+B2)</f>
        <v>201.88</v>
      </c>
      <c r="D2618" s="17" t="s">
        <v>11</v>
      </c>
      <c r="E2618" s="17"/>
      <c r="F2618" s="18"/>
      <c r="G2618" s="36" t="str">
        <f>IF(ISNUMBER(F2618),C2618*F2618,"")</f>
        <v/>
      </c>
    </row>
    <row r="2619" spans="1:7" ht="12" customHeight="1" outlineLevel="3" x14ac:dyDescent="0.2">
      <c r="A2619" s="14" t="s">
        <v>5167</v>
      </c>
      <c r="B2619" s="15" t="s">
        <v>5168</v>
      </c>
      <c r="C2619" s="16">
        <f>129.36/(1+B2)</f>
        <v>129.36000000000001</v>
      </c>
      <c r="D2619" s="17" t="s">
        <v>11</v>
      </c>
      <c r="E2619" s="17"/>
      <c r="F2619" s="18"/>
      <c r="G2619" s="36" t="str">
        <f>IF(ISNUMBER(F2619),C2619*F2619,"")</f>
        <v/>
      </c>
    </row>
    <row r="2620" spans="1:7" ht="24" customHeight="1" outlineLevel="3" x14ac:dyDescent="0.2">
      <c r="A2620" s="14" t="s">
        <v>5169</v>
      </c>
      <c r="B2620" s="15" t="s">
        <v>5170</v>
      </c>
      <c r="C2620" s="16">
        <f>75.68/(1+B2)</f>
        <v>75.680000000000007</v>
      </c>
      <c r="D2620" s="17" t="s">
        <v>11</v>
      </c>
      <c r="E2620" s="17"/>
      <c r="F2620" s="18"/>
      <c r="G2620" s="36" t="str">
        <f>IF(ISNUMBER(F2620),C2620*F2620,"")</f>
        <v/>
      </c>
    </row>
    <row r="2621" spans="1:7" ht="12" customHeight="1" outlineLevel="3" x14ac:dyDescent="0.2">
      <c r="A2621" s="14" t="s">
        <v>5171</v>
      </c>
      <c r="B2621" s="15" t="s">
        <v>5172</v>
      </c>
      <c r="C2621" s="16">
        <f>4.64/(1+B2)</f>
        <v>4.6399999999999997</v>
      </c>
      <c r="D2621" s="17" t="s">
        <v>14</v>
      </c>
      <c r="E2621" s="17"/>
      <c r="F2621" s="18"/>
      <c r="G2621" s="36" t="str">
        <f>IF(ISNUMBER(F2621),C2621*F2621,"")</f>
        <v/>
      </c>
    </row>
    <row r="2622" spans="1:7" ht="12" customHeight="1" outlineLevel="3" x14ac:dyDescent="0.2">
      <c r="A2622" s="14" t="s">
        <v>5173</v>
      </c>
      <c r="B2622" s="15" t="s">
        <v>5174</v>
      </c>
      <c r="C2622" s="16">
        <f>422/(1+B2)</f>
        <v>422</v>
      </c>
      <c r="D2622" s="17" t="s">
        <v>11</v>
      </c>
      <c r="E2622" s="17"/>
      <c r="F2622" s="18"/>
      <c r="G2622" s="36" t="str">
        <f>IF(ISNUMBER(F2622),C2622*F2622,"")</f>
        <v/>
      </c>
    </row>
    <row r="2623" spans="1:7" ht="12" customHeight="1" outlineLevel="3" x14ac:dyDescent="0.2">
      <c r="A2623" s="14" t="s">
        <v>5175</v>
      </c>
      <c r="B2623" s="15" t="s">
        <v>5176</v>
      </c>
      <c r="C2623" s="16">
        <f>10/(1+B2)</f>
        <v>10</v>
      </c>
      <c r="D2623" s="17" t="s">
        <v>11</v>
      </c>
      <c r="E2623" s="17"/>
      <c r="F2623" s="18"/>
      <c r="G2623" s="36" t="str">
        <f>IF(ISNUMBER(F2623),C2623*F2623,"")</f>
        <v/>
      </c>
    </row>
    <row r="2624" spans="1:7" ht="12" customHeight="1" outlineLevel="3" x14ac:dyDescent="0.2">
      <c r="A2624" s="14" t="s">
        <v>5177</v>
      </c>
      <c r="B2624" s="15" t="s">
        <v>5178</v>
      </c>
      <c r="C2624" s="16">
        <f>10/(1+B2)</f>
        <v>10</v>
      </c>
      <c r="D2624" s="17" t="s">
        <v>14</v>
      </c>
      <c r="E2624" s="17" t="s">
        <v>106</v>
      </c>
      <c r="F2624" s="18"/>
      <c r="G2624" s="36" t="str">
        <f>IF(ISNUMBER(F2624),C2624*F2624,"")</f>
        <v/>
      </c>
    </row>
    <row r="2625" spans="1:7" ht="12" customHeight="1" outlineLevel="3" x14ac:dyDescent="0.2">
      <c r="A2625" s="14" t="s">
        <v>5179</v>
      </c>
      <c r="B2625" s="15" t="s">
        <v>5180</v>
      </c>
      <c r="C2625" s="16">
        <f>10/(1+B2)</f>
        <v>10</v>
      </c>
      <c r="D2625" s="17" t="s">
        <v>11</v>
      </c>
      <c r="E2625" s="17" t="s">
        <v>106</v>
      </c>
      <c r="F2625" s="18"/>
      <c r="G2625" s="36" t="str">
        <f>IF(ISNUMBER(F2625),C2625*F2625,"")</f>
        <v/>
      </c>
    </row>
    <row r="2626" spans="1:7" ht="12" customHeight="1" outlineLevel="3" x14ac:dyDescent="0.2">
      <c r="A2626" s="14" t="s">
        <v>5181</v>
      </c>
      <c r="B2626" s="15" t="s">
        <v>5182</v>
      </c>
      <c r="C2626" s="16">
        <f>10/(1+B2)</f>
        <v>10</v>
      </c>
      <c r="D2626" s="17" t="s">
        <v>53</v>
      </c>
      <c r="E2626" s="17" t="s">
        <v>106</v>
      </c>
      <c r="F2626" s="18"/>
      <c r="G2626" s="36" t="str">
        <f>IF(ISNUMBER(F2626),C2626*F2626,"")</f>
        <v/>
      </c>
    </row>
    <row r="2627" spans="1:7" s="1" customFormat="1" ht="15.95" customHeight="1" outlineLevel="1" x14ac:dyDescent="0.25">
      <c r="A2627" s="11"/>
      <c r="B2627" s="12" t="s">
        <v>5183</v>
      </c>
      <c r="C2627" s="13"/>
      <c r="D2627" s="13"/>
      <c r="E2627" s="13"/>
      <c r="F2627" s="13"/>
      <c r="G2627" s="35"/>
    </row>
    <row r="2628" spans="1:7" ht="12" customHeight="1" outlineLevel="2" x14ac:dyDescent="0.2">
      <c r="A2628" s="14" t="s">
        <v>5184</v>
      </c>
      <c r="B2628" s="15" t="s">
        <v>5185</v>
      </c>
      <c r="C2628" s="19">
        <f>1979.79/(1+B2)</f>
        <v>1979.79</v>
      </c>
      <c r="D2628" s="17" t="s">
        <v>11</v>
      </c>
      <c r="E2628" s="17"/>
      <c r="F2628" s="18"/>
      <c r="G2628" s="36" t="str">
        <f>IF(ISNUMBER(F2628),C2628*F2628,"")</f>
        <v/>
      </c>
    </row>
    <row r="2629" spans="1:7" ht="12" customHeight="1" outlineLevel="2" x14ac:dyDescent="0.2">
      <c r="A2629" s="14" t="s">
        <v>5186</v>
      </c>
      <c r="B2629" s="15" t="s">
        <v>5187</v>
      </c>
      <c r="C2629" s="19">
        <f>2389.45/(1+B2)</f>
        <v>2389.4499999999998</v>
      </c>
      <c r="D2629" s="17" t="s">
        <v>11</v>
      </c>
      <c r="E2629" s="17"/>
      <c r="F2629" s="18"/>
      <c r="G2629" s="36" t="str">
        <f>IF(ISNUMBER(F2629),C2629*F2629,"")</f>
        <v/>
      </c>
    </row>
    <row r="2630" spans="1:7" ht="24" customHeight="1" outlineLevel="2" x14ac:dyDescent="0.2">
      <c r="A2630" s="14" t="s">
        <v>5188</v>
      </c>
      <c r="B2630" s="15" t="s">
        <v>5189</v>
      </c>
      <c r="C2630" s="19">
        <f>1844.36/(1+B2)</f>
        <v>1844.36</v>
      </c>
      <c r="D2630" s="17" t="s">
        <v>11</v>
      </c>
      <c r="E2630" s="17"/>
      <c r="F2630" s="18"/>
      <c r="G2630" s="36" t="str">
        <f>IF(ISNUMBER(F2630),C2630*F2630,"")</f>
        <v/>
      </c>
    </row>
    <row r="2631" spans="1:7" ht="12" customHeight="1" outlineLevel="2" x14ac:dyDescent="0.2">
      <c r="A2631" s="14" t="s">
        <v>5190</v>
      </c>
      <c r="B2631" s="15" t="s">
        <v>5191</v>
      </c>
      <c r="C2631" s="16">
        <f>890.99/(1+B2)</f>
        <v>890.99</v>
      </c>
      <c r="D2631" s="17" t="s">
        <v>11</v>
      </c>
      <c r="E2631" s="17"/>
      <c r="F2631" s="18"/>
      <c r="G2631" s="36" t="str">
        <f>IF(ISNUMBER(F2631),C2631*F2631,"")</f>
        <v/>
      </c>
    </row>
    <row r="2632" spans="1:7" ht="12" customHeight="1" outlineLevel="2" x14ac:dyDescent="0.2">
      <c r="A2632" s="14" t="s">
        <v>5192</v>
      </c>
      <c r="B2632" s="15" t="s">
        <v>5193</v>
      </c>
      <c r="C2632" s="16">
        <f>302.9/(1+B2)</f>
        <v>302.89999999999998</v>
      </c>
      <c r="D2632" s="17" t="s">
        <v>11</v>
      </c>
      <c r="E2632" s="17"/>
      <c r="F2632" s="18"/>
      <c r="G2632" s="36" t="str">
        <f>IF(ISNUMBER(F2632),C2632*F2632,"")</f>
        <v/>
      </c>
    </row>
    <row r="2633" spans="1:7" ht="24" customHeight="1" outlineLevel="2" x14ac:dyDescent="0.2">
      <c r="A2633" s="14" t="s">
        <v>5194</v>
      </c>
      <c r="B2633" s="15" t="s">
        <v>5195</v>
      </c>
      <c r="C2633" s="16">
        <f>356.9/(1+B2)</f>
        <v>356.9</v>
      </c>
      <c r="D2633" s="17" t="s">
        <v>11</v>
      </c>
      <c r="E2633" s="17"/>
      <c r="F2633" s="18"/>
      <c r="G2633" s="36" t="str">
        <f>IF(ISNUMBER(F2633),C2633*F2633,"")</f>
        <v/>
      </c>
    </row>
    <row r="2634" spans="1:7" ht="12" customHeight="1" outlineLevel="2" x14ac:dyDescent="0.2">
      <c r="A2634" s="14" t="s">
        <v>5196</v>
      </c>
      <c r="B2634" s="15" t="s">
        <v>5197</v>
      </c>
      <c r="C2634" s="16">
        <f>14.28/(1+B2)</f>
        <v>14.28</v>
      </c>
      <c r="D2634" s="17" t="s">
        <v>11</v>
      </c>
      <c r="E2634" s="17"/>
      <c r="F2634" s="18"/>
      <c r="G2634" s="36" t="str">
        <f>IF(ISNUMBER(F2634),C2634*F2634,"")</f>
        <v/>
      </c>
    </row>
    <row r="2635" spans="1:7" ht="12" customHeight="1" outlineLevel="2" x14ac:dyDescent="0.2">
      <c r="A2635" s="14" t="s">
        <v>5198</v>
      </c>
      <c r="B2635" s="15" t="s">
        <v>5199</v>
      </c>
      <c r="C2635" s="19">
        <f>2357.77/(1+B2)</f>
        <v>2357.77</v>
      </c>
      <c r="D2635" s="17" t="s">
        <v>11</v>
      </c>
      <c r="E2635" s="17"/>
      <c r="F2635" s="18"/>
      <c r="G2635" s="36" t="str">
        <f>IF(ISNUMBER(F2635),C2635*F2635,"")</f>
        <v/>
      </c>
    </row>
    <row r="2636" spans="1:7" ht="12" customHeight="1" outlineLevel="2" x14ac:dyDescent="0.2">
      <c r="A2636" s="14" t="s">
        <v>5200</v>
      </c>
      <c r="B2636" s="15" t="s">
        <v>5201</v>
      </c>
      <c r="C2636" s="19">
        <f>3745.53/(1+B2)</f>
        <v>3745.53</v>
      </c>
      <c r="D2636" s="17" t="s">
        <v>11</v>
      </c>
      <c r="E2636" s="17"/>
      <c r="F2636" s="18"/>
      <c r="G2636" s="36" t="str">
        <f>IF(ISNUMBER(F2636),C2636*F2636,"")</f>
        <v/>
      </c>
    </row>
    <row r="2637" spans="1:7" ht="12" customHeight="1" outlineLevel="2" x14ac:dyDescent="0.2">
      <c r="A2637" s="14" t="s">
        <v>5202</v>
      </c>
      <c r="B2637" s="15" t="s">
        <v>5203</v>
      </c>
      <c r="C2637" s="19">
        <f>2953.64/(1+B2)</f>
        <v>2953.64</v>
      </c>
      <c r="D2637" s="17" t="s">
        <v>11</v>
      </c>
      <c r="E2637" s="17"/>
      <c r="F2637" s="18"/>
      <c r="G2637" s="36" t="str">
        <f>IF(ISNUMBER(F2637),C2637*F2637,"")</f>
        <v/>
      </c>
    </row>
    <row r="2638" spans="1:7" ht="12" customHeight="1" outlineLevel="2" x14ac:dyDescent="0.2">
      <c r="A2638" s="14" t="s">
        <v>5204</v>
      </c>
      <c r="B2638" s="15" t="s">
        <v>5205</v>
      </c>
      <c r="C2638" s="19">
        <f>2232.41/(1+B2)</f>
        <v>2232.41</v>
      </c>
      <c r="D2638" s="17" t="s">
        <v>11</v>
      </c>
      <c r="E2638" s="17"/>
      <c r="F2638" s="18"/>
      <c r="G2638" s="36" t="str">
        <f>IF(ISNUMBER(F2638),C2638*F2638,"")</f>
        <v/>
      </c>
    </row>
    <row r="2639" spans="1:7" s="1" customFormat="1" ht="15.95" customHeight="1" outlineLevel="1" x14ac:dyDescent="0.25">
      <c r="A2639" s="11"/>
      <c r="B2639" s="12" t="s">
        <v>5206</v>
      </c>
      <c r="C2639" s="13"/>
      <c r="D2639" s="13"/>
      <c r="E2639" s="13"/>
      <c r="F2639" s="13"/>
      <c r="G2639" s="35"/>
    </row>
    <row r="2640" spans="1:7" ht="12" customHeight="1" outlineLevel="2" x14ac:dyDescent="0.2">
      <c r="A2640" s="14" t="s">
        <v>5207</v>
      </c>
      <c r="B2640" s="15" t="s">
        <v>5208</v>
      </c>
      <c r="C2640" s="16">
        <f>579.01/(1+B2)</f>
        <v>579.01</v>
      </c>
      <c r="D2640" s="17" t="s">
        <v>11</v>
      </c>
      <c r="E2640" s="17"/>
      <c r="F2640" s="18"/>
      <c r="G2640" s="36" t="str">
        <f>IF(ISNUMBER(F2640),C2640*F2640,"")</f>
        <v/>
      </c>
    </row>
    <row r="2641" spans="1:7" ht="12" customHeight="1" outlineLevel="2" x14ac:dyDescent="0.2">
      <c r="A2641" s="14" t="s">
        <v>5209</v>
      </c>
      <c r="B2641" s="15" t="s">
        <v>5210</v>
      </c>
      <c r="C2641" s="16">
        <f>497.48/(1+B2)</f>
        <v>497.48</v>
      </c>
      <c r="D2641" s="17" t="s">
        <v>53</v>
      </c>
      <c r="E2641" s="17"/>
      <c r="F2641" s="18"/>
      <c r="G2641" s="36" t="str">
        <f>IF(ISNUMBER(F2641),C2641*F2641,"")</f>
        <v/>
      </c>
    </row>
    <row r="2642" spans="1:7" ht="12" customHeight="1" outlineLevel="2" x14ac:dyDescent="0.2">
      <c r="A2642" s="14" t="s">
        <v>5211</v>
      </c>
      <c r="B2642" s="15" t="s">
        <v>5212</v>
      </c>
      <c r="C2642" s="16">
        <f>617.76/(1+B2)</f>
        <v>617.76</v>
      </c>
      <c r="D2642" s="17" t="s">
        <v>11</v>
      </c>
      <c r="E2642" s="17"/>
      <c r="F2642" s="18"/>
      <c r="G2642" s="36" t="str">
        <f>IF(ISNUMBER(F2642),C2642*F2642,"")</f>
        <v/>
      </c>
    </row>
    <row r="2643" spans="1:7" ht="12" customHeight="1" outlineLevel="2" x14ac:dyDescent="0.2">
      <c r="A2643" s="14" t="s">
        <v>5213</v>
      </c>
      <c r="B2643" s="15" t="s">
        <v>5214</v>
      </c>
      <c r="C2643" s="16">
        <f>720.38/(1+B2)</f>
        <v>720.38</v>
      </c>
      <c r="D2643" s="17" t="s">
        <v>11</v>
      </c>
      <c r="E2643" s="17"/>
      <c r="F2643" s="18"/>
      <c r="G2643" s="36" t="str">
        <f>IF(ISNUMBER(F2643),C2643*F2643,"")</f>
        <v/>
      </c>
    </row>
    <row r="2644" spans="1:7" ht="12" customHeight="1" outlineLevel="2" x14ac:dyDescent="0.2">
      <c r="A2644" s="14" t="s">
        <v>5215</v>
      </c>
      <c r="B2644" s="15" t="s">
        <v>5216</v>
      </c>
      <c r="C2644" s="16">
        <f>858.32/(1+B2)</f>
        <v>858.32</v>
      </c>
      <c r="D2644" s="17" t="s">
        <v>11</v>
      </c>
      <c r="E2644" s="17"/>
      <c r="F2644" s="18"/>
      <c r="G2644" s="36" t="str">
        <f>IF(ISNUMBER(F2644),C2644*F2644,"")</f>
        <v/>
      </c>
    </row>
    <row r="2645" spans="1:7" ht="12" customHeight="1" outlineLevel="2" x14ac:dyDescent="0.2">
      <c r="A2645" s="14" t="s">
        <v>5217</v>
      </c>
      <c r="B2645" s="15" t="s">
        <v>5218</v>
      </c>
      <c r="C2645" s="16">
        <f>989/(1+B2)</f>
        <v>989</v>
      </c>
      <c r="D2645" s="17" t="s">
        <v>11</v>
      </c>
      <c r="E2645" s="17"/>
      <c r="F2645" s="18"/>
      <c r="G2645" s="36" t="str">
        <f>IF(ISNUMBER(F2645),C2645*F2645,"")</f>
        <v/>
      </c>
    </row>
    <row r="2646" spans="1:7" ht="12" customHeight="1" outlineLevel="2" x14ac:dyDescent="0.2">
      <c r="A2646" s="14" t="s">
        <v>5219</v>
      </c>
      <c r="B2646" s="15" t="s">
        <v>5220</v>
      </c>
      <c r="C2646" s="16">
        <f>989/(1+B2)</f>
        <v>989</v>
      </c>
      <c r="D2646" s="17" t="s">
        <v>11</v>
      </c>
      <c r="E2646" s="17"/>
      <c r="F2646" s="18"/>
      <c r="G2646" s="36" t="str">
        <f>IF(ISNUMBER(F2646),C2646*F2646,"")</f>
        <v/>
      </c>
    </row>
    <row r="2647" spans="1:7" ht="12" customHeight="1" outlineLevel="2" x14ac:dyDescent="0.2">
      <c r="A2647" s="14" t="s">
        <v>5221</v>
      </c>
      <c r="B2647" s="15" t="s">
        <v>5222</v>
      </c>
      <c r="C2647" s="16">
        <f>755.79/(1+B2)</f>
        <v>755.79</v>
      </c>
      <c r="D2647" s="17" t="s">
        <v>11</v>
      </c>
      <c r="E2647" s="17"/>
      <c r="F2647" s="18"/>
      <c r="G2647" s="36" t="str">
        <f>IF(ISNUMBER(F2647),C2647*F2647,"")</f>
        <v/>
      </c>
    </row>
    <row r="2648" spans="1:7" ht="12" customHeight="1" outlineLevel="2" x14ac:dyDescent="0.2">
      <c r="A2648" s="14" t="s">
        <v>5223</v>
      </c>
      <c r="B2648" s="15" t="s">
        <v>5224</v>
      </c>
      <c r="C2648" s="16">
        <f>797.43/(1+B2)</f>
        <v>797.43</v>
      </c>
      <c r="D2648" s="17" t="s">
        <v>11</v>
      </c>
      <c r="E2648" s="17"/>
      <c r="F2648" s="18"/>
      <c r="G2648" s="36" t="str">
        <f>IF(ISNUMBER(F2648),C2648*F2648,"")</f>
        <v/>
      </c>
    </row>
    <row r="2649" spans="1:7" ht="12" customHeight="1" outlineLevel="2" x14ac:dyDescent="0.2">
      <c r="A2649" s="14" t="s">
        <v>5225</v>
      </c>
      <c r="B2649" s="15" t="s">
        <v>5226</v>
      </c>
      <c r="C2649" s="16">
        <f>208/(1+B2)</f>
        <v>208</v>
      </c>
      <c r="D2649" s="17" t="s">
        <v>11</v>
      </c>
      <c r="E2649" s="17"/>
      <c r="F2649" s="18"/>
      <c r="G2649" s="36" t="str">
        <f>IF(ISNUMBER(F2649),C2649*F2649,"")</f>
        <v/>
      </c>
    </row>
    <row r="2650" spans="1:7" ht="12" customHeight="1" outlineLevel="2" x14ac:dyDescent="0.2">
      <c r="A2650" s="14" t="s">
        <v>5227</v>
      </c>
      <c r="B2650" s="15" t="s">
        <v>5228</v>
      </c>
      <c r="C2650" s="19">
        <f>1149.38/(1+B2)</f>
        <v>1149.3800000000001</v>
      </c>
      <c r="D2650" s="17" t="s">
        <v>11</v>
      </c>
      <c r="E2650" s="17"/>
      <c r="F2650" s="18"/>
      <c r="G2650" s="36" t="str">
        <f>IF(ISNUMBER(F2650),C2650*F2650,"")</f>
        <v/>
      </c>
    </row>
    <row r="2651" spans="1:7" s="1" customFormat="1" ht="15.95" customHeight="1" outlineLevel="1" x14ac:dyDescent="0.25">
      <c r="A2651" s="11"/>
      <c r="B2651" s="12" t="s">
        <v>5229</v>
      </c>
      <c r="C2651" s="13"/>
      <c r="D2651" s="13"/>
      <c r="E2651" s="13"/>
      <c r="F2651" s="13"/>
      <c r="G2651" s="35"/>
    </row>
    <row r="2652" spans="1:7" ht="12" customHeight="1" outlineLevel="2" x14ac:dyDescent="0.2">
      <c r="A2652" s="14" t="s">
        <v>5230</v>
      </c>
      <c r="B2652" s="15" t="s">
        <v>5231</v>
      </c>
      <c r="C2652" s="16">
        <f>80.17/(1+B2)</f>
        <v>80.17</v>
      </c>
      <c r="D2652" s="17" t="s">
        <v>14</v>
      </c>
      <c r="E2652" s="17"/>
      <c r="F2652" s="18"/>
      <c r="G2652" s="36" t="str">
        <f>IF(ISNUMBER(F2652),C2652*F2652,"")</f>
        <v/>
      </c>
    </row>
    <row r="2653" spans="1:7" ht="12" customHeight="1" outlineLevel="2" x14ac:dyDescent="0.2">
      <c r="A2653" s="14" t="s">
        <v>5232</v>
      </c>
      <c r="B2653" s="15" t="s">
        <v>5233</v>
      </c>
      <c r="C2653" s="16">
        <f>79.94/(1+B2)</f>
        <v>79.94</v>
      </c>
      <c r="D2653" s="17" t="s">
        <v>11</v>
      </c>
      <c r="E2653" s="17" t="s">
        <v>53</v>
      </c>
      <c r="F2653" s="18"/>
      <c r="G2653" s="36" t="str">
        <f>IF(ISNUMBER(F2653),C2653*F2653,"")</f>
        <v/>
      </c>
    </row>
    <row r="2654" spans="1:7" ht="12" customHeight="1" outlineLevel="2" x14ac:dyDescent="0.2">
      <c r="A2654" s="14" t="s">
        <v>5234</v>
      </c>
      <c r="B2654" s="15" t="s">
        <v>5235</v>
      </c>
      <c r="C2654" s="16">
        <f>60.2/(1+B2)</f>
        <v>60.2</v>
      </c>
      <c r="D2654" s="17" t="s">
        <v>11</v>
      </c>
      <c r="E2654" s="17"/>
      <c r="F2654" s="18"/>
      <c r="G2654" s="36" t="str">
        <f>IF(ISNUMBER(F2654),C2654*F2654,"")</f>
        <v/>
      </c>
    </row>
    <row r="2655" spans="1:7" ht="24" customHeight="1" outlineLevel="2" x14ac:dyDescent="0.2">
      <c r="A2655" s="14" t="s">
        <v>5236</v>
      </c>
      <c r="B2655" s="15" t="s">
        <v>5237</v>
      </c>
      <c r="C2655" s="16">
        <f>428.2/(1+B2)</f>
        <v>428.2</v>
      </c>
      <c r="D2655" s="17" t="s">
        <v>11</v>
      </c>
      <c r="E2655" s="17"/>
      <c r="F2655" s="18"/>
      <c r="G2655" s="36" t="str">
        <f>IF(ISNUMBER(F2655),C2655*F2655,"")</f>
        <v/>
      </c>
    </row>
    <row r="2656" spans="1:7" ht="24" customHeight="1" outlineLevel="2" x14ac:dyDescent="0.2">
      <c r="A2656" s="14" t="s">
        <v>5238</v>
      </c>
      <c r="B2656" s="15" t="s">
        <v>5239</v>
      </c>
      <c r="C2656" s="16">
        <f>586.66/(1+B2)</f>
        <v>586.66</v>
      </c>
      <c r="D2656" s="17" t="s">
        <v>11</v>
      </c>
      <c r="E2656" s="17"/>
      <c r="F2656" s="18"/>
      <c r="G2656" s="36" t="str">
        <f>IF(ISNUMBER(F2656),C2656*F2656,"")</f>
        <v/>
      </c>
    </row>
    <row r="2657" spans="1:7" ht="12" customHeight="1" outlineLevel="2" x14ac:dyDescent="0.2">
      <c r="A2657" s="14" t="s">
        <v>5240</v>
      </c>
      <c r="B2657" s="15" t="s">
        <v>5241</v>
      </c>
      <c r="C2657" s="16">
        <f>178.13/(1+B2)</f>
        <v>178.13</v>
      </c>
      <c r="D2657" s="17" t="s">
        <v>11</v>
      </c>
      <c r="E2657" s="17"/>
      <c r="F2657" s="18"/>
      <c r="G2657" s="36" t="str">
        <f>IF(ISNUMBER(F2657),C2657*F2657,"")</f>
        <v/>
      </c>
    </row>
    <row r="2658" spans="1:7" ht="24" customHeight="1" outlineLevel="2" x14ac:dyDescent="0.2">
      <c r="A2658" s="14" t="s">
        <v>5242</v>
      </c>
      <c r="B2658" s="15" t="s">
        <v>5243</v>
      </c>
      <c r="C2658" s="16">
        <f>703.8/(1+B2)</f>
        <v>703.8</v>
      </c>
      <c r="D2658" s="17" t="s">
        <v>11</v>
      </c>
      <c r="E2658" s="17"/>
      <c r="F2658" s="18"/>
      <c r="G2658" s="36" t="str">
        <f>IF(ISNUMBER(F2658),C2658*F2658,"")</f>
        <v/>
      </c>
    </row>
    <row r="2659" spans="1:7" ht="24" customHeight="1" outlineLevel="2" x14ac:dyDescent="0.2">
      <c r="A2659" s="14" t="s">
        <v>5244</v>
      </c>
      <c r="B2659" s="15" t="s">
        <v>5245</v>
      </c>
      <c r="C2659" s="16">
        <f>455/(1+B2)</f>
        <v>455</v>
      </c>
      <c r="D2659" s="17" t="s">
        <v>11</v>
      </c>
      <c r="E2659" s="17"/>
      <c r="F2659" s="18"/>
      <c r="G2659" s="36" t="str">
        <f>IF(ISNUMBER(F2659),C2659*F2659,"")</f>
        <v/>
      </c>
    </row>
    <row r="2660" spans="1:7" ht="24" customHeight="1" outlineLevel="2" x14ac:dyDescent="0.2">
      <c r="A2660" s="14" t="s">
        <v>5246</v>
      </c>
      <c r="B2660" s="15" t="s">
        <v>5247</v>
      </c>
      <c r="C2660" s="16">
        <f>723.53/(1+B2)</f>
        <v>723.53</v>
      </c>
      <c r="D2660" s="17" t="s">
        <v>11</v>
      </c>
      <c r="E2660" s="17"/>
      <c r="F2660" s="18"/>
      <c r="G2660" s="36" t="str">
        <f>IF(ISNUMBER(F2660),C2660*F2660,"")</f>
        <v/>
      </c>
    </row>
    <row r="2661" spans="1:7" ht="12" customHeight="1" outlineLevel="2" x14ac:dyDescent="0.2">
      <c r="A2661" s="14" t="s">
        <v>5248</v>
      </c>
      <c r="B2661" s="15" t="s">
        <v>5249</v>
      </c>
      <c r="C2661" s="16">
        <f>469.63/(1+B2)</f>
        <v>469.63</v>
      </c>
      <c r="D2661" s="17" t="s">
        <v>11</v>
      </c>
      <c r="E2661" s="17"/>
      <c r="F2661" s="18"/>
      <c r="G2661" s="36" t="str">
        <f>IF(ISNUMBER(F2661),C2661*F2661,"")</f>
        <v/>
      </c>
    </row>
    <row r="2662" spans="1:7" ht="24" customHeight="1" outlineLevel="2" x14ac:dyDescent="0.2">
      <c r="A2662" s="14" t="s">
        <v>5250</v>
      </c>
      <c r="B2662" s="15" t="s">
        <v>5251</v>
      </c>
      <c r="C2662" s="16">
        <f>597.31/(1+B2)</f>
        <v>597.30999999999995</v>
      </c>
      <c r="D2662" s="17" t="s">
        <v>11</v>
      </c>
      <c r="E2662" s="17"/>
      <c r="F2662" s="18"/>
      <c r="G2662" s="36" t="str">
        <f>IF(ISNUMBER(F2662),C2662*F2662,"")</f>
        <v/>
      </c>
    </row>
    <row r="2663" spans="1:7" ht="12" customHeight="1" outlineLevel="2" x14ac:dyDescent="0.2">
      <c r="A2663" s="14" t="s">
        <v>5252</v>
      </c>
      <c r="B2663" s="15" t="s">
        <v>5253</v>
      </c>
      <c r="C2663" s="16">
        <f>607.16/(1+B2)</f>
        <v>607.16</v>
      </c>
      <c r="D2663" s="17" t="s">
        <v>11</v>
      </c>
      <c r="E2663" s="17"/>
      <c r="F2663" s="18"/>
      <c r="G2663" s="36" t="str">
        <f>IF(ISNUMBER(F2663),C2663*F2663,"")</f>
        <v/>
      </c>
    </row>
    <row r="2664" spans="1:7" ht="12" customHeight="1" outlineLevel="2" x14ac:dyDescent="0.2">
      <c r="A2664" s="14" t="s">
        <v>5254</v>
      </c>
      <c r="B2664" s="15" t="s">
        <v>5255</v>
      </c>
      <c r="C2664" s="16">
        <f>951.25/(1+B2)</f>
        <v>951.25</v>
      </c>
      <c r="D2664" s="17" t="s">
        <v>11</v>
      </c>
      <c r="E2664" s="17"/>
      <c r="F2664" s="18"/>
      <c r="G2664" s="36" t="str">
        <f>IF(ISNUMBER(F2664),C2664*F2664,"")</f>
        <v/>
      </c>
    </row>
    <row r="2665" spans="1:7" ht="12" customHeight="1" outlineLevel="2" x14ac:dyDescent="0.2">
      <c r="A2665" s="14" t="s">
        <v>5256</v>
      </c>
      <c r="B2665" s="15" t="s">
        <v>5257</v>
      </c>
      <c r="C2665" s="16">
        <f>279.68/(1+B2)</f>
        <v>279.68</v>
      </c>
      <c r="D2665" s="17" t="s">
        <v>11</v>
      </c>
      <c r="E2665" s="17"/>
      <c r="F2665" s="18"/>
      <c r="G2665" s="36" t="str">
        <f>IF(ISNUMBER(F2665),C2665*F2665,"")</f>
        <v/>
      </c>
    </row>
    <row r="2666" spans="1:7" s="1" customFormat="1" ht="15.95" customHeight="1" outlineLevel="1" x14ac:dyDescent="0.25">
      <c r="A2666" s="11"/>
      <c r="B2666" s="12" t="s">
        <v>5258</v>
      </c>
      <c r="C2666" s="13"/>
      <c r="D2666" s="13"/>
      <c r="E2666" s="13"/>
      <c r="F2666" s="13"/>
      <c r="G2666" s="35"/>
    </row>
    <row r="2667" spans="1:7" ht="12" customHeight="1" outlineLevel="2" x14ac:dyDescent="0.2">
      <c r="A2667" s="14" t="s">
        <v>5259</v>
      </c>
      <c r="B2667" s="15" t="s">
        <v>5260</v>
      </c>
      <c r="C2667" s="16">
        <f>48/(1+B2)</f>
        <v>48</v>
      </c>
      <c r="D2667" s="17" t="s">
        <v>11</v>
      </c>
      <c r="E2667" s="17"/>
      <c r="F2667" s="18"/>
      <c r="G2667" s="36" t="str">
        <f>IF(ISNUMBER(F2667),C2667*F2667,"")</f>
        <v/>
      </c>
    </row>
    <row r="2668" spans="1:7" ht="12" customHeight="1" outlineLevel="2" x14ac:dyDescent="0.2">
      <c r="A2668" s="14" t="s">
        <v>5261</v>
      </c>
      <c r="B2668" s="15" t="s">
        <v>5262</v>
      </c>
      <c r="C2668" s="16">
        <f>198.99/(1+B2)</f>
        <v>198.99</v>
      </c>
      <c r="D2668" s="17" t="s">
        <v>11</v>
      </c>
      <c r="E2668" s="17"/>
      <c r="F2668" s="18"/>
      <c r="G2668" s="36" t="str">
        <f>IF(ISNUMBER(F2668),C2668*F2668,"")</f>
        <v/>
      </c>
    </row>
    <row r="2669" spans="1:7" s="1" customFormat="1" ht="15.95" customHeight="1" x14ac:dyDescent="0.25">
      <c r="A2669" s="8"/>
      <c r="B2669" s="9" t="s">
        <v>5263</v>
      </c>
      <c r="C2669" s="10"/>
      <c r="D2669" s="10"/>
      <c r="E2669" s="10"/>
      <c r="F2669" s="10"/>
      <c r="G2669" s="34"/>
    </row>
    <row r="2670" spans="1:7" s="1" customFormat="1" ht="15.95" customHeight="1" outlineLevel="1" x14ac:dyDescent="0.25">
      <c r="A2670" s="11"/>
      <c r="B2670" s="12" t="s">
        <v>5264</v>
      </c>
      <c r="C2670" s="13"/>
      <c r="D2670" s="13"/>
      <c r="E2670" s="13"/>
      <c r="F2670" s="13"/>
      <c r="G2670" s="35"/>
    </row>
    <row r="2671" spans="1:7" ht="12" customHeight="1" outlineLevel="2" x14ac:dyDescent="0.2">
      <c r="A2671" s="14" t="s">
        <v>5265</v>
      </c>
      <c r="B2671" s="15" t="s">
        <v>5266</v>
      </c>
      <c r="C2671" s="16">
        <f>441.81/(1+B2)</f>
        <v>441.81</v>
      </c>
      <c r="D2671" s="17" t="s">
        <v>11</v>
      </c>
      <c r="E2671" s="17"/>
      <c r="F2671" s="18"/>
      <c r="G2671" s="36" t="str">
        <f>IF(ISNUMBER(F2671),C2671*F2671,"")</f>
        <v/>
      </c>
    </row>
    <row r="2672" spans="1:7" ht="12" customHeight="1" outlineLevel="2" x14ac:dyDescent="0.2">
      <c r="A2672" s="14" t="s">
        <v>5267</v>
      </c>
      <c r="B2672" s="15" t="s">
        <v>5268</v>
      </c>
      <c r="C2672" s="16">
        <f>280.43/(1+B2)</f>
        <v>280.43</v>
      </c>
      <c r="D2672" s="17" t="s">
        <v>11</v>
      </c>
      <c r="E2672" s="17"/>
      <c r="F2672" s="18"/>
      <c r="G2672" s="36" t="str">
        <f>IF(ISNUMBER(F2672),C2672*F2672,"")</f>
        <v/>
      </c>
    </row>
    <row r="2673" spans="1:7" ht="12" customHeight="1" outlineLevel="2" x14ac:dyDescent="0.2">
      <c r="A2673" s="14" t="s">
        <v>5269</v>
      </c>
      <c r="B2673" s="15" t="s">
        <v>5270</v>
      </c>
      <c r="C2673" s="16">
        <f>538.42/(1+B2)</f>
        <v>538.41999999999996</v>
      </c>
      <c r="D2673" s="17" t="s">
        <v>11</v>
      </c>
      <c r="E2673" s="17"/>
      <c r="F2673" s="18"/>
      <c r="G2673" s="36" t="str">
        <f>IF(ISNUMBER(F2673),C2673*F2673,"")</f>
        <v/>
      </c>
    </row>
    <row r="2674" spans="1:7" ht="24" customHeight="1" outlineLevel="2" x14ac:dyDescent="0.2">
      <c r="A2674" s="14" t="s">
        <v>5271</v>
      </c>
      <c r="B2674" s="15" t="s">
        <v>5272</v>
      </c>
      <c r="C2674" s="16">
        <f>527.56/(1+B2)</f>
        <v>527.55999999999995</v>
      </c>
      <c r="D2674" s="17" t="s">
        <v>11</v>
      </c>
      <c r="E2674" s="17"/>
      <c r="F2674" s="18"/>
      <c r="G2674" s="36" t="str">
        <f>IF(ISNUMBER(F2674),C2674*F2674,"")</f>
        <v/>
      </c>
    </row>
    <row r="2675" spans="1:7" ht="12" customHeight="1" outlineLevel="2" x14ac:dyDescent="0.2">
      <c r="A2675" s="14" t="s">
        <v>5273</v>
      </c>
      <c r="B2675" s="15" t="s">
        <v>5274</v>
      </c>
      <c r="C2675" s="16">
        <f>428.83/(1+B2)</f>
        <v>428.83</v>
      </c>
      <c r="D2675" s="17" t="s">
        <v>11</v>
      </c>
      <c r="E2675" s="17"/>
      <c r="F2675" s="18"/>
      <c r="G2675" s="36" t="str">
        <f>IF(ISNUMBER(F2675),C2675*F2675,"")</f>
        <v/>
      </c>
    </row>
    <row r="2676" spans="1:7" ht="12" customHeight="1" outlineLevel="2" x14ac:dyDescent="0.2">
      <c r="A2676" s="14" t="s">
        <v>5275</v>
      </c>
      <c r="B2676" s="15" t="s">
        <v>5276</v>
      </c>
      <c r="C2676" s="16">
        <f>291.19/(1+B2)</f>
        <v>291.19</v>
      </c>
      <c r="D2676" s="17" t="s">
        <v>11</v>
      </c>
      <c r="E2676" s="17"/>
      <c r="F2676" s="18"/>
      <c r="G2676" s="36" t="str">
        <f>IF(ISNUMBER(F2676),C2676*F2676,"")</f>
        <v/>
      </c>
    </row>
    <row r="2677" spans="1:7" ht="24" customHeight="1" outlineLevel="2" x14ac:dyDescent="0.2">
      <c r="A2677" s="14" t="s">
        <v>5277</v>
      </c>
      <c r="B2677" s="15" t="s">
        <v>5278</v>
      </c>
      <c r="C2677" s="16">
        <f>422.28/(1+B2)</f>
        <v>422.28</v>
      </c>
      <c r="D2677" s="17" t="s">
        <v>11</v>
      </c>
      <c r="E2677" s="17"/>
      <c r="F2677" s="18"/>
      <c r="G2677" s="36" t="str">
        <f>IF(ISNUMBER(F2677),C2677*F2677,"")</f>
        <v/>
      </c>
    </row>
    <row r="2678" spans="1:7" ht="12" customHeight="1" outlineLevel="2" x14ac:dyDescent="0.2">
      <c r="A2678" s="14" t="s">
        <v>5279</v>
      </c>
      <c r="B2678" s="15" t="s">
        <v>5280</v>
      </c>
      <c r="C2678" s="16">
        <f>135/(1+B2)</f>
        <v>135</v>
      </c>
      <c r="D2678" s="17" t="s">
        <v>11</v>
      </c>
      <c r="E2678" s="17" t="s">
        <v>14</v>
      </c>
      <c r="F2678" s="18"/>
      <c r="G2678" s="36" t="str">
        <f>IF(ISNUMBER(F2678),C2678*F2678,"")</f>
        <v/>
      </c>
    </row>
    <row r="2679" spans="1:7" ht="12" customHeight="1" outlineLevel="2" x14ac:dyDescent="0.2">
      <c r="A2679" s="14" t="s">
        <v>5281</v>
      </c>
      <c r="B2679" s="15" t="s">
        <v>5282</v>
      </c>
      <c r="C2679" s="16">
        <f>84.78/(1+B2)</f>
        <v>84.78</v>
      </c>
      <c r="D2679" s="17" t="s">
        <v>11</v>
      </c>
      <c r="E2679" s="17" t="s">
        <v>14</v>
      </c>
      <c r="F2679" s="18"/>
      <c r="G2679" s="36" t="str">
        <f>IF(ISNUMBER(F2679),C2679*F2679,"")</f>
        <v/>
      </c>
    </row>
    <row r="2680" spans="1:7" ht="12" customHeight="1" outlineLevel="2" x14ac:dyDescent="0.2">
      <c r="A2680" s="14" t="s">
        <v>5283</v>
      </c>
      <c r="B2680" s="15" t="s">
        <v>5284</v>
      </c>
      <c r="C2680" s="16">
        <f>111.06/(1+B2)</f>
        <v>111.06</v>
      </c>
      <c r="D2680" s="17" t="s">
        <v>11</v>
      </c>
      <c r="E2680" s="17" t="s">
        <v>11</v>
      </c>
      <c r="F2680" s="18"/>
      <c r="G2680" s="36" t="str">
        <f>IF(ISNUMBER(F2680),C2680*F2680,"")</f>
        <v/>
      </c>
    </row>
    <row r="2681" spans="1:7" ht="24" customHeight="1" outlineLevel="2" x14ac:dyDescent="0.2">
      <c r="A2681" s="14" t="s">
        <v>5285</v>
      </c>
      <c r="B2681" s="15" t="s">
        <v>5286</v>
      </c>
      <c r="C2681" s="19">
        <f>1345.31/(1+B2)</f>
        <v>1345.31</v>
      </c>
      <c r="D2681" s="17" t="s">
        <v>11</v>
      </c>
      <c r="E2681" s="17"/>
      <c r="F2681" s="18"/>
      <c r="G2681" s="36" t="str">
        <f>IF(ISNUMBER(F2681),C2681*F2681,"")</f>
        <v/>
      </c>
    </row>
    <row r="2682" spans="1:7" ht="24" customHeight="1" outlineLevel="2" x14ac:dyDescent="0.2">
      <c r="A2682" s="14" t="s">
        <v>5287</v>
      </c>
      <c r="B2682" s="15" t="s">
        <v>5288</v>
      </c>
      <c r="C2682" s="16">
        <f>640.87/(1+B2)</f>
        <v>640.87</v>
      </c>
      <c r="D2682" s="17" t="s">
        <v>11</v>
      </c>
      <c r="E2682" s="17"/>
      <c r="F2682" s="18"/>
      <c r="G2682" s="36" t="str">
        <f>IF(ISNUMBER(F2682),C2682*F2682,"")</f>
        <v/>
      </c>
    </row>
    <row r="2683" spans="1:7" ht="12" customHeight="1" outlineLevel="2" x14ac:dyDescent="0.2">
      <c r="A2683" s="14" t="s">
        <v>5289</v>
      </c>
      <c r="B2683" s="15" t="s">
        <v>5290</v>
      </c>
      <c r="C2683" s="16">
        <f>357.55/(1+B2)</f>
        <v>357.55</v>
      </c>
      <c r="D2683" s="17" t="s">
        <v>11</v>
      </c>
      <c r="E2683" s="17"/>
      <c r="F2683" s="18"/>
      <c r="G2683" s="36" t="str">
        <f>IF(ISNUMBER(F2683),C2683*F2683,"")</f>
        <v/>
      </c>
    </row>
    <row r="2684" spans="1:7" ht="24" customHeight="1" outlineLevel="2" x14ac:dyDescent="0.2">
      <c r="A2684" s="14" t="s">
        <v>5291</v>
      </c>
      <c r="B2684" s="15" t="s">
        <v>5292</v>
      </c>
      <c r="C2684" s="16">
        <f>190.46/(1+B2)</f>
        <v>190.46</v>
      </c>
      <c r="D2684" s="17" t="s">
        <v>11</v>
      </c>
      <c r="E2684" s="17"/>
      <c r="F2684" s="18"/>
      <c r="G2684" s="36" t="str">
        <f>IF(ISNUMBER(F2684),C2684*F2684,"")</f>
        <v/>
      </c>
    </row>
    <row r="2685" spans="1:7" ht="24" customHeight="1" outlineLevel="2" x14ac:dyDescent="0.2">
      <c r="A2685" s="14" t="s">
        <v>5293</v>
      </c>
      <c r="B2685" s="15" t="s">
        <v>5294</v>
      </c>
      <c r="C2685" s="16">
        <f>321.72/(1+B2)</f>
        <v>321.72000000000003</v>
      </c>
      <c r="D2685" s="17" t="s">
        <v>11</v>
      </c>
      <c r="E2685" s="17"/>
      <c r="F2685" s="18"/>
      <c r="G2685" s="36" t="str">
        <f>IF(ISNUMBER(F2685),C2685*F2685,"")</f>
        <v/>
      </c>
    </row>
    <row r="2686" spans="1:7" ht="12" customHeight="1" outlineLevel="2" x14ac:dyDescent="0.2">
      <c r="A2686" s="14" t="s">
        <v>5295</v>
      </c>
      <c r="B2686" s="15" t="s">
        <v>5296</v>
      </c>
      <c r="C2686" s="16">
        <f>364.41/(1+B2)</f>
        <v>364.41</v>
      </c>
      <c r="D2686" s="17" t="s">
        <v>11</v>
      </c>
      <c r="E2686" s="17"/>
      <c r="F2686" s="18"/>
      <c r="G2686" s="36" t="str">
        <f>IF(ISNUMBER(F2686),C2686*F2686,"")</f>
        <v/>
      </c>
    </row>
    <row r="2687" spans="1:7" ht="24" customHeight="1" outlineLevel="2" x14ac:dyDescent="0.2">
      <c r="A2687" s="14" t="s">
        <v>5297</v>
      </c>
      <c r="B2687" s="15" t="s">
        <v>5298</v>
      </c>
      <c r="C2687" s="16">
        <f>400.84/(1+B2)</f>
        <v>400.84</v>
      </c>
      <c r="D2687" s="17" t="s">
        <v>11</v>
      </c>
      <c r="E2687" s="17"/>
      <c r="F2687" s="18"/>
      <c r="G2687" s="36" t="str">
        <f>IF(ISNUMBER(F2687),C2687*F2687,"")</f>
        <v/>
      </c>
    </row>
    <row r="2688" spans="1:7" ht="24" customHeight="1" outlineLevel="2" x14ac:dyDescent="0.2">
      <c r="A2688" s="14" t="s">
        <v>5299</v>
      </c>
      <c r="B2688" s="15" t="s">
        <v>5300</v>
      </c>
      <c r="C2688" s="16">
        <f>493.72/(1+B2)</f>
        <v>493.72</v>
      </c>
      <c r="D2688" s="17" t="s">
        <v>11</v>
      </c>
      <c r="E2688" s="17"/>
      <c r="F2688" s="18"/>
      <c r="G2688" s="36" t="str">
        <f>IF(ISNUMBER(F2688),C2688*F2688,"")</f>
        <v/>
      </c>
    </row>
    <row r="2689" spans="1:7" ht="12" customHeight="1" outlineLevel="2" x14ac:dyDescent="0.2">
      <c r="A2689" s="14" t="s">
        <v>5301</v>
      </c>
      <c r="B2689" s="15" t="s">
        <v>5302</v>
      </c>
      <c r="C2689" s="16">
        <f>111.06/(1+B2)</f>
        <v>111.06</v>
      </c>
      <c r="D2689" s="17" t="s">
        <v>11</v>
      </c>
      <c r="E2689" s="17"/>
      <c r="F2689" s="18"/>
      <c r="G2689" s="36" t="str">
        <f>IF(ISNUMBER(F2689),C2689*F2689,"")</f>
        <v/>
      </c>
    </row>
    <row r="2690" spans="1:7" s="1" customFormat="1" ht="15.95" customHeight="1" outlineLevel="1" x14ac:dyDescent="0.25">
      <c r="A2690" s="11"/>
      <c r="B2690" s="12" t="s">
        <v>5303</v>
      </c>
      <c r="C2690" s="13"/>
      <c r="D2690" s="13"/>
      <c r="E2690" s="13"/>
      <c r="F2690" s="13"/>
      <c r="G2690" s="35"/>
    </row>
    <row r="2691" spans="1:7" ht="12" customHeight="1" outlineLevel="2" x14ac:dyDescent="0.2">
      <c r="A2691" s="14" t="s">
        <v>5304</v>
      </c>
      <c r="B2691" s="15" t="s">
        <v>5305</v>
      </c>
      <c r="C2691" s="16">
        <f>349.01/(1+B2)</f>
        <v>349.01</v>
      </c>
      <c r="D2691" s="17" t="s">
        <v>11</v>
      </c>
      <c r="E2691" s="17" t="s">
        <v>11</v>
      </c>
      <c r="F2691" s="18"/>
      <c r="G2691" s="36" t="str">
        <f>IF(ISNUMBER(F2691),C2691*F2691,"")</f>
        <v/>
      </c>
    </row>
    <row r="2692" spans="1:7" ht="24" customHeight="1" outlineLevel="2" x14ac:dyDescent="0.2">
      <c r="A2692" s="14" t="s">
        <v>5306</v>
      </c>
      <c r="B2692" s="15" t="s">
        <v>5307</v>
      </c>
      <c r="C2692" s="16">
        <f>172.41/(1+B2)</f>
        <v>172.41</v>
      </c>
      <c r="D2692" s="17" t="s">
        <v>11</v>
      </c>
      <c r="E2692" s="17"/>
      <c r="F2692" s="18"/>
      <c r="G2692" s="36" t="str">
        <f>IF(ISNUMBER(F2692),C2692*F2692,"")</f>
        <v/>
      </c>
    </row>
    <row r="2693" spans="1:7" ht="12" customHeight="1" outlineLevel="2" x14ac:dyDescent="0.2">
      <c r="A2693" s="14" t="s">
        <v>5308</v>
      </c>
      <c r="B2693" s="15" t="s">
        <v>5309</v>
      </c>
      <c r="C2693" s="16">
        <f>184.63/(1+B2)</f>
        <v>184.63</v>
      </c>
      <c r="D2693" s="17" t="s">
        <v>11</v>
      </c>
      <c r="E2693" s="17" t="s">
        <v>14</v>
      </c>
      <c r="F2693" s="18"/>
      <c r="G2693" s="36" t="str">
        <f>IF(ISNUMBER(F2693),C2693*F2693,"")</f>
        <v/>
      </c>
    </row>
    <row r="2694" spans="1:7" ht="12" customHeight="1" outlineLevel="2" x14ac:dyDescent="0.2">
      <c r="A2694" s="14" t="s">
        <v>5310</v>
      </c>
      <c r="B2694" s="15" t="s">
        <v>5311</v>
      </c>
      <c r="C2694" s="16">
        <f>203.84/(1+B2)</f>
        <v>203.84</v>
      </c>
      <c r="D2694" s="17" t="s">
        <v>11</v>
      </c>
      <c r="E2694" s="17" t="s">
        <v>14</v>
      </c>
      <c r="F2694" s="18"/>
      <c r="G2694" s="36" t="str">
        <f>IF(ISNUMBER(F2694),C2694*F2694,"")</f>
        <v/>
      </c>
    </row>
    <row r="2695" spans="1:7" ht="24" customHeight="1" outlineLevel="2" x14ac:dyDescent="0.2">
      <c r="A2695" s="14" t="s">
        <v>5312</v>
      </c>
      <c r="B2695" s="15" t="s">
        <v>5313</v>
      </c>
      <c r="C2695" s="16">
        <f>826.66/(1+B2)</f>
        <v>826.66</v>
      </c>
      <c r="D2695" s="17" t="s">
        <v>11</v>
      </c>
      <c r="E2695" s="17" t="s">
        <v>11</v>
      </c>
      <c r="F2695" s="18"/>
      <c r="G2695" s="36" t="str">
        <f>IF(ISNUMBER(F2695),C2695*F2695,"")</f>
        <v/>
      </c>
    </row>
    <row r="2696" spans="1:7" ht="24" customHeight="1" outlineLevel="2" x14ac:dyDescent="0.2">
      <c r="A2696" s="14" t="s">
        <v>5314</v>
      </c>
      <c r="B2696" s="15" t="s">
        <v>5315</v>
      </c>
      <c r="C2696" s="16">
        <f>830.86/(1+B2)</f>
        <v>830.86</v>
      </c>
      <c r="D2696" s="17" t="s">
        <v>11</v>
      </c>
      <c r="E2696" s="17" t="s">
        <v>11</v>
      </c>
      <c r="F2696" s="18"/>
      <c r="G2696" s="36" t="str">
        <f>IF(ISNUMBER(F2696),C2696*F2696,"")</f>
        <v/>
      </c>
    </row>
    <row r="2697" spans="1:7" ht="24" customHeight="1" outlineLevel="2" x14ac:dyDescent="0.2">
      <c r="A2697" s="14" t="s">
        <v>5316</v>
      </c>
      <c r="B2697" s="15" t="s">
        <v>5317</v>
      </c>
      <c r="C2697" s="16">
        <f>619.63/(1+B2)</f>
        <v>619.63</v>
      </c>
      <c r="D2697" s="17" t="s">
        <v>11</v>
      </c>
      <c r="E2697" s="17" t="s">
        <v>11</v>
      </c>
      <c r="F2697" s="18"/>
      <c r="G2697" s="36" t="str">
        <f>IF(ISNUMBER(F2697),C2697*F2697,"")</f>
        <v/>
      </c>
    </row>
    <row r="2698" spans="1:7" ht="24" customHeight="1" outlineLevel="2" x14ac:dyDescent="0.2">
      <c r="A2698" s="14" t="s">
        <v>5318</v>
      </c>
      <c r="B2698" s="15" t="s">
        <v>5319</v>
      </c>
      <c r="C2698" s="16">
        <f>571.3/(1+B2)</f>
        <v>571.29999999999995</v>
      </c>
      <c r="D2698" s="17" t="s">
        <v>11</v>
      </c>
      <c r="E2698" s="17" t="s">
        <v>11</v>
      </c>
      <c r="F2698" s="18"/>
      <c r="G2698" s="36" t="str">
        <f>IF(ISNUMBER(F2698),C2698*F2698,"")</f>
        <v/>
      </c>
    </row>
    <row r="2699" spans="1:7" ht="12" customHeight="1" outlineLevel="2" x14ac:dyDescent="0.2">
      <c r="A2699" s="14" t="s">
        <v>5320</v>
      </c>
      <c r="B2699" s="15" t="s">
        <v>5321</v>
      </c>
      <c r="C2699" s="19">
        <f>1057.15/(1+B2)</f>
        <v>1057.1500000000001</v>
      </c>
      <c r="D2699" s="17" t="s">
        <v>11</v>
      </c>
      <c r="E2699" s="17"/>
      <c r="F2699" s="18"/>
      <c r="G2699" s="36" t="str">
        <f>IF(ISNUMBER(F2699),C2699*F2699,"")</f>
        <v/>
      </c>
    </row>
    <row r="2700" spans="1:7" ht="24" customHeight="1" outlineLevel="2" x14ac:dyDescent="0.2">
      <c r="A2700" s="14" t="s">
        <v>5322</v>
      </c>
      <c r="B2700" s="15" t="s">
        <v>5323</v>
      </c>
      <c r="C2700" s="16">
        <f>525.05/(1+B2)</f>
        <v>525.04999999999995</v>
      </c>
      <c r="D2700" s="17" t="s">
        <v>11</v>
      </c>
      <c r="E2700" s="17" t="s">
        <v>11</v>
      </c>
      <c r="F2700" s="18"/>
      <c r="G2700" s="36" t="str">
        <f>IF(ISNUMBER(F2700),C2700*F2700,"")</f>
        <v/>
      </c>
    </row>
    <row r="2701" spans="1:7" ht="12" customHeight="1" outlineLevel="2" x14ac:dyDescent="0.2">
      <c r="A2701" s="14" t="s">
        <v>5324</v>
      </c>
      <c r="B2701" s="15" t="s">
        <v>5325</v>
      </c>
      <c r="C2701" s="19">
        <f>1372.26/(1+B2)</f>
        <v>1372.26</v>
      </c>
      <c r="D2701" s="17" t="s">
        <v>11</v>
      </c>
      <c r="E2701" s="17"/>
      <c r="F2701" s="18"/>
      <c r="G2701" s="36" t="str">
        <f>IF(ISNUMBER(F2701),C2701*F2701,"")</f>
        <v/>
      </c>
    </row>
    <row r="2702" spans="1:7" s="1" customFormat="1" ht="15.95" customHeight="1" outlineLevel="1" x14ac:dyDescent="0.25">
      <c r="A2702" s="11"/>
      <c r="B2702" s="12" t="s">
        <v>5326</v>
      </c>
      <c r="C2702" s="13"/>
      <c r="D2702" s="13"/>
      <c r="E2702" s="13"/>
      <c r="F2702" s="13"/>
      <c r="G2702" s="35"/>
    </row>
    <row r="2703" spans="1:7" ht="12" customHeight="1" outlineLevel="2" x14ac:dyDescent="0.2">
      <c r="A2703" s="14" t="s">
        <v>5327</v>
      </c>
      <c r="B2703" s="15" t="s">
        <v>5328</v>
      </c>
      <c r="C2703" s="16">
        <f>197.18/(1+B2)</f>
        <v>197.18</v>
      </c>
      <c r="D2703" s="17" t="s">
        <v>11</v>
      </c>
      <c r="E2703" s="17" t="s">
        <v>106</v>
      </c>
      <c r="F2703" s="18"/>
      <c r="G2703" s="36" t="str">
        <f>IF(ISNUMBER(F2703),C2703*F2703,"")</f>
        <v/>
      </c>
    </row>
    <row r="2704" spans="1:7" ht="12" customHeight="1" outlineLevel="2" x14ac:dyDescent="0.2">
      <c r="A2704" s="14" t="s">
        <v>5329</v>
      </c>
      <c r="B2704" s="15" t="s">
        <v>5330</v>
      </c>
      <c r="C2704" s="16">
        <f>205.61/(1+B2)</f>
        <v>205.61</v>
      </c>
      <c r="D2704" s="17" t="s">
        <v>11</v>
      </c>
      <c r="E2704" s="17" t="s">
        <v>106</v>
      </c>
      <c r="F2704" s="18"/>
      <c r="G2704" s="36" t="str">
        <f>IF(ISNUMBER(F2704),C2704*F2704,"")</f>
        <v/>
      </c>
    </row>
    <row r="2705" spans="1:7" ht="12" customHeight="1" outlineLevel="2" x14ac:dyDescent="0.2">
      <c r="A2705" s="14" t="s">
        <v>5331</v>
      </c>
      <c r="B2705" s="15" t="s">
        <v>5332</v>
      </c>
      <c r="C2705" s="16">
        <f>208.44/(1+B2)</f>
        <v>208.44</v>
      </c>
      <c r="D2705" s="17" t="s">
        <v>11</v>
      </c>
      <c r="E2705" s="17"/>
      <c r="F2705" s="18"/>
      <c r="G2705" s="36" t="str">
        <f>IF(ISNUMBER(F2705),C2705*F2705,"")</f>
        <v/>
      </c>
    </row>
    <row r="2706" spans="1:7" ht="12" customHeight="1" outlineLevel="2" x14ac:dyDescent="0.2">
      <c r="A2706" s="14" t="s">
        <v>5333</v>
      </c>
      <c r="B2706" s="15" t="s">
        <v>5334</v>
      </c>
      <c r="C2706" s="16">
        <f>183.08/(1+B2)</f>
        <v>183.08</v>
      </c>
      <c r="D2706" s="17" t="s">
        <v>11</v>
      </c>
      <c r="E2706" s="17"/>
      <c r="F2706" s="18"/>
      <c r="G2706" s="36" t="str">
        <f>IF(ISNUMBER(F2706),C2706*F2706,"")</f>
        <v/>
      </c>
    </row>
    <row r="2707" spans="1:7" ht="12" customHeight="1" outlineLevel="2" x14ac:dyDescent="0.2">
      <c r="A2707" s="14" t="s">
        <v>5335</v>
      </c>
      <c r="B2707" s="15" t="s">
        <v>5336</v>
      </c>
      <c r="C2707" s="16">
        <f>181.77/(1+B2)</f>
        <v>181.77</v>
      </c>
      <c r="D2707" s="17" t="s">
        <v>53</v>
      </c>
      <c r="E2707" s="17" t="s">
        <v>106</v>
      </c>
      <c r="F2707" s="18"/>
      <c r="G2707" s="36" t="str">
        <f>IF(ISNUMBER(F2707),C2707*F2707,"")</f>
        <v/>
      </c>
    </row>
    <row r="2708" spans="1:7" ht="12" customHeight="1" outlineLevel="2" x14ac:dyDescent="0.2">
      <c r="A2708" s="14" t="s">
        <v>5337</v>
      </c>
      <c r="B2708" s="15" t="s">
        <v>5338</v>
      </c>
      <c r="C2708" s="16">
        <f>181.77/(1+B2)</f>
        <v>181.77</v>
      </c>
      <c r="D2708" s="17" t="s">
        <v>53</v>
      </c>
      <c r="E2708" s="17" t="s">
        <v>106</v>
      </c>
      <c r="F2708" s="18"/>
      <c r="G2708" s="36" t="str">
        <f>IF(ISNUMBER(F2708),C2708*F2708,"")</f>
        <v/>
      </c>
    </row>
    <row r="2709" spans="1:7" ht="12" customHeight="1" outlineLevel="2" x14ac:dyDescent="0.2">
      <c r="A2709" s="14" t="s">
        <v>5339</v>
      </c>
      <c r="B2709" s="15" t="s">
        <v>5340</v>
      </c>
      <c r="C2709" s="16">
        <f>156.25/(1+B2)</f>
        <v>156.25</v>
      </c>
      <c r="D2709" s="17" t="s">
        <v>11</v>
      </c>
      <c r="E2709" s="17" t="s">
        <v>11</v>
      </c>
      <c r="F2709" s="18"/>
      <c r="G2709" s="36" t="str">
        <f>IF(ISNUMBER(F2709),C2709*F2709,"")</f>
        <v/>
      </c>
    </row>
    <row r="2710" spans="1:7" ht="12" customHeight="1" outlineLevel="2" x14ac:dyDescent="0.2">
      <c r="A2710" s="14" t="s">
        <v>5341</v>
      </c>
      <c r="B2710" s="15" t="s">
        <v>5342</v>
      </c>
      <c r="C2710" s="16">
        <f>200.94/(1+B2)</f>
        <v>200.94</v>
      </c>
      <c r="D2710" s="17" t="s">
        <v>11</v>
      </c>
      <c r="E2710" s="17"/>
      <c r="F2710" s="18"/>
      <c r="G2710" s="36" t="str">
        <f>IF(ISNUMBER(F2710),C2710*F2710,"")</f>
        <v/>
      </c>
    </row>
    <row r="2711" spans="1:7" ht="12" customHeight="1" outlineLevel="2" x14ac:dyDescent="0.2">
      <c r="A2711" s="14" t="s">
        <v>5343</v>
      </c>
      <c r="B2711" s="15" t="s">
        <v>5344</v>
      </c>
      <c r="C2711" s="16">
        <f>234.49/(1+B2)</f>
        <v>234.49</v>
      </c>
      <c r="D2711" s="17" t="s">
        <v>11</v>
      </c>
      <c r="E2711" s="17"/>
      <c r="F2711" s="18"/>
      <c r="G2711" s="36" t="str">
        <f>IF(ISNUMBER(F2711),C2711*F2711,"")</f>
        <v/>
      </c>
    </row>
    <row r="2712" spans="1:7" ht="12" customHeight="1" outlineLevel="2" x14ac:dyDescent="0.2">
      <c r="A2712" s="14" t="s">
        <v>5345</v>
      </c>
      <c r="B2712" s="15" t="s">
        <v>5346</v>
      </c>
      <c r="C2712" s="16">
        <f>258.39/(1+B2)</f>
        <v>258.39</v>
      </c>
      <c r="D2712" s="17" t="s">
        <v>11</v>
      </c>
      <c r="E2712" s="17"/>
      <c r="F2712" s="18"/>
      <c r="G2712" s="36" t="str">
        <f>IF(ISNUMBER(F2712),C2712*F2712,"")</f>
        <v/>
      </c>
    </row>
    <row r="2713" spans="1:7" ht="24" customHeight="1" outlineLevel="2" x14ac:dyDescent="0.2">
      <c r="A2713" s="14" t="s">
        <v>5347</v>
      </c>
      <c r="B2713" s="15" t="s">
        <v>5348</v>
      </c>
      <c r="C2713" s="16">
        <f>599.16/(1+B2)</f>
        <v>599.16</v>
      </c>
      <c r="D2713" s="17" t="s">
        <v>11</v>
      </c>
      <c r="E2713" s="17"/>
      <c r="F2713" s="18"/>
      <c r="G2713" s="36" t="str">
        <f>IF(ISNUMBER(F2713),C2713*F2713,"")</f>
        <v/>
      </c>
    </row>
    <row r="2714" spans="1:7" s="1" customFormat="1" ht="15.95" customHeight="1" outlineLevel="1" x14ac:dyDescent="0.25">
      <c r="A2714" s="11"/>
      <c r="B2714" s="12" t="s">
        <v>5349</v>
      </c>
      <c r="C2714" s="13"/>
      <c r="D2714" s="13"/>
      <c r="E2714" s="13"/>
      <c r="F2714" s="13"/>
      <c r="G2714" s="35"/>
    </row>
    <row r="2715" spans="1:7" ht="12" customHeight="1" outlineLevel="2" x14ac:dyDescent="0.2">
      <c r="A2715" s="14" t="s">
        <v>5350</v>
      </c>
      <c r="B2715" s="15" t="s">
        <v>5351</v>
      </c>
      <c r="C2715" s="16">
        <f>324.16/(1+B2)</f>
        <v>324.16000000000003</v>
      </c>
      <c r="D2715" s="17" t="s">
        <v>11</v>
      </c>
      <c r="E2715" s="17" t="s">
        <v>106</v>
      </c>
      <c r="F2715" s="18"/>
      <c r="G2715" s="36" t="str">
        <f>IF(ISNUMBER(F2715),C2715*F2715,"")</f>
        <v/>
      </c>
    </row>
    <row r="2716" spans="1:7" ht="12" customHeight="1" outlineLevel="2" x14ac:dyDescent="0.2">
      <c r="A2716" s="14" t="s">
        <v>5352</v>
      </c>
      <c r="B2716" s="15" t="s">
        <v>5353</v>
      </c>
      <c r="C2716" s="16">
        <f>335.19/(1+B2)</f>
        <v>335.19</v>
      </c>
      <c r="D2716" s="17" t="s">
        <v>11</v>
      </c>
      <c r="E2716" s="17" t="s">
        <v>106</v>
      </c>
      <c r="F2716" s="18"/>
      <c r="G2716" s="36" t="str">
        <f>IF(ISNUMBER(F2716),C2716*F2716,"")</f>
        <v/>
      </c>
    </row>
    <row r="2717" spans="1:7" ht="12" customHeight="1" outlineLevel="2" x14ac:dyDescent="0.2">
      <c r="A2717" s="14" t="s">
        <v>5354</v>
      </c>
      <c r="B2717" s="15" t="s">
        <v>5355</v>
      </c>
      <c r="C2717" s="16">
        <f>290.73/(1+B2)</f>
        <v>290.73</v>
      </c>
      <c r="D2717" s="17" t="s">
        <v>11</v>
      </c>
      <c r="E2717" s="17" t="s">
        <v>106</v>
      </c>
      <c r="F2717" s="18"/>
      <c r="G2717" s="36" t="str">
        <f>IF(ISNUMBER(F2717),C2717*F2717,"")</f>
        <v/>
      </c>
    </row>
    <row r="2718" spans="1:7" ht="12" customHeight="1" outlineLevel="2" x14ac:dyDescent="0.2">
      <c r="A2718" s="14" t="s">
        <v>5356</v>
      </c>
      <c r="B2718" s="15" t="s">
        <v>5357</v>
      </c>
      <c r="C2718" s="16">
        <f>290.73/(1+B2)</f>
        <v>290.73</v>
      </c>
      <c r="D2718" s="17" t="s">
        <v>11</v>
      </c>
      <c r="E2718" s="17" t="s">
        <v>53</v>
      </c>
      <c r="F2718" s="18"/>
      <c r="G2718" s="36" t="str">
        <f>IF(ISNUMBER(F2718),C2718*F2718,"")</f>
        <v/>
      </c>
    </row>
    <row r="2719" spans="1:7" ht="12" customHeight="1" outlineLevel="2" x14ac:dyDescent="0.2">
      <c r="A2719" s="14" t="s">
        <v>5358</v>
      </c>
      <c r="B2719" s="15" t="s">
        <v>5359</v>
      </c>
      <c r="C2719" s="16">
        <f>204/(1+B2)</f>
        <v>204</v>
      </c>
      <c r="D2719" s="17" t="s">
        <v>11</v>
      </c>
      <c r="E2719" s="17"/>
      <c r="F2719" s="18"/>
      <c r="G2719" s="36" t="str">
        <f>IF(ISNUMBER(F2719),C2719*F2719,"")</f>
        <v/>
      </c>
    </row>
    <row r="2720" spans="1:7" ht="12" customHeight="1" outlineLevel="2" x14ac:dyDescent="0.2">
      <c r="A2720" s="14" t="s">
        <v>5360</v>
      </c>
      <c r="B2720" s="15" t="s">
        <v>5361</v>
      </c>
      <c r="C2720" s="16">
        <f>192/(1+B2)</f>
        <v>192</v>
      </c>
      <c r="D2720" s="17" t="s">
        <v>11</v>
      </c>
      <c r="E2720" s="17" t="s">
        <v>53</v>
      </c>
      <c r="F2720" s="18"/>
      <c r="G2720" s="36" t="str">
        <f>IF(ISNUMBER(F2720),C2720*F2720,"")</f>
        <v/>
      </c>
    </row>
    <row r="2721" spans="1:7" ht="12" customHeight="1" outlineLevel="2" x14ac:dyDescent="0.2">
      <c r="A2721" s="14" t="s">
        <v>5362</v>
      </c>
      <c r="B2721" s="15" t="s">
        <v>5363</v>
      </c>
      <c r="C2721" s="16">
        <f>204/(1+B2)</f>
        <v>204</v>
      </c>
      <c r="D2721" s="17" t="s">
        <v>11</v>
      </c>
      <c r="E2721" s="17" t="s">
        <v>106</v>
      </c>
      <c r="F2721" s="18"/>
      <c r="G2721" s="36" t="str">
        <f>IF(ISNUMBER(F2721),C2721*F2721,"")</f>
        <v/>
      </c>
    </row>
    <row r="2722" spans="1:7" ht="12" customHeight="1" outlineLevel="2" x14ac:dyDescent="0.2">
      <c r="A2722" s="14" t="s">
        <v>5364</v>
      </c>
      <c r="B2722" s="15" t="s">
        <v>5365</v>
      </c>
      <c r="C2722" s="16">
        <f>113.15/(1+B2)</f>
        <v>113.15</v>
      </c>
      <c r="D2722" s="17" t="s">
        <v>11</v>
      </c>
      <c r="E2722" s="17" t="s">
        <v>106</v>
      </c>
      <c r="F2722" s="18"/>
      <c r="G2722" s="36" t="str">
        <f>IF(ISNUMBER(F2722),C2722*F2722,"")</f>
        <v/>
      </c>
    </row>
    <row r="2723" spans="1:7" ht="12" customHeight="1" outlineLevel="2" x14ac:dyDescent="0.2">
      <c r="A2723" s="14" t="s">
        <v>5366</v>
      </c>
      <c r="B2723" s="15" t="s">
        <v>5367</v>
      </c>
      <c r="C2723" s="16">
        <f>156/(1+B2)</f>
        <v>156</v>
      </c>
      <c r="D2723" s="17" t="s">
        <v>11</v>
      </c>
      <c r="E2723" s="17"/>
      <c r="F2723" s="18"/>
      <c r="G2723" s="36" t="str">
        <f>IF(ISNUMBER(F2723),C2723*F2723,"")</f>
        <v/>
      </c>
    </row>
    <row r="2724" spans="1:7" ht="12" customHeight="1" outlineLevel="2" x14ac:dyDescent="0.2">
      <c r="A2724" s="14" t="s">
        <v>5368</v>
      </c>
      <c r="B2724" s="15" t="s">
        <v>5369</v>
      </c>
      <c r="C2724" s="16">
        <f>110.5/(1+B2)</f>
        <v>110.5</v>
      </c>
      <c r="D2724" s="17" t="s">
        <v>11</v>
      </c>
      <c r="E2724" s="17" t="s">
        <v>106</v>
      </c>
      <c r="F2724" s="18"/>
      <c r="G2724" s="36" t="str">
        <f>IF(ISNUMBER(F2724),C2724*F2724,"")</f>
        <v/>
      </c>
    </row>
    <row r="2725" spans="1:7" ht="12" customHeight="1" outlineLevel="2" x14ac:dyDescent="0.2">
      <c r="A2725" s="14" t="s">
        <v>5370</v>
      </c>
      <c r="B2725" s="15" t="s">
        <v>5371</v>
      </c>
      <c r="C2725" s="16">
        <f>50/(1+B2)</f>
        <v>50</v>
      </c>
      <c r="D2725" s="17" t="s">
        <v>14</v>
      </c>
      <c r="E2725" s="17" t="s">
        <v>106</v>
      </c>
      <c r="F2725" s="18"/>
      <c r="G2725" s="36" t="str">
        <f>IF(ISNUMBER(F2725),C2725*F2725,"")</f>
        <v/>
      </c>
    </row>
    <row r="2726" spans="1:7" ht="12" customHeight="1" outlineLevel="2" x14ac:dyDescent="0.2">
      <c r="A2726" s="14" t="s">
        <v>5372</v>
      </c>
      <c r="B2726" s="15" t="s">
        <v>5373</v>
      </c>
      <c r="C2726" s="16">
        <f>126.82/(1+B2)</f>
        <v>126.82</v>
      </c>
      <c r="D2726" s="17" t="s">
        <v>11</v>
      </c>
      <c r="E2726" s="17" t="s">
        <v>106</v>
      </c>
      <c r="F2726" s="18"/>
      <c r="G2726" s="36" t="str">
        <f>IF(ISNUMBER(F2726),C2726*F2726,"")</f>
        <v/>
      </c>
    </row>
    <row r="2727" spans="1:7" s="1" customFormat="1" ht="15.95" customHeight="1" outlineLevel="1" x14ac:dyDescent="0.25">
      <c r="A2727" s="11"/>
      <c r="B2727" s="12" t="s">
        <v>5374</v>
      </c>
      <c r="C2727" s="13"/>
      <c r="D2727" s="13"/>
      <c r="E2727" s="13"/>
      <c r="F2727" s="13"/>
      <c r="G2727" s="35"/>
    </row>
    <row r="2728" spans="1:7" ht="12" customHeight="1" outlineLevel="2" x14ac:dyDescent="0.2">
      <c r="A2728" s="14" t="s">
        <v>5375</v>
      </c>
      <c r="B2728" s="15" t="s">
        <v>5376</v>
      </c>
      <c r="C2728" s="19">
        <f>2202.77/(1+B2)</f>
        <v>2202.77</v>
      </c>
      <c r="D2728" s="17" t="s">
        <v>11</v>
      </c>
      <c r="E2728" s="17" t="s">
        <v>11</v>
      </c>
      <c r="F2728" s="18"/>
      <c r="G2728" s="36" t="str">
        <f>IF(ISNUMBER(F2728),C2728*F2728,"")</f>
        <v/>
      </c>
    </row>
    <row r="2729" spans="1:7" ht="12" customHeight="1" outlineLevel="2" x14ac:dyDescent="0.2">
      <c r="A2729" s="14" t="s">
        <v>5377</v>
      </c>
      <c r="B2729" s="15" t="s">
        <v>5378</v>
      </c>
      <c r="C2729" s="16">
        <f>750.96/(1+B2)</f>
        <v>750.96</v>
      </c>
      <c r="D2729" s="17" t="s">
        <v>11</v>
      </c>
      <c r="E2729" s="17" t="s">
        <v>11</v>
      </c>
      <c r="F2729" s="18"/>
      <c r="G2729" s="36" t="str">
        <f>IF(ISNUMBER(F2729),C2729*F2729,"")</f>
        <v/>
      </c>
    </row>
    <row r="2730" spans="1:7" ht="12" customHeight="1" outlineLevel="2" x14ac:dyDescent="0.2">
      <c r="A2730" s="14" t="s">
        <v>5379</v>
      </c>
      <c r="B2730" s="15" t="s">
        <v>5380</v>
      </c>
      <c r="C2730" s="19">
        <f>1102.22/(1+B2)</f>
        <v>1102.22</v>
      </c>
      <c r="D2730" s="17" t="s">
        <v>11</v>
      </c>
      <c r="E2730" s="17" t="s">
        <v>14</v>
      </c>
      <c r="F2730" s="18"/>
      <c r="G2730" s="36" t="str">
        <f>IF(ISNUMBER(F2730),C2730*F2730,"")</f>
        <v/>
      </c>
    </row>
    <row r="2731" spans="1:7" ht="12" customHeight="1" outlineLevel="2" x14ac:dyDescent="0.2">
      <c r="A2731" s="14" t="s">
        <v>5381</v>
      </c>
      <c r="B2731" s="15" t="s">
        <v>5382</v>
      </c>
      <c r="C2731" s="19">
        <f>1212.04/(1+B2)</f>
        <v>1212.04</v>
      </c>
      <c r="D2731" s="17" t="s">
        <v>11</v>
      </c>
      <c r="E2731" s="17" t="s">
        <v>11</v>
      </c>
      <c r="F2731" s="18"/>
      <c r="G2731" s="36" t="str">
        <f>IF(ISNUMBER(F2731),C2731*F2731,"")</f>
        <v/>
      </c>
    </row>
    <row r="2732" spans="1:7" ht="12" customHeight="1" outlineLevel="2" x14ac:dyDescent="0.2">
      <c r="A2732" s="14" t="s">
        <v>5383</v>
      </c>
      <c r="B2732" s="15" t="s">
        <v>5384</v>
      </c>
      <c r="C2732" s="19">
        <f>1215.26/(1+B2)</f>
        <v>1215.26</v>
      </c>
      <c r="D2732" s="17" t="s">
        <v>11</v>
      </c>
      <c r="E2732" s="17" t="s">
        <v>11</v>
      </c>
      <c r="F2732" s="18"/>
      <c r="G2732" s="36" t="str">
        <f>IF(ISNUMBER(F2732),C2732*F2732,"")</f>
        <v/>
      </c>
    </row>
    <row r="2733" spans="1:7" ht="12" customHeight="1" outlineLevel="2" x14ac:dyDescent="0.2">
      <c r="A2733" s="14" t="s">
        <v>5385</v>
      </c>
      <c r="B2733" s="15" t="s">
        <v>5386</v>
      </c>
      <c r="C2733" s="19">
        <f>1682.09/(1+B2)</f>
        <v>1682.09</v>
      </c>
      <c r="D2733" s="17" t="s">
        <v>11</v>
      </c>
      <c r="E2733" s="17" t="s">
        <v>11</v>
      </c>
      <c r="F2733" s="18"/>
      <c r="G2733" s="36" t="str">
        <f>IF(ISNUMBER(F2733),C2733*F2733,"")</f>
        <v/>
      </c>
    </row>
    <row r="2734" spans="1:7" ht="12" customHeight="1" outlineLevel="2" x14ac:dyDescent="0.2">
      <c r="A2734" s="14" t="s">
        <v>5387</v>
      </c>
      <c r="B2734" s="15" t="s">
        <v>5388</v>
      </c>
      <c r="C2734" s="19">
        <f>1843.21/(1+B2)</f>
        <v>1843.21</v>
      </c>
      <c r="D2734" s="17" t="s">
        <v>11</v>
      </c>
      <c r="E2734" s="17" t="s">
        <v>11</v>
      </c>
      <c r="F2734" s="18"/>
      <c r="G2734" s="36" t="str">
        <f>IF(ISNUMBER(F2734),C2734*F2734,"")</f>
        <v/>
      </c>
    </row>
    <row r="2735" spans="1:7" ht="12" customHeight="1" outlineLevel="2" x14ac:dyDescent="0.2">
      <c r="A2735" s="14" t="s">
        <v>5389</v>
      </c>
      <c r="B2735" s="15" t="s">
        <v>5390</v>
      </c>
      <c r="C2735" s="19">
        <f>1536.98/(1+B2)</f>
        <v>1536.98</v>
      </c>
      <c r="D2735" s="17" t="s">
        <v>11</v>
      </c>
      <c r="E2735" s="17"/>
      <c r="F2735" s="18"/>
      <c r="G2735" s="36" t="str">
        <f>IF(ISNUMBER(F2735),C2735*F2735,"")</f>
        <v/>
      </c>
    </row>
    <row r="2736" spans="1:7" ht="12" customHeight="1" outlineLevel="2" x14ac:dyDescent="0.2">
      <c r="A2736" s="14" t="s">
        <v>5391</v>
      </c>
      <c r="B2736" s="15" t="s">
        <v>5392</v>
      </c>
      <c r="C2736" s="19">
        <f>2211.76/(1+B2)</f>
        <v>2211.7600000000002</v>
      </c>
      <c r="D2736" s="17" t="s">
        <v>11</v>
      </c>
      <c r="E2736" s="17" t="s">
        <v>11</v>
      </c>
      <c r="F2736" s="18"/>
      <c r="G2736" s="36" t="str">
        <f>IF(ISNUMBER(F2736),C2736*F2736,"")</f>
        <v/>
      </c>
    </row>
    <row r="2737" spans="1:7" ht="12" customHeight="1" outlineLevel="2" x14ac:dyDescent="0.2">
      <c r="A2737" s="14" t="s">
        <v>5393</v>
      </c>
      <c r="B2737" s="15" t="s">
        <v>5394</v>
      </c>
      <c r="C2737" s="19">
        <f>1012.44/(1+B2)</f>
        <v>1012.44</v>
      </c>
      <c r="D2737" s="17" t="s">
        <v>11</v>
      </c>
      <c r="E2737" s="17" t="s">
        <v>11</v>
      </c>
      <c r="F2737" s="18"/>
      <c r="G2737" s="36" t="str">
        <f>IF(ISNUMBER(F2737),C2737*F2737,"")</f>
        <v/>
      </c>
    </row>
    <row r="2738" spans="1:7" ht="12" customHeight="1" outlineLevel="2" x14ac:dyDescent="0.2">
      <c r="A2738" s="14" t="s">
        <v>5395</v>
      </c>
      <c r="B2738" s="15" t="s">
        <v>5396</v>
      </c>
      <c r="C2738" s="19">
        <f>1360.25/(1+B2)</f>
        <v>1360.25</v>
      </c>
      <c r="D2738" s="17" t="s">
        <v>11</v>
      </c>
      <c r="E2738" s="17" t="s">
        <v>14</v>
      </c>
      <c r="F2738" s="18"/>
      <c r="G2738" s="36" t="str">
        <f>IF(ISNUMBER(F2738),C2738*F2738,"")</f>
        <v/>
      </c>
    </row>
    <row r="2739" spans="1:7" ht="12" customHeight="1" outlineLevel="2" x14ac:dyDescent="0.2">
      <c r="A2739" s="14" t="s">
        <v>5397</v>
      </c>
      <c r="B2739" s="15" t="s">
        <v>5398</v>
      </c>
      <c r="C2739" s="16">
        <f>247.18/(1+B2)</f>
        <v>247.18</v>
      </c>
      <c r="D2739" s="17" t="s">
        <v>11</v>
      </c>
      <c r="E2739" s="17"/>
      <c r="F2739" s="18"/>
      <c r="G2739" s="36" t="str">
        <f>IF(ISNUMBER(F2739),C2739*F2739,"")</f>
        <v/>
      </c>
    </row>
    <row r="2740" spans="1:7" ht="12" customHeight="1" outlineLevel="2" x14ac:dyDescent="0.2">
      <c r="A2740" s="14" t="s">
        <v>5399</v>
      </c>
      <c r="B2740" s="15" t="s">
        <v>5400</v>
      </c>
      <c r="C2740" s="16">
        <f>233.48/(1+B2)</f>
        <v>233.48</v>
      </c>
      <c r="D2740" s="17" t="s">
        <v>11</v>
      </c>
      <c r="E2740" s="17" t="s">
        <v>106</v>
      </c>
      <c r="F2740" s="18"/>
      <c r="G2740" s="36" t="str">
        <f>IF(ISNUMBER(F2740),C2740*F2740,"")</f>
        <v/>
      </c>
    </row>
    <row r="2741" spans="1:7" ht="12" customHeight="1" outlineLevel="2" x14ac:dyDescent="0.2">
      <c r="A2741" s="14" t="s">
        <v>5401</v>
      </c>
      <c r="B2741" s="15" t="s">
        <v>5402</v>
      </c>
      <c r="C2741" s="16">
        <f>283.68/(1+B2)</f>
        <v>283.68</v>
      </c>
      <c r="D2741" s="17" t="s">
        <v>11</v>
      </c>
      <c r="E2741" s="17" t="s">
        <v>106</v>
      </c>
      <c r="F2741" s="18"/>
      <c r="G2741" s="36" t="str">
        <f>IF(ISNUMBER(F2741),C2741*F2741,"")</f>
        <v/>
      </c>
    </row>
    <row r="2742" spans="1:7" ht="12" customHeight="1" outlineLevel="2" x14ac:dyDescent="0.2">
      <c r="A2742" s="14" t="s">
        <v>5403</v>
      </c>
      <c r="B2742" s="15" t="s">
        <v>5404</v>
      </c>
      <c r="C2742" s="16">
        <f>384.09/(1+B2)</f>
        <v>384.09</v>
      </c>
      <c r="D2742" s="17"/>
      <c r="E2742" s="17" t="s">
        <v>11</v>
      </c>
      <c r="F2742" s="18"/>
      <c r="G2742" s="36" t="str">
        <f>IF(ISNUMBER(F2742),C2742*F2742,"")</f>
        <v/>
      </c>
    </row>
    <row r="2743" spans="1:7" ht="12" customHeight="1" outlineLevel="2" x14ac:dyDescent="0.2">
      <c r="A2743" s="14" t="s">
        <v>5405</v>
      </c>
      <c r="B2743" s="15" t="s">
        <v>5406</v>
      </c>
      <c r="C2743" s="16">
        <f>183.5/(1+B2)</f>
        <v>183.5</v>
      </c>
      <c r="D2743" s="17" t="s">
        <v>11</v>
      </c>
      <c r="E2743" s="17" t="s">
        <v>53</v>
      </c>
      <c r="F2743" s="18"/>
      <c r="G2743" s="36" t="str">
        <f>IF(ISNUMBER(F2743),C2743*F2743,"")</f>
        <v/>
      </c>
    </row>
    <row r="2744" spans="1:7" ht="12" customHeight="1" outlineLevel="2" x14ac:dyDescent="0.2">
      <c r="A2744" s="14" t="s">
        <v>5407</v>
      </c>
      <c r="B2744" s="15" t="s">
        <v>5408</v>
      </c>
      <c r="C2744" s="16">
        <f>194.06/(1+B2)</f>
        <v>194.06</v>
      </c>
      <c r="D2744" s="17" t="s">
        <v>11</v>
      </c>
      <c r="E2744" s="17"/>
      <c r="F2744" s="18"/>
      <c r="G2744" s="36" t="str">
        <f>IF(ISNUMBER(F2744),C2744*F2744,"")</f>
        <v/>
      </c>
    </row>
    <row r="2745" spans="1:7" ht="12" customHeight="1" outlineLevel="2" x14ac:dyDescent="0.2">
      <c r="A2745" s="14" t="s">
        <v>5409</v>
      </c>
      <c r="B2745" s="15" t="s">
        <v>5410</v>
      </c>
      <c r="C2745" s="16">
        <f>202.39/(1+B2)</f>
        <v>202.39</v>
      </c>
      <c r="D2745" s="17" t="s">
        <v>11</v>
      </c>
      <c r="E2745" s="17" t="s">
        <v>106</v>
      </c>
      <c r="F2745" s="18"/>
      <c r="G2745" s="36" t="str">
        <f>IF(ISNUMBER(F2745),C2745*F2745,"")</f>
        <v/>
      </c>
    </row>
    <row r="2746" spans="1:7" ht="12" customHeight="1" outlineLevel="2" x14ac:dyDescent="0.2">
      <c r="A2746" s="14" t="s">
        <v>5411</v>
      </c>
      <c r="B2746" s="15" t="s">
        <v>5412</v>
      </c>
      <c r="C2746" s="16">
        <f>205.34/(1+B2)</f>
        <v>205.34</v>
      </c>
      <c r="D2746" s="17" t="s">
        <v>11</v>
      </c>
      <c r="E2746" s="17"/>
      <c r="F2746" s="18"/>
      <c r="G2746" s="36" t="str">
        <f>IF(ISNUMBER(F2746),C2746*F2746,"")</f>
        <v/>
      </c>
    </row>
    <row r="2747" spans="1:7" ht="12" customHeight="1" outlineLevel="2" x14ac:dyDescent="0.2">
      <c r="A2747" s="14" t="s">
        <v>5413</v>
      </c>
      <c r="B2747" s="15" t="s">
        <v>5414</v>
      </c>
      <c r="C2747" s="16">
        <f>219.44/(1+B2)</f>
        <v>219.44</v>
      </c>
      <c r="D2747" s="17" t="s">
        <v>11</v>
      </c>
      <c r="E2747" s="17" t="s">
        <v>53</v>
      </c>
      <c r="F2747" s="18"/>
      <c r="G2747" s="36" t="str">
        <f>IF(ISNUMBER(F2747),C2747*F2747,"")</f>
        <v/>
      </c>
    </row>
    <row r="2748" spans="1:7" ht="12" customHeight="1" outlineLevel="2" x14ac:dyDescent="0.2">
      <c r="A2748" s="14" t="s">
        <v>5415</v>
      </c>
      <c r="B2748" s="15" t="s">
        <v>5416</v>
      </c>
      <c r="C2748" s="16">
        <f>113.51/(1+B2)</f>
        <v>113.51</v>
      </c>
      <c r="D2748" s="17" t="s">
        <v>11</v>
      </c>
      <c r="E2748" s="17"/>
      <c r="F2748" s="18"/>
      <c r="G2748" s="36" t="str">
        <f>IF(ISNUMBER(F2748),C2748*F2748,"")</f>
        <v/>
      </c>
    </row>
    <row r="2749" spans="1:7" ht="12" customHeight="1" outlineLevel="2" x14ac:dyDescent="0.2">
      <c r="A2749" s="14" t="s">
        <v>5417</v>
      </c>
      <c r="B2749" s="15" t="s">
        <v>5418</v>
      </c>
      <c r="C2749" s="16">
        <f>119.7/(1+B2)</f>
        <v>119.7</v>
      </c>
      <c r="D2749" s="17" t="s">
        <v>11</v>
      </c>
      <c r="E2749" s="17"/>
      <c r="F2749" s="18"/>
      <c r="G2749" s="36" t="str">
        <f>IF(ISNUMBER(F2749),C2749*F2749,"")</f>
        <v/>
      </c>
    </row>
    <row r="2750" spans="1:7" ht="12" customHeight="1" outlineLevel="2" x14ac:dyDescent="0.2">
      <c r="A2750" s="14" t="s">
        <v>5419</v>
      </c>
      <c r="B2750" s="15" t="s">
        <v>5420</v>
      </c>
      <c r="C2750" s="16">
        <f>264.14/(1+B2)</f>
        <v>264.14</v>
      </c>
      <c r="D2750" s="17" t="s">
        <v>11</v>
      </c>
      <c r="E2750" s="17" t="s">
        <v>11</v>
      </c>
      <c r="F2750" s="18"/>
      <c r="G2750" s="36" t="str">
        <f>IF(ISNUMBER(F2750),C2750*F2750,"")</f>
        <v/>
      </c>
    </row>
    <row r="2751" spans="1:7" ht="12" customHeight="1" outlineLevel="2" x14ac:dyDescent="0.2">
      <c r="A2751" s="14" t="s">
        <v>5421</v>
      </c>
      <c r="B2751" s="15" t="s">
        <v>5422</v>
      </c>
      <c r="C2751" s="16">
        <f>346.8/(1+B2)</f>
        <v>346.8</v>
      </c>
      <c r="D2751" s="17" t="s">
        <v>11</v>
      </c>
      <c r="E2751" s="17" t="s">
        <v>11</v>
      </c>
      <c r="F2751" s="18"/>
      <c r="G2751" s="36" t="str">
        <f>IF(ISNUMBER(F2751),C2751*F2751,"")</f>
        <v/>
      </c>
    </row>
    <row r="2752" spans="1:7" ht="12" customHeight="1" outlineLevel="2" x14ac:dyDescent="0.2">
      <c r="A2752" s="14" t="s">
        <v>5423</v>
      </c>
      <c r="B2752" s="15" t="s">
        <v>5424</v>
      </c>
      <c r="C2752" s="16">
        <f>210.9/(1+B2)</f>
        <v>210.9</v>
      </c>
      <c r="D2752" s="17" t="s">
        <v>11</v>
      </c>
      <c r="E2752" s="17" t="s">
        <v>14</v>
      </c>
      <c r="F2752" s="18"/>
      <c r="G2752" s="36" t="str">
        <f>IF(ISNUMBER(F2752),C2752*F2752,"")</f>
        <v/>
      </c>
    </row>
    <row r="2753" spans="1:7" ht="12" customHeight="1" outlineLevel="2" x14ac:dyDescent="0.2">
      <c r="A2753" s="14" t="s">
        <v>5425</v>
      </c>
      <c r="B2753" s="15" t="s">
        <v>5426</v>
      </c>
      <c r="C2753" s="16">
        <f>220.92/(1+B2)</f>
        <v>220.92</v>
      </c>
      <c r="D2753" s="17" t="s">
        <v>11</v>
      </c>
      <c r="E2753" s="17" t="s">
        <v>106</v>
      </c>
      <c r="F2753" s="18"/>
      <c r="G2753" s="36" t="str">
        <f>IF(ISNUMBER(F2753),C2753*F2753,"")</f>
        <v/>
      </c>
    </row>
    <row r="2754" spans="1:7" ht="12" customHeight="1" outlineLevel="2" x14ac:dyDescent="0.2">
      <c r="A2754" s="14" t="s">
        <v>5427</v>
      </c>
      <c r="B2754" s="15" t="s">
        <v>5428</v>
      </c>
      <c r="C2754" s="19">
        <f>1180.06/(1+B2)</f>
        <v>1180.06</v>
      </c>
      <c r="D2754" s="17" t="s">
        <v>11</v>
      </c>
      <c r="E2754" s="17"/>
      <c r="F2754" s="18"/>
      <c r="G2754" s="36" t="str">
        <f>IF(ISNUMBER(F2754),C2754*F2754,"")</f>
        <v/>
      </c>
    </row>
    <row r="2755" spans="1:7" ht="12" customHeight="1" outlineLevel="2" x14ac:dyDescent="0.2">
      <c r="A2755" s="14" t="s">
        <v>5429</v>
      </c>
      <c r="B2755" s="15" t="s">
        <v>5430</v>
      </c>
      <c r="C2755" s="16">
        <f>513.95/(1+B2)</f>
        <v>513.95000000000005</v>
      </c>
      <c r="D2755" s="17" t="s">
        <v>11</v>
      </c>
      <c r="E2755" s="17"/>
      <c r="F2755" s="18"/>
      <c r="G2755" s="36" t="str">
        <f>IF(ISNUMBER(F2755),C2755*F2755,"")</f>
        <v/>
      </c>
    </row>
    <row r="2756" spans="1:7" ht="12" customHeight="1" outlineLevel="2" x14ac:dyDescent="0.2">
      <c r="A2756" s="14" t="s">
        <v>5431</v>
      </c>
      <c r="B2756" s="15" t="s">
        <v>5432</v>
      </c>
      <c r="C2756" s="16">
        <f>446.92/(1+B2)</f>
        <v>446.92</v>
      </c>
      <c r="D2756" s="17" t="s">
        <v>11</v>
      </c>
      <c r="E2756" s="17"/>
      <c r="F2756" s="18"/>
      <c r="G2756" s="36" t="str">
        <f>IF(ISNUMBER(F2756),C2756*F2756,"")</f>
        <v/>
      </c>
    </row>
    <row r="2757" spans="1:7" ht="12" customHeight="1" outlineLevel="2" x14ac:dyDescent="0.2">
      <c r="A2757" s="14" t="s">
        <v>5433</v>
      </c>
      <c r="B2757" s="15" t="s">
        <v>5434</v>
      </c>
      <c r="C2757" s="16">
        <f>476.66/(1+B2)</f>
        <v>476.66</v>
      </c>
      <c r="D2757" s="17" t="s">
        <v>11</v>
      </c>
      <c r="E2757" s="17" t="s">
        <v>14</v>
      </c>
      <c r="F2757" s="18"/>
      <c r="G2757" s="36" t="str">
        <f>IF(ISNUMBER(F2757),C2757*F2757,"")</f>
        <v/>
      </c>
    </row>
    <row r="2758" spans="1:7" ht="12" customHeight="1" outlineLevel="2" x14ac:dyDescent="0.2">
      <c r="A2758" s="14" t="s">
        <v>5435</v>
      </c>
      <c r="B2758" s="15" t="s">
        <v>5436</v>
      </c>
      <c r="C2758" s="16">
        <f>284.59/(1+B2)</f>
        <v>284.58999999999997</v>
      </c>
      <c r="D2758" s="17" t="s">
        <v>11</v>
      </c>
      <c r="E2758" s="17" t="s">
        <v>11</v>
      </c>
      <c r="F2758" s="18"/>
      <c r="G2758" s="36" t="str">
        <f>IF(ISNUMBER(F2758),C2758*F2758,"")</f>
        <v/>
      </c>
    </row>
    <row r="2759" spans="1:7" ht="12" customHeight="1" outlineLevel="2" x14ac:dyDescent="0.2">
      <c r="A2759" s="14" t="s">
        <v>5437</v>
      </c>
      <c r="B2759" s="15" t="s">
        <v>5438</v>
      </c>
      <c r="C2759" s="16">
        <f>322.92/(1+B2)</f>
        <v>322.92</v>
      </c>
      <c r="D2759" s="17" t="s">
        <v>11</v>
      </c>
      <c r="E2759" s="17" t="s">
        <v>11</v>
      </c>
      <c r="F2759" s="18"/>
      <c r="G2759" s="36" t="str">
        <f>IF(ISNUMBER(F2759),C2759*F2759,"")</f>
        <v/>
      </c>
    </row>
    <row r="2760" spans="1:7" ht="12" customHeight="1" outlineLevel="2" x14ac:dyDescent="0.2">
      <c r="A2760" s="14" t="s">
        <v>5439</v>
      </c>
      <c r="B2760" s="15" t="s">
        <v>5440</v>
      </c>
      <c r="C2760" s="16">
        <f>392.26/(1+B2)</f>
        <v>392.26</v>
      </c>
      <c r="D2760" s="17" t="s">
        <v>11</v>
      </c>
      <c r="E2760" s="17" t="s">
        <v>11</v>
      </c>
      <c r="F2760" s="18"/>
      <c r="G2760" s="36" t="str">
        <f>IF(ISNUMBER(F2760),C2760*F2760,"")</f>
        <v/>
      </c>
    </row>
    <row r="2761" spans="1:7" ht="12" customHeight="1" outlineLevel="2" x14ac:dyDescent="0.2">
      <c r="A2761" s="14" t="s">
        <v>5441</v>
      </c>
      <c r="B2761" s="15" t="s">
        <v>5442</v>
      </c>
      <c r="C2761" s="16">
        <f>420.62/(1+B2)</f>
        <v>420.62</v>
      </c>
      <c r="D2761" s="17" t="s">
        <v>11</v>
      </c>
      <c r="E2761" s="17" t="s">
        <v>14</v>
      </c>
      <c r="F2761" s="18"/>
      <c r="G2761" s="36" t="str">
        <f>IF(ISNUMBER(F2761),C2761*F2761,"")</f>
        <v/>
      </c>
    </row>
    <row r="2762" spans="1:7" ht="12" customHeight="1" outlineLevel="2" x14ac:dyDescent="0.2">
      <c r="A2762" s="14" t="s">
        <v>5443</v>
      </c>
      <c r="B2762" s="15" t="s">
        <v>5444</v>
      </c>
      <c r="C2762" s="16">
        <f>435.31/(1+B2)</f>
        <v>435.31</v>
      </c>
      <c r="D2762" s="17" t="s">
        <v>11</v>
      </c>
      <c r="E2762" s="17" t="s">
        <v>53</v>
      </c>
      <c r="F2762" s="18"/>
      <c r="G2762" s="36" t="str">
        <f>IF(ISNUMBER(F2762),C2762*F2762,"")</f>
        <v/>
      </c>
    </row>
    <row r="2763" spans="1:7" ht="12" customHeight="1" outlineLevel="2" x14ac:dyDescent="0.2">
      <c r="A2763" s="14" t="s">
        <v>5445</v>
      </c>
      <c r="B2763" s="15" t="s">
        <v>5446</v>
      </c>
      <c r="C2763" s="16">
        <f>647.48/(1+B2)</f>
        <v>647.48</v>
      </c>
      <c r="D2763" s="17" t="s">
        <v>11</v>
      </c>
      <c r="E2763" s="17" t="s">
        <v>53</v>
      </c>
      <c r="F2763" s="18"/>
      <c r="G2763" s="36" t="str">
        <f>IF(ISNUMBER(F2763),C2763*F2763,"")</f>
        <v/>
      </c>
    </row>
    <row r="2764" spans="1:7" ht="12" customHeight="1" outlineLevel="2" x14ac:dyDescent="0.2">
      <c r="A2764" s="14" t="s">
        <v>5447</v>
      </c>
      <c r="B2764" s="15" t="s">
        <v>5448</v>
      </c>
      <c r="C2764" s="16">
        <f>619.48/(1+B2)</f>
        <v>619.48</v>
      </c>
      <c r="D2764" s="17" t="s">
        <v>11</v>
      </c>
      <c r="E2764" s="17" t="s">
        <v>11</v>
      </c>
      <c r="F2764" s="18"/>
      <c r="G2764" s="36" t="str">
        <f>IF(ISNUMBER(F2764),C2764*F2764,"")</f>
        <v/>
      </c>
    </row>
    <row r="2765" spans="1:7" ht="12" customHeight="1" outlineLevel="2" x14ac:dyDescent="0.2">
      <c r="A2765" s="14" t="s">
        <v>5449</v>
      </c>
      <c r="B2765" s="15" t="s">
        <v>5450</v>
      </c>
      <c r="C2765" s="16">
        <f>377.14/(1+B2)</f>
        <v>377.14</v>
      </c>
      <c r="D2765" s="17" t="s">
        <v>11</v>
      </c>
      <c r="E2765" s="17" t="s">
        <v>53</v>
      </c>
      <c r="F2765" s="18"/>
      <c r="G2765" s="36" t="str">
        <f>IF(ISNUMBER(F2765),C2765*F2765,"")</f>
        <v/>
      </c>
    </row>
    <row r="2766" spans="1:7" ht="12" customHeight="1" outlineLevel="2" x14ac:dyDescent="0.2">
      <c r="A2766" s="14" t="s">
        <v>5451</v>
      </c>
      <c r="B2766" s="15" t="s">
        <v>5452</v>
      </c>
      <c r="C2766" s="19">
        <f>1051.83/(1+B2)</f>
        <v>1051.83</v>
      </c>
      <c r="D2766" s="17"/>
      <c r="E2766" s="17" t="s">
        <v>11</v>
      </c>
      <c r="F2766" s="18"/>
      <c r="G2766" s="36" t="str">
        <f>IF(ISNUMBER(F2766),C2766*F2766,"")</f>
        <v/>
      </c>
    </row>
    <row r="2767" spans="1:7" ht="12" customHeight="1" outlineLevel="2" x14ac:dyDescent="0.2">
      <c r="A2767" s="14" t="s">
        <v>5453</v>
      </c>
      <c r="B2767" s="15" t="s">
        <v>5454</v>
      </c>
      <c r="C2767" s="19">
        <f>1143.13/(1+B2)</f>
        <v>1143.1300000000001</v>
      </c>
      <c r="D2767" s="17" t="s">
        <v>11</v>
      </c>
      <c r="E2767" s="17" t="s">
        <v>11</v>
      </c>
      <c r="F2767" s="18"/>
      <c r="G2767" s="36" t="str">
        <f>IF(ISNUMBER(F2767),C2767*F2767,"")</f>
        <v/>
      </c>
    </row>
    <row r="2768" spans="1:7" ht="12" customHeight="1" outlineLevel="2" x14ac:dyDescent="0.2">
      <c r="A2768" s="14" t="s">
        <v>5455</v>
      </c>
      <c r="B2768" s="15" t="s">
        <v>5456</v>
      </c>
      <c r="C2768" s="16">
        <f>955.15/(1+B2)</f>
        <v>955.15</v>
      </c>
      <c r="D2768" s="17" t="s">
        <v>11</v>
      </c>
      <c r="E2768" s="17" t="s">
        <v>11</v>
      </c>
      <c r="F2768" s="18"/>
      <c r="G2768" s="36" t="str">
        <f>IF(ISNUMBER(F2768),C2768*F2768,"")</f>
        <v/>
      </c>
    </row>
    <row r="2769" spans="1:7" ht="12" customHeight="1" outlineLevel="2" x14ac:dyDescent="0.2">
      <c r="A2769" s="14" t="s">
        <v>5457</v>
      </c>
      <c r="B2769" s="15" t="s">
        <v>5458</v>
      </c>
      <c r="C2769" s="16">
        <f>697.5/(1+B2)</f>
        <v>697.5</v>
      </c>
      <c r="D2769" s="17" t="s">
        <v>11</v>
      </c>
      <c r="E2769" s="17" t="s">
        <v>11</v>
      </c>
      <c r="F2769" s="18"/>
      <c r="G2769" s="36" t="str">
        <f>IF(ISNUMBER(F2769),C2769*F2769,"")</f>
        <v/>
      </c>
    </row>
    <row r="2770" spans="1:7" ht="12" customHeight="1" outlineLevel="2" x14ac:dyDescent="0.2">
      <c r="A2770" s="14" t="s">
        <v>5459</v>
      </c>
      <c r="B2770" s="15" t="s">
        <v>5460</v>
      </c>
      <c r="C2770" s="16">
        <f>743.45/(1+B2)</f>
        <v>743.45</v>
      </c>
      <c r="D2770" s="17" t="s">
        <v>11</v>
      </c>
      <c r="E2770" s="17" t="s">
        <v>11</v>
      </c>
      <c r="F2770" s="18"/>
      <c r="G2770" s="36" t="str">
        <f>IF(ISNUMBER(F2770),C2770*F2770,"")</f>
        <v/>
      </c>
    </row>
    <row r="2771" spans="1:7" s="1" customFormat="1" ht="15.95" customHeight="1" outlineLevel="1" x14ac:dyDescent="0.25">
      <c r="A2771" s="11"/>
      <c r="B2771" s="12" t="s">
        <v>5461</v>
      </c>
      <c r="C2771" s="13"/>
      <c r="D2771" s="13"/>
      <c r="E2771" s="13"/>
      <c r="F2771" s="13"/>
      <c r="G2771" s="35"/>
    </row>
    <row r="2772" spans="1:7" ht="12" customHeight="1" outlineLevel="2" x14ac:dyDescent="0.2">
      <c r="A2772" s="14" t="s">
        <v>5462</v>
      </c>
      <c r="B2772" s="15" t="s">
        <v>5463</v>
      </c>
      <c r="C2772" s="16">
        <f>64.41/(1+B2)</f>
        <v>64.41</v>
      </c>
      <c r="D2772" s="17" t="s">
        <v>53</v>
      </c>
      <c r="E2772" s="17" t="s">
        <v>11</v>
      </c>
      <c r="F2772" s="18"/>
      <c r="G2772" s="36" t="str">
        <f>IF(ISNUMBER(F2772),C2772*F2772,"")</f>
        <v/>
      </c>
    </row>
    <row r="2773" spans="1:7" ht="12" customHeight="1" outlineLevel="2" x14ac:dyDescent="0.2">
      <c r="A2773" s="14" t="s">
        <v>5464</v>
      </c>
      <c r="B2773" s="15" t="s">
        <v>5465</v>
      </c>
      <c r="C2773" s="16">
        <f>81/(1+B2)</f>
        <v>81</v>
      </c>
      <c r="D2773" s="17" t="s">
        <v>14</v>
      </c>
      <c r="E2773" s="17" t="s">
        <v>106</v>
      </c>
      <c r="F2773" s="18"/>
      <c r="G2773" s="36" t="str">
        <f>IF(ISNUMBER(F2773),C2773*F2773,"")</f>
        <v/>
      </c>
    </row>
    <row r="2774" spans="1:7" ht="12" customHeight="1" outlineLevel="2" x14ac:dyDescent="0.2">
      <c r="A2774" s="14" t="s">
        <v>5466</v>
      </c>
      <c r="B2774" s="15" t="s">
        <v>5467</v>
      </c>
      <c r="C2774" s="16">
        <f>562.5/(1+B2)</f>
        <v>562.5</v>
      </c>
      <c r="D2774" s="17" t="s">
        <v>11</v>
      </c>
      <c r="E2774" s="17" t="s">
        <v>11</v>
      </c>
      <c r="F2774" s="18"/>
      <c r="G2774" s="36" t="str">
        <f>IF(ISNUMBER(F2774),C2774*F2774,"")</f>
        <v/>
      </c>
    </row>
    <row r="2775" spans="1:7" ht="12" customHeight="1" outlineLevel="2" x14ac:dyDescent="0.2">
      <c r="A2775" s="14" t="s">
        <v>5468</v>
      </c>
      <c r="B2775" s="15" t="s">
        <v>5469</v>
      </c>
      <c r="C2775" s="16">
        <f>50.7/(1+B2)</f>
        <v>50.7</v>
      </c>
      <c r="D2775" s="17" t="s">
        <v>11</v>
      </c>
      <c r="E2775" s="17"/>
      <c r="F2775" s="18"/>
      <c r="G2775" s="36" t="str">
        <f>IF(ISNUMBER(F2775),C2775*F2775,"")</f>
        <v/>
      </c>
    </row>
    <row r="2776" spans="1:7" ht="12" customHeight="1" outlineLevel="2" x14ac:dyDescent="0.2">
      <c r="A2776" s="14" t="s">
        <v>5470</v>
      </c>
      <c r="B2776" s="15" t="s">
        <v>5471</v>
      </c>
      <c r="C2776" s="16">
        <f>23.56/(1+B2)</f>
        <v>23.56</v>
      </c>
      <c r="D2776" s="17" t="s">
        <v>11</v>
      </c>
      <c r="E2776" s="17" t="s">
        <v>53</v>
      </c>
      <c r="F2776" s="18"/>
      <c r="G2776" s="36" t="str">
        <f>IF(ISNUMBER(F2776),C2776*F2776,"")</f>
        <v/>
      </c>
    </row>
    <row r="2777" spans="1:7" ht="12" customHeight="1" outlineLevel="2" x14ac:dyDescent="0.2">
      <c r="A2777" s="14" t="s">
        <v>5472</v>
      </c>
      <c r="B2777" s="15" t="s">
        <v>5473</v>
      </c>
      <c r="C2777" s="16">
        <f>25.5/(1+B2)</f>
        <v>25.5</v>
      </c>
      <c r="D2777" s="17" t="s">
        <v>11</v>
      </c>
      <c r="E2777" s="17" t="s">
        <v>53</v>
      </c>
      <c r="F2777" s="18"/>
      <c r="G2777" s="36" t="str">
        <f>IF(ISNUMBER(F2777),C2777*F2777,"")</f>
        <v/>
      </c>
    </row>
    <row r="2778" spans="1:7" ht="12" customHeight="1" outlineLevel="2" x14ac:dyDescent="0.2">
      <c r="A2778" s="14" t="s">
        <v>5474</v>
      </c>
      <c r="B2778" s="15" t="s">
        <v>5475</v>
      </c>
      <c r="C2778" s="16">
        <f>25.1/(1+B2)</f>
        <v>25.1</v>
      </c>
      <c r="D2778" s="17" t="s">
        <v>11</v>
      </c>
      <c r="E2778" s="17" t="s">
        <v>53</v>
      </c>
      <c r="F2778" s="18"/>
      <c r="G2778" s="36" t="str">
        <f>IF(ISNUMBER(F2778),C2778*F2778,"")</f>
        <v/>
      </c>
    </row>
    <row r="2779" spans="1:7" ht="12" customHeight="1" outlineLevel="2" x14ac:dyDescent="0.2">
      <c r="A2779" s="14" t="s">
        <v>5476</v>
      </c>
      <c r="B2779" s="15" t="s">
        <v>5477</v>
      </c>
      <c r="C2779" s="16">
        <f>37.68/(1+B2)</f>
        <v>37.68</v>
      </c>
      <c r="D2779" s="17" t="s">
        <v>14</v>
      </c>
      <c r="E2779" s="17"/>
      <c r="F2779" s="18"/>
      <c r="G2779" s="36" t="str">
        <f>IF(ISNUMBER(F2779),C2779*F2779,"")</f>
        <v/>
      </c>
    </row>
    <row r="2780" spans="1:7" ht="12" customHeight="1" outlineLevel="2" x14ac:dyDescent="0.2">
      <c r="A2780" s="14" t="s">
        <v>5478</v>
      </c>
      <c r="B2780" s="15" t="s">
        <v>5479</v>
      </c>
      <c r="C2780" s="16">
        <f>101.93/(1+B2)</f>
        <v>101.93</v>
      </c>
      <c r="D2780" s="17" t="s">
        <v>11</v>
      </c>
      <c r="E2780" s="17"/>
      <c r="F2780" s="18"/>
      <c r="G2780" s="36" t="str">
        <f>IF(ISNUMBER(F2780),C2780*F2780,"")</f>
        <v/>
      </c>
    </row>
    <row r="2781" spans="1:7" ht="12" customHeight="1" outlineLevel="2" x14ac:dyDescent="0.2">
      <c r="A2781" s="14" t="s">
        <v>5480</v>
      </c>
      <c r="B2781" s="15" t="s">
        <v>5481</v>
      </c>
      <c r="C2781" s="16">
        <f>75.63/(1+B2)</f>
        <v>75.63</v>
      </c>
      <c r="D2781" s="17" t="s">
        <v>11</v>
      </c>
      <c r="E2781" s="17"/>
      <c r="F2781" s="18"/>
      <c r="G2781" s="36" t="str">
        <f>IF(ISNUMBER(F2781),C2781*F2781,"")</f>
        <v/>
      </c>
    </row>
    <row r="2782" spans="1:7" ht="12" customHeight="1" outlineLevel="2" x14ac:dyDescent="0.2">
      <c r="A2782" s="14" t="s">
        <v>5482</v>
      </c>
      <c r="B2782" s="15" t="s">
        <v>5483</v>
      </c>
      <c r="C2782" s="16">
        <f>49.08/(1+B2)</f>
        <v>49.08</v>
      </c>
      <c r="D2782" s="17" t="s">
        <v>11</v>
      </c>
      <c r="E2782" s="17" t="s">
        <v>106</v>
      </c>
      <c r="F2782" s="18"/>
      <c r="G2782" s="36" t="str">
        <f>IF(ISNUMBER(F2782),C2782*F2782,"")</f>
        <v/>
      </c>
    </row>
    <row r="2783" spans="1:7" ht="12" customHeight="1" outlineLevel="2" x14ac:dyDescent="0.2">
      <c r="A2783" s="14" t="s">
        <v>5484</v>
      </c>
      <c r="B2783" s="15" t="s">
        <v>5485</v>
      </c>
      <c r="C2783" s="16">
        <f>186.31/(1+B2)</f>
        <v>186.31</v>
      </c>
      <c r="D2783" s="17" t="s">
        <v>11</v>
      </c>
      <c r="E2783" s="17"/>
      <c r="F2783" s="18"/>
      <c r="G2783" s="36" t="str">
        <f>IF(ISNUMBER(F2783),C2783*F2783,"")</f>
        <v/>
      </c>
    </row>
    <row r="2784" spans="1:7" ht="12" customHeight="1" outlineLevel="2" x14ac:dyDescent="0.2">
      <c r="A2784" s="14" t="s">
        <v>5486</v>
      </c>
      <c r="B2784" s="15" t="s">
        <v>5487</v>
      </c>
      <c r="C2784" s="19">
        <f>1712.5/(1+B2)</f>
        <v>1712.5</v>
      </c>
      <c r="D2784" s="17" t="s">
        <v>11</v>
      </c>
      <c r="E2784" s="17"/>
      <c r="F2784" s="18"/>
      <c r="G2784" s="36" t="str">
        <f>IF(ISNUMBER(F2784),C2784*F2784,"")</f>
        <v/>
      </c>
    </row>
    <row r="2785" spans="1:7" ht="12" customHeight="1" outlineLevel="2" x14ac:dyDescent="0.2">
      <c r="A2785" s="14" t="s">
        <v>5488</v>
      </c>
      <c r="B2785" s="15" t="s">
        <v>5489</v>
      </c>
      <c r="C2785" s="19">
        <f>2100/(1+B2)</f>
        <v>2100</v>
      </c>
      <c r="D2785" s="17" t="s">
        <v>11</v>
      </c>
      <c r="E2785" s="17"/>
      <c r="F2785" s="18"/>
      <c r="G2785" s="36" t="str">
        <f>IF(ISNUMBER(F2785),C2785*F2785,"")</f>
        <v/>
      </c>
    </row>
    <row r="2786" spans="1:7" ht="12" customHeight="1" outlineLevel="2" x14ac:dyDescent="0.2">
      <c r="A2786" s="14" t="s">
        <v>5490</v>
      </c>
      <c r="B2786" s="15" t="s">
        <v>5491</v>
      </c>
      <c r="C2786" s="16">
        <f>687.5/(1+B2)</f>
        <v>687.5</v>
      </c>
      <c r="D2786" s="17" t="s">
        <v>11</v>
      </c>
      <c r="E2786" s="17"/>
      <c r="F2786" s="18"/>
      <c r="G2786" s="36" t="str">
        <f>IF(ISNUMBER(F2786),C2786*F2786,"")</f>
        <v/>
      </c>
    </row>
    <row r="2787" spans="1:7" ht="12" customHeight="1" outlineLevel="2" x14ac:dyDescent="0.2">
      <c r="A2787" s="14" t="s">
        <v>5492</v>
      </c>
      <c r="B2787" s="15" t="s">
        <v>5493</v>
      </c>
      <c r="C2787" s="16">
        <f>445.18/(1+B2)</f>
        <v>445.18</v>
      </c>
      <c r="D2787" s="17" t="s">
        <v>11</v>
      </c>
      <c r="E2787" s="17"/>
      <c r="F2787" s="18"/>
      <c r="G2787" s="36" t="str">
        <f>IF(ISNUMBER(F2787),C2787*F2787,"")</f>
        <v/>
      </c>
    </row>
    <row r="2788" spans="1:7" ht="24" customHeight="1" outlineLevel="2" x14ac:dyDescent="0.2">
      <c r="A2788" s="14" t="s">
        <v>5494</v>
      </c>
      <c r="B2788" s="15" t="s">
        <v>5495</v>
      </c>
      <c r="C2788" s="16">
        <f>253.64/(1+B2)</f>
        <v>253.64</v>
      </c>
      <c r="D2788" s="17" t="s">
        <v>11</v>
      </c>
      <c r="E2788" s="17"/>
      <c r="F2788" s="18"/>
      <c r="G2788" s="36" t="str">
        <f>IF(ISNUMBER(F2788),C2788*F2788,"")</f>
        <v/>
      </c>
    </row>
    <row r="2789" spans="1:7" ht="24" customHeight="1" outlineLevel="2" x14ac:dyDescent="0.2">
      <c r="A2789" s="14" t="s">
        <v>5496</v>
      </c>
      <c r="B2789" s="15" t="s">
        <v>5497</v>
      </c>
      <c r="C2789" s="16">
        <f>334.16/(1+B2)</f>
        <v>334.16</v>
      </c>
      <c r="D2789" s="17" t="s">
        <v>11</v>
      </c>
      <c r="E2789" s="17"/>
      <c r="F2789" s="18"/>
      <c r="G2789" s="36" t="str">
        <f>IF(ISNUMBER(F2789),C2789*F2789,"")</f>
        <v/>
      </c>
    </row>
    <row r="2790" spans="1:7" ht="12" customHeight="1" outlineLevel="2" x14ac:dyDescent="0.2">
      <c r="A2790" s="14" t="s">
        <v>5498</v>
      </c>
      <c r="B2790" s="15" t="s">
        <v>5499</v>
      </c>
      <c r="C2790" s="16">
        <f>580.97/(1+B2)</f>
        <v>580.97</v>
      </c>
      <c r="D2790" s="17" t="s">
        <v>11</v>
      </c>
      <c r="E2790" s="17"/>
      <c r="F2790" s="18"/>
      <c r="G2790" s="36" t="str">
        <f>IF(ISNUMBER(F2790),C2790*F2790,"")</f>
        <v/>
      </c>
    </row>
    <row r="2791" spans="1:7" ht="12" customHeight="1" outlineLevel="2" x14ac:dyDescent="0.2">
      <c r="A2791" s="14" t="s">
        <v>5500</v>
      </c>
      <c r="B2791" s="15" t="s">
        <v>5501</v>
      </c>
      <c r="C2791" s="16">
        <f>906.25/(1+B2)</f>
        <v>906.25</v>
      </c>
      <c r="D2791" s="17" t="s">
        <v>11</v>
      </c>
      <c r="E2791" s="17"/>
      <c r="F2791" s="18"/>
      <c r="G2791" s="36" t="str">
        <f>IF(ISNUMBER(F2791),C2791*F2791,"")</f>
        <v/>
      </c>
    </row>
    <row r="2792" spans="1:7" ht="24" customHeight="1" outlineLevel="2" x14ac:dyDescent="0.2">
      <c r="A2792" s="14" t="s">
        <v>5502</v>
      </c>
      <c r="B2792" s="15" t="s">
        <v>5503</v>
      </c>
      <c r="C2792" s="16">
        <f>357.8/(1+B2)</f>
        <v>357.8</v>
      </c>
      <c r="D2792" s="17" t="s">
        <v>11</v>
      </c>
      <c r="E2792" s="17"/>
      <c r="F2792" s="18"/>
      <c r="G2792" s="36" t="str">
        <f>IF(ISNUMBER(F2792),C2792*F2792,"")</f>
        <v/>
      </c>
    </row>
    <row r="2793" spans="1:7" s="1" customFormat="1" ht="15.95" customHeight="1" outlineLevel="1" x14ac:dyDescent="0.25">
      <c r="A2793" s="11"/>
      <c r="B2793" s="12" t="s">
        <v>5504</v>
      </c>
      <c r="C2793" s="13"/>
      <c r="D2793" s="13"/>
      <c r="E2793" s="13"/>
      <c r="F2793" s="13"/>
      <c r="G2793" s="35"/>
    </row>
    <row r="2794" spans="1:7" ht="12" customHeight="1" outlineLevel="2" x14ac:dyDescent="0.2">
      <c r="A2794" s="14" t="s">
        <v>5505</v>
      </c>
      <c r="B2794" s="15" t="s">
        <v>5506</v>
      </c>
      <c r="C2794" s="16">
        <f>169.82/(1+B2)</f>
        <v>169.82</v>
      </c>
      <c r="D2794" s="17"/>
      <c r="E2794" s="17" t="s">
        <v>11</v>
      </c>
      <c r="F2794" s="18"/>
      <c r="G2794" s="36" t="str">
        <f>IF(ISNUMBER(F2794),C2794*F2794,"")</f>
        <v/>
      </c>
    </row>
    <row r="2795" spans="1:7" ht="12" customHeight="1" outlineLevel="2" x14ac:dyDescent="0.2">
      <c r="A2795" s="14" t="s">
        <v>5507</v>
      </c>
      <c r="B2795" s="15" t="s">
        <v>5508</v>
      </c>
      <c r="C2795" s="16">
        <f>147.65/(1+B2)</f>
        <v>147.65</v>
      </c>
      <c r="D2795" s="17" t="s">
        <v>11</v>
      </c>
      <c r="E2795" s="17" t="s">
        <v>11</v>
      </c>
      <c r="F2795" s="18"/>
      <c r="G2795" s="36" t="str">
        <f>IF(ISNUMBER(F2795),C2795*F2795,"")</f>
        <v/>
      </c>
    </row>
    <row r="2796" spans="1:7" ht="12" customHeight="1" outlineLevel="2" x14ac:dyDescent="0.2">
      <c r="A2796" s="14" t="s">
        <v>5509</v>
      </c>
      <c r="B2796" s="15" t="s">
        <v>5510</v>
      </c>
      <c r="C2796" s="16">
        <f>402/(1+B2)</f>
        <v>402</v>
      </c>
      <c r="D2796" s="17" t="s">
        <v>11</v>
      </c>
      <c r="E2796" s="17"/>
      <c r="F2796" s="18"/>
      <c r="G2796" s="36" t="str">
        <f>IF(ISNUMBER(F2796),C2796*F2796,"")</f>
        <v/>
      </c>
    </row>
    <row r="2797" spans="1:7" ht="12" customHeight="1" outlineLevel="2" x14ac:dyDescent="0.2">
      <c r="A2797" s="14" t="s">
        <v>5511</v>
      </c>
      <c r="B2797" s="15" t="s">
        <v>5512</v>
      </c>
      <c r="C2797" s="16">
        <f>314.1/(1+B2)</f>
        <v>314.10000000000002</v>
      </c>
      <c r="D2797" s="17" t="s">
        <v>11</v>
      </c>
      <c r="E2797" s="17"/>
      <c r="F2797" s="18"/>
      <c r="G2797" s="36" t="str">
        <f>IF(ISNUMBER(F2797),C2797*F2797,"")</f>
        <v/>
      </c>
    </row>
    <row r="2798" spans="1:7" ht="12" customHeight="1" outlineLevel="2" x14ac:dyDescent="0.2">
      <c r="A2798" s="14" t="s">
        <v>5513</v>
      </c>
      <c r="B2798" s="15" t="s">
        <v>5514</v>
      </c>
      <c r="C2798" s="16">
        <f>809.22/(1+B2)</f>
        <v>809.22</v>
      </c>
      <c r="D2798" s="17" t="s">
        <v>14</v>
      </c>
      <c r="E2798" s="17"/>
      <c r="F2798" s="18"/>
      <c r="G2798" s="36" t="str">
        <f>IF(ISNUMBER(F2798),C2798*F2798,"")</f>
        <v/>
      </c>
    </row>
    <row r="2799" spans="1:7" ht="12" customHeight="1" outlineLevel="2" x14ac:dyDescent="0.2">
      <c r="A2799" s="14" t="s">
        <v>5515</v>
      </c>
      <c r="B2799" s="15" t="s">
        <v>5516</v>
      </c>
      <c r="C2799" s="16">
        <f>236.75/(1+B2)</f>
        <v>236.75</v>
      </c>
      <c r="D2799" s="17" t="s">
        <v>11</v>
      </c>
      <c r="E2799" s="17"/>
      <c r="F2799" s="18"/>
      <c r="G2799" s="36" t="str">
        <f>IF(ISNUMBER(F2799),C2799*F2799,"")</f>
        <v/>
      </c>
    </row>
    <row r="2800" spans="1:7" ht="12" customHeight="1" outlineLevel="2" x14ac:dyDescent="0.2">
      <c r="A2800" s="14" t="s">
        <v>5517</v>
      </c>
      <c r="B2800" s="15" t="s">
        <v>5518</v>
      </c>
      <c r="C2800" s="16">
        <f>117.36/(1+B2)</f>
        <v>117.36</v>
      </c>
      <c r="D2800" s="17" t="s">
        <v>11</v>
      </c>
      <c r="E2800" s="17"/>
      <c r="F2800" s="18"/>
      <c r="G2800" s="36" t="str">
        <f>IF(ISNUMBER(F2800),C2800*F2800,"")</f>
        <v/>
      </c>
    </row>
    <row r="2801" spans="1:7" ht="12" customHeight="1" outlineLevel="2" x14ac:dyDescent="0.2">
      <c r="A2801" s="14" t="s">
        <v>5519</v>
      </c>
      <c r="B2801" s="15" t="s">
        <v>5520</v>
      </c>
      <c r="C2801" s="16">
        <f>100.33/(1+B2)</f>
        <v>100.33</v>
      </c>
      <c r="D2801" s="17" t="s">
        <v>11</v>
      </c>
      <c r="E2801" s="17"/>
      <c r="F2801" s="18"/>
      <c r="G2801" s="36" t="str">
        <f>IF(ISNUMBER(F2801),C2801*F2801,"")</f>
        <v/>
      </c>
    </row>
    <row r="2802" spans="1:7" ht="12" customHeight="1" outlineLevel="2" x14ac:dyDescent="0.2">
      <c r="A2802" s="14" t="s">
        <v>5521</v>
      </c>
      <c r="B2802" s="15" t="s">
        <v>5522</v>
      </c>
      <c r="C2802" s="16">
        <f>72.28/(1+B2)</f>
        <v>72.28</v>
      </c>
      <c r="D2802" s="17" t="s">
        <v>11</v>
      </c>
      <c r="E2802" s="17"/>
      <c r="F2802" s="18"/>
      <c r="G2802" s="36" t="str">
        <f>IF(ISNUMBER(F2802),C2802*F2802,"")</f>
        <v/>
      </c>
    </row>
    <row r="2803" spans="1:7" ht="12" customHeight="1" outlineLevel="2" x14ac:dyDescent="0.2">
      <c r="A2803" s="14" t="s">
        <v>5523</v>
      </c>
      <c r="B2803" s="15" t="s">
        <v>5524</v>
      </c>
      <c r="C2803" s="16">
        <f>168.28/(1+B2)</f>
        <v>168.28</v>
      </c>
      <c r="D2803" s="17" t="s">
        <v>11</v>
      </c>
      <c r="E2803" s="17" t="s">
        <v>11</v>
      </c>
      <c r="F2803" s="18"/>
      <c r="G2803" s="36" t="str">
        <f>IF(ISNUMBER(F2803),C2803*F2803,"")</f>
        <v/>
      </c>
    </row>
    <row r="2804" spans="1:7" ht="12" customHeight="1" outlineLevel="2" x14ac:dyDescent="0.2">
      <c r="A2804" s="14" t="s">
        <v>5525</v>
      </c>
      <c r="B2804" s="15" t="s">
        <v>5526</v>
      </c>
      <c r="C2804" s="16">
        <f>211.99/(1+B2)</f>
        <v>211.99</v>
      </c>
      <c r="D2804" s="17" t="s">
        <v>11</v>
      </c>
      <c r="E2804" s="17"/>
      <c r="F2804" s="18"/>
      <c r="G2804" s="36" t="str">
        <f>IF(ISNUMBER(F2804),C2804*F2804,"")</f>
        <v/>
      </c>
    </row>
    <row r="2805" spans="1:7" ht="12" customHeight="1" outlineLevel="2" x14ac:dyDescent="0.2">
      <c r="A2805" s="14" t="s">
        <v>5527</v>
      </c>
      <c r="B2805" s="15" t="s">
        <v>5528</v>
      </c>
      <c r="C2805" s="16">
        <f>413.42/(1+B2)</f>
        <v>413.42</v>
      </c>
      <c r="D2805" s="17" t="s">
        <v>11</v>
      </c>
      <c r="E2805" s="17"/>
      <c r="F2805" s="18"/>
      <c r="G2805" s="36" t="str">
        <f>IF(ISNUMBER(F2805),C2805*F2805,"")</f>
        <v/>
      </c>
    </row>
    <row r="2806" spans="1:7" ht="12" customHeight="1" outlineLevel="2" x14ac:dyDescent="0.2">
      <c r="A2806" s="14" t="s">
        <v>5529</v>
      </c>
      <c r="B2806" s="15" t="s">
        <v>5530</v>
      </c>
      <c r="C2806" s="16">
        <f>206.87/(1+B2)</f>
        <v>206.87</v>
      </c>
      <c r="D2806" s="17" t="s">
        <v>11</v>
      </c>
      <c r="E2806" s="17" t="s">
        <v>11</v>
      </c>
      <c r="F2806" s="18"/>
      <c r="G2806" s="36" t="str">
        <f>IF(ISNUMBER(F2806),C2806*F2806,"")</f>
        <v/>
      </c>
    </row>
    <row r="2807" spans="1:7" ht="12" customHeight="1" outlineLevel="2" x14ac:dyDescent="0.2">
      <c r="A2807" s="14" t="s">
        <v>5531</v>
      </c>
      <c r="B2807" s="15" t="s">
        <v>5532</v>
      </c>
      <c r="C2807" s="16">
        <f>653/(1+B2)</f>
        <v>653</v>
      </c>
      <c r="D2807" s="17" t="s">
        <v>11</v>
      </c>
      <c r="E2807" s="17" t="s">
        <v>11</v>
      </c>
      <c r="F2807" s="18"/>
      <c r="G2807" s="36" t="str">
        <f>IF(ISNUMBER(F2807),C2807*F2807,"")</f>
        <v/>
      </c>
    </row>
    <row r="2808" spans="1:7" ht="12" customHeight="1" outlineLevel="2" x14ac:dyDescent="0.2">
      <c r="A2808" s="14" t="s">
        <v>5533</v>
      </c>
      <c r="B2808" s="15" t="s">
        <v>5534</v>
      </c>
      <c r="C2808" s="16">
        <f>600.3/(1+B2)</f>
        <v>600.29999999999995</v>
      </c>
      <c r="D2808" s="17" t="s">
        <v>11</v>
      </c>
      <c r="E2808" s="17"/>
      <c r="F2808" s="18"/>
      <c r="G2808" s="36" t="str">
        <f>IF(ISNUMBER(F2808),C2808*F2808,"")</f>
        <v/>
      </c>
    </row>
    <row r="2809" spans="1:7" ht="12" customHeight="1" outlineLevel="2" x14ac:dyDescent="0.2">
      <c r="A2809" s="14" t="s">
        <v>5535</v>
      </c>
      <c r="B2809" s="15" t="s">
        <v>5536</v>
      </c>
      <c r="C2809" s="16">
        <f>633.24/(1+B2)</f>
        <v>633.24</v>
      </c>
      <c r="D2809" s="17" t="s">
        <v>11</v>
      </c>
      <c r="E2809" s="17"/>
      <c r="F2809" s="18"/>
      <c r="G2809" s="36" t="str">
        <f>IF(ISNUMBER(F2809),C2809*F2809,"")</f>
        <v/>
      </c>
    </row>
    <row r="2810" spans="1:7" ht="12" customHeight="1" outlineLevel="2" x14ac:dyDescent="0.2">
      <c r="A2810" s="14" t="s">
        <v>5537</v>
      </c>
      <c r="B2810" s="15" t="s">
        <v>5538</v>
      </c>
      <c r="C2810" s="16">
        <f>473.52/(1+B2)</f>
        <v>473.52</v>
      </c>
      <c r="D2810" s="17" t="s">
        <v>11</v>
      </c>
      <c r="E2810" s="17"/>
      <c r="F2810" s="18"/>
      <c r="G2810" s="36" t="str">
        <f>IF(ISNUMBER(F2810),C2810*F2810,"")</f>
        <v/>
      </c>
    </row>
    <row r="2811" spans="1:7" s="1" customFormat="1" ht="15.95" customHeight="1" outlineLevel="1" x14ac:dyDescent="0.25">
      <c r="A2811" s="11"/>
      <c r="B2811" s="12" t="s">
        <v>5539</v>
      </c>
      <c r="C2811" s="13"/>
      <c r="D2811" s="13"/>
      <c r="E2811" s="13"/>
      <c r="F2811" s="13"/>
      <c r="G2811" s="35"/>
    </row>
    <row r="2812" spans="1:7" ht="12" customHeight="1" outlineLevel="2" x14ac:dyDescent="0.2">
      <c r="A2812" s="14" t="s">
        <v>5540</v>
      </c>
      <c r="B2812" s="15" t="s">
        <v>5541</v>
      </c>
      <c r="C2812" s="16">
        <f>290.54/(1+B2)</f>
        <v>290.54000000000002</v>
      </c>
      <c r="D2812" s="17" t="s">
        <v>11</v>
      </c>
      <c r="E2812" s="17"/>
      <c r="F2812" s="18"/>
      <c r="G2812" s="36" t="str">
        <f>IF(ISNUMBER(F2812),C2812*F2812,"")</f>
        <v/>
      </c>
    </row>
    <row r="2813" spans="1:7" ht="12" customHeight="1" outlineLevel="2" x14ac:dyDescent="0.2">
      <c r="A2813" s="14" t="s">
        <v>5542</v>
      </c>
      <c r="B2813" s="15" t="s">
        <v>5543</v>
      </c>
      <c r="C2813" s="16">
        <f>97.06/(1+B2)</f>
        <v>97.06</v>
      </c>
      <c r="D2813" s="17" t="s">
        <v>11</v>
      </c>
      <c r="E2813" s="17" t="s">
        <v>53</v>
      </c>
      <c r="F2813" s="18"/>
      <c r="G2813" s="36" t="str">
        <f>IF(ISNUMBER(F2813),C2813*F2813,"")</f>
        <v/>
      </c>
    </row>
    <row r="2814" spans="1:7" ht="12" customHeight="1" outlineLevel="2" x14ac:dyDescent="0.2">
      <c r="A2814" s="14" t="s">
        <v>5544</v>
      </c>
      <c r="B2814" s="15" t="s">
        <v>5545</v>
      </c>
      <c r="C2814" s="16">
        <f>215.82/(1+B2)</f>
        <v>215.82</v>
      </c>
      <c r="D2814" s="17" t="s">
        <v>11</v>
      </c>
      <c r="E2814" s="17"/>
      <c r="F2814" s="18"/>
      <c r="G2814" s="36" t="str">
        <f>IF(ISNUMBER(F2814),C2814*F2814,"")</f>
        <v/>
      </c>
    </row>
    <row r="2815" spans="1:7" ht="12" customHeight="1" outlineLevel="2" x14ac:dyDescent="0.2">
      <c r="A2815" s="14" t="s">
        <v>5546</v>
      </c>
      <c r="B2815" s="15" t="s">
        <v>5547</v>
      </c>
      <c r="C2815" s="16">
        <f>287.07/(1+B2)</f>
        <v>287.07</v>
      </c>
      <c r="D2815" s="17" t="s">
        <v>11</v>
      </c>
      <c r="E2815" s="17"/>
      <c r="F2815" s="18"/>
      <c r="G2815" s="36" t="str">
        <f>IF(ISNUMBER(F2815),C2815*F2815,"")</f>
        <v/>
      </c>
    </row>
    <row r="2816" spans="1:7" ht="12" customHeight="1" outlineLevel="2" x14ac:dyDescent="0.2">
      <c r="A2816" s="14" t="s">
        <v>5548</v>
      </c>
      <c r="B2816" s="15" t="s">
        <v>5549</v>
      </c>
      <c r="C2816" s="16">
        <f>378.93/(1+B2)</f>
        <v>378.93</v>
      </c>
      <c r="D2816" s="17" t="s">
        <v>11</v>
      </c>
      <c r="E2816" s="17"/>
      <c r="F2816" s="18"/>
      <c r="G2816" s="36" t="str">
        <f>IF(ISNUMBER(F2816),C2816*F2816,"")</f>
        <v/>
      </c>
    </row>
    <row r="2817" spans="1:7" ht="12" customHeight="1" outlineLevel="2" x14ac:dyDescent="0.2">
      <c r="A2817" s="14" t="s">
        <v>5550</v>
      </c>
      <c r="B2817" s="15" t="s">
        <v>5551</v>
      </c>
      <c r="C2817" s="16">
        <f>146.85/(1+B2)</f>
        <v>146.85</v>
      </c>
      <c r="D2817" s="17" t="s">
        <v>14</v>
      </c>
      <c r="E2817" s="17"/>
      <c r="F2817" s="18"/>
      <c r="G2817" s="36" t="str">
        <f>IF(ISNUMBER(F2817),C2817*F2817,"")</f>
        <v/>
      </c>
    </row>
    <row r="2818" spans="1:7" ht="12" customHeight="1" outlineLevel="2" x14ac:dyDescent="0.2">
      <c r="A2818" s="14" t="s">
        <v>5552</v>
      </c>
      <c r="B2818" s="15" t="s">
        <v>5553</v>
      </c>
      <c r="C2818" s="16">
        <f>149.51/(1+B2)</f>
        <v>149.51</v>
      </c>
      <c r="D2818" s="17" t="s">
        <v>14</v>
      </c>
      <c r="E2818" s="17"/>
      <c r="F2818" s="18"/>
      <c r="G2818" s="36" t="str">
        <f>IF(ISNUMBER(F2818),C2818*F2818,"")</f>
        <v/>
      </c>
    </row>
    <row r="2819" spans="1:7" ht="12" customHeight="1" outlineLevel="2" x14ac:dyDescent="0.2">
      <c r="A2819" s="14" t="s">
        <v>5554</v>
      </c>
      <c r="B2819" s="15" t="s">
        <v>5555</v>
      </c>
      <c r="C2819" s="16">
        <f>164.05/(1+B2)</f>
        <v>164.05</v>
      </c>
      <c r="D2819" s="17" t="s">
        <v>11</v>
      </c>
      <c r="E2819" s="17"/>
      <c r="F2819" s="18"/>
      <c r="G2819" s="36" t="str">
        <f>IF(ISNUMBER(F2819),C2819*F2819,"")</f>
        <v/>
      </c>
    </row>
    <row r="2820" spans="1:7" ht="24" customHeight="1" outlineLevel="2" x14ac:dyDescent="0.2">
      <c r="A2820" s="14" t="s">
        <v>5556</v>
      </c>
      <c r="B2820" s="15" t="s">
        <v>5557</v>
      </c>
      <c r="C2820" s="16">
        <f>139.5/(1+B2)</f>
        <v>139.5</v>
      </c>
      <c r="D2820" s="17" t="s">
        <v>14</v>
      </c>
      <c r="E2820" s="17" t="s">
        <v>14</v>
      </c>
      <c r="F2820" s="18"/>
      <c r="G2820" s="36" t="str">
        <f>IF(ISNUMBER(F2820),C2820*F2820,"")</f>
        <v/>
      </c>
    </row>
    <row r="2821" spans="1:7" ht="24" customHeight="1" outlineLevel="2" x14ac:dyDescent="0.2">
      <c r="A2821" s="14" t="s">
        <v>5558</v>
      </c>
      <c r="B2821" s="15" t="s">
        <v>5559</v>
      </c>
      <c r="C2821" s="16">
        <f>139.5/(1+B2)</f>
        <v>139.5</v>
      </c>
      <c r="D2821" s="17" t="s">
        <v>53</v>
      </c>
      <c r="E2821" s="17" t="s">
        <v>14</v>
      </c>
      <c r="F2821" s="18"/>
      <c r="G2821" s="36" t="str">
        <f>IF(ISNUMBER(F2821),C2821*F2821,"")</f>
        <v/>
      </c>
    </row>
    <row r="2822" spans="1:7" ht="24" customHeight="1" outlineLevel="2" x14ac:dyDescent="0.2">
      <c r="A2822" s="14" t="s">
        <v>5560</v>
      </c>
      <c r="B2822" s="15" t="s">
        <v>5561</v>
      </c>
      <c r="C2822" s="16">
        <f>112.5/(1+B2)</f>
        <v>112.5</v>
      </c>
      <c r="D2822" s="17" t="s">
        <v>14</v>
      </c>
      <c r="E2822" s="17" t="s">
        <v>53</v>
      </c>
      <c r="F2822" s="18"/>
      <c r="G2822" s="36" t="str">
        <f>IF(ISNUMBER(F2822),C2822*F2822,"")</f>
        <v/>
      </c>
    </row>
    <row r="2823" spans="1:7" ht="24" customHeight="1" outlineLevel="2" x14ac:dyDescent="0.2">
      <c r="A2823" s="14" t="s">
        <v>5562</v>
      </c>
      <c r="B2823" s="15" t="s">
        <v>5563</v>
      </c>
      <c r="C2823" s="16">
        <f>112.5/(1+B2)</f>
        <v>112.5</v>
      </c>
      <c r="D2823" s="17" t="s">
        <v>53</v>
      </c>
      <c r="E2823" s="17" t="s">
        <v>14</v>
      </c>
      <c r="F2823" s="18"/>
      <c r="G2823" s="36" t="str">
        <f>IF(ISNUMBER(F2823),C2823*F2823,"")</f>
        <v/>
      </c>
    </row>
    <row r="2824" spans="1:7" ht="24" customHeight="1" outlineLevel="2" x14ac:dyDescent="0.2">
      <c r="A2824" s="14" t="s">
        <v>5564</v>
      </c>
      <c r="B2824" s="15" t="s">
        <v>5565</v>
      </c>
      <c r="C2824" s="16">
        <f>107.12/(1+B2)</f>
        <v>107.12</v>
      </c>
      <c r="D2824" s="17" t="s">
        <v>11</v>
      </c>
      <c r="E2824" s="17"/>
      <c r="F2824" s="18"/>
      <c r="G2824" s="36" t="str">
        <f>IF(ISNUMBER(F2824),C2824*F2824,"")</f>
        <v/>
      </c>
    </row>
    <row r="2825" spans="1:7" ht="24" customHeight="1" outlineLevel="2" x14ac:dyDescent="0.2">
      <c r="A2825" s="14" t="s">
        <v>5566</v>
      </c>
      <c r="B2825" s="15" t="s">
        <v>5567</v>
      </c>
      <c r="C2825" s="16">
        <f>198.21/(1+B2)</f>
        <v>198.21</v>
      </c>
      <c r="D2825" s="17" t="s">
        <v>14</v>
      </c>
      <c r="E2825" s="17" t="s">
        <v>11</v>
      </c>
      <c r="F2825" s="18"/>
      <c r="G2825" s="36" t="str">
        <f>IF(ISNUMBER(F2825),C2825*F2825,"")</f>
        <v/>
      </c>
    </row>
    <row r="2826" spans="1:7" ht="12" customHeight="1" outlineLevel="2" x14ac:dyDescent="0.2">
      <c r="A2826" s="14" t="s">
        <v>5568</v>
      </c>
      <c r="B2826" s="15" t="s">
        <v>5569</v>
      </c>
      <c r="C2826" s="16">
        <f>276.06/(1+B2)</f>
        <v>276.06</v>
      </c>
      <c r="D2826" s="17" t="s">
        <v>14</v>
      </c>
      <c r="E2826" s="17" t="s">
        <v>14</v>
      </c>
      <c r="F2826" s="18"/>
      <c r="G2826" s="36" t="str">
        <f>IF(ISNUMBER(F2826),C2826*F2826,"")</f>
        <v/>
      </c>
    </row>
    <row r="2827" spans="1:7" ht="24" customHeight="1" outlineLevel="2" x14ac:dyDescent="0.2">
      <c r="A2827" s="14" t="s">
        <v>5570</v>
      </c>
      <c r="B2827" s="15" t="s">
        <v>5571</v>
      </c>
      <c r="C2827" s="16">
        <f>179.25/(1+B2)</f>
        <v>179.25</v>
      </c>
      <c r="D2827" s="17" t="s">
        <v>11</v>
      </c>
      <c r="E2827" s="17" t="s">
        <v>11</v>
      </c>
      <c r="F2827" s="18"/>
      <c r="G2827" s="36" t="str">
        <f>IF(ISNUMBER(F2827),C2827*F2827,"")</f>
        <v/>
      </c>
    </row>
    <row r="2828" spans="1:7" ht="24" customHeight="1" outlineLevel="2" x14ac:dyDescent="0.2">
      <c r="A2828" s="14" t="s">
        <v>5572</v>
      </c>
      <c r="B2828" s="15" t="s">
        <v>5573</v>
      </c>
      <c r="C2828" s="16">
        <f>159.26/(1+B2)</f>
        <v>159.26</v>
      </c>
      <c r="D2828" s="17" t="s">
        <v>14</v>
      </c>
      <c r="E2828" s="17"/>
      <c r="F2828" s="18"/>
      <c r="G2828" s="36" t="str">
        <f>IF(ISNUMBER(F2828),C2828*F2828,"")</f>
        <v/>
      </c>
    </row>
    <row r="2829" spans="1:7" ht="24" customHeight="1" outlineLevel="2" x14ac:dyDescent="0.2">
      <c r="A2829" s="14" t="s">
        <v>5574</v>
      </c>
      <c r="B2829" s="15" t="s">
        <v>5575</v>
      </c>
      <c r="C2829" s="16">
        <f>104.79/(1+B2)</f>
        <v>104.79</v>
      </c>
      <c r="D2829" s="17" t="s">
        <v>11</v>
      </c>
      <c r="E2829" s="17"/>
      <c r="F2829" s="18"/>
      <c r="G2829" s="36" t="str">
        <f>IF(ISNUMBER(F2829),C2829*F2829,"")</f>
        <v/>
      </c>
    </row>
    <row r="2830" spans="1:7" ht="24" customHeight="1" outlineLevel="2" x14ac:dyDescent="0.2">
      <c r="A2830" s="14" t="s">
        <v>5576</v>
      </c>
      <c r="B2830" s="15" t="s">
        <v>5577</v>
      </c>
      <c r="C2830" s="16">
        <f>156.88/(1+B2)</f>
        <v>156.88</v>
      </c>
      <c r="D2830" s="17" t="s">
        <v>11</v>
      </c>
      <c r="E2830" s="17" t="s">
        <v>14</v>
      </c>
      <c r="F2830" s="18"/>
      <c r="G2830" s="36" t="str">
        <f>IF(ISNUMBER(F2830),C2830*F2830,"")</f>
        <v/>
      </c>
    </row>
    <row r="2831" spans="1:7" ht="24" customHeight="1" outlineLevel="2" x14ac:dyDescent="0.2">
      <c r="A2831" s="14" t="s">
        <v>5578</v>
      </c>
      <c r="B2831" s="15" t="s">
        <v>5579</v>
      </c>
      <c r="C2831" s="16">
        <f>48.17/(1+B2)</f>
        <v>48.17</v>
      </c>
      <c r="D2831" s="17" t="s">
        <v>11</v>
      </c>
      <c r="E2831" s="17"/>
      <c r="F2831" s="18"/>
      <c r="G2831" s="36" t="str">
        <f>IF(ISNUMBER(F2831),C2831*F2831,"")</f>
        <v/>
      </c>
    </row>
    <row r="2832" spans="1:7" ht="24" customHeight="1" outlineLevel="2" x14ac:dyDescent="0.2">
      <c r="A2832" s="14" t="s">
        <v>5580</v>
      </c>
      <c r="B2832" s="15" t="s">
        <v>5581</v>
      </c>
      <c r="C2832" s="16">
        <f>114.56/(1+B2)</f>
        <v>114.56</v>
      </c>
      <c r="D2832" s="17" t="s">
        <v>11</v>
      </c>
      <c r="E2832" s="17"/>
      <c r="F2832" s="18"/>
      <c r="G2832" s="36" t="str">
        <f>IF(ISNUMBER(F2832),C2832*F2832,"")</f>
        <v/>
      </c>
    </row>
    <row r="2833" spans="1:7" ht="24" customHeight="1" outlineLevel="2" x14ac:dyDescent="0.2">
      <c r="A2833" s="14" t="s">
        <v>5582</v>
      </c>
      <c r="B2833" s="15" t="s">
        <v>5583</v>
      </c>
      <c r="C2833" s="16">
        <f>38.02/(1+B2)</f>
        <v>38.020000000000003</v>
      </c>
      <c r="D2833" s="17" t="s">
        <v>11</v>
      </c>
      <c r="E2833" s="17" t="s">
        <v>11</v>
      </c>
      <c r="F2833" s="18"/>
      <c r="G2833" s="36" t="str">
        <f>IF(ISNUMBER(F2833),C2833*F2833,"")</f>
        <v/>
      </c>
    </row>
    <row r="2834" spans="1:7" ht="12" customHeight="1" outlineLevel="2" x14ac:dyDescent="0.2">
      <c r="A2834" s="14" t="s">
        <v>5584</v>
      </c>
      <c r="B2834" s="15" t="s">
        <v>5585</v>
      </c>
      <c r="C2834" s="16">
        <f>260.17/(1+B2)</f>
        <v>260.17</v>
      </c>
      <c r="D2834" s="17" t="s">
        <v>11</v>
      </c>
      <c r="E2834" s="17"/>
      <c r="F2834" s="18"/>
      <c r="G2834" s="36" t="str">
        <f>IF(ISNUMBER(F2834),C2834*F2834,"")</f>
        <v/>
      </c>
    </row>
    <row r="2835" spans="1:7" ht="24" customHeight="1" outlineLevel="2" x14ac:dyDescent="0.2">
      <c r="A2835" s="14" t="s">
        <v>5586</v>
      </c>
      <c r="B2835" s="15" t="s">
        <v>5587</v>
      </c>
      <c r="C2835" s="16">
        <f>73.3/(1+B2)</f>
        <v>73.3</v>
      </c>
      <c r="D2835" s="17" t="s">
        <v>11</v>
      </c>
      <c r="E2835" s="17" t="s">
        <v>14</v>
      </c>
      <c r="F2835" s="18"/>
      <c r="G2835" s="36" t="str">
        <f>IF(ISNUMBER(F2835),C2835*F2835,"")</f>
        <v/>
      </c>
    </row>
    <row r="2836" spans="1:7" ht="12" customHeight="1" outlineLevel="2" x14ac:dyDescent="0.2">
      <c r="A2836" s="14" t="s">
        <v>5588</v>
      </c>
      <c r="B2836" s="15" t="s">
        <v>5589</v>
      </c>
      <c r="C2836" s="16">
        <f>113.9/(1+B2)</f>
        <v>113.9</v>
      </c>
      <c r="D2836" s="17" t="s">
        <v>11</v>
      </c>
      <c r="E2836" s="17" t="s">
        <v>53</v>
      </c>
      <c r="F2836" s="18"/>
      <c r="G2836" s="36" t="str">
        <f>IF(ISNUMBER(F2836),C2836*F2836,"")</f>
        <v/>
      </c>
    </row>
    <row r="2837" spans="1:7" ht="24" customHeight="1" outlineLevel="2" x14ac:dyDescent="0.2">
      <c r="A2837" s="14" t="s">
        <v>5590</v>
      </c>
      <c r="B2837" s="15" t="s">
        <v>5591</v>
      </c>
      <c r="C2837" s="16">
        <f>119.9/(1+B2)</f>
        <v>119.9</v>
      </c>
      <c r="D2837" s="17"/>
      <c r="E2837" s="17" t="s">
        <v>53</v>
      </c>
      <c r="F2837" s="18"/>
      <c r="G2837" s="36" t="str">
        <f>IF(ISNUMBER(F2837),C2837*F2837,"")</f>
        <v/>
      </c>
    </row>
    <row r="2838" spans="1:7" ht="24" customHeight="1" outlineLevel="2" x14ac:dyDescent="0.2">
      <c r="A2838" s="14" t="s">
        <v>5592</v>
      </c>
      <c r="B2838" s="15" t="s">
        <v>5593</v>
      </c>
      <c r="C2838" s="16">
        <f>111.47/(1+B2)</f>
        <v>111.47</v>
      </c>
      <c r="D2838" s="17" t="s">
        <v>14</v>
      </c>
      <c r="E2838" s="17" t="s">
        <v>53</v>
      </c>
      <c r="F2838" s="18"/>
      <c r="G2838" s="36" t="str">
        <f>IF(ISNUMBER(F2838),C2838*F2838,"")</f>
        <v/>
      </c>
    </row>
    <row r="2839" spans="1:7" ht="24" customHeight="1" outlineLevel="2" x14ac:dyDescent="0.2">
      <c r="A2839" s="14" t="s">
        <v>5594</v>
      </c>
      <c r="B2839" s="15" t="s">
        <v>5595</v>
      </c>
      <c r="C2839" s="16">
        <f>84.5/(1+B2)</f>
        <v>84.5</v>
      </c>
      <c r="D2839" s="17" t="s">
        <v>14</v>
      </c>
      <c r="E2839" s="17" t="s">
        <v>53</v>
      </c>
      <c r="F2839" s="18"/>
      <c r="G2839" s="36" t="str">
        <f>IF(ISNUMBER(F2839),C2839*F2839,"")</f>
        <v/>
      </c>
    </row>
    <row r="2840" spans="1:7" ht="24" customHeight="1" outlineLevel="2" x14ac:dyDescent="0.2">
      <c r="A2840" s="14" t="s">
        <v>5596</v>
      </c>
      <c r="B2840" s="15" t="s">
        <v>5597</v>
      </c>
      <c r="C2840" s="16">
        <f>84.5/(1+B2)</f>
        <v>84.5</v>
      </c>
      <c r="D2840" s="17" t="s">
        <v>11</v>
      </c>
      <c r="E2840" s="17" t="s">
        <v>14</v>
      </c>
      <c r="F2840" s="18"/>
      <c r="G2840" s="36" t="str">
        <f>IF(ISNUMBER(F2840),C2840*F2840,"")</f>
        <v/>
      </c>
    </row>
    <row r="2841" spans="1:7" ht="24" customHeight="1" outlineLevel="2" x14ac:dyDescent="0.2">
      <c r="A2841" s="14" t="s">
        <v>5598</v>
      </c>
      <c r="B2841" s="15" t="s">
        <v>5599</v>
      </c>
      <c r="C2841" s="16">
        <f>74.6/(1+B2)</f>
        <v>74.599999999999994</v>
      </c>
      <c r="D2841" s="17" t="s">
        <v>11</v>
      </c>
      <c r="E2841" s="17" t="s">
        <v>14</v>
      </c>
      <c r="F2841" s="18"/>
      <c r="G2841" s="36" t="str">
        <f>IF(ISNUMBER(F2841),C2841*F2841,"")</f>
        <v/>
      </c>
    </row>
    <row r="2842" spans="1:7" ht="12" customHeight="1" outlineLevel="2" x14ac:dyDescent="0.2">
      <c r="A2842" s="14" t="s">
        <v>5600</v>
      </c>
      <c r="B2842" s="15" t="s">
        <v>5601</v>
      </c>
      <c r="C2842" s="16">
        <f>129.04/(1+B2)</f>
        <v>129.04</v>
      </c>
      <c r="D2842" s="17" t="s">
        <v>11</v>
      </c>
      <c r="E2842" s="17"/>
      <c r="F2842" s="18"/>
      <c r="G2842" s="36" t="str">
        <f>IF(ISNUMBER(F2842),C2842*F2842,"")</f>
        <v/>
      </c>
    </row>
    <row r="2843" spans="1:7" ht="24" customHeight="1" outlineLevel="2" x14ac:dyDescent="0.2">
      <c r="A2843" s="14" t="s">
        <v>5602</v>
      </c>
      <c r="B2843" s="15" t="s">
        <v>5603</v>
      </c>
      <c r="C2843" s="16">
        <f>172.22/(1+B2)</f>
        <v>172.22</v>
      </c>
      <c r="D2843" s="17" t="s">
        <v>14</v>
      </c>
      <c r="E2843" s="17"/>
      <c r="F2843" s="18"/>
      <c r="G2843" s="36" t="str">
        <f>IF(ISNUMBER(F2843),C2843*F2843,"")</f>
        <v/>
      </c>
    </row>
    <row r="2844" spans="1:7" ht="24" customHeight="1" outlineLevel="2" x14ac:dyDescent="0.2">
      <c r="A2844" s="14" t="s">
        <v>5604</v>
      </c>
      <c r="B2844" s="15" t="s">
        <v>5605</v>
      </c>
      <c r="C2844" s="16">
        <f>146.45/(1+B2)</f>
        <v>146.44999999999999</v>
      </c>
      <c r="D2844" s="17" t="s">
        <v>11</v>
      </c>
      <c r="E2844" s="17" t="s">
        <v>11</v>
      </c>
      <c r="F2844" s="18"/>
      <c r="G2844" s="36" t="str">
        <f>IF(ISNUMBER(F2844),C2844*F2844,"")</f>
        <v/>
      </c>
    </row>
    <row r="2845" spans="1:7" ht="24" customHeight="1" outlineLevel="2" x14ac:dyDescent="0.2">
      <c r="A2845" s="14" t="s">
        <v>5606</v>
      </c>
      <c r="B2845" s="15" t="s">
        <v>5607</v>
      </c>
      <c r="C2845" s="16">
        <f>102.17/(1+B2)</f>
        <v>102.17</v>
      </c>
      <c r="D2845" s="17" t="s">
        <v>11</v>
      </c>
      <c r="E2845" s="17" t="s">
        <v>11</v>
      </c>
      <c r="F2845" s="18"/>
      <c r="G2845" s="36" t="str">
        <f>IF(ISNUMBER(F2845),C2845*F2845,"")</f>
        <v/>
      </c>
    </row>
    <row r="2846" spans="1:7" ht="12" customHeight="1" outlineLevel="2" x14ac:dyDescent="0.2">
      <c r="A2846" s="14" t="s">
        <v>5608</v>
      </c>
      <c r="B2846" s="15" t="s">
        <v>5609</v>
      </c>
      <c r="C2846" s="16">
        <f>393.33/(1+B2)</f>
        <v>393.33</v>
      </c>
      <c r="D2846" s="17" t="s">
        <v>11</v>
      </c>
      <c r="E2846" s="17"/>
      <c r="F2846" s="18"/>
      <c r="G2846" s="36" t="str">
        <f>IF(ISNUMBER(F2846),C2846*F2846,"")</f>
        <v/>
      </c>
    </row>
    <row r="2847" spans="1:7" ht="24" customHeight="1" outlineLevel="2" x14ac:dyDescent="0.2">
      <c r="A2847" s="14" t="s">
        <v>5610</v>
      </c>
      <c r="B2847" s="15" t="s">
        <v>5611</v>
      </c>
      <c r="C2847" s="16">
        <f>148.42/(1+B2)</f>
        <v>148.41999999999999</v>
      </c>
      <c r="D2847" s="17" t="s">
        <v>11</v>
      </c>
      <c r="E2847" s="17"/>
      <c r="F2847" s="18"/>
      <c r="G2847" s="36" t="str">
        <f>IF(ISNUMBER(F2847),C2847*F2847,"")</f>
        <v/>
      </c>
    </row>
    <row r="2848" spans="1:7" ht="24" customHeight="1" outlineLevel="2" x14ac:dyDescent="0.2">
      <c r="A2848" s="14" t="s">
        <v>5612</v>
      </c>
      <c r="B2848" s="15" t="s">
        <v>5613</v>
      </c>
      <c r="C2848" s="16">
        <f>102.77/(1+B2)</f>
        <v>102.77</v>
      </c>
      <c r="D2848" s="17" t="s">
        <v>14</v>
      </c>
      <c r="E2848" s="17" t="s">
        <v>14</v>
      </c>
      <c r="F2848" s="18"/>
      <c r="G2848" s="36" t="str">
        <f>IF(ISNUMBER(F2848),C2848*F2848,"")</f>
        <v/>
      </c>
    </row>
    <row r="2849" spans="1:7" ht="12" customHeight="1" outlineLevel="2" x14ac:dyDescent="0.2">
      <c r="A2849" s="14" t="s">
        <v>5614</v>
      </c>
      <c r="B2849" s="15" t="s">
        <v>5615</v>
      </c>
      <c r="C2849" s="16">
        <f>195.78/(1+B2)</f>
        <v>195.78</v>
      </c>
      <c r="D2849" s="17" t="s">
        <v>11</v>
      </c>
      <c r="E2849" s="17"/>
      <c r="F2849" s="18"/>
      <c r="G2849" s="36" t="str">
        <f>IF(ISNUMBER(F2849),C2849*F2849,"")</f>
        <v/>
      </c>
    </row>
    <row r="2850" spans="1:7" ht="12" customHeight="1" outlineLevel="2" x14ac:dyDescent="0.2">
      <c r="A2850" s="14" t="s">
        <v>5616</v>
      </c>
      <c r="B2850" s="15" t="s">
        <v>5617</v>
      </c>
      <c r="C2850" s="16">
        <f>195.6/(1+B2)</f>
        <v>195.6</v>
      </c>
      <c r="D2850" s="17" t="s">
        <v>11</v>
      </c>
      <c r="E2850" s="17"/>
      <c r="F2850" s="18"/>
      <c r="G2850" s="36" t="str">
        <f>IF(ISNUMBER(F2850),C2850*F2850,"")</f>
        <v/>
      </c>
    </row>
    <row r="2851" spans="1:7" ht="24" customHeight="1" outlineLevel="2" x14ac:dyDescent="0.2">
      <c r="A2851" s="14" t="s">
        <v>5618</v>
      </c>
      <c r="B2851" s="15" t="s">
        <v>5619</v>
      </c>
      <c r="C2851" s="16">
        <f>382.71/(1+B2)</f>
        <v>382.71</v>
      </c>
      <c r="D2851" s="17" t="s">
        <v>11</v>
      </c>
      <c r="E2851" s="17"/>
      <c r="F2851" s="18"/>
      <c r="G2851" s="36" t="str">
        <f>IF(ISNUMBER(F2851),C2851*F2851,"")</f>
        <v/>
      </c>
    </row>
    <row r="2852" spans="1:7" ht="24" customHeight="1" outlineLevel="2" x14ac:dyDescent="0.2">
      <c r="A2852" s="14" t="s">
        <v>5620</v>
      </c>
      <c r="B2852" s="15" t="s">
        <v>5621</v>
      </c>
      <c r="C2852" s="16">
        <f>148.45/(1+B2)</f>
        <v>148.44999999999999</v>
      </c>
      <c r="D2852" s="17" t="s">
        <v>11</v>
      </c>
      <c r="E2852" s="17" t="s">
        <v>53</v>
      </c>
      <c r="F2852" s="18"/>
      <c r="G2852" s="36" t="str">
        <f>IF(ISNUMBER(F2852),C2852*F2852,"")</f>
        <v/>
      </c>
    </row>
    <row r="2853" spans="1:7" ht="12" customHeight="1" outlineLevel="2" x14ac:dyDescent="0.2">
      <c r="A2853" s="14" t="s">
        <v>5622</v>
      </c>
      <c r="B2853" s="15" t="s">
        <v>5623</v>
      </c>
      <c r="C2853" s="16">
        <f>106.79/(1+B2)</f>
        <v>106.79</v>
      </c>
      <c r="D2853" s="17" t="s">
        <v>14</v>
      </c>
      <c r="E2853" s="17" t="s">
        <v>14</v>
      </c>
      <c r="F2853" s="18"/>
      <c r="G2853" s="36" t="str">
        <f>IF(ISNUMBER(F2853),C2853*F2853,"")</f>
        <v/>
      </c>
    </row>
    <row r="2854" spans="1:7" ht="12" customHeight="1" outlineLevel="2" x14ac:dyDescent="0.2">
      <c r="A2854" s="14" t="s">
        <v>5624</v>
      </c>
      <c r="B2854" s="15" t="s">
        <v>5625</v>
      </c>
      <c r="C2854" s="16">
        <f>111.36/(1+B2)</f>
        <v>111.36</v>
      </c>
      <c r="D2854" s="17" t="s">
        <v>11</v>
      </c>
      <c r="E2854" s="17"/>
      <c r="F2854" s="18"/>
      <c r="G2854" s="36" t="str">
        <f>IF(ISNUMBER(F2854),C2854*F2854,"")</f>
        <v/>
      </c>
    </row>
    <row r="2855" spans="1:7" ht="24" customHeight="1" outlineLevel="2" x14ac:dyDescent="0.2">
      <c r="A2855" s="14" t="s">
        <v>5626</v>
      </c>
      <c r="B2855" s="15" t="s">
        <v>5627</v>
      </c>
      <c r="C2855" s="16">
        <f>60.88/(1+B2)</f>
        <v>60.88</v>
      </c>
      <c r="D2855" s="17" t="s">
        <v>14</v>
      </c>
      <c r="E2855" s="17"/>
      <c r="F2855" s="18"/>
      <c r="G2855" s="36" t="str">
        <f>IF(ISNUMBER(F2855),C2855*F2855,"")</f>
        <v/>
      </c>
    </row>
    <row r="2856" spans="1:7" ht="12" customHeight="1" outlineLevel="2" x14ac:dyDescent="0.2">
      <c r="A2856" s="14" t="s">
        <v>5628</v>
      </c>
      <c r="B2856" s="15" t="s">
        <v>5629</v>
      </c>
      <c r="C2856" s="16">
        <f>110.19/(1+B2)</f>
        <v>110.19</v>
      </c>
      <c r="D2856" s="17" t="s">
        <v>53</v>
      </c>
      <c r="E2856" s="17"/>
      <c r="F2856" s="18"/>
      <c r="G2856" s="36" t="str">
        <f>IF(ISNUMBER(F2856),C2856*F2856,"")</f>
        <v/>
      </c>
    </row>
    <row r="2857" spans="1:7" ht="12" customHeight="1" outlineLevel="2" x14ac:dyDescent="0.2">
      <c r="A2857" s="14" t="s">
        <v>5630</v>
      </c>
      <c r="B2857" s="15" t="s">
        <v>5631</v>
      </c>
      <c r="C2857" s="16">
        <f>159.72/(1+B2)</f>
        <v>159.72</v>
      </c>
      <c r="D2857" s="17" t="s">
        <v>11</v>
      </c>
      <c r="E2857" s="17"/>
      <c r="F2857" s="18"/>
      <c r="G2857" s="36" t="str">
        <f>IF(ISNUMBER(F2857),C2857*F2857,"")</f>
        <v/>
      </c>
    </row>
    <row r="2858" spans="1:7" ht="12" customHeight="1" outlineLevel="2" x14ac:dyDescent="0.2">
      <c r="A2858" s="14" t="s">
        <v>5632</v>
      </c>
      <c r="B2858" s="15" t="s">
        <v>5633</v>
      </c>
      <c r="C2858" s="16">
        <f>100.28/(1+B2)</f>
        <v>100.28</v>
      </c>
      <c r="D2858" s="17" t="s">
        <v>14</v>
      </c>
      <c r="E2858" s="17"/>
      <c r="F2858" s="18"/>
      <c r="G2858" s="36" t="str">
        <f>IF(ISNUMBER(F2858),C2858*F2858,"")</f>
        <v/>
      </c>
    </row>
    <row r="2859" spans="1:7" s="1" customFormat="1" ht="15.95" customHeight="1" outlineLevel="1" x14ac:dyDescent="0.25">
      <c r="A2859" s="11"/>
      <c r="B2859" s="12" t="s">
        <v>5634</v>
      </c>
      <c r="C2859" s="13"/>
      <c r="D2859" s="13"/>
      <c r="E2859" s="13"/>
      <c r="F2859" s="13"/>
      <c r="G2859" s="35"/>
    </row>
    <row r="2860" spans="1:7" ht="12" customHeight="1" outlineLevel="2" x14ac:dyDescent="0.2">
      <c r="A2860" s="14" t="s">
        <v>5635</v>
      </c>
      <c r="B2860" s="15" t="s">
        <v>5636</v>
      </c>
      <c r="C2860" s="19">
        <f>2003.88/(1+B2)</f>
        <v>2003.88</v>
      </c>
      <c r="D2860" s="17" t="s">
        <v>11</v>
      </c>
      <c r="E2860" s="17" t="s">
        <v>11</v>
      </c>
      <c r="F2860" s="18"/>
      <c r="G2860" s="36" t="str">
        <f>IF(ISNUMBER(F2860),C2860*F2860,"")</f>
        <v/>
      </c>
    </row>
    <row r="2861" spans="1:7" ht="24" customHeight="1" outlineLevel="2" x14ac:dyDescent="0.2">
      <c r="A2861" s="14" t="s">
        <v>5637</v>
      </c>
      <c r="B2861" s="15" t="s">
        <v>5638</v>
      </c>
      <c r="C2861" s="19">
        <f>1906.99/(1+B2)</f>
        <v>1906.99</v>
      </c>
      <c r="D2861" s="17" t="s">
        <v>11</v>
      </c>
      <c r="E2861" s="17"/>
      <c r="F2861" s="18"/>
      <c r="G2861" s="36" t="str">
        <f>IF(ISNUMBER(F2861),C2861*F2861,"")</f>
        <v/>
      </c>
    </row>
    <row r="2862" spans="1:7" ht="24" customHeight="1" outlineLevel="2" x14ac:dyDescent="0.2">
      <c r="A2862" s="14" t="s">
        <v>5639</v>
      </c>
      <c r="B2862" s="15" t="s">
        <v>5640</v>
      </c>
      <c r="C2862" s="19">
        <f>2390.44/(1+B2)</f>
        <v>2390.44</v>
      </c>
      <c r="D2862" s="17" t="s">
        <v>11</v>
      </c>
      <c r="E2862" s="17" t="s">
        <v>11</v>
      </c>
      <c r="F2862" s="18"/>
      <c r="G2862" s="36" t="str">
        <f>IF(ISNUMBER(F2862),C2862*F2862,"")</f>
        <v/>
      </c>
    </row>
    <row r="2863" spans="1:7" ht="24" customHeight="1" outlineLevel="2" x14ac:dyDescent="0.2">
      <c r="A2863" s="14" t="s">
        <v>5641</v>
      </c>
      <c r="B2863" s="15" t="s">
        <v>5642</v>
      </c>
      <c r="C2863" s="16">
        <f>810.55/(1+B2)</f>
        <v>810.55</v>
      </c>
      <c r="D2863" s="17" t="s">
        <v>11</v>
      </c>
      <c r="E2863" s="17"/>
      <c r="F2863" s="18"/>
      <c r="G2863" s="36" t="str">
        <f>IF(ISNUMBER(F2863),C2863*F2863,"")</f>
        <v/>
      </c>
    </row>
    <row r="2864" spans="1:7" ht="12" customHeight="1" outlineLevel="2" x14ac:dyDescent="0.2">
      <c r="A2864" s="14" t="s">
        <v>5643</v>
      </c>
      <c r="B2864" s="15" t="s">
        <v>5644</v>
      </c>
      <c r="C2864" s="16">
        <f>204.41/(1+B2)</f>
        <v>204.41</v>
      </c>
      <c r="D2864" s="17" t="s">
        <v>11</v>
      </c>
      <c r="E2864" s="17" t="s">
        <v>11</v>
      </c>
      <c r="F2864" s="18"/>
      <c r="G2864" s="36" t="str">
        <f>IF(ISNUMBER(F2864),C2864*F2864,"")</f>
        <v/>
      </c>
    </row>
    <row r="2865" spans="1:7" ht="24" customHeight="1" outlineLevel="2" x14ac:dyDescent="0.2">
      <c r="A2865" s="14" t="s">
        <v>5645</v>
      </c>
      <c r="B2865" s="15" t="s">
        <v>5646</v>
      </c>
      <c r="C2865" s="16">
        <f>959.21/(1+B2)</f>
        <v>959.21</v>
      </c>
      <c r="D2865" s="17" t="s">
        <v>11</v>
      </c>
      <c r="E2865" s="17" t="s">
        <v>53</v>
      </c>
      <c r="F2865" s="18"/>
      <c r="G2865" s="36" t="str">
        <f>IF(ISNUMBER(F2865),C2865*F2865,"")</f>
        <v/>
      </c>
    </row>
    <row r="2866" spans="1:7" ht="12" customHeight="1" outlineLevel="2" x14ac:dyDescent="0.2">
      <c r="A2866" s="14" t="s">
        <v>5647</v>
      </c>
      <c r="B2866" s="15" t="s">
        <v>5648</v>
      </c>
      <c r="C2866" s="16">
        <f>431.03/(1+B2)</f>
        <v>431.03</v>
      </c>
      <c r="D2866" s="17" t="s">
        <v>11</v>
      </c>
      <c r="E2866" s="17"/>
      <c r="F2866" s="18"/>
      <c r="G2866" s="36" t="str">
        <f>IF(ISNUMBER(F2866),C2866*F2866,"")</f>
        <v/>
      </c>
    </row>
    <row r="2867" spans="1:7" ht="24" customHeight="1" outlineLevel="2" x14ac:dyDescent="0.2">
      <c r="A2867" s="14" t="s">
        <v>5649</v>
      </c>
      <c r="B2867" s="15" t="s">
        <v>5650</v>
      </c>
      <c r="C2867" s="16">
        <f>995.76/(1+B2)</f>
        <v>995.76</v>
      </c>
      <c r="D2867" s="17" t="s">
        <v>11</v>
      </c>
      <c r="E2867" s="17"/>
      <c r="F2867" s="18"/>
      <c r="G2867" s="36" t="str">
        <f>IF(ISNUMBER(F2867),C2867*F2867,"")</f>
        <v/>
      </c>
    </row>
    <row r="2868" spans="1:7" ht="24" customHeight="1" outlineLevel="2" x14ac:dyDescent="0.2">
      <c r="A2868" s="14" t="s">
        <v>5651</v>
      </c>
      <c r="B2868" s="15" t="s">
        <v>5652</v>
      </c>
      <c r="C2868" s="19">
        <f>1226.22/(1+B2)</f>
        <v>1226.22</v>
      </c>
      <c r="D2868" s="17" t="s">
        <v>11</v>
      </c>
      <c r="E2868" s="17"/>
      <c r="F2868" s="18"/>
      <c r="G2868" s="36" t="str">
        <f>IF(ISNUMBER(F2868),C2868*F2868,"")</f>
        <v/>
      </c>
    </row>
    <row r="2869" spans="1:7" ht="24" customHeight="1" outlineLevel="2" x14ac:dyDescent="0.2">
      <c r="A2869" s="14" t="s">
        <v>5653</v>
      </c>
      <c r="B2869" s="15" t="s">
        <v>5654</v>
      </c>
      <c r="C2869" s="19">
        <f>1059.88/(1+B2)</f>
        <v>1059.8800000000001</v>
      </c>
      <c r="D2869" s="17" t="s">
        <v>11</v>
      </c>
      <c r="E2869" s="17" t="s">
        <v>14</v>
      </c>
      <c r="F2869" s="18"/>
      <c r="G2869" s="36" t="str">
        <f>IF(ISNUMBER(F2869),C2869*F2869,"")</f>
        <v/>
      </c>
    </row>
    <row r="2870" spans="1:7" ht="24" customHeight="1" outlineLevel="2" x14ac:dyDescent="0.2">
      <c r="A2870" s="14" t="s">
        <v>5655</v>
      </c>
      <c r="B2870" s="15" t="s">
        <v>5656</v>
      </c>
      <c r="C2870" s="16">
        <f>319.5/(1+B2)</f>
        <v>319.5</v>
      </c>
      <c r="D2870" s="17" t="s">
        <v>11</v>
      </c>
      <c r="E2870" s="17"/>
      <c r="F2870" s="18"/>
      <c r="G2870" s="36" t="str">
        <f>IF(ISNUMBER(F2870),C2870*F2870,"")</f>
        <v/>
      </c>
    </row>
    <row r="2871" spans="1:7" ht="24" customHeight="1" outlineLevel="2" x14ac:dyDescent="0.2">
      <c r="A2871" s="14" t="s">
        <v>5657</v>
      </c>
      <c r="B2871" s="15" t="s">
        <v>5658</v>
      </c>
      <c r="C2871" s="16">
        <f>319.5/(1+B2)</f>
        <v>319.5</v>
      </c>
      <c r="D2871" s="17" t="s">
        <v>11</v>
      </c>
      <c r="E2871" s="17" t="s">
        <v>11</v>
      </c>
      <c r="F2871" s="18"/>
      <c r="G2871" s="36" t="str">
        <f>IF(ISNUMBER(F2871),C2871*F2871,"")</f>
        <v/>
      </c>
    </row>
    <row r="2872" spans="1:7" ht="12" customHeight="1" outlineLevel="2" x14ac:dyDescent="0.2">
      <c r="A2872" s="14" t="s">
        <v>5659</v>
      </c>
      <c r="B2872" s="15" t="s">
        <v>5660</v>
      </c>
      <c r="C2872" s="16">
        <f>426.69/(1+B2)</f>
        <v>426.69</v>
      </c>
      <c r="D2872" s="17" t="s">
        <v>11</v>
      </c>
      <c r="E2872" s="17"/>
      <c r="F2872" s="18"/>
      <c r="G2872" s="36" t="str">
        <f>IF(ISNUMBER(F2872),C2872*F2872,"")</f>
        <v/>
      </c>
    </row>
    <row r="2873" spans="1:7" ht="24" customHeight="1" outlineLevel="2" x14ac:dyDescent="0.2">
      <c r="A2873" s="14" t="s">
        <v>5661</v>
      </c>
      <c r="B2873" s="15" t="s">
        <v>5662</v>
      </c>
      <c r="C2873" s="16">
        <f>439.64/(1+B2)</f>
        <v>439.64</v>
      </c>
      <c r="D2873" s="17" t="s">
        <v>11</v>
      </c>
      <c r="E2873" s="17"/>
      <c r="F2873" s="18"/>
      <c r="G2873" s="36" t="str">
        <f>IF(ISNUMBER(F2873),C2873*F2873,"")</f>
        <v/>
      </c>
    </row>
    <row r="2874" spans="1:7" ht="12" customHeight="1" outlineLevel="2" x14ac:dyDescent="0.2">
      <c r="A2874" s="14" t="s">
        <v>5663</v>
      </c>
      <c r="B2874" s="15" t="s">
        <v>5664</v>
      </c>
      <c r="C2874" s="16">
        <f>555.16/(1+B2)</f>
        <v>555.16</v>
      </c>
      <c r="D2874" s="17" t="s">
        <v>11</v>
      </c>
      <c r="E2874" s="17"/>
      <c r="F2874" s="18"/>
      <c r="G2874" s="36" t="str">
        <f>IF(ISNUMBER(F2874),C2874*F2874,"")</f>
        <v/>
      </c>
    </row>
    <row r="2875" spans="1:7" ht="24" customHeight="1" outlineLevel="2" x14ac:dyDescent="0.2">
      <c r="A2875" s="14" t="s">
        <v>5665</v>
      </c>
      <c r="B2875" s="15" t="s">
        <v>5666</v>
      </c>
      <c r="C2875" s="16">
        <f>492.17/(1+B2)</f>
        <v>492.17</v>
      </c>
      <c r="D2875" s="17" t="s">
        <v>11</v>
      </c>
      <c r="E2875" s="17" t="s">
        <v>11</v>
      </c>
      <c r="F2875" s="18"/>
      <c r="G2875" s="36" t="str">
        <f>IF(ISNUMBER(F2875),C2875*F2875,"")</f>
        <v/>
      </c>
    </row>
    <row r="2876" spans="1:7" ht="24" customHeight="1" outlineLevel="2" x14ac:dyDescent="0.2">
      <c r="A2876" s="14" t="s">
        <v>5667</v>
      </c>
      <c r="B2876" s="15" t="s">
        <v>5668</v>
      </c>
      <c r="C2876" s="16">
        <f>299.18/(1+B2)</f>
        <v>299.18</v>
      </c>
      <c r="D2876" s="17" t="s">
        <v>11</v>
      </c>
      <c r="E2876" s="17" t="s">
        <v>11</v>
      </c>
      <c r="F2876" s="18"/>
      <c r="G2876" s="36" t="str">
        <f>IF(ISNUMBER(F2876),C2876*F2876,"")</f>
        <v/>
      </c>
    </row>
    <row r="2877" spans="1:7" ht="24" customHeight="1" outlineLevel="2" x14ac:dyDescent="0.2">
      <c r="A2877" s="14" t="s">
        <v>5669</v>
      </c>
      <c r="B2877" s="15" t="s">
        <v>5670</v>
      </c>
      <c r="C2877" s="16">
        <f>234.1/(1+B2)</f>
        <v>234.1</v>
      </c>
      <c r="D2877" s="17"/>
      <c r="E2877" s="17" t="s">
        <v>11</v>
      </c>
      <c r="F2877" s="18"/>
      <c r="G2877" s="36" t="str">
        <f>IF(ISNUMBER(F2877),C2877*F2877,"")</f>
        <v/>
      </c>
    </row>
    <row r="2878" spans="1:7" ht="24" customHeight="1" outlineLevel="2" x14ac:dyDescent="0.2">
      <c r="A2878" s="14" t="s">
        <v>5671</v>
      </c>
      <c r="B2878" s="15" t="s">
        <v>5672</v>
      </c>
      <c r="C2878" s="16">
        <f>378.74/(1+B2)</f>
        <v>378.74</v>
      </c>
      <c r="D2878" s="17" t="s">
        <v>11</v>
      </c>
      <c r="E2878" s="17"/>
      <c r="F2878" s="18"/>
      <c r="G2878" s="36" t="str">
        <f>IF(ISNUMBER(F2878),C2878*F2878,"")</f>
        <v/>
      </c>
    </row>
    <row r="2879" spans="1:7" ht="24" customHeight="1" outlineLevel="2" x14ac:dyDescent="0.2">
      <c r="A2879" s="14" t="s">
        <v>5673</v>
      </c>
      <c r="B2879" s="15" t="s">
        <v>5674</v>
      </c>
      <c r="C2879" s="16">
        <f>587.2/(1+B2)</f>
        <v>587.20000000000005</v>
      </c>
      <c r="D2879" s="17" t="s">
        <v>11</v>
      </c>
      <c r="E2879" s="17"/>
      <c r="F2879" s="18"/>
      <c r="G2879" s="36" t="str">
        <f>IF(ISNUMBER(F2879),C2879*F2879,"")</f>
        <v/>
      </c>
    </row>
    <row r="2880" spans="1:7" ht="24" customHeight="1" outlineLevel="2" x14ac:dyDescent="0.2">
      <c r="A2880" s="14" t="s">
        <v>5675</v>
      </c>
      <c r="B2880" s="15" t="s">
        <v>5676</v>
      </c>
      <c r="C2880" s="16">
        <f>260.94/(1+B2)</f>
        <v>260.94</v>
      </c>
      <c r="D2880" s="17" t="s">
        <v>11</v>
      </c>
      <c r="E2880" s="17" t="s">
        <v>14</v>
      </c>
      <c r="F2880" s="18"/>
      <c r="G2880" s="36" t="str">
        <f>IF(ISNUMBER(F2880),C2880*F2880,"")</f>
        <v/>
      </c>
    </row>
    <row r="2881" spans="1:7" ht="12" customHeight="1" outlineLevel="2" x14ac:dyDescent="0.2">
      <c r="A2881" s="14" t="s">
        <v>5677</v>
      </c>
      <c r="B2881" s="15" t="s">
        <v>5678</v>
      </c>
      <c r="C2881" s="16">
        <f>245.51/(1+B2)</f>
        <v>245.51</v>
      </c>
      <c r="D2881" s="17" t="s">
        <v>11</v>
      </c>
      <c r="E2881" s="17" t="s">
        <v>11</v>
      </c>
      <c r="F2881" s="18"/>
      <c r="G2881" s="36" t="str">
        <f>IF(ISNUMBER(F2881),C2881*F2881,"")</f>
        <v/>
      </c>
    </row>
    <row r="2882" spans="1:7" ht="24" customHeight="1" outlineLevel="2" x14ac:dyDescent="0.2">
      <c r="A2882" s="14" t="s">
        <v>5679</v>
      </c>
      <c r="B2882" s="15" t="s">
        <v>5680</v>
      </c>
      <c r="C2882" s="16">
        <f>376.84/(1+B2)</f>
        <v>376.84</v>
      </c>
      <c r="D2882" s="17"/>
      <c r="E2882" s="17" t="s">
        <v>11</v>
      </c>
      <c r="F2882" s="18"/>
      <c r="G2882" s="36" t="str">
        <f>IF(ISNUMBER(F2882),C2882*F2882,"")</f>
        <v/>
      </c>
    </row>
    <row r="2883" spans="1:7" ht="24" customHeight="1" outlineLevel="2" x14ac:dyDescent="0.2">
      <c r="A2883" s="14" t="s">
        <v>5681</v>
      </c>
      <c r="B2883" s="15" t="s">
        <v>5682</v>
      </c>
      <c r="C2883" s="16">
        <f>494.61/(1+B2)</f>
        <v>494.61</v>
      </c>
      <c r="D2883" s="17" t="s">
        <v>11</v>
      </c>
      <c r="E2883" s="17"/>
      <c r="F2883" s="18"/>
      <c r="G2883" s="36" t="str">
        <f>IF(ISNUMBER(F2883),C2883*F2883,"")</f>
        <v/>
      </c>
    </row>
    <row r="2884" spans="1:7" ht="24" customHeight="1" outlineLevel="2" x14ac:dyDescent="0.2">
      <c r="A2884" s="14" t="s">
        <v>5683</v>
      </c>
      <c r="B2884" s="15" t="s">
        <v>5684</v>
      </c>
      <c r="C2884" s="16">
        <f>319.74/(1+B2)</f>
        <v>319.74</v>
      </c>
      <c r="D2884" s="17" t="s">
        <v>11</v>
      </c>
      <c r="E2884" s="17" t="s">
        <v>14</v>
      </c>
      <c r="F2884" s="18"/>
      <c r="G2884" s="36" t="str">
        <f>IF(ISNUMBER(F2884),C2884*F2884,"")</f>
        <v/>
      </c>
    </row>
    <row r="2885" spans="1:7" ht="24" customHeight="1" outlineLevel="2" x14ac:dyDescent="0.2">
      <c r="A2885" s="14" t="s">
        <v>5685</v>
      </c>
      <c r="B2885" s="15" t="s">
        <v>5686</v>
      </c>
      <c r="C2885" s="16">
        <f>359.52/(1+B2)</f>
        <v>359.52</v>
      </c>
      <c r="D2885" s="17" t="s">
        <v>11</v>
      </c>
      <c r="E2885" s="17"/>
      <c r="F2885" s="18"/>
      <c r="G2885" s="36" t="str">
        <f>IF(ISNUMBER(F2885),C2885*F2885,"")</f>
        <v/>
      </c>
    </row>
    <row r="2886" spans="1:7" ht="24" customHeight="1" outlineLevel="2" x14ac:dyDescent="0.2">
      <c r="A2886" s="14" t="s">
        <v>5687</v>
      </c>
      <c r="B2886" s="15" t="s">
        <v>5688</v>
      </c>
      <c r="C2886" s="16">
        <f>456.77/(1+B2)</f>
        <v>456.77</v>
      </c>
      <c r="D2886" s="17" t="s">
        <v>11</v>
      </c>
      <c r="E2886" s="17" t="s">
        <v>11</v>
      </c>
      <c r="F2886" s="18"/>
      <c r="G2886" s="36" t="str">
        <f>IF(ISNUMBER(F2886),C2886*F2886,"")</f>
        <v/>
      </c>
    </row>
    <row r="2887" spans="1:7" ht="24" customHeight="1" outlineLevel="2" x14ac:dyDescent="0.2">
      <c r="A2887" s="14" t="s">
        <v>5689</v>
      </c>
      <c r="B2887" s="15" t="s">
        <v>5690</v>
      </c>
      <c r="C2887" s="16">
        <f>354/(1+B2)</f>
        <v>354</v>
      </c>
      <c r="D2887" s="17" t="s">
        <v>11</v>
      </c>
      <c r="E2887" s="17" t="s">
        <v>11</v>
      </c>
      <c r="F2887" s="18"/>
      <c r="G2887" s="36" t="str">
        <f>IF(ISNUMBER(F2887),C2887*F2887,"")</f>
        <v/>
      </c>
    </row>
    <row r="2888" spans="1:7" ht="24" customHeight="1" outlineLevel="2" x14ac:dyDescent="0.2">
      <c r="A2888" s="14" t="s">
        <v>5691</v>
      </c>
      <c r="B2888" s="15" t="s">
        <v>5692</v>
      </c>
      <c r="C2888" s="16">
        <f>342.8/(1+B2)</f>
        <v>342.8</v>
      </c>
      <c r="D2888" s="17" t="s">
        <v>11</v>
      </c>
      <c r="E2888" s="17" t="s">
        <v>11</v>
      </c>
      <c r="F2888" s="18"/>
      <c r="G2888" s="36" t="str">
        <f>IF(ISNUMBER(F2888),C2888*F2888,"")</f>
        <v/>
      </c>
    </row>
    <row r="2889" spans="1:7" ht="24" customHeight="1" outlineLevel="2" x14ac:dyDescent="0.2">
      <c r="A2889" s="14" t="s">
        <v>5693</v>
      </c>
      <c r="B2889" s="15" t="s">
        <v>5694</v>
      </c>
      <c r="C2889" s="16">
        <f>737.68/(1+B2)</f>
        <v>737.68</v>
      </c>
      <c r="D2889" s="17" t="s">
        <v>11</v>
      </c>
      <c r="E2889" s="17" t="s">
        <v>11</v>
      </c>
      <c r="F2889" s="18"/>
      <c r="G2889" s="36" t="str">
        <f>IF(ISNUMBER(F2889),C2889*F2889,"")</f>
        <v/>
      </c>
    </row>
    <row r="2890" spans="1:7" ht="24" customHeight="1" outlineLevel="2" x14ac:dyDescent="0.2">
      <c r="A2890" s="14" t="s">
        <v>5695</v>
      </c>
      <c r="B2890" s="15" t="s">
        <v>5696</v>
      </c>
      <c r="C2890" s="16">
        <f>328.87/(1+B2)</f>
        <v>328.87</v>
      </c>
      <c r="D2890" s="17" t="s">
        <v>11</v>
      </c>
      <c r="E2890" s="17" t="s">
        <v>14</v>
      </c>
      <c r="F2890" s="18"/>
      <c r="G2890" s="36" t="str">
        <f>IF(ISNUMBER(F2890),C2890*F2890,"")</f>
        <v/>
      </c>
    </row>
    <row r="2891" spans="1:7" ht="24" customHeight="1" outlineLevel="2" x14ac:dyDescent="0.2">
      <c r="A2891" s="14" t="s">
        <v>5697</v>
      </c>
      <c r="B2891" s="15" t="s">
        <v>5698</v>
      </c>
      <c r="C2891" s="16">
        <f>308.32/(1+B2)</f>
        <v>308.32</v>
      </c>
      <c r="D2891" s="17"/>
      <c r="E2891" s="17" t="s">
        <v>14</v>
      </c>
      <c r="F2891" s="18"/>
      <c r="G2891" s="36" t="str">
        <f>IF(ISNUMBER(F2891),C2891*F2891,"")</f>
        <v/>
      </c>
    </row>
    <row r="2892" spans="1:7" ht="24" customHeight="1" outlineLevel="2" x14ac:dyDescent="0.2">
      <c r="A2892" s="14" t="s">
        <v>5699</v>
      </c>
      <c r="B2892" s="15" t="s">
        <v>5700</v>
      </c>
      <c r="C2892" s="16">
        <f>359.7/(1+B2)</f>
        <v>359.7</v>
      </c>
      <c r="D2892" s="17" t="s">
        <v>11</v>
      </c>
      <c r="E2892" s="17" t="s">
        <v>11</v>
      </c>
      <c r="F2892" s="18"/>
      <c r="G2892" s="36" t="str">
        <f>IF(ISNUMBER(F2892),C2892*F2892,"")</f>
        <v/>
      </c>
    </row>
    <row r="2893" spans="1:7" ht="24" customHeight="1" outlineLevel="2" x14ac:dyDescent="0.2">
      <c r="A2893" s="14" t="s">
        <v>5701</v>
      </c>
      <c r="B2893" s="15" t="s">
        <v>5702</v>
      </c>
      <c r="C2893" s="16">
        <f>316.8/(1+B2)</f>
        <v>316.8</v>
      </c>
      <c r="D2893" s="17" t="s">
        <v>11</v>
      </c>
      <c r="E2893" s="17" t="s">
        <v>11</v>
      </c>
      <c r="F2893" s="18"/>
      <c r="G2893" s="36" t="str">
        <f>IF(ISNUMBER(F2893),C2893*F2893,"")</f>
        <v/>
      </c>
    </row>
    <row r="2894" spans="1:7" ht="24" customHeight="1" outlineLevel="2" x14ac:dyDescent="0.2">
      <c r="A2894" s="14" t="s">
        <v>5703</v>
      </c>
      <c r="B2894" s="15" t="s">
        <v>5704</v>
      </c>
      <c r="C2894" s="16">
        <f>271.08/(1+B2)</f>
        <v>271.08</v>
      </c>
      <c r="D2894" s="17" t="s">
        <v>11</v>
      </c>
      <c r="E2894" s="17" t="s">
        <v>53</v>
      </c>
      <c r="F2894" s="18"/>
      <c r="G2894" s="36" t="str">
        <f>IF(ISNUMBER(F2894),C2894*F2894,"")</f>
        <v/>
      </c>
    </row>
    <row r="2895" spans="1:7" ht="12" customHeight="1" outlineLevel="2" x14ac:dyDescent="0.2">
      <c r="A2895" s="14" t="s">
        <v>5705</v>
      </c>
      <c r="B2895" s="15" t="s">
        <v>5706</v>
      </c>
      <c r="C2895" s="16">
        <f>738.75/(1+B2)</f>
        <v>738.75</v>
      </c>
      <c r="D2895" s="17" t="s">
        <v>11</v>
      </c>
      <c r="E2895" s="17"/>
      <c r="F2895" s="18"/>
      <c r="G2895" s="36" t="str">
        <f>IF(ISNUMBER(F2895),C2895*F2895,"")</f>
        <v/>
      </c>
    </row>
    <row r="2896" spans="1:7" ht="24" customHeight="1" outlineLevel="2" x14ac:dyDescent="0.2">
      <c r="A2896" s="14" t="s">
        <v>5707</v>
      </c>
      <c r="B2896" s="15" t="s">
        <v>5708</v>
      </c>
      <c r="C2896" s="16">
        <f>544.27/(1+B2)</f>
        <v>544.27</v>
      </c>
      <c r="D2896" s="17" t="s">
        <v>11</v>
      </c>
      <c r="E2896" s="17"/>
      <c r="F2896" s="18"/>
      <c r="G2896" s="36" t="str">
        <f>IF(ISNUMBER(F2896),C2896*F2896,"")</f>
        <v/>
      </c>
    </row>
    <row r="2897" spans="1:7" ht="24" customHeight="1" outlineLevel="2" x14ac:dyDescent="0.2">
      <c r="A2897" s="14" t="s">
        <v>5709</v>
      </c>
      <c r="B2897" s="15" t="s">
        <v>5710</v>
      </c>
      <c r="C2897" s="16">
        <f>518.87/(1+B2)</f>
        <v>518.87</v>
      </c>
      <c r="D2897" s="17" t="s">
        <v>11</v>
      </c>
      <c r="E2897" s="17"/>
      <c r="F2897" s="18"/>
      <c r="G2897" s="36" t="str">
        <f>IF(ISNUMBER(F2897),C2897*F2897,"")</f>
        <v/>
      </c>
    </row>
    <row r="2898" spans="1:7" ht="24" customHeight="1" outlineLevel="2" x14ac:dyDescent="0.2">
      <c r="A2898" s="14" t="s">
        <v>5711</v>
      </c>
      <c r="B2898" s="15" t="s">
        <v>5712</v>
      </c>
      <c r="C2898" s="16">
        <f>496.34/(1+B2)</f>
        <v>496.34</v>
      </c>
      <c r="D2898" s="17" t="s">
        <v>11</v>
      </c>
      <c r="E2898" s="17" t="s">
        <v>14</v>
      </c>
      <c r="F2898" s="18"/>
      <c r="G2898" s="36" t="str">
        <f>IF(ISNUMBER(F2898),C2898*F2898,"")</f>
        <v/>
      </c>
    </row>
    <row r="2899" spans="1:7" ht="24" customHeight="1" outlineLevel="2" x14ac:dyDescent="0.2">
      <c r="A2899" s="14" t="s">
        <v>5713</v>
      </c>
      <c r="B2899" s="15" t="s">
        <v>5714</v>
      </c>
      <c r="C2899" s="16">
        <f>505.87/(1+B2)</f>
        <v>505.87</v>
      </c>
      <c r="D2899" s="17" t="s">
        <v>11</v>
      </c>
      <c r="E2899" s="17" t="s">
        <v>11</v>
      </c>
      <c r="F2899" s="18"/>
      <c r="G2899" s="36" t="str">
        <f>IF(ISNUMBER(F2899),C2899*F2899,"")</f>
        <v/>
      </c>
    </row>
    <row r="2900" spans="1:7" ht="24" customHeight="1" outlineLevel="2" x14ac:dyDescent="0.2">
      <c r="A2900" s="14" t="s">
        <v>5715</v>
      </c>
      <c r="B2900" s="15" t="s">
        <v>5716</v>
      </c>
      <c r="C2900" s="16">
        <f>576.67/(1+B2)</f>
        <v>576.66999999999996</v>
      </c>
      <c r="D2900" s="17" t="s">
        <v>11</v>
      </c>
      <c r="E2900" s="17" t="s">
        <v>11</v>
      </c>
      <c r="F2900" s="18"/>
      <c r="G2900" s="36" t="str">
        <f>IF(ISNUMBER(F2900),C2900*F2900,"")</f>
        <v/>
      </c>
    </row>
    <row r="2901" spans="1:7" ht="24" customHeight="1" outlineLevel="2" x14ac:dyDescent="0.2">
      <c r="A2901" s="14" t="s">
        <v>5717</v>
      </c>
      <c r="B2901" s="15" t="s">
        <v>5718</v>
      </c>
      <c r="C2901" s="16">
        <f>644.04/(1+B2)</f>
        <v>644.04</v>
      </c>
      <c r="D2901" s="17" t="s">
        <v>11</v>
      </c>
      <c r="E2901" s="17" t="s">
        <v>11</v>
      </c>
      <c r="F2901" s="18"/>
      <c r="G2901" s="36" t="str">
        <f>IF(ISNUMBER(F2901),C2901*F2901,"")</f>
        <v/>
      </c>
    </row>
    <row r="2902" spans="1:7" ht="24" customHeight="1" outlineLevel="2" x14ac:dyDescent="0.2">
      <c r="A2902" s="14" t="s">
        <v>5719</v>
      </c>
      <c r="B2902" s="15" t="s">
        <v>5720</v>
      </c>
      <c r="C2902" s="16">
        <f>664.66/(1+B2)</f>
        <v>664.66</v>
      </c>
      <c r="D2902" s="17" t="s">
        <v>11</v>
      </c>
      <c r="E2902" s="17" t="s">
        <v>11</v>
      </c>
      <c r="F2902" s="18"/>
      <c r="G2902" s="36" t="str">
        <f>IF(ISNUMBER(F2902),C2902*F2902,"")</f>
        <v/>
      </c>
    </row>
    <row r="2903" spans="1:7" ht="24" customHeight="1" outlineLevel="2" x14ac:dyDescent="0.2">
      <c r="A2903" s="14" t="s">
        <v>5721</v>
      </c>
      <c r="B2903" s="15" t="s">
        <v>5722</v>
      </c>
      <c r="C2903" s="16">
        <f>438.26/(1+B2)</f>
        <v>438.26</v>
      </c>
      <c r="D2903" s="17"/>
      <c r="E2903" s="17" t="s">
        <v>11</v>
      </c>
      <c r="F2903" s="18"/>
      <c r="G2903" s="36" t="str">
        <f>IF(ISNUMBER(F2903),C2903*F2903,"")</f>
        <v/>
      </c>
    </row>
    <row r="2904" spans="1:7" ht="24" customHeight="1" outlineLevel="2" x14ac:dyDescent="0.2">
      <c r="A2904" s="14" t="s">
        <v>5723</v>
      </c>
      <c r="B2904" s="15" t="s">
        <v>5724</v>
      </c>
      <c r="C2904" s="16">
        <f>650.71/(1+B2)</f>
        <v>650.71</v>
      </c>
      <c r="D2904" s="17" t="s">
        <v>11</v>
      </c>
      <c r="E2904" s="17"/>
      <c r="F2904" s="18"/>
      <c r="G2904" s="36" t="str">
        <f>IF(ISNUMBER(F2904),C2904*F2904,"")</f>
        <v/>
      </c>
    </row>
    <row r="2905" spans="1:7" ht="12" customHeight="1" outlineLevel="2" x14ac:dyDescent="0.2">
      <c r="A2905" s="14" t="s">
        <v>5725</v>
      </c>
      <c r="B2905" s="15" t="s">
        <v>5726</v>
      </c>
      <c r="C2905" s="16">
        <f>273.94/(1+B2)</f>
        <v>273.94</v>
      </c>
      <c r="D2905" s="17" t="s">
        <v>11</v>
      </c>
      <c r="E2905" s="17" t="s">
        <v>11</v>
      </c>
      <c r="F2905" s="18"/>
      <c r="G2905" s="36" t="str">
        <f>IF(ISNUMBER(F2905),C2905*F2905,"")</f>
        <v/>
      </c>
    </row>
    <row r="2906" spans="1:7" ht="12" customHeight="1" outlineLevel="2" x14ac:dyDescent="0.2">
      <c r="A2906" s="14" t="s">
        <v>5727</v>
      </c>
      <c r="B2906" s="15" t="s">
        <v>5728</v>
      </c>
      <c r="C2906" s="16">
        <f>598.75/(1+B2)</f>
        <v>598.75</v>
      </c>
      <c r="D2906" s="17" t="s">
        <v>11</v>
      </c>
      <c r="E2906" s="17" t="s">
        <v>11</v>
      </c>
      <c r="F2906" s="18"/>
      <c r="G2906" s="36" t="str">
        <f>IF(ISNUMBER(F2906),C2906*F2906,"")</f>
        <v/>
      </c>
    </row>
    <row r="2907" spans="1:7" ht="12" customHeight="1" outlineLevel="2" x14ac:dyDescent="0.2">
      <c r="A2907" s="14" t="s">
        <v>5729</v>
      </c>
      <c r="B2907" s="15" t="s">
        <v>5730</v>
      </c>
      <c r="C2907" s="16">
        <f>178.45/(1+B2)</f>
        <v>178.45</v>
      </c>
      <c r="D2907" s="17" t="s">
        <v>11</v>
      </c>
      <c r="E2907" s="17" t="s">
        <v>14</v>
      </c>
      <c r="F2907" s="18"/>
      <c r="G2907" s="36" t="str">
        <f>IF(ISNUMBER(F2907),C2907*F2907,"")</f>
        <v/>
      </c>
    </row>
    <row r="2908" spans="1:7" ht="12" customHeight="1" outlineLevel="2" x14ac:dyDescent="0.2">
      <c r="A2908" s="14" t="s">
        <v>5731</v>
      </c>
      <c r="B2908" s="15" t="s">
        <v>5732</v>
      </c>
      <c r="C2908" s="16">
        <f>241.08/(1+B2)</f>
        <v>241.08</v>
      </c>
      <c r="D2908" s="17" t="s">
        <v>11</v>
      </c>
      <c r="E2908" s="17" t="s">
        <v>11</v>
      </c>
      <c r="F2908" s="18"/>
      <c r="G2908" s="36" t="str">
        <f>IF(ISNUMBER(F2908),C2908*F2908,"")</f>
        <v/>
      </c>
    </row>
    <row r="2909" spans="1:7" ht="12" customHeight="1" outlineLevel="2" x14ac:dyDescent="0.2">
      <c r="A2909" s="14" t="s">
        <v>5733</v>
      </c>
      <c r="B2909" s="15" t="s">
        <v>5734</v>
      </c>
      <c r="C2909" s="16">
        <f>433.93/(1+B2)</f>
        <v>433.93</v>
      </c>
      <c r="D2909" s="17" t="s">
        <v>11</v>
      </c>
      <c r="E2909" s="17"/>
      <c r="F2909" s="18"/>
      <c r="G2909" s="36" t="str">
        <f>IF(ISNUMBER(F2909),C2909*F2909,"")</f>
        <v/>
      </c>
    </row>
    <row r="2910" spans="1:7" ht="12" customHeight="1" outlineLevel="2" x14ac:dyDescent="0.2">
      <c r="A2910" s="14" t="s">
        <v>5735</v>
      </c>
      <c r="B2910" s="15" t="s">
        <v>5736</v>
      </c>
      <c r="C2910" s="16">
        <f>98.59/(1+B2)</f>
        <v>98.59</v>
      </c>
      <c r="D2910" s="17" t="s">
        <v>11</v>
      </c>
      <c r="E2910" s="17" t="s">
        <v>106</v>
      </c>
      <c r="F2910" s="18"/>
      <c r="G2910" s="36" t="str">
        <f>IF(ISNUMBER(F2910),C2910*F2910,"")</f>
        <v/>
      </c>
    </row>
    <row r="2911" spans="1:7" ht="12" customHeight="1" outlineLevel="2" x14ac:dyDescent="0.2">
      <c r="A2911" s="14" t="s">
        <v>5737</v>
      </c>
      <c r="B2911" s="15" t="s">
        <v>5738</v>
      </c>
      <c r="C2911" s="16">
        <f>397/(1+B2)</f>
        <v>397</v>
      </c>
      <c r="D2911" s="17" t="s">
        <v>11</v>
      </c>
      <c r="E2911" s="17" t="s">
        <v>53</v>
      </c>
      <c r="F2911" s="18"/>
      <c r="G2911" s="36" t="str">
        <f>IF(ISNUMBER(F2911),C2911*F2911,"")</f>
        <v/>
      </c>
    </row>
    <row r="2912" spans="1:7" ht="12" customHeight="1" outlineLevel="2" x14ac:dyDescent="0.2">
      <c r="A2912" s="14" t="s">
        <v>5739</v>
      </c>
      <c r="B2912" s="15" t="s">
        <v>5740</v>
      </c>
      <c r="C2912" s="16">
        <f>561.74/(1+B2)</f>
        <v>561.74</v>
      </c>
      <c r="D2912" s="17" t="s">
        <v>11</v>
      </c>
      <c r="E2912" s="17" t="s">
        <v>11</v>
      </c>
      <c r="F2912" s="18"/>
      <c r="G2912" s="36" t="str">
        <f>IF(ISNUMBER(F2912),C2912*F2912,"")</f>
        <v/>
      </c>
    </row>
    <row r="2913" spans="1:7" ht="24" customHeight="1" outlineLevel="2" x14ac:dyDescent="0.2">
      <c r="A2913" s="14" t="s">
        <v>5741</v>
      </c>
      <c r="B2913" s="15" t="s">
        <v>5742</v>
      </c>
      <c r="C2913" s="16">
        <f>504.6/(1+B2)</f>
        <v>504.6</v>
      </c>
      <c r="D2913" s="17" t="s">
        <v>11</v>
      </c>
      <c r="E2913" s="17" t="s">
        <v>11</v>
      </c>
      <c r="F2913" s="18"/>
      <c r="G2913" s="36" t="str">
        <f>IF(ISNUMBER(F2913),C2913*F2913,"")</f>
        <v/>
      </c>
    </row>
    <row r="2914" spans="1:7" ht="12" customHeight="1" outlineLevel="2" x14ac:dyDescent="0.2">
      <c r="A2914" s="14" t="s">
        <v>5743</v>
      </c>
      <c r="B2914" s="15" t="s">
        <v>5744</v>
      </c>
      <c r="C2914" s="16">
        <f>188.71/(1+B2)</f>
        <v>188.71</v>
      </c>
      <c r="D2914" s="17" t="s">
        <v>11</v>
      </c>
      <c r="E2914" s="17"/>
      <c r="F2914" s="18"/>
      <c r="G2914" s="36" t="str">
        <f>IF(ISNUMBER(F2914),C2914*F2914,"")</f>
        <v/>
      </c>
    </row>
    <row r="2915" spans="1:7" ht="24" customHeight="1" outlineLevel="2" x14ac:dyDescent="0.2">
      <c r="A2915" s="14" t="s">
        <v>5745</v>
      </c>
      <c r="B2915" s="15" t="s">
        <v>5746</v>
      </c>
      <c r="C2915" s="16">
        <f>343.14/(1+B2)</f>
        <v>343.14</v>
      </c>
      <c r="D2915" s="17" t="s">
        <v>11</v>
      </c>
      <c r="E2915" s="17"/>
      <c r="F2915" s="18"/>
      <c r="G2915" s="36" t="str">
        <f>IF(ISNUMBER(F2915),C2915*F2915,"")</f>
        <v/>
      </c>
    </row>
    <row r="2916" spans="1:7" s="1" customFormat="1" ht="15.95" customHeight="1" outlineLevel="1" x14ac:dyDescent="0.25">
      <c r="A2916" s="11"/>
      <c r="B2916" s="12" t="s">
        <v>5747</v>
      </c>
      <c r="C2916" s="13"/>
      <c r="D2916" s="13"/>
      <c r="E2916" s="13"/>
      <c r="F2916" s="13"/>
      <c r="G2916" s="35"/>
    </row>
    <row r="2917" spans="1:7" ht="12" customHeight="1" outlineLevel="2" x14ac:dyDescent="0.2">
      <c r="A2917" s="14" t="s">
        <v>5748</v>
      </c>
      <c r="B2917" s="15" t="s">
        <v>5749</v>
      </c>
      <c r="C2917" s="16">
        <f>85.64/(1+B2)</f>
        <v>85.64</v>
      </c>
      <c r="D2917" s="17" t="s">
        <v>11</v>
      </c>
      <c r="E2917" s="17"/>
      <c r="F2917" s="18"/>
      <c r="G2917" s="36" t="str">
        <f>IF(ISNUMBER(F2917),C2917*F2917,"")</f>
        <v/>
      </c>
    </row>
    <row r="2918" spans="1:7" ht="12" customHeight="1" outlineLevel="2" x14ac:dyDescent="0.2">
      <c r="A2918" s="14" t="s">
        <v>5750</v>
      </c>
      <c r="B2918" s="15" t="s">
        <v>5751</v>
      </c>
      <c r="C2918" s="16">
        <f>102.77/(1+B2)</f>
        <v>102.77</v>
      </c>
      <c r="D2918" s="17" t="s">
        <v>11</v>
      </c>
      <c r="E2918" s="17"/>
      <c r="F2918" s="18"/>
      <c r="G2918" s="36" t="str">
        <f>IF(ISNUMBER(F2918),C2918*F2918,"")</f>
        <v/>
      </c>
    </row>
    <row r="2919" spans="1:7" ht="12" customHeight="1" outlineLevel="2" x14ac:dyDescent="0.2">
      <c r="A2919" s="14" t="s">
        <v>5752</v>
      </c>
      <c r="B2919" s="15" t="s">
        <v>5753</v>
      </c>
      <c r="C2919" s="16">
        <f>366.36/(1+B2)</f>
        <v>366.36</v>
      </c>
      <c r="D2919" s="17" t="s">
        <v>11</v>
      </c>
      <c r="E2919" s="17" t="s">
        <v>53</v>
      </c>
      <c r="F2919" s="18"/>
      <c r="G2919" s="36" t="str">
        <f>IF(ISNUMBER(F2919),C2919*F2919,"")</f>
        <v/>
      </c>
    </row>
    <row r="2920" spans="1:7" ht="12" customHeight="1" outlineLevel="2" x14ac:dyDescent="0.2">
      <c r="A2920" s="14" t="s">
        <v>5754</v>
      </c>
      <c r="B2920" s="15" t="s">
        <v>5755</v>
      </c>
      <c r="C2920" s="16">
        <f>323.6/(1+B2)</f>
        <v>323.60000000000002</v>
      </c>
      <c r="D2920" s="17" t="s">
        <v>11</v>
      </c>
      <c r="E2920" s="17"/>
      <c r="F2920" s="18"/>
      <c r="G2920" s="36" t="str">
        <f>IF(ISNUMBER(F2920),C2920*F2920,"")</f>
        <v/>
      </c>
    </row>
    <row r="2921" spans="1:7" ht="24" customHeight="1" outlineLevel="2" x14ac:dyDescent="0.2">
      <c r="A2921" s="14" t="s">
        <v>5756</v>
      </c>
      <c r="B2921" s="15" t="s">
        <v>5757</v>
      </c>
      <c r="C2921" s="16">
        <f>51.25/(1+B2)</f>
        <v>51.25</v>
      </c>
      <c r="D2921" s="17" t="s">
        <v>53</v>
      </c>
      <c r="E2921" s="17" t="s">
        <v>11</v>
      </c>
      <c r="F2921" s="18"/>
      <c r="G2921" s="36" t="str">
        <f>IF(ISNUMBER(F2921),C2921*F2921,"")</f>
        <v/>
      </c>
    </row>
    <row r="2922" spans="1:7" ht="24" customHeight="1" outlineLevel="2" x14ac:dyDescent="0.2">
      <c r="A2922" s="14" t="s">
        <v>5758</v>
      </c>
      <c r="B2922" s="15" t="s">
        <v>5759</v>
      </c>
      <c r="C2922" s="16">
        <f>588.08/(1+B2)</f>
        <v>588.08000000000004</v>
      </c>
      <c r="D2922" s="17" t="s">
        <v>11</v>
      </c>
      <c r="E2922" s="17"/>
      <c r="F2922" s="18"/>
      <c r="G2922" s="36" t="str">
        <f>IF(ISNUMBER(F2922),C2922*F2922,"")</f>
        <v/>
      </c>
    </row>
    <row r="2923" spans="1:7" ht="24" customHeight="1" outlineLevel="2" x14ac:dyDescent="0.2">
      <c r="A2923" s="14" t="s">
        <v>5760</v>
      </c>
      <c r="B2923" s="15" t="s">
        <v>5761</v>
      </c>
      <c r="C2923" s="16">
        <f>439.25/(1+B2)</f>
        <v>439.25</v>
      </c>
      <c r="D2923" s="17" t="s">
        <v>11</v>
      </c>
      <c r="E2923" s="17"/>
      <c r="F2923" s="18"/>
      <c r="G2923" s="36" t="str">
        <f>IF(ISNUMBER(F2923),C2923*F2923,"")</f>
        <v/>
      </c>
    </row>
    <row r="2924" spans="1:7" ht="24" customHeight="1" outlineLevel="2" x14ac:dyDescent="0.2">
      <c r="A2924" s="14" t="s">
        <v>5762</v>
      </c>
      <c r="B2924" s="15" t="s">
        <v>5763</v>
      </c>
      <c r="C2924" s="16">
        <f>256.25/(1+B2)</f>
        <v>256.25</v>
      </c>
      <c r="D2924" s="17" t="s">
        <v>11</v>
      </c>
      <c r="E2924" s="17" t="s">
        <v>14</v>
      </c>
      <c r="F2924" s="18"/>
      <c r="G2924" s="36" t="str">
        <f>IF(ISNUMBER(F2924),C2924*F2924,"")</f>
        <v/>
      </c>
    </row>
    <row r="2925" spans="1:7" ht="24" customHeight="1" outlineLevel="2" x14ac:dyDescent="0.2">
      <c r="A2925" s="14" t="s">
        <v>5764</v>
      </c>
      <c r="B2925" s="15" t="s">
        <v>5765</v>
      </c>
      <c r="C2925" s="16">
        <f>433.93/(1+B2)</f>
        <v>433.93</v>
      </c>
      <c r="D2925" s="17" t="s">
        <v>11</v>
      </c>
      <c r="E2925" s="17" t="s">
        <v>14</v>
      </c>
      <c r="F2925" s="18"/>
      <c r="G2925" s="36" t="str">
        <f>IF(ISNUMBER(F2925),C2925*F2925,"")</f>
        <v/>
      </c>
    </row>
    <row r="2926" spans="1:7" ht="24" customHeight="1" outlineLevel="2" x14ac:dyDescent="0.2">
      <c r="A2926" s="14" t="s">
        <v>5766</v>
      </c>
      <c r="B2926" s="15" t="s">
        <v>5767</v>
      </c>
      <c r="C2926" s="16">
        <f>108.48/(1+B2)</f>
        <v>108.48</v>
      </c>
      <c r="D2926" s="17" t="s">
        <v>11</v>
      </c>
      <c r="E2926" s="17" t="s">
        <v>11</v>
      </c>
      <c r="F2926" s="18"/>
      <c r="G2926" s="36" t="str">
        <f>IF(ISNUMBER(F2926),C2926*F2926,"")</f>
        <v/>
      </c>
    </row>
    <row r="2927" spans="1:7" ht="24" customHeight="1" outlineLevel="2" x14ac:dyDescent="0.2">
      <c r="A2927" s="14" t="s">
        <v>5768</v>
      </c>
      <c r="B2927" s="15" t="s">
        <v>5769</v>
      </c>
      <c r="C2927" s="16">
        <f>97.07/(1+B2)</f>
        <v>97.07</v>
      </c>
      <c r="D2927" s="17" t="s">
        <v>11</v>
      </c>
      <c r="E2927" s="17" t="s">
        <v>11</v>
      </c>
      <c r="F2927" s="18"/>
      <c r="G2927" s="36" t="str">
        <f>IF(ISNUMBER(F2927),C2927*F2927,"")</f>
        <v/>
      </c>
    </row>
    <row r="2928" spans="1:7" ht="24" customHeight="1" outlineLevel="2" x14ac:dyDescent="0.2">
      <c r="A2928" s="14" t="s">
        <v>5770</v>
      </c>
      <c r="B2928" s="15" t="s">
        <v>5771</v>
      </c>
      <c r="C2928" s="16">
        <f>116.47/(1+B2)</f>
        <v>116.47</v>
      </c>
      <c r="D2928" s="17" t="s">
        <v>11</v>
      </c>
      <c r="E2928" s="17"/>
      <c r="F2928" s="18"/>
      <c r="G2928" s="36" t="str">
        <f>IF(ISNUMBER(F2928),C2928*F2928,"")</f>
        <v/>
      </c>
    </row>
    <row r="2929" spans="1:7" ht="24" customHeight="1" outlineLevel="2" x14ac:dyDescent="0.2">
      <c r="A2929" s="14" t="s">
        <v>5772</v>
      </c>
      <c r="B2929" s="15" t="s">
        <v>5773</v>
      </c>
      <c r="C2929" s="16">
        <f>211.54/(1+B2)</f>
        <v>211.54</v>
      </c>
      <c r="D2929" s="17" t="s">
        <v>53</v>
      </c>
      <c r="E2929" s="17" t="s">
        <v>11</v>
      </c>
      <c r="F2929" s="18"/>
      <c r="G2929" s="36" t="str">
        <f>IF(ISNUMBER(F2929),C2929*F2929,"")</f>
        <v/>
      </c>
    </row>
    <row r="2930" spans="1:7" ht="24" customHeight="1" outlineLevel="2" x14ac:dyDescent="0.2">
      <c r="A2930" s="14" t="s">
        <v>5774</v>
      </c>
      <c r="B2930" s="15" t="s">
        <v>5775</v>
      </c>
      <c r="C2930" s="16">
        <f>262.64/(1+B2)</f>
        <v>262.64</v>
      </c>
      <c r="D2930" s="17" t="s">
        <v>53</v>
      </c>
      <c r="E2930" s="17" t="s">
        <v>11</v>
      </c>
      <c r="F2930" s="18"/>
      <c r="G2930" s="36" t="str">
        <f>IF(ISNUMBER(F2930),C2930*F2930,"")</f>
        <v/>
      </c>
    </row>
    <row r="2931" spans="1:7" ht="24" customHeight="1" outlineLevel="2" x14ac:dyDescent="0.2">
      <c r="A2931" s="14" t="s">
        <v>5776</v>
      </c>
      <c r="B2931" s="15" t="s">
        <v>5777</v>
      </c>
      <c r="C2931" s="16">
        <f>171.29/(1+B2)</f>
        <v>171.29</v>
      </c>
      <c r="D2931" s="17" t="s">
        <v>11</v>
      </c>
      <c r="E2931" s="17" t="s">
        <v>14</v>
      </c>
      <c r="F2931" s="18"/>
      <c r="G2931" s="36" t="str">
        <f>IF(ISNUMBER(F2931),C2931*F2931,"")</f>
        <v/>
      </c>
    </row>
    <row r="2932" spans="1:7" ht="24" customHeight="1" outlineLevel="2" x14ac:dyDescent="0.2">
      <c r="A2932" s="14" t="s">
        <v>5778</v>
      </c>
      <c r="B2932" s="15" t="s">
        <v>5779</v>
      </c>
      <c r="C2932" s="16">
        <f>171.29/(1+B2)</f>
        <v>171.29</v>
      </c>
      <c r="D2932" s="17" t="s">
        <v>14</v>
      </c>
      <c r="E2932" s="17"/>
      <c r="F2932" s="18"/>
      <c r="G2932" s="36" t="str">
        <f>IF(ISNUMBER(F2932),C2932*F2932,"")</f>
        <v/>
      </c>
    </row>
    <row r="2933" spans="1:7" ht="24" customHeight="1" outlineLevel="2" x14ac:dyDescent="0.2">
      <c r="A2933" s="14" t="s">
        <v>5780</v>
      </c>
      <c r="B2933" s="15" t="s">
        <v>5781</v>
      </c>
      <c r="C2933" s="16">
        <f>241.21/(1+B2)</f>
        <v>241.21</v>
      </c>
      <c r="D2933" s="17" t="s">
        <v>11</v>
      </c>
      <c r="E2933" s="17" t="s">
        <v>11</v>
      </c>
      <c r="F2933" s="18"/>
      <c r="G2933" s="36" t="str">
        <f>IF(ISNUMBER(F2933),C2933*F2933,"")</f>
        <v/>
      </c>
    </row>
    <row r="2934" spans="1:7" ht="12" customHeight="1" outlineLevel="2" x14ac:dyDescent="0.2">
      <c r="A2934" s="14" t="s">
        <v>5782</v>
      </c>
      <c r="B2934" s="15" t="s">
        <v>5783</v>
      </c>
      <c r="C2934" s="16">
        <f>343.35/(1+B2)</f>
        <v>343.35</v>
      </c>
      <c r="D2934" s="17" t="s">
        <v>11</v>
      </c>
      <c r="E2934" s="17"/>
      <c r="F2934" s="18"/>
      <c r="G2934" s="36" t="str">
        <f>IF(ISNUMBER(F2934),C2934*F2934,"")</f>
        <v/>
      </c>
    </row>
    <row r="2935" spans="1:7" s="1" customFormat="1" ht="15.95" customHeight="1" x14ac:dyDescent="0.25">
      <c r="A2935" s="8"/>
      <c r="B2935" s="9" t="s">
        <v>5784</v>
      </c>
      <c r="C2935" s="10"/>
      <c r="D2935" s="10"/>
      <c r="E2935" s="10"/>
      <c r="F2935" s="10"/>
      <c r="G2935" s="34"/>
    </row>
    <row r="2936" spans="1:7" s="1" customFormat="1" ht="15.95" customHeight="1" outlineLevel="1" x14ac:dyDescent="0.25">
      <c r="A2936" s="11"/>
      <c r="B2936" s="12" t="s">
        <v>5785</v>
      </c>
      <c r="C2936" s="13"/>
      <c r="D2936" s="13"/>
      <c r="E2936" s="13"/>
      <c r="F2936" s="13"/>
      <c r="G2936" s="35"/>
    </row>
    <row r="2937" spans="1:7" s="1" customFormat="1" ht="12.95" customHeight="1" outlineLevel="2" x14ac:dyDescent="0.2">
      <c r="A2937" s="20"/>
      <c r="B2937" s="21" t="s">
        <v>5786</v>
      </c>
      <c r="C2937" s="22"/>
      <c r="D2937" s="22"/>
      <c r="E2937" s="22"/>
      <c r="F2937" s="22"/>
      <c r="G2937" s="37"/>
    </row>
    <row r="2938" spans="1:7" ht="12" customHeight="1" outlineLevel="3" x14ac:dyDescent="0.2">
      <c r="A2938" s="14" t="s">
        <v>5787</v>
      </c>
      <c r="B2938" s="15" t="s">
        <v>5788</v>
      </c>
      <c r="C2938" s="16">
        <f>578.86/(1+B2)</f>
        <v>578.86</v>
      </c>
      <c r="D2938" s="17" t="s">
        <v>11</v>
      </c>
      <c r="E2938" s="17"/>
      <c r="F2938" s="18"/>
      <c r="G2938" s="36" t="str">
        <f>IF(ISNUMBER(F2938),C2938*F2938,"")</f>
        <v/>
      </c>
    </row>
    <row r="2939" spans="1:7" ht="12" customHeight="1" outlineLevel="3" x14ac:dyDescent="0.2">
      <c r="A2939" s="14" t="s">
        <v>5789</v>
      </c>
      <c r="B2939" s="15" t="s">
        <v>5790</v>
      </c>
      <c r="C2939" s="16">
        <f>630/(1+B2)</f>
        <v>630</v>
      </c>
      <c r="D2939" s="17" t="s">
        <v>11</v>
      </c>
      <c r="E2939" s="17"/>
      <c r="F2939" s="18"/>
      <c r="G2939" s="36" t="str">
        <f>IF(ISNUMBER(F2939),C2939*F2939,"")</f>
        <v/>
      </c>
    </row>
    <row r="2940" spans="1:7" ht="12" customHeight="1" outlineLevel="3" x14ac:dyDescent="0.2">
      <c r="A2940" s="14" t="s">
        <v>5791</v>
      </c>
      <c r="B2940" s="15" t="s">
        <v>5792</v>
      </c>
      <c r="C2940" s="16">
        <f>572.83/(1+B2)</f>
        <v>572.83000000000004</v>
      </c>
      <c r="D2940" s="17" t="s">
        <v>11</v>
      </c>
      <c r="E2940" s="17"/>
      <c r="F2940" s="18"/>
      <c r="G2940" s="36" t="str">
        <f>IF(ISNUMBER(F2940),C2940*F2940,"")</f>
        <v/>
      </c>
    </row>
    <row r="2941" spans="1:7" ht="24" customHeight="1" outlineLevel="3" x14ac:dyDescent="0.2">
      <c r="A2941" s="14" t="s">
        <v>5793</v>
      </c>
      <c r="B2941" s="15" t="s">
        <v>5794</v>
      </c>
      <c r="C2941" s="16">
        <f>602.32/(1+B2)</f>
        <v>602.32000000000005</v>
      </c>
      <c r="D2941" s="17" t="s">
        <v>11</v>
      </c>
      <c r="E2941" s="17"/>
      <c r="F2941" s="18"/>
      <c r="G2941" s="36" t="str">
        <f>IF(ISNUMBER(F2941),C2941*F2941,"")</f>
        <v/>
      </c>
    </row>
    <row r="2942" spans="1:7" ht="24" customHeight="1" outlineLevel="3" x14ac:dyDescent="0.2">
      <c r="A2942" s="14" t="s">
        <v>5795</v>
      </c>
      <c r="B2942" s="15" t="s">
        <v>5796</v>
      </c>
      <c r="C2942" s="16">
        <f>674.58/(1+B2)</f>
        <v>674.58</v>
      </c>
      <c r="D2942" s="17" t="s">
        <v>11</v>
      </c>
      <c r="E2942" s="17"/>
      <c r="F2942" s="18"/>
      <c r="G2942" s="36" t="str">
        <f>IF(ISNUMBER(F2942),C2942*F2942,"")</f>
        <v/>
      </c>
    </row>
    <row r="2943" spans="1:7" ht="12" customHeight="1" outlineLevel="3" x14ac:dyDescent="0.2">
      <c r="A2943" s="14" t="s">
        <v>5797</v>
      </c>
      <c r="B2943" s="15" t="s">
        <v>5798</v>
      </c>
      <c r="C2943" s="16">
        <f>403.63/(1+B2)</f>
        <v>403.63</v>
      </c>
      <c r="D2943" s="17" t="s">
        <v>11</v>
      </c>
      <c r="E2943" s="17"/>
      <c r="F2943" s="18"/>
      <c r="G2943" s="36" t="str">
        <f>IF(ISNUMBER(F2943),C2943*F2943,"")</f>
        <v/>
      </c>
    </row>
    <row r="2944" spans="1:7" ht="12" customHeight="1" outlineLevel="3" x14ac:dyDescent="0.2">
      <c r="A2944" s="14" t="s">
        <v>5799</v>
      </c>
      <c r="B2944" s="15" t="s">
        <v>5800</v>
      </c>
      <c r="C2944" s="16">
        <f>403.63/(1+B2)</f>
        <v>403.63</v>
      </c>
      <c r="D2944" s="17" t="s">
        <v>11</v>
      </c>
      <c r="E2944" s="17"/>
      <c r="F2944" s="18"/>
      <c r="G2944" s="36" t="str">
        <f>IF(ISNUMBER(F2944),C2944*F2944,"")</f>
        <v/>
      </c>
    </row>
    <row r="2945" spans="1:7" ht="24" customHeight="1" outlineLevel="3" x14ac:dyDescent="0.2">
      <c r="A2945" s="14" t="s">
        <v>5801</v>
      </c>
      <c r="B2945" s="15" t="s">
        <v>5802</v>
      </c>
      <c r="C2945" s="16">
        <f>403.63/(1+B2)</f>
        <v>403.63</v>
      </c>
      <c r="D2945" s="17" t="s">
        <v>11</v>
      </c>
      <c r="E2945" s="17"/>
      <c r="F2945" s="18"/>
      <c r="G2945" s="36" t="str">
        <f>IF(ISNUMBER(F2945),C2945*F2945,"")</f>
        <v/>
      </c>
    </row>
    <row r="2946" spans="1:7" ht="12" customHeight="1" outlineLevel="3" x14ac:dyDescent="0.2">
      <c r="A2946" s="14" t="s">
        <v>5803</v>
      </c>
      <c r="B2946" s="15" t="s">
        <v>5804</v>
      </c>
      <c r="C2946" s="19">
        <f>1167.29/(1+B2)</f>
        <v>1167.29</v>
      </c>
      <c r="D2946" s="17" t="s">
        <v>11</v>
      </c>
      <c r="E2946" s="17"/>
      <c r="F2946" s="18"/>
      <c r="G2946" s="36" t="str">
        <f>IF(ISNUMBER(F2946),C2946*F2946,"")</f>
        <v/>
      </c>
    </row>
    <row r="2947" spans="1:7" ht="24" customHeight="1" outlineLevel="3" x14ac:dyDescent="0.2">
      <c r="A2947" s="14" t="s">
        <v>5805</v>
      </c>
      <c r="B2947" s="15" t="s">
        <v>5806</v>
      </c>
      <c r="C2947" s="19">
        <f>1167.29/(1+B2)</f>
        <v>1167.29</v>
      </c>
      <c r="D2947" s="17" t="s">
        <v>11</v>
      </c>
      <c r="E2947" s="17"/>
      <c r="F2947" s="18"/>
      <c r="G2947" s="36" t="str">
        <f>IF(ISNUMBER(F2947),C2947*F2947,"")</f>
        <v/>
      </c>
    </row>
    <row r="2948" spans="1:7" ht="12" customHeight="1" outlineLevel="3" x14ac:dyDescent="0.2">
      <c r="A2948" s="14" t="s">
        <v>5807</v>
      </c>
      <c r="B2948" s="15" t="s">
        <v>5808</v>
      </c>
      <c r="C2948" s="19">
        <f>1084.57/(1+B2)</f>
        <v>1084.57</v>
      </c>
      <c r="D2948" s="17" t="s">
        <v>11</v>
      </c>
      <c r="E2948" s="17" t="s">
        <v>11</v>
      </c>
      <c r="F2948" s="18"/>
      <c r="G2948" s="36" t="str">
        <f>IF(ISNUMBER(F2948),C2948*F2948,"")</f>
        <v/>
      </c>
    </row>
    <row r="2949" spans="1:7" ht="12" customHeight="1" outlineLevel="3" x14ac:dyDescent="0.2">
      <c r="A2949" s="14" t="s">
        <v>5809</v>
      </c>
      <c r="B2949" s="15" t="s">
        <v>5810</v>
      </c>
      <c r="C2949" s="19">
        <f>1084.57/(1+B2)</f>
        <v>1084.57</v>
      </c>
      <c r="D2949" s="17" t="s">
        <v>11</v>
      </c>
      <c r="E2949" s="17"/>
      <c r="F2949" s="18"/>
      <c r="G2949" s="36" t="str">
        <f>IF(ISNUMBER(F2949),C2949*F2949,"")</f>
        <v/>
      </c>
    </row>
    <row r="2950" spans="1:7" ht="12" customHeight="1" outlineLevel="3" x14ac:dyDescent="0.2">
      <c r="A2950" s="14" t="s">
        <v>5811</v>
      </c>
      <c r="B2950" s="15" t="s">
        <v>5812</v>
      </c>
      <c r="C2950" s="19">
        <f>1167.29/(1+B2)</f>
        <v>1167.29</v>
      </c>
      <c r="D2950" s="17" t="s">
        <v>11</v>
      </c>
      <c r="E2950" s="17"/>
      <c r="F2950" s="18"/>
      <c r="G2950" s="36" t="str">
        <f>IF(ISNUMBER(F2950),C2950*F2950,"")</f>
        <v/>
      </c>
    </row>
    <row r="2951" spans="1:7" ht="12" customHeight="1" outlineLevel="3" x14ac:dyDescent="0.2">
      <c r="A2951" s="14" t="s">
        <v>5813</v>
      </c>
      <c r="B2951" s="15" t="s">
        <v>5814</v>
      </c>
      <c r="C2951" s="19">
        <f>1031.66/(1+B2)</f>
        <v>1031.6600000000001</v>
      </c>
      <c r="D2951" s="17" t="s">
        <v>11</v>
      </c>
      <c r="E2951" s="17"/>
      <c r="F2951" s="18"/>
      <c r="G2951" s="36" t="str">
        <f>IF(ISNUMBER(F2951),C2951*F2951,"")</f>
        <v/>
      </c>
    </row>
    <row r="2952" spans="1:7" ht="24" customHeight="1" outlineLevel="3" x14ac:dyDescent="0.2">
      <c r="A2952" s="14" t="s">
        <v>5815</v>
      </c>
      <c r="B2952" s="15" t="s">
        <v>5816</v>
      </c>
      <c r="C2952" s="16">
        <f>511.98/(1+B2)</f>
        <v>511.98</v>
      </c>
      <c r="D2952" s="17" t="s">
        <v>11</v>
      </c>
      <c r="E2952" s="17" t="s">
        <v>11</v>
      </c>
      <c r="F2952" s="18"/>
      <c r="G2952" s="36" t="str">
        <f>IF(ISNUMBER(F2952),C2952*F2952,"")</f>
        <v/>
      </c>
    </row>
    <row r="2953" spans="1:7" ht="12" customHeight="1" outlineLevel="3" x14ac:dyDescent="0.2">
      <c r="A2953" s="14" t="s">
        <v>5817</v>
      </c>
      <c r="B2953" s="15" t="s">
        <v>5818</v>
      </c>
      <c r="C2953" s="16">
        <f>421.34/(1+B2)</f>
        <v>421.34</v>
      </c>
      <c r="D2953" s="17" t="s">
        <v>11</v>
      </c>
      <c r="E2953" s="17"/>
      <c r="F2953" s="18"/>
      <c r="G2953" s="36" t="str">
        <f>IF(ISNUMBER(F2953),C2953*F2953,"")</f>
        <v/>
      </c>
    </row>
    <row r="2954" spans="1:7" ht="12" customHeight="1" outlineLevel="3" x14ac:dyDescent="0.2">
      <c r="A2954" s="14" t="s">
        <v>5819</v>
      </c>
      <c r="B2954" s="15" t="s">
        <v>5820</v>
      </c>
      <c r="C2954" s="16">
        <f>400.8/(1+B2)</f>
        <v>400.8</v>
      </c>
      <c r="D2954" s="17" t="s">
        <v>11</v>
      </c>
      <c r="E2954" s="17"/>
      <c r="F2954" s="18"/>
      <c r="G2954" s="36" t="str">
        <f>IF(ISNUMBER(F2954),C2954*F2954,"")</f>
        <v/>
      </c>
    </row>
    <row r="2955" spans="1:7" ht="12" customHeight="1" outlineLevel="3" x14ac:dyDescent="0.2">
      <c r="A2955" s="14" t="s">
        <v>5821</v>
      </c>
      <c r="B2955" s="15" t="s">
        <v>5822</v>
      </c>
      <c r="C2955" s="16">
        <f>454.7/(1+B2)</f>
        <v>454.7</v>
      </c>
      <c r="D2955" s="17" t="s">
        <v>11</v>
      </c>
      <c r="E2955" s="17" t="s">
        <v>11</v>
      </c>
      <c r="F2955" s="18"/>
      <c r="G2955" s="36" t="str">
        <f>IF(ISNUMBER(F2955),C2955*F2955,"")</f>
        <v/>
      </c>
    </row>
    <row r="2956" spans="1:7" ht="12" customHeight="1" outlineLevel="3" x14ac:dyDescent="0.2">
      <c r="A2956" s="14" t="s">
        <v>5823</v>
      </c>
      <c r="B2956" s="15" t="s">
        <v>5824</v>
      </c>
      <c r="C2956" s="16">
        <f>478.03/(1+B2)</f>
        <v>478.03</v>
      </c>
      <c r="D2956" s="17" t="s">
        <v>11</v>
      </c>
      <c r="E2956" s="17"/>
      <c r="F2956" s="18"/>
      <c r="G2956" s="36" t="str">
        <f>IF(ISNUMBER(F2956),C2956*F2956,"")</f>
        <v/>
      </c>
    </row>
    <row r="2957" spans="1:7" ht="12" customHeight="1" outlineLevel="3" x14ac:dyDescent="0.2">
      <c r="A2957" s="14" t="s">
        <v>5825</v>
      </c>
      <c r="B2957" s="15" t="s">
        <v>5826</v>
      </c>
      <c r="C2957" s="16">
        <f>478.03/(1+B2)</f>
        <v>478.03</v>
      </c>
      <c r="D2957" s="17" t="s">
        <v>11</v>
      </c>
      <c r="E2957" s="17"/>
      <c r="F2957" s="18"/>
      <c r="G2957" s="36" t="str">
        <f>IF(ISNUMBER(F2957),C2957*F2957,"")</f>
        <v/>
      </c>
    </row>
    <row r="2958" spans="1:7" ht="12" customHeight="1" outlineLevel="3" x14ac:dyDescent="0.2">
      <c r="A2958" s="14" t="s">
        <v>5827</v>
      </c>
      <c r="B2958" s="15" t="s">
        <v>5828</v>
      </c>
      <c r="C2958" s="16">
        <f>421.34/(1+B2)</f>
        <v>421.34</v>
      </c>
      <c r="D2958" s="17" t="s">
        <v>11</v>
      </c>
      <c r="E2958" s="17"/>
      <c r="F2958" s="18"/>
      <c r="G2958" s="36" t="str">
        <f>IF(ISNUMBER(F2958),C2958*F2958,"")</f>
        <v/>
      </c>
    </row>
    <row r="2959" spans="1:7" ht="12" customHeight="1" outlineLevel="3" x14ac:dyDescent="0.2">
      <c r="A2959" s="14" t="s">
        <v>5829</v>
      </c>
      <c r="B2959" s="15" t="s">
        <v>5830</v>
      </c>
      <c r="C2959" s="16">
        <f>400.8/(1+B2)</f>
        <v>400.8</v>
      </c>
      <c r="D2959" s="17" t="s">
        <v>11</v>
      </c>
      <c r="E2959" s="17"/>
      <c r="F2959" s="18"/>
      <c r="G2959" s="36" t="str">
        <f>IF(ISNUMBER(F2959),C2959*F2959,"")</f>
        <v/>
      </c>
    </row>
    <row r="2960" spans="1:7" ht="24" customHeight="1" outlineLevel="3" x14ac:dyDescent="0.2">
      <c r="A2960" s="14" t="s">
        <v>5831</v>
      </c>
      <c r="B2960" s="15" t="s">
        <v>5832</v>
      </c>
      <c r="C2960" s="16">
        <f>478.03/(1+B2)</f>
        <v>478.03</v>
      </c>
      <c r="D2960" s="17" t="s">
        <v>11</v>
      </c>
      <c r="E2960" s="17"/>
      <c r="F2960" s="18"/>
      <c r="G2960" s="36" t="str">
        <f>IF(ISNUMBER(F2960),C2960*F2960,"")</f>
        <v/>
      </c>
    </row>
    <row r="2961" spans="1:7" ht="24" customHeight="1" outlineLevel="3" x14ac:dyDescent="0.2">
      <c r="A2961" s="14" t="s">
        <v>5833</v>
      </c>
      <c r="B2961" s="15" t="s">
        <v>5834</v>
      </c>
      <c r="C2961" s="16">
        <f>615.89/(1+B2)</f>
        <v>615.89</v>
      </c>
      <c r="D2961" s="17" t="s">
        <v>11</v>
      </c>
      <c r="E2961" s="17"/>
      <c r="F2961" s="18"/>
      <c r="G2961" s="36" t="str">
        <f>IF(ISNUMBER(F2961),C2961*F2961,"")</f>
        <v/>
      </c>
    </row>
    <row r="2962" spans="1:7" ht="12" customHeight="1" outlineLevel="3" x14ac:dyDescent="0.2">
      <c r="A2962" s="14" t="s">
        <v>5835</v>
      </c>
      <c r="B2962" s="15" t="s">
        <v>5836</v>
      </c>
      <c r="C2962" s="16">
        <f>579.58/(1+B2)</f>
        <v>579.58000000000004</v>
      </c>
      <c r="D2962" s="17" t="s">
        <v>11</v>
      </c>
      <c r="E2962" s="17"/>
      <c r="F2962" s="18"/>
      <c r="G2962" s="36" t="str">
        <f>IF(ISNUMBER(F2962),C2962*F2962,"")</f>
        <v/>
      </c>
    </row>
    <row r="2963" spans="1:7" ht="12" customHeight="1" outlineLevel="3" x14ac:dyDescent="0.2">
      <c r="A2963" s="14" t="s">
        <v>5837</v>
      </c>
      <c r="B2963" s="15" t="s">
        <v>5838</v>
      </c>
      <c r="C2963" s="16">
        <f>579.58/(1+B2)</f>
        <v>579.58000000000004</v>
      </c>
      <c r="D2963" s="17" t="s">
        <v>11</v>
      </c>
      <c r="E2963" s="17"/>
      <c r="F2963" s="18"/>
      <c r="G2963" s="36" t="str">
        <f>IF(ISNUMBER(F2963),C2963*F2963,"")</f>
        <v/>
      </c>
    </row>
    <row r="2964" spans="1:7" ht="12" customHeight="1" outlineLevel="3" x14ac:dyDescent="0.2">
      <c r="A2964" s="14" t="s">
        <v>5839</v>
      </c>
      <c r="B2964" s="15" t="s">
        <v>5840</v>
      </c>
      <c r="C2964" s="16">
        <f>519.65/(1+B2)</f>
        <v>519.65</v>
      </c>
      <c r="D2964" s="17" t="s">
        <v>11</v>
      </c>
      <c r="E2964" s="17" t="s">
        <v>11</v>
      </c>
      <c r="F2964" s="18"/>
      <c r="G2964" s="36" t="str">
        <f>IF(ISNUMBER(F2964),C2964*F2964,"")</f>
        <v/>
      </c>
    </row>
    <row r="2965" spans="1:7" ht="12" customHeight="1" outlineLevel="3" x14ac:dyDescent="0.2">
      <c r="A2965" s="14" t="s">
        <v>5841</v>
      </c>
      <c r="B2965" s="15" t="s">
        <v>5842</v>
      </c>
      <c r="C2965" s="16">
        <f>579.58/(1+B2)</f>
        <v>579.58000000000004</v>
      </c>
      <c r="D2965" s="17" t="s">
        <v>11</v>
      </c>
      <c r="E2965" s="17"/>
      <c r="F2965" s="18"/>
      <c r="G2965" s="36" t="str">
        <f>IF(ISNUMBER(F2965),C2965*F2965,"")</f>
        <v/>
      </c>
    </row>
    <row r="2966" spans="1:7" ht="12" customHeight="1" outlineLevel="3" x14ac:dyDescent="0.2">
      <c r="A2966" s="14" t="s">
        <v>5843</v>
      </c>
      <c r="B2966" s="15" t="s">
        <v>5844</v>
      </c>
      <c r="C2966" s="16">
        <f>519.65/(1+B2)</f>
        <v>519.65</v>
      </c>
      <c r="D2966" s="17" t="s">
        <v>11</v>
      </c>
      <c r="E2966" s="17" t="s">
        <v>11</v>
      </c>
      <c r="F2966" s="18"/>
      <c r="G2966" s="36" t="str">
        <f>IF(ISNUMBER(F2966),C2966*F2966,"")</f>
        <v/>
      </c>
    </row>
    <row r="2967" spans="1:7" ht="12" customHeight="1" outlineLevel="3" x14ac:dyDescent="0.2">
      <c r="A2967" s="14" t="s">
        <v>5845</v>
      </c>
      <c r="B2967" s="15" t="s">
        <v>5846</v>
      </c>
      <c r="C2967" s="16">
        <f>519.65/(1+B2)</f>
        <v>519.65</v>
      </c>
      <c r="D2967" s="17" t="s">
        <v>11</v>
      </c>
      <c r="E2967" s="17" t="s">
        <v>11</v>
      </c>
      <c r="F2967" s="18"/>
      <c r="G2967" s="36" t="str">
        <f>IF(ISNUMBER(F2967),C2967*F2967,"")</f>
        <v/>
      </c>
    </row>
    <row r="2968" spans="1:7" ht="24" customHeight="1" outlineLevel="3" x14ac:dyDescent="0.2">
      <c r="A2968" s="14" t="s">
        <v>5847</v>
      </c>
      <c r="B2968" s="15" t="s">
        <v>5848</v>
      </c>
      <c r="C2968" s="16">
        <f>579.58/(1+B2)</f>
        <v>579.58000000000004</v>
      </c>
      <c r="D2968" s="17" t="s">
        <v>11</v>
      </c>
      <c r="E2968" s="17"/>
      <c r="F2968" s="18"/>
      <c r="G2968" s="36" t="str">
        <f>IF(ISNUMBER(F2968),C2968*F2968,"")</f>
        <v/>
      </c>
    </row>
    <row r="2969" spans="1:7" ht="12" customHeight="1" outlineLevel="3" x14ac:dyDescent="0.2">
      <c r="A2969" s="14" t="s">
        <v>5849</v>
      </c>
      <c r="B2969" s="15" t="s">
        <v>5850</v>
      </c>
      <c r="C2969" s="16">
        <f>725.7/(1+B2)</f>
        <v>725.7</v>
      </c>
      <c r="D2969" s="17" t="s">
        <v>11</v>
      </c>
      <c r="E2969" s="17"/>
      <c r="F2969" s="18"/>
      <c r="G2969" s="36" t="str">
        <f>IF(ISNUMBER(F2969),C2969*F2969,"")</f>
        <v/>
      </c>
    </row>
    <row r="2970" spans="1:7" ht="12" customHeight="1" outlineLevel="3" x14ac:dyDescent="0.2">
      <c r="A2970" s="14" t="s">
        <v>5851</v>
      </c>
      <c r="B2970" s="15" t="s">
        <v>5852</v>
      </c>
      <c r="C2970" s="16">
        <f>662.23/(1+B2)</f>
        <v>662.23</v>
      </c>
      <c r="D2970" s="17" t="s">
        <v>11</v>
      </c>
      <c r="E2970" s="17" t="s">
        <v>11</v>
      </c>
      <c r="F2970" s="18"/>
      <c r="G2970" s="36" t="str">
        <f>IF(ISNUMBER(F2970),C2970*F2970,"")</f>
        <v/>
      </c>
    </row>
    <row r="2971" spans="1:7" ht="12" customHeight="1" outlineLevel="3" x14ac:dyDescent="0.2">
      <c r="A2971" s="14" t="s">
        <v>5853</v>
      </c>
      <c r="B2971" s="15" t="s">
        <v>5854</v>
      </c>
      <c r="C2971" s="16">
        <f>725.7/(1+B2)</f>
        <v>725.7</v>
      </c>
      <c r="D2971" s="17" t="s">
        <v>11</v>
      </c>
      <c r="E2971" s="17" t="s">
        <v>11</v>
      </c>
      <c r="F2971" s="18"/>
      <c r="G2971" s="36" t="str">
        <f>IF(ISNUMBER(F2971),C2971*F2971,"")</f>
        <v/>
      </c>
    </row>
    <row r="2972" spans="1:7" ht="12" customHeight="1" outlineLevel="3" x14ac:dyDescent="0.2">
      <c r="A2972" s="14" t="s">
        <v>5855</v>
      </c>
      <c r="B2972" s="15" t="s">
        <v>5856</v>
      </c>
      <c r="C2972" s="16">
        <f>725.7/(1+B2)</f>
        <v>725.7</v>
      </c>
      <c r="D2972" s="17" t="s">
        <v>11</v>
      </c>
      <c r="E2972" s="17"/>
      <c r="F2972" s="18"/>
      <c r="G2972" s="36" t="str">
        <f>IF(ISNUMBER(F2972),C2972*F2972,"")</f>
        <v/>
      </c>
    </row>
    <row r="2973" spans="1:7" ht="12" customHeight="1" outlineLevel="3" x14ac:dyDescent="0.2">
      <c r="A2973" s="14" t="s">
        <v>5857</v>
      </c>
      <c r="B2973" s="15" t="s">
        <v>5858</v>
      </c>
      <c r="C2973" s="16">
        <f>662.23/(1+B2)</f>
        <v>662.23</v>
      </c>
      <c r="D2973" s="17" t="s">
        <v>11</v>
      </c>
      <c r="E2973" s="17"/>
      <c r="F2973" s="18"/>
      <c r="G2973" s="36" t="str">
        <f>IF(ISNUMBER(F2973),C2973*F2973,"")</f>
        <v/>
      </c>
    </row>
    <row r="2974" spans="1:7" ht="24" customHeight="1" outlineLevel="3" x14ac:dyDescent="0.2">
      <c r="A2974" s="14" t="s">
        <v>5859</v>
      </c>
      <c r="B2974" s="15" t="s">
        <v>5860</v>
      </c>
      <c r="C2974" s="16">
        <f>725.7/(1+B2)</f>
        <v>725.7</v>
      </c>
      <c r="D2974" s="17" t="s">
        <v>11</v>
      </c>
      <c r="E2974" s="17"/>
      <c r="F2974" s="18"/>
      <c r="G2974" s="36" t="str">
        <f>IF(ISNUMBER(F2974),C2974*F2974,"")</f>
        <v/>
      </c>
    </row>
    <row r="2975" spans="1:7" ht="24" customHeight="1" outlineLevel="3" x14ac:dyDescent="0.2">
      <c r="A2975" s="14" t="s">
        <v>5861</v>
      </c>
      <c r="B2975" s="15" t="s">
        <v>5862</v>
      </c>
      <c r="C2975" s="16">
        <f>958.42/(1+B2)</f>
        <v>958.42</v>
      </c>
      <c r="D2975" s="17" t="s">
        <v>11</v>
      </c>
      <c r="E2975" s="17"/>
      <c r="F2975" s="18"/>
      <c r="G2975" s="36" t="str">
        <f>IF(ISNUMBER(F2975),C2975*F2975,"")</f>
        <v/>
      </c>
    </row>
    <row r="2976" spans="1:7" ht="12" customHeight="1" outlineLevel="3" x14ac:dyDescent="0.2">
      <c r="A2976" s="14" t="s">
        <v>5863</v>
      </c>
      <c r="B2976" s="15" t="s">
        <v>5864</v>
      </c>
      <c r="C2976" s="16">
        <f>853.92/(1+B2)</f>
        <v>853.92</v>
      </c>
      <c r="D2976" s="17" t="s">
        <v>11</v>
      </c>
      <c r="E2976" s="17"/>
      <c r="F2976" s="18"/>
      <c r="G2976" s="36" t="str">
        <f>IF(ISNUMBER(F2976),C2976*F2976,"")</f>
        <v/>
      </c>
    </row>
    <row r="2977" spans="1:7" ht="24" customHeight="1" outlineLevel="3" x14ac:dyDescent="0.2">
      <c r="A2977" s="14" t="s">
        <v>5865</v>
      </c>
      <c r="B2977" s="15" t="s">
        <v>5866</v>
      </c>
      <c r="C2977" s="16">
        <f>936.18/(1+B2)</f>
        <v>936.18</v>
      </c>
      <c r="D2977" s="17" t="s">
        <v>11</v>
      </c>
      <c r="E2977" s="17"/>
      <c r="F2977" s="18"/>
      <c r="G2977" s="36" t="str">
        <f>IF(ISNUMBER(F2977),C2977*F2977,"")</f>
        <v/>
      </c>
    </row>
    <row r="2978" spans="1:7" ht="12" customHeight="1" outlineLevel="3" x14ac:dyDescent="0.2">
      <c r="A2978" s="14" t="s">
        <v>5867</v>
      </c>
      <c r="B2978" s="15" t="s">
        <v>5868</v>
      </c>
      <c r="C2978" s="16">
        <f>897.71/(1+B2)</f>
        <v>897.71</v>
      </c>
      <c r="D2978" s="17" t="s">
        <v>11</v>
      </c>
      <c r="E2978" s="17"/>
      <c r="F2978" s="18"/>
      <c r="G2978" s="36" t="str">
        <f>IF(ISNUMBER(F2978),C2978*F2978,"")</f>
        <v/>
      </c>
    </row>
    <row r="2979" spans="1:7" ht="12" customHeight="1" outlineLevel="3" x14ac:dyDescent="0.2">
      <c r="A2979" s="14" t="s">
        <v>5869</v>
      </c>
      <c r="B2979" s="15" t="s">
        <v>5870</v>
      </c>
      <c r="C2979" s="16">
        <f>764.77/(1+B2)</f>
        <v>764.77</v>
      </c>
      <c r="D2979" s="17" t="s">
        <v>11</v>
      </c>
      <c r="E2979" s="17"/>
      <c r="F2979" s="18"/>
      <c r="G2979" s="36" t="str">
        <f>IF(ISNUMBER(F2979),C2979*F2979,"")</f>
        <v/>
      </c>
    </row>
    <row r="2980" spans="1:7" ht="12" customHeight="1" outlineLevel="3" x14ac:dyDescent="0.2">
      <c r="A2980" s="14" t="s">
        <v>5871</v>
      </c>
      <c r="B2980" s="15" t="s">
        <v>5872</v>
      </c>
      <c r="C2980" s="16">
        <f>764.77/(1+B2)</f>
        <v>764.77</v>
      </c>
      <c r="D2980" s="17" t="s">
        <v>11</v>
      </c>
      <c r="E2980" s="17"/>
      <c r="F2980" s="18"/>
      <c r="G2980" s="36" t="str">
        <f>IF(ISNUMBER(F2980),C2980*F2980,"")</f>
        <v/>
      </c>
    </row>
    <row r="2981" spans="1:7" ht="24" customHeight="1" outlineLevel="3" x14ac:dyDescent="0.2">
      <c r="A2981" s="14" t="s">
        <v>5873</v>
      </c>
      <c r="B2981" s="15" t="s">
        <v>5874</v>
      </c>
      <c r="C2981" s="16">
        <f>962.45/(1+B2)</f>
        <v>962.45</v>
      </c>
      <c r="D2981" s="17" t="s">
        <v>11</v>
      </c>
      <c r="E2981" s="17"/>
      <c r="F2981" s="18"/>
      <c r="G2981" s="36" t="str">
        <f>IF(ISNUMBER(F2981),C2981*F2981,"")</f>
        <v/>
      </c>
    </row>
    <row r="2982" spans="1:7" ht="24" customHeight="1" outlineLevel="3" x14ac:dyDescent="0.2">
      <c r="A2982" s="14" t="s">
        <v>5875</v>
      </c>
      <c r="B2982" s="15" t="s">
        <v>5876</v>
      </c>
      <c r="C2982" s="16">
        <f>962.45/(1+B2)</f>
        <v>962.45</v>
      </c>
      <c r="D2982" s="17" t="s">
        <v>11</v>
      </c>
      <c r="E2982" s="17"/>
      <c r="F2982" s="18"/>
      <c r="G2982" s="36" t="str">
        <f>IF(ISNUMBER(F2982),C2982*F2982,"")</f>
        <v/>
      </c>
    </row>
    <row r="2983" spans="1:7" s="1" customFormat="1" ht="12.95" customHeight="1" outlineLevel="2" x14ac:dyDescent="0.2">
      <c r="A2983" s="20"/>
      <c r="B2983" s="21" t="s">
        <v>5877</v>
      </c>
      <c r="C2983" s="22"/>
      <c r="D2983" s="22"/>
      <c r="E2983" s="22"/>
      <c r="F2983" s="22"/>
      <c r="G2983" s="37"/>
    </row>
    <row r="2984" spans="1:7" ht="12" customHeight="1" outlineLevel="3" x14ac:dyDescent="0.2">
      <c r="A2984" s="14" t="s">
        <v>5878</v>
      </c>
      <c r="B2984" s="15" t="s">
        <v>5879</v>
      </c>
      <c r="C2984" s="19">
        <f>1287.32/(1+B2)</f>
        <v>1287.32</v>
      </c>
      <c r="D2984" s="17" t="s">
        <v>11</v>
      </c>
      <c r="E2984" s="17"/>
      <c r="F2984" s="18"/>
      <c r="G2984" s="36" t="str">
        <f>IF(ISNUMBER(F2984),C2984*F2984,"")</f>
        <v/>
      </c>
    </row>
    <row r="2985" spans="1:7" ht="12" customHeight="1" outlineLevel="3" x14ac:dyDescent="0.2">
      <c r="A2985" s="14" t="s">
        <v>5880</v>
      </c>
      <c r="B2985" s="15" t="s">
        <v>5881</v>
      </c>
      <c r="C2985" s="19">
        <f>1386.68/(1+B2)</f>
        <v>1386.68</v>
      </c>
      <c r="D2985" s="17" t="s">
        <v>11</v>
      </c>
      <c r="E2985" s="17"/>
      <c r="F2985" s="18"/>
      <c r="G2985" s="36" t="str">
        <f>IF(ISNUMBER(F2985),C2985*F2985,"")</f>
        <v/>
      </c>
    </row>
    <row r="2986" spans="1:7" ht="12" customHeight="1" outlineLevel="3" x14ac:dyDescent="0.2">
      <c r="A2986" s="14" t="s">
        <v>5882</v>
      </c>
      <c r="B2986" s="15" t="s">
        <v>5883</v>
      </c>
      <c r="C2986" s="19">
        <f>1235.01/(1+B2)</f>
        <v>1235.01</v>
      </c>
      <c r="D2986" s="17" t="s">
        <v>11</v>
      </c>
      <c r="E2986" s="17"/>
      <c r="F2986" s="18"/>
      <c r="G2986" s="36" t="str">
        <f>IF(ISNUMBER(F2986),C2986*F2986,"")</f>
        <v/>
      </c>
    </row>
    <row r="2987" spans="1:7" ht="12" customHeight="1" outlineLevel="3" x14ac:dyDescent="0.2">
      <c r="A2987" s="14" t="s">
        <v>5884</v>
      </c>
      <c r="B2987" s="15" t="s">
        <v>5885</v>
      </c>
      <c r="C2987" s="19">
        <f>1700.77/(1+B2)</f>
        <v>1700.77</v>
      </c>
      <c r="D2987" s="17" t="s">
        <v>11</v>
      </c>
      <c r="E2987" s="17"/>
      <c r="F2987" s="18"/>
      <c r="G2987" s="36" t="str">
        <f>IF(ISNUMBER(F2987),C2987*F2987,"")</f>
        <v/>
      </c>
    </row>
    <row r="2988" spans="1:7" ht="24" customHeight="1" outlineLevel="3" x14ac:dyDescent="0.2">
      <c r="A2988" s="14" t="s">
        <v>5886</v>
      </c>
      <c r="B2988" s="15" t="s">
        <v>5887</v>
      </c>
      <c r="C2988" s="19">
        <f>2036.39/(1+B2)</f>
        <v>2036.39</v>
      </c>
      <c r="D2988" s="17" t="s">
        <v>11</v>
      </c>
      <c r="E2988" s="17"/>
      <c r="F2988" s="18"/>
      <c r="G2988" s="36" t="str">
        <f>IF(ISNUMBER(F2988),C2988*F2988,"")</f>
        <v/>
      </c>
    </row>
    <row r="2989" spans="1:7" ht="24" customHeight="1" outlineLevel="3" x14ac:dyDescent="0.2">
      <c r="A2989" s="14" t="s">
        <v>5888</v>
      </c>
      <c r="B2989" s="15" t="s">
        <v>5889</v>
      </c>
      <c r="C2989" s="19">
        <f>2287.41/(1+B2)</f>
        <v>2287.41</v>
      </c>
      <c r="D2989" s="17" t="s">
        <v>11</v>
      </c>
      <c r="E2989" s="17"/>
      <c r="F2989" s="18"/>
      <c r="G2989" s="36" t="str">
        <f>IF(ISNUMBER(F2989),C2989*F2989,"")</f>
        <v/>
      </c>
    </row>
    <row r="2990" spans="1:7" ht="12" customHeight="1" outlineLevel="3" x14ac:dyDescent="0.2">
      <c r="A2990" s="14" t="s">
        <v>5890</v>
      </c>
      <c r="B2990" s="15" t="s">
        <v>5891</v>
      </c>
      <c r="C2990" s="19">
        <f>1528.97/(1+B2)</f>
        <v>1528.97</v>
      </c>
      <c r="D2990" s="17" t="s">
        <v>11</v>
      </c>
      <c r="E2990" s="17"/>
      <c r="F2990" s="18"/>
      <c r="G2990" s="36" t="str">
        <f>IF(ISNUMBER(F2990),C2990*F2990,"")</f>
        <v/>
      </c>
    </row>
    <row r="2991" spans="1:7" ht="12" customHeight="1" outlineLevel="3" x14ac:dyDescent="0.2">
      <c r="A2991" s="14" t="s">
        <v>5892</v>
      </c>
      <c r="B2991" s="15" t="s">
        <v>5893</v>
      </c>
      <c r="C2991" s="19">
        <f>2204.15/(1+B2)</f>
        <v>2204.15</v>
      </c>
      <c r="D2991" s="17" t="s">
        <v>11</v>
      </c>
      <c r="E2991" s="17"/>
      <c r="F2991" s="18"/>
      <c r="G2991" s="36" t="str">
        <f>IF(ISNUMBER(F2991),C2991*F2991,"")</f>
        <v/>
      </c>
    </row>
    <row r="2992" spans="1:7" ht="12" customHeight="1" outlineLevel="3" x14ac:dyDescent="0.2">
      <c r="A2992" s="14" t="s">
        <v>5894</v>
      </c>
      <c r="B2992" s="15" t="s">
        <v>5895</v>
      </c>
      <c r="C2992" s="19">
        <f>2457.85/(1+B2)</f>
        <v>2457.85</v>
      </c>
      <c r="D2992" s="17" t="s">
        <v>11</v>
      </c>
      <c r="E2992" s="17"/>
      <c r="F2992" s="18"/>
      <c r="G2992" s="36" t="str">
        <f>IF(ISNUMBER(F2992),C2992*F2992,"")</f>
        <v/>
      </c>
    </row>
    <row r="2993" spans="1:7" ht="12" customHeight="1" outlineLevel="3" x14ac:dyDescent="0.2">
      <c r="A2993" s="14" t="s">
        <v>5896</v>
      </c>
      <c r="B2993" s="15" t="s">
        <v>5897</v>
      </c>
      <c r="C2993" s="19">
        <f>1410.48/(1+B2)</f>
        <v>1410.48</v>
      </c>
      <c r="D2993" s="17" t="s">
        <v>11</v>
      </c>
      <c r="E2993" s="17"/>
      <c r="F2993" s="18"/>
      <c r="G2993" s="36" t="str">
        <f>IF(ISNUMBER(F2993),C2993*F2993,"")</f>
        <v/>
      </c>
    </row>
    <row r="2994" spans="1:7" ht="12" customHeight="1" outlineLevel="3" x14ac:dyDescent="0.2">
      <c r="A2994" s="14" t="s">
        <v>5898</v>
      </c>
      <c r="B2994" s="15" t="s">
        <v>5899</v>
      </c>
      <c r="C2994" s="19">
        <f>1617.04/(1+B2)</f>
        <v>1617.04</v>
      </c>
      <c r="D2994" s="17" t="s">
        <v>11</v>
      </c>
      <c r="E2994" s="17"/>
      <c r="F2994" s="18"/>
      <c r="G2994" s="36" t="str">
        <f>IF(ISNUMBER(F2994),C2994*F2994,"")</f>
        <v/>
      </c>
    </row>
    <row r="2995" spans="1:7" ht="12" customHeight="1" outlineLevel="3" x14ac:dyDescent="0.2">
      <c r="A2995" s="14" t="s">
        <v>5900</v>
      </c>
      <c r="B2995" s="15" t="s">
        <v>5901</v>
      </c>
      <c r="C2995" s="19">
        <f>1617.04/(1+B2)</f>
        <v>1617.04</v>
      </c>
      <c r="D2995" s="17" t="s">
        <v>11</v>
      </c>
      <c r="E2995" s="17"/>
      <c r="F2995" s="18"/>
      <c r="G2995" s="36" t="str">
        <f>IF(ISNUMBER(F2995),C2995*F2995,"")</f>
        <v/>
      </c>
    </row>
    <row r="2996" spans="1:7" ht="12" customHeight="1" outlineLevel="3" x14ac:dyDescent="0.2">
      <c r="A2996" s="14" t="s">
        <v>5902</v>
      </c>
      <c r="B2996" s="15" t="s">
        <v>5903</v>
      </c>
      <c r="C2996" s="19">
        <f>1786.37/(1+B2)</f>
        <v>1786.37</v>
      </c>
      <c r="D2996" s="17" t="s">
        <v>11</v>
      </c>
      <c r="E2996" s="17"/>
      <c r="F2996" s="18"/>
      <c r="G2996" s="36" t="str">
        <f>IF(ISNUMBER(F2996),C2996*F2996,"")</f>
        <v/>
      </c>
    </row>
    <row r="2997" spans="1:7" ht="12" customHeight="1" outlineLevel="3" x14ac:dyDescent="0.2">
      <c r="A2997" s="14" t="s">
        <v>5904</v>
      </c>
      <c r="B2997" s="15" t="s">
        <v>5905</v>
      </c>
      <c r="C2997" s="19">
        <f>2415.24/(1+B2)</f>
        <v>2415.2399999999998</v>
      </c>
      <c r="D2997" s="17" t="s">
        <v>11</v>
      </c>
      <c r="E2997" s="17"/>
      <c r="F2997" s="18"/>
      <c r="G2997" s="36" t="str">
        <f>IF(ISNUMBER(F2997),C2997*F2997,"")</f>
        <v/>
      </c>
    </row>
    <row r="2998" spans="1:7" ht="12" customHeight="1" outlineLevel="3" x14ac:dyDescent="0.2">
      <c r="A2998" s="14" t="s">
        <v>5906</v>
      </c>
      <c r="B2998" s="15" t="s">
        <v>5907</v>
      </c>
      <c r="C2998" s="19">
        <f>2856.54/(1+B2)</f>
        <v>2856.54</v>
      </c>
      <c r="D2998" s="17" t="s">
        <v>11</v>
      </c>
      <c r="E2998" s="17"/>
      <c r="F2998" s="18"/>
      <c r="G2998" s="36" t="str">
        <f>IF(ISNUMBER(F2998),C2998*F2998,"")</f>
        <v/>
      </c>
    </row>
    <row r="2999" spans="1:7" ht="12" customHeight="1" outlineLevel="3" x14ac:dyDescent="0.2">
      <c r="A2999" s="14" t="s">
        <v>5908</v>
      </c>
      <c r="B2999" s="15" t="s">
        <v>5909</v>
      </c>
      <c r="C2999" s="19">
        <f>1263.16/(1+B2)</f>
        <v>1263.1600000000001</v>
      </c>
      <c r="D2999" s="17" t="s">
        <v>11</v>
      </c>
      <c r="E2999" s="17"/>
      <c r="F2999" s="18"/>
      <c r="G2999" s="36" t="str">
        <f>IF(ISNUMBER(F2999),C2999*F2999,"")</f>
        <v/>
      </c>
    </row>
    <row r="3000" spans="1:7" ht="12" customHeight="1" outlineLevel="3" x14ac:dyDescent="0.2">
      <c r="A3000" s="14" t="s">
        <v>5910</v>
      </c>
      <c r="B3000" s="15" t="s">
        <v>5911</v>
      </c>
      <c r="C3000" s="16">
        <f>875.48/(1+B2)</f>
        <v>875.48</v>
      </c>
      <c r="D3000" s="17" t="s">
        <v>11</v>
      </c>
      <c r="E3000" s="17"/>
      <c r="F3000" s="18"/>
      <c r="G3000" s="36" t="str">
        <f>IF(ISNUMBER(F3000),C3000*F3000,"")</f>
        <v/>
      </c>
    </row>
    <row r="3001" spans="1:7" ht="12" customHeight="1" outlineLevel="3" x14ac:dyDescent="0.2">
      <c r="A3001" s="14" t="s">
        <v>5912</v>
      </c>
      <c r="B3001" s="15" t="s">
        <v>5913</v>
      </c>
      <c r="C3001" s="19">
        <f>1230.97/(1+B2)</f>
        <v>1230.97</v>
      </c>
      <c r="D3001" s="17" t="s">
        <v>11</v>
      </c>
      <c r="E3001" s="17"/>
      <c r="F3001" s="18"/>
      <c r="G3001" s="36" t="str">
        <f>IF(ISNUMBER(F3001),C3001*F3001,"")</f>
        <v/>
      </c>
    </row>
    <row r="3002" spans="1:7" ht="12" customHeight="1" outlineLevel="3" x14ac:dyDescent="0.2">
      <c r="A3002" s="14" t="s">
        <v>5914</v>
      </c>
      <c r="B3002" s="15" t="s">
        <v>5915</v>
      </c>
      <c r="C3002" s="19">
        <f>1404.1/(1+B2)</f>
        <v>1404.1</v>
      </c>
      <c r="D3002" s="17" t="s">
        <v>11</v>
      </c>
      <c r="E3002" s="17"/>
      <c r="F3002" s="18"/>
      <c r="G3002" s="36" t="str">
        <f>IF(ISNUMBER(F3002),C3002*F3002,"")</f>
        <v/>
      </c>
    </row>
    <row r="3003" spans="1:7" ht="12" customHeight="1" outlineLevel="3" x14ac:dyDescent="0.2">
      <c r="A3003" s="14" t="s">
        <v>5916</v>
      </c>
      <c r="B3003" s="15" t="s">
        <v>5917</v>
      </c>
      <c r="C3003" s="19">
        <f>1191.6/(1+B2)</f>
        <v>1191.5999999999999</v>
      </c>
      <c r="D3003" s="17" t="s">
        <v>11</v>
      </c>
      <c r="E3003" s="17"/>
      <c r="F3003" s="18"/>
      <c r="G3003" s="36" t="str">
        <f>IF(ISNUMBER(F3003),C3003*F3003,"")</f>
        <v/>
      </c>
    </row>
    <row r="3004" spans="1:7" ht="12" customHeight="1" outlineLevel="3" x14ac:dyDescent="0.2">
      <c r="A3004" s="14" t="s">
        <v>5918</v>
      </c>
      <c r="B3004" s="15" t="s">
        <v>5919</v>
      </c>
      <c r="C3004" s="19">
        <f>1360.93/(1+B2)</f>
        <v>1360.93</v>
      </c>
      <c r="D3004" s="17" t="s">
        <v>11</v>
      </c>
      <c r="E3004" s="17"/>
      <c r="F3004" s="18"/>
      <c r="G3004" s="36" t="str">
        <f>IF(ISNUMBER(F3004),C3004*F3004,"")</f>
        <v/>
      </c>
    </row>
    <row r="3005" spans="1:7" ht="12" customHeight="1" outlineLevel="3" x14ac:dyDescent="0.2">
      <c r="A3005" s="14" t="s">
        <v>5920</v>
      </c>
      <c r="B3005" s="15" t="s">
        <v>5921</v>
      </c>
      <c r="C3005" s="19">
        <f>1191.6/(1+B2)</f>
        <v>1191.5999999999999</v>
      </c>
      <c r="D3005" s="17" t="s">
        <v>11</v>
      </c>
      <c r="E3005" s="17"/>
      <c r="F3005" s="18"/>
      <c r="G3005" s="36" t="str">
        <f>IF(ISNUMBER(F3005),C3005*F3005,"")</f>
        <v/>
      </c>
    </row>
    <row r="3006" spans="1:7" ht="12" customHeight="1" outlineLevel="3" x14ac:dyDescent="0.2">
      <c r="A3006" s="14" t="s">
        <v>5922</v>
      </c>
      <c r="B3006" s="15" t="s">
        <v>5923</v>
      </c>
      <c r="C3006" s="19">
        <f>1360.93/(1+B2)</f>
        <v>1360.93</v>
      </c>
      <c r="D3006" s="17" t="s">
        <v>11</v>
      </c>
      <c r="E3006" s="17"/>
      <c r="F3006" s="18"/>
      <c r="G3006" s="36" t="str">
        <f>IF(ISNUMBER(F3006),C3006*F3006,"")</f>
        <v/>
      </c>
    </row>
    <row r="3007" spans="1:7" ht="12" customHeight="1" outlineLevel="3" x14ac:dyDescent="0.2">
      <c r="A3007" s="14" t="s">
        <v>5924</v>
      </c>
      <c r="B3007" s="15" t="s">
        <v>5925</v>
      </c>
      <c r="C3007" s="19">
        <f>1733.71/(1+B2)</f>
        <v>1733.71</v>
      </c>
      <c r="D3007" s="17" t="s">
        <v>11</v>
      </c>
      <c r="E3007" s="17"/>
      <c r="F3007" s="18"/>
      <c r="G3007" s="36" t="str">
        <f>IF(ISNUMBER(F3007),C3007*F3007,"")</f>
        <v/>
      </c>
    </row>
    <row r="3008" spans="1:7" ht="12" customHeight="1" outlineLevel="3" x14ac:dyDescent="0.2">
      <c r="A3008" s="14" t="s">
        <v>5926</v>
      </c>
      <c r="B3008" s="15" t="s">
        <v>5927</v>
      </c>
      <c r="C3008" s="19">
        <f>1191.6/(1+B2)</f>
        <v>1191.5999999999999</v>
      </c>
      <c r="D3008" s="17" t="s">
        <v>11</v>
      </c>
      <c r="E3008" s="17"/>
      <c r="F3008" s="18"/>
      <c r="G3008" s="36" t="str">
        <f>IF(ISNUMBER(F3008),C3008*F3008,"")</f>
        <v/>
      </c>
    </row>
    <row r="3009" spans="1:7" ht="12" customHeight="1" outlineLevel="3" x14ac:dyDescent="0.2">
      <c r="A3009" s="14" t="s">
        <v>5928</v>
      </c>
      <c r="B3009" s="15" t="s">
        <v>5929</v>
      </c>
      <c r="C3009" s="19">
        <f>1826.97/(1+B2)</f>
        <v>1826.97</v>
      </c>
      <c r="D3009" s="17" t="s">
        <v>11</v>
      </c>
      <c r="E3009" s="17"/>
      <c r="F3009" s="18"/>
      <c r="G3009" s="36" t="str">
        <f>IF(ISNUMBER(F3009),C3009*F3009,"")</f>
        <v/>
      </c>
    </row>
    <row r="3010" spans="1:7" ht="24" customHeight="1" outlineLevel="3" x14ac:dyDescent="0.2">
      <c r="A3010" s="14" t="s">
        <v>5930</v>
      </c>
      <c r="B3010" s="15" t="s">
        <v>5931</v>
      </c>
      <c r="C3010" s="19">
        <f>1961.2/(1+B2)</f>
        <v>1961.2</v>
      </c>
      <c r="D3010" s="17" t="s">
        <v>11</v>
      </c>
      <c r="E3010" s="17"/>
      <c r="F3010" s="18"/>
      <c r="G3010" s="36" t="str">
        <f>IF(ISNUMBER(F3010),C3010*F3010,"")</f>
        <v/>
      </c>
    </row>
    <row r="3011" spans="1:7" ht="12" customHeight="1" outlineLevel="3" x14ac:dyDescent="0.2">
      <c r="A3011" s="14" t="s">
        <v>5932</v>
      </c>
      <c r="B3011" s="15" t="s">
        <v>5933</v>
      </c>
      <c r="C3011" s="19">
        <f>1535.65/(1+B2)</f>
        <v>1535.65</v>
      </c>
      <c r="D3011" s="17" t="s">
        <v>11</v>
      </c>
      <c r="E3011" s="17"/>
      <c r="F3011" s="18"/>
      <c r="G3011" s="36" t="str">
        <f>IF(ISNUMBER(F3011),C3011*F3011,"")</f>
        <v/>
      </c>
    </row>
    <row r="3012" spans="1:7" s="1" customFormat="1" ht="12.95" customHeight="1" outlineLevel="2" x14ac:dyDescent="0.2">
      <c r="A3012" s="20"/>
      <c r="B3012" s="21" t="s">
        <v>5934</v>
      </c>
      <c r="C3012" s="22"/>
      <c r="D3012" s="22"/>
      <c r="E3012" s="22"/>
      <c r="F3012" s="22"/>
      <c r="G3012" s="37"/>
    </row>
    <row r="3013" spans="1:7" ht="12" customHeight="1" outlineLevel="3" x14ac:dyDescent="0.2">
      <c r="A3013" s="14" t="s">
        <v>5935</v>
      </c>
      <c r="B3013" s="15" t="s">
        <v>5936</v>
      </c>
      <c r="C3013" s="19">
        <f>1456.48/(1+B2)</f>
        <v>1456.48</v>
      </c>
      <c r="D3013" s="17" t="s">
        <v>11</v>
      </c>
      <c r="E3013" s="17"/>
      <c r="F3013" s="18"/>
      <c r="G3013" s="36" t="str">
        <f>IF(ISNUMBER(F3013),C3013*F3013,"")</f>
        <v/>
      </c>
    </row>
    <row r="3014" spans="1:7" ht="12" customHeight="1" outlineLevel="3" x14ac:dyDescent="0.2">
      <c r="A3014" s="14" t="s">
        <v>5937</v>
      </c>
      <c r="B3014" s="15" t="s">
        <v>5938</v>
      </c>
      <c r="C3014" s="19">
        <f>1456.48/(1+B2)</f>
        <v>1456.48</v>
      </c>
      <c r="D3014" s="17" t="s">
        <v>11</v>
      </c>
      <c r="E3014" s="17"/>
      <c r="F3014" s="18"/>
      <c r="G3014" s="36" t="str">
        <f>IF(ISNUMBER(F3014),C3014*F3014,"")</f>
        <v/>
      </c>
    </row>
    <row r="3015" spans="1:7" ht="24" customHeight="1" outlineLevel="3" x14ac:dyDescent="0.2">
      <c r="A3015" s="14" t="s">
        <v>5939</v>
      </c>
      <c r="B3015" s="15" t="s">
        <v>5940</v>
      </c>
      <c r="C3015" s="19">
        <f>1282/(1+B2)</f>
        <v>1282</v>
      </c>
      <c r="D3015" s="17" t="s">
        <v>11</v>
      </c>
      <c r="E3015" s="17"/>
      <c r="F3015" s="18"/>
      <c r="G3015" s="36" t="str">
        <f>IF(ISNUMBER(F3015),C3015*F3015,"")</f>
        <v/>
      </c>
    </row>
    <row r="3016" spans="1:7" ht="24" customHeight="1" outlineLevel="3" x14ac:dyDescent="0.2">
      <c r="A3016" s="14" t="s">
        <v>5941</v>
      </c>
      <c r="B3016" s="15" t="s">
        <v>5942</v>
      </c>
      <c r="C3016" s="19">
        <f>1282/(1+B2)</f>
        <v>1282</v>
      </c>
      <c r="D3016" s="17" t="s">
        <v>11</v>
      </c>
      <c r="E3016" s="17"/>
      <c r="F3016" s="18"/>
      <c r="G3016" s="36" t="str">
        <f>IF(ISNUMBER(F3016),C3016*F3016,"")</f>
        <v/>
      </c>
    </row>
    <row r="3017" spans="1:7" ht="12" customHeight="1" outlineLevel="3" x14ac:dyDescent="0.2">
      <c r="A3017" s="14" t="s">
        <v>5943</v>
      </c>
      <c r="B3017" s="15" t="s">
        <v>5944</v>
      </c>
      <c r="C3017" s="19">
        <f>2073.96/(1+B2)</f>
        <v>2073.96</v>
      </c>
      <c r="D3017" s="17" t="s">
        <v>11</v>
      </c>
      <c r="E3017" s="17"/>
      <c r="F3017" s="18"/>
      <c r="G3017" s="36" t="str">
        <f>IF(ISNUMBER(F3017),C3017*F3017,"")</f>
        <v/>
      </c>
    </row>
    <row r="3018" spans="1:7" ht="12" customHeight="1" outlineLevel="3" x14ac:dyDescent="0.2">
      <c r="A3018" s="14" t="s">
        <v>5945</v>
      </c>
      <c r="B3018" s="15" t="s">
        <v>5946</v>
      </c>
      <c r="C3018" s="19">
        <f>1769.23/(1+B2)</f>
        <v>1769.23</v>
      </c>
      <c r="D3018" s="17" t="s">
        <v>11</v>
      </c>
      <c r="E3018" s="17"/>
      <c r="F3018" s="18"/>
      <c r="G3018" s="36" t="str">
        <f>IF(ISNUMBER(F3018),C3018*F3018,"")</f>
        <v/>
      </c>
    </row>
    <row r="3019" spans="1:7" ht="12" customHeight="1" outlineLevel="3" x14ac:dyDescent="0.2">
      <c r="A3019" s="14" t="s">
        <v>5947</v>
      </c>
      <c r="B3019" s="15" t="s">
        <v>5948</v>
      </c>
      <c r="C3019" s="19">
        <f>2065.88/(1+B2)</f>
        <v>2065.88</v>
      </c>
      <c r="D3019" s="17" t="s">
        <v>11</v>
      </c>
      <c r="E3019" s="17"/>
      <c r="F3019" s="18"/>
      <c r="G3019" s="36" t="str">
        <f>IF(ISNUMBER(F3019),C3019*F3019,"")</f>
        <v/>
      </c>
    </row>
    <row r="3020" spans="1:7" ht="12" customHeight="1" outlineLevel="3" x14ac:dyDescent="0.2">
      <c r="A3020" s="14" t="s">
        <v>5949</v>
      </c>
      <c r="B3020" s="15" t="s">
        <v>5950</v>
      </c>
      <c r="C3020" s="19">
        <f>2312.93/(1+B2)</f>
        <v>2312.9299999999998</v>
      </c>
      <c r="D3020" s="17" t="s">
        <v>11</v>
      </c>
      <c r="E3020" s="17"/>
      <c r="F3020" s="18"/>
      <c r="G3020" s="36" t="str">
        <f>IF(ISNUMBER(F3020),C3020*F3020,"")</f>
        <v/>
      </c>
    </row>
    <row r="3021" spans="1:7" ht="12" customHeight="1" outlineLevel="3" x14ac:dyDescent="0.2">
      <c r="A3021" s="14" t="s">
        <v>5951</v>
      </c>
      <c r="B3021" s="15" t="s">
        <v>5952</v>
      </c>
      <c r="C3021" s="19">
        <f>1258.74/(1+B2)</f>
        <v>1258.74</v>
      </c>
      <c r="D3021" s="17" t="s">
        <v>11</v>
      </c>
      <c r="E3021" s="17"/>
      <c r="F3021" s="18"/>
      <c r="G3021" s="36" t="str">
        <f>IF(ISNUMBER(F3021),C3021*F3021,"")</f>
        <v/>
      </c>
    </row>
    <row r="3022" spans="1:7" ht="12" customHeight="1" outlineLevel="3" x14ac:dyDescent="0.2">
      <c r="A3022" s="14" t="s">
        <v>5953</v>
      </c>
      <c r="B3022" s="15" t="s">
        <v>5954</v>
      </c>
      <c r="C3022" s="19">
        <f>1258.74/(1+B2)</f>
        <v>1258.74</v>
      </c>
      <c r="D3022" s="17" t="s">
        <v>11</v>
      </c>
      <c r="E3022" s="17"/>
      <c r="F3022" s="18"/>
      <c r="G3022" s="36" t="str">
        <f>IF(ISNUMBER(F3022),C3022*F3022,"")</f>
        <v/>
      </c>
    </row>
    <row r="3023" spans="1:7" ht="12" customHeight="1" outlineLevel="3" x14ac:dyDescent="0.2">
      <c r="A3023" s="14" t="s">
        <v>5955</v>
      </c>
      <c r="B3023" s="15" t="s">
        <v>5956</v>
      </c>
      <c r="C3023" s="19">
        <f>1381.6/(1+B2)</f>
        <v>1381.6</v>
      </c>
      <c r="D3023" s="17" t="s">
        <v>11</v>
      </c>
      <c r="E3023" s="17"/>
      <c r="F3023" s="18"/>
      <c r="G3023" s="36" t="str">
        <f>IF(ISNUMBER(F3023),C3023*F3023,"")</f>
        <v/>
      </c>
    </row>
    <row r="3024" spans="1:7" ht="12" customHeight="1" outlineLevel="3" x14ac:dyDescent="0.2">
      <c r="A3024" s="14" t="s">
        <v>5957</v>
      </c>
      <c r="B3024" s="15" t="s">
        <v>5958</v>
      </c>
      <c r="C3024" s="19">
        <f>1381.6/(1+B2)</f>
        <v>1381.6</v>
      </c>
      <c r="D3024" s="17" t="s">
        <v>11</v>
      </c>
      <c r="E3024" s="17"/>
      <c r="F3024" s="18"/>
      <c r="G3024" s="36" t="str">
        <f>IF(ISNUMBER(F3024),C3024*F3024,"")</f>
        <v/>
      </c>
    </row>
    <row r="3025" spans="1:7" ht="12" customHeight="1" outlineLevel="3" x14ac:dyDescent="0.2">
      <c r="A3025" s="14" t="s">
        <v>5959</v>
      </c>
      <c r="B3025" s="15" t="s">
        <v>5960</v>
      </c>
      <c r="C3025" s="19">
        <f>1725.48/(1+B2)</f>
        <v>1725.48</v>
      </c>
      <c r="D3025" s="17" t="s">
        <v>11</v>
      </c>
      <c r="E3025" s="17"/>
      <c r="F3025" s="18"/>
      <c r="G3025" s="36" t="str">
        <f>IF(ISNUMBER(F3025),C3025*F3025,"")</f>
        <v/>
      </c>
    </row>
    <row r="3026" spans="1:7" ht="12" customHeight="1" outlineLevel="3" x14ac:dyDescent="0.2">
      <c r="A3026" s="14" t="s">
        <v>5961</v>
      </c>
      <c r="B3026" s="15" t="s">
        <v>5962</v>
      </c>
      <c r="C3026" s="19">
        <f>1510.69/(1+B2)</f>
        <v>1510.69</v>
      </c>
      <c r="D3026" s="17" t="s">
        <v>11</v>
      </c>
      <c r="E3026" s="17"/>
      <c r="F3026" s="18"/>
      <c r="G3026" s="36" t="str">
        <f>IF(ISNUMBER(F3026),C3026*F3026,"")</f>
        <v/>
      </c>
    </row>
    <row r="3027" spans="1:7" ht="12" customHeight="1" outlineLevel="3" x14ac:dyDescent="0.2">
      <c r="A3027" s="14" t="s">
        <v>5963</v>
      </c>
      <c r="B3027" s="15" t="s">
        <v>5964</v>
      </c>
      <c r="C3027" s="19">
        <f>1510.69/(1+B2)</f>
        <v>1510.69</v>
      </c>
      <c r="D3027" s="17" t="s">
        <v>11</v>
      </c>
      <c r="E3027" s="17"/>
      <c r="F3027" s="18"/>
      <c r="G3027" s="36" t="str">
        <f>IF(ISNUMBER(F3027),C3027*F3027,"")</f>
        <v/>
      </c>
    </row>
    <row r="3028" spans="1:7" ht="12" customHeight="1" outlineLevel="3" x14ac:dyDescent="0.2">
      <c r="A3028" s="14" t="s">
        <v>5965</v>
      </c>
      <c r="B3028" s="15" t="s">
        <v>5966</v>
      </c>
      <c r="C3028" s="19">
        <f>1850.4/(1+B2)</f>
        <v>1850.4</v>
      </c>
      <c r="D3028" s="17" t="s">
        <v>11</v>
      </c>
      <c r="E3028" s="17"/>
      <c r="F3028" s="18"/>
      <c r="G3028" s="36" t="str">
        <f>IF(ISNUMBER(F3028),C3028*F3028,"")</f>
        <v/>
      </c>
    </row>
    <row r="3029" spans="1:7" ht="12" customHeight="1" outlineLevel="3" x14ac:dyDescent="0.2">
      <c r="A3029" s="14" t="s">
        <v>5967</v>
      </c>
      <c r="B3029" s="15" t="s">
        <v>5968</v>
      </c>
      <c r="C3029" s="19">
        <f>1716.17/(1+B2)</f>
        <v>1716.17</v>
      </c>
      <c r="D3029" s="17" t="s">
        <v>11</v>
      </c>
      <c r="E3029" s="17"/>
      <c r="F3029" s="18"/>
      <c r="G3029" s="36" t="str">
        <f>IF(ISNUMBER(F3029),C3029*F3029,"")</f>
        <v/>
      </c>
    </row>
    <row r="3030" spans="1:7" ht="12" customHeight="1" outlineLevel="3" x14ac:dyDescent="0.2">
      <c r="A3030" s="14" t="s">
        <v>5969</v>
      </c>
      <c r="B3030" s="15" t="s">
        <v>5970</v>
      </c>
      <c r="C3030" s="19">
        <f>1716.17/(1+B2)</f>
        <v>1716.17</v>
      </c>
      <c r="D3030" s="17" t="s">
        <v>11</v>
      </c>
      <c r="E3030" s="17"/>
      <c r="F3030" s="18"/>
      <c r="G3030" s="36" t="str">
        <f>IF(ISNUMBER(F3030),C3030*F3030,"")</f>
        <v/>
      </c>
    </row>
    <row r="3031" spans="1:7" ht="12" customHeight="1" outlineLevel="3" x14ac:dyDescent="0.2">
      <c r="A3031" s="14" t="s">
        <v>5971</v>
      </c>
      <c r="B3031" s="15" t="s">
        <v>5972</v>
      </c>
      <c r="C3031" s="19">
        <f>1459.08/(1+B2)</f>
        <v>1459.08</v>
      </c>
      <c r="D3031" s="17" t="s">
        <v>11</v>
      </c>
      <c r="E3031" s="17" t="s">
        <v>11</v>
      </c>
      <c r="F3031" s="18"/>
      <c r="G3031" s="36" t="str">
        <f>IF(ISNUMBER(F3031),C3031*F3031,"")</f>
        <v/>
      </c>
    </row>
    <row r="3032" spans="1:7" ht="12" customHeight="1" outlineLevel="3" x14ac:dyDescent="0.2">
      <c r="A3032" s="14" t="s">
        <v>5973</v>
      </c>
      <c r="B3032" s="15" t="s">
        <v>5974</v>
      </c>
      <c r="C3032" s="19">
        <f>1459.08/(1+B2)</f>
        <v>1459.08</v>
      </c>
      <c r="D3032" s="17" t="s">
        <v>11</v>
      </c>
      <c r="E3032" s="17"/>
      <c r="F3032" s="18"/>
      <c r="G3032" s="36" t="str">
        <f>IF(ISNUMBER(F3032),C3032*F3032,"")</f>
        <v/>
      </c>
    </row>
    <row r="3033" spans="1:7" ht="12" customHeight="1" outlineLevel="3" x14ac:dyDescent="0.2">
      <c r="A3033" s="14" t="s">
        <v>5975</v>
      </c>
      <c r="B3033" s="15" t="s">
        <v>5976</v>
      </c>
      <c r="C3033" s="19">
        <f>1581.94/(1+B2)</f>
        <v>1581.94</v>
      </c>
      <c r="D3033" s="17" t="s">
        <v>11</v>
      </c>
      <c r="E3033" s="17"/>
      <c r="F3033" s="18"/>
      <c r="G3033" s="36" t="str">
        <f>IF(ISNUMBER(F3033),C3033*F3033,"")</f>
        <v/>
      </c>
    </row>
    <row r="3034" spans="1:7" ht="12" customHeight="1" outlineLevel="3" x14ac:dyDescent="0.2">
      <c r="A3034" s="14" t="s">
        <v>5977</v>
      </c>
      <c r="B3034" s="15" t="s">
        <v>5978</v>
      </c>
      <c r="C3034" s="19">
        <f>1581.94/(1+B2)</f>
        <v>1581.94</v>
      </c>
      <c r="D3034" s="17" t="s">
        <v>11</v>
      </c>
      <c r="E3034" s="17"/>
      <c r="F3034" s="18"/>
      <c r="G3034" s="36" t="str">
        <f>IF(ISNUMBER(F3034),C3034*F3034,"")</f>
        <v/>
      </c>
    </row>
    <row r="3035" spans="1:7" ht="12" customHeight="1" outlineLevel="3" x14ac:dyDescent="0.2">
      <c r="A3035" s="14" t="s">
        <v>5979</v>
      </c>
      <c r="B3035" s="15" t="s">
        <v>5980</v>
      </c>
      <c r="C3035" s="19">
        <f>1924.74/(1+B2)</f>
        <v>1924.74</v>
      </c>
      <c r="D3035" s="17" t="s">
        <v>11</v>
      </c>
      <c r="E3035" s="17"/>
      <c r="F3035" s="18"/>
      <c r="G3035" s="36" t="str">
        <f>IF(ISNUMBER(F3035),C3035*F3035,"")</f>
        <v/>
      </c>
    </row>
    <row r="3036" spans="1:7" ht="12" customHeight="1" outlineLevel="3" x14ac:dyDescent="0.2">
      <c r="A3036" s="14" t="s">
        <v>5981</v>
      </c>
      <c r="B3036" s="15" t="s">
        <v>5982</v>
      </c>
      <c r="C3036" s="19">
        <f>1708.97/(1+B2)</f>
        <v>1708.97</v>
      </c>
      <c r="D3036" s="17" t="s">
        <v>11</v>
      </c>
      <c r="E3036" s="17"/>
      <c r="F3036" s="18"/>
      <c r="G3036" s="36" t="str">
        <f>IF(ISNUMBER(F3036),C3036*F3036,"")</f>
        <v/>
      </c>
    </row>
    <row r="3037" spans="1:7" ht="12" customHeight="1" outlineLevel="3" x14ac:dyDescent="0.2">
      <c r="A3037" s="14" t="s">
        <v>5983</v>
      </c>
      <c r="B3037" s="15" t="s">
        <v>5984</v>
      </c>
      <c r="C3037" s="19">
        <f>1708.97/(1+B2)</f>
        <v>1708.97</v>
      </c>
      <c r="D3037" s="17" t="s">
        <v>11</v>
      </c>
      <c r="E3037" s="17"/>
      <c r="F3037" s="18"/>
      <c r="G3037" s="36" t="str">
        <f>IF(ISNUMBER(F3037),C3037*F3037,"")</f>
        <v/>
      </c>
    </row>
    <row r="3038" spans="1:7" ht="12" customHeight="1" outlineLevel="3" x14ac:dyDescent="0.2">
      <c r="A3038" s="14" t="s">
        <v>5985</v>
      </c>
      <c r="B3038" s="15" t="s">
        <v>5986</v>
      </c>
      <c r="C3038" s="19">
        <f>2050.69/(1+B2)</f>
        <v>2050.69</v>
      </c>
      <c r="D3038" s="17" t="s">
        <v>11</v>
      </c>
      <c r="E3038" s="17"/>
      <c r="F3038" s="18"/>
      <c r="G3038" s="36" t="str">
        <f>IF(ISNUMBER(F3038),C3038*F3038,"")</f>
        <v/>
      </c>
    </row>
    <row r="3039" spans="1:7" ht="12" customHeight="1" outlineLevel="3" x14ac:dyDescent="0.2">
      <c r="A3039" s="14" t="s">
        <v>5987</v>
      </c>
      <c r="B3039" s="15" t="s">
        <v>5988</v>
      </c>
      <c r="C3039" s="19">
        <f>1915.48/(1+B2)</f>
        <v>1915.48</v>
      </c>
      <c r="D3039" s="17" t="s">
        <v>11</v>
      </c>
      <c r="E3039" s="17"/>
      <c r="F3039" s="18"/>
      <c r="G3039" s="36" t="str">
        <f>IF(ISNUMBER(F3039),C3039*F3039,"")</f>
        <v/>
      </c>
    </row>
    <row r="3040" spans="1:7" ht="12" customHeight="1" outlineLevel="3" x14ac:dyDescent="0.2">
      <c r="A3040" s="14" t="s">
        <v>5989</v>
      </c>
      <c r="B3040" s="15" t="s">
        <v>5990</v>
      </c>
      <c r="C3040" s="19">
        <f>1915.48/(1+B2)</f>
        <v>1915.48</v>
      </c>
      <c r="D3040" s="17" t="s">
        <v>11</v>
      </c>
      <c r="E3040" s="17"/>
      <c r="F3040" s="18"/>
      <c r="G3040" s="36" t="str">
        <f>IF(ISNUMBER(F3040),C3040*F3040,"")</f>
        <v/>
      </c>
    </row>
    <row r="3041" spans="1:7" ht="12" customHeight="1" outlineLevel="3" x14ac:dyDescent="0.2">
      <c r="A3041" s="14" t="s">
        <v>5991</v>
      </c>
      <c r="B3041" s="15" t="s">
        <v>5992</v>
      </c>
      <c r="C3041" s="19">
        <f>2105.77/(1+B2)</f>
        <v>2105.77</v>
      </c>
      <c r="D3041" s="17" t="s">
        <v>11</v>
      </c>
      <c r="E3041" s="17"/>
      <c r="F3041" s="18"/>
      <c r="G3041" s="36" t="str">
        <f>IF(ISNUMBER(F3041),C3041*F3041,"")</f>
        <v/>
      </c>
    </row>
    <row r="3042" spans="1:7" ht="12" customHeight="1" outlineLevel="3" x14ac:dyDescent="0.2">
      <c r="A3042" s="14" t="s">
        <v>5993</v>
      </c>
      <c r="B3042" s="15" t="s">
        <v>5994</v>
      </c>
      <c r="C3042" s="19">
        <f>2550.47/(1+B2)</f>
        <v>2550.4699999999998</v>
      </c>
      <c r="D3042" s="17" t="s">
        <v>11</v>
      </c>
      <c r="E3042" s="17"/>
      <c r="F3042" s="18"/>
      <c r="G3042" s="36" t="str">
        <f>IF(ISNUMBER(F3042),C3042*F3042,"")</f>
        <v/>
      </c>
    </row>
    <row r="3043" spans="1:7" ht="12" customHeight="1" outlineLevel="3" x14ac:dyDescent="0.2">
      <c r="A3043" s="14" t="s">
        <v>5995</v>
      </c>
      <c r="B3043" s="15" t="s">
        <v>5996</v>
      </c>
      <c r="C3043" s="19">
        <f>2794.82/(1+B2)</f>
        <v>2794.82</v>
      </c>
      <c r="D3043" s="17" t="s">
        <v>11</v>
      </c>
      <c r="E3043" s="17"/>
      <c r="F3043" s="18"/>
      <c r="G3043" s="36" t="str">
        <f>IF(ISNUMBER(F3043),C3043*F3043,"")</f>
        <v/>
      </c>
    </row>
    <row r="3044" spans="1:7" ht="12" customHeight="1" outlineLevel="3" x14ac:dyDescent="0.2">
      <c r="A3044" s="14" t="s">
        <v>5997</v>
      </c>
      <c r="B3044" s="15" t="s">
        <v>5998</v>
      </c>
      <c r="C3044" s="19">
        <f>1343.72/(1+B2)</f>
        <v>1343.72</v>
      </c>
      <c r="D3044" s="17" t="s">
        <v>11</v>
      </c>
      <c r="E3044" s="17"/>
      <c r="F3044" s="18"/>
      <c r="G3044" s="36" t="str">
        <f>IF(ISNUMBER(F3044),C3044*F3044,"")</f>
        <v/>
      </c>
    </row>
    <row r="3045" spans="1:7" ht="12" customHeight="1" outlineLevel="3" x14ac:dyDescent="0.2">
      <c r="A3045" s="14" t="s">
        <v>5999</v>
      </c>
      <c r="B3045" s="15" t="s">
        <v>6000</v>
      </c>
      <c r="C3045" s="19">
        <f>1173.22/(1+B2)</f>
        <v>1173.22</v>
      </c>
      <c r="D3045" s="17" t="s">
        <v>11</v>
      </c>
      <c r="E3045" s="17"/>
      <c r="F3045" s="18"/>
      <c r="G3045" s="36" t="str">
        <f>IF(ISNUMBER(F3045),C3045*F3045,"")</f>
        <v/>
      </c>
    </row>
    <row r="3046" spans="1:7" ht="12" customHeight="1" outlineLevel="3" x14ac:dyDescent="0.2">
      <c r="A3046" s="14" t="s">
        <v>6001</v>
      </c>
      <c r="B3046" s="15" t="s">
        <v>6002</v>
      </c>
      <c r="C3046" s="16">
        <f>523.56/(1+B2)</f>
        <v>523.55999999999995</v>
      </c>
      <c r="D3046" s="17" t="s">
        <v>11</v>
      </c>
      <c r="E3046" s="17"/>
      <c r="F3046" s="18"/>
      <c r="G3046" s="36" t="str">
        <f>IF(ISNUMBER(F3046),C3046*F3046,"")</f>
        <v/>
      </c>
    </row>
    <row r="3047" spans="1:7" ht="12" customHeight="1" outlineLevel="3" x14ac:dyDescent="0.2">
      <c r="A3047" s="14" t="s">
        <v>6003</v>
      </c>
      <c r="B3047" s="15" t="s">
        <v>6004</v>
      </c>
      <c r="C3047" s="16">
        <f>606.77/(1+B2)</f>
        <v>606.77</v>
      </c>
      <c r="D3047" s="17" t="s">
        <v>11</v>
      </c>
      <c r="E3047" s="17"/>
      <c r="F3047" s="18"/>
      <c r="G3047" s="36" t="str">
        <f>IF(ISNUMBER(F3047),C3047*F3047,"")</f>
        <v/>
      </c>
    </row>
    <row r="3048" spans="1:7" ht="12" customHeight="1" outlineLevel="3" x14ac:dyDescent="0.2">
      <c r="A3048" s="14" t="s">
        <v>6005</v>
      </c>
      <c r="B3048" s="15" t="s">
        <v>6006</v>
      </c>
      <c r="C3048" s="16">
        <f>589.33/(1+B2)</f>
        <v>589.33000000000004</v>
      </c>
      <c r="D3048" s="17" t="s">
        <v>11</v>
      </c>
      <c r="E3048" s="17"/>
      <c r="F3048" s="18"/>
      <c r="G3048" s="36" t="str">
        <f>IF(ISNUMBER(F3048),C3048*F3048,"")</f>
        <v/>
      </c>
    </row>
    <row r="3049" spans="1:7" ht="24" customHeight="1" outlineLevel="3" x14ac:dyDescent="0.2">
      <c r="A3049" s="14" t="s">
        <v>6007</v>
      </c>
      <c r="B3049" s="15" t="s">
        <v>6008</v>
      </c>
      <c r="C3049" s="19">
        <f>1078.02/(1+B2)</f>
        <v>1078.02</v>
      </c>
      <c r="D3049" s="17" t="s">
        <v>11</v>
      </c>
      <c r="E3049" s="17"/>
      <c r="F3049" s="18"/>
      <c r="G3049" s="36" t="str">
        <f>IF(ISNUMBER(F3049),C3049*F3049,"")</f>
        <v/>
      </c>
    </row>
    <row r="3050" spans="1:7" ht="24" customHeight="1" outlineLevel="3" x14ac:dyDescent="0.2">
      <c r="A3050" s="14" t="s">
        <v>6009</v>
      </c>
      <c r="B3050" s="15" t="s">
        <v>6010</v>
      </c>
      <c r="C3050" s="19">
        <f>1162.72/(1+B2)</f>
        <v>1162.72</v>
      </c>
      <c r="D3050" s="17" t="s">
        <v>11</v>
      </c>
      <c r="E3050" s="17"/>
      <c r="F3050" s="18"/>
      <c r="G3050" s="36" t="str">
        <f>IF(ISNUMBER(F3050),C3050*F3050,"")</f>
        <v/>
      </c>
    </row>
    <row r="3051" spans="1:7" ht="24" customHeight="1" outlineLevel="3" x14ac:dyDescent="0.2">
      <c r="A3051" s="14" t="s">
        <v>6011</v>
      </c>
      <c r="B3051" s="15" t="s">
        <v>6012</v>
      </c>
      <c r="C3051" s="19">
        <f>1273.19/(1+B2)</f>
        <v>1273.19</v>
      </c>
      <c r="D3051" s="17" t="s">
        <v>11</v>
      </c>
      <c r="E3051" s="17"/>
      <c r="F3051" s="18"/>
      <c r="G3051" s="36" t="str">
        <f>IF(ISNUMBER(F3051),C3051*F3051,"")</f>
        <v/>
      </c>
    </row>
    <row r="3052" spans="1:7" ht="24" customHeight="1" outlineLevel="3" x14ac:dyDescent="0.2">
      <c r="A3052" s="14" t="s">
        <v>6013</v>
      </c>
      <c r="B3052" s="15" t="s">
        <v>6014</v>
      </c>
      <c r="C3052" s="19">
        <f>1476.64/(1+B2)</f>
        <v>1476.64</v>
      </c>
      <c r="D3052" s="17" t="s">
        <v>11</v>
      </c>
      <c r="E3052" s="17"/>
      <c r="F3052" s="18"/>
      <c r="G3052" s="36" t="str">
        <f>IF(ISNUMBER(F3052),C3052*F3052,"")</f>
        <v/>
      </c>
    </row>
    <row r="3053" spans="1:7" ht="24" customHeight="1" outlineLevel="3" x14ac:dyDescent="0.2">
      <c r="A3053" s="14" t="s">
        <v>6015</v>
      </c>
      <c r="B3053" s="15" t="s">
        <v>6016</v>
      </c>
      <c r="C3053" s="19">
        <f>1122.43/(1+B2)</f>
        <v>1122.43</v>
      </c>
      <c r="D3053" s="17" t="s">
        <v>11</v>
      </c>
      <c r="E3053" s="17"/>
      <c r="F3053" s="18"/>
      <c r="G3053" s="36" t="str">
        <f>IF(ISNUMBER(F3053),C3053*F3053,"")</f>
        <v/>
      </c>
    </row>
    <row r="3054" spans="1:7" ht="24" customHeight="1" outlineLevel="3" x14ac:dyDescent="0.2">
      <c r="A3054" s="14" t="s">
        <v>6017</v>
      </c>
      <c r="B3054" s="15" t="s">
        <v>6018</v>
      </c>
      <c r="C3054" s="19">
        <f>1360.93/(1+B2)</f>
        <v>1360.93</v>
      </c>
      <c r="D3054" s="17" t="s">
        <v>11</v>
      </c>
      <c r="E3054" s="17"/>
      <c r="F3054" s="18"/>
      <c r="G3054" s="36" t="str">
        <f>IF(ISNUMBER(F3054),C3054*F3054,"")</f>
        <v/>
      </c>
    </row>
    <row r="3055" spans="1:7" ht="24" customHeight="1" outlineLevel="3" x14ac:dyDescent="0.2">
      <c r="A3055" s="14" t="s">
        <v>6019</v>
      </c>
      <c r="B3055" s="15" t="s">
        <v>6020</v>
      </c>
      <c r="C3055" s="19">
        <f>1206.05/(1+B2)</f>
        <v>1206.05</v>
      </c>
      <c r="D3055" s="17" t="s">
        <v>11</v>
      </c>
      <c r="E3055" s="17"/>
      <c r="F3055" s="18"/>
      <c r="G3055" s="36" t="str">
        <f>IF(ISNUMBER(F3055),C3055*F3055,"")</f>
        <v/>
      </c>
    </row>
    <row r="3056" spans="1:7" ht="24" customHeight="1" outlineLevel="3" x14ac:dyDescent="0.2">
      <c r="A3056" s="14" t="s">
        <v>6021</v>
      </c>
      <c r="B3056" s="15" t="s">
        <v>6022</v>
      </c>
      <c r="C3056" s="19">
        <f>1466.28/(1+B2)</f>
        <v>1466.28</v>
      </c>
      <c r="D3056" s="17" t="s">
        <v>11</v>
      </c>
      <c r="E3056" s="17" t="s">
        <v>11</v>
      </c>
      <c r="F3056" s="18"/>
      <c r="G3056" s="36" t="str">
        <f>IF(ISNUMBER(F3056),C3056*F3056,"")</f>
        <v/>
      </c>
    </row>
    <row r="3057" spans="1:7" ht="24" customHeight="1" outlineLevel="3" x14ac:dyDescent="0.2">
      <c r="A3057" s="14" t="s">
        <v>6023</v>
      </c>
      <c r="B3057" s="15" t="s">
        <v>6024</v>
      </c>
      <c r="C3057" s="19">
        <f>1295.92/(1+B2)</f>
        <v>1295.92</v>
      </c>
      <c r="D3057" s="17" t="s">
        <v>11</v>
      </c>
      <c r="E3057" s="17" t="s">
        <v>11</v>
      </c>
      <c r="F3057" s="18"/>
      <c r="G3057" s="36" t="str">
        <f>IF(ISNUMBER(F3057),C3057*F3057,"")</f>
        <v/>
      </c>
    </row>
    <row r="3058" spans="1:7" ht="24" customHeight="1" outlineLevel="3" x14ac:dyDescent="0.2">
      <c r="A3058" s="14" t="s">
        <v>6025</v>
      </c>
      <c r="B3058" s="15" t="s">
        <v>6026</v>
      </c>
      <c r="C3058" s="19">
        <f>1672.84/(1+B2)</f>
        <v>1672.84</v>
      </c>
      <c r="D3058" s="17" t="s">
        <v>11</v>
      </c>
      <c r="E3058" s="17"/>
      <c r="F3058" s="18"/>
      <c r="G3058" s="36" t="str">
        <f>IF(ISNUMBER(F3058),C3058*F3058,"")</f>
        <v/>
      </c>
    </row>
    <row r="3059" spans="1:7" ht="24" customHeight="1" outlineLevel="3" x14ac:dyDescent="0.2">
      <c r="A3059" s="14" t="s">
        <v>6027</v>
      </c>
      <c r="B3059" s="15" t="s">
        <v>6028</v>
      </c>
      <c r="C3059" s="19">
        <f>1122.43/(1+B2)</f>
        <v>1122.43</v>
      </c>
      <c r="D3059" s="17" t="s">
        <v>11</v>
      </c>
      <c r="E3059" s="17" t="s">
        <v>11</v>
      </c>
      <c r="F3059" s="18"/>
      <c r="G3059" s="36" t="str">
        <f>IF(ISNUMBER(F3059),C3059*F3059,"")</f>
        <v/>
      </c>
    </row>
    <row r="3060" spans="1:7" ht="24" customHeight="1" outlineLevel="3" x14ac:dyDescent="0.2">
      <c r="A3060" s="14" t="s">
        <v>6029</v>
      </c>
      <c r="B3060" s="15" t="s">
        <v>6030</v>
      </c>
      <c r="C3060" s="19">
        <f>1206.05/(1+B2)</f>
        <v>1206.05</v>
      </c>
      <c r="D3060" s="17" t="s">
        <v>11</v>
      </c>
      <c r="E3060" s="17" t="s">
        <v>11</v>
      </c>
      <c r="F3060" s="18"/>
      <c r="G3060" s="36" t="str">
        <f>IF(ISNUMBER(F3060),C3060*F3060,"")</f>
        <v/>
      </c>
    </row>
    <row r="3061" spans="1:7" ht="24" customHeight="1" outlineLevel="3" x14ac:dyDescent="0.2">
      <c r="A3061" s="14" t="s">
        <v>6031</v>
      </c>
      <c r="B3061" s="15" t="s">
        <v>6032</v>
      </c>
      <c r="C3061" s="19">
        <f>1513.8/(1+B2)</f>
        <v>1513.8</v>
      </c>
      <c r="D3061" s="17" t="s">
        <v>11</v>
      </c>
      <c r="E3061" s="17"/>
      <c r="F3061" s="18"/>
      <c r="G3061" s="36" t="str">
        <f>IF(ISNUMBER(F3061),C3061*F3061,"")</f>
        <v/>
      </c>
    </row>
    <row r="3062" spans="1:7" ht="24" customHeight="1" outlineLevel="3" x14ac:dyDescent="0.2">
      <c r="A3062" s="14" t="s">
        <v>6033</v>
      </c>
      <c r="B3062" s="15" t="s">
        <v>6034</v>
      </c>
      <c r="C3062" s="19">
        <f>1295.92/(1+B2)</f>
        <v>1295.92</v>
      </c>
      <c r="D3062" s="17" t="s">
        <v>11</v>
      </c>
      <c r="E3062" s="17" t="s">
        <v>11</v>
      </c>
      <c r="F3062" s="18"/>
      <c r="G3062" s="36" t="str">
        <f>IF(ISNUMBER(F3062),C3062*F3062,"")</f>
        <v/>
      </c>
    </row>
    <row r="3063" spans="1:7" ht="24" customHeight="1" outlineLevel="3" x14ac:dyDescent="0.2">
      <c r="A3063" s="14" t="s">
        <v>6035</v>
      </c>
      <c r="B3063" s="15" t="s">
        <v>6036</v>
      </c>
      <c r="C3063" s="19">
        <f>1624.24/(1+B2)</f>
        <v>1624.24</v>
      </c>
      <c r="D3063" s="17" t="s">
        <v>11</v>
      </c>
      <c r="E3063" s="17"/>
      <c r="F3063" s="18"/>
      <c r="G3063" s="36" t="str">
        <f>IF(ISNUMBER(F3063),C3063*F3063,"")</f>
        <v/>
      </c>
    </row>
    <row r="3064" spans="1:7" ht="24" customHeight="1" outlineLevel="3" x14ac:dyDescent="0.2">
      <c r="A3064" s="14" t="s">
        <v>6037</v>
      </c>
      <c r="B3064" s="15" t="s">
        <v>6038</v>
      </c>
      <c r="C3064" s="19">
        <f>1672.84/(1+B2)</f>
        <v>1672.84</v>
      </c>
      <c r="D3064" s="17" t="s">
        <v>11</v>
      </c>
      <c r="E3064" s="17"/>
      <c r="F3064" s="18"/>
      <c r="G3064" s="36" t="str">
        <f>IF(ISNUMBER(F3064),C3064*F3064,"")</f>
        <v/>
      </c>
    </row>
    <row r="3065" spans="1:7" ht="24" customHeight="1" outlineLevel="3" x14ac:dyDescent="0.2">
      <c r="A3065" s="14" t="s">
        <v>6039</v>
      </c>
      <c r="B3065" s="15" t="s">
        <v>6040</v>
      </c>
      <c r="C3065" s="19">
        <f>1407.74/(1+B2)</f>
        <v>1407.74</v>
      </c>
      <c r="D3065" s="17" t="s">
        <v>11</v>
      </c>
      <c r="E3065" s="17"/>
      <c r="F3065" s="18"/>
      <c r="G3065" s="36" t="str">
        <f>IF(ISNUMBER(F3065),C3065*F3065,"")</f>
        <v/>
      </c>
    </row>
    <row r="3066" spans="1:7" ht="12" customHeight="1" outlineLevel="3" x14ac:dyDescent="0.2">
      <c r="A3066" s="14" t="s">
        <v>6041</v>
      </c>
      <c r="B3066" s="15" t="s">
        <v>6042</v>
      </c>
      <c r="C3066" s="19">
        <f>1078.02/(1+B2)</f>
        <v>1078.02</v>
      </c>
      <c r="D3066" s="17" t="s">
        <v>11</v>
      </c>
      <c r="E3066" s="17"/>
      <c r="F3066" s="18"/>
      <c r="G3066" s="36" t="str">
        <f>IF(ISNUMBER(F3066),C3066*F3066,"")</f>
        <v/>
      </c>
    </row>
    <row r="3067" spans="1:7" ht="12" customHeight="1" outlineLevel="3" x14ac:dyDescent="0.2">
      <c r="A3067" s="14" t="s">
        <v>6043</v>
      </c>
      <c r="B3067" s="15" t="s">
        <v>6044</v>
      </c>
      <c r="C3067" s="19">
        <f>1273.19/(1+B2)</f>
        <v>1273.19</v>
      </c>
      <c r="D3067" s="17" t="s">
        <v>11</v>
      </c>
      <c r="E3067" s="17"/>
      <c r="F3067" s="18"/>
      <c r="G3067" s="36" t="str">
        <f>IF(ISNUMBER(F3067),C3067*F3067,"")</f>
        <v/>
      </c>
    </row>
    <row r="3068" spans="1:7" ht="12" customHeight="1" outlineLevel="3" x14ac:dyDescent="0.2">
      <c r="A3068" s="14" t="s">
        <v>6045</v>
      </c>
      <c r="B3068" s="15" t="s">
        <v>6046</v>
      </c>
      <c r="C3068" s="19">
        <f>1476.64/(1+B2)</f>
        <v>1476.64</v>
      </c>
      <c r="D3068" s="17" t="s">
        <v>11</v>
      </c>
      <c r="E3068" s="17"/>
      <c r="F3068" s="18"/>
      <c r="G3068" s="36" t="str">
        <f>IF(ISNUMBER(F3068),C3068*F3068,"")</f>
        <v/>
      </c>
    </row>
    <row r="3069" spans="1:7" ht="24" customHeight="1" outlineLevel="3" x14ac:dyDescent="0.2">
      <c r="A3069" s="14" t="s">
        <v>6047</v>
      </c>
      <c r="B3069" s="15" t="s">
        <v>6048</v>
      </c>
      <c r="C3069" s="19">
        <f>1122.43/(1+B2)</f>
        <v>1122.43</v>
      </c>
      <c r="D3069" s="17" t="s">
        <v>11</v>
      </c>
      <c r="E3069" s="17"/>
      <c r="F3069" s="18"/>
      <c r="G3069" s="36" t="str">
        <f>IF(ISNUMBER(F3069),C3069*F3069,"")</f>
        <v/>
      </c>
    </row>
    <row r="3070" spans="1:7" ht="24" customHeight="1" outlineLevel="3" x14ac:dyDescent="0.2">
      <c r="A3070" s="14" t="s">
        <v>6049</v>
      </c>
      <c r="B3070" s="15" t="s">
        <v>6050</v>
      </c>
      <c r="C3070" s="19">
        <f>1360.93/(1+B2)</f>
        <v>1360.93</v>
      </c>
      <c r="D3070" s="17" t="s">
        <v>11</v>
      </c>
      <c r="E3070" s="17"/>
      <c r="F3070" s="18"/>
      <c r="G3070" s="36" t="str">
        <f>IF(ISNUMBER(F3070),C3070*F3070,"")</f>
        <v/>
      </c>
    </row>
    <row r="3071" spans="1:7" ht="24" customHeight="1" outlineLevel="3" x14ac:dyDescent="0.2">
      <c r="A3071" s="14" t="s">
        <v>6051</v>
      </c>
      <c r="B3071" s="15" t="s">
        <v>6052</v>
      </c>
      <c r="C3071" s="19">
        <f>1206.05/(1+B2)</f>
        <v>1206.05</v>
      </c>
      <c r="D3071" s="17" t="s">
        <v>11</v>
      </c>
      <c r="E3071" s="17"/>
      <c r="F3071" s="18"/>
      <c r="G3071" s="36" t="str">
        <f>IF(ISNUMBER(F3071),C3071*F3071,"")</f>
        <v/>
      </c>
    </row>
    <row r="3072" spans="1:7" ht="24" customHeight="1" outlineLevel="3" x14ac:dyDescent="0.2">
      <c r="A3072" s="14" t="s">
        <v>6053</v>
      </c>
      <c r="B3072" s="15" t="s">
        <v>6054</v>
      </c>
      <c r="C3072" s="19">
        <f>1672.84/(1+B2)</f>
        <v>1672.84</v>
      </c>
      <c r="D3072" s="17" t="s">
        <v>11</v>
      </c>
      <c r="E3072" s="17" t="s">
        <v>11</v>
      </c>
      <c r="F3072" s="18"/>
      <c r="G3072" s="36" t="str">
        <f>IF(ISNUMBER(F3072),C3072*F3072,"")</f>
        <v/>
      </c>
    </row>
    <row r="3073" spans="1:7" ht="12" customHeight="1" outlineLevel="3" x14ac:dyDescent="0.2">
      <c r="A3073" s="14" t="s">
        <v>6055</v>
      </c>
      <c r="B3073" s="15" t="s">
        <v>6056</v>
      </c>
      <c r="C3073" s="16">
        <f>990.66/(1+B2)</f>
        <v>990.66</v>
      </c>
      <c r="D3073" s="17" t="s">
        <v>11</v>
      </c>
      <c r="E3073" s="17"/>
      <c r="F3073" s="18"/>
      <c r="G3073" s="36" t="str">
        <f>IF(ISNUMBER(F3073),C3073*F3073,"")</f>
        <v/>
      </c>
    </row>
    <row r="3074" spans="1:7" ht="12" customHeight="1" outlineLevel="3" x14ac:dyDescent="0.2">
      <c r="A3074" s="14" t="s">
        <v>6057</v>
      </c>
      <c r="B3074" s="15" t="s">
        <v>6058</v>
      </c>
      <c r="C3074" s="19">
        <f>1010.79/(1+B2)</f>
        <v>1010.79</v>
      </c>
      <c r="D3074" s="17" t="s">
        <v>11</v>
      </c>
      <c r="E3074" s="17"/>
      <c r="F3074" s="18"/>
      <c r="G3074" s="36" t="str">
        <f>IF(ISNUMBER(F3074),C3074*F3074,"")</f>
        <v/>
      </c>
    </row>
    <row r="3075" spans="1:7" ht="12" customHeight="1" outlineLevel="3" x14ac:dyDescent="0.2">
      <c r="A3075" s="14" t="s">
        <v>6059</v>
      </c>
      <c r="B3075" s="15" t="s">
        <v>6060</v>
      </c>
      <c r="C3075" s="19">
        <f>1025.59/(1+B2)</f>
        <v>1025.5899999999999</v>
      </c>
      <c r="D3075" s="17" t="s">
        <v>11</v>
      </c>
      <c r="E3075" s="17"/>
      <c r="F3075" s="18"/>
      <c r="G3075" s="36" t="str">
        <f>IF(ISNUMBER(F3075),C3075*F3075,"")</f>
        <v/>
      </c>
    </row>
    <row r="3076" spans="1:7" ht="12" customHeight="1" outlineLevel="3" x14ac:dyDescent="0.2">
      <c r="A3076" s="14" t="s">
        <v>6061</v>
      </c>
      <c r="B3076" s="15" t="s">
        <v>6062</v>
      </c>
      <c r="C3076" s="19">
        <f>1084.63/(1+B2)</f>
        <v>1084.6300000000001</v>
      </c>
      <c r="D3076" s="17" t="s">
        <v>11</v>
      </c>
      <c r="E3076" s="17"/>
      <c r="F3076" s="18"/>
      <c r="G3076" s="36" t="str">
        <f>IF(ISNUMBER(F3076),C3076*F3076,"")</f>
        <v/>
      </c>
    </row>
    <row r="3077" spans="1:7" ht="12" customHeight="1" outlineLevel="3" x14ac:dyDescent="0.2">
      <c r="A3077" s="14" t="s">
        <v>6063</v>
      </c>
      <c r="B3077" s="15" t="s">
        <v>6064</v>
      </c>
      <c r="C3077" s="19">
        <f>1159.82/(1+B2)</f>
        <v>1159.82</v>
      </c>
      <c r="D3077" s="17" t="s">
        <v>11</v>
      </c>
      <c r="E3077" s="17"/>
      <c r="F3077" s="18"/>
      <c r="G3077" s="36" t="str">
        <f>IF(ISNUMBER(F3077),C3077*F3077,"")</f>
        <v/>
      </c>
    </row>
    <row r="3078" spans="1:7" ht="12" customHeight="1" outlineLevel="3" x14ac:dyDescent="0.2">
      <c r="A3078" s="14" t="s">
        <v>6065</v>
      </c>
      <c r="B3078" s="15" t="s">
        <v>6066</v>
      </c>
      <c r="C3078" s="19">
        <f>1115.52/(1+B2)</f>
        <v>1115.52</v>
      </c>
      <c r="D3078" s="17" t="s">
        <v>11</v>
      </c>
      <c r="E3078" s="17"/>
      <c r="F3078" s="18"/>
      <c r="G3078" s="36" t="str">
        <f>IF(ISNUMBER(F3078),C3078*F3078,"")</f>
        <v/>
      </c>
    </row>
    <row r="3079" spans="1:7" ht="12" customHeight="1" outlineLevel="3" x14ac:dyDescent="0.2">
      <c r="A3079" s="14" t="s">
        <v>6067</v>
      </c>
      <c r="B3079" s="15" t="s">
        <v>6068</v>
      </c>
      <c r="C3079" s="19">
        <f>1343.72/(1+B2)</f>
        <v>1343.72</v>
      </c>
      <c r="D3079" s="17" t="s">
        <v>11</v>
      </c>
      <c r="E3079" s="17"/>
      <c r="F3079" s="18"/>
      <c r="G3079" s="36" t="str">
        <f>IF(ISNUMBER(F3079),C3079*F3079,"")</f>
        <v/>
      </c>
    </row>
    <row r="3080" spans="1:7" ht="12" customHeight="1" outlineLevel="3" x14ac:dyDescent="0.2">
      <c r="A3080" s="14" t="s">
        <v>6069</v>
      </c>
      <c r="B3080" s="15" t="s">
        <v>6070</v>
      </c>
      <c r="C3080" s="16">
        <f>967.85/(1+B2)</f>
        <v>967.85</v>
      </c>
      <c r="D3080" s="17" t="s">
        <v>11</v>
      </c>
      <c r="E3080" s="17"/>
      <c r="F3080" s="18"/>
      <c r="G3080" s="36" t="str">
        <f>IF(ISNUMBER(F3080),C3080*F3080,"")</f>
        <v/>
      </c>
    </row>
    <row r="3081" spans="1:7" ht="12" customHeight="1" outlineLevel="3" x14ac:dyDescent="0.2">
      <c r="A3081" s="14" t="s">
        <v>6071</v>
      </c>
      <c r="B3081" s="15" t="s">
        <v>6072</v>
      </c>
      <c r="C3081" s="19">
        <f>1088.67/(1+B2)</f>
        <v>1088.67</v>
      </c>
      <c r="D3081" s="17" t="s">
        <v>11</v>
      </c>
      <c r="E3081" s="17"/>
      <c r="F3081" s="18"/>
      <c r="G3081" s="36" t="str">
        <f>IF(ISNUMBER(F3081),C3081*F3081,"")</f>
        <v/>
      </c>
    </row>
    <row r="3082" spans="1:7" ht="24" customHeight="1" outlineLevel="3" x14ac:dyDescent="0.2">
      <c r="A3082" s="14" t="s">
        <v>6073</v>
      </c>
      <c r="B3082" s="15" t="s">
        <v>6074</v>
      </c>
      <c r="C3082" s="19">
        <f>1899.48/(1+B2)</f>
        <v>1899.48</v>
      </c>
      <c r="D3082" s="17" t="s">
        <v>11</v>
      </c>
      <c r="E3082" s="17"/>
      <c r="F3082" s="18"/>
      <c r="G3082" s="36" t="str">
        <f>IF(ISNUMBER(F3082),C3082*F3082,"")</f>
        <v/>
      </c>
    </row>
    <row r="3083" spans="1:7" ht="12" customHeight="1" outlineLevel="3" x14ac:dyDescent="0.2">
      <c r="A3083" s="14" t="s">
        <v>6075</v>
      </c>
      <c r="B3083" s="15" t="s">
        <v>6076</v>
      </c>
      <c r="C3083" s="19">
        <f>1496.74/(1+B2)</f>
        <v>1496.74</v>
      </c>
      <c r="D3083" s="17" t="s">
        <v>11</v>
      </c>
      <c r="E3083" s="17"/>
      <c r="F3083" s="18"/>
      <c r="G3083" s="36" t="str">
        <f>IF(ISNUMBER(F3083),C3083*F3083,"")</f>
        <v/>
      </c>
    </row>
    <row r="3084" spans="1:7" ht="24" customHeight="1" outlineLevel="3" x14ac:dyDescent="0.2">
      <c r="A3084" s="14" t="s">
        <v>6077</v>
      </c>
      <c r="B3084" s="15" t="s">
        <v>6078</v>
      </c>
      <c r="C3084" s="19">
        <f>1928.35/(1+B2)</f>
        <v>1928.35</v>
      </c>
      <c r="D3084" s="17" t="s">
        <v>11</v>
      </c>
      <c r="E3084" s="17"/>
      <c r="F3084" s="18"/>
      <c r="G3084" s="36" t="str">
        <f>IF(ISNUMBER(F3084),C3084*F3084,"")</f>
        <v/>
      </c>
    </row>
    <row r="3085" spans="1:7" ht="24" customHeight="1" outlineLevel="3" x14ac:dyDescent="0.2">
      <c r="A3085" s="14" t="s">
        <v>6079</v>
      </c>
      <c r="B3085" s="15" t="s">
        <v>6080</v>
      </c>
      <c r="C3085" s="19">
        <f>1548.89/(1+B2)</f>
        <v>1548.89</v>
      </c>
      <c r="D3085" s="17" t="s">
        <v>11</v>
      </c>
      <c r="E3085" s="17"/>
      <c r="F3085" s="18"/>
      <c r="G3085" s="36" t="str">
        <f>IF(ISNUMBER(F3085),C3085*F3085,"")</f>
        <v/>
      </c>
    </row>
    <row r="3086" spans="1:7" ht="12" customHeight="1" outlineLevel="3" x14ac:dyDescent="0.2">
      <c r="A3086" s="14" t="s">
        <v>6081</v>
      </c>
      <c r="B3086" s="15" t="s">
        <v>6082</v>
      </c>
      <c r="C3086" s="19">
        <f>1206.81/(1+B2)</f>
        <v>1206.81</v>
      </c>
      <c r="D3086" s="17" t="s">
        <v>11</v>
      </c>
      <c r="E3086" s="17"/>
      <c r="F3086" s="18"/>
      <c r="G3086" s="36" t="str">
        <f>IF(ISNUMBER(F3086),C3086*F3086,"")</f>
        <v/>
      </c>
    </row>
    <row r="3087" spans="1:7" ht="12" customHeight="1" outlineLevel="3" x14ac:dyDescent="0.2">
      <c r="A3087" s="14" t="s">
        <v>6083</v>
      </c>
      <c r="B3087" s="15" t="s">
        <v>6084</v>
      </c>
      <c r="C3087" s="16">
        <f>829.44/(1+B2)</f>
        <v>829.44</v>
      </c>
      <c r="D3087" s="17" t="s">
        <v>11</v>
      </c>
      <c r="E3087" s="17"/>
      <c r="F3087" s="18"/>
      <c r="G3087" s="36" t="str">
        <f>IF(ISNUMBER(F3087),C3087*F3087,"")</f>
        <v/>
      </c>
    </row>
    <row r="3088" spans="1:7" ht="12" customHeight="1" outlineLevel="3" x14ac:dyDescent="0.2">
      <c r="A3088" s="14" t="s">
        <v>6085</v>
      </c>
      <c r="B3088" s="15" t="s">
        <v>6086</v>
      </c>
      <c r="C3088" s="16">
        <f>332.93/(1+B2)</f>
        <v>332.93</v>
      </c>
      <c r="D3088" s="17" t="s">
        <v>14</v>
      </c>
      <c r="E3088" s="17"/>
      <c r="F3088" s="18"/>
      <c r="G3088" s="36" t="str">
        <f>IF(ISNUMBER(F3088),C3088*F3088,"")</f>
        <v/>
      </c>
    </row>
    <row r="3089" spans="1:7" ht="12" customHeight="1" outlineLevel="3" x14ac:dyDescent="0.2">
      <c r="A3089" s="14" t="s">
        <v>6087</v>
      </c>
      <c r="B3089" s="15" t="s">
        <v>6088</v>
      </c>
      <c r="C3089" s="19">
        <f>1443.08/(1+B2)</f>
        <v>1443.08</v>
      </c>
      <c r="D3089" s="17" t="s">
        <v>11</v>
      </c>
      <c r="E3089" s="17"/>
      <c r="F3089" s="18"/>
      <c r="G3089" s="36" t="str">
        <f>IF(ISNUMBER(F3089),C3089*F3089,"")</f>
        <v/>
      </c>
    </row>
    <row r="3090" spans="1:7" ht="12" customHeight="1" outlineLevel="3" x14ac:dyDescent="0.2">
      <c r="A3090" s="14" t="s">
        <v>6089</v>
      </c>
      <c r="B3090" s="15" t="s">
        <v>6090</v>
      </c>
      <c r="C3090" s="19">
        <f>1823.82/(1+B2)</f>
        <v>1823.82</v>
      </c>
      <c r="D3090" s="17" t="s">
        <v>11</v>
      </c>
      <c r="E3090" s="17"/>
      <c r="F3090" s="18"/>
      <c r="G3090" s="36" t="str">
        <f>IF(ISNUMBER(F3090),C3090*F3090,"")</f>
        <v/>
      </c>
    </row>
    <row r="3091" spans="1:7" s="1" customFormat="1" ht="12.95" customHeight="1" outlineLevel="2" x14ac:dyDescent="0.2">
      <c r="A3091" s="20"/>
      <c r="B3091" s="21" t="s">
        <v>6091</v>
      </c>
      <c r="C3091" s="22"/>
      <c r="D3091" s="22"/>
      <c r="E3091" s="22"/>
      <c r="F3091" s="22"/>
      <c r="G3091" s="37"/>
    </row>
    <row r="3092" spans="1:7" ht="12" customHeight="1" outlineLevel="3" x14ac:dyDescent="0.2">
      <c r="A3092" s="14" t="s">
        <v>6092</v>
      </c>
      <c r="B3092" s="15" t="s">
        <v>6093</v>
      </c>
      <c r="C3092" s="19">
        <f>1691.16/(1+B2)</f>
        <v>1691.16</v>
      </c>
      <c r="D3092" s="17" t="s">
        <v>11</v>
      </c>
      <c r="E3092" s="17" t="s">
        <v>11</v>
      </c>
      <c r="F3092" s="18"/>
      <c r="G3092" s="36" t="str">
        <f>IF(ISNUMBER(F3092),C3092*F3092,"")</f>
        <v/>
      </c>
    </row>
    <row r="3093" spans="1:7" ht="12" customHeight="1" outlineLevel="3" x14ac:dyDescent="0.2">
      <c r="A3093" s="14" t="s">
        <v>6094</v>
      </c>
      <c r="B3093" s="15" t="s">
        <v>6095</v>
      </c>
      <c r="C3093" s="19">
        <f>1549.99/(1+B2)</f>
        <v>1549.99</v>
      </c>
      <c r="D3093" s="17" t="s">
        <v>11</v>
      </c>
      <c r="E3093" s="17"/>
      <c r="F3093" s="18"/>
      <c r="G3093" s="36" t="str">
        <f>IF(ISNUMBER(F3093),C3093*F3093,"")</f>
        <v/>
      </c>
    </row>
    <row r="3094" spans="1:7" ht="12" customHeight="1" outlineLevel="3" x14ac:dyDescent="0.2">
      <c r="A3094" s="14" t="s">
        <v>6096</v>
      </c>
      <c r="B3094" s="15" t="s">
        <v>6097</v>
      </c>
      <c r="C3094" s="19">
        <f>1488.71/(1+B2)</f>
        <v>1488.71</v>
      </c>
      <c r="D3094" s="17" t="s">
        <v>11</v>
      </c>
      <c r="E3094" s="17"/>
      <c r="F3094" s="18"/>
      <c r="G3094" s="36" t="str">
        <f>IF(ISNUMBER(F3094),C3094*F3094,"")</f>
        <v/>
      </c>
    </row>
    <row r="3095" spans="1:7" ht="12" customHeight="1" outlineLevel="3" x14ac:dyDescent="0.2">
      <c r="A3095" s="14" t="s">
        <v>6098</v>
      </c>
      <c r="B3095" s="15" t="s">
        <v>6099</v>
      </c>
      <c r="C3095" s="19">
        <f>2217.26/(1+B2)</f>
        <v>2217.2600000000002</v>
      </c>
      <c r="D3095" s="17" t="s">
        <v>11</v>
      </c>
      <c r="E3095" s="17"/>
      <c r="F3095" s="18"/>
      <c r="G3095" s="36" t="str">
        <f>IF(ISNUMBER(F3095),C3095*F3095,"")</f>
        <v/>
      </c>
    </row>
    <row r="3096" spans="1:7" ht="12" customHeight="1" outlineLevel="3" x14ac:dyDescent="0.2">
      <c r="A3096" s="14" t="s">
        <v>6100</v>
      </c>
      <c r="B3096" s="15" t="s">
        <v>6101</v>
      </c>
      <c r="C3096" s="19">
        <f>2225.62/(1+B2)</f>
        <v>2225.62</v>
      </c>
      <c r="D3096" s="17" t="s">
        <v>11</v>
      </c>
      <c r="E3096" s="17"/>
      <c r="F3096" s="18"/>
      <c r="G3096" s="36" t="str">
        <f>IF(ISNUMBER(F3096),C3096*F3096,"")</f>
        <v/>
      </c>
    </row>
    <row r="3097" spans="1:7" ht="12" customHeight="1" outlineLevel="3" x14ac:dyDescent="0.2">
      <c r="A3097" s="14" t="s">
        <v>6102</v>
      </c>
      <c r="B3097" s="15" t="s">
        <v>6103</v>
      </c>
      <c r="C3097" s="19">
        <f>2410.66/(1+B2)</f>
        <v>2410.66</v>
      </c>
      <c r="D3097" s="17" t="s">
        <v>11</v>
      </c>
      <c r="E3097" s="17"/>
      <c r="F3097" s="18"/>
      <c r="G3097" s="36" t="str">
        <f>IF(ISNUMBER(F3097),C3097*F3097,"")</f>
        <v/>
      </c>
    </row>
    <row r="3098" spans="1:7" ht="12" customHeight="1" outlineLevel="3" x14ac:dyDescent="0.2">
      <c r="A3098" s="14" t="s">
        <v>6104</v>
      </c>
      <c r="B3098" s="15" t="s">
        <v>6105</v>
      </c>
      <c r="C3098" s="19">
        <f>3025.25/(1+B2)</f>
        <v>3025.25</v>
      </c>
      <c r="D3098" s="17" t="s">
        <v>11</v>
      </c>
      <c r="E3098" s="17" t="s">
        <v>11</v>
      </c>
      <c r="F3098" s="18"/>
      <c r="G3098" s="36" t="str">
        <f>IF(ISNUMBER(F3098),C3098*F3098,"")</f>
        <v/>
      </c>
    </row>
    <row r="3099" spans="1:7" ht="12" customHeight="1" outlineLevel="3" x14ac:dyDescent="0.2">
      <c r="A3099" s="14" t="s">
        <v>6106</v>
      </c>
      <c r="B3099" s="15" t="s">
        <v>6107</v>
      </c>
      <c r="C3099" s="19">
        <f>3025.25/(1+B2)</f>
        <v>3025.25</v>
      </c>
      <c r="D3099" s="17" t="s">
        <v>11</v>
      </c>
      <c r="E3099" s="17" t="s">
        <v>11</v>
      </c>
      <c r="F3099" s="18"/>
      <c r="G3099" s="36" t="str">
        <f>IF(ISNUMBER(F3099),C3099*F3099,"")</f>
        <v/>
      </c>
    </row>
    <row r="3100" spans="1:7" ht="12" customHeight="1" outlineLevel="3" x14ac:dyDescent="0.2">
      <c r="A3100" s="14" t="s">
        <v>6108</v>
      </c>
      <c r="B3100" s="15" t="s">
        <v>6109</v>
      </c>
      <c r="C3100" s="16">
        <f>863.75/(1+B2)</f>
        <v>863.75</v>
      </c>
      <c r="D3100" s="17" t="s">
        <v>11</v>
      </c>
      <c r="E3100" s="17"/>
      <c r="F3100" s="18"/>
      <c r="G3100" s="36" t="str">
        <f>IF(ISNUMBER(F3100),C3100*F3100,"")</f>
        <v/>
      </c>
    </row>
    <row r="3101" spans="1:7" ht="12" customHeight="1" outlineLevel="3" x14ac:dyDescent="0.2">
      <c r="A3101" s="14" t="s">
        <v>6110</v>
      </c>
      <c r="B3101" s="15" t="s">
        <v>6111</v>
      </c>
      <c r="C3101" s="16">
        <f>863.46/(1+B2)</f>
        <v>863.46</v>
      </c>
      <c r="D3101" s="17" t="s">
        <v>11</v>
      </c>
      <c r="E3101" s="17" t="s">
        <v>11</v>
      </c>
      <c r="F3101" s="18"/>
      <c r="G3101" s="36" t="str">
        <f>IF(ISNUMBER(F3101),C3101*F3101,"")</f>
        <v/>
      </c>
    </row>
    <row r="3102" spans="1:7" ht="12" customHeight="1" outlineLevel="3" x14ac:dyDescent="0.2">
      <c r="A3102" s="14" t="s">
        <v>6112</v>
      </c>
      <c r="B3102" s="15" t="s">
        <v>6113</v>
      </c>
      <c r="C3102" s="16">
        <f>893.7/(1+B2)</f>
        <v>893.7</v>
      </c>
      <c r="D3102" s="17" t="s">
        <v>11</v>
      </c>
      <c r="E3102" s="17"/>
      <c r="F3102" s="18"/>
      <c r="G3102" s="36" t="str">
        <f>IF(ISNUMBER(F3102),C3102*F3102,"")</f>
        <v/>
      </c>
    </row>
    <row r="3103" spans="1:7" ht="12" customHeight="1" outlineLevel="3" x14ac:dyDescent="0.2">
      <c r="A3103" s="14" t="s">
        <v>6114</v>
      </c>
      <c r="B3103" s="15" t="s">
        <v>6115</v>
      </c>
      <c r="C3103" s="16">
        <f>752.83/(1+B2)</f>
        <v>752.83</v>
      </c>
      <c r="D3103" s="17" t="s">
        <v>11</v>
      </c>
      <c r="E3103" s="17"/>
      <c r="F3103" s="18"/>
      <c r="G3103" s="36" t="str">
        <f>IF(ISNUMBER(F3103),C3103*F3103,"")</f>
        <v/>
      </c>
    </row>
    <row r="3104" spans="1:7" ht="12" customHeight="1" outlineLevel="3" x14ac:dyDescent="0.2">
      <c r="A3104" s="14" t="s">
        <v>6116</v>
      </c>
      <c r="B3104" s="15" t="s">
        <v>6117</v>
      </c>
      <c r="C3104" s="19">
        <f>1046.92/(1+B2)</f>
        <v>1046.92</v>
      </c>
      <c r="D3104" s="17" t="s">
        <v>11</v>
      </c>
      <c r="E3104" s="17"/>
      <c r="F3104" s="18"/>
      <c r="G3104" s="36" t="str">
        <f>IF(ISNUMBER(F3104),C3104*F3104,"")</f>
        <v/>
      </c>
    </row>
    <row r="3105" spans="1:7" ht="12" customHeight="1" outlineLevel="3" x14ac:dyDescent="0.2">
      <c r="A3105" s="14" t="s">
        <v>6118</v>
      </c>
      <c r="B3105" s="15" t="s">
        <v>6119</v>
      </c>
      <c r="C3105" s="19">
        <f>1100.41/(1+B2)</f>
        <v>1100.4100000000001</v>
      </c>
      <c r="D3105" s="17" t="s">
        <v>11</v>
      </c>
      <c r="E3105" s="17"/>
      <c r="F3105" s="18"/>
      <c r="G3105" s="36" t="str">
        <f>IF(ISNUMBER(F3105),C3105*F3105,"")</f>
        <v/>
      </c>
    </row>
    <row r="3106" spans="1:7" ht="12" customHeight="1" outlineLevel="3" x14ac:dyDescent="0.2">
      <c r="A3106" s="14" t="s">
        <v>6120</v>
      </c>
      <c r="B3106" s="15" t="s">
        <v>6121</v>
      </c>
      <c r="C3106" s="19">
        <f>1046.74/(1+B2)</f>
        <v>1046.74</v>
      </c>
      <c r="D3106" s="17" t="s">
        <v>11</v>
      </c>
      <c r="E3106" s="17"/>
      <c r="F3106" s="18"/>
      <c r="G3106" s="36" t="str">
        <f>IF(ISNUMBER(F3106),C3106*F3106,"")</f>
        <v/>
      </c>
    </row>
    <row r="3107" spans="1:7" ht="12" customHeight="1" outlineLevel="3" x14ac:dyDescent="0.2">
      <c r="A3107" s="14" t="s">
        <v>6122</v>
      </c>
      <c r="B3107" s="15" t="s">
        <v>6123</v>
      </c>
      <c r="C3107" s="19">
        <f>1046.74/(1+B2)</f>
        <v>1046.74</v>
      </c>
      <c r="D3107" s="17" t="s">
        <v>11</v>
      </c>
      <c r="E3107" s="17"/>
      <c r="F3107" s="18"/>
      <c r="G3107" s="36" t="str">
        <f>IF(ISNUMBER(F3107),C3107*F3107,"")</f>
        <v/>
      </c>
    </row>
    <row r="3108" spans="1:7" ht="12" customHeight="1" outlineLevel="3" x14ac:dyDescent="0.2">
      <c r="A3108" s="14" t="s">
        <v>6124</v>
      </c>
      <c r="B3108" s="15" t="s">
        <v>6125</v>
      </c>
      <c r="C3108" s="16">
        <f>871.48/(1+B2)</f>
        <v>871.48</v>
      </c>
      <c r="D3108" s="17" t="s">
        <v>11</v>
      </c>
      <c r="E3108" s="17"/>
      <c r="F3108" s="18"/>
      <c r="G3108" s="36" t="str">
        <f>IF(ISNUMBER(F3108),C3108*F3108,"")</f>
        <v/>
      </c>
    </row>
    <row r="3109" spans="1:7" ht="12" customHeight="1" outlineLevel="3" x14ac:dyDescent="0.2">
      <c r="A3109" s="14" t="s">
        <v>6126</v>
      </c>
      <c r="B3109" s="15" t="s">
        <v>6127</v>
      </c>
      <c r="C3109" s="19">
        <f>1046.74/(1+B2)</f>
        <v>1046.74</v>
      </c>
      <c r="D3109" s="17" t="s">
        <v>11</v>
      </c>
      <c r="E3109" s="17"/>
      <c r="F3109" s="18"/>
      <c r="G3109" s="36" t="str">
        <f>IF(ISNUMBER(F3109),C3109*F3109,"")</f>
        <v/>
      </c>
    </row>
    <row r="3110" spans="1:7" ht="12" customHeight="1" outlineLevel="3" x14ac:dyDescent="0.2">
      <c r="A3110" s="14" t="s">
        <v>6128</v>
      </c>
      <c r="B3110" s="15" t="s">
        <v>6129</v>
      </c>
      <c r="C3110" s="19">
        <f>1056.74/(1+B2)</f>
        <v>1056.74</v>
      </c>
      <c r="D3110" s="17" t="s">
        <v>11</v>
      </c>
      <c r="E3110" s="17"/>
      <c r="F3110" s="18"/>
      <c r="G3110" s="36" t="str">
        <f>IF(ISNUMBER(F3110),C3110*F3110,"")</f>
        <v/>
      </c>
    </row>
    <row r="3111" spans="1:7" ht="24" customHeight="1" outlineLevel="3" x14ac:dyDescent="0.2">
      <c r="A3111" s="14" t="s">
        <v>6130</v>
      </c>
      <c r="B3111" s="15" t="s">
        <v>6131</v>
      </c>
      <c r="C3111" s="19">
        <f>1046.74/(1+B2)</f>
        <v>1046.74</v>
      </c>
      <c r="D3111" s="17" t="s">
        <v>11</v>
      </c>
      <c r="E3111" s="17"/>
      <c r="F3111" s="18"/>
      <c r="G3111" s="36" t="str">
        <f>IF(ISNUMBER(F3111),C3111*F3111,"")</f>
        <v/>
      </c>
    </row>
    <row r="3112" spans="1:7" ht="12" customHeight="1" outlineLevel="3" x14ac:dyDescent="0.2">
      <c r="A3112" s="14" t="s">
        <v>6132</v>
      </c>
      <c r="B3112" s="15" t="s">
        <v>6133</v>
      </c>
      <c r="C3112" s="16">
        <f>432.9/(1+B2)</f>
        <v>432.9</v>
      </c>
      <c r="D3112" s="17" t="s">
        <v>11</v>
      </c>
      <c r="E3112" s="17"/>
      <c r="F3112" s="18"/>
      <c r="G3112" s="36" t="str">
        <f>IF(ISNUMBER(F3112),C3112*F3112,"")</f>
        <v/>
      </c>
    </row>
    <row r="3113" spans="1:7" ht="12" customHeight="1" outlineLevel="3" x14ac:dyDescent="0.2">
      <c r="A3113" s="14" t="s">
        <v>6134</v>
      </c>
      <c r="B3113" s="15" t="s">
        <v>6135</v>
      </c>
      <c r="C3113" s="16">
        <f>365.53/(1+B2)</f>
        <v>365.53</v>
      </c>
      <c r="D3113" s="17" t="s">
        <v>11</v>
      </c>
      <c r="E3113" s="17"/>
      <c r="F3113" s="18"/>
      <c r="G3113" s="36" t="str">
        <f>IF(ISNUMBER(F3113),C3113*F3113,"")</f>
        <v/>
      </c>
    </row>
    <row r="3114" spans="1:7" ht="12" customHeight="1" outlineLevel="3" x14ac:dyDescent="0.2">
      <c r="A3114" s="14" t="s">
        <v>6136</v>
      </c>
      <c r="B3114" s="15" t="s">
        <v>6137</v>
      </c>
      <c r="C3114" s="16">
        <f>432.9/(1+B2)</f>
        <v>432.9</v>
      </c>
      <c r="D3114" s="17" t="s">
        <v>11</v>
      </c>
      <c r="E3114" s="17"/>
      <c r="F3114" s="18"/>
      <c r="G3114" s="36" t="str">
        <f>IF(ISNUMBER(F3114),C3114*F3114,"")</f>
        <v/>
      </c>
    </row>
    <row r="3115" spans="1:7" ht="12" customHeight="1" outlineLevel="3" x14ac:dyDescent="0.2">
      <c r="A3115" s="14" t="s">
        <v>6138</v>
      </c>
      <c r="B3115" s="15" t="s">
        <v>6139</v>
      </c>
      <c r="C3115" s="16">
        <f>365.53/(1+B2)</f>
        <v>365.53</v>
      </c>
      <c r="D3115" s="17" t="s">
        <v>11</v>
      </c>
      <c r="E3115" s="17"/>
      <c r="F3115" s="18"/>
      <c r="G3115" s="36" t="str">
        <f>IF(ISNUMBER(F3115),C3115*F3115,"")</f>
        <v/>
      </c>
    </row>
    <row r="3116" spans="1:7" ht="12" customHeight="1" outlineLevel="3" x14ac:dyDescent="0.2">
      <c r="A3116" s="14" t="s">
        <v>6140</v>
      </c>
      <c r="B3116" s="15" t="s">
        <v>6141</v>
      </c>
      <c r="C3116" s="16">
        <f>799.72/(1+B2)</f>
        <v>799.72</v>
      </c>
      <c r="D3116" s="17" t="s">
        <v>11</v>
      </c>
      <c r="E3116" s="17"/>
      <c r="F3116" s="18"/>
      <c r="G3116" s="36" t="str">
        <f>IF(ISNUMBER(F3116),C3116*F3116,"")</f>
        <v/>
      </c>
    </row>
    <row r="3117" spans="1:7" ht="12" customHeight="1" outlineLevel="3" x14ac:dyDescent="0.2">
      <c r="A3117" s="14" t="s">
        <v>6142</v>
      </c>
      <c r="B3117" s="15" t="s">
        <v>6143</v>
      </c>
      <c r="C3117" s="16">
        <f>764.96/(1+B2)</f>
        <v>764.96</v>
      </c>
      <c r="D3117" s="17" t="s">
        <v>11</v>
      </c>
      <c r="E3117" s="17"/>
      <c r="F3117" s="18"/>
      <c r="G3117" s="36" t="str">
        <f>IF(ISNUMBER(F3117),C3117*F3117,"")</f>
        <v/>
      </c>
    </row>
    <row r="3118" spans="1:7" ht="12" customHeight="1" outlineLevel="3" x14ac:dyDescent="0.2">
      <c r="A3118" s="14" t="s">
        <v>6144</v>
      </c>
      <c r="B3118" s="15" t="s">
        <v>6145</v>
      </c>
      <c r="C3118" s="16">
        <f>799.72/(1+B2)</f>
        <v>799.72</v>
      </c>
      <c r="D3118" s="17" t="s">
        <v>11</v>
      </c>
      <c r="E3118" s="17"/>
      <c r="F3118" s="18"/>
      <c r="G3118" s="36" t="str">
        <f>IF(ISNUMBER(F3118),C3118*F3118,"")</f>
        <v/>
      </c>
    </row>
    <row r="3119" spans="1:7" ht="12" customHeight="1" outlineLevel="3" x14ac:dyDescent="0.2">
      <c r="A3119" s="14" t="s">
        <v>6146</v>
      </c>
      <c r="B3119" s="15" t="s">
        <v>6147</v>
      </c>
      <c r="C3119" s="16">
        <f>727.64/(1+B2)</f>
        <v>727.64</v>
      </c>
      <c r="D3119" s="17" t="s">
        <v>11</v>
      </c>
      <c r="E3119" s="17"/>
      <c r="F3119" s="18"/>
      <c r="G3119" s="36" t="str">
        <f>IF(ISNUMBER(F3119),C3119*F3119,"")</f>
        <v/>
      </c>
    </row>
    <row r="3120" spans="1:7" ht="12" customHeight="1" outlineLevel="3" x14ac:dyDescent="0.2">
      <c r="A3120" s="14" t="s">
        <v>6148</v>
      </c>
      <c r="B3120" s="15" t="s">
        <v>6149</v>
      </c>
      <c r="C3120" s="16">
        <f>694.74/(1+B2)</f>
        <v>694.74</v>
      </c>
      <c r="D3120" s="17" t="s">
        <v>11</v>
      </c>
      <c r="E3120" s="17"/>
      <c r="F3120" s="18"/>
      <c r="G3120" s="36" t="str">
        <f>IF(ISNUMBER(F3120),C3120*F3120,"")</f>
        <v/>
      </c>
    </row>
    <row r="3121" spans="1:7" ht="12" customHeight="1" outlineLevel="3" x14ac:dyDescent="0.2">
      <c r="A3121" s="14" t="s">
        <v>6150</v>
      </c>
      <c r="B3121" s="15" t="s">
        <v>6151</v>
      </c>
      <c r="C3121" s="16">
        <f>918.11/(1+B2)</f>
        <v>918.11</v>
      </c>
      <c r="D3121" s="17" t="s">
        <v>11</v>
      </c>
      <c r="E3121" s="17" t="s">
        <v>11</v>
      </c>
      <c r="F3121" s="18"/>
      <c r="G3121" s="36" t="str">
        <f>IF(ISNUMBER(F3121),C3121*F3121,"")</f>
        <v/>
      </c>
    </row>
    <row r="3122" spans="1:7" ht="12" customHeight="1" outlineLevel="3" x14ac:dyDescent="0.2">
      <c r="A3122" s="14" t="s">
        <v>6152</v>
      </c>
      <c r="B3122" s="15" t="s">
        <v>6153</v>
      </c>
      <c r="C3122" s="16">
        <f>752.44/(1+B2)</f>
        <v>752.44</v>
      </c>
      <c r="D3122" s="17" t="s">
        <v>11</v>
      </c>
      <c r="E3122" s="17"/>
      <c r="F3122" s="18"/>
      <c r="G3122" s="36" t="str">
        <f>IF(ISNUMBER(F3122),C3122*F3122,"")</f>
        <v/>
      </c>
    </row>
    <row r="3123" spans="1:7" ht="12" customHeight="1" outlineLevel="3" x14ac:dyDescent="0.2">
      <c r="A3123" s="14" t="s">
        <v>6154</v>
      </c>
      <c r="B3123" s="15" t="s">
        <v>6155</v>
      </c>
      <c r="C3123" s="16">
        <f>598.27/(1+B2)</f>
        <v>598.27</v>
      </c>
      <c r="D3123" s="17" t="s">
        <v>11</v>
      </c>
      <c r="E3123" s="17"/>
      <c r="F3123" s="18"/>
      <c r="G3123" s="36" t="str">
        <f>IF(ISNUMBER(F3123),C3123*F3123,"")</f>
        <v/>
      </c>
    </row>
    <row r="3124" spans="1:7" ht="12" customHeight="1" outlineLevel="3" x14ac:dyDescent="0.2">
      <c r="A3124" s="14" t="s">
        <v>6156</v>
      </c>
      <c r="B3124" s="15" t="s">
        <v>6157</v>
      </c>
      <c r="C3124" s="16">
        <f>523.09/(1+B2)</f>
        <v>523.09</v>
      </c>
      <c r="D3124" s="17" t="s">
        <v>11</v>
      </c>
      <c r="E3124" s="17"/>
      <c r="F3124" s="18"/>
      <c r="G3124" s="36" t="str">
        <f>IF(ISNUMBER(F3124),C3124*F3124,"")</f>
        <v/>
      </c>
    </row>
    <row r="3125" spans="1:7" ht="12" customHeight="1" outlineLevel="3" x14ac:dyDescent="0.2">
      <c r="A3125" s="14" t="s">
        <v>6158</v>
      </c>
      <c r="B3125" s="15" t="s">
        <v>6159</v>
      </c>
      <c r="C3125" s="16">
        <f>598.27/(1+B2)</f>
        <v>598.27</v>
      </c>
      <c r="D3125" s="17" t="s">
        <v>11</v>
      </c>
      <c r="E3125" s="17"/>
      <c r="F3125" s="18"/>
      <c r="G3125" s="36" t="str">
        <f>IF(ISNUMBER(F3125),C3125*F3125,"")</f>
        <v/>
      </c>
    </row>
    <row r="3126" spans="1:7" ht="12" customHeight="1" outlineLevel="3" x14ac:dyDescent="0.2">
      <c r="A3126" s="14" t="s">
        <v>6160</v>
      </c>
      <c r="B3126" s="15" t="s">
        <v>6161</v>
      </c>
      <c r="C3126" s="16">
        <f>523.09/(1+B2)</f>
        <v>523.09</v>
      </c>
      <c r="D3126" s="17" t="s">
        <v>11</v>
      </c>
      <c r="E3126" s="17"/>
      <c r="F3126" s="18"/>
      <c r="G3126" s="36" t="str">
        <f>IF(ISNUMBER(F3126),C3126*F3126,"")</f>
        <v/>
      </c>
    </row>
    <row r="3127" spans="1:7" ht="12" customHeight="1" outlineLevel="3" x14ac:dyDescent="0.2">
      <c r="A3127" s="14" t="s">
        <v>6162</v>
      </c>
      <c r="B3127" s="15" t="s">
        <v>6163</v>
      </c>
      <c r="C3127" s="16">
        <f>701.9/(1+B2)</f>
        <v>701.9</v>
      </c>
      <c r="D3127" s="17" t="s">
        <v>11</v>
      </c>
      <c r="E3127" s="17"/>
      <c r="F3127" s="18"/>
      <c r="G3127" s="36" t="str">
        <f>IF(ISNUMBER(F3127),C3127*F3127,"")</f>
        <v/>
      </c>
    </row>
    <row r="3128" spans="1:7" ht="12" customHeight="1" outlineLevel="3" x14ac:dyDescent="0.2">
      <c r="A3128" s="14" t="s">
        <v>6164</v>
      </c>
      <c r="B3128" s="15" t="s">
        <v>6165</v>
      </c>
      <c r="C3128" s="16">
        <f>701.9/(1+B2)</f>
        <v>701.9</v>
      </c>
      <c r="D3128" s="17" t="s">
        <v>11</v>
      </c>
      <c r="E3128" s="17"/>
      <c r="F3128" s="18"/>
      <c r="G3128" s="36" t="str">
        <f>IF(ISNUMBER(F3128),C3128*F3128,"")</f>
        <v/>
      </c>
    </row>
    <row r="3129" spans="1:7" ht="12" customHeight="1" outlineLevel="3" x14ac:dyDescent="0.2">
      <c r="A3129" s="14" t="s">
        <v>6166</v>
      </c>
      <c r="B3129" s="15" t="s">
        <v>6167</v>
      </c>
      <c r="C3129" s="16">
        <f>594.36/(1+B2)</f>
        <v>594.36</v>
      </c>
      <c r="D3129" s="17" t="s">
        <v>11</v>
      </c>
      <c r="E3129" s="17"/>
      <c r="F3129" s="18"/>
      <c r="G3129" s="36" t="str">
        <f>IF(ISNUMBER(F3129),C3129*F3129,"")</f>
        <v/>
      </c>
    </row>
    <row r="3130" spans="1:7" s="1" customFormat="1" ht="12.95" customHeight="1" outlineLevel="2" x14ac:dyDescent="0.2">
      <c r="A3130" s="20"/>
      <c r="B3130" s="21" t="s">
        <v>6168</v>
      </c>
      <c r="C3130" s="22"/>
      <c r="D3130" s="22"/>
      <c r="E3130" s="22"/>
      <c r="F3130" s="22"/>
      <c r="G3130" s="37"/>
    </row>
    <row r="3131" spans="1:7" ht="24" customHeight="1" outlineLevel="3" x14ac:dyDescent="0.2">
      <c r="A3131" s="14" t="s">
        <v>6169</v>
      </c>
      <c r="B3131" s="15" t="s">
        <v>6170</v>
      </c>
      <c r="C3131" s="19">
        <f>2567.08/(1+B2)</f>
        <v>2567.08</v>
      </c>
      <c r="D3131" s="17" t="s">
        <v>11</v>
      </c>
      <c r="E3131" s="17" t="s">
        <v>11</v>
      </c>
      <c r="F3131" s="18"/>
      <c r="G3131" s="36" t="str">
        <f>IF(ISNUMBER(F3131),C3131*F3131,"")</f>
        <v/>
      </c>
    </row>
    <row r="3132" spans="1:7" ht="24" customHeight="1" outlineLevel="3" x14ac:dyDescent="0.2">
      <c r="A3132" s="14" t="s">
        <v>6171</v>
      </c>
      <c r="B3132" s="15" t="s">
        <v>6172</v>
      </c>
      <c r="C3132" s="19">
        <f>2567.08/(1+B2)</f>
        <v>2567.08</v>
      </c>
      <c r="D3132" s="17" t="s">
        <v>11</v>
      </c>
      <c r="E3132" s="17" t="s">
        <v>11</v>
      </c>
      <c r="F3132" s="18"/>
      <c r="G3132" s="36" t="str">
        <f>IF(ISNUMBER(F3132),C3132*F3132,"")</f>
        <v/>
      </c>
    </row>
    <row r="3133" spans="1:7" ht="24" customHeight="1" outlineLevel="3" x14ac:dyDescent="0.2">
      <c r="A3133" s="14" t="s">
        <v>6173</v>
      </c>
      <c r="B3133" s="15" t="s">
        <v>6174</v>
      </c>
      <c r="C3133" s="19">
        <f>2427.61/(1+B2)</f>
        <v>2427.61</v>
      </c>
      <c r="D3133" s="17" t="s">
        <v>11</v>
      </c>
      <c r="E3133" s="17" t="s">
        <v>11</v>
      </c>
      <c r="F3133" s="18"/>
      <c r="G3133" s="36" t="str">
        <f>IF(ISNUMBER(F3133),C3133*F3133,"")</f>
        <v/>
      </c>
    </row>
    <row r="3134" spans="1:7" ht="24" customHeight="1" outlineLevel="3" x14ac:dyDescent="0.2">
      <c r="A3134" s="14" t="s">
        <v>6175</v>
      </c>
      <c r="B3134" s="15" t="s">
        <v>6176</v>
      </c>
      <c r="C3134" s="19">
        <f>2552.1/(1+B2)</f>
        <v>2552.1</v>
      </c>
      <c r="D3134" s="17" t="s">
        <v>11</v>
      </c>
      <c r="E3134" s="17"/>
      <c r="F3134" s="18"/>
      <c r="G3134" s="36" t="str">
        <f>IF(ISNUMBER(F3134),C3134*F3134,"")</f>
        <v/>
      </c>
    </row>
    <row r="3135" spans="1:7" ht="24" customHeight="1" outlineLevel="3" x14ac:dyDescent="0.2">
      <c r="A3135" s="14" t="s">
        <v>6177</v>
      </c>
      <c r="B3135" s="15" t="s">
        <v>6178</v>
      </c>
      <c r="C3135" s="19">
        <f>2593.38/(1+B2)</f>
        <v>2593.38</v>
      </c>
      <c r="D3135" s="17" t="s">
        <v>11</v>
      </c>
      <c r="E3135" s="17" t="s">
        <v>11</v>
      </c>
      <c r="F3135" s="18"/>
      <c r="G3135" s="36" t="str">
        <f>IF(ISNUMBER(F3135),C3135*F3135,"")</f>
        <v/>
      </c>
    </row>
    <row r="3136" spans="1:7" ht="24" customHeight="1" outlineLevel="3" x14ac:dyDescent="0.2">
      <c r="A3136" s="14" t="s">
        <v>6179</v>
      </c>
      <c r="B3136" s="15" t="s">
        <v>6180</v>
      </c>
      <c r="C3136" s="19">
        <f>2593.38/(1+B2)</f>
        <v>2593.38</v>
      </c>
      <c r="D3136" s="17" t="s">
        <v>11</v>
      </c>
      <c r="E3136" s="17" t="s">
        <v>11</v>
      </c>
      <c r="F3136" s="18"/>
      <c r="G3136" s="36" t="str">
        <f>IF(ISNUMBER(F3136),C3136*F3136,"")</f>
        <v/>
      </c>
    </row>
    <row r="3137" spans="1:7" ht="24" customHeight="1" outlineLevel="3" x14ac:dyDescent="0.2">
      <c r="A3137" s="14" t="s">
        <v>6181</v>
      </c>
      <c r="B3137" s="15" t="s">
        <v>6182</v>
      </c>
      <c r="C3137" s="19">
        <f>2262.61/(1+B2)</f>
        <v>2262.61</v>
      </c>
      <c r="D3137" s="17" t="s">
        <v>11</v>
      </c>
      <c r="E3137" s="17"/>
      <c r="F3137" s="18"/>
      <c r="G3137" s="36" t="str">
        <f>IF(ISNUMBER(F3137),C3137*F3137,"")</f>
        <v/>
      </c>
    </row>
    <row r="3138" spans="1:7" ht="24" customHeight="1" outlineLevel="3" x14ac:dyDescent="0.2">
      <c r="A3138" s="14" t="s">
        <v>6183</v>
      </c>
      <c r="B3138" s="15" t="s">
        <v>6184</v>
      </c>
      <c r="C3138" s="19">
        <f>2427.61/(1+B2)</f>
        <v>2427.61</v>
      </c>
      <c r="D3138" s="17" t="s">
        <v>11</v>
      </c>
      <c r="E3138" s="17" t="s">
        <v>11</v>
      </c>
      <c r="F3138" s="18"/>
      <c r="G3138" s="36" t="str">
        <f>IF(ISNUMBER(F3138),C3138*F3138,"")</f>
        <v/>
      </c>
    </row>
    <row r="3139" spans="1:7" ht="24" customHeight="1" outlineLevel="3" x14ac:dyDescent="0.2">
      <c r="A3139" s="14" t="s">
        <v>6185</v>
      </c>
      <c r="B3139" s="15" t="s">
        <v>6186</v>
      </c>
      <c r="C3139" s="19">
        <f>2307.74/(1+B2)</f>
        <v>2307.7399999999998</v>
      </c>
      <c r="D3139" s="17" t="s">
        <v>11</v>
      </c>
      <c r="E3139" s="17"/>
      <c r="F3139" s="18"/>
      <c r="G3139" s="36" t="str">
        <f>IF(ISNUMBER(F3139),C3139*F3139,"")</f>
        <v/>
      </c>
    </row>
    <row r="3140" spans="1:7" ht="24" customHeight="1" outlineLevel="3" x14ac:dyDescent="0.2">
      <c r="A3140" s="14" t="s">
        <v>6187</v>
      </c>
      <c r="B3140" s="15" t="s">
        <v>6188</v>
      </c>
      <c r="C3140" s="19">
        <f>2670.97/(1+B2)</f>
        <v>2670.97</v>
      </c>
      <c r="D3140" s="17" t="s">
        <v>11</v>
      </c>
      <c r="E3140" s="17"/>
      <c r="F3140" s="18"/>
      <c r="G3140" s="36" t="str">
        <f>IF(ISNUMBER(F3140),C3140*F3140,"")</f>
        <v/>
      </c>
    </row>
    <row r="3141" spans="1:7" ht="24" customHeight="1" outlineLevel="3" x14ac:dyDescent="0.2">
      <c r="A3141" s="14" t="s">
        <v>6189</v>
      </c>
      <c r="B3141" s="15" t="s">
        <v>6190</v>
      </c>
      <c r="C3141" s="19">
        <f>2670.97/(1+B2)</f>
        <v>2670.97</v>
      </c>
      <c r="D3141" s="17" t="s">
        <v>11</v>
      </c>
      <c r="E3141" s="17" t="s">
        <v>11</v>
      </c>
      <c r="F3141" s="18"/>
      <c r="G3141" s="36" t="str">
        <f>IF(ISNUMBER(F3141),C3141*F3141,"")</f>
        <v/>
      </c>
    </row>
    <row r="3142" spans="1:7" ht="24" customHeight="1" outlineLevel="3" x14ac:dyDescent="0.2">
      <c r="A3142" s="14" t="s">
        <v>6191</v>
      </c>
      <c r="B3142" s="15" t="s">
        <v>6192</v>
      </c>
      <c r="C3142" s="16">
        <f>720.16/(1+B2)</f>
        <v>720.16</v>
      </c>
      <c r="D3142" s="17" t="s">
        <v>11</v>
      </c>
      <c r="E3142" s="17"/>
      <c r="F3142" s="18"/>
      <c r="G3142" s="36" t="str">
        <f>IF(ISNUMBER(F3142),C3142*F3142,"")</f>
        <v/>
      </c>
    </row>
    <row r="3143" spans="1:7" ht="12" customHeight="1" outlineLevel="3" x14ac:dyDescent="0.2">
      <c r="A3143" s="14" t="s">
        <v>6193</v>
      </c>
      <c r="B3143" s="15" t="s">
        <v>6194</v>
      </c>
      <c r="C3143" s="16">
        <f>689.89/(1+B2)</f>
        <v>689.89</v>
      </c>
      <c r="D3143" s="17" t="s">
        <v>11</v>
      </c>
      <c r="E3143" s="17"/>
      <c r="F3143" s="18"/>
      <c r="G3143" s="36" t="str">
        <f>IF(ISNUMBER(F3143),C3143*F3143,"")</f>
        <v/>
      </c>
    </row>
    <row r="3144" spans="1:7" ht="24" customHeight="1" outlineLevel="3" x14ac:dyDescent="0.2">
      <c r="A3144" s="14" t="s">
        <v>6195</v>
      </c>
      <c r="B3144" s="15" t="s">
        <v>6196</v>
      </c>
      <c r="C3144" s="16">
        <f>738.7/(1+B2)</f>
        <v>738.7</v>
      </c>
      <c r="D3144" s="17" t="s">
        <v>11</v>
      </c>
      <c r="E3144" s="17"/>
      <c r="F3144" s="18"/>
      <c r="G3144" s="36" t="str">
        <f>IF(ISNUMBER(F3144),C3144*F3144,"")</f>
        <v/>
      </c>
    </row>
    <row r="3145" spans="1:7" ht="24" customHeight="1" outlineLevel="3" x14ac:dyDescent="0.2">
      <c r="A3145" s="14" t="s">
        <v>6197</v>
      </c>
      <c r="B3145" s="15" t="s">
        <v>6198</v>
      </c>
      <c r="C3145" s="16">
        <f>830.6/(1+B2)</f>
        <v>830.6</v>
      </c>
      <c r="D3145" s="17" t="s">
        <v>11</v>
      </c>
      <c r="E3145" s="17"/>
      <c r="F3145" s="18"/>
      <c r="G3145" s="36" t="str">
        <f>IF(ISNUMBER(F3145),C3145*F3145,"")</f>
        <v/>
      </c>
    </row>
    <row r="3146" spans="1:7" ht="24" customHeight="1" outlineLevel="3" x14ac:dyDescent="0.2">
      <c r="A3146" s="14" t="s">
        <v>6199</v>
      </c>
      <c r="B3146" s="15" t="s">
        <v>6200</v>
      </c>
      <c r="C3146" s="16">
        <f>740.87/(1+B2)</f>
        <v>740.87</v>
      </c>
      <c r="D3146" s="17" t="s">
        <v>11</v>
      </c>
      <c r="E3146" s="17"/>
      <c r="F3146" s="18"/>
      <c r="G3146" s="36" t="str">
        <f>IF(ISNUMBER(F3146),C3146*F3146,"")</f>
        <v/>
      </c>
    </row>
    <row r="3147" spans="1:7" ht="12" customHeight="1" outlineLevel="3" x14ac:dyDescent="0.2">
      <c r="A3147" s="14" t="s">
        <v>6201</v>
      </c>
      <c r="B3147" s="15" t="s">
        <v>6202</v>
      </c>
      <c r="C3147" s="16">
        <f>881.96/(1+B2)</f>
        <v>881.96</v>
      </c>
      <c r="D3147" s="17" t="s">
        <v>11</v>
      </c>
      <c r="E3147" s="17"/>
      <c r="F3147" s="18"/>
      <c r="G3147" s="36" t="str">
        <f>IF(ISNUMBER(F3147),C3147*F3147,"")</f>
        <v/>
      </c>
    </row>
    <row r="3148" spans="1:7" ht="24" customHeight="1" outlineLevel="3" x14ac:dyDescent="0.2">
      <c r="A3148" s="14" t="s">
        <v>6203</v>
      </c>
      <c r="B3148" s="15" t="s">
        <v>6204</v>
      </c>
      <c r="C3148" s="16">
        <f>996/(1+B2)</f>
        <v>996</v>
      </c>
      <c r="D3148" s="17" t="s">
        <v>11</v>
      </c>
      <c r="E3148" s="17"/>
      <c r="F3148" s="18"/>
      <c r="G3148" s="36" t="str">
        <f>IF(ISNUMBER(F3148),C3148*F3148,"")</f>
        <v/>
      </c>
    </row>
    <row r="3149" spans="1:7" ht="24" customHeight="1" outlineLevel="3" x14ac:dyDescent="0.2">
      <c r="A3149" s="14" t="s">
        <v>6205</v>
      </c>
      <c r="B3149" s="15" t="s">
        <v>6206</v>
      </c>
      <c r="C3149" s="19">
        <f>1015.85/(1+B2)</f>
        <v>1015.85</v>
      </c>
      <c r="D3149" s="17" t="s">
        <v>11</v>
      </c>
      <c r="E3149" s="17" t="s">
        <v>11</v>
      </c>
      <c r="F3149" s="18"/>
      <c r="G3149" s="36" t="str">
        <f>IF(ISNUMBER(F3149),C3149*F3149,"")</f>
        <v/>
      </c>
    </row>
    <row r="3150" spans="1:7" ht="12" customHeight="1" outlineLevel="3" x14ac:dyDescent="0.2">
      <c r="A3150" s="14" t="s">
        <v>6207</v>
      </c>
      <c r="B3150" s="15" t="s">
        <v>6208</v>
      </c>
      <c r="C3150" s="16">
        <f>582.53/(1+B2)</f>
        <v>582.53</v>
      </c>
      <c r="D3150" s="17" t="s">
        <v>11</v>
      </c>
      <c r="E3150" s="17"/>
      <c r="F3150" s="18"/>
      <c r="G3150" s="36" t="str">
        <f>IF(ISNUMBER(F3150),C3150*F3150,"")</f>
        <v/>
      </c>
    </row>
    <row r="3151" spans="1:7" ht="24" customHeight="1" outlineLevel="3" x14ac:dyDescent="0.2">
      <c r="A3151" s="14" t="s">
        <v>6209</v>
      </c>
      <c r="B3151" s="15" t="s">
        <v>6210</v>
      </c>
      <c r="C3151" s="16">
        <f>774.64/(1+B2)</f>
        <v>774.64</v>
      </c>
      <c r="D3151" s="17" t="s">
        <v>11</v>
      </c>
      <c r="E3151" s="17"/>
      <c r="F3151" s="18"/>
      <c r="G3151" s="36" t="str">
        <f>IF(ISNUMBER(F3151),C3151*F3151,"")</f>
        <v/>
      </c>
    </row>
    <row r="3152" spans="1:7" ht="12" customHeight="1" outlineLevel="3" x14ac:dyDescent="0.2">
      <c r="A3152" s="14" t="s">
        <v>6211</v>
      </c>
      <c r="B3152" s="15" t="s">
        <v>6212</v>
      </c>
      <c r="C3152" s="16">
        <f>824.42/(1+B2)</f>
        <v>824.42</v>
      </c>
      <c r="D3152" s="17" t="s">
        <v>11</v>
      </c>
      <c r="E3152" s="17"/>
      <c r="F3152" s="18"/>
      <c r="G3152" s="36" t="str">
        <f>IF(ISNUMBER(F3152),C3152*F3152,"")</f>
        <v/>
      </c>
    </row>
    <row r="3153" spans="1:7" ht="12" customHeight="1" outlineLevel="3" x14ac:dyDescent="0.2">
      <c r="A3153" s="14" t="s">
        <v>6213</v>
      </c>
      <c r="B3153" s="15" t="s">
        <v>6214</v>
      </c>
      <c r="C3153" s="16">
        <f>611.62/(1+B2)</f>
        <v>611.62</v>
      </c>
      <c r="D3153" s="17" t="s">
        <v>11</v>
      </c>
      <c r="E3153" s="17"/>
      <c r="F3153" s="18"/>
      <c r="G3153" s="36" t="str">
        <f>IF(ISNUMBER(F3153),C3153*F3153,"")</f>
        <v/>
      </c>
    </row>
    <row r="3154" spans="1:7" ht="12" customHeight="1" outlineLevel="3" x14ac:dyDescent="0.2">
      <c r="A3154" s="14" t="s">
        <v>6215</v>
      </c>
      <c r="B3154" s="15" t="s">
        <v>6216</v>
      </c>
      <c r="C3154" s="16">
        <f>676.63/(1+B2)</f>
        <v>676.63</v>
      </c>
      <c r="D3154" s="17" t="s">
        <v>11</v>
      </c>
      <c r="E3154" s="17"/>
      <c r="F3154" s="18"/>
      <c r="G3154" s="36" t="str">
        <f>IF(ISNUMBER(F3154),C3154*F3154,"")</f>
        <v/>
      </c>
    </row>
    <row r="3155" spans="1:7" ht="12" customHeight="1" outlineLevel="3" x14ac:dyDescent="0.2">
      <c r="A3155" s="14" t="s">
        <v>6217</v>
      </c>
      <c r="B3155" s="15" t="s">
        <v>6218</v>
      </c>
      <c r="C3155" s="16">
        <f>776.58/(1+B2)</f>
        <v>776.58</v>
      </c>
      <c r="D3155" s="17" t="s">
        <v>11</v>
      </c>
      <c r="E3155" s="17"/>
      <c r="F3155" s="18"/>
      <c r="G3155" s="36" t="str">
        <f>IF(ISNUMBER(F3155),C3155*F3155,"")</f>
        <v/>
      </c>
    </row>
    <row r="3156" spans="1:7" ht="24" customHeight="1" outlineLevel="3" x14ac:dyDescent="0.2">
      <c r="A3156" s="14" t="s">
        <v>6219</v>
      </c>
      <c r="B3156" s="15" t="s">
        <v>6220</v>
      </c>
      <c r="C3156" s="16">
        <f>738.7/(1+B2)</f>
        <v>738.7</v>
      </c>
      <c r="D3156" s="17" t="s">
        <v>11</v>
      </c>
      <c r="E3156" s="17"/>
      <c r="F3156" s="18"/>
      <c r="G3156" s="36" t="str">
        <f>IF(ISNUMBER(F3156),C3156*F3156,"")</f>
        <v/>
      </c>
    </row>
    <row r="3157" spans="1:7" ht="24" customHeight="1" outlineLevel="3" x14ac:dyDescent="0.2">
      <c r="A3157" s="14" t="s">
        <v>6221</v>
      </c>
      <c r="B3157" s="15" t="s">
        <v>6222</v>
      </c>
      <c r="C3157" s="16">
        <f>776.57/(1+B2)</f>
        <v>776.57</v>
      </c>
      <c r="D3157" s="17" t="s">
        <v>11</v>
      </c>
      <c r="E3157" s="17"/>
      <c r="F3157" s="18"/>
      <c r="G3157" s="36" t="str">
        <f>IF(ISNUMBER(F3157),C3157*F3157,"")</f>
        <v/>
      </c>
    </row>
    <row r="3158" spans="1:7" ht="24" customHeight="1" outlineLevel="3" x14ac:dyDescent="0.2">
      <c r="A3158" s="14" t="s">
        <v>6223</v>
      </c>
      <c r="B3158" s="15" t="s">
        <v>6224</v>
      </c>
      <c r="C3158" s="16">
        <f>759.47/(1+B2)</f>
        <v>759.47</v>
      </c>
      <c r="D3158" s="17" t="s">
        <v>11</v>
      </c>
      <c r="E3158" s="17"/>
      <c r="F3158" s="18"/>
      <c r="G3158" s="36" t="str">
        <f>IF(ISNUMBER(F3158),C3158*F3158,"")</f>
        <v/>
      </c>
    </row>
    <row r="3159" spans="1:7" ht="24" customHeight="1" outlineLevel="3" x14ac:dyDescent="0.2">
      <c r="A3159" s="14" t="s">
        <v>6225</v>
      </c>
      <c r="B3159" s="15" t="s">
        <v>6226</v>
      </c>
      <c r="C3159" s="16">
        <f>711.34/(1+B2)</f>
        <v>711.34</v>
      </c>
      <c r="D3159" s="17" t="s">
        <v>11</v>
      </c>
      <c r="E3159" s="17"/>
      <c r="F3159" s="18"/>
      <c r="G3159" s="36" t="str">
        <f>IF(ISNUMBER(F3159),C3159*F3159,"")</f>
        <v/>
      </c>
    </row>
    <row r="3160" spans="1:7" ht="24" customHeight="1" outlineLevel="3" x14ac:dyDescent="0.2">
      <c r="A3160" s="14" t="s">
        <v>6227</v>
      </c>
      <c r="B3160" s="15" t="s">
        <v>6228</v>
      </c>
      <c r="C3160" s="16">
        <f>808.01/(1+B2)</f>
        <v>808.01</v>
      </c>
      <c r="D3160" s="17" t="s">
        <v>11</v>
      </c>
      <c r="E3160" s="17"/>
      <c r="F3160" s="18"/>
      <c r="G3160" s="36" t="str">
        <f>IF(ISNUMBER(F3160),C3160*F3160,"")</f>
        <v/>
      </c>
    </row>
    <row r="3161" spans="1:7" ht="12" customHeight="1" outlineLevel="3" x14ac:dyDescent="0.2">
      <c r="A3161" s="14" t="s">
        <v>6229</v>
      </c>
      <c r="B3161" s="15" t="s">
        <v>6230</v>
      </c>
      <c r="C3161" s="16">
        <f>839.16/(1+B2)</f>
        <v>839.16</v>
      </c>
      <c r="D3161" s="17" t="s">
        <v>11</v>
      </c>
      <c r="E3161" s="17"/>
      <c r="F3161" s="18"/>
      <c r="G3161" s="36" t="str">
        <f>IF(ISNUMBER(F3161),C3161*F3161,"")</f>
        <v/>
      </c>
    </row>
    <row r="3162" spans="1:7" ht="12" customHeight="1" outlineLevel="3" x14ac:dyDescent="0.2">
      <c r="A3162" s="14" t="s">
        <v>6231</v>
      </c>
      <c r="B3162" s="15" t="s">
        <v>6232</v>
      </c>
      <c r="C3162" s="16">
        <f>881.96/(1+B2)</f>
        <v>881.96</v>
      </c>
      <c r="D3162" s="17" t="s">
        <v>11</v>
      </c>
      <c r="E3162" s="17"/>
      <c r="F3162" s="18"/>
      <c r="G3162" s="36" t="str">
        <f>IF(ISNUMBER(F3162),C3162*F3162,"")</f>
        <v/>
      </c>
    </row>
    <row r="3163" spans="1:7" ht="24" customHeight="1" outlineLevel="3" x14ac:dyDescent="0.2">
      <c r="A3163" s="14" t="s">
        <v>6233</v>
      </c>
      <c r="B3163" s="15" t="s">
        <v>6234</v>
      </c>
      <c r="C3163" s="16">
        <f>894.17/(1+B2)</f>
        <v>894.17</v>
      </c>
      <c r="D3163" s="17" t="s">
        <v>11</v>
      </c>
      <c r="E3163" s="17"/>
      <c r="F3163" s="18"/>
      <c r="G3163" s="36" t="str">
        <f>IF(ISNUMBER(F3163),C3163*F3163,"")</f>
        <v/>
      </c>
    </row>
    <row r="3164" spans="1:7" ht="12" customHeight="1" outlineLevel="3" x14ac:dyDescent="0.2">
      <c r="A3164" s="14" t="s">
        <v>6235</v>
      </c>
      <c r="B3164" s="15" t="s">
        <v>6236</v>
      </c>
      <c r="C3164" s="16">
        <f>881.96/(1+B2)</f>
        <v>881.96</v>
      </c>
      <c r="D3164" s="17" t="s">
        <v>11</v>
      </c>
      <c r="E3164" s="17"/>
      <c r="F3164" s="18"/>
      <c r="G3164" s="36" t="str">
        <f>IF(ISNUMBER(F3164),C3164*F3164,"")</f>
        <v/>
      </c>
    </row>
    <row r="3165" spans="1:7" ht="24" customHeight="1" outlineLevel="3" x14ac:dyDescent="0.2">
      <c r="A3165" s="14" t="s">
        <v>6237</v>
      </c>
      <c r="B3165" s="15" t="s">
        <v>6238</v>
      </c>
      <c r="C3165" s="16">
        <f>839.16/(1+B2)</f>
        <v>839.16</v>
      </c>
      <c r="D3165" s="17" t="s">
        <v>11</v>
      </c>
      <c r="E3165" s="17"/>
      <c r="F3165" s="18"/>
      <c r="G3165" s="36" t="str">
        <f>IF(ISNUMBER(F3165),C3165*F3165,"")</f>
        <v/>
      </c>
    </row>
    <row r="3166" spans="1:7" ht="24" customHeight="1" outlineLevel="3" x14ac:dyDescent="0.2">
      <c r="A3166" s="14" t="s">
        <v>6239</v>
      </c>
      <c r="B3166" s="15" t="s">
        <v>6240</v>
      </c>
      <c r="C3166" s="19">
        <f>1007.14/(1+B2)</f>
        <v>1007.14</v>
      </c>
      <c r="D3166" s="17" t="s">
        <v>11</v>
      </c>
      <c r="E3166" s="17" t="s">
        <v>11</v>
      </c>
      <c r="F3166" s="18"/>
      <c r="G3166" s="36" t="str">
        <f>IF(ISNUMBER(F3166),C3166*F3166,"")</f>
        <v/>
      </c>
    </row>
    <row r="3167" spans="1:7" ht="12" customHeight="1" outlineLevel="3" x14ac:dyDescent="0.2">
      <c r="A3167" s="14" t="s">
        <v>6241</v>
      </c>
      <c r="B3167" s="15" t="s">
        <v>6242</v>
      </c>
      <c r="C3167" s="19">
        <f>1001.62/(1+B2)</f>
        <v>1001.62</v>
      </c>
      <c r="D3167" s="17" t="s">
        <v>11</v>
      </c>
      <c r="E3167" s="17"/>
      <c r="F3167" s="18"/>
      <c r="G3167" s="36" t="str">
        <f>IF(ISNUMBER(F3167),C3167*F3167,"")</f>
        <v/>
      </c>
    </row>
    <row r="3168" spans="1:7" ht="12" customHeight="1" outlineLevel="3" x14ac:dyDescent="0.2">
      <c r="A3168" s="14" t="s">
        <v>6243</v>
      </c>
      <c r="B3168" s="15" t="s">
        <v>6244</v>
      </c>
      <c r="C3168" s="16">
        <f>952.75/(1+B2)</f>
        <v>952.75</v>
      </c>
      <c r="D3168" s="17" t="s">
        <v>11</v>
      </c>
      <c r="E3168" s="17" t="s">
        <v>11</v>
      </c>
      <c r="F3168" s="18"/>
      <c r="G3168" s="36" t="str">
        <f>IF(ISNUMBER(F3168),C3168*F3168,"")</f>
        <v/>
      </c>
    </row>
    <row r="3169" spans="1:7" ht="12" customHeight="1" outlineLevel="3" x14ac:dyDescent="0.2">
      <c r="A3169" s="14" t="s">
        <v>6245</v>
      </c>
      <c r="B3169" s="15" t="s">
        <v>6246</v>
      </c>
      <c r="C3169" s="19">
        <f>1797.78/(1+B2)</f>
        <v>1797.78</v>
      </c>
      <c r="D3169" s="17" t="s">
        <v>11</v>
      </c>
      <c r="E3169" s="17"/>
      <c r="F3169" s="18"/>
      <c r="G3169" s="36" t="str">
        <f>IF(ISNUMBER(F3169),C3169*F3169,"")</f>
        <v/>
      </c>
    </row>
    <row r="3170" spans="1:7" ht="12" customHeight="1" outlineLevel="3" x14ac:dyDescent="0.2">
      <c r="A3170" s="14" t="s">
        <v>6247</v>
      </c>
      <c r="B3170" s="15" t="s">
        <v>6248</v>
      </c>
      <c r="C3170" s="19">
        <f>1148.1/(1+B2)</f>
        <v>1148.0999999999999</v>
      </c>
      <c r="D3170" s="17" t="s">
        <v>11</v>
      </c>
      <c r="E3170" s="17"/>
      <c r="F3170" s="18"/>
      <c r="G3170" s="36" t="str">
        <f>IF(ISNUMBER(F3170),C3170*F3170,"")</f>
        <v/>
      </c>
    </row>
    <row r="3171" spans="1:7" ht="12" customHeight="1" outlineLevel="3" x14ac:dyDescent="0.2">
      <c r="A3171" s="14" t="s">
        <v>6249</v>
      </c>
      <c r="B3171" s="15" t="s">
        <v>6250</v>
      </c>
      <c r="C3171" s="19">
        <f>1206.97/(1+B2)</f>
        <v>1206.97</v>
      </c>
      <c r="D3171" s="17" t="s">
        <v>11</v>
      </c>
      <c r="E3171" s="17"/>
      <c r="F3171" s="18"/>
      <c r="G3171" s="36" t="str">
        <f>IF(ISNUMBER(F3171),C3171*F3171,"")</f>
        <v/>
      </c>
    </row>
    <row r="3172" spans="1:7" ht="12" customHeight="1" outlineLevel="3" x14ac:dyDescent="0.2">
      <c r="A3172" s="14" t="s">
        <v>6251</v>
      </c>
      <c r="B3172" s="15" t="s">
        <v>6252</v>
      </c>
      <c r="C3172" s="19">
        <f>1303.2/(1+B2)</f>
        <v>1303.2</v>
      </c>
      <c r="D3172" s="17" t="s">
        <v>11</v>
      </c>
      <c r="E3172" s="17"/>
      <c r="F3172" s="18"/>
      <c r="G3172" s="36" t="str">
        <f>IF(ISNUMBER(F3172),C3172*F3172,"")</f>
        <v/>
      </c>
    </row>
    <row r="3173" spans="1:7" ht="12" customHeight="1" outlineLevel="3" x14ac:dyDescent="0.2">
      <c r="A3173" s="14" t="s">
        <v>6253</v>
      </c>
      <c r="B3173" s="15" t="s">
        <v>6254</v>
      </c>
      <c r="C3173" s="19">
        <f>1497.16/(1+B2)</f>
        <v>1497.16</v>
      </c>
      <c r="D3173" s="17" t="s">
        <v>11</v>
      </c>
      <c r="E3173" s="17"/>
      <c r="F3173" s="18"/>
      <c r="G3173" s="36" t="str">
        <f>IF(ISNUMBER(F3173),C3173*F3173,"")</f>
        <v/>
      </c>
    </row>
    <row r="3174" spans="1:7" ht="12" customHeight="1" outlineLevel="3" x14ac:dyDescent="0.2">
      <c r="A3174" s="14" t="s">
        <v>6255</v>
      </c>
      <c r="B3174" s="15" t="s">
        <v>6256</v>
      </c>
      <c r="C3174" s="19">
        <f>1695.43/(1+B2)</f>
        <v>1695.43</v>
      </c>
      <c r="D3174" s="17" t="s">
        <v>11</v>
      </c>
      <c r="E3174" s="17"/>
      <c r="F3174" s="18"/>
      <c r="G3174" s="36" t="str">
        <f>IF(ISNUMBER(F3174),C3174*F3174,"")</f>
        <v/>
      </c>
    </row>
    <row r="3175" spans="1:7" s="1" customFormat="1" ht="12.95" customHeight="1" outlineLevel="2" x14ac:dyDescent="0.2">
      <c r="A3175" s="20"/>
      <c r="B3175" s="21" t="s">
        <v>6257</v>
      </c>
      <c r="C3175" s="22"/>
      <c r="D3175" s="22"/>
      <c r="E3175" s="22"/>
      <c r="F3175" s="22"/>
      <c r="G3175" s="37"/>
    </row>
    <row r="3176" spans="1:7" ht="12" customHeight="1" outlineLevel="3" x14ac:dyDescent="0.2">
      <c r="A3176" s="14" t="s">
        <v>6258</v>
      </c>
      <c r="B3176" s="15" t="s">
        <v>6259</v>
      </c>
      <c r="C3176" s="16">
        <f>208.37/(1+B2)</f>
        <v>208.37</v>
      </c>
      <c r="D3176" s="17" t="s">
        <v>11</v>
      </c>
      <c r="E3176" s="17"/>
      <c r="F3176" s="18"/>
      <c r="G3176" s="36" t="str">
        <f>IF(ISNUMBER(F3176),C3176*F3176,"")</f>
        <v/>
      </c>
    </row>
    <row r="3177" spans="1:7" ht="12" customHeight="1" outlineLevel="3" x14ac:dyDescent="0.2">
      <c r="A3177" s="14" t="s">
        <v>6260</v>
      </c>
      <c r="B3177" s="15" t="s">
        <v>6261</v>
      </c>
      <c r="C3177" s="16">
        <f>262.84/(1+B2)</f>
        <v>262.83999999999997</v>
      </c>
      <c r="D3177" s="17" t="s">
        <v>14</v>
      </c>
      <c r="E3177" s="17"/>
      <c r="F3177" s="18"/>
      <c r="G3177" s="36" t="str">
        <f>IF(ISNUMBER(F3177),C3177*F3177,"")</f>
        <v/>
      </c>
    </row>
    <row r="3178" spans="1:7" ht="12" customHeight="1" outlineLevel="3" x14ac:dyDescent="0.2">
      <c r="A3178" s="14" t="s">
        <v>6262</v>
      </c>
      <c r="B3178" s="15" t="s">
        <v>6263</v>
      </c>
      <c r="C3178" s="16">
        <f>262.84/(1+B2)</f>
        <v>262.83999999999997</v>
      </c>
      <c r="D3178" s="17" t="s">
        <v>53</v>
      </c>
      <c r="E3178" s="17"/>
      <c r="F3178" s="18"/>
      <c r="G3178" s="36" t="str">
        <f>IF(ISNUMBER(F3178),C3178*F3178,"")</f>
        <v/>
      </c>
    </row>
    <row r="3179" spans="1:7" ht="12" customHeight="1" outlineLevel="3" x14ac:dyDescent="0.2">
      <c r="A3179" s="14" t="s">
        <v>6264</v>
      </c>
      <c r="B3179" s="15" t="s">
        <v>6265</v>
      </c>
      <c r="C3179" s="16">
        <f>218.82/(1+B2)</f>
        <v>218.82</v>
      </c>
      <c r="D3179" s="17" t="s">
        <v>14</v>
      </c>
      <c r="E3179" s="17"/>
      <c r="F3179" s="18"/>
      <c r="G3179" s="36" t="str">
        <f>IF(ISNUMBER(F3179),C3179*F3179,"")</f>
        <v/>
      </c>
    </row>
    <row r="3180" spans="1:7" ht="12" customHeight="1" outlineLevel="3" x14ac:dyDescent="0.2">
      <c r="A3180" s="14" t="s">
        <v>6266</v>
      </c>
      <c r="B3180" s="15" t="s">
        <v>6267</v>
      </c>
      <c r="C3180" s="16">
        <f>283.45/(1+B2)</f>
        <v>283.45</v>
      </c>
      <c r="D3180" s="17" t="s">
        <v>11</v>
      </c>
      <c r="E3180" s="17"/>
      <c r="F3180" s="18"/>
      <c r="G3180" s="36" t="str">
        <f>IF(ISNUMBER(F3180),C3180*F3180,"")</f>
        <v/>
      </c>
    </row>
    <row r="3181" spans="1:7" ht="12" customHeight="1" outlineLevel="3" x14ac:dyDescent="0.2">
      <c r="A3181" s="14" t="s">
        <v>6268</v>
      </c>
      <c r="B3181" s="15" t="s">
        <v>6269</v>
      </c>
      <c r="C3181" s="16">
        <f>308.6/(1+B2)</f>
        <v>308.60000000000002</v>
      </c>
      <c r="D3181" s="17" t="s">
        <v>14</v>
      </c>
      <c r="E3181" s="17"/>
      <c r="F3181" s="18"/>
      <c r="G3181" s="36" t="str">
        <f>IF(ISNUMBER(F3181),C3181*F3181,"")</f>
        <v/>
      </c>
    </row>
    <row r="3182" spans="1:7" ht="12" customHeight="1" outlineLevel="3" x14ac:dyDescent="0.2">
      <c r="A3182" s="14" t="s">
        <v>6270</v>
      </c>
      <c r="B3182" s="15" t="s">
        <v>6271</v>
      </c>
      <c r="C3182" s="16">
        <f>295.01/(1+B2)</f>
        <v>295.01</v>
      </c>
      <c r="D3182" s="17" t="s">
        <v>14</v>
      </c>
      <c r="E3182" s="17"/>
      <c r="F3182" s="18"/>
      <c r="G3182" s="36" t="str">
        <f>IF(ISNUMBER(F3182),C3182*F3182,"")</f>
        <v/>
      </c>
    </row>
    <row r="3183" spans="1:7" ht="12" customHeight="1" outlineLevel="3" x14ac:dyDescent="0.2">
      <c r="A3183" s="14" t="s">
        <v>6272</v>
      </c>
      <c r="B3183" s="15" t="s">
        <v>6273</v>
      </c>
      <c r="C3183" s="16">
        <f>377.48/(1+B2)</f>
        <v>377.48</v>
      </c>
      <c r="D3183" s="17" t="s">
        <v>11</v>
      </c>
      <c r="E3183" s="17"/>
      <c r="F3183" s="18"/>
      <c r="G3183" s="36" t="str">
        <f>IF(ISNUMBER(F3183),C3183*F3183,"")</f>
        <v/>
      </c>
    </row>
    <row r="3184" spans="1:7" ht="12" customHeight="1" outlineLevel="3" x14ac:dyDescent="0.2">
      <c r="A3184" s="14" t="s">
        <v>6274</v>
      </c>
      <c r="B3184" s="15" t="s">
        <v>6275</v>
      </c>
      <c r="C3184" s="16">
        <f>324.42/(1+B2)</f>
        <v>324.42</v>
      </c>
      <c r="D3184" s="17" t="s">
        <v>14</v>
      </c>
      <c r="E3184" s="17"/>
      <c r="F3184" s="18"/>
      <c r="G3184" s="36" t="str">
        <f>IF(ISNUMBER(F3184),C3184*F3184,"")</f>
        <v/>
      </c>
    </row>
    <row r="3185" spans="1:7" ht="12" customHeight="1" outlineLevel="3" x14ac:dyDescent="0.2">
      <c r="A3185" s="14" t="s">
        <v>6276</v>
      </c>
      <c r="B3185" s="15" t="s">
        <v>6277</v>
      </c>
      <c r="C3185" s="16">
        <f>360.73/(1+B2)</f>
        <v>360.73</v>
      </c>
      <c r="D3185" s="17" t="s">
        <v>14</v>
      </c>
      <c r="E3185" s="17"/>
      <c r="F3185" s="18"/>
      <c r="G3185" s="36" t="str">
        <f>IF(ISNUMBER(F3185),C3185*F3185,"")</f>
        <v/>
      </c>
    </row>
    <row r="3186" spans="1:7" ht="12" customHeight="1" outlineLevel="3" x14ac:dyDescent="0.2">
      <c r="A3186" s="14" t="s">
        <v>6278</v>
      </c>
      <c r="B3186" s="15" t="s">
        <v>6279</v>
      </c>
      <c r="C3186" s="16">
        <f>280.61/(1+B2)</f>
        <v>280.61</v>
      </c>
      <c r="D3186" s="17" t="s">
        <v>14</v>
      </c>
      <c r="E3186" s="17"/>
      <c r="F3186" s="18"/>
      <c r="G3186" s="36" t="str">
        <f>IF(ISNUMBER(F3186),C3186*F3186,"")</f>
        <v/>
      </c>
    </row>
    <row r="3187" spans="1:7" ht="12" customHeight="1" outlineLevel="3" x14ac:dyDescent="0.2">
      <c r="A3187" s="14" t="s">
        <v>6280</v>
      </c>
      <c r="B3187" s="15" t="s">
        <v>6281</v>
      </c>
      <c r="C3187" s="16">
        <f>280.61/(1+B2)</f>
        <v>280.61</v>
      </c>
      <c r="D3187" s="17" t="s">
        <v>11</v>
      </c>
      <c r="E3187" s="17"/>
      <c r="F3187" s="18"/>
      <c r="G3187" s="36" t="str">
        <f>IF(ISNUMBER(F3187),C3187*F3187,"")</f>
        <v/>
      </c>
    </row>
    <row r="3188" spans="1:7" ht="12" customHeight="1" outlineLevel="3" x14ac:dyDescent="0.2">
      <c r="A3188" s="14" t="s">
        <v>6282</v>
      </c>
      <c r="B3188" s="15" t="s">
        <v>6283</v>
      </c>
      <c r="C3188" s="16">
        <f>326.47/(1+B2)</f>
        <v>326.47000000000003</v>
      </c>
      <c r="D3188" s="17" t="s">
        <v>11</v>
      </c>
      <c r="E3188" s="17"/>
      <c r="F3188" s="18"/>
      <c r="G3188" s="36" t="str">
        <f>IF(ISNUMBER(F3188),C3188*F3188,"")</f>
        <v/>
      </c>
    </row>
    <row r="3189" spans="1:7" ht="12" customHeight="1" outlineLevel="3" x14ac:dyDescent="0.2">
      <c r="A3189" s="14" t="s">
        <v>6284</v>
      </c>
      <c r="B3189" s="15" t="s">
        <v>6285</v>
      </c>
      <c r="C3189" s="16">
        <f>105.92/(1+B2)</f>
        <v>105.92</v>
      </c>
      <c r="D3189" s="17" t="s">
        <v>11</v>
      </c>
      <c r="E3189" s="17"/>
      <c r="F3189" s="18"/>
      <c r="G3189" s="36" t="str">
        <f>IF(ISNUMBER(F3189),C3189*F3189,"")</f>
        <v/>
      </c>
    </row>
    <row r="3190" spans="1:7" ht="12" customHeight="1" outlineLevel="3" x14ac:dyDescent="0.2">
      <c r="A3190" s="14" t="s">
        <v>6286</v>
      </c>
      <c r="B3190" s="15" t="s">
        <v>6287</v>
      </c>
      <c r="C3190" s="16">
        <f>146.48/(1+B2)</f>
        <v>146.47999999999999</v>
      </c>
      <c r="D3190" s="17" t="s">
        <v>53</v>
      </c>
      <c r="E3190" s="17"/>
      <c r="F3190" s="18"/>
      <c r="G3190" s="36" t="str">
        <f>IF(ISNUMBER(F3190),C3190*F3190,"")</f>
        <v/>
      </c>
    </row>
    <row r="3191" spans="1:7" ht="12" customHeight="1" outlineLevel="3" x14ac:dyDescent="0.2">
      <c r="A3191" s="14" t="s">
        <v>6288</v>
      </c>
      <c r="B3191" s="15" t="s">
        <v>6289</v>
      </c>
      <c r="C3191" s="16">
        <f>146.48/(1+B2)</f>
        <v>146.47999999999999</v>
      </c>
      <c r="D3191" s="17" t="s">
        <v>11</v>
      </c>
      <c r="E3191" s="17"/>
      <c r="F3191" s="18"/>
      <c r="G3191" s="36" t="str">
        <f>IF(ISNUMBER(F3191),C3191*F3191,"")</f>
        <v/>
      </c>
    </row>
    <row r="3192" spans="1:7" ht="12" customHeight="1" outlineLevel="3" x14ac:dyDescent="0.2">
      <c r="A3192" s="14" t="s">
        <v>6290</v>
      </c>
      <c r="B3192" s="15" t="s">
        <v>6291</v>
      </c>
      <c r="C3192" s="16">
        <f>159.5/(1+B2)</f>
        <v>159.5</v>
      </c>
      <c r="D3192" s="17" t="s">
        <v>53</v>
      </c>
      <c r="E3192" s="17"/>
      <c r="F3192" s="18"/>
      <c r="G3192" s="36" t="str">
        <f>IF(ISNUMBER(F3192),C3192*F3192,"")</f>
        <v/>
      </c>
    </row>
    <row r="3193" spans="1:7" ht="12" customHeight="1" outlineLevel="3" x14ac:dyDescent="0.2">
      <c r="A3193" s="14" t="s">
        <v>6292</v>
      </c>
      <c r="B3193" s="15" t="s">
        <v>6293</v>
      </c>
      <c r="C3193" s="16">
        <f>316.32/(1+B2)</f>
        <v>316.32</v>
      </c>
      <c r="D3193" s="17" t="s">
        <v>14</v>
      </c>
      <c r="E3193" s="17"/>
      <c r="F3193" s="18"/>
      <c r="G3193" s="36" t="str">
        <f>IF(ISNUMBER(F3193),C3193*F3193,"")</f>
        <v/>
      </c>
    </row>
    <row r="3194" spans="1:7" ht="12" customHeight="1" outlineLevel="3" x14ac:dyDescent="0.2">
      <c r="A3194" s="14" t="s">
        <v>6294</v>
      </c>
      <c r="B3194" s="15" t="s">
        <v>6295</v>
      </c>
      <c r="C3194" s="16">
        <f>273.31/(1+B2)</f>
        <v>273.31</v>
      </c>
      <c r="D3194" s="17" t="s">
        <v>11</v>
      </c>
      <c r="E3194" s="17"/>
      <c r="F3194" s="18"/>
      <c r="G3194" s="36" t="str">
        <f>IF(ISNUMBER(F3194),C3194*F3194,"")</f>
        <v/>
      </c>
    </row>
    <row r="3195" spans="1:7" ht="12" customHeight="1" outlineLevel="3" x14ac:dyDescent="0.2">
      <c r="A3195" s="14" t="s">
        <v>6296</v>
      </c>
      <c r="B3195" s="15" t="s">
        <v>6297</v>
      </c>
      <c r="C3195" s="16">
        <f>142/(1+B2)</f>
        <v>142</v>
      </c>
      <c r="D3195" s="17" t="s">
        <v>53</v>
      </c>
      <c r="E3195" s="17"/>
      <c r="F3195" s="18"/>
      <c r="G3195" s="36" t="str">
        <f>IF(ISNUMBER(F3195),C3195*F3195,"")</f>
        <v/>
      </c>
    </row>
    <row r="3196" spans="1:7" ht="12" customHeight="1" outlineLevel="3" x14ac:dyDescent="0.2">
      <c r="A3196" s="14" t="s">
        <v>6298</v>
      </c>
      <c r="B3196" s="15" t="s">
        <v>6299</v>
      </c>
      <c r="C3196" s="16">
        <f>217.76/(1+B2)</f>
        <v>217.76</v>
      </c>
      <c r="D3196" s="17" t="s">
        <v>53</v>
      </c>
      <c r="E3196" s="17"/>
      <c r="F3196" s="18"/>
      <c r="G3196" s="36" t="str">
        <f>IF(ISNUMBER(F3196),C3196*F3196,"")</f>
        <v/>
      </c>
    </row>
    <row r="3197" spans="1:7" ht="12" customHeight="1" outlineLevel="3" x14ac:dyDescent="0.2">
      <c r="A3197" s="14" t="s">
        <v>6300</v>
      </c>
      <c r="B3197" s="15" t="s">
        <v>6301</v>
      </c>
      <c r="C3197" s="16">
        <f>194.64/(1+B2)</f>
        <v>194.64</v>
      </c>
      <c r="D3197" s="17" t="s">
        <v>14</v>
      </c>
      <c r="E3197" s="17"/>
      <c r="F3197" s="18"/>
      <c r="G3197" s="36" t="str">
        <f>IF(ISNUMBER(F3197),C3197*F3197,"")</f>
        <v/>
      </c>
    </row>
    <row r="3198" spans="1:7" ht="12" customHeight="1" outlineLevel="3" x14ac:dyDescent="0.2">
      <c r="A3198" s="14" t="s">
        <v>6302</v>
      </c>
      <c r="B3198" s="15" t="s">
        <v>6303</v>
      </c>
      <c r="C3198" s="16">
        <f>217.76/(1+B2)</f>
        <v>217.76</v>
      </c>
      <c r="D3198" s="17" t="s">
        <v>53</v>
      </c>
      <c r="E3198" s="17"/>
      <c r="F3198" s="18"/>
      <c r="G3198" s="36" t="str">
        <f>IF(ISNUMBER(F3198),C3198*F3198,"")</f>
        <v/>
      </c>
    </row>
    <row r="3199" spans="1:7" ht="12" customHeight="1" outlineLevel="3" x14ac:dyDescent="0.2">
      <c r="A3199" s="14" t="s">
        <v>6304</v>
      </c>
      <c r="B3199" s="15" t="s">
        <v>6305</v>
      </c>
      <c r="C3199" s="16">
        <f>194.64/(1+B2)</f>
        <v>194.64</v>
      </c>
      <c r="D3199" s="17" t="s">
        <v>53</v>
      </c>
      <c r="E3199" s="17"/>
      <c r="F3199" s="18"/>
      <c r="G3199" s="36" t="str">
        <f>IF(ISNUMBER(F3199),C3199*F3199,"")</f>
        <v/>
      </c>
    </row>
    <row r="3200" spans="1:7" ht="12" customHeight="1" outlineLevel="3" x14ac:dyDescent="0.2">
      <c r="A3200" s="14" t="s">
        <v>6306</v>
      </c>
      <c r="B3200" s="15" t="s">
        <v>6307</v>
      </c>
      <c r="C3200" s="16">
        <f>225.85/(1+B2)</f>
        <v>225.85</v>
      </c>
      <c r="D3200" s="17" t="s">
        <v>11</v>
      </c>
      <c r="E3200" s="17"/>
      <c r="F3200" s="18"/>
      <c r="G3200" s="36" t="str">
        <f>IF(ISNUMBER(F3200),C3200*F3200,"")</f>
        <v/>
      </c>
    </row>
    <row r="3201" spans="1:7" ht="12" customHeight="1" outlineLevel="3" x14ac:dyDescent="0.2">
      <c r="A3201" s="14" t="s">
        <v>6308</v>
      </c>
      <c r="B3201" s="15" t="s">
        <v>6309</v>
      </c>
      <c r="C3201" s="16">
        <f>261.24/(1+B2)</f>
        <v>261.24</v>
      </c>
      <c r="D3201" s="17" t="s">
        <v>11</v>
      </c>
      <c r="E3201" s="17"/>
      <c r="F3201" s="18"/>
      <c r="G3201" s="36" t="str">
        <f>IF(ISNUMBER(F3201),C3201*F3201,"")</f>
        <v/>
      </c>
    </row>
    <row r="3202" spans="1:7" ht="12" customHeight="1" outlineLevel="3" x14ac:dyDescent="0.2">
      <c r="A3202" s="14" t="s">
        <v>6310</v>
      </c>
      <c r="B3202" s="15" t="s">
        <v>6311</v>
      </c>
      <c r="C3202" s="16">
        <f>225.85/(1+B2)</f>
        <v>225.85</v>
      </c>
      <c r="D3202" s="17" t="s">
        <v>11</v>
      </c>
      <c r="E3202" s="17"/>
      <c r="F3202" s="18"/>
      <c r="G3202" s="36" t="str">
        <f>IF(ISNUMBER(F3202),C3202*F3202,"")</f>
        <v/>
      </c>
    </row>
    <row r="3203" spans="1:7" ht="12" customHeight="1" outlineLevel="3" x14ac:dyDescent="0.2">
      <c r="A3203" s="14" t="s">
        <v>6312</v>
      </c>
      <c r="B3203" s="15" t="s">
        <v>6313</v>
      </c>
      <c r="C3203" s="16">
        <f>210.97/(1+B2)</f>
        <v>210.97</v>
      </c>
      <c r="D3203" s="17" t="s">
        <v>11</v>
      </c>
      <c r="E3203" s="17"/>
      <c r="F3203" s="18"/>
      <c r="G3203" s="36" t="str">
        <f>IF(ISNUMBER(F3203),C3203*F3203,"")</f>
        <v/>
      </c>
    </row>
    <row r="3204" spans="1:7" ht="12" customHeight="1" outlineLevel="3" x14ac:dyDescent="0.2">
      <c r="A3204" s="14" t="s">
        <v>6314</v>
      </c>
      <c r="B3204" s="15" t="s">
        <v>6315</v>
      </c>
      <c r="C3204" s="16">
        <f>368.37/(1+B2)</f>
        <v>368.37</v>
      </c>
      <c r="D3204" s="17" t="s">
        <v>11</v>
      </c>
      <c r="E3204" s="17"/>
      <c r="F3204" s="18"/>
      <c r="G3204" s="36" t="str">
        <f>IF(ISNUMBER(F3204),C3204*F3204,"")</f>
        <v/>
      </c>
    </row>
    <row r="3205" spans="1:7" ht="12" customHeight="1" outlineLevel="3" x14ac:dyDescent="0.2">
      <c r="A3205" s="14" t="s">
        <v>6316</v>
      </c>
      <c r="B3205" s="15" t="s">
        <v>6317</v>
      </c>
      <c r="C3205" s="16">
        <f>363.89/(1+B2)</f>
        <v>363.89</v>
      </c>
      <c r="D3205" s="17" t="s">
        <v>11</v>
      </c>
      <c r="E3205" s="17"/>
      <c r="F3205" s="18"/>
      <c r="G3205" s="36" t="str">
        <f>IF(ISNUMBER(F3205),C3205*F3205,"")</f>
        <v/>
      </c>
    </row>
    <row r="3206" spans="1:7" ht="12" customHeight="1" outlineLevel="3" x14ac:dyDescent="0.2">
      <c r="A3206" s="14" t="s">
        <v>6318</v>
      </c>
      <c r="B3206" s="15" t="s">
        <v>6319</v>
      </c>
      <c r="C3206" s="16">
        <f>368.37/(1+B2)</f>
        <v>368.37</v>
      </c>
      <c r="D3206" s="17" t="s">
        <v>11</v>
      </c>
      <c r="E3206" s="17"/>
      <c r="F3206" s="18"/>
      <c r="G3206" s="36" t="str">
        <f>IF(ISNUMBER(F3206),C3206*F3206,"")</f>
        <v/>
      </c>
    </row>
    <row r="3207" spans="1:7" ht="12" customHeight="1" outlineLevel="3" x14ac:dyDescent="0.2">
      <c r="A3207" s="14" t="s">
        <v>6320</v>
      </c>
      <c r="B3207" s="15" t="s">
        <v>6321</v>
      </c>
      <c r="C3207" s="16">
        <f>363.89/(1+B2)</f>
        <v>363.89</v>
      </c>
      <c r="D3207" s="17" t="s">
        <v>11</v>
      </c>
      <c r="E3207" s="17"/>
      <c r="F3207" s="18"/>
      <c r="G3207" s="36" t="str">
        <f>IF(ISNUMBER(F3207),C3207*F3207,"")</f>
        <v/>
      </c>
    </row>
    <row r="3208" spans="1:7" s="1" customFormat="1" ht="12.95" customHeight="1" outlineLevel="2" x14ac:dyDescent="0.2">
      <c r="A3208" s="20"/>
      <c r="B3208" s="21" t="s">
        <v>6322</v>
      </c>
      <c r="C3208" s="22"/>
      <c r="D3208" s="22"/>
      <c r="E3208" s="22"/>
      <c r="F3208" s="22"/>
      <c r="G3208" s="37"/>
    </row>
    <row r="3209" spans="1:7" ht="12" customHeight="1" outlineLevel="3" x14ac:dyDescent="0.2">
      <c r="A3209" s="14" t="s">
        <v>6323</v>
      </c>
      <c r="B3209" s="15" t="s">
        <v>6324</v>
      </c>
      <c r="C3209" s="16">
        <f>544.2/(1+B2)</f>
        <v>544.20000000000005</v>
      </c>
      <c r="D3209" s="17" t="s">
        <v>11</v>
      </c>
      <c r="E3209" s="17"/>
      <c r="F3209" s="18"/>
      <c r="G3209" s="36" t="str">
        <f>IF(ISNUMBER(F3209),C3209*F3209,"")</f>
        <v/>
      </c>
    </row>
    <row r="3210" spans="1:7" ht="24" customHeight="1" outlineLevel="3" x14ac:dyDescent="0.2">
      <c r="A3210" s="14" t="s">
        <v>6325</v>
      </c>
      <c r="B3210" s="15" t="s">
        <v>6326</v>
      </c>
      <c r="C3210" s="19">
        <f>1683.47/(1+B2)</f>
        <v>1683.47</v>
      </c>
      <c r="D3210" s="17" t="s">
        <v>11</v>
      </c>
      <c r="E3210" s="17"/>
      <c r="F3210" s="18"/>
      <c r="G3210" s="36" t="str">
        <f>IF(ISNUMBER(F3210),C3210*F3210,"")</f>
        <v/>
      </c>
    </row>
    <row r="3211" spans="1:7" ht="12" customHeight="1" outlineLevel="3" x14ac:dyDescent="0.2">
      <c r="A3211" s="14" t="s">
        <v>6327</v>
      </c>
      <c r="B3211" s="15" t="s">
        <v>6328</v>
      </c>
      <c r="C3211" s="19">
        <f>1822.75/(1+B2)</f>
        <v>1822.75</v>
      </c>
      <c r="D3211" s="17" t="s">
        <v>11</v>
      </c>
      <c r="E3211" s="17"/>
      <c r="F3211" s="18"/>
      <c r="G3211" s="36" t="str">
        <f>IF(ISNUMBER(F3211),C3211*F3211,"")</f>
        <v/>
      </c>
    </row>
    <row r="3212" spans="1:7" ht="12" customHeight="1" outlineLevel="3" x14ac:dyDescent="0.2">
      <c r="A3212" s="14" t="s">
        <v>6329</v>
      </c>
      <c r="B3212" s="15" t="s">
        <v>6330</v>
      </c>
      <c r="C3212" s="19">
        <f>2059.15/(1+B2)</f>
        <v>2059.15</v>
      </c>
      <c r="D3212" s="17" t="s">
        <v>11</v>
      </c>
      <c r="E3212" s="17"/>
      <c r="F3212" s="18"/>
      <c r="G3212" s="36" t="str">
        <f>IF(ISNUMBER(F3212),C3212*F3212,"")</f>
        <v/>
      </c>
    </row>
    <row r="3213" spans="1:7" ht="12" customHeight="1" outlineLevel="3" x14ac:dyDescent="0.2">
      <c r="A3213" s="14" t="s">
        <v>6331</v>
      </c>
      <c r="B3213" s="15" t="s">
        <v>6332</v>
      </c>
      <c r="C3213" s="19">
        <f>2376.36/(1+B2)</f>
        <v>2376.36</v>
      </c>
      <c r="D3213" s="17" t="s">
        <v>11</v>
      </c>
      <c r="E3213" s="17"/>
      <c r="F3213" s="18"/>
      <c r="G3213" s="36" t="str">
        <f>IF(ISNUMBER(F3213),C3213*F3213,"")</f>
        <v/>
      </c>
    </row>
    <row r="3214" spans="1:7" ht="12" customHeight="1" outlineLevel="3" x14ac:dyDescent="0.2">
      <c r="A3214" s="14" t="s">
        <v>6333</v>
      </c>
      <c r="B3214" s="15" t="s">
        <v>6334</v>
      </c>
      <c r="C3214" s="16">
        <f>927.31/(1+B2)</f>
        <v>927.31</v>
      </c>
      <c r="D3214" s="17" t="s">
        <v>11</v>
      </c>
      <c r="E3214" s="17"/>
      <c r="F3214" s="18"/>
      <c r="G3214" s="36" t="str">
        <f>IF(ISNUMBER(F3214),C3214*F3214,"")</f>
        <v/>
      </c>
    </row>
    <row r="3215" spans="1:7" ht="12" customHeight="1" outlineLevel="3" x14ac:dyDescent="0.2">
      <c r="A3215" s="14" t="s">
        <v>6335</v>
      </c>
      <c r="B3215" s="15" t="s">
        <v>6336</v>
      </c>
      <c r="C3215" s="16">
        <f>153.01/(1+B2)</f>
        <v>153.01</v>
      </c>
      <c r="D3215" s="17" t="s">
        <v>11</v>
      </c>
      <c r="E3215" s="17"/>
      <c r="F3215" s="18"/>
      <c r="G3215" s="36" t="str">
        <f>IF(ISNUMBER(F3215),C3215*F3215,"")</f>
        <v/>
      </c>
    </row>
    <row r="3216" spans="1:7" ht="12" customHeight="1" outlineLevel="3" x14ac:dyDescent="0.2">
      <c r="A3216" s="14" t="s">
        <v>6337</v>
      </c>
      <c r="B3216" s="15" t="s">
        <v>6338</v>
      </c>
      <c r="C3216" s="16">
        <f>164.28/(1+B2)</f>
        <v>164.28</v>
      </c>
      <c r="D3216" s="17" t="s">
        <v>11</v>
      </c>
      <c r="E3216" s="17"/>
      <c r="F3216" s="18"/>
      <c r="G3216" s="36" t="str">
        <f>IF(ISNUMBER(F3216),C3216*F3216,"")</f>
        <v/>
      </c>
    </row>
    <row r="3217" spans="1:7" ht="24" customHeight="1" outlineLevel="3" x14ac:dyDescent="0.2">
      <c r="A3217" s="14" t="s">
        <v>6339</v>
      </c>
      <c r="B3217" s="15" t="s">
        <v>6340</v>
      </c>
      <c r="C3217" s="19">
        <f>1399.06/(1+B2)</f>
        <v>1399.06</v>
      </c>
      <c r="D3217" s="17" t="s">
        <v>11</v>
      </c>
      <c r="E3217" s="17"/>
      <c r="F3217" s="18"/>
      <c r="G3217" s="36" t="str">
        <f>IF(ISNUMBER(F3217),C3217*F3217,"")</f>
        <v/>
      </c>
    </row>
    <row r="3218" spans="1:7" ht="12" customHeight="1" outlineLevel="3" x14ac:dyDescent="0.2">
      <c r="A3218" s="14" t="s">
        <v>6341</v>
      </c>
      <c r="B3218" s="15" t="s">
        <v>6342</v>
      </c>
      <c r="C3218" s="19">
        <f>1519.06/(1+B2)</f>
        <v>1519.06</v>
      </c>
      <c r="D3218" s="17" t="s">
        <v>11</v>
      </c>
      <c r="E3218" s="17"/>
      <c r="F3218" s="18"/>
      <c r="G3218" s="36" t="str">
        <f>IF(ISNUMBER(F3218),C3218*F3218,"")</f>
        <v/>
      </c>
    </row>
    <row r="3219" spans="1:7" ht="12" customHeight="1" outlineLevel="3" x14ac:dyDescent="0.2">
      <c r="A3219" s="14" t="s">
        <v>6343</v>
      </c>
      <c r="B3219" s="15" t="s">
        <v>6344</v>
      </c>
      <c r="C3219" s="19">
        <f>1659.07/(1+B2)</f>
        <v>1659.07</v>
      </c>
      <c r="D3219" s="17" t="s">
        <v>11</v>
      </c>
      <c r="E3219" s="17"/>
      <c r="F3219" s="18"/>
      <c r="G3219" s="36" t="str">
        <f>IF(ISNUMBER(F3219),C3219*F3219,"")</f>
        <v/>
      </c>
    </row>
    <row r="3220" spans="1:7" ht="12" customHeight="1" outlineLevel="3" x14ac:dyDescent="0.2">
      <c r="A3220" s="14" t="s">
        <v>6345</v>
      </c>
      <c r="B3220" s="15" t="s">
        <v>6346</v>
      </c>
      <c r="C3220" s="19">
        <f>1092.58/(1+B2)</f>
        <v>1092.58</v>
      </c>
      <c r="D3220" s="17" t="s">
        <v>11</v>
      </c>
      <c r="E3220" s="17"/>
      <c r="F3220" s="18"/>
      <c r="G3220" s="36" t="str">
        <f>IF(ISNUMBER(F3220),C3220*F3220,"")</f>
        <v/>
      </c>
    </row>
    <row r="3221" spans="1:7" s="1" customFormat="1" ht="12.95" customHeight="1" outlineLevel="2" x14ac:dyDescent="0.2">
      <c r="A3221" s="20"/>
      <c r="B3221" s="21" t="s">
        <v>6347</v>
      </c>
      <c r="C3221" s="22"/>
      <c r="D3221" s="22"/>
      <c r="E3221" s="22"/>
      <c r="F3221" s="22"/>
      <c r="G3221" s="37"/>
    </row>
    <row r="3222" spans="1:7" ht="12" customHeight="1" outlineLevel="3" x14ac:dyDescent="0.2">
      <c r="A3222" s="14" t="s">
        <v>6348</v>
      </c>
      <c r="B3222" s="15" t="s">
        <v>6349</v>
      </c>
      <c r="C3222" s="16">
        <f>200.85/(1+B2)</f>
        <v>200.85</v>
      </c>
      <c r="D3222" s="17" t="s">
        <v>11</v>
      </c>
      <c r="E3222" s="17"/>
      <c r="F3222" s="18"/>
      <c r="G3222" s="36" t="str">
        <f>IF(ISNUMBER(F3222),C3222*F3222,"")</f>
        <v/>
      </c>
    </row>
    <row r="3223" spans="1:7" ht="24" customHeight="1" outlineLevel="3" x14ac:dyDescent="0.2">
      <c r="A3223" s="14" t="s">
        <v>6350</v>
      </c>
      <c r="B3223" s="15" t="s">
        <v>6351</v>
      </c>
      <c r="C3223" s="16">
        <f>428.4/(1+B2)</f>
        <v>428.4</v>
      </c>
      <c r="D3223" s="17" t="s">
        <v>11</v>
      </c>
      <c r="E3223" s="17"/>
      <c r="F3223" s="18"/>
      <c r="G3223" s="36" t="str">
        <f>IF(ISNUMBER(F3223),C3223*F3223,"")</f>
        <v/>
      </c>
    </row>
    <row r="3224" spans="1:7" ht="12" customHeight="1" outlineLevel="3" x14ac:dyDescent="0.2">
      <c r="A3224" s="14" t="s">
        <v>6352</v>
      </c>
      <c r="B3224" s="15" t="s">
        <v>6353</v>
      </c>
      <c r="C3224" s="16">
        <f>133.88/(1+B2)</f>
        <v>133.88</v>
      </c>
      <c r="D3224" s="17" t="s">
        <v>14</v>
      </c>
      <c r="E3224" s="17" t="s">
        <v>11</v>
      </c>
      <c r="F3224" s="18"/>
      <c r="G3224" s="36" t="str">
        <f>IF(ISNUMBER(F3224),C3224*F3224,"")</f>
        <v/>
      </c>
    </row>
    <row r="3225" spans="1:7" ht="12" customHeight="1" outlineLevel="3" x14ac:dyDescent="0.2">
      <c r="A3225" s="14" t="s">
        <v>6354</v>
      </c>
      <c r="B3225" s="15" t="s">
        <v>6355</v>
      </c>
      <c r="C3225" s="16">
        <f>140.8/(1+B2)</f>
        <v>140.80000000000001</v>
      </c>
      <c r="D3225" s="17" t="s">
        <v>11</v>
      </c>
      <c r="E3225" s="17" t="s">
        <v>14</v>
      </c>
      <c r="F3225" s="18"/>
      <c r="G3225" s="36" t="str">
        <f>IF(ISNUMBER(F3225),C3225*F3225,"")</f>
        <v/>
      </c>
    </row>
    <row r="3226" spans="1:7" ht="12" customHeight="1" outlineLevel="3" x14ac:dyDescent="0.2">
      <c r="A3226" s="14" t="s">
        <v>6356</v>
      </c>
      <c r="B3226" s="15" t="s">
        <v>6357</v>
      </c>
      <c r="C3226" s="16">
        <f>149.63/(1+B2)</f>
        <v>149.63</v>
      </c>
      <c r="D3226" s="17" t="s">
        <v>11</v>
      </c>
      <c r="E3226" s="17" t="s">
        <v>53</v>
      </c>
      <c r="F3226" s="18"/>
      <c r="G3226" s="36" t="str">
        <f>IF(ISNUMBER(F3226),C3226*F3226,"")</f>
        <v/>
      </c>
    </row>
    <row r="3227" spans="1:7" ht="12" customHeight="1" outlineLevel="3" x14ac:dyDescent="0.2">
      <c r="A3227" s="14" t="s">
        <v>6358</v>
      </c>
      <c r="B3227" s="15" t="s">
        <v>6359</v>
      </c>
      <c r="C3227" s="16">
        <f>155.93/(1+B2)</f>
        <v>155.93</v>
      </c>
      <c r="D3227" s="17" t="s">
        <v>11</v>
      </c>
      <c r="E3227" s="17" t="s">
        <v>14</v>
      </c>
      <c r="F3227" s="18"/>
      <c r="G3227" s="36" t="str">
        <f>IF(ISNUMBER(F3227),C3227*F3227,"")</f>
        <v/>
      </c>
    </row>
    <row r="3228" spans="1:7" ht="12" customHeight="1" outlineLevel="3" x14ac:dyDescent="0.2">
      <c r="A3228" s="14" t="s">
        <v>6360</v>
      </c>
      <c r="B3228" s="15" t="s">
        <v>6361</v>
      </c>
      <c r="C3228" s="16">
        <f>173.25/(1+B2)</f>
        <v>173.25</v>
      </c>
      <c r="D3228" s="17" t="s">
        <v>11</v>
      </c>
      <c r="E3228" s="17"/>
      <c r="F3228" s="18"/>
      <c r="G3228" s="36" t="str">
        <f>IF(ISNUMBER(F3228),C3228*F3228,"")</f>
        <v/>
      </c>
    </row>
    <row r="3229" spans="1:7" ht="12" customHeight="1" outlineLevel="3" x14ac:dyDescent="0.2">
      <c r="A3229" s="14" t="s">
        <v>6362</v>
      </c>
      <c r="B3229" s="15" t="s">
        <v>6363</v>
      </c>
      <c r="C3229" s="16">
        <f>128.83/(1+B2)</f>
        <v>128.83000000000001</v>
      </c>
      <c r="D3229" s="17" t="s">
        <v>11</v>
      </c>
      <c r="E3229" s="17" t="s">
        <v>11</v>
      </c>
      <c r="F3229" s="18"/>
      <c r="G3229" s="36" t="str">
        <f>IF(ISNUMBER(F3229),C3229*F3229,"")</f>
        <v/>
      </c>
    </row>
    <row r="3230" spans="1:7" ht="12" customHeight="1" outlineLevel="3" x14ac:dyDescent="0.2">
      <c r="A3230" s="14" t="s">
        <v>6364</v>
      </c>
      <c r="B3230" s="15" t="s">
        <v>6365</v>
      </c>
      <c r="C3230" s="16">
        <f>160.19/(1+B2)</f>
        <v>160.19</v>
      </c>
      <c r="D3230" s="17" t="s">
        <v>14</v>
      </c>
      <c r="E3230" s="17"/>
      <c r="F3230" s="18"/>
      <c r="G3230" s="36" t="str">
        <f>IF(ISNUMBER(F3230),C3230*F3230,"")</f>
        <v/>
      </c>
    </row>
    <row r="3231" spans="1:7" ht="12" customHeight="1" outlineLevel="3" x14ac:dyDescent="0.2">
      <c r="A3231" s="14" t="s">
        <v>6366</v>
      </c>
      <c r="B3231" s="15" t="s">
        <v>6367</v>
      </c>
      <c r="C3231" s="16">
        <f>169.19/(1+B2)</f>
        <v>169.19</v>
      </c>
      <c r="D3231" s="17" t="s">
        <v>11</v>
      </c>
      <c r="E3231" s="17" t="s">
        <v>11</v>
      </c>
      <c r="F3231" s="18"/>
      <c r="G3231" s="36" t="str">
        <f>IF(ISNUMBER(F3231),C3231*F3231,"")</f>
        <v/>
      </c>
    </row>
    <row r="3232" spans="1:7" ht="12" customHeight="1" outlineLevel="3" x14ac:dyDescent="0.2">
      <c r="A3232" s="14" t="s">
        <v>6368</v>
      </c>
      <c r="B3232" s="15" t="s">
        <v>6369</v>
      </c>
      <c r="C3232" s="16">
        <f>129.08/(1+B2)</f>
        <v>129.08000000000001</v>
      </c>
      <c r="D3232" s="17" t="s">
        <v>11</v>
      </c>
      <c r="E3232" s="17" t="s">
        <v>11</v>
      </c>
      <c r="F3232" s="18"/>
      <c r="G3232" s="36" t="str">
        <f>IF(ISNUMBER(F3232),C3232*F3232,"")</f>
        <v/>
      </c>
    </row>
    <row r="3233" spans="1:7" ht="12" customHeight="1" outlineLevel="3" x14ac:dyDescent="0.2">
      <c r="A3233" s="14" t="s">
        <v>6370</v>
      </c>
      <c r="B3233" s="15" t="s">
        <v>6371</v>
      </c>
      <c r="C3233" s="16">
        <f>218.04/(1+B2)</f>
        <v>218.04</v>
      </c>
      <c r="D3233" s="17" t="s">
        <v>11</v>
      </c>
      <c r="E3233" s="17" t="s">
        <v>11</v>
      </c>
      <c r="F3233" s="18"/>
      <c r="G3233" s="36" t="str">
        <f>IF(ISNUMBER(F3233),C3233*F3233,"")</f>
        <v/>
      </c>
    </row>
    <row r="3234" spans="1:7" ht="12" customHeight="1" outlineLevel="3" x14ac:dyDescent="0.2">
      <c r="A3234" s="14" t="s">
        <v>6372</v>
      </c>
      <c r="B3234" s="15" t="s">
        <v>6373</v>
      </c>
      <c r="C3234" s="16">
        <f>194.59/(1+B2)</f>
        <v>194.59</v>
      </c>
      <c r="D3234" s="17" t="s">
        <v>11</v>
      </c>
      <c r="E3234" s="17"/>
      <c r="F3234" s="18"/>
      <c r="G3234" s="36" t="str">
        <f>IF(ISNUMBER(F3234),C3234*F3234,"")</f>
        <v/>
      </c>
    </row>
    <row r="3235" spans="1:7" ht="12" customHeight="1" outlineLevel="3" x14ac:dyDescent="0.2">
      <c r="A3235" s="14" t="s">
        <v>6374</v>
      </c>
      <c r="B3235" s="15" t="s">
        <v>6375</v>
      </c>
      <c r="C3235" s="16">
        <f>236.8/(1+B2)</f>
        <v>236.8</v>
      </c>
      <c r="D3235" s="17" t="s">
        <v>11</v>
      </c>
      <c r="E3235" s="17"/>
      <c r="F3235" s="18"/>
      <c r="G3235" s="36" t="str">
        <f>IF(ISNUMBER(F3235),C3235*F3235,"")</f>
        <v/>
      </c>
    </row>
    <row r="3236" spans="1:7" ht="12" customHeight="1" outlineLevel="3" x14ac:dyDescent="0.2">
      <c r="A3236" s="14" t="s">
        <v>6376</v>
      </c>
      <c r="B3236" s="15" t="s">
        <v>6377</v>
      </c>
      <c r="C3236" s="16">
        <f>139.32/(1+B2)</f>
        <v>139.32</v>
      </c>
      <c r="D3236" s="17" t="s">
        <v>11</v>
      </c>
      <c r="E3236" s="17" t="s">
        <v>11</v>
      </c>
      <c r="F3236" s="18"/>
      <c r="G3236" s="36" t="str">
        <f>IF(ISNUMBER(F3236),C3236*F3236,"")</f>
        <v/>
      </c>
    </row>
    <row r="3237" spans="1:7" ht="12" customHeight="1" outlineLevel="3" x14ac:dyDescent="0.2">
      <c r="A3237" s="14" t="s">
        <v>6378</v>
      </c>
      <c r="B3237" s="15" t="s">
        <v>6379</v>
      </c>
      <c r="C3237" s="16">
        <f>148.45/(1+B2)</f>
        <v>148.44999999999999</v>
      </c>
      <c r="D3237" s="17" t="s">
        <v>11</v>
      </c>
      <c r="E3237" s="17" t="s">
        <v>11</v>
      </c>
      <c r="F3237" s="18"/>
      <c r="G3237" s="36" t="str">
        <f>IF(ISNUMBER(F3237),C3237*F3237,"")</f>
        <v/>
      </c>
    </row>
    <row r="3238" spans="1:7" ht="12" customHeight="1" outlineLevel="3" x14ac:dyDescent="0.2">
      <c r="A3238" s="14" t="s">
        <v>6380</v>
      </c>
      <c r="B3238" s="15" t="s">
        <v>6381</v>
      </c>
      <c r="C3238" s="16">
        <f>159.86/(1+B2)</f>
        <v>159.86000000000001</v>
      </c>
      <c r="D3238" s="17" t="s">
        <v>11</v>
      </c>
      <c r="E3238" s="17" t="s">
        <v>11</v>
      </c>
      <c r="F3238" s="18"/>
      <c r="G3238" s="36" t="str">
        <f>IF(ISNUMBER(F3238),C3238*F3238,"")</f>
        <v/>
      </c>
    </row>
    <row r="3239" spans="1:7" ht="12" customHeight="1" outlineLevel="3" x14ac:dyDescent="0.2">
      <c r="A3239" s="14" t="s">
        <v>6382</v>
      </c>
      <c r="B3239" s="15" t="s">
        <v>6383</v>
      </c>
      <c r="C3239" s="16">
        <f>170.15/(1+B2)</f>
        <v>170.15</v>
      </c>
      <c r="D3239" s="17" t="s">
        <v>11</v>
      </c>
      <c r="E3239" s="17" t="s">
        <v>11</v>
      </c>
      <c r="F3239" s="18"/>
      <c r="G3239" s="36" t="str">
        <f>IF(ISNUMBER(F3239),C3239*F3239,"")</f>
        <v/>
      </c>
    </row>
    <row r="3240" spans="1:7" ht="12" customHeight="1" outlineLevel="3" x14ac:dyDescent="0.2">
      <c r="A3240" s="14" t="s">
        <v>6384</v>
      </c>
      <c r="B3240" s="15" t="s">
        <v>6385</v>
      </c>
      <c r="C3240" s="16">
        <f>198.03/(1+B2)</f>
        <v>198.03</v>
      </c>
      <c r="D3240" s="17" t="s">
        <v>11</v>
      </c>
      <c r="E3240" s="17" t="s">
        <v>11</v>
      </c>
      <c r="F3240" s="18"/>
      <c r="G3240" s="36" t="str">
        <f>IF(ISNUMBER(F3240),C3240*F3240,"")</f>
        <v/>
      </c>
    </row>
    <row r="3241" spans="1:7" ht="12" customHeight="1" outlineLevel="3" x14ac:dyDescent="0.2">
      <c r="A3241" s="14" t="s">
        <v>6386</v>
      </c>
      <c r="B3241" s="15" t="s">
        <v>6387</v>
      </c>
      <c r="C3241" s="16">
        <f>185.55/(1+B2)</f>
        <v>185.55</v>
      </c>
      <c r="D3241" s="17" t="s">
        <v>11</v>
      </c>
      <c r="E3241" s="17"/>
      <c r="F3241" s="18"/>
      <c r="G3241" s="36" t="str">
        <f>IF(ISNUMBER(F3241),C3241*F3241,"")</f>
        <v/>
      </c>
    </row>
    <row r="3242" spans="1:7" ht="12" customHeight="1" outlineLevel="3" x14ac:dyDescent="0.2">
      <c r="A3242" s="14" t="s">
        <v>6388</v>
      </c>
      <c r="B3242" s="15" t="s">
        <v>6389</v>
      </c>
      <c r="C3242" s="16">
        <f>201.16/(1+B2)</f>
        <v>201.16</v>
      </c>
      <c r="D3242" s="17" t="s">
        <v>11</v>
      </c>
      <c r="E3242" s="17" t="s">
        <v>11</v>
      </c>
      <c r="F3242" s="18"/>
      <c r="G3242" s="36" t="str">
        <f>IF(ISNUMBER(F3242),C3242*F3242,"")</f>
        <v/>
      </c>
    </row>
    <row r="3243" spans="1:7" ht="12" customHeight="1" outlineLevel="3" x14ac:dyDescent="0.2">
      <c r="A3243" s="14" t="s">
        <v>6390</v>
      </c>
      <c r="B3243" s="15" t="s">
        <v>6391</v>
      </c>
      <c r="C3243" s="16">
        <f>232.43/(1+B2)</f>
        <v>232.43</v>
      </c>
      <c r="D3243" s="17" t="s">
        <v>11</v>
      </c>
      <c r="E3243" s="17"/>
      <c r="F3243" s="18"/>
      <c r="G3243" s="36" t="str">
        <f>IF(ISNUMBER(F3243),C3243*F3243,"")</f>
        <v/>
      </c>
    </row>
    <row r="3244" spans="1:7" ht="12" customHeight="1" outlineLevel="3" x14ac:dyDescent="0.2">
      <c r="A3244" s="14" t="s">
        <v>6392</v>
      </c>
      <c r="B3244" s="15" t="s">
        <v>6393</v>
      </c>
      <c r="C3244" s="16">
        <f>98.39/(1+B2)</f>
        <v>98.39</v>
      </c>
      <c r="D3244" s="17" t="s">
        <v>11</v>
      </c>
      <c r="E3244" s="17" t="s">
        <v>11</v>
      </c>
      <c r="F3244" s="18"/>
      <c r="G3244" s="36" t="str">
        <f>IF(ISNUMBER(F3244),C3244*F3244,"")</f>
        <v/>
      </c>
    </row>
    <row r="3245" spans="1:7" ht="12" customHeight="1" outlineLevel="3" x14ac:dyDescent="0.2">
      <c r="A3245" s="14" t="s">
        <v>6394</v>
      </c>
      <c r="B3245" s="15" t="s">
        <v>6395</v>
      </c>
      <c r="C3245" s="16">
        <f>34.47/(1+B2)</f>
        <v>34.47</v>
      </c>
      <c r="D3245" s="17" t="s">
        <v>11</v>
      </c>
      <c r="E3245" s="17"/>
      <c r="F3245" s="18"/>
      <c r="G3245" s="36" t="str">
        <f>IF(ISNUMBER(F3245),C3245*F3245,"")</f>
        <v/>
      </c>
    </row>
    <row r="3246" spans="1:7" ht="12" customHeight="1" outlineLevel="3" x14ac:dyDescent="0.2">
      <c r="A3246" s="14" t="s">
        <v>6396</v>
      </c>
      <c r="B3246" s="15" t="s">
        <v>6397</v>
      </c>
      <c r="C3246" s="16">
        <f>48.9/(1+B2)</f>
        <v>48.9</v>
      </c>
      <c r="D3246" s="17" t="s">
        <v>11</v>
      </c>
      <c r="E3246" s="17" t="s">
        <v>14</v>
      </c>
      <c r="F3246" s="18"/>
      <c r="G3246" s="36" t="str">
        <f>IF(ISNUMBER(F3246),C3246*F3246,"")</f>
        <v/>
      </c>
    </row>
    <row r="3247" spans="1:7" ht="12" customHeight="1" outlineLevel="3" x14ac:dyDescent="0.2">
      <c r="A3247" s="14" t="s">
        <v>6398</v>
      </c>
      <c r="B3247" s="15" t="s">
        <v>6399</v>
      </c>
      <c r="C3247" s="16">
        <f>62.81/(1+B2)</f>
        <v>62.81</v>
      </c>
      <c r="D3247" s="17" t="s">
        <v>14</v>
      </c>
      <c r="E3247" s="17" t="s">
        <v>53</v>
      </c>
      <c r="F3247" s="18"/>
      <c r="G3247" s="36" t="str">
        <f>IF(ISNUMBER(F3247),C3247*F3247,"")</f>
        <v/>
      </c>
    </row>
    <row r="3248" spans="1:7" ht="12" customHeight="1" outlineLevel="3" x14ac:dyDescent="0.2">
      <c r="A3248" s="14" t="s">
        <v>6400</v>
      </c>
      <c r="B3248" s="15" t="s">
        <v>6401</v>
      </c>
      <c r="C3248" s="16">
        <f>80/(1+B2)</f>
        <v>80</v>
      </c>
      <c r="D3248" s="17" t="s">
        <v>11</v>
      </c>
      <c r="E3248" s="17"/>
      <c r="F3248" s="18"/>
      <c r="G3248" s="36" t="str">
        <f>IF(ISNUMBER(F3248),C3248*F3248,"")</f>
        <v/>
      </c>
    </row>
    <row r="3249" spans="1:7" s="1" customFormat="1" ht="12.95" customHeight="1" outlineLevel="2" x14ac:dyDescent="0.2">
      <c r="A3249" s="20"/>
      <c r="B3249" s="21" t="s">
        <v>6402</v>
      </c>
      <c r="C3249" s="22"/>
      <c r="D3249" s="22"/>
      <c r="E3249" s="22"/>
      <c r="F3249" s="22"/>
      <c r="G3249" s="37"/>
    </row>
    <row r="3250" spans="1:7" ht="24" customHeight="1" outlineLevel="3" x14ac:dyDescent="0.2">
      <c r="A3250" s="14" t="s">
        <v>6403</v>
      </c>
      <c r="B3250" s="15" t="s">
        <v>6404</v>
      </c>
      <c r="C3250" s="19">
        <f>1606.94/(1+B2)</f>
        <v>1606.94</v>
      </c>
      <c r="D3250" s="17" t="s">
        <v>11</v>
      </c>
      <c r="E3250" s="17"/>
      <c r="F3250" s="18"/>
      <c r="G3250" s="36" t="str">
        <f>IF(ISNUMBER(F3250),C3250*F3250,"")</f>
        <v/>
      </c>
    </row>
    <row r="3251" spans="1:7" ht="24" customHeight="1" outlineLevel="3" x14ac:dyDescent="0.2">
      <c r="A3251" s="14" t="s">
        <v>6405</v>
      </c>
      <c r="B3251" s="15" t="s">
        <v>6406</v>
      </c>
      <c r="C3251" s="19">
        <f>1860.42/(1+B2)</f>
        <v>1860.42</v>
      </c>
      <c r="D3251" s="17" t="s">
        <v>11</v>
      </c>
      <c r="E3251" s="17"/>
      <c r="F3251" s="18"/>
      <c r="G3251" s="36" t="str">
        <f>IF(ISNUMBER(F3251),C3251*F3251,"")</f>
        <v/>
      </c>
    </row>
    <row r="3252" spans="1:7" ht="12" customHeight="1" outlineLevel="3" x14ac:dyDescent="0.2">
      <c r="A3252" s="14" t="s">
        <v>6407</v>
      </c>
      <c r="B3252" s="15" t="s">
        <v>6408</v>
      </c>
      <c r="C3252" s="19">
        <f>1895.44/(1+B2)</f>
        <v>1895.44</v>
      </c>
      <c r="D3252" s="17" t="s">
        <v>11</v>
      </c>
      <c r="E3252" s="17"/>
      <c r="F3252" s="18"/>
      <c r="G3252" s="36" t="str">
        <f>IF(ISNUMBER(F3252),C3252*F3252,"")</f>
        <v/>
      </c>
    </row>
    <row r="3253" spans="1:7" ht="24" customHeight="1" outlineLevel="3" x14ac:dyDescent="0.2">
      <c r="A3253" s="14" t="s">
        <v>6409</v>
      </c>
      <c r="B3253" s="15" t="s">
        <v>6410</v>
      </c>
      <c r="C3253" s="19">
        <f>1154.06/(1+B2)</f>
        <v>1154.06</v>
      </c>
      <c r="D3253" s="17" t="s">
        <v>11</v>
      </c>
      <c r="E3253" s="17"/>
      <c r="F3253" s="18"/>
      <c r="G3253" s="36" t="str">
        <f>IF(ISNUMBER(F3253),C3253*F3253,"")</f>
        <v/>
      </c>
    </row>
    <row r="3254" spans="1:7" ht="12" customHeight="1" outlineLevel="3" x14ac:dyDescent="0.2">
      <c r="A3254" s="14" t="s">
        <v>6411</v>
      </c>
      <c r="B3254" s="15" t="s">
        <v>6412</v>
      </c>
      <c r="C3254" s="16">
        <f>579.85/(1+B2)</f>
        <v>579.85</v>
      </c>
      <c r="D3254" s="17" t="s">
        <v>11</v>
      </c>
      <c r="E3254" s="17"/>
      <c r="F3254" s="18"/>
      <c r="G3254" s="36" t="str">
        <f>IF(ISNUMBER(F3254),C3254*F3254,"")</f>
        <v/>
      </c>
    </row>
    <row r="3255" spans="1:7" ht="12" customHeight="1" outlineLevel="3" x14ac:dyDescent="0.2">
      <c r="A3255" s="14" t="s">
        <v>6413</v>
      </c>
      <c r="B3255" s="15" t="s">
        <v>6414</v>
      </c>
      <c r="C3255" s="16">
        <f>870.14/(1+B2)</f>
        <v>870.14</v>
      </c>
      <c r="D3255" s="17" t="s">
        <v>11</v>
      </c>
      <c r="E3255" s="17" t="s">
        <v>11</v>
      </c>
      <c r="F3255" s="18"/>
      <c r="G3255" s="36" t="str">
        <f>IF(ISNUMBER(F3255),C3255*F3255,"")</f>
        <v/>
      </c>
    </row>
    <row r="3256" spans="1:7" ht="12" customHeight="1" outlineLevel="3" x14ac:dyDescent="0.2">
      <c r="A3256" s="14" t="s">
        <v>6415</v>
      </c>
      <c r="B3256" s="15" t="s">
        <v>6416</v>
      </c>
      <c r="C3256" s="16">
        <f>979.76/(1+B2)</f>
        <v>979.76</v>
      </c>
      <c r="D3256" s="17" t="s">
        <v>11</v>
      </c>
      <c r="E3256" s="17"/>
      <c r="F3256" s="18"/>
      <c r="G3256" s="36" t="str">
        <f>IF(ISNUMBER(F3256),C3256*F3256,"")</f>
        <v/>
      </c>
    </row>
    <row r="3257" spans="1:7" ht="12" customHeight="1" outlineLevel="3" x14ac:dyDescent="0.2">
      <c r="A3257" s="14" t="s">
        <v>6417</v>
      </c>
      <c r="B3257" s="15" t="s">
        <v>6418</v>
      </c>
      <c r="C3257" s="16">
        <f>931.05/(1+B2)</f>
        <v>931.05</v>
      </c>
      <c r="D3257" s="17" t="s">
        <v>11</v>
      </c>
      <c r="E3257" s="17"/>
      <c r="F3257" s="18"/>
      <c r="G3257" s="36" t="str">
        <f>IF(ISNUMBER(F3257),C3257*F3257,"")</f>
        <v/>
      </c>
    </row>
    <row r="3258" spans="1:7" ht="12" customHeight="1" outlineLevel="3" x14ac:dyDescent="0.2">
      <c r="A3258" s="14" t="s">
        <v>6419</v>
      </c>
      <c r="B3258" s="15" t="s">
        <v>6420</v>
      </c>
      <c r="C3258" s="16">
        <f>835.08/(1+B2)</f>
        <v>835.08</v>
      </c>
      <c r="D3258" s="17" t="s">
        <v>11</v>
      </c>
      <c r="E3258" s="17"/>
      <c r="F3258" s="18"/>
      <c r="G3258" s="36" t="str">
        <f>IF(ISNUMBER(F3258),C3258*F3258,"")</f>
        <v/>
      </c>
    </row>
    <row r="3259" spans="1:7" ht="12" customHeight="1" outlineLevel="3" x14ac:dyDescent="0.2">
      <c r="A3259" s="14" t="s">
        <v>6421</v>
      </c>
      <c r="B3259" s="15" t="s">
        <v>6422</v>
      </c>
      <c r="C3259" s="19">
        <f>1187.59/(1+B2)</f>
        <v>1187.5899999999999</v>
      </c>
      <c r="D3259" s="17" t="s">
        <v>11</v>
      </c>
      <c r="E3259" s="17"/>
      <c r="F3259" s="18"/>
      <c r="G3259" s="36" t="str">
        <f>IF(ISNUMBER(F3259),C3259*F3259,"")</f>
        <v/>
      </c>
    </row>
    <row r="3260" spans="1:7" ht="12" customHeight="1" outlineLevel="3" x14ac:dyDescent="0.2">
      <c r="A3260" s="14" t="s">
        <v>6423</v>
      </c>
      <c r="B3260" s="15" t="s">
        <v>6424</v>
      </c>
      <c r="C3260" s="19">
        <f>1600/(1+B2)</f>
        <v>1600</v>
      </c>
      <c r="D3260" s="17" t="s">
        <v>11</v>
      </c>
      <c r="E3260" s="17"/>
      <c r="F3260" s="18"/>
      <c r="G3260" s="36" t="str">
        <f>IF(ISNUMBER(F3260),C3260*F3260,"")</f>
        <v/>
      </c>
    </row>
    <row r="3261" spans="1:7" ht="12" customHeight="1" outlineLevel="3" x14ac:dyDescent="0.2">
      <c r="A3261" s="14" t="s">
        <v>6425</v>
      </c>
      <c r="B3261" s="15" t="s">
        <v>6426</v>
      </c>
      <c r="C3261" s="19">
        <f>1711.84/(1+B2)</f>
        <v>1711.84</v>
      </c>
      <c r="D3261" s="17" t="s">
        <v>11</v>
      </c>
      <c r="E3261" s="17"/>
      <c r="F3261" s="18"/>
      <c r="G3261" s="36" t="str">
        <f>IF(ISNUMBER(F3261),C3261*F3261,"")</f>
        <v/>
      </c>
    </row>
    <row r="3262" spans="1:7" ht="12" customHeight="1" outlineLevel="3" x14ac:dyDescent="0.2">
      <c r="A3262" s="14" t="s">
        <v>6427</v>
      </c>
      <c r="B3262" s="15" t="s">
        <v>6428</v>
      </c>
      <c r="C3262" s="19">
        <f>1001.91/(1+B2)</f>
        <v>1001.91</v>
      </c>
      <c r="D3262" s="17" t="s">
        <v>11</v>
      </c>
      <c r="E3262" s="17"/>
      <c r="F3262" s="18"/>
      <c r="G3262" s="36" t="str">
        <f>IF(ISNUMBER(F3262),C3262*F3262,"")</f>
        <v/>
      </c>
    </row>
    <row r="3263" spans="1:7" s="1" customFormat="1" ht="12.95" customHeight="1" outlineLevel="2" x14ac:dyDescent="0.2">
      <c r="A3263" s="20"/>
      <c r="B3263" s="21" t="s">
        <v>6429</v>
      </c>
      <c r="C3263" s="22"/>
      <c r="D3263" s="22"/>
      <c r="E3263" s="22"/>
      <c r="F3263" s="22"/>
      <c r="G3263" s="37"/>
    </row>
    <row r="3264" spans="1:7" ht="12" customHeight="1" outlineLevel="3" x14ac:dyDescent="0.2">
      <c r="A3264" s="14" t="s">
        <v>6430</v>
      </c>
      <c r="B3264" s="15" t="s">
        <v>6431</v>
      </c>
      <c r="C3264" s="16">
        <f>193.01/(1+B2)</f>
        <v>193.01</v>
      </c>
      <c r="D3264" s="17" t="s">
        <v>11</v>
      </c>
      <c r="E3264" s="17"/>
      <c r="F3264" s="18"/>
      <c r="G3264" s="36" t="str">
        <f>IF(ISNUMBER(F3264),C3264*F3264,"")</f>
        <v/>
      </c>
    </row>
    <row r="3265" spans="1:7" ht="12" customHeight="1" outlineLevel="3" x14ac:dyDescent="0.2">
      <c r="A3265" s="14" t="s">
        <v>6432</v>
      </c>
      <c r="B3265" s="15" t="s">
        <v>6433</v>
      </c>
      <c r="C3265" s="16">
        <f>67.92/(1+B2)</f>
        <v>67.92</v>
      </c>
      <c r="D3265" s="17" t="s">
        <v>14</v>
      </c>
      <c r="E3265" s="17" t="s">
        <v>53</v>
      </c>
      <c r="F3265" s="18"/>
      <c r="G3265" s="36" t="str">
        <f>IF(ISNUMBER(F3265),C3265*F3265,"")</f>
        <v/>
      </c>
    </row>
    <row r="3266" spans="1:7" ht="12" customHeight="1" outlineLevel="3" x14ac:dyDescent="0.2">
      <c r="A3266" s="14" t="s">
        <v>6434</v>
      </c>
      <c r="B3266" s="15" t="s">
        <v>6435</v>
      </c>
      <c r="C3266" s="16">
        <f>101.63/(1+B2)</f>
        <v>101.63</v>
      </c>
      <c r="D3266" s="17" t="s">
        <v>11</v>
      </c>
      <c r="E3266" s="17" t="s">
        <v>11</v>
      </c>
      <c r="F3266" s="18"/>
      <c r="G3266" s="36" t="str">
        <f>IF(ISNUMBER(F3266),C3266*F3266,"")</f>
        <v/>
      </c>
    </row>
    <row r="3267" spans="1:7" ht="12" customHeight="1" outlineLevel="3" x14ac:dyDescent="0.2">
      <c r="A3267" s="14" t="s">
        <v>6436</v>
      </c>
      <c r="B3267" s="15" t="s">
        <v>6437</v>
      </c>
      <c r="C3267" s="16">
        <f>72.41/(1+B2)</f>
        <v>72.41</v>
      </c>
      <c r="D3267" s="17" t="s">
        <v>11</v>
      </c>
      <c r="E3267" s="17"/>
      <c r="F3267" s="18"/>
      <c r="G3267" s="36" t="str">
        <f>IF(ISNUMBER(F3267),C3267*F3267,"")</f>
        <v/>
      </c>
    </row>
    <row r="3268" spans="1:7" ht="12" customHeight="1" outlineLevel="3" x14ac:dyDescent="0.2">
      <c r="A3268" s="14" t="s">
        <v>6438</v>
      </c>
      <c r="B3268" s="15" t="s">
        <v>6439</v>
      </c>
      <c r="C3268" s="16">
        <f>280/(1+B2)</f>
        <v>280</v>
      </c>
      <c r="D3268" s="17" t="s">
        <v>11</v>
      </c>
      <c r="E3268" s="17"/>
      <c r="F3268" s="18"/>
      <c r="G3268" s="36" t="str">
        <f>IF(ISNUMBER(F3268),C3268*F3268,"")</f>
        <v/>
      </c>
    </row>
    <row r="3269" spans="1:7" ht="12" customHeight="1" outlineLevel="3" x14ac:dyDescent="0.2">
      <c r="A3269" s="14" t="s">
        <v>6440</v>
      </c>
      <c r="B3269" s="15" t="s">
        <v>6441</v>
      </c>
      <c r="C3269" s="16">
        <f>133.65/(1+B2)</f>
        <v>133.65</v>
      </c>
      <c r="D3269" s="17" t="s">
        <v>11</v>
      </c>
      <c r="E3269" s="17"/>
      <c r="F3269" s="18"/>
      <c r="G3269" s="36" t="str">
        <f>IF(ISNUMBER(F3269),C3269*F3269,"")</f>
        <v/>
      </c>
    </row>
    <row r="3270" spans="1:7" ht="12" customHeight="1" outlineLevel="3" x14ac:dyDescent="0.2">
      <c r="A3270" s="14" t="s">
        <v>6442</v>
      </c>
      <c r="B3270" s="15" t="s">
        <v>6443</v>
      </c>
      <c r="C3270" s="16">
        <f>272.72/(1+B2)</f>
        <v>272.72000000000003</v>
      </c>
      <c r="D3270" s="17" t="s">
        <v>11</v>
      </c>
      <c r="E3270" s="17"/>
      <c r="F3270" s="18"/>
      <c r="G3270" s="36" t="str">
        <f>IF(ISNUMBER(F3270),C3270*F3270,"")</f>
        <v/>
      </c>
    </row>
    <row r="3271" spans="1:7" ht="12" customHeight="1" outlineLevel="3" x14ac:dyDescent="0.2">
      <c r="A3271" s="14" t="s">
        <v>6444</v>
      </c>
      <c r="B3271" s="15" t="s">
        <v>6445</v>
      </c>
      <c r="C3271" s="16">
        <f>70.44/(1+B2)</f>
        <v>70.44</v>
      </c>
      <c r="D3271" s="17" t="s">
        <v>14</v>
      </c>
      <c r="E3271" s="17"/>
      <c r="F3271" s="18"/>
      <c r="G3271" s="36" t="str">
        <f>IF(ISNUMBER(F3271),C3271*F3271,"")</f>
        <v/>
      </c>
    </row>
    <row r="3272" spans="1:7" ht="12" customHeight="1" outlineLevel="3" x14ac:dyDescent="0.2">
      <c r="A3272" s="14" t="s">
        <v>6446</v>
      </c>
      <c r="B3272" s="15" t="s">
        <v>6447</v>
      </c>
      <c r="C3272" s="16">
        <f>56.08/(1+B2)</f>
        <v>56.08</v>
      </c>
      <c r="D3272" s="17" t="s">
        <v>11</v>
      </c>
      <c r="E3272" s="17" t="s">
        <v>14</v>
      </c>
      <c r="F3272" s="18"/>
      <c r="G3272" s="36" t="str">
        <f>IF(ISNUMBER(F3272),C3272*F3272,"")</f>
        <v/>
      </c>
    </row>
    <row r="3273" spans="1:7" ht="12" customHeight="1" outlineLevel="3" x14ac:dyDescent="0.2">
      <c r="A3273" s="14" t="s">
        <v>6448</v>
      </c>
      <c r="B3273" s="15" t="s">
        <v>6449</v>
      </c>
      <c r="C3273" s="16">
        <f>113.57/(1+B2)</f>
        <v>113.57</v>
      </c>
      <c r="D3273" s="17" t="s">
        <v>11</v>
      </c>
      <c r="E3273" s="17" t="s">
        <v>11</v>
      </c>
      <c r="F3273" s="18"/>
      <c r="G3273" s="36" t="str">
        <f>IF(ISNUMBER(F3273),C3273*F3273,"")</f>
        <v/>
      </c>
    </row>
    <row r="3274" spans="1:7" ht="12" customHeight="1" outlineLevel="3" x14ac:dyDescent="0.2">
      <c r="A3274" s="14" t="s">
        <v>6450</v>
      </c>
      <c r="B3274" s="15" t="s">
        <v>6451</v>
      </c>
      <c r="C3274" s="16">
        <f>142.77/(1+B2)</f>
        <v>142.77000000000001</v>
      </c>
      <c r="D3274" s="17" t="s">
        <v>11</v>
      </c>
      <c r="E3274" s="17" t="s">
        <v>11</v>
      </c>
      <c r="F3274" s="18"/>
      <c r="G3274" s="36" t="str">
        <f>IF(ISNUMBER(F3274),C3274*F3274,"")</f>
        <v/>
      </c>
    </row>
    <row r="3275" spans="1:7" ht="12" customHeight="1" outlineLevel="3" x14ac:dyDescent="0.2">
      <c r="A3275" s="14" t="s">
        <v>6452</v>
      </c>
      <c r="B3275" s="15" t="s">
        <v>6453</v>
      </c>
      <c r="C3275" s="16">
        <f>145.61/(1+B2)</f>
        <v>145.61000000000001</v>
      </c>
      <c r="D3275" s="17" t="s">
        <v>11</v>
      </c>
      <c r="E3275" s="17" t="s">
        <v>11</v>
      </c>
      <c r="F3275" s="18"/>
      <c r="G3275" s="36" t="str">
        <f>IF(ISNUMBER(F3275),C3275*F3275,"")</f>
        <v/>
      </c>
    </row>
    <row r="3276" spans="1:7" ht="12" customHeight="1" outlineLevel="3" x14ac:dyDescent="0.2">
      <c r="A3276" s="14" t="s">
        <v>6454</v>
      </c>
      <c r="B3276" s="15" t="s">
        <v>6455</v>
      </c>
      <c r="C3276" s="16">
        <f>234.12/(1+B2)</f>
        <v>234.12</v>
      </c>
      <c r="D3276" s="17" t="s">
        <v>11</v>
      </c>
      <c r="E3276" s="17" t="s">
        <v>14</v>
      </c>
      <c r="F3276" s="18"/>
      <c r="G3276" s="36" t="str">
        <f>IF(ISNUMBER(F3276),C3276*F3276,"")</f>
        <v/>
      </c>
    </row>
    <row r="3277" spans="1:7" ht="12" customHeight="1" outlineLevel="3" x14ac:dyDescent="0.2">
      <c r="A3277" s="14" t="s">
        <v>6456</v>
      </c>
      <c r="B3277" s="15" t="s">
        <v>6457</v>
      </c>
      <c r="C3277" s="16">
        <f>74.22/(1+B2)</f>
        <v>74.22</v>
      </c>
      <c r="D3277" s="17" t="s">
        <v>11</v>
      </c>
      <c r="E3277" s="17" t="s">
        <v>11</v>
      </c>
      <c r="F3277" s="18"/>
      <c r="G3277" s="36" t="str">
        <f>IF(ISNUMBER(F3277),C3277*F3277,"")</f>
        <v/>
      </c>
    </row>
    <row r="3278" spans="1:7" ht="12" customHeight="1" outlineLevel="3" x14ac:dyDescent="0.2">
      <c r="A3278" s="14" t="s">
        <v>6458</v>
      </c>
      <c r="B3278" s="15" t="s">
        <v>6459</v>
      </c>
      <c r="C3278" s="16">
        <f>82.58/(1+B2)</f>
        <v>82.58</v>
      </c>
      <c r="D3278" s="17" t="s">
        <v>11</v>
      </c>
      <c r="E3278" s="17" t="s">
        <v>14</v>
      </c>
      <c r="F3278" s="18"/>
      <c r="G3278" s="36" t="str">
        <f>IF(ISNUMBER(F3278),C3278*F3278,"")</f>
        <v/>
      </c>
    </row>
    <row r="3279" spans="1:7" ht="12" customHeight="1" outlineLevel="3" x14ac:dyDescent="0.2">
      <c r="A3279" s="14" t="s">
        <v>6460</v>
      </c>
      <c r="B3279" s="15" t="s">
        <v>6461</v>
      </c>
      <c r="C3279" s="16">
        <f>84.5/(1+B2)</f>
        <v>84.5</v>
      </c>
      <c r="D3279" s="17" t="s">
        <v>11</v>
      </c>
      <c r="E3279" s="17" t="s">
        <v>11</v>
      </c>
      <c r="F3279" s="18"/>
      <c r="G3279" s="36" t="str">
        <f>IF(ISNUMBER(F3279),C3279*F3279,"")</f>
        <v/>
      </c>
    </row>
    <row r="3280" spans="1:7" ht="12" customHeight="1" outlineLevel="3" x14ac:dyDescent="0.2">
      <c r="A3280" s="14" t="s">
        <v>6462</v>
      </c>
      <c r="B3280" s="15" t="s">
        <v>6463</v>
      </c>
      <c r="C3280" s="16">
        <f>91.17/(1+B2)</f>
        <v>91.17</v>
      </c>
      <c r="D3280" s="17" t="s">
        <v>11</v>
      </c>
      <c r="E3280" s="17" t="s">
        <v>11</v>
      </c>
      <c r="F3280" s="18"/>
      <c r="G3280" s="36" t="str">
        <f>IF(ISNUMBER(F3280),C3280*F3280,"")</f>
        <v/>
      </c>
    </row>
    <row r="3281" spans="1:7" ht="12" customHeight="1" outlineLevel="3" x14ac:dyDescent="0.2">
      <c r="A3281" s="14" t="s">
        <v>6464</v>
      </c>
      <c r="B3281" s="15" t="s">
        <v>6465</v>
      </c>
      <c r="C3281" s="16">
        <f>107.03/(1+B2)</f>
        <v>107.03</v>
      </c>
      <c r="D3281" s="17" t="s">
        <v>11</v>
      </c>
      <c r="E3281" s="17" t="s">
        <v>11</v>
      </c>
      <c r="F3281" s="18"/>
      <c r="G3281" s="36" t="str">
        <f>IF(ISNUMBER(F3281),C3281*F3281,"")</f>
        <v/>
      </c>
    </row>
    <row r="3282" spans="1:7" ht="12" customHeight="1" outlineLevel="3" x14ac:dyDescent="0.2">
      <c r="A3282" s="14" t="s">
        <v>6466</v>
      </c>
      <c r="B3282" s="15" t="s">
        <v>6467</v>
      </c>
      <c r="C3282" s="16">
        <f>129.79/(1+B2)</f>
        <v>129.79</v>
      </c>
      <c r="D3282" s="17" t="s">
        <v>11</v>
      </c>
      <c r="E3282" s="17" t="s">
        <v>11</v>
      </c>
      <c r="F3282" s="18"/>
      <c r="G3282" s="36" t="str">
        <f>IF(ISNUMBER(F3282),C3282*F3282,"")</f>
        <v/>
      </c>
    </row>
    <row r="3283" spans="1:7" ht="12" customHeight="1" outlineLevel="3" x14ac:dyDescent="0.2">
      <c r="A3283" s="14" t="s">
        <v>6468</v>
      </c>
      <c r="B3283" s="15" t="s">
        <v>6469</v>
      </c>
      <c r="C3283" s="16">
        <f>182.71/(1+B2)</f>
        <v>182.71</v>
      </c>
      <c r="D3283" s="17" t="s">
        <v>11</v>
      </c>
      <c r="E3283" s="17" t="s">
        <v>11</v>
      </c>
      <c r="F3283" s="18"/>
      <c r="G3283" s="36" t="str">
        <f>IF(ISNUMBER(F3283),C3283*F3283,"")</f>
        <v/>
      </c>
    </row>
    <row r="3284" spans="1:7" ht="12" customHeight="1" outlineLevel="3" x14ac:dyDescent="0.2">
      <c r="A3284" s="14" t="s">
        <v>6470</v>
      </c>
      <c r="B3284" s="15" t="s">
        <v>6471</v>
      </c>
      <c r="C3284" s="16">
        <f>208.97/(1+B2)</f>
        <v>208.97</v>
      </c>
      <c r="D3284" s="17" t="s">
        <v>11</v>
      </c>
      <c r="E3284" s="17" t="s">
        <v>11</v>
      </c>
      <c r="F3284" s="18"/>
      <c r="G3284" s="36" t="str">
        <f>IF(ISNUMBER(F3284),C3284*F3284,"")</f>
        <v/>
      </c>
    </row>
    <row r="3285" spans="1:7" ht="12" customHeight="1" outlineLevel="3" x14ac:dyDescent="0.2">
      <c r="A3285" s="14" t="s">
        <v>6472</v>
      </c>
      <c r="B3285" s="15" t="s">
        <v>6473</v>
      </c>
      <c r="C3285" s="16">
        <f>224.12/(1+B2)</f>
        <v>224.12</v>
      </c>
      <c r="D3285" s="17" t="s">
        <v>11</v>
      </c>
      <c r="E3285" s="17" t="s">
        <v>11</v>
      </c>
      <c r="F3285" s="18"/>
      <c r="G3285" s="36" t="str">
        <f>IF(ISNUMBER(F3285),C3285*F3285,"")</f>
        <v/>
      </c>
    </row>
    <row r="3286" spans="1:7" ht="12" customHeight="1" outlineLevel="3" x14ac:dyDescent="0.2">
      <c r="A3286" s="14" t="s">
        <v>6474</v>
      </c>
      <c r="B3286" s="15" t="s">
        <v>6475</v>
      </c>
      <c r="C3286" s="16">
        <f>366.41/(1+B2)</f>
        <v>366.41</v>
      </c>
      <c r="D3286" s="17" t="s">
        <v>11</v>
      </c>
      <c r="E3286" s="17" t="s">
        <v>11</v>
      </c>
      <c r="F3286" s="18"/>
      <c r="G3286" s="36" t="str">
        <f>IF(ISNUMBER(F3286),C3286*F3286,"")</f>
        <v/>
      </c>
    </row>
    <row r="3287" spans="1:7" ht="12" customHeight="1" outlineLevel="3" x14ac:dyDescent="0.2">
      <c r="A3287" s="14" t="s">
        <v>6476</v>
      </c>
      <c r="B3287" s="15" t="s">
        <v>6477</v>
      </c>
      <c r="C3287" s="16">
        <f>466.74/(1+B2)</f>
        <v>466.74</v>
      </c>
      <c r="D3287" s="17" t="s">
        <v>11</v>
      </c>
      <c r="E3287" s="17" t="s">
        <v>11</v>
      </c>
      <c r="F3287" s="18"/>
      <c r="G3287" s="36" t="str">
        <f>IF(ISNUMBER(F3287),C3287*F3287,"")</f>
        <v/>
      </c>
    </row>
    <row r="3288" spans="1:7" ht="12" customHeight="1" outlineLevel="3" x14ac:dyDescent="0.2">
      <c r="A3288" s="14" t="s">
        <v>6478</v>
      </c>
      <c r="B3288" s="15" t="s">
        <v>6479</v>
      </c>
      <c r="C3288" s="16">
        <f>546.47/(1+B2)</f>
        <v>546.47</v>
      </c>
      <c r="D3288" s="17" t="s">
        <v>11</v>
      </c>
      <c r="E3288" s="17" t="s">
        <v>11</v>
      </c>
      <c r="F3288" s="18"/>
      <c r="G3288" s="36" t="str">
        <f>IF(ISNUMBER(F3288),C3288*F3288,"")</f>
        <v/>
      </c>
    </row>
    <row r="3289" spans="1:7" ht="12" customHeight="1" outlineLevel="3" x14ac:dyDescent="0.2">
      <c r="A3289" s="14" t="s">
        <v>6480</v>
      </c>
      <c r="B3289" s="15" t="s">
        <v>6481</v>
      </c>
      <c r="C3289" s="16">
        <f>94.68/(1+B2)</f>
        <v>94.68</v>
      </c>
      <c r="D3289" s="17" t="s">
        <v>11</v>
      </c>
      <c r="E3289" s="17"/>
      <c r="F3289" s="18"/>
      <c r="G3289" s="36" t="str">
        <f>IF(ISNUMBER(F3289),C3289*F3289,"")</f>
        <v/>
      </c>
    </row>
    <row r="3290" spans="1:7" ht="12" customHeight="1" outlineLevel="3" x14ac:dyDescent="0.2">
      <c r="A3290" s="14" t="s">
        <v>6482</v>
      </c>
      <c r="B3290" s="15" t="s">
        <v>6483</v>
      </c>
      <c r="C3290" s="16">
        <f>343.42/(1+B2)</f>
        <v>343.42</v>
      </c>
      <c r="D3290" s="17" t="s">
        <v>11</v>
      </c>
      <c r="E3290" s="17"/>
      <c r="F3290" s="18"/>
      <c r="G3290" s="36" t="str">
        <f>IF(ISNUMBER(F3290),C3290*F3290,"")</f>
        <v/>
      </c>
    </row>
    <row r="3291" spans="1:7" ht="12" customHeight="1" outlineLevel="3" x14ac:dyDescent="0.2">
      <c r="A3291" s="14" t="s">
        <v>6484</v>
      </c>
      <c r="B3291" s="15" t="s">
        <v>6485</v>
      </c>
      <c r="C3291" s="16">
        <f>135.89/(1+B2)</f>
        <v>135.88999999999999</v>
      </c>
      <c r="D3291" s="17" t="s">
        <v>11</v>
      </c>
      <c r="E3291" s="17"/>
      <c r="F3291" s="18"/>
      <c r="G3291" s="36" t="str">
        <f>IF(ISNUMBER(F3291),C3291*F3291,"")</f>
        <v/>
      </c>
    </row>
    <row r="3292" spans="1:7" ht="12" customHeight="1" outlineLevel="3" x14ac:dyDescent="0.2">
      <c r="A3292" s="14" t="s">
        <v>6486</v>
      </c>
      <c r="B3292" s="15" t="s">
        <v>6487</v>
      </c>
      <c r="C3292" s="16">
        <f>221.12/(1+B2)</f>
        <v>221.12</v>
      </c>
      <c r="D3292" s="17" t="s">
        <v>11</v>
      </c>
      <c r="E3292" s="17"/>
      <c r="F3292" s="18"/>
      <c r="G3292" s="36" t="str">
        <f>IF(ISNUMBER(F3292),C3292*F3292,"")</f>
        <v/>
      </c>
    </row>
    <row r="3293" spans="1:7" ht="12" customHeight="1" outlineLevel="3" x14ac:dyDescent="0.2">
      <c r="A3293" s="14" t="s">
        <v>6488</v>
      </c>
      <c r="B3293" s="15" t="s">
        <v>6489</v>
      </c>
      <c r="C3293" s="16">
        <f>262.3/(1+B2)</f>
        <v>262.3</v>
      </c>
      <c r="D3293" s="17" t="s">
        <v>11</v>
      </c>
      <c r="E3293" s="17"/>
      <c r="F3293" s="18"/>
      <c r="G3293" s="36" t="str">
        <f>IF(ISNUMBER(F3293),C3293*F3293,"")</f>
        <v/>
      </c>
    </row>
    <row r="3294" spans="1:7" ht="12" customHeight="1" outlineLevel="3" x14ac:dyDescent="0.2">
      <c r="A3294" s="14" t="s">
        <v>6490</v>
      </c>
      <c r="B3294" s="15" t="s">
        <v>6491</v>
      </c>
      <c r="C3294" s="16">
        <f>371.12/(1+B2)</f>
        <v>371.12</v>
      </c>
      <c r="D3294" s="17" t="s">
        <v>11</v>
      </c>
      <c r="E3294" s="17"/>
      <c r="F3294" s="18"/>
      <c r="G3294" s="36" t="str">
        <f>IF(ISNUMBER(F3294),C3294*F3294,"")</f>
        <v/>
      </c>
    </row>
    <row r="3295" spans="1:7" ht="12" customHeight="1" outlineLevel="3" x14ac:dyDescent="0.2">
      <c r="A3295" s="14" t="s">
        <v>6492</v>
      </c>
      <c r="B3295" s="15" t="s">
        <v>6493</v>
      </c>
      <c r="C3295" s="16">
        <f>419.89/(1+B2)</f>
        <v>419.89</v>
      </c>
      <c r="D3295" s="17" t="s">
        <v>11</v>
      </c>
      <c r="E3295" s="17"/>
      <c r="F3295" s="18"/>
      <c r="G3295" s="36" t="str">
        <f>IF(ISNUMBER(F3295),C3295*F3295,"")</f>
        <v/>
      </c>
    </row>
    <row r="3296" spans="1:7" ht="12" customHeight="1" outlineLevel="3" x14ac:dyDescent="0.2">
      <c r="A3296" s="14" t="s">
        <v>6494</v>
      </c>
      <c r="B3296" s="15" t="s">
        <v>6495</v>
      </c>
      <c r="C3296" s="16">
        <f>209.21/(1+B2)</f>
        <v>209.21</v>
      </c>
      <c r="D3296" s="17" t="s">
        <v>11</v>
      </c>
      <c r="E3296" s="17"/>
      <c r="F3296" s="18"/>
      <c r="G3296" s="36" t="str">
        <f>IF(ISNUMBER(F3296),C3296*F3296,"")</f>
        <v/>
      </c>
    </row>
    <row r="3297" spans="1:7" ht="12" customHeight="1" outlineLevel="3" x14ac:dyDescent="0.2">
      <c r="A3297" s="14" t="s">
        <v>6496</v>
      </c>
      <c r="B3297" s="15" t="s">
        <v>6497</v>
      </c>
      <c r="C3297" s="16">
        <f>456.24/(1+B2)</f>
        <v>456.24</v>
      </c>
      <c r="D3297" s="17" t="s">
        <v>11</v>
      </c>
      <c r="E3297" s="17"/>
      <c r="F3297" s="18"/>
      <c r="G3297" s="36" t="str">
        <f>IF(ISNUMBER(F3297),C3297*F3297,"")</f>
        <v/>
      </c>
    </row>
    <row r="3298" spans="1:7" ht="12" customHeight="1" outlineLevel="3" x14ac:dyDescent="0.2">
      <c r="A3298" s="14" t="s">
        <v>6498</v>
      </c>
      <c r="B3298" s="15" t="s">
        <v>6499</v>
      </c>
      <c r="C3298" s="16">
        <f>569.95/(1+B2)</f>
        <v>569.95000000000005</v>
      </c>
      <c r="D3298" s="17" t="s">
        <v>11</v>
      </c>
      <c r="E3298" s="17"/>
      <c r="F3298" s="18"/>
      <c r="G3298" s="36" t="str">
        <f>IF(ISNUMBER(F3298),C3298*F3298,"")</f>
        <v/>
      </c>
    </row>
    <row r="3299" spans="1:7" ht="12" customHeight="1" outlineLevel="3" x14ac:dyDescent="0.2">
      <c r="A3299" s="14" t="s">
        <v>6500</v>
      </c>
      <c r="B3299" s="15" t="s">
        <v>6501</v>
      </c>
      <c r="C3299" s="16">
        <f>175.27/(1+B2)</f>
        <v>175.27</v>
      </c>
      <c r="D3299" s="17" t="s">
        <v>14</v>
      </c>
      <c r="E3299" s="17"/>
      <c r="F3299" s="18"/>
      <c r="G3299" s="36" t="str">
        <f>IF(ISNUMBER(F3299),C3299*F3299,"")</f>
        <v/>
      </c>
    </row>
    <row r="3300" spans="1:7" ht="12" customHeight="1" outlineLevel="3" x14ac:dyDescent="0.2">
      <c r="A3300" s="14" t="s">
        <v>6502</v>
      </c>
      <c r="B3300" s="15" t="s">
        <v>6503</v>
      </c>
      <c r="C3300" s="16">
        <f>35.97/(1+B2)</f>
        <v>35.97</v>
      </c>
      <c r="D3300" s="17" t="s">
        <v>14</v>
      </c>
      <c r="E3300" s="17"/>
      <c r="F3300" s="18"/>
      <c r="G3300" s="36" t="str">
        <f>IF(ISNUMBER(F3300),C3300*F3300,"")</f>
        <v/>
      </c>
    </row>
    <row r="3301" spans="1:7" ht="12" customHeight="1" outlineLevel="3" x14ac:dyDescent="0.2">
      <c r="A3301" s="14" t="s">
        <v>6504</v>
      </c>
      <c r="B3301" s="15" t="s">
        <v>6505</v>
      </c>
      <c r="C3301" s="16">
        <f>47.03/(1+B2)</f>
        <v>47.03</v>
      </c>
      <c r="D3301" s="17" t="s">
        <v>11</v>
      </c>
      <c r="E3301" s="17" t="s">
        <v>11</v>
      </c>
      <c r="F3301" s="18"/>
      <c r="G3301" s="36" t="str">
        <f>IF(ISNUMBER(F3301),C3301*F3301,"")</f>
        <v/>
      </c>
    </row>
    <row r="3302" spans="1:7" ht="12" customHeight="1" outlineLevel="3" x14ac:dyDescent="0.2">
      <c r="A3302" s="14" t="s">
        <v>6506</v>
      </c>
      <c r="B3302" s="15" t="s">
        <v>6507</v>
      </c>
      <c r="C3302" s="16">
        <f>84.59/(1+B2)</f>
        <v>84.59</v>
      </c>
      <c r="D3302" s="17" t="s">
        <v>11</v>
      </c>
      <c r="E3302" s="17"/>
      <c r="F3302" s="18"/>
      <c r="G3302" s="36" t="str">
        <f>IF(ISNUMBER(F3302),C3302*F3302,"")</f>
        <v/>
      </c>
    </row>
    <row r="3303" spans="1:7" ht="12" customHeight="1" outlineLevel="3" x14ac:dyDescent="0.2">
      <c r="A3303" s="14" t="s">
        <v>6508</v>
      </c>
      <c r="B3303" s="15" t="s">
        <v>6509</v>
      </c>
      <c r="C3303" s="16">
        <f>97.77/(1+B2)</f>
        <v>97.77</v>
      </c>
      <c r="D3303" s="17" t="s">
        <v>11</v>
      </c>
      <c r="E3303" s="17"/>
      <c r="F3303" s="18"/>
      <c r="G3303" s="36" t="str">
        <f>IF(ISNUMBER(F3303),C3303*F3303,"")</f>
        <v/>
      </c>
    </row>
    <row r="3304" spans="1:7" ht="12" customHeight="1" outlineLevel="3" x14ac:dyDescent="0.2">
      <c r="A3304" s="14" t="s">
        <v>6510</v>
      </c>
      <c r="B3304" s="15" t="s">
        <v>6511</v>
      </c>
      <c r="C3304" s="16">
        <f>109/(1+B2)</f>
        <v>109</v>
      </c>
      <c r="D3304" s="17" t="s">
        <v>11</v>
      </c>
      <c r="E3304" s="17"/>
      <c r="F3304" s="18"/>
      <c r="G3304" s="36" t="str">
        <f>IF(ISNUMBER(F3304),C3304*F3304,"")</f>
        <v/>
      </c>
    </row>
    <row r="3305" spans="1:7" ht="12" customHeight="1" outlineLevel="3" x14ac:dyDescent="0.2">
      <c r="A3305" s="14" t="s">
        <v>6512</v>
      </c>
      <c r="B3305" s="15" t="s">
        <v>6513</v>
      </c>
      <c r="C3305" s="16">
        <f>224.15/(1+B2)</f>
        <v>224.15</v>
      </c>
      <c r="D3305" s="17" t="s">
        <v>11</v>
      </c>
      <c r="E3305" s="17"/>
      <c r="F3305" s="18"/>
      <c r="G3305" s="36" t="str">
        <f>IF(ISNUMBER(F3305),C3305*F3305,"")</f>
        <v/>
      </c>
    </row>
    <row r="3306" spans="1:7" ht="24" customHeight="1" outlineLevel="3" x14ac:dyDescent="0.2">
      <c r="A3306" s="14" t="s">
        <v>6514</v>
      </c>
      <c r="B3306" s="15" t="s">
        <v>6515</v>
      </c>
      <c r="C3306" s="16">
        <f>156.93/(1+B2)</f>
        <v>156.93</v>
      </c>
      <c r="D3306" s="17" t="s">
        <v>11</v>
      </c>
      <c r="E3306" s="17"/>
      <c r="F3306" s="18"/>
      <c r="G3306" s="36" t="str">
        <f>IF(ISNUMBER(F3306),C3306*F3306,"")</f>
        <v/>
      </c>
    </row>
    <row r="3307" spans="1:7" s="1" customFormat="1" ht="12.95" customHeight="1" outlineLevel="2" x14ac:dyDescent="0.2">
      <c r="A3307" s="20"/>
      <c r="B3307" s="21" t="s">
        <v>6516</v>
      </c>
      <c r="C3307" s="22"/>
      <c r="D3307" s="22"/>
      <c r="E3307" s="22"/>
      <c r="F3307" s="22"/>
      <c r="G3307" s="37"/>
    </row>
    <row r="3308" spans="1:7" ht="24" customHeight="1" outlineLevel="3" x14ac:dyDescent="0.2">
      <c r="A3308" s="14" t="s">
        <v>6517</v>
      </c>
      <c r="B3308" s="15" t="s">
        <v>6518</v>
      </c>
      <c r="C3308" s="19">
        <f>1599.6/(1+B2)</f>
        <v>1599.6</v>
      </c>
      <c r="D3308" s="17" t="s">
        <v>11</v>
      </c>
      <c r="E3308" s="17"/>
      <c r="F3308" s="18"/>
      <c r="G3308" s="36" t="str">
        <f>IF(ISNUMBER(F3308),C3308*F3308,"")</f>
        <v/>
      </c>
    </row>
    <row r="3309" spans="1:7" ht="24" customHeight="1" outlineLevel="3" x14ac:dyDescent="0.2">
      <c r="A3309" s="14" t="s">
        <v>6519</v>
      </c>
      <c r="B3309" s="15" t="s">
        <v>6520</v>
      </c>
      <c r="C3309" s="19">
        <f>1776.13/(1+B2)</f>
        <v>1776.13</v>
      </c>
      <c r="D3309" s="17" t="s">
        <v>11</v>
      </c>
      <c r="E3309" s="17"/>
      <c r="F3309" s="18"/>
      <c r="G3309" s="36" t="str">
        <f>IF(ISNUMBER(F3309),C3309*F3309,"")</f>
        <v/>
      </c>
    </row>
    <row r="3310" spans="1:7" ht="24" customHeight="1" outlineLevel="3" x14ac:dyDescent="0.2">
      <c r="A3310" s="14" t="s">
        <v>6521</v>
      </c>
      <c r="B3310" s="15" t="s">
        <v>6522</v>
      </c>
      <c r="C3310" s="19">
        <f>1940.03/(1+B2)</f>
        <v>1940.03</v>
      </c>
      <c r="D3310" s="17" t="s">
        <v>11</v>
      </c>
      <c r="E3310" s="17"/>
      <c r="F3310" s="18"/>
      <c r="G3310" s="36" t="str">
        <f>IF(ISNUMBER(F3310),C3310*F3310,"")</f>
        <v/>
      </c>
    </row>
    <row r="3311" spans="1:7" ht="24" customHeight="1" outlineLevel="3" x14ac:dyDescent="0.2">
      <c r="A3311" s="14" t="s">
        <v>6523</v>
      </c>
      <c r="B3311" s="15" t="s">
        <v>6524</v>
      </c>
      <c r="C3311" s="19">
        <f>1476.8/(1+B2)</f>
        <v>1476.8</v>
      </c>
      <c r="D3311" s="17" t="s">
        <v>11</v>
      </c>
      <c r="E3311" s="17"/>
      <c r="F3311" s="18"/>
      <c r="G3311" s="36" t="str">
        <f>IF(ISNUMBER(F3311),C3311*F3311,"")</f>
        <v/>
      </c>
    </row>
    <row r="3312" spans="1:7" ht="24" customHeight="1" outlineLevel="3" x14ac:dyDescent="0.2">
      <c r="A3312" s="14" t="s">
        <v>6525</v>
      </c>
      <c r="B3312" s="15" t="s">
        <v>6526</v>
      </c>
      <c r="C3312" s="19">
        <f>1826.03/(1+B2)</f>
        <v>1826.03</v>
      </c>
      <c r="D3312" s="17" t="s">
        <v>11</v>
      </c>
      <c r="E3312" s="17"/>
      <c r="F3312" s="18"/>
      <c r="G3312" s="36" t="str">
        <f>IF(ISNUMBER(F3312),C3312*F3312,"")</f>
        <v/>
      </c>
    </row>
    <row r="3313" spans="1:7" ht="12" customHeight="1" outlineLevel="3" x14ac:dyDescent="0.2">
      <c r="A3313" s="14" t="s">
        <v>6527</v>
      </c>
      <c r="B3313" s="15" t="s">
        <v>6528</v>
      </c>
      <c r="C3313" s="16">
        <f>604.51/(1+B2)</f>
        <v>604.51</v>
      </c>
      <c r="D3313" s="17" t="s">
        <v>11</v>
      </c>
      <c r="E3313" s="17"/>
      <c r="F3313" s="18"/>
      <c r="G3313" s="36" t="str">
        <f>IF(ISNUMBER(F3313),C3313*F3313,"")</f>
        <v/>
      </c>
    </row>
    <row r="3314" spans="1:7" ht="24" customHeight="1" outlineLevel="3" x14ac:dyDescent="0.2">
      <c r="A3314" s="14" t="s">
        <v>6529</v>
      </c>
      <c r="B3314" s="15" t="s">
        <v>6530</v>
      </c>
      <c r="C3314" s="16">
        <f>874.33/(1+B2)</f>
        <v>874.33</v>
      </c>
      <c r="D3314" s="17" t="s">
        <v>11</v>
      </c>
      <c r="E3314" s="17"/>
      <c r="F3314" s="18"/>
      <c r="G3314" s="36" t="str">
        <f>IF(ISNUMBER(F3314),C3314*F3314,"")</f>
        <v/>
      </c>
    </row>
    <row r="3315" spans="1:7" ht="24" customHeight="1" outlineLevel="3" x14ac:dyDescent="0.2">
      <c r="A3315" s="14" t="s">
        <v>6531</v>
      </c>
      <c r="B3315" s="15" t="s">
        <v>6532</v>
      </c>
      <c r="C3315" s="16">
        <f>780.75/(1+B2)</f>
        <v>780.75</v>
      </c>
      <c r="D3315" s="17" t="s">
        <v>11</v>
      </c>
      <c r="E3315" s="17"/>
      <c r="F3315" s="18"/>
      <c r="G3315" s="36" t="str">
        <f>IF(ISNUMBER(F3315),C3315*F3315,"")</f>
        <v/>
      </c>
    </row>
    <row r="3316" spans="1:7" ht="24" customHeight="1" outlineLevel="3" x14ac:dyDescent="0.2">
      <c r="A3316" s="14" t="s">
        <v>6533</v>
      </c>
      <c r="B3316" s="15" t="s">
        <v>6534</v>
      </c>
      <c r="C3316" s="16">
        <f>627.84/(1+B2)</f>
        <v>627.84</v>
      </c>
      <c r="D3316" s="17" t="s">
        <v>11</v>
      </c>
      <c r="E3316" s="17"/>
      <c r="F3316" s="18"/>
      <c r="G3316" s="36" t="str">
        <f>IF(ISNUMBER(F3316),C3316*F3316,"")</f>
        <v/>
      </c>
    </row>
    <row r="3317" spans="1:7" ht="24" customHeight="1" outlineLevel="3" x14ac:dyDescent="0.2">
      <c r="A3317" s="14" t="s">
        <v>6535</v>
      </c>
      <c r="B3317" s="15" t="s">
        <v>6536</v>
      </c>
      <c r="C3317" s="19">
        <f>1114.19/(1+B2)</f>
        <v>1114.19</v>
      </c>
      <c r="D3317" s="17" t="s">
        <v>11</v>
      </c>
      <c r="E3317" s="17"/>
      <c r="F3317" s="18"/>
      <c r="G3317" s="36" t="str">
        <f>IF(ISNUMBER(F3317),C3317*F3317,"")</f>
        <v/>
      </c>
    </row>
    <row r="3318" spans="1:7" ht="24" customHeight="1" outlineLevel="3" x14ac:dyDescent="0.2">
      <c r="A3318" s="14" t="s">
        <v>6537</v>
      </c>
      <c r="B3318" s="15" t="s">
        <v>6538</v>
      </c>
      <c r="C3318" s="19">
        <f>1156.63/(1+B2)</f>
        <v>1156.6300000000001</v>
      </c>
      <c r="D3318" s="17" t="s">
        <v>11</v>
      </c>
      <c r="E3318" s="17" t="s">
        <v>11</v>
      </c>
      <c r="F3318" s="18"/>
      <c r="G3318" s="36" t="str">
        <f>IF(ISNUMBER(F3318),C3318*F3318,"")</f>
        <v/>
      </c>
    </row>
    <row r="3319" spans="1:7" ht="24" customHeight="1" outlineLevel="3" x14ac:dyDescent="0.2">
      <c r="A3319" s="14" t="s">
        <v>6539</v>
      </c>
      <c r="B3319" s="15" t="s">
        <v>6540</v>
      </c>
      <c r="C3319" s="19">
        <f>1080.21/(1+B2)</f>
        <v>1080.21</v>
      </c>
      <c r="D3319" s="17" t="s">
        <v>11</v>
      </c>
      <c r="E3319" s="17"/>
      <c r="F3319" s="18"/>
      <c r="G3319" s="36" t="str">
        <f>IF(ISNUMBER(F3319),C3319*F3319,"")</f>
        <v/>
      </c>
    </row>
    <row r="3320" spans="1:7" ht="24" customHeight="1" outlineLevel="3" x14ac:dyDescent="0.2">
      <c r="A3320" s="14" t="s">
        <v>6541</v>
      </c>
      <c r="B3320" s="15" t="s">
        <v>6542</v>
      </c>
      <c r="C3320" s="19">
        <f>1037.16/(1+B2)</f>
        <v>1037.1600000000001</v>
      </c>
      <c r="D3320" s="17" t="s">
        <v>11</v>
      </c>
      <c r="E3320" s="17"/>
      <c r="F3320" s="18"/>
      <c r="G3320" s="36" t="str">
        <f>IF(ISNUMBER(F3320),C3320*F3320,"")</f>
        <v/>
      </c>
    </row>
    <row r="3321" spans="1:7" ht="24" customHeight="1" outlineLevel="3" x14ac:dyDescent="0.2">
      <c r="A3321" s="14" t="s">
        <v>6543</v>
      </c>
      <c r="B3321" s="15" t="s">
        <v>6544</v>
      </c>
      <c r="C3321" s="19">
        <f>1475.58/(1+B2)</f>
        <v>1475.58</v>
      </c>
      <c r="D3321" s="17" t="s">
        <v>11</v>
      </c>
      <c r="E3321" s="17"/>
      <c r="F3321" s="18"/>
      <c r="G3321" s="36" t="str">
        <f>IF(ISNUMBER(F3321),C3321*F3321,"")</f>
        <v/>
      </c>
    </row>
    <row r="3322" spans="1:7" ht="24" customHeight="1" outlineLevel="3" x14ac:dyDescent="0.2">
      <c r="A3322" s="14" t="s">
        <v>6545</v>
      </c>
      <c r="B3322" s="15" t="s">
        <v>6546</v>
      </c>
      <c r="C3322" s="19">
        <f>1139.64/(1+B2)</f>
        <v>1139.6400000000001</v>
      </c>
      <c r="D3322" s="17" t="s">
        <v>11</v>
      </c>
      <c r="E3322" s="17"/>
      <c r="F3322" s="18"/>
      <c r="G3322" s="36" t="str">
        <f>IF(ISNUMBER(F3322),C3322*F3322,"")</f>
        <v/>
      </c>
    </row>
    <row r="3323" spans="1:7" ht="24" customHeight="1" outlineLevel="3" x14ac:dyDescent="0.2">
      <c r="A3323" s="14" t="s">
        <v>6547</v>
      </c>
      <c r="B3323" s="15" t="s">
        <v>6548</v>
      </c>
      <c r="C3323" s="19">
        <f>1304.18/(1+B2)</f>
        <v>1304.18</v>
      </c>
      <c r="D3323" s="17" t="s">
        <v>11</v>
      </c>
      <c r="E3323" s="17"/>
      <c r="F3323" s="18"/>
      <c r="G3323" s="36" t="str">
        <f>IF(ISNUMBER(F3323),C3323*F3323,"")</f>
        <v/>
      </c>
    </row>
    <row r="3324" spans="1:7" ht="24" customHeight="1" outlineLevel="3" x14ac:dyDescent="0.2">
      <c r="A3324" s="14" t="s">
        <v>6549</v>
      </c>
      <c r="B3324" s="15" t="s">
        <v>6550</v>
      </c>
      <c r="C3324" s="19">
        <f>1588.51/(1+B2)</f>
        <v>1588.51</v>
      </c>
      <c r="D3324" s="17" t="s">
        <v>11</v>
      </c>
      <c r="E3324" s="17"/>
      <c r="F3324" s="18"/>
      <c r="G3324" s="36" t="str">
        <f>IF(ISNUMBER(F3324),C3324*F3324,"")</f>
        <v/>
      </c>
    </row>
    <row r="3325" spans="1:7" ht="24" customHeight="1" outlineLevel="3" x14ac:dyDescent="0.2">
      <c r="A3325" s="14" t="s">
        <v>6551</v>
      </c>
      <c r="B3325" s="15" t="s">
        <v>6552</v>
      </c>
      <c r="C3325" s="19">
        <f>1772.23/(1+B2)</f>
        <v>1772.23</v>
      </c>
      <c r="D3325" s="17" t="s">
        <v>11</v>
      </c>
      <c r="E3325" s="17"/>
      <c r="F3325" s="18"/>
      <c r="G3325" s="36" t="str">
        <f>IF(ISNUMBER(F3325),C3325*F3325,"")</f>
        <v/>
      </c>
    </row>
    <row r="3326" spans="1:7" ht="24" customHeight="1" outlineLevel="3" x14ac:dyDescent="0.2">
      <c r="A3326" s="14" t="s">
        <v>6553</v>
      </c>
      <c r="B3326" s="15" t="s">
        <v>6554</v>
      </c>
      <c r="C3326" s="16">
        <f>763.34/(1+B2)</f>
        <v>763.34</v>
      </c>
      <c r="D3326" s="17" t="s">
        <v>11</v>
      </c>
      <c r="E3326" s="17"/>
      <c r="F3326" s="18"/>
      <c r="G3326" s="36" t="str">
        <f>IF(ISNUMBER(F3326),C3326*F3326,"")</f>
        <v/>
      </c>
    </row>
    <row r="3327" spans="1:7" ht="24" customHeight="1" outlineLevel="3" x14ac:dyDescent="0.2">
      <c r="A3327" s="14" t="s">
        <v>6555</v>
      </c>
      <c r="B3327" s="15" t="s">
        <v>6556</v>
      </c>
      <c r="C3327" s="19">
        <f>1004.89/(1+B2)</f>
        <v>1004.89</v>
      </c>
      <c r="D3327" s="17" t="s">
        <v>11</v>
      </c>
      <c r="E3327" s="17" t="s">
        <v>11</v>
      </c>
      <c r="F3327" s="18"/>
      <c r="G3327" s="36" t="str">
        <f>IF(ISNUMBER(F3327),C3327*F3327,"")</f>
        <v/>
      </c>
    </row>
    <row r="3328" spans="1:7" ht="24" customHeight="1" outlineLevel="3" x14ac:dyDescent="0.2">
      <c r="A3328" s="14" t="s">
        <v>6557</v>
      </c>
      <c r="B3328" s="15" t="s">
        <v>6558</v>
      </c>
      <c r="C3328" s="19">
        <f>1185.31/(1+B2)</f>
        <v>1185.31</v>
      </c>
      <c r="D3328" s="17" t="s">
        <v>11</v>
      </c>
      <c r="E3328" s="17"/>
      <c r="F3328" s="18"/>
      <c r="G3328" s="36" t="str">
        <f>IF(ISNUMBER(F3328),C3328*F3328,"")</f>
        <v/>
      </c>
    </row>
    <row r="3329" spans="1:7" ht="24" customHeight="1" outlineLevel="3" x14ac:dyDescent="0.2">
      <c r="A3329" s="14" t="s">
        <v>6559</v>
      </c>
      <c r="B3329" s="15" t="s">
        <v>6560</v>
      </c>
      <c r="C3329" s="19">
        <f>1257.34/(1+B2)</f>
        <v>1257.3399999999999</v>
      </c>
      <c r="D3329" s="17" t="s">
        <v>11</v>
      </c>
      <c r="E3329" s="17"/>
      <c r="F3329" s="18"/>
      <c r="G3329" s="36" t="str">
        <f>IF(ISNUMBER(F3329),C3329*F3329,"")</f>
        <v/>
      </c>
    </row>
    <row r="3330" spans="1:7" ht="24" customHeight="1" outlineLevel="3" x14ac:dyDescent="0.2">
      <c r="A3330" s="14" t="s">
        <v>6561</v>
      </c>
      <c r="B3330" s="15" t="s">
        <v>6562</v>
      </c>
      <c r="C3330" s="19">
        <f>1267.56/(1+B2)</f>
        <v>1267.56</v>
      </c>
      <c r="D3330" s="17" t="s">
        <v>11</v>
      </c>
      <c r="E3330" s="17"/>
      <c r="F3330" s="18"/>
      <c r="G3330" s="36" t="str">
        <f>IF(ISNUMBER(F3330),C3330*F3330,"")</f>
        <v/>
      </c>
    </row>
    <row r="3331" spans="1:7" ht="24" customHeight="1" outlineLevel="3" x14ac:dyDescent="0.2">
      <c r="A3331" s="14" t="s">
        <v>6563</v>
      </c>
      <c r="B3331" s="15" t="s">
        <v>6564</v>
      </c>
      <c r="C3331" s="19">
        <f>1328.05/(1+B2)</f>
        <v>1328.05</v>
      </c>
      <c r="D3331" s="17" t="s">
        <v>11</v>
      </c>
      <c r="E3331" s="17"/>
      <c r="F3331" s="18"/>
      <c r="G3331" s="36" t="str">
        <f>IF(ISNUMBER(F3331),C3331*F3331,"")</f>
        <v/>
      </c>
    </row>
    <row r="3332" spans="1:7" ht="24" customHeight="1" outlineLevel="3" x14ac:dyDescent="0.2">
      <c r="A3332" s="14" t="s">
        <v>6565</v>
      </c>
      <c r="B3332" s="15" t="s">
        <v>6566</v>
      </c>
      <c r="C3332" s="19">
        <f>1235.02/(1+B2)</f>
        <v>1235.02</v>
      </c>
      <c r="D3332" s="17" t="s">
        <v>11</v>
      </c>
      <c r="E3332" s="17"/>
      <c r="F3332" s="18"/>
      <c r="G3332" s="36" t="str">
        <f>IF(ISNUMBER(F3332),C3332*F3332,"")</f>
        <v/>
      </c>
    </row>
    <row r="3333" spans="1:7" ht="24" customHeight="1" outlineLevel="3" x14ac:dyDescent="0.2">
      <c r="A3333" s="14" t="s">
        <v>6567</v>
      </c>
      <c r="B3333" s="15" t="s">
        <v>6568</v>
      </c>
      <c r="C3333" s="19">
        <f>1411.21/(1+B2)</f>
        <v>1411.21</v>
      </c>
      <c r="D3333" s="17" t="s">
        <v>11</v>
      </c>
      <c r="E3333" s="17"/>
      <c r="F3333" s="18"/>
      <c r="G3333" s="36" t="str">
        <f>IF(ISNUMBER(F3333),C3333*F3333,"")</f>
        <v/>
      </c>
    </row>
    <row r="3334" spans="1:7" ht="12" customHeight="1" outlineLevel="3" x14ac:dyDescent="0.2">
      <c r="A3334" s="14" t="s">
        <v>6569</v>
      </c>
      <c r="B3334" s="15" t="s">
        <v>6570</v>
      </c>
      <c r="C3334" s="16">
        <f>356.1/(1+B2)</f>
        <v>356.1</v>
      </c>
      <c r="D3334" s="17" t="s">
        <v>11</v>
      </c>
      <c r="E3334" s="17" t="s">
        <v>11</v>
      </c>
      <c r="F3334" s="18"/>
      <c r="G3334" s="36" t="str">
        <f>IF(ISNUMBER(F3334),C3334*F3334,"")</f>
        <v/>
      </c>
    </row>
    <row r="3335" spans="1:7" ht="12" customHeight="1" outlineLevel="3" x14ac:dyDescent="0.2">
      <c r="A3335" s="14" t="s">
        <v>6571</v>
      </c>
      <c r="B3335" s="15" t="s">
        <v>6572</v>
      </c>
      <c r="C3335" s="16">
        <f>440.75/(1+B2)</f>
        <v>440.75</v>
      </c>
      <c r="D3335" s="17" t="s">
        <v>11</v>
      </c>
      <c r="E3335" s="17" t="s">
        <v>11</v>
      </c>
      <c r="F3335" s="18"/>
      <c r="G3335" s="36" t="str">
        <f>IF(ISNUMBER(F3335),C3335*F3335,"")</f>
        <v/>
      </c>
    </row>
    <row r="3336" spans="1:7" ht="12" customHeight="1" outlineLevel="3" x14ac:dyDescent="0.2">
      <c r="A3336" s="14" t="s">
        <v>6573</v>
      </c>
      <c r="B3336" s="15" t="s">
        <v>6574</v>
      </c>
      <c r="C3336" s="16">
        <f>492.28/(1+B2)</f>
        <v>492.28</v>
      </c>
      <c r="D3336" s="17" t="s">
        <v>11</v>
      </c>
      <c r="E3336" s="17"/>
      <c r="F3336" s="18"/>
      <c r="G3336" s="36" t="str">
        <f>IF(ISNUMBER(F3336),C3336*F3336,"")</f>
        <v/>
      </c>
    </row>
    <row r="3337" spans="1:7" ht="12" customHeight="1" outlineLevel="3" x14ac:dyDescent="0.2">
      <c r="A3337" s="14" t="s">
        <v>6575</v>
      </c>
      <c r="B3337" s="15" t="s">
        <v>6576</v>
      </c>
      <c r="C3337" s="16">
        <f>557.93/(1+B2)</f>
        <v>557.92999999999995</v>
      </c>
      <c r="D3337" s="17" t="s">
        <v>11</v>
      </c>
      <c r="E3337" s="17"/>
      <c r="F3337" s="18"/>
      <c r="G3337" s="36" t="str">
        <f>IF(ISNUMBER(F3337),C3337*F3337,"")</f>
        <v/>
      </c>
    </row>
    <row r="3338" spans="1:7" ht="24" customHeight="1" outlineLevel="3" x14ac:dyDescent="0.2">
      <c r="A3338" s="14" t="s">
        <v>6577</v>
      </c>
      <c r="B3338" s="15" t="s">
        <v>6578</v>
      </c>
      <c r="C3338" s="16">
        <f>931.26/(1+B2)</f>
        <v>931.26</v>
      </c>
      <c r="D3338" s="17" t="s">
        <v>11</v>
      </c>
      <c r="E3338" s="17"/>
      <c r="F3338" s="18"/>
      <c r="G3338" s="36" t="str">
        <f>IF(ISNUMBER(F3338),C3338*F3338,"")</f>
        <v/>
      </c>
    </row>
    <row r="3339" spans="1:7" ht="24" customHeight="1" outlineLevel="3" x14ac:dyDescent="0.2">
      <c r="A3339" s="14" t="s">
        <v>6579</v>
      </c>
      <c r="B3339" s="15" t="s">
        <v>6580</v>
      </c>
      <c r="C3339" s="19">
        <f>1120.9/(1+B2)</f>
        <v>1120.9000000000001</v>
      </c>
      <c r="D3339" s="17" t="s">
        <v>11</v>
      </c>
      <c r="E3339" s="17"/>
      <c r="F3339" s="18"/>
      <c r="G3339" s="36" t="str">
        <f>IF(ISNUMBER(F3339),C3339*F3339,"")</f>
        <v/>
      </c>
    </row>
    <row r="3340" spans="1:7" ht="24" customHeight="1" outlineLevel="3" x14ac:dyDescent="0.2">
      <c r="A3340" s="14" t="s">
        <v>6581</v>
      </c>
      <c r="B3340" s="15" t="s">
        <v>6582</v>
      </c>
      <c r="C3340" s="19">
        <f>1069.81/(1+B2)</f>
        <v>1069.81</v>
      </c>
      <c r="D3340" s="17" t="s">
        <v>11</v>
      </c>
      <c r="E3340" s="17"/>
      <c r="F3340" s="18"/>
      <c r="G3340" s="36" t="str">
        <f>IF(ISNUMBER(F3340),C3340*F3340,"")</f>
        <v/>
      </c>
    </row>
    <row r="3341" spans="1:7" ht="24" customHeight="1" outlineLevel="3" x14ac:dyDescent="0.2">
      <c r="A3341" s="14" t="s">
        <v>6583</v>
      </c>
      <c r="B3341" s="15" t="s">
        <v>6584</v>
      </c>
      <c r="C3341" s="19">
        <f>1413.76/(1+B2)</f>
        <v>1413.76</v>
      </c>
      <c r="D3341" s="17" t="s">
        <v>11</v>
      </c>
      <c r="E3341" s="17" t="s">
        <v>11</v>
      </c>
      <c r="F3341" s="18"/>
      <c r="G3341" s="36" t="str">
        <f>IF(ISNUMBER(F3341),C3341*F3341,"")</f>
        <v/>
      </c>
    </row>
    <row r="3342" spans="1:7" ht="24" customHeight="1" outlineLevel="3" x14ac:dyDescent="0.2">
      <c r="A3342" s="14" t="s">
        <v>6585</v>
      </c>
      <c r="B3342" s="15" t="s">
        <v>6586</v>
      </c>
      <c r="C3342" s="19">
        <f>1329.91/(1+B2)</f>
        <v>1329.91</v>
      </c>
      <c r="D3342" s="17" t="s">
        <v>11</v>
      </c>
      <c r="E3342" s="17"/>
      <c r="F3342" s="18"/>
      <c r="G3342" s="36" t="str">
        <f>IF(ISNUMBER(F3342),C3342*F3342,"")</f>
        <v/>
      </c>
    </row>
    <row r="3343" spans="1:7" ht="24" customHeight="1" outlineLevel="3" x14ac:dyDescent="0.2">
      <c r="A3343" s="14" t="s">
        <v>6587</v>
      </c>
      <c r="B3343" s="15" t="s">
        <v>6588</v>
      </c>
      <c r="C3343" s="19">
        <f>1052.99/(1+B2)</f>
        <v>1052.99</v>
      </c>
      <c r="D3343" s="17" t="s">
        <v>11</v>
      </c>
      <c r="E3343" s="17"/>
      <c r="F3343" s="18"/>
      <c r="G3343" s="36" t="str">
        <f>IF(ISNUMBER(F3343),C3343*F3343,"")</f>
        <v/>
      </c>
    </row>
    <row r="3344" spans="1:7" ht="24" customHeight="1" outlineLevel="3" x14ac:dyDescent="0.2">
      <c r="A3344" s="14" t="s">
        <v>6589</v>
      </c>
      <c r="B3344" s="15" t="s">
        <v>6590</v>
      </c>
      <c r="C3344" s="19">
        <f>1537.15/(1+B2)</f>
        <v>1537.15</v>
      </c>
      <c r="D3344" s="17" t="s">
        <v>11</v>
      </c>
      <c r="E3344" s="17"/>
      <c r="F3344" s="18"/>
      <c r="G3344" s="36" t="str">
        <f>IF(ISNUMBER(F3344),C3344*F3344,"")</f>
        <v/>
      </c>
    </row>
    <row r="3345" spans="1:7" ht="24" customHeight="1" outlineLevel="3" x14ac:dyDescent="0.2">
      <c r="A3345" s="14" t="s">
        <v>6591</v>
      </c>
      <c r="B3345" s="15" t="s">
        <v>6592</v>
      </c>
      <c r="C3345" s="19">
        <f>1358.96/(1+B2)</f>
        <v>1358.96</v>
      </c>
      <c r="D3345" s="17" t="s">
        <v>11</v>
      </c>
      <c r="E3345" s="17"/>
      <c r="F3345" s="18"/>
      <c r="G3345" s="36" t="str">
        <f>IF(ISNUMBER(F3345),C3345*F3345,"")</f>
        <v/>
      </c>
    </row>
    <row r="3346" spans="1:7" ht="24" customHeight="1" outlineLevel="3" x14ac:dyDescent="0.2">
      <c r="A3346" s="14" t="s">
        <v>6593</v>
      </c>
      <c r="B3346" s="15" t="s">
        <v>6594</v>
      </c>
      <c r="C3346" s="16">
        <f>747.84/(1+B2)</f>
        <v>747.84</v>
      </c>
      <c r="D3346" s="17" t="s">
        <v>11</v>
      </c>
      <c r="E3346" s="17"/>
      <c r="F3346" s="18"/>
      <c r="G3346" s="36" t="str">
        <f>IF(ISNUMBER(F3346),C3346*F3346,"")</f>
        <v/>
      </c>
    </row>
    <row r="3347" spans="1:7" ht="24" customHeight="1" outlineLevel="3" x14ac:dyDescent="0.2">
      <c r="A3347" s="14" t="s">
        <v>6595</v>
      </c>
      <c r="B3347" s="15" t="s">
        <v>6596</v>
      </c>
      <c r="C3347" s="19">
        <f>1017.6/(1+B2)</f>
        <v>1017.6</v>
      </c>
      <c r="D3347" s="17" t="s">
        <v>11</v>
      </c>
      <c r="E3347" s="17"/>
      <c r="F3347" s="18"/>
      <c r="G3347" s="36" t="str">
        <f>IF(ISNUMBER(F3347),C3347*F3347,"")</f>
        <v/>
      </c>
    </row>
    <row r="3348" spans="1:7" ht="24" customHeight="1" outlineLevel="3" x14ac:dyDescent="0.2">
      <c r="A3348" s="14" t="s">
        <v>6597</v>
      </c>
      <c r="B3348" s="15" t="s">
        <v>6598</v>
      </c>
      <c r="C3348" s="19">
        <f>1104.43/(1+B2)</f>
        <v>1104.43</v>
      </c>
      <c r="D3348" s="17" t="s">
        <v>11</v>
      </c>
      <c r="E3348" s="17"/>
      <c r="F3348" s="18"/>
      <c r="G3348" s="36" t="str">
        <f>IF(ISNUMBER(F3348),C3348*F3348,"")</f>
        <v/>
      </c>
    </row>
    <row r="3349" spans="1:7" ht="24" customHeight="1" outlineLevel="3" x14ac:dyDescent="0.2">
      <c r="A3349" s="14" t="s">
        <v>6599</v>
      </c>
      <c r="B3349" s="15" t="s">
        <v>6600</v>
      </c>
      <c r="C3349" s="19">
        <f>1212.9/(1+B2)</f>
        <v>1212.9000000000001</v>
      </c>
      <c r="D3349" s="17" t="s">
        <v>11</v>
      </c>
      <c r="E3349" s="17"/>
      <c r="F3349" s="18"/>
      <c r="G3349" s="36" t="str">
        <f>IF(ISNUMBER(F3349),C3349*F3349,"")</f>
        <v/>
      </c>
    </row>
    <row r="3350" spans="1:7" ht="24" customHeight="1" outlineLevel="3" x14ac:dyDescent="0.2">
      <c r="A3350" s="14" t="s">
        <v>6601</v>
      </c>
      <c r="B3350" s="15" t="s">
        <v>6602</v>
      </c>
      <c r="C3350" s="19">
        <f>1300.61/(1+B2)</f>
        <v>1300.6099999999999</v>
      </c>
      <c r="D3350" s="17" t="s">
        <v>11</v>
      </c>
      <c r="E3350" s="17"/>
      <c r="F3350" s="18"/>
      <c r="G3350" s="36" t="str">
        <f>IF(ISNUMBER(F3350),C3350*F3350,"")</f>
        <v/>
      </c>
    </row>
    <row r="3351" spans="1:7" ht="24" customHeight="1" outlineLevel="3" x14ac:dyDescent="0.2">
      <c r="A3351" s="14" t="s">
        <v>6603</v>
      </c>
      <c r="B3351" s="15" t="s">
        <v>6604</v>
      </c>
      <c r="C3351" s="16">
        <f>908.29/(1+B2)</f>
        <v>908.29</v>
      </c>
      <c r="D3351" s="17" t="s">
        <v>11</v>
      </c>
      <c r="E3351" s="17" t="s">
        <v>11</v>
      </c>
      <c r="F3351" s="18"/>
      <c r="G3351" s="36" t="str">
        <f>IF(ISNUMBER(F3351),C3351*F3351,"")</f>
        <v/>
      </c>
    </row>
    <row r="3352" spans="1:7" ht="24" customHeight="1" outlineLevel="3" x14ac:dyDescent="0.2">
      <c r="A3352" s="14" t="s">
        <v>6605</v>
      </c>
      <c r="B3352" s="15" t="s">
        <v>6606</v>
      </c>
      <c r="C3352" s="19">
        <f>1187.59/(1+B2)</f>
        <v>1187.5899999999999</v>
      </c>
      <c r="D3352" s="17" t="s">
        <v>11</v>
      </c>
      <c r="E3352" s="17"/>
      <c r="F3352" s="18"/>
      <c r="G3352" s="36" t="str">
        <f>IF(ISNUMBER(F3352),C3352*F3352,"")</f>
        <v/>
      </c>
    </row>
    <row r="3353" spans="1:7" ht="24" customHeight="1" outlineLevel="3" x14ac:dyDescent="0.2">
      <c r="A3353" s="14" t="s">
        <v>6607</v>
      </c>
      <c r="B3353" s="15" t="s">
        <v>6608</v>
      </c>
      <c r="C3353" s="19">
        <f>1185.14/(1+B2)</f>
        <v>1185.1400000000001</v>
      </c>
      <c r="D3353" s="17" t="s">
        <v>11</v>
      </c>
      <c r="E3353" s="17"/>
      <c r="F3353" s="18"/>
      <c r="G3353" s="36" t="str">
        <f>IF(ISNUMBER(F3353),C3353*F3353,"")</f>
        <v/>
      </c>
    </row>
    <row r="3354" spans="1:7" ht="24" customHeight="1" outlineLevel="3" x14ac:dyDescent="0.2">
      <c r="A3354" s="14" t="s">
        <v>6609</v>
      </c>
      <c r="B3354" s="15" t="s">
        <v>6610</v>
      </c>
      <c r="C3354" s="16">
        <f>799.34/(1+B2)</f>
        <v>799.34</v>
      </c>
      <c r="D3354" s="17" t="s">
        <v>11</v>
      </c>
      <c r="E3354" s="17"/>
      <c r="F3354" s="18"/>
      <c r="G3354" s="36" t="str">
        <f>IF(ISNUMBER(F3354),C3354*F3354,"")</f>
        <v/>
      </c>
    </row>
    <row r="3355" spans="1:7" ht="24" customHeight="1" outlineLevel="3" x14ac:dyDescent="0.2">
      <c r="A3355" s="14" t="s">
        <v>6611</v>
      </c>
      <c r="B3355" s="15" t="s">
        <v>6612</v>
      </c>
      <c r="C3355" s="19">
        <f>1016.32/(1+B2)</f>
        <v>1016.32</v>
      </c>
      <c r="D3355" s="17" t="s">
        <v>11</v>
      </c>
      <c r="E3355" s="17" t="s">
        <v>11</v>
      </c>
      <c r="F3355" s="18"/>
      <c r="G3355" s="36" t="str">
        <f>IF(ISNUMBER(F3355),C3355*F3355,"")</f>
        <v/>
      </c>
    </row>
    <row r="3356" spans="1:7" ht="24" customHeight="1" outlineLevel="3" x14ac:dyDescent="0.2">
      <c r="A3356" s="14" t="s">
        <v>6613</v>
      </c>
      <c r="B3356" s="15" t="s">
        <v>6614</v>
      </c>
      <c r="C3356" s="19">
        <f>1127.22/(1+B2)</f>
        <v>1127.22</v>
      </c>
      <c r="D3356" s="17" t="s">
        <v>11</v>
      </c>
      <c r="E3356" s="17"/>
      <c r="F3356" s="18"/>
      <c r="G3356" s="36" t="str">
        <f>IF(ISNUMBER(F3356),C3356*F3356,"")</f>
        <v/>
      </c>
    </row>
    <row r="3357" spans="1:7" ht="24" customHeight="1" outlineLevel="3" x14ac:dyDescent="0.2">
      <c r="A3357" s="14" t="s">
        <v>6615</v>
      </c>
      <c r="B3357" s="15" t="s">
        <v>6616</v>
      </c>
      <c r="C3357" s="19">
        <f>1277.81/(1+B2)</f>
        <v>1277.81</v>
      </c>
      <c r="D3357" s="17" t="s">
        <v>11</v>
      </c>
      <c r="E3357" s="17"/>
      <c r="F3357" s="18"/>
      <c r="G3357" s="36" t="str">
        <f>IF(ISNUMBER(F3357),C3357*F3357,"")</f>
        <v/>
      </c>
    </row>
    <row r="3358" spans="1:7" ht="24" customHeight="1" outlineLevel="3" x14ac:dyDescent="0.2">
      <c r="A3358" s="14" t="s">
        <v>6617</v>
      </c>
      <c r="B3358" s="15" t="s">
        <v>6618</v>
      </c>
      <c r="C3358" s="19">
        <f>1174.54/(1+B2)</f>
        <v>1174.54</v>
      </c>
      <c r="D3358" s="17" t="s">
        <v>11</v>
      </c>
      <c r="E3358" s="17" t="s">
        <v>11</v>
      </c>
      <c r="F3358" s="18"/>
      <c r="G3358" s="36" t="str">
        <f>IF(ISNUMBER(F3358),C3358*F3358,"")</f>
        <v/>
      </c>
    </row>
    <row r="3359" spans="1:7" ht="12" customHeight="1" outlineLevel="3" x14ac:dyDescent="0.2">
      <c r="A3359" s="14" t="s">
        <v>6619</v>
      </c>
      <c r="B3359" s="15" t="s">
        <v>6620</v>
      </c>
      <c r="C3359" s="16">
        <f>434.73/(1+B2)</f>
        <v>434.73</v>
      </c>
      <c r="D3359" s="17" t="s">
        <v>11</v>
      </c>
      <c r="E3359" s="17" t="s">
        <v>14</v>
      </c>
      <c r="F3359" s="18"/>
      <c r="G3359" s="36" t="str">
        <f>IF(ISNUMBER(F3359),C3359*F3359,"")</f>
        <v/>
      </c>
    </row>
    <row r="3360" spans="1:7" ht="24" customHeight="1" outlineLevel="3" x14ac:dyDescent="0.2">
      <c r="A3360" s="14" t="s">
        <v>6621</v>
      </c>
      <c r="B3360" s="15" t="s">
        <v>6622</v>
      </c>
      <c r="C3360" s="19">
        <f>1504.28/(1+B2)</f>
        <v>1504.28</v>
      </c>
      <c r="D3360" s="17" t="s">
        <v>11</v>
      </c>
      <c r="E3360" s="17"/>
      <c r="F3360" s="18"/>
      <c r="G3360" s="36" t="str">
        <f>IF(ISNUMBER(F3360),C3360*F3360,"")</f>
        <v/>
      </c>
    </row>
    <row r="3361" spans="1:7" ht="24" customHeight="1" outlineLevel="3" x14ac:dyDescent="0.2">
      <c r="A3361" s="14" t="s">
        <v>6623</v>
      </c>
      <c r="B3361" s="15" t="s">
        <v>6624</v>
      </c>
      <c r="C3361" s="19">
        <f>1301.43/(1+B2)</f>
        <v>1301.43</v>
      </c>
      <c r="D3361" s="17" t="s">
        <v>11</v>
      </c>
      <c r="E3361" s="17"/>
      <c r="F3361" s="18"/>
      <c r="G3361" s="36" t="str">
        <f>IF(ISNUMBER(F3361),C3361*F3361,"")</f>
        <v/>
      </c>
    </row>
    <row r="3362" spans="1:7" ht="24" customHeight="1" outlineLevel="3" x14ac:dyDescent="0.2">
      <c r="A3362" s="14" t="s">
        <v>6625</v>
      </c>
      <c r="B3362" s="15" t="s">
        <v>6626</v>
      </c>
      <c r="C3362" s="19">
        <f>1635.47/(1+B2)</f>
        <v>1635.47</v>
      </c>
      <c r="D3362" s="17" t="s">
        <v>11</v>
      </c>
      <c r="E3362" s="17"/>
      <c r="F3362" s="18"/>
      <c r="G3362" s="36" t="str">
        <f>IF(ISNUMBER(F3362),C3362*F3362,"")</f>
        <v/>
      </c>
    </row>
    <row r="3363" spans="1:7" ht="24" customHeight="1" outlineLevel="3" x14ac:dyDescent="0.2">
      <c r="A3363" s="14" t="s">
        <v>6627</v>
      </c>
      <c r="B3363" s="15" t="s">
        <v>6628</v>
      </c>
      <c r="C3363" s="19">
        <f>1239.17/(1+B2)</f>
        <v>1239.17</v>
      </c>
      <c r="D3363" s="17" t="s">
        <v>11</v>
      </c>
      <c r="E3363" s="17"/>
      <c r="F3363" s="18"/>
      <c r="G3363" s="36" t="str">
        <f>IF(ISNUMBER(F3363),C3363*F3363,"")</f>
        <v/>
      </c>
    </row>
    <row r="3364" spans="1:7" ht="24" customHeight="1" outlineLevel="3" x14ac:dyDescent="0.2">
      <c r="A3364" s="14" t="s">
        <v>6629</v>
      </c>
      <c r="B3364" s="15" t="s">
        <v>6630</v>
      </c>
      <c r="C3364" s="19">
        <f>1424.79/(1+B2)</f>
        <v>1424.79</v>
      </c>
      <c r="D3364" s="17" t="s">
        <v>11</v>
      </c>
      <c r="E3364" s="17"/>
      <c r="F3364" s="18"/>
      <c r="G3364" s="36" t="str">
        <f>IF(ISNUMBER(F3364),C3364*F3364,"")</f>
        <v/>
      </c>
    </row>
    <row r="3365" spans="1:7" ht="24" customHeight="1" outlineLevel="3" x14ac:dyDescent="0.2">
      <c r="A3365" s="14" t="s">
        <v>6631</v>
      </c>
      <c r="B3365" s="15" t="s">
        <v>6632</v>
      </c>
      <c r="C3365" s="19">
        <f>1491.69/(1+B2)</f>
        <v>1491.69</v>
      </c>
      <c r="D3365" s="17" t="s">
        <v>11</v>
      </c>
      <c r="E3365" s="17"/>
      <c r="F3365" s="18"/>
      <c r="G3365" s="36" t="str">
        <f>IF(ISNUMBER(F3365),C3365*F3365,"")</f>
        <v/>
      </c>
    </row>
    <row r="3366" spans="1:7" ht="24" customHeight="1" outlineLevel="3" x14ac:dyDescent="0.2">
      <c r="A3366" s="14" t="s">
        <v>6633</v>
      </c>
      <c r="B3366" s="15" t="s">
        <v>6634</v>
      </c>
      <c r="C3366" s="16">
        <f>886.54/(1+B2)</f>
        <v>886.54</v>
      </c>
      <c r="D3366" s="17" t="s">
        <v>11</v>
      </c>
      <c r="E3366" s="17"/>
      <c r="F3366" s="18"/>
      <c r="G3366" s="36" t="str">
        <f>IF(ISNUMBER(F3366),C3366*F3366,"")</f>
        <v/>
      </c>
    </row>
    <row r="3367" spans="1:7" ht="24" customHeight="1" outlineLevel="3" x14ac:dyDescent="0.2">
      <c r="A3367" s="14" t="s">
        <v>6635</v>
      </c>
      <c r="B3367" s="15" t="s">
        <v>6636</v>
      </c>
      <c r="C3367" s="19">
        <f>1880.17/(1+B2)</f>
        <v>1880.17</v>
      </c>
      <c r="D3367" s="17" t="s">
        <v>11</v>
      </c>
      <c r="E3367" s="17"/>
      <c r="F3367" s="18"/>
      <c r="G3367" s="36" t="str">
        <f>IF(ISNUMBER(F3367),C3367*F3367,"")</f>
        <v/>
      </c>
    </row>
    <row r="3368" spans="1:7" ht="24" customHeight="1" outlineLevel="3" x14ac:dyDescent="0.2">
      <c r="A3368" s="14" t="s">
        <v>6637</v>
      </c>
      <c r="B3368" s="15" t="s">
        <v>6638</v>
      </c>
      <c r="C3368" s="19">
        <f>2093.08/(1+B2)</f>
        <v>2093.08</v>
      </c>
      <c r="D3368" s="17" t="s">
        <v>11</v>
      </c>
      <c r="E3368" s="17"/>
      <c r="F3368" s="18"/>
      <c r="G3368" s="36" t="str">
        <f>IF(ISNUMBER(F3368),C3368*F3368,"")</f>
        <v/>
      </c>
    </row>
    <row r="3369" spans="1:7" ht="12" customHeight="1" outlineLevel="3" x14ac:dyDescent="0.2">
      <c r="A3369" s="14" t="s">
        <v>6639</v>
      </c>
      <c r="B3369" s="15" t="s">
        <v>6640</v>
      </c>
      <c r="C3369" s="16">
        <f>763.06/(1+B2)</f>
        <v>763.06</v>
      </c>
      <c r="D3369" s="17" t="s">
        <v>11</v>
      </c>
      <c r="E3369" s="17"/>
      <c r="F3369" s="18"/>
      <c r="G3369" s="36" t="str">
        <f>IF(ISNUMBER(F3369),C3369*F3369,"")</f>
        <v/>
      </c>
    </row>
    <row r="3370" spans="1:7" ht="24" customHeight="1" outlineLevel="3" x14ac:dyDescent="0.2">
      <c r="A3370" s="14" t="s">
        <v>6641</v>
      </c>
      <c r="B3370" s="15" t="s">
        <v>6642</v>
      </c>
      <c r="C3370" s="19">
        <f>1165.76/(1+B2)</f>
        <v>1165.76</v>
      </c>
      <c r="D3370" s="17" t="s">
        <v>11</v>
      </c>
      <c r="E3370" s="17"/>
      <c r="F3370" s="18"/>
      <c r="G3370" s="36" t="str">
        <f>IF(ISNUMBER(F3370),C3370*F3370,"")</f>
        <v/>
      </c>
    </row>
    <row r="3371" spans="1:7" ht="24" customHeight="1" outlineLevel="3" x14ac:dyDescent="0.2">
      <c r="A3371" s="14" t="s">
        <v>6643</v>
      </c>
      <c r="B3371" s="15" t="s">
        <v>6644</v>
      </c>
      <c r="C3371" s="16">
        <f>997.99/(1+B2)</f>
        <v>997.99</v>
      </c>
      <c r="D3371" s="17" t="s">
        <v>11</v>
      </c>
      <c r="E3371" s="17"/>
      <c r="F3371" s="18"/>
      <c r="G3371" s="36" t="str">
        <f>IF(ISNUMBER(F3371),C3371*F3371,"")</f>
        <v/>
      </c>
    </row>
    <row r="3372" spans="1:7" ht="24" customHeight="1" outlineLevel="3" x14ac:dyDescent="0.2">
      <c r="A3372" s="14" t="s">
        <v>6645</v>
      </c>
      <c r="B3372" s="15" t="s">
        <v>6646</v>
      </c>
      <c r="C3372" s="19">
        <f>1254.97/(1+B2)</f>
        <v>1254.97</v>
      </c>
      <c r="D3372" s="17" t="s">
        <v>11</v>
      </c>
      <c r="E3372" s="17" t="s">
        <v>11</v>
      </c>
      <c r="F3372" s="18"/>
      <c r="G3372" s="36" t="str">
        <f>IF(ISNUMBER(F3372),C3372*F3372,"")</f>
        <v/>
      </c>
    </row>
    <row r="3373" spans="1:7" ht="12" customHeight="1" outlineLevel="3" x14ac:dyDescent="0.2">
      <c r="A3373" s="14" t="s">
        <v>6647</v>
      </c>
      <c r="B3373" s="15" t="s">
        <v>6648</v>
      </c>
      <c r="C3373" s="16">
        <f>359.21/(1+B2)</f>
        <v>359.21</v>
      </c>
      <c r="D3373" s="17" t="s">
        <v>11</v>
      </c>
      <c r="E3373" s="17"/>
      <c r="F3373" s="18"/>
      <c r="G3373" s="36" t="str">
        <f>IF(ISNUMBER(F3373),C3373*F3373,"")</f>
        <v/>
      </c>
    </row>
    <row r="3374" spans="1:7" ht="24" customHeight="1" outlineLevel="3" x14ac:dyDescent="0.2">
      <c r="A3374" s="14" t="s">
        <v>6649</v>
      </c>
      <c r="B3374" s="15" t="s">
        <v>6650</v>
      </c>
      <c r="C3374" s="19">
        <f>2439.34/(1+B2)</f>
        <v>2439.34</v>
      </c>
      <c r="D3374" s="17" t="s">
        <v>11</v>
      </c>
      <c r="E3374" s="17"/>
      <c r="F3374" s="18"/>
      <c r="G3374" s="36" t="str">
        <f>IF(ISNUMBER(F3374),C3374*F3374,"")</f>
        <v/>
      </c>
    </row>
    <row r="3375" spans="1:7" s="1" customFormat="1" ht="12.95" customHeight="1" outlineLevel="2" x14ac:dyDescent="0.2">
      <c r="A3375" s="20"/>
      <c r="B3375" s="21" t="s">
        <v>6651</v>
      </c>
      <c r="C3375" s="22"/>
      <c r="D3375" s="22"/>
      <c r="E3375" s="22"/>
      <c r="F3375" s="22"/>
      <c r="G3375" s="37"/>
    </row>
    <row r="3376" spans="1:7" ht="12" customHeight="1" outlineLevel="3" x14ac:dyDescent="0.2">
      <c r="A3376" s="14" t="s">
        <v>6652</v>
      </c>
      <c r="B3376" s="15" t="s">
        <v>6653</v>
      </c>
      <c r="C3376" s="16">
        <f>510.74/(1+B2)</f>
        <v>510.74</v>
      </c>
      <c r="D3376" s="17" t="s">
        <v>11</v>
      </c>
      <c r="E3376" s="17"/>
      <c r="F3376" s="18"/>
      <c r="G3376" s="36" t="str">
        <f>IF(ISNUMBER(F3376),C3376*F3376,"")</f>
        <v/>
      </c>
    </row>
    <row r="3377" spans="1:7" ht="12" customHeight="1" outlineLevel="3" x14ac:dyDescent="0.2">
      <c r="A3377" s="14" t="s">
        <v>6654</v>
      </c>
      <c r="B3377" s="15" t="s">
        <v>6655</v>
      </c>
      <c r="C3377" s="16">
        <f>573.24/(1+B2)</f>
        <v>573.24</v>
      </c>
      <c r="D3377" s="17" t="s">
        <v>11</v>
      </c>
      <c r="E3377" s="17"/>
      <c r="F3377" s="18"/>
      <c r="G3377" s="36" t="str">
        <f>IF(ISNUMBER(F3377),C3377*F3377,"")</f>
        <v/>
      </c>
    </row>
    <row r="3378" spans="1:7" ht="12" customHeight="1" outlineLevel="3" x14ac:dyDescent="0.2">
      <c r="A3378" s="14" t="s">
        <v>6656</v>
      </c>
      <c r="B3378" s="15" t="s">
        <v>6657</v>
      </c>
      <c r="C3378" s="16">
        <f>425.26/(1+B2)</f>
        <v>425.26</v>
      </c>
      <c r="D3378" s="17" t="s">
        <v>11</v>
      </c>
      <c r="E3378" s="17"/>
      <c r="F3378" s="18"/>
      <c r="G3378" s="36" t="str">
        <f>IF(ISNUMBER(F3378),C3378*F3378,"")</f>
        <v/>
      </c>
    </row>
    <row r="3379" spans="1:7" ht="12" customHeight="1" outlineLevel="3" x14ac:dyDescent="0.2">
      <c r="A3379" s="14" t="s">
        <v>6658</v>
      </c>
      <c r="B3379" s="15" t="s">
        <v>6659</v>
      </c>
      <c r="C3379" s="16">
        <f>454.38/(1+B2)</f>
        <v>454.38</v>
      </c>
      <c r="D3379" s="17" t="s">
        <v>11</v>
      </c>
      <c r="E3379" s="17"/>
      <c r="F3379" s="18"/>
      <c r="G3379" s="36" t="str">
        <f>IF(ISNUMBER(F3379),C3379*F3379,"")</f>
        <v/>
      </c>
    </row>
    <row r="3380" spans="1:7" ht="12" customHeight="1" outlineLevel="3" x14ac:dyDescent="0.2">
      <c r="A3380" s="14" t="s">
        <v>6660</v>
      </c>
      <c r="B3380" s="15" t="s">
        <v>6661</v>
      </c>
      <c r="C3380" s="19">
        <f>1084.82/(1+B2)</f>
        <v>1084.82</v>
      </c>
      <c r="D3380" s="17" t="s">
        <v>11</v>
      </c>
      <c r="E3380" s="17"/>
      <c r="F3380" s="18"/>
      <c r="G3380" s="36" t="str">
        <f>IF(ISNUMBER(F3380),C3380*F3380,"")</f>
        <v/>
      </c>
    </row>
    <row r="3381" spans="1:7" ht="12" customHeight="1" outlineLevel="3" x14ac:dyDescent="0.2">
      <c r="A3381" s="14" t="s">
        <v>6662</v>
      </c>
      <c r="B3381" s="15" t="s">
        <v>6663</v>
      </c>
      <c r="C3381" s="19">
        <f>1060.74/(1+B2)</f>
        <v>1060.74</v>
      </c>
      <c r="D3381" s="17" t="s">
        <v>11</v>
      </c>
      <c r="E3381" s="17"/>
      <c r="F3381" s="18"/>
      <c r="G3381" s="36" t="str">
        <f>IF(ISNUMBER(F3381),C3381*F3381,"")</f>
        <v/>
      </c>
    </row>
    <row r="3382" spans="1:7" ht="12" customHeight="1" outlineLevel="3" x14ac:dyDescent="0.2">
      <c r="A3382" s="14" t="s">
        <v>6664</v>
      </c>
      <c r="B3382" s="15" t="s">
        <v>6665</v>
      </c>
      <c r="C3382" s="16">
        <f>804.05/(1+B2)</f>
        <v>804.05</v>
      </c>
      <c r="D3382" s="17" t="s">
        <v>11</v>
      </c>
      <c r="E3382" s="17"/>
      <c r="F3382" s="18"/>
      <c r="G3382" s="36" t="str">
        <f>IF(ISNUMBER(F3382),C3382*F3382,"")</f>
        <v/>
      </c>
    </row>
    <row r="3383" spans="1:7" ht="24" customHeight="1" outlineLevel="3" x14ac:dyDescent="0.2">
      <c r="A3383" s="14" t="s">
        <v>6666</v>
      </c>
      <c r="B3383" s="15" t="s">
        <v>6667</v>
      </c>
      <c r="C3383" s="16">
        <f>487.33/(1+B2)</f>
        <v>487.33</v>
      </c>
      <c r="D3383" s="17" t="s">
        <v>11</v>
      </c>
      <c r="E3383" s="17"/>
      <c r="F3383" s="18"/>
      <c r="G3383" s="36" t="str">
        <f>IF(ISNUMBER(F3383),C3383*F3383,"")</f>
        <v/>
      </c>
    </row>
    <row r="3384" spans="1:7" ht="24" customHeight="1" outlineLevel="3" x14ac:dyDescent="0.2">
      <c r="A3384" s="14" t="s">
        <v>6668</v>
      </c>
      <c r="B3384" s="15" t="s">
        <v>6669</v>
      </c>
      <c r="C3384" s="16">
        <f>699.56/(1+B2)</f>
        <v>699.56</v>
      </c>
      <c r="D3384" s="17" t="s">
        <v>11</v>
      </c>
      <c r="E3384" s="17"/>
      <c r="F3384" s="18"/>
      <c r="G3384" s="36" t="str">
        <f>IF(ISNUMBER(F3384),C3384*F3384,"")</f>
        <v/>
      </c>
    </row>
    <row r="3385" spans="1:7" ht="12" customHeight="1" outlineLevel="3" x14ac:dyDescent="0.2">
      <c r="A3385" s="14" t="s">
        <v>6670</v>
      </c>
      <c r="B3385" s="15" t="s">
        <v>6671</v>
      </c>
      <c r="C3385" s="16">
        <f>215.58/(1+B2)</f>
        <v>215.58</v>
      </c>
      <c r="D3385" s="17" t="s">
        <v>11</v>
      </c>
      <c r="E3385" s="17"/>
      <c r="F3385" s="18"/>
      <c r="G3385" s="36" t="str">
        <f>IF(ISNUMBER(F3385),C3385*F3385,"")</f>
        <v/>
      </c>
    </row>
    <row r="3386" spans="1:7" ht="12" customHeight="1" outlineLevel="3" x14ac:dyDescent="0.2">
      <c r="A3386" s="14" t="s">
        <v>6672</v>
      </c>
      <c r="B3386" s="15" t="s">
        <v>6673</v>
      </c>
      <c r="C3386" s="16">
        <f>324.3/(1+B2)</f>
        <v>324.3</v>
      </c>
      <c r="D3386" s="17" t="s">
        <v>11</v>
      </c>
      <c r="E3386" s="17" t="s">
        <v>11</v>
      </c>
      <c r="F3386" s="18"/>
      <c r="G3386" s="36" t="str">
        <f>IF(ISNUMBER(F3386),C3386*F3386,"")</f>
        <v/>
      </c>
    </row>
    <row r="3387" spans="1:7" ht="12" customHeight="1" outlineLevel="3" x14ac:dyDescent="0.2">
      <c r="A3387" s="14" t="s">
        <v>6674</v>
      </c>
      <c r="B3387" s="15" t="s">
        <v>6675</v>
      </c>
      <c r="C3387" s="19">
        <f>1131.7/(1+B2)</f>
        <v>1131.7</v>
      </c>
      <c r="D3387" s="17" t="s">
        <v>11</v>
      </c>
      <c r="E3387" s="17"/>
      <c r="F3387" s="18"/>
      <c r="G3387" s="36" t="str">
        <f>IF(ISNUMBER(F3387),C3387*F3387,"")</f>
        <v/>
      </c>
    </row>
    <row r="3388" spans="1:7" ht="12" customHeight="1" outlineLevel="3" x14ac:dyDescent="0.2">
      <c r="A3388" s="14" t="s">
        <v>6676</v>
      </c>
      <c r="B3388" s="15" t="s">
        <v>6677</v>
      </c>
      <c r="C3388" s="19">
        <f>1332.46/(1+B2)</f>
        <v>1332.46</v>
      </c>
      <c r="D3388" s="17" t="s">
        <v>11</v>
      </c>
      <c r="E3388" s="17"/>
      <c r="F3388" s="18"/>
      <c r="G3388" s="36" t="str">
        <f>IF(ISNUMBER(F3388),C3388*F3388,"")</f>
        <v/>
      </c>
    </row>
    <row r="3389" spans="1:7" ht="12" customHeight="1" outlineLevel="3" x14ac:dyDescent="0.2">
      <c r="A3389" s="14" t="s">
        <v>6678</v>
      </c>
      <c r="B3389" s="15" t="s">
        <v>6679</v>
      </c>
      <c r="C3389" s="16">
        <f>683.36/(1+B2)</f>
        <v>683.36</v>
      </c>
      <c r="D3389" s="17" t="s">
        <v>11</v>
      </c>
      <c r="E3389" s="17" t="s">
        <v>11</v>
      </c>
      <c r="F3389" s="18"/>
      <c r="G3389" s="36" t="str">
        <f>IF(ISNUMBER(F3389),C3389*F3389,"")</f>
        <v/>
      </c>
    </row>
    <row r="3390" spans="1:7" ht="12" customHeight="1" outlineLevel="3" x14ac:dyDescent="0.2">
      <c r="A3390" s="14" t="s">
        <v>6680</v>
      </c>
      <c r="B3390" s="15" t="s">
        <v>6681</v>
      </c>
      <c r="C3390" s="19">
        <f>1054.9/(1+B2)</f>
        <v>1054.9000000000001</v>
      </c>
      <c r="D3390" s="17" t="s">
        <v>11</v>
      </c>
      <c r="E3390" s="17"/>
      <c r="F3390" s="18"/>
      <c r="G3390" s="36" t="str">
        <f>IF(ISNUMBER(F3390),C3390*F3390,"")</f>
        <v/>
      </c>
    </row>
    <row r="3391" spans="1:7" ht="12" customHeight="1" outlineLevel="3" x14ac:dyDescent="0.2">
      <c r="A3391" s="14" t="s">
        <v>6682</v>
      </c>
      <c r="B3391" s="15" t="s">
        <v>6683</v>
      </c>
      <c r="C3391" s="16">
        <f>719.82/(1+B2)</f>
        <v>719.82</v>
      </c>
      <c r="D3391" s="17" t="s">
        <v>11</v>
      </c>
      <c r="E3391" s="17" t="s">
        <v>11</v>
      </c>
      <c r="F3391" s="18"/>
      <c r="G3391" s="36" t="str">
        <f>IF(ISNUMBER(F3391),C3391*F3391,"")</f>
        <v/>
      </c>
    </row>
    <row r="3392" spans="1:7" ht="12" customHeight="1" outlineLevel="3" x14ac:dyDescent="0.2">
      <c r="A3392" s="14" t="s">
        <v>6684</v>
      </c>
      <c r="B3392" s="15" t="s">
        <v>6685</v>
      </c>
      <c r="C3392" s="19">
        <f>1025.58/(1+B2)</f>
        <v>1025.58</v>
      </c>
      <c r="D3392" s="17" t="s">
        <v>11</v>
      </c>
      <c r="E3392" s="17"/>
      <c r="F3392" s="18"/>
      <c r="G3392" s="36" t="str">
        <f>IF(ISNUMBER(F3392),C3392*F3392,"")</f>
        <v/>
      </c>
    </row>
    <row r="3393" spans="1:7" ht="12" customHeight="1" outlineLevel="3" x14ac:dyDescent="0.2">
      <c r="A3393" s="14" t="s">
        <v>6686</v>
      </c>
      <c r="B3393" s="15" t="s">
        <v>6687</v>
      </c>
      <c r="C3393" s="19">
        <f>1555.91/(1+B2)</f>
        <v>1555.91</v>
      </c>
      <c r="D3393" s="17" t="s">
        <v>11</v>
      </c>
      <c r="E3393" s="17"/>
      <c r="F3393" s="18"/>
      <c r="G3393" s="36" t="str">
        <f>IF(ISNUMBER(F3393),C3393*F3393,"")</f>
        <v/>
      </c>
    </row>
    <row r="3394" spans="1:7" ht="12" customHeight="1" outlineLevel="3" x14ac:dyDescent="0.2">
      <c r="A3394" s="14" t="s">
        <v>6688</v>
      </c>
      <c r="B3394" s="15" t="s">
        <v>6689</v>
      </c>
      <c r="C3394" s="19">
        <f>1694.75/(1+B2)</f>
        <v>1694.75</v>
      </c>
      <c r="D3394" s="17" t="s">
        <v>11</v>
      </c>
      <c r="E3394" s="17"/>
      <c r="F3394" s="18"/>
      <c r="G3394" s="36" t="str">
        <f>IF(ISNUMBER(F3394),C3394*F3394,"")</f>
        <v/>
      </c>
    </row>
    <row r="3395" spans="1:7" ht="12" customHeight="1" outlineLevel="3" x14ac:dyDescent="0.2">
      <c r="A3395" s="14" t="s">
        <v>6690</v>
      </c>
      <c r="B3395" s="15" t="s">
        <v>6691</v>
      </c>
      <c r="C3395" s="19">
        <f>1782.26/(1+B2)</f>
        <v>1782.26</v>
      </c>
      <c r="D3395" s="17" t="s">
        <v>11</v>
      </c>
      <c r="E3395" s="17"/>
      <c r="F3395" s="18"/>
      <c r="G3395" s="36" t="str">
        <f>IF(ISNUMBER(F3395),C3395*F3395,"")</f>
        <v/>
      </c>
    </row>
    <row r="3396" spans="1:7" ht="12" customHeight="1" outlineLevel="3" x14ac:dyDescent="0.2">
      <c r="A3396" s="14" t="s">
        <v>6692</v>
      </c>
      <c r="B3396" s="15" t="s">
        <v>6693</v>
      </c>
      <c r="C3396" s="19">
        <f>1300.35/(1+B2)</f>
        <v>1300.3499999999999</v>
      </c>
      <c r="D3396" s="17" t="s">
        <v>11</v>
      </c>
      <c r="E3396" s="17"/>
      <c r="F3396" s="18"/>
      <c r="G3396" s="36" t="str">
        <f>IF(ISNUMBER(F3396),C3396*F3396,"")</f>
        <v/>
      </c>
    </row>
    <row r="3397" spans="1:7" s="1" customFormat="1" ht="12.95" customHeight="1" outlineLevel="2" x14ac:dyDescent="0.2">
      <c r="A3397" s="20"/>
      <c r="B3397" s="21" t="s">
        <v>6694</v>
      </c>
      <c r="C3397" s="22"/>
      <c r="D3397" s="22"/>
      <c r="E3397" s="22"/>
      <c r="F3397" s="22"/>
      <c r="G3397" s="37"/>
    </row>
    <row r="3398" spans="1:7" ht="12" customHeight="1" outlineLevel="3" x14ac:dyDescent="0.2">
      <c r="A3398" s="14" t="s">
        <v>6695</v>
      </c>
      <c r="B3398" s="15" t="s">
        <v>6696</v>
      </c>
      <c r="C3398" s="19">
        <f>1317.55/(1+B2)</f>
        <v>1317.55</v>
      </c>
      <c r="D3398" s="17" t="s">
        <v>11</v>
      </c>
      <c r="E3398" s="17"/>
      <c r="F3398" s="18"/>
      <c r="G3398" s="36" t="str">
        <f>IF(ISNUMBER(F3398),C3398*F3398,"")</f>
        <v/>
      </c>
    </row>
    <row r="3399" spans="1:7" ht="24" customHeight="1" outlineLevel="3" x14ac:dyDescent="0.2">
      <c r="A3399" s="14" t="s">
        <v>6697</v>
      </c>
      <c r="B3399" s="15" t="s">
        <v>6698</v>
      </c>
      <c r="C3399" s="16">
        <f>878.91/(1+B2)</f>
        <v>878.91</v>
      </c>
      <c r="D3399" s="17" t="s">
        <v>11</v>
      </c>
      <c r="E3399" s="17" t="s">
        <v>11</v>
      </c>
      <c r="F3399" s="18"/>
      <c r="G3399" s="36" t="str">
        <f>IF(ISNUMBER(F3399),C3399*F3399,"")</f>
        <v/>
      </c>
    </row>
    <row r="3400" spans="1:7" ht="24" customHeight="1" outlineLevel="3" x14ac:dyDescent="0.2">
      <c r="A3400" s="14" t="s">
        <v>6699</v>
      </c>
      <c r="B3400" s="15" t="s">
        <v>6700</v>
      </c>
      <c r="C3400" s="19">
        <f>1057.33/(1+B2)</f>
        <v>1057.33</v>
      </c>
      <c r="D3400" s="17" t="s">
        <v>11</v>
      </c>
      <c r="E3400" s="17" t="s">
        <v>11</v>
      </c>
      <c r="F3400" s="18"/>
      <c r="G3400" s="36" t="str">
        <f>IF(ISNUMBER(F3400),C3400*F3400,"")</f>
        <v/>
      </c>
    </row>
    <row r="3401" spans="1:7" ht="24" customHeight="1" outlineLevel="3" x14ac:dyDescent="0.2">
      <c r="A3401" s="14" t="s">
        <v>6701</v>
      </c>
      <c r="B3401" s="15" t="s">
        <v>6702</v>
      </c>
      <c r="C3401" s="19">
        <f>1198.06/(1+B2)</f>
        <v>1198.06</v>
      </c>
      <c r="D3401" s="17" t="s">
        <v>11</v>
      </c>
      <c r="E3401" s="17"/>
      <c r="F3401" s="18"/>
      <c r="G3401" s="36" t="str">
        <f>IF(ISNUMBER(F3401),C3401*F3401,"")</f>
        <v/>
      </c>
    </row>
    <row r="3402" spans="1:7" ht="24" customHeight="1" outlineLevel="3" x14ac:dyDescent="0.2">
      <c r="A3402" s="14" t="s">
        <v>6703</v>
      </c>
      <c r="B3402" s="15" t="s">
        <v>6704</v>
      </c>
      <c r="C3402" s="19">
        <f>1448.19/(1+B2)</f>
        <v>1448.19</v>
      </c>
      <c r="D3402" s="17" t="s">
        <v>11</v>
      </c>
      <c r="E3402" s="17" t="s">
        <v>11</v>
      </c>
      <c r="F3402" s="18"/>
      <c r="G3402" s="36" t="str">
        <f>IF(ISNUMBER(F3402),C3402*F3402,"")</f>
        <v/>
      </c>
    </row>
    <row r="3403" spans="1:7" ht="24" customHeight="1" outlineLevel="3" x14ac:dyDescent="0.2">
      <c r="A3403" s="14" t="s">
        <v>6705</v>
      </c>
      <c r="B3403" s="15" t="s">
        <v>6706</v>
      </c>
      <c r="C3403" s="19">
        <f>1769.15/(1+B2)</f>
        <v>1769.15</v>
      </c>
      <c r="D3403" s="17" t="s">
        <v>11</v>
      </c>
      <c r="E3403" s="17"/>
      <c r="F3403" s="18"/>
      <c r="G3403" s="36" t="str">
        <f>IF(ISNUMBER(F3403),C3403*F3403,"")</f>
        <v/>
      </c>
    </row>
    <row r="3404" spans="1:7" ht="24" customHeight="1" outlineLevel="3" x14ac:dyDescent="0.2">
      <c r="A3404" s="14" t="s">
        <v>6707</v>
      </c>
      <c r="B3404" s="15" t="s">
        <v>6708</v>
      </c>
      <c r="C3404" s="19">
        <f>2753.74/(1+B2)</f>
        <v>2753.74</v>
      </c>
      <c r="D3404" s="17" t="s">
        <v>11</v>
      </c>
      <c r="E3404" s="17"/>
      <c r="F3404" s="18"/>
      <c r="G3404" s="36" t="str">
        <f>IF(ISNUMBER(F3404),C3404*F3404,"")</f>
        <v/>
      </c>
    </row>
    <row r="3405" spans="1:7" ht="24" customHeight="1" outlineLevel="3" x14ac:dyDescent="0.2">
      <c r="A3405" s="14" t="s">
        <v>6709</v>
      </c>
      <c r="B3405" s="15" t="s">
        <v>6710</v>
      </c>
      <c r="C3405" s="19">
        <f>3232.9/(1+B2)</f>
        <v>3232.9</v>
      </c>
      <c r="D3405" s="17" t="s">
        <v>11</v>
      </c>
      <c r="E3405" s="17"/>
      <c r="F3405" s="18"/>
      <c r="G3405" s="36" t="str">
        <f>IF(ISNUMBER(F3405),C3405*F3405,"")</f>
        <v/>
      </c>
    </row>
    <row r="3406" spans="1:7" ht="24" customHeight="1" outlineLevel="3" x14ac:dyDescent="0.2">
      <c r="A3406" s="14" t="s">
        <v>6711</v>
      </c>
      <c r="B3406" s="15" t="s">
        <v>6712</v>
      </c>
      <c r="C3406" s="19">
        <f>1582.7/(1+B2)</f>
        <v>1582.7</v>
      </c>
      <c r="D3406" s="17" t="s">
        <v>11</v>
      </c>
      <c r="E3406" s="17"/>
      <c r="F3406" s="18"/>
      <c r="G3406" s="36" t="str">
        <f>IF(ISNUMBER(F3406),C3406*F3406,"")</f>
        <v/>
      </c>
    </row>
    <row r="3407" spans="1:7" ht="24" customHeight="1" outlineLevel="3" x14ac:dyDescent="0.2">
      <c r="A3407" s="14" t="s">
        <v>6713</v>
      </c>
      <c r="B3407" s="15" t="s">
        <v>6714</v>
      </c>
      <c r="C3407" s="19">
        <f>1928.94/(1+B2)</f>
        <v>1928.94</v>
      </c>
      <c r="D3407" s="17" t="s">
        <v>11</v>
      </c>
      <c r="E3407" s="17"/>
      <c r="F3407" s="18"/>
      <c r="G3407" s="36" t="str">
        <f>IF(ISNUMBER(F3407),C3407*F3407,"")</f>
        <v/>
      </c>
    </row>
    <row r="3408" spans="1:7" ht="24" customHeight="1" outlineLevel="3" x14ac:dyDescent="0.2">
      <c r="A3408" s="14" t="s">
        <v>6715</v>
      </c>
      <c r="B3408" s="15" t="s">
        <v>6716</v>
      </c>
      <c r="C3408" s="19">
        <f>2218.37/(1+B2)</f>
        <v>2218.37</v>
      </c>
      <c r="D3408" s="17" t="s">
        <v>11</v>
      </c>
      <c r="E3408" s="17"/>
      <c r="F3408" s="18"/>
      <c r="G3408" s="36" t="str">
        <f>IF(ISNUMBER(F3408),C3408*F3408,"")</f>
        <v/>
      </c>
    </row>
    <row r="3409" spans="1:7" ht="24" customHeight="1" outlineLevel="3" x14ac:dyDescent="0.2">
      <c r="A3409" s="14" t="s">
        <v>6717</v>
      </c>
      <c r="B3409" s="15" t="s">
        <v>6718</v>
      </c>
      <c r="C3409" s="19">
        <f>2379.31/(1+B2)</f>
        <v>2379.31</v>
      </c>
      <c r="D3409" s="17" t="s">
        <v>11</v>
      </c>
      <c r="E3409" s="17"/>
      <c r="F3409" s="18"/>
      <c r="G3409" s="36" t="str">
        <f>IF(ISNUMBER(F3409),C3409*F3409,"")</f>
        <v/>
      </c>
    </row>
    <row r="3410" spans="1:7" ht="24" customHeight="1" outlineLevel="3" x14ac:dyDescent="0.2">
      <c r="A3410" s="14" t="s">
        <v>6719</v>
      </c>
      <c r="B3410" s="15" t="s">
        <v>6720</v>
      </c>
      <c r="C3410" s="19">
        <f>1308.65/(1+B2)</f>
        <v>1308.6500000000001</v>
      </c>
      <c r="D3410" s="17" t="s">
        <v>11</v>
      </c>
      <c r="E3410" s="17"/>
      <c r="F3410" s="18"/>
      <c r="G3410" s="36" t="str">
        <f>IF(ISNUMBER(F3410),C3410*F3410,"")</f>
        <v/>
      </c>
    </row>
    <row r="3411" spans="1:7" ht="12" customHeight="1" outlineLevel="3" x14ac:dyDescent="0.2">
      <c r="A3411" s="14" t="s">
        <v>6721</v>
      </c>
      <c r="B3411" s="15" t="s">
        <v>6722</v>
      </c>
      <c r="C3411" s="19">
        <f>1300.52/(1+B2)</f>
        <v>1300.52</v>
      </c>
      <c r="D3411" s="17" t="s">
        <v>11</v>
      </c>
      <c r="E3411" s="17"/>
      <c r="F3411" s="18"/>
      <c r="G3411" s="36" t="str">
        <f>IF(ISNUMBER(F3411),C3411*F3411,"")</f>
        <v/>
      </c>
    </row>
    <row r="3412" spans="1:7" ht="24" customHeight="1" outlineLevel="3" x14ac:dyDescent="0.2">
      <c r="A3412" s="14" t="s">
        <v>6723</v>
      </c>
      <c r="B3412" s="15" t="s">
        <v>6724</v>
      </c>
      <c r="C3412" s="19">
        <f>1282.93/(1+B2)</f>
        <v>1282.93</v>
      </c>
      <c r="D3412" s="17" t="s">
        <v>11</v>
      </c>
      <c r="E3412" s="17"/>
      <c r="F3412" s="18"/>
      <c r="G3412" s="36" t="str">
        <f>IF(ISNUMBER(F3412),C3412*F3412,"")</f>
        <v/>
      </c>
    </row>
    <row r="3413" spans="1:7" ht="24" customHeight="1" outlineLevel="3" x14ac:dyDescent="0.2">
      <c r="A3413" s="14" t="s">
        <v>6725</v>
      </c>
      <c r="B3413" s="15" t="s">
        <v>6726</v>
      </c>
      <c r="C3413" s="19">
        <f>1190.12/(1+B2)</f>
        <v>1190.1199999999999</v>
      </c>
      <c r="D3413" s="17" t="s">
        <v>11</v>
      </c>
      <c r="E3413" s="17"/>
      <c r="F3413" s="18"/>
      <c r="G3413" s="36" t="str">
        <f>IF(ISNUMBER(F3413),C3413*F3413,"")</f>
        <v/>
      </c>
    </row>
    <row r="3414" spans="1:7" ht="12" customHeight="1" outlineLevel="3" x14ac:dyDescent="0.2">
      <c r="A3414" s="14" t="s">
        <v>6727</v>
      </c>
      <c r="B3414" s="15" t="s">
        <v>6728</v>
      </c>
      <c r="C3414" s="16">
        <f>919.25/(1+B2)</f>
        <v>919.25</v>
      </c>
      <c r="D3414" s="17" t="s">
        <v>11</v>
      </c>
      <c r="E3414" s="17"/>
      <c r="F3414" s="18"/>
      <c r="G3414" s="36" t="str">
        <f>IF(ISNUMBER(F3414),C3414*F3414,"")</f>
        <v/>
      </c>
    </row>
    <row r="3415" spans="1:7" ht="12" customHeight="1" outlineLevel="3" x14ac:dyDescent="0.2">
      <c r="A3415" s="14" t="s">
        <v>6729</v>
      </c>
      <c r="B3415" s="15" t="s">
        <v>6730</v>
      </c>
      <c r="C3415" s="19">
        <f>1071.72/(1+B2)</f>
        <v>1071.72</v>
      </c>
      <c r="D3415" s="17" t="s">
        <v>11</v>
      </c>
      <c r="E3415" s="17"/>
      <c r="F3415" s="18"/>
      <c r="G3415" s="36" t="str">
        <f>IF(ISNUMBER(F3415),C3415*F3415,"")</f>
        <v/>
      </c>
    </row>
    <row r="3416" spans="1:7" ht="12" customHeight="1" outlineLevel="3" x14ac:dyDescent="0.2">
      <c r="A3416" s="14" t="s">
        <v>6731</v>
      </c>
      <c r="B3416" s="15" t="s">
        <v>6732</v>
      </c>
      <c r="C3416" s="19">
        <f>1185.31/(1+B2)</f>
        <v>1185.31</v>
      </c>
      <c r="D3416" s="17" t="s">
        <v>11</v>
      </c>
      <c r="E3416" s="17"/>
      <c r="F3416" s="18"/>
      <c r="G3416" s="36" t="str">
        <f>IF(ISNUMBER(F3416),C3416*F3416,"")</f>
        <v/>
      </c>
    </row>
    <row r="3417" spans="1:7" ht="12" customHeight="1" outlineLevel="3" x14ac:dyDescent="0.2">
      <c r="A3417" s="14" t="s">
        <v>6733</v>
      </c>
      <c r="B3417" s="15" t="s">
        <v>6734</v>
      </c>
      <c r="C3417" s="19">
        <f>1612.65/(1+B2)</f>
        <v>1612.65</v>
      </c>
      <c r="D3417" s="17" t="s">
        <v>11</v>
      </c>
      <c r="E3417" s="17"/>
      <c r="F3417" s="18"/>
      <c r="G3417" s="36" t="str">
        <f>IF(ISNUMBER(F3417),C3417*F3417,"")</f>
        <v/>
      </c>
    </row>
    <row r="3418" spans="1:7" ht="12" customHeight="1" outlineLevel="3" x14ac:dyDescent="0.2">
      <c r="A3418" s="14" t="s">
        <v>6735</v>
      </c>
      <c r="B3418" s="15" t="s">
        <v>6736</v>
      </c>
      <c r="C3418" s="16">
        <f>976.34/(1+B2)</f>
        <v>976.34</v>
      </c>
      <c r="D3418" s="17" t="s">
        <v>11</v>
      </c>
      <c r="E3418" s="17"/>
      <c r="F3418" s="18"/>
      <c r="G3418" s="36" t="str">
        <f>IF(ISNUMBER(F3418),C3418*F3418,"")</f>
        <v/>
      </c>
    </row>
    <row r="3419" spans="1:7" ht="12" customHeight="1" outlineLevel="3" x14ac:dyDescent="0.2">
      <c r="A3419" s="14" t="s">
        <v>6737</v>
      </c>
      <c r="B3419" s="15" t="s">
        <v>6738</v>
      </c>
      <c r="C3419" s="19">
        <f>1158.7/(1+B2)</f>
        <v>1158.7</v>
      </c>
      <c r="D3419" s="17" t="s">
        <v>11</v>
      </c>
      <c r="E3419" s="17"/>
      <c r="F3419" s="18"/>
      <c r="G3419" s="36" t="str">
        <f>IF(ISNUMBER(F3419),C3419*F3419,"")</f>
        <v/>
      </c>
    </row>
    <row r="3420" spans="1:7" ht="12" customHeight="1" outlineLevel="3" x14ac:dyDescent="0.2">
      <c r="A3420" s="14" t="s">
        <v>6739</v>
      </c>
      <c r="B3420" s="15" t="s">
        <v>6740</v>
      </c>
      <c r="C3420" s="19">
        <f>1157.36/(1+B2)</f>
        <v>1157.3599999999999</v>
      </c>
      <c r="D3420" s="17" t="s">
        <v>11</v>
      </c>
      <c r="E3420" s="17"/>
      <c r="F3420" s="18"/>
      <c r="G3420" s="36" t="str">
        <f>IF(ISNUMBER(F3420),C3420*F3420,"")</f>
        <v/>
      </c>
    </row>
    <row r="3421" spans="1:7" ht="12" customHeight="1" outlineLevel="3" x14ac:dyDescent="0.2">
      <c r="A3421" s="14" t="s">
        <v>6741</v>
      </c>
      <c r="B3421" s="15" t="s">
        <v>6742</v>
      </c>
      <c r="C3421" s="19">
        <f>1703.96/(1+B2)</f>
        <v>1703.96</v>
      </c>
      <c r="D3421" s="17" t="s">
        <v>11</v>
      </c>
      <c r="E3421" s="17"/>
      <c r="F3421" s="18"/>
      <c r="G3421" s="36" t="str">
        <f>IF(ISNUMBER(F3421),C3421*F3421,"")</f>
        <v/>
      </c>
    </row>
    <row r="3422" spans="1:7" ht="24" customHeight="1" outlineLevel="3" x14ac:dyDescent="0.2">
      <c r="A3422" s="14" t="s">
        <v>6743</v>
      </c>
      <c r="B3422" s="15" t="s">
        <v>6744</v>
      </c>
      <c r="C3422" s="19">
        <f>1347.81/(1+B2)</f>
        <v>1347.81</v>
      </c>
      <c r="D3422" s="17" t="s">
        <v>11</v>
      </c>
      <c r="E3422" s="17"/>
      <c r="F3422" s="18"/>
      <c r="G3422" s="36" t="str">
        <f>IF(ISNUMBER(F3422),C3422*F3422,"")</f>
        <v/>
      </c>
    </row>
    <row r="3423" spans="1:7" ht="24" customHeight="1" outlineLevel="3" x14ac:dyDescent="0.2">
      <c r="A3423" s="14" t="s">
        <v>6745</v>
      </c>
      <c r="B3423" s="15" t="s">
        <v>6746</v>
      </c>
      <c r="C3423" s="19">
        <f>1341.8/(1+B2)</f>
        <v>1341.8</v>
      </c>
      <c r="D3423" s="17" t="s">
        <v>11</v>
      </c>
      <c r="E3423" s="17"/>
      <c r="F3423" s="18"/>
      <c r="G3423" s="36" t="str">
        <f>IF(ISNUMBER(F3423),C3423*F3423,"")</f>
        <v/>
      </c>
    </row>
    <row r="3424" spans="1:7" ht="24" customHeight="1" outlineLevel="3" x14ac:dyDescent="0.2">
      <c r="A3424" s="14" t="s">
        <v>6747</v>
      </c>
      <c r="B3424" s="15" t="s">
        <v>6748</v>
      </c>
      <c r="C3424" s="19">
        <f>1581.31/(1+B2)</f>
        <v>1581.31</v>
      </c>
      <c r="D3424" s="17" t="s">
        <v>11</v>
      </c>
      <c r="E3424" s="17"/>
      <c r="F3424" s="18"/>
      <c r="G3424" s="36" t="str">
        <f>IF(ISNUMBER(F3424),C3424*F3424,"")</f>
        <v/>
      </c>
    </row>
    <row r="3425" spans="1:7" ht="24" customHeight="1" outlineLevel="3" x14ac:dyDescent="0.2">
      <c r="A3425" s="14" t="s">
        <v>6749</v>
      </c>
      <c r="B3425" s="15" t="s">
        <v>6750</v>
      </c>
      <c r="C3425" s="19">
        <f>1850.44/(1+B2)</f>
        <v>1850.44</v>
      </c>
      <c r="D3425" s="17" t="s">
        <v>11</v>
      </c>
      <c r="E3425" s="17"/>
      <c r="F3425" s="18"/>
      <c r="G3425" s="36" t="str">
        <f>IF(ISNUMBER(F3425),C3425*F3425,"")</f>
        <v/>
      </c>
    </row>
    <row r="3426" spans="1:7" ht="24" customHeight="1" outlineLevel="3" x14ac:dyDescent="0.2">
      <c r="A3426" s="14" t="s">
        <v>6751</v>
      </c>
      <c r="B3426" s="15" t="s">
        <v>6752</v>
      </c>
      <c r="C3426" s="16">
        <f>725.65/(1+B2)</f>
        <v>725.65</v>
      </c>
      <c r="D3426" s="17" t="s">
        <v>11</v>
      </c>
      <c r="E3426" s="17"/>
      <c r="F3426" s="18"/>
      <c r="G3426" s="36" t="str">
        <f>IF(ISNUMBER(F3426),C3426*F3426,"")</f>
        <v/>
      </c>
    </row>
    <row r="3427" spans="1:7" ht="24" customHeight="1" outlineLevel="3" x14ac:dyDescent="0.2">
      <c r="A3427" s="14" t="s">
        <v>6753</v>
      </c>
      <c r="B3427" s="15" t="s">
        <v>6754</v>
      </c>
      <c r="C3427" s="16">
        <f>833.44/(1+B2)</f>
        <v>833.44</v>
      </c>
      <c r="D3427" s="17" t="s">
        <v>11</v>
      </c>
      <c r="E3427" s="17"/>
      <c r="F3427" s="18"/>
      <c r="G3427" s="36" t="str">
        <f>IF(ISNUMBER(F3427),C3427*F3427,"")</f>
        <v/>
      </c>
    </row>
    <row r="3428" spans="1:7" ht="24" customHeight="1" outlineLevel="3" x14ac:dyDescent="0.2">
      <c r="A3428" s="14" t="s">
        <v>6755</v>
      </c>
      <c r="B3428" s="15" t="s">
        <v>6756</v>
      </c>
      <c r="C3428" s="19">
        <f>1243.43/(1+B2)</f>
        <v>1243.43</v>
      </c>
      <c r="D3428" s="17" t="s">
        <v>11</v>
      </c>
      <c r="E3428" s="17"/>
      <c r="F3428" s="18"/>
      <c r="G3428" s="36" t="str">
        <f>IF(ISNUMBER(F3428),C3428*F3428,"")</f>
        <v/>
      </c>
    </row>
    <row r="3429" spans="1:7" ht="24" customHeight="1" outlineLevel="3" x14ac:dyDescent="0.2">
      <c r="A3429" s="14" t="s">
        <v>6757</v>
      </c>
      <c r="B3429" s="15" t="s">
        <v>6758</v>
      </c>
      <c r="C3429" s="19">
        <f>1388.16/(1+B2)</f>
        <v>1388.16</v>
      </c>
      <c r="D3429" s="17" t="s">
        <v>11</v>
      </c>
      <c r="E3429" s="17"/>
      <c r="F3429" s="18"/>
      <c r="G3429" s="36" t="str">
        <f>IF(ISNUMBER(F3429),C3429*F3429,"")</f>
        <v/>
      </c>
    </row>
    <row r="3430" spans="1:7" ht="12" customHeight="1" outlineLevel="3" x14ac:dyDescent="0.2">
      <c r="A3430" s="14" t="s">
        <v>6759</v>
      </c>
      <c r="B3430" s="15" t="s">
        <v>6760</v>
      </c>
      <c r="C3430" s="16">
        <f>812.19/(1+B2)</f>
        <v>812.19</v>
      </c>
      <c r="D3430" s="17" t="s">
        <v>11</v>
      </c>
      <c r="E3430" s="17"/>
      <c r="F3430" s="18"/>
      <c r="G3430" s="36" t="str">
        <f>IF(ISNUMBER(F3430),C3430*F3430,"")</f>
        <v/>
      </c>
    </row>
    <row r="3431" spans="1:7" ht="12" customHeight="1" outlineLevel="3" x14ac:dyDescent="0.2">
      <c r="A3431" s="14" t="s">
        <v>6761</v>
      </c>
      <c r="B3431" s="15" t="s">
        <v>6762</v>
      </c>
      <c r="C3431" s="16">
        <f>848.69/(1+B2)</f>
        <v>848.69</v>
      </c>
      <c r="D3431" s="17" t="s">
        <v>11</v>
      </c>
      <c r="E3431" s="17"/>
      <c r="F3431" s="18"/>
      <c r="G3431" s="36" t="str">
        <f>IF(ISNUMBER(F3431),C3431*F3431,"")</f>
        <v/>
      </c>
    </row>
    <row r="3432" spans="1:7" ht="12" customHeight="1" outlineLevel="3" x14ac:dyDescent="0.2">
      <c r="A3432" s="14" t="s">
        <v>6763</v>
      </c>
      <c r="B3432" s="15" t="s">
        <v>6764</v>
      </c>
      <c r="C3432" s="19">
        <f>1115.65/(1+B2)</f>
        <v>1115.6500000000001</v>
      </c>
      <c r="D3432" s="17" t="s">
        <v>11</v>
      </c>
      <c r="E3432" s="17" t="s">
        <v>11</v>
      </c>
      <c r="F3432" s="18"/>
      <c r="G3432" s="36" t="str">
        <f>IF(ISNUMBER(F3432),C3432*F3432,"")</f>
        <v/>
      </c>
    </row>
    <row r="3433" spans="1:7" ht="12" customHeight="1" outlineLevel="3" x14ac:dyDescent="0.2">
      <c r="A3433" s="14" t="s">
        <v>6765</v>
      </c>
      <c r="B3433" s="15" t="s">
        <v>6766</v>
      </c>
      <c r="C3433" s="19">
        <f>1063.04/(1+B2)</f>
        <v>1063.04</v>
      </c>
      <c r="D3433" s="17" t="s">
        <v>11</v>
      </c>
      <c r="E3433" s="17"/>
      <c r="F3433" s="18"/>
      <c r="G3433" s="36" t="str">
        <f>IF(ISNUMBER(F3433),C3433*F3433,"")</f>
        <v/>
      </c>
    </row>
    <row r="3434" spans="1:7" ht="12" customHeight="1" outlineLevel="3" x14ac:dyDescent="0.2">
      <c r="A3434" s="14" t="s">
        <v>6767</v>
      </c>
      <c r="B3434" s="15" t="s">
        <v>6768</v>
      </c>
      <c r="C3434" s="16">
        <f>754.81/(1+B2)</f>
        <v>754.81</v>
      </c>
      <c r="D3434" s="17" t="s">
        <v>11</v>
      </c>
      <c r="E3434" s="17"/>
      <c r="F3434" s="18"/>
      <c r="G3434" s="36" t="str">
        <f>IF(ISNUMBER(F3434),C3434*F3434,"")</f>
        <v/>
      </c>
    </row>
    <row r="3435" spans="1:7" ht="12" customHeight="1" outlineLevel="3" x14ac:dyDescent="0.2">
      <c r="A3435" s="14" t="s">
        <v>6769</v>
      </c>
      <c r="B3435" s="15" t="s">
        <v>6770</v>
      </c>
      <c r="C3435" s="16">
        <f>741.26/(1+B2)</f>
        <v>741.26</v>
      </c>
      <c r="D3435" s="17" t="s">
        <v>11</v>
      </c>
      <c r="E3435" s="17"/>
      <c r="F3435" s="18"/>
      <c r="G3435" s="36" t="str">
        <f>IF(ISNUMBER(F3435),C3435*F3435,"")</f>
        <v/>
      </c>
    </row>
    <row r="3436" spans="1:7" ht="12" customHeight="1" outlineLevel="3" x14ac:dyDescent="0.2">
      <c r="A3436" s="14" t="s">
        <v>6771</v>
      </c>
      <c r="B3436" s="15" t="s">
        <v>6772</v>
      </c>
      <c r="C3436" s="16">
        <f>633.77/(1+B2)</f>
        <v>633.77</v>
      </c>
      <c r="D3436" s="17" t="s">
        <v>11</v>
      </c>
      <c r="E3436" s="17" t="s">
        <v>11</v>
      </c>
      <c r="F3436" s="18"/>
      <c r="G3436" s="36" t="str">
        <f>IF(ISNUMBER(F3436),C3436*F3436,"")</f>
        <v/>
      </c>
    </row>
    <row r="3437" spans="1:7" ht="12" customHeight="1" outlineLevel="3" x14ac:dyDescent="0.2">
      <c r="A3437" s="14" t="s">
        <v>6773</v>
      </c>
      <c r="B3437" s="15" t="s">
        <v>6774</v>
      </c>
      <c r="C3437" s="16">
        <f>735.53/(1+B2)</f>
        <v>735.53</v>
      </c>
      <c r="D3437" s="17" t="s">
        <v>11</v>
      </c>
      <c r="E3437" s="17"/>
      <c r="F3437" s="18"/>
      <c r="G3437" s="36" t="str">
        <f>IF(ISNUMBER(F3437),C3437*F3437,"")</f>
        <v/>
      </c>
    </row>
    <row r="3438" spans="1:7" ht="12" customHeight="1" outlineLevel="3" x14ac:dyDescent="0.2">
      <c r="A3438" s="14" t="s">
        <v>6775</v>
      </c>
      <c r="B3438" s="15" t="s">
        <v>6776</v>
      </c>
      <c r="C3438" s="16">
        <f>617.78/(1+B2)</f>
        <v>617.78</v>
      </c>
      <c r="D3438" s="17" t="s">
        <v>11</v>
      </c>
      <c r="E3438" s="17" t="s">
        <v>11</v>
      </c>
      <c r="F3438" s="18"/>
      <c r="G3438" s="36" t="str">
        <f>IF(ISNUMBER(F3438),C3438*F3438,"")</f>
        <v/>
      </c>
    </row>
    <row r="3439" spans="1:7" ht="12" customHeight="1" outlineLevel="3" x14ac:dyDescent="0.2">
      <c r="A3439" s="14" t="s">
        <v>6777</v>
      </c>
      <c r="B3439" s="15" t="s">
        <v>6778</v>
      </c>
      <c r="C3439" s="16">
        <f>567.31/(1+B2)</f>
        <v>567.30999999999995</v>
      </c>
      <c r="D3439" s="17" t="s">
        <v>11</v>
      </c>
      <c r="E3439" s="17"/>
      <c r="F3439" s="18"/>
      <c r="G3439" s="36" t="str">
        <f>IF(ISNUMBER(F3439),C3439*F3439,"")</f>
        <v/>
      </c>
    </row>
    <row r="3440" spans="1:7" ht="12" customHeight="1" outlineLevel="3" x14ac:dyDescent="0.2">
      <c r="A3440" s="14" t="s">
        <v>6779</v>
      </c>
      <c r="B3440" s="15" t="s">
        <v>6780</v>
      </c>
      <c r="C3440" s="16">
        <f>967.21/(1+B2)</f>
        <v>967.21</v>
      </c>
      <c r="D3440" s="17" t="s">
        <v>11</v>
      </c>
      <c r="E3440" s="17" t="s">
        <v>11</v>
      </c>
      <c r="F3440" s="18"/>
      <c r="G3440" s="36" t="str">
        <f>IF(ISNUMBER(F3440),C3440*F3440,"")</f>
        <v/>
      </c>
    </row>
    <row r="3441" spans="1:7" ht="12" customHeight="1" outlineLevel="3" x14ac:dyDescent="0.2">
      <c r="A3441" s="14" t="s">
        <v>6781</v>
      </c>
      <c r="B3441" s="15" t="s">
        <v>6782</v>
      </c>
      <c r="C3441" s="16">
        <f>808.77/(1+B2)</f>
        <v>808.77</v>
      </c>
      <c r="D3441" s="17" t="s">
        <v>11</v>
      </c>
      <c r="E3441" s="17"/>
      <c r="F3441" s="18"/>
      <c r="G3441" s="36" t="str">
        <f>IF(ISNUMBER(F3441),C3441*F3441,"")</f>
        <v/>
      </c>
    </row>
    <row r="3442" spans="1:7" ht="24" customHeight="1" outlineLevel="3" x14ac:dyDescent="0.2">
      <c r="A3442" s="14" t="s">
        <v>6783</v>
      </c>
      <c r="B3442" s="15" t="s">
        <v>6784</v>
      </c>
      <c r="C3442" s="19">
        <f>1666.96/(1+B2)</f>
        <v>1666.96</v>
      </c>
      <c r="D3442" s="17" t="s">
        <v>11</v>
      </c>
      <c r="E3442" s="17"/>
      <c r="F3442" s="18"/>
      <c r="G3442" s="36" t="str">
        <f>IF(ISNUMBER(F3442),C3442*F3442,"")</f>
        <v/>
      </c>
    </row>
    <row r="3443" spans="1:7" ht="12" customHeight="1" outlineLevel="3" x14ac:dyDescent="0.2">
      <c r="A3443" s="14" t="s">
        <v>6785</v>
      </c>
      <c r="B3443" s="15" t="s">
        <v>6786</v>
      </c>
      <c r="C3443" s="16">
        <f>547.42/(1+B2)</f>
        <v>547.41999999999996</v>
      </c>
      <c r="D3443" s="17" t="s">
        <v>11</v>
      </c>
      <c r="E3443" s="17"/>
      <c r="F3443" s="18"/>
      <c r="G3443" s="36" t="str">
        <f>IF(ISNUMBER(F3443),C3443*F3443,"")</f>
        <v/>
      </c>
    </row>
    <row r="3444" spans="1:7" ht="24" customHeight="1" outlineLevel="3" x14ac:dyDescent="0.2">
      <c r="A3444" s="14" t="s">
        <v>6787</v>
      </c>
      <c r="B3444" s="15" t="s">
        <v>6788</v>
      </c>
      <c r="C3444" s="19">
        <f>1213.81/(1+B2)</f>
        <v>1213.81</v>
      </c>
      <c r="D3444" s="17" t="s">
        <v>11</v>
      </c>
      <c r="E3444" s="17"/>
      <c r="F3444" s="18"/>
      <c r="G3444" s="36" t="str">
        <f>IF(ISNUMBER(F3444),C3444*F3444,"")</f>
        <v/>
      </c>
    </row>
    <row r="3445" spans="1:7" ht="12" customHeight="1" outlineLevel="3" x14ac:dyDescent="0.2">
      <c r="A3445" s="14" t="s">
        <v>6789</v>
      </c>
      <c r="B3445" s="15" t="s">
        <v>6790</v>
      </c>
      <c r="C3445" s="16">
        <f>777.44/(1+B2)</f>
        <v>777.44</v>
      </c>
      <c r="D3445" s="17" t="s">
        <v>11</v>
      </c>
      <c r="E3445" s="17"/>
      <c r="F3445" s="18"/>
      <c r="G3445" s="36" t="str">
        <f>IF(ISNUMBER(F3445),C3445*F3445,"")</f>
        <v/>
      </c>
    </row>
    <row r="3446" spans="1:7" ht="12" customHeight="1" outlineLevel="3" x14ac:dyDescent="0.2">
      <c r="A3446" s="14" t="s">
        <v>6791</v>
      </c>
      <c r="B3446" s="15" t="s">
        <v>6792</v>
      </c>
      <c r="C3446" s="16">
        <f>190.7/(1+B2)</f>
        <v>190.7</v>
      </c>
      <c r="D3446" s="17" t="s">
        <v>11</v>
      </c>
      <c r="E3446" s="17" t="s">
        <v>11</v>
      </c>
      <c r="F3446" s="18"/>
      <c r="G3446" s="36" t="str">
        <f>IF(ISNUMBER(F3446),C3446*F3446,"")</f>
        <v/>
      </c>
    </row>
    <row r="3447" spans="1:7" ht="24" customHeight="1" outlineLevel="3" x14ac:dyDescent="0.2">
      <c r="A3447" s="14" t="s">
        <v>6793</v>
      </c>
      <c r="B3447" s="15" t="s">
        <v>6794</v>
      </c>
      <c r="C3447" s="16">
        <f>424.6/(1+B2)</f>
        <v>424.6</v>
      </c>
      <c r="D3447" s="17" t="s">
        <v>11</v>
      </c>
      <c r="E3447" s="17"/>
      <c r="F3447" s="18"/>
      <c r="G3447" s="36" t="str">
        <f>IF(ISNUMBER(F3447),C3447*F3447,"")</f>
        <v/>
      </c>
    </row>
    <row r="3448" spans="1:7" ht="12" customHeight="1" outlineLevel="3" x14ac:dyDescent="0.2">
      <c r="A3448" s="14" t="s">
        <v>6795</v>
      </c>
      <c r="B3448" s="15" t="s">
        <v>6796</v>
      </c>
      <c r="C3448" s="16">
        <f>496.74/(1+B2)</f>
        <v>496.74</v>
      </c>
      <c r="D3448" s="17" t="s">
        <v>11</v>
      </c>
      <c r="E3448" s="17"/>
      <c r="F3448" s="18"/>
      <c r="G3448" s="36" t="str">
        <f>IF(ISNUMBER(F3448),C3448*F3448,"")</f>
        <v/>
      </c>
    </row>
    <row r="3449" spans="1:7" ht="12" customHeight="1" outlineLevel="3" x14ac:dyDescent="0.2">
      <c r="A3449" s="14" t="s">
        <v>6797</v>
      </c>
      <c r="B3449" s="15" t="s">
        <v>6798</v>
      </c>
      <c r="C3449" s="16">
        <f>188.05/(1+B2)</f>
        <v>188.05</v>
      </c>
      <c r="D3449" s="17" t="s">
        <v>11</v>
      </c>
      <c r="E3449" s="17" t="s">
        <v>11</v>
      </c>
      <c r="F3449" s="18"/>
      <c r="G3449" s="36" t="str">
        <f>IF(ISNUMBER(F3449),C3449*F3449,"")</f>
        <v/>
      </c>
    </row>
    <row r="3450" spans="1:7" ht="12" customHeight="1" outlineLevel="3" x14ac:dyDescent="0.2">
      <c r="A3450" s="14" t="s">
        <v>6799</v>
      </c>
      <c r="B3450" s="15" t="s">
        <v>6800</v>
      </c>
      <c r="C3450" s="16">
        <f>218.87/(1+B2)</f>
        <v>218.87</v>
      </c>
      <c r="D3450" s="17" t="s">
        <v>11</v>
      </c>
      <c r="E3450" s="17" t="s">
        <v>11</v>
      </c>
      <c r="F3450" s="18"/>
      <c r="G3450" s="36" t="str">
        <f>IF(ISNUMBER(F3450),C3450*F3450,"")</f>
        <v/>
      </c>
    </row>
    <row r="3451" spans="1:7" ht="12" customHeight="1" outlineLevel="3" x14ac:dyDescent="0.2">
      <c r="A3451" s="14" t="s">
        <v>6801</v>
      </c>
      <c r="B3451" s="15" t="s">
        <v>6802</v>
      </c>
      <c r="C3451" s="16">
        <f>261.14/(1+B2)</f>
        <v>261.14</v>
      </c>
      <c r="D3451" s="17" t="s">
        <v>11</v>
      </c>
      <c r="E3451" s="17" t="s">
        <v>11</v>
      </c>
      <c r="F3451" s="18"/>
      <c r="G3451" s="36" t="str">
        <f>IF(ISNUMBER(F3451),C3451*F3451,"")</f>
        <v/>
      </c>
    </row>
    <row r="3452" spans="1:7" ht="12" customHeight="1" outlineLevel="3" x14ac:dyDescent="0.2">
      <c r="A3452" s="14" t="s">
        <v>6803</v>
      </c>
      <c r="B3452" s="15" t="s">
        <v>6804</v>
      </c>
      <c r="C3452" s="16">
        <f>572.1/(1+B2)</f>
        <v>572.1</v>
      </c>
      <c r="D3452" s="17" t="s">
        <v>11</v>
      </c>
      <c r="E3452" s="17" t="s">
        <v>11</v>
      </c>
      <c r="F3452" s="18"/>
      <c r="G3452" s="36" t="str">
        <f>IF(ISNUMBER(F3452),C3452*F3452,"")</f>
        <v/>
      </c>
    </row>
    <row r="3453" spans="1:7" ht="12" customHeight="1" outlineLevel="3" x14ac:dyDescent="0.2">
      <c r="A3453" s="14" t="s">
        <v>6805</v>
      </c>
      <c r="B3453" s="15" t="s">
        <v>6806</v>
      </c>
      <c r="C3453" s="19">
        <f>1682.09/(1+B2)</f>
        <v>1682.09</v>
      </c>
      <c r="D3453" s="17" t="s">
        <v>11</v>
      </c>
      <c r="E3453" s="17"/>
      <c r="F3453" s="18"/>
      <c r="G3453" s="36" t="str">
        <f>IF(ISNUMBER(F3453),C3453*F3453,"")</f>
        <v/>
      </c>
    </row>
    <row r="3454" spans="1:7" ht="12" customHeight="1" outlineLevel="3" x14ac:dyDescent="0.2">
      <c r="A3454" s="14" t="s">
        <v>6807</v>
      </c>
      <c r="B3454" s="15" t="s">
        <v>6808</v>
      </c>
      <c r="C3454" s="19">
        <f>1625.96/(1+B2)</f>
        <v>1625.96</v>
      </c>
      <c r="D3454" s="17" t="s">
        <v>11</v>
      </c>
      <c r="E3454" s="17"/>
      <c r="F3454" s="18"/>
      <c r="G3454" s="36" t="str">
        <f>IF(ISNUMBER(F3454),C3454*F3454,"")</f>
        <v/>
      </c>
    </row>
    <row r="3455" spans="1:7" ht="12" customHeight="1" outlineLevel="3" x14ac:dyDescent="0.2">
      <c r="A3455" s="14" t="s">
        <v>6809</v>
      </c>
      <c r="B3455" s="15" t="s">
        <v>6810</v>
      </c>
      <c r="C3455" s="19">
        <f>1950.11/(1+B2)</f>
        <v>1950.11</v>
      </c>
      <c r="D3455" s="17" t="s">
        <v>11</v>
      </c>
      <c r="E3455" s="17"/>
      <c r="F3455" s="18"/>
      <c r="G3455" s="36" t="str">
        <f>IF(ISNUMBER(F3455),C3455*F3455,"")</f>
        <v/>
      </c>
    </row>
    <row r="3456" spans="1:7" s="1" customFormat="1" ht="12.95" customHeight="1" outlineLevel="2" x14ac:dyDescent="0.2">
      <c r="A3456" s="20"/>
      <c r="B3456" s="21" t="s">
        <v>6811</v>
      </c>
      <c r="C3456" s="22"/>
      <c r="D3456" s="22"/>
      <c r="E3456" s="22"/>
      <c r="F3456" s="22"/>
      <c r="G3456" s="37"/>
    </row>
    <row r="3457" spans="1:7" ht="12" customHeight="1" outlineLevel="3" x14ac:dyDescent="0.2">
      <c r="A3457" s="14" t="s">
        <v>6812</v>
      </c>
      <c r="B3457" s="15" t="s">
        <v>6813</v>
      </c>
      <c r="C3457" s="16">
        <f>950.41/(1+B2)</f>
        <v>950.41</v>
      </c>
      <c r="D3457" s="17" t="s">
        <v>11</v>
      </c>
      <c r="E3457" s="17"/>
      <c r="F3457" s="18"/>
      <c r="G3457" s="36" t="str">
        <f>IF(ISNUMBER(F3457),C3457*F3457,"")</f>
        <v/>
      </c>
    </row>
    <row r="3458" spans="1:7" ht="12" customHeight="1" outlineLevel="3" x14ac:dyDescent="0.2">
      <c r="A3458" s="14" t="s">
        <v>6814</v>
      </c>
      <c r="B3458" s="15" t="s">
        <v>6815</v>
      </c>
      <c r="C3458" s="16">
        <f>902.33/(1+B2)</f>
        <v>902.33</v>
      </c>
      <c r="D3458" s="17" t="s">
        <v>11</v>
      </c>
      <c r="E3458" s="17"/>
      <c r="F3458" s="18"/>
      <c r="G3458" s="36" t="str">
        <f>IF(ISNUMBER(F3458),C3458*F3458,"")</f>
        <v/>
      </c>
    </row>
    <row r="3459" spans="1:7" ht="12" customHeight="1" outlineLevel="3" x14ac:dyDescent="0.2">
      <c r="A3459" s="14" t="s">
        <v>6816</v>
      </c>
      <c r="B3459" s="15" t="s">
        <v>6817</v>
      </c>
      <c r="C3459" s="19">
        <f>1069.37/(1+B2)</f>
        <v>1069.3699999999999</v>
      </c>
      <c r="D3459" s="17" t="s">
        <v>11</v>
      </c>
      <c r="E3459" s="17"/>
      <c r="F3459" s="18"/>
      <c r="G3459" s="36" t="str">
        <f>IF(ISNUMBER(F3459),C3459*F3459,"")</f>
        <v/>
      </c>
    </row>
    <row r="3460" spans="1:7" ht="12" customHeight="1" outlineLevel="3" x14ac:dyDescent="0.2">
      <c r="A3460" s="14" t="s">
        <v>6818</v>
      </c>
      <c r="B3460" s="15" t="s">
        <v>6819</v>
      </c>
      <c r="C3460" s="16">
        <f>759.68/(1+B2)</f>
        <v>759.68</v>
      </c>
      <c r="D3460" s="17" t="s">
        <v>11</v>
      </c>
      <c r="E3460" s="17"/>
      <c r="F3460" s="18"/>
      <c r="G3460" s="36" t="str">
        <f>IF(ISNUMBER(F3460),C3460*F3460,"")</f>
        <v/>
      </c>
    </row>
    <row r="3461" spans="1:7" ht="12" customHeight="1" outlineLevel="3" x14ac:dyDescent="0.2">
      <c r="A3461" s="14" t="s">
        <v>6820</v>
      </c>
      <c r="B3461" s="15" t="s">
        <v>6821</v>
      </c>
      <c r="C3461" s="16">
        <f>904.54/(1+B2)</f>
        <v>904.54</v>
      </c>
      <c r="D3461" s="17" t="s">
        <v>11</v>
      </c>
      <c r="E3461" s="17"/>
      <c r="F3461" s="18"/>
      <c r="G3461" s="36" t="str">
        <f>IF(ISNUMBER(F3461),C3461*F3461,"")</f>
        <v/>
      </c>
    </row>
    <row r="3462" spans="1:7" ht="12" customHeight="1" outlineLevel="3" x14ac:dyDescent="0.2">
      <c r="A3462" s="14" t="s">
        <v>6822</v>
      </c>
      <c r="B3462" s="15" t="s">
        <v>6823</v>
      </c>
      <c r="C3462" s="19">
        <f>1121.26/(1+B2)</f>
        <v>1121.26</v>
      </c>
      <c r="D3462" s="17" t="s">
        <v>11</v>
      </c>
      <c r="E3462" s="17"/>
      <c r="F3462" s="18"/>
      <c r="G3462" s="36" t="str">
        <f>IF(ISNUMBER(F3462),C3462*F3462,"")</f>
        <v/>
      </c>
    </row>
    <row r="3463" spans="1:7" ht="12" customHeight="1" outlineLevel="3" x14ac:dyDescent="0.2">
      <c r="A3463" s="14" t="s">
        <v>6824</v>
      </c>
      <c r="B3463" s="15" t="s">
        <v>6825</v>
      </c>
      <c r="C3463" s="16">
        <f>581.23/(1+B2)</f>
        <v>581.23</v>
      </c>
      <c r="D3463" s="17" t="s">
        <v>11</v>
      </c>
      <c r="E3463" s="17"/>
      <c r="F3463" s="18"/>
      <c r="G3463" s="36" t="str">
        <f>IF(ISNUMBER(F3463),C3463*F3463,"")</f>
        <v/>
      </c>
    </row>
    <row r="3464" spans="1:7" ht="12" customHeight="1" outlineLevel="3" x14ac:dyDescent="0.2">
      <c r="A3464" s="14" t="s">
        <v>6826</v>
      </c>
      <c r="B3464" s="15" t="s">
        <v>6827</v>
      </c>
      <c r="C3464" s="16">
        <f>695.42/(1+B2)</f>
        <v>695.42</v>
      </c>
      <c r="D3464" s="17" t="s">
        <v>11</v>
      </c>
      <c r="E3464" s="17"/>
      <c r="F3464" s="18"/>
      <c r="G3464" s="36" t="str">
        <f>IF(ISNUMBER(F3464),C3464*F3464,"")</f>
        <v/>
      </c>
    </row>
    <row r="3465" spans="1:7" ht="12" customHeight="1" outlineLevel="3" x14ac:dyDescent="0.2">
      <c r="A3465" s="14" t="s">
        <v>6828</v>
      </c>
      <c r="B3465" s="15" t="s">
        <v>6829</v>
      </c>
      <c r="C3465" s="16">
        <f>798.2/(1+B2)</f>
        <v>798.2</v>
      </c>
      <c r="D3465" s="17" t="s">
        <v>11</v>
      </c>
      <c r="E3465" s="17"/>
      <c r="F3465" s="18"/>
      <c r="G3465" s="36" t="str">
        <f>IF(ISNUMBER(F3465),C3465*F3465,"")</f>
        <v/>
      </c>
    </row>
    <row r="3466" spans="1:7" ht="12" customHeight="1" outlineLevel="3" x14ac:dyDescent="0.2">
      <c r="A3466" s="14" t="s">
        <v>6830</v>
      </c>
      <c r="B3466" s="15" t="s">
        <v>6831</v>
      </c>
      <c r="C3466" s="16">
        <f>775.27/(1+B2)</f>
        <v>775.27</v>
      </c>
      <c r="D3466" s="17" t="s">
        <v>11</v>
      </c>
      <c r="E3466" s="17"/>
      <c r="F3466" s="18"/>
      <c r="G3466" s="36" t="str">
        <f>IF(ISNUMBER(F3466),C3466*F3466,"")</f>
        <v/>
      </c>
    </row>
    <row r="3467" spans="1:7" ht="12" customHeight="1" outlineLevel="3" x14ac:dyDescent="0.2">
      <c r="A3467" s="14" t="s">
        <v>6832</v>
      </c>
      <c r="B3467" s="15" t="s">
        <v>6833</v>
      </c>
      <c r="C3467" s="16">
        <f>961.81/(1+B2)</f>
        <v>961.81</v>
      </c>
      <c r="D3467" s="17" t="s">
        <v>11</v>
      </c>
      <c r="E3467" s="17"/>
      <c r="F3467" s="18"/>
      <c r="G3467" s="36" t="str">
        <f>IF(ISNUMBER(F3467),C3467*F3467,"")</f>
        <v/>
      </c>
    </row>
    <row r="3468" spans="1:7" ht="12" customHeight="1" outlineLevel="3" x14ac:dyDescent="0.2">
      <c r="A3468" s="14" t="s">
        <v>6834</v>
      </c>
      <c r="B3468" s="15" t="s">
        <v>6835</v>
      </c>
      <c r="C3468" s="19">
        <f>1073.11/(1+B2)</f>
        <v>1073.1099999999999</v>
      </c>
      <c r="D3468" s="17" t="s">
        <v>11</v>
      </c>
      <c r="E3468" s="17"/>
      <c r="F3468" s="18"/>
      <c r="G3468" s="36" t="str">
        <f>IF(ISNUMBER(F3468),C3468*F3468,"")</f>
        <v/>
      </c>
    </row>
    <row r="3469" spans="1:7" ht="12" customHeight="1" outlineLevel="3" x14ac:dyDescent="0.2">
      <c r="A3469" s="14" t="s">
        <v>6836</v>
      </c>
      <c r="B3469" s="15" t="s">
        <v>6837</v>
      </c>
      <c r="C3469" s="16">
        <f>678.79/(1+B2)</f>
        <v>678.79</v>
      </c>
      <c r="D3469" s="17" t="s">
        <v>11</v>
      </c>
      <c r="E3469" s="17"/>
      <c r="F3469" s="18"/>
      <c r="G3469" s="36" t="str">
        <f>IF(ISNUMBER(F3469),C3469*F3469,"")</f>
        <v/>
      </c>
    </row>
    <row r="3470" spans="1:7" ht="12" customHeight="1" outlineLevel="3" x14ac:dyDescent="0.2">
      <c r="A3470" s="14" t="s">
        <v>6838</v>
      </c>
      <c r="B3470" s="15" t="s">
        <v>6839</v>
      </c>
      <c r="C3470" s="16">
        <f>988.35/(1+B2)</f>
        <v>988.35</v>
      </c>
      <c r="D3470" s="17" t="s">
        <v>11</v>
      </c>
      <c r="E3470" s="17"/>
      <c r="F3470" s="18"/>
      <c r="G3470" s="36" t="str">
        <f>IF(ISNUMBER(F3470),C3470*F3470,"")</f>
        <v/>
      </c>
    </row>
    <row r="3471" spans="1:7" ht="12" customHeight="1" outlineLevel="3" x14ac:dyDescent="0.2">
      <c r="A3471" s="14" t="s">
        <v>6840</v>
      </c>
      <c r="B3471" s="15" t="s">
        <v>6841</v>
      </c>
      <c r="C3471" s="16">
        <f>845.03/(1+B2)</f>
        <v>845.03</v>
      </c>
      <c r="D3471" s="17" t="s">
        <v>11</v>
      </c>
      <c r="E3471" s="17"/>
      <c r="F3471" s="18"/>
      <c r="G3471" s="36" t="str">
        <f>IF(ISNUMBER(F3471),C3471*F3471,"")</f>
        <v/>
      </c>
    </row>
    <row r="3472" spans="1:7" ht="12" customHeight="1" outlineLevel="3" x14ac:dyDescent="0.2">
      <c r="A3472" s="14" t="s">
        <v>6842</v>
      </c>
      <c r="B3472" s="15" t="s">
        <v>6843</v>
      </c>
      <c r="C3472" s="16">
        <f>568.58/(1+B2)</f>
        <v>568.58000000000004</v>
      </c>
      <c r="D3472" s="17" t="s">
        <v>11</v>
      </c>
      <c r="E3472" s="17" t="s">
        <v>11</v>
      </c>
      <c r="F3472" s="18"/>
      <c r="G3472" s="36" t="str">
        <f>IF(ISNUMBER(F3472),C3472*F3472,"")</f>
        <v/>
      </c>
    </row>
    <row r="3473" spans="1:7" ht="24" customHeight="1" outlineLevel="3" x14ac:dyDescent="0.2">
      <c r="A3473" s="14" t="s">
        <v>6844</v>
      </c>
      <c r="B3473" s="15" t="s">
        <v>6845</v>
      </c>
      <c r="C3473" s="16">
        <f>587.6/(1+B2)</f>
        <v>587.6</v>
      </c>
      <c r="D3473" s="17" t="s">
        <v>11</v>
      </c>
      <c r="E3473" s="17" t="s">
        <v>11</v>
      </c>
      <c r="F3473" s="18"/>
      <c r="G3473" s="36" t="str">
        <f>IF(ISNUMBER(F3473),C3473*F3473,"")</f>
        <v/>
      </c>
    </row>
    <row r="3474" spans="1:7" ht="24" customHeight="1" outlineLevel="3" x14ac:dyDescent="0.2">
      <c r="A3474" s="14" t="s">
        <v>6846</v>
      </c>
      <c r="B3474" s="15" t="s">
        <v>6847</v>
      </c>
      <c r="C3474" s="16">
        <f>587.58/(1+B2)</f>
        <v>587.58000000000004</v>
      </c>
      <c r="D3474" s="17" t="s">
        <v>11</v>
      </c>
      <c r="E3474" s="17" t="s">
        <v>11</v>
      </c>
      <c r="F3474" s="18"/>
      <c r="G3474" s="36" t="str">
        <f>IF(ISNUMBER(F3474),C3474*F3474,"")</f>
        <v/>
      </c>
    </row>
    <row r="3475" spans="1:7" ht="12" customHeight="1" outlineLevel="3" x14ac:dyDescent="0.2">
      <c r="A3475" s="14" t="s">
        <v>6848</v>
      </c>
      <c r="B3475" s="15" t="s">
        <v>6849</v>
      </c>
      <c r="C3475" s="16">
        <f>787.93/(1+B2)</f>
        <v>787.93</v>
      </c>
      <c r="D3475" s="17" t="s">
        <v>11</v>
      </c>
      <c r="E3475" s="17" t="s">
        <v>11</v>
      </c>
      <c r="F3475" s="18"/>
      <c r="G3475" s="36" t="str">
        <f>IF(ISNUMBER(F3475),C3475*F3475,"")</f>
        <v/>
      </c>
    </row>
    <row r="3476" spans="1:7" ht="12" customHeight="1" outlineLevel="3" x14ac:dyDescent="0.2">
      <c r="A3476" s="14" t="s">
        <v>6850</v>
      </c>
      <c r="B3476" s="15" t="s">
        <v>6851</v>
      </c>
      <c r="C3476" s="19">
        <f>1194.38/(1+B2)</f>
        <v>1194.3800000000001</v>
      </c>
      <c r="D3476" s="17" t="s">
        <v>11</v>
      </c>
      <c r="E3476" s="17"/>
      <c r="F3476" s="18"/>
      <c r="G3476" s="36" t="str">
        <f>IF(ISNUMBER(F3476),C3476*F3476,"")</f>
        <v/>
      </c>
    </row>
    <row r="3477" spans="1:7" ht="12" customHeight="1" outlineLevel="3" x14ac:dyDescent="0.2">
      <c r="A3477" s="14" t="s">
        <v>6852</v>
      </c>
      <c r="B3477" s="15" t="s">
        <v>6853</v>
      </c>
      <c r="C3477" s="16">
        <f>923.81/(1+B2)</f>
        <v>923.81</v>
      </c>
      <c r="D3477" s="17" t="s">
        <v>11</v>
      </c>
      <c r="E3477" s="17"/>
      <c r="F3477" s="18"/>
      <c r="G3477" s="36" t="str">
        <f>IF(ISNUMBER(F3477),C3477*F3477,"")</f>
        <v/>
      </c>
    </row>
    <row r="3478" spans="1:7" ht="12" customHeight="1" outlineLevel="3" x14ac:dyDescent="0.2">
      <c r="A3478" s="14" t="s">
        <v>6854</v>
      </c>
      <c r="B3478" s="15" t="s">
        <v>6855</v>
      </c>
      <c r="C3478" s="16">
        <f>997.67/(1+B2)</f>
        <v>997.67</v>
      </c>
      <c r="D3478" s="17" t="s">
        <v>11</v>
      </c>
      <c r="E3478" s="17"/>
      <c r="F3478" s="18"/>
      <c r="G3478" s="36" t="str">
        <f>IF(ISNUMBER(F3478),C3478*F3478,"")</f>
        <v/>
      </c>
    </row>
    <row r="3479" spans="1:7" ht="12" customHeight="1" outlineLevel="3" x14ac:dyDescent="0.2">
      <c r="A3479" s="14" t="s">
        <v>6856</v>
      </c>
      <c r="B3479" s="15" t="s">
        <v>6857</v>
      </c>
      <c r="C3479" s="19">
        <f>1360.61/(1+B2)</f>
        <v>1360.61</v>
      </c>
      <c r="D3479" s="17" t="s">
        <v>11</v>
      </c>
      <c r="E3479" s="17"/>
      <c r="F3479" s="18"/>
      <c r="G3479" s="36" t="str">
        <f>IF(ISNUMBER(F3479),C3479*F3479,"")</f>
        <v/>
      </c>
    </row>
    <row r="3480" spans="1:7" ht="12" customHeight="1" outlineLevel="3" x14ac:dyDescent="0.2">
      <c r="A3480" s="14" t="s">
        <v>6858</v>
      </c>
      <c r="B3480" s="15" t="s">
        <v>6859</v>
      </c>
      <c r="C3480" s="19">
        <f>1089.62/(1+B2)</f>
        <v>1089.6199999999999</v>
      </c>
      <c r="D3480" s="17" t="s">
        <v>11</v>
      </c>
      <c r="E3480" s="17"/>
      <c r="F3480" s="18"/>
      <c r="G3480" s="36" t="str">
        <f>IF(ISNUMBER(F3480),C3480*F3480,"")</f>
        <v/>
      </c>
    </row>
    <row r="3481" spans="1:7" ht="12" customHeight="1" outlineLevel="3" x14ac:dyDescent="0.2">
      <c r="A3481" s="14" t="s">
        <v>6860</v>
      </c>
      <c r="B3481" s="15" t="s">
        <v>6861</v>
      </c>
      <c r="C3481" s="19">
        <f>1000.65/(1+B2)</f>
        <v>1000.65</v>
      </c>
      <c r="D3481" s="17" t="s">
        <v>11</v>
      </c>
      <c r="E3481" s="17"/>
      <c r="F3481" s="18"/>
      <c r="G3481" s="36" t="str">
        <f>IF(ISNUMBER(F3481),C3481*F3481,"")</f>
        <v/>
      </c>
    </row>
    <row r="3482" spans="1:7" ht="12" customHeight="1" outlineLevel="3" x14ac:dyDescent="0.2">
      <c r="A3482" s="14" t="s">
        <v>6862</v>
      </c>
      <c r="B3482" s="15" t="s">
        <v>6863</v>
      </c>
      <c r="C3482" s="19">
        <f>1087.31/(1+B2)</f>
        <v>1087.31</v>
      </c>
      <c r="D3482" s="17" t="s">
        <v>11</v>
      </c>
      <c r="E3482" s="17"/>
      <c r="F3482" s="18"/>
      <c r="G3482" s="36" t="str">
        <f>IF(ISNUMBER(F3482),C3482*F3482,"")</f>
        <v/>
      </c>
    </row>
    <row r="3483" spans="1:7" s="1" customFormat="1" ht="12.95" customHeight="1" outlineLevel="2" x14ac:dyDescent="0.2">
      <c r="A3483" s="20"/>
      <c r="B3483" s="21" t="s">
        <v>6864</v>
      </c>
      <c r="C3483" s="22"/>
      <c r="D3483" s="22"/>
      <c r="E3483" s="22"/>
      <c r="F3483" s="22"/>
      <c r="G3483" s="37"/>
    </row>
    <row r="3484" spans="1:7" ht="12" customHeight="1" outlineLevel="3" x14ac:dyDescent="0.2">
      <c r="A3484" s="14" t="s">
        <v>6865</v>
      </c>
      <c r="B3484" s="15" t="s">
        <v>6866</v>
      </c>
      <c r="C3484" s="16">
        <f>467.19/(1+B2)</f>
        <v>467.19</v>
      </c>
      <c r="D3484" s="17" t="s">
        <v>11</v>
      </c>
      <c r="E3484" s="17"/>
      <c r="F3484" s="18"/>
      <c r="G3484" s="36" t="str">
        <f>IF(ISNUMBER(F3484),C3484*F3484,"")</f>
        <v/>
      </c>
    </row>
    <row r="3485" spans="1:7" ht="12" customHeight="1" outlineLevel="3" x14ac:dyDescent="0.2">
      <c r="A3485" s="14" t="s">
        <v>6867</v>
      </c>
      <c r="B3485" s="15" t="s">
        <v>6868</v>
      </c>
      <c r="C3485" s="16">
        <f>353.33/(1+B2)</f>
        <v>353.33</v>
      </c>
      <c r="D3485" s="17" t="s">
        <v>11</v>
      </c>
      <c r="E3485" s="17"/>
      <c r="F3485" s="18"/>
      <c r="G3485" s="36" t="str">
        <f>IF(ISNUMBER(F3485),C3485*F3485,"")</f>
        <v/>
      </c>
    </row>
    <row r="3486" spans="1:7" ht="12" customHeight="1" outlineLevel="3" x14ac:dyDescent="0.2">
      <c r="A3486" s="14" t="s">
        <v>6869</v>
      </c>
      <c r="B3486" s="15" t="s">
        <v>6870</v>
      </c>
      <c r="C3486" s="16">
        <f>432.95/(1+B2)</f>
        <v>432.95</v>
      </c>
      <c r="D3486" s="17" t="s">
        <v>11</v>
      </c>
      <c r="E3486" s="17"/>
      <c r="F3486" s="18"/>
      <c r="G3486" s="36" t="str">
        <f>IF(ISNUMBER(F3486),C3486*F3486,"")</f>
        <v/>
      </c>
    </row>
    <row r="3487" spans="1:7" ht="12" customHeight="1" outlineLevel="3" x14ac:dyDescent="0.2">
      <c r="A3487" s="14" t="s">
        <v>6871</v>
      </c>
      <c r="B3487" s="15" t="s">
        <v>6872</v>
      </c>
      <c r="C3487" s="16">
        <f>650.89/(1+B2)</f>
        <v>650.89</v>
      </c>
      <c r="D3487" s="17" t="s">
        <v>11</v>
      </c>
      <c r="E3487" s="17"/>
      <c r="F3487" s="18"/>
      <c r="G3487" s="36" t="str">
        <f>IF(ISNUMBER(F3487),C3487*F3487,"")</f>
        <v/>
      </c>
    </row>
    <row r="3488" spans="1:7" ht="24" customHeight="1" outlineLevel="3" x14ac:dyDescent="0.2">
      <c r="A3488" s="14" t="s">
        <v>6873</v>
      </c>
      <c r="B3488" s="15" t="s">
        <v>6874</v>
      </c>
      <c r="C3488" s="16">
        <f>310.09/(1+B2)</f>
        <v>310.08999999999997</v>
      </c>
      <c r="D3488" s="17" t="s">
        <v>11</v>
      </c>
      <c r="E3488" s="17"/>
      <c r="F3488" s="18"/>
      <c r="G3488" s="36" t="str">
        <f>IF(ISNUMBER(F3488),C3488*F3488,"")</f>
        <v/>
      </c>
    </row>
    <row r="3489" spans="1:7" ht="24" customHeight="1" outlineLevel="3" x14ac:dyDescent="0.2">
      <c r="A3489" s="14" t="s">
        <v>6875</v>
      </c>
      <c r="B3489" s="15" t="s">
        <v>6876</v>
      </c>
      <c r="C3489" s="16">
        <f>331.15/(1+B2)</f>
        <v>331.15</v>
      </c>
      <c r="D3489" s="17" t="s">
        <v>11</v>
      </c>
      <c r="E3489" s="17" t="s">
        <v>11</v>
      </c>
      <c r="F3489" s="18"/>
      <c r="G3489" s="36" t="str">
        <f>IF(ISNUMBER(F3489),C3489*F3489,"")</f>
        <v/>
      </c>
    </row>
    <row r="3490" spans="1:7" ht="24" customHeight="1" outlineLevel="3" x14ac:dyDescent="0.2">
      <c r="A3490" s="14" t="s">
        <v>6877</v>
      </c>
      <c r="B3490" s="15" t="s">
        <v>6878</v>
      </c>
      <c r="C3490" s="16">
        <f>352.6/(1+B2)</f>
        <v>352.6</v>
      </c>
      <c r="D3490" s="17" t="s">
        <v>14</v>
      </c>
      <c r="E3490" s="17" t="s">
        <v>14</v>
      </c>
      <c r="F3490" s="18"/>
      <c r="G3490" s="36" t="str">
        <f>IF(ISNUMBER(F3490),C3490*F3490,"")</f>
        <v/>
      </c>
    </row>
    <row r="3491" spans="1:7" ht="24" customHeight="1" outlineLevel="3" x14ac:dyDescent="0.2">
      <c r="A3491" s="14" t="s">
        <v>6879</v>
      </c>
      <c r="B3491" s="15" t="s">
        <v>6880</v>
      </c>
      <c r="C3491" s="16">
        <f>862.1/(1+B2)</f>
        <v>862.1</v>
      </c>
      <c r="D3491" s="17" t="s">
        <v>11</v>
      </c>
      <c r="E3491" s="17"/>
      <c r="F3491" s="18"/>
      <c r="G3491" s="36" t="str">
        <f>IF(ISNUMBER(F3491),C3491*F3491,"")</f>
        <v/>
      </c>
    </row>
    <row r="3492" spans="1:7" ht="12" customHeight="1" outlineLevel="3" x14ac:dyDescent="0.2">
      <c r="A3492" s="14" t="s">
        <v>6881</v>
      </c>
      <c r="B3492" s="15" t="s">
        <v>6882</v>
      </c>
      <c r="C3492" s="16">
        <f>693.66/(1+B2)</f>
        <v>693.66</v>
      </c>
      <c r="D3492" s="17" t="s">
        <v>11</v>
      </c>
      <c r="E3492" s="17"/>
      <c r="F3492" s="18"/>
      <c r="G3492" s="36" t="str">
        <f>IF(ISNUMBER(F3492),C3492*F3492,"")</f>
        <v/>
      </c>
    </row>
    <row r="3493" spans="1:7" ht="12" customHeight="1" outlineLevel="3" x14ac:dyDescent="0.2">
      <c r="A3493" s="14" t="s">
        <v>6883</v>
      </c>
      <c r="B3493" s="15" t="s">
        <v>6884</v>
      </c>
      <c r="C3493" s="16">
        <f>286.22/(1+B2)</f>
        <v>286.22000000000003</v>
      </c>
      <c r="D3493" s="17" t="s">
        <v>14</v>
      </c>
      <c r="E3493" s="17"/>
      <c r="F3493" s="18"/>
      <c r="G3493" s="36" t="str">
        <f>IF(ISNUMBER(F3493),C3493*F3493,"")</f>
        <v/>
      </c>
    </row>
    <row r="3494" spans="1:7" ht="12" customHeight="1" outlineLevel="3" x14ac:dyDescent="0.2">
      <c r="A3494" s="14" t="s">
        <v>6885</v>
      </c>
      <c r="B3494" s="15" t="s">
        <v>6886</v>
      </c>
      <c r="C3494" s="16">
        <f>282.71/(1+B2)</f>
        <v>282.70999999999998</v>
      </c>
      <c r="D3494" s="17" t="s">
        <v>14</v>
      </c>
      <c r="E3494" s="17"/>
      <c r="F3494" s="18"/>
      <c r="G3494" s="36" t="str">
        <f>IF(ISNUMBER(F3494),C3494*F3494,"")</f>
        <v/>
      </c>
    </row>
    <row r="3495" spans="1:7" ht="12" customHeight="1" outlineLevel="3" x14ac:dyDescent="0.2">
      <c r="A3495" s="14" t="s">
        <v>6887</v>
      </c>
      <c r="B3495" s="15" t="s">
        <v>6888</v>
      </c>
      <c r="C3495" s="16">
        <f>257.13/(1+B2)</f>
        <v>257.13</v>
      </c>
      <c r="D3495" s="17" t="s">
        <v>11</v>
      </c>
      <c r="E3495" s="17"/>
      <c r="F3495" s="18"/>
      <c r="G3495" s="36" t="str">
        <f>IF(ISNUMBER(F3495),C3495*F3495,"")</f>
        <v/>
      </c>
    </row>
    <row r="3496" spans="1:7" ht="12" customHeight="1" outlineLevel="3" x14ac:dyDescent="0.2">
      <c r="A3496" s="14" t="s">
        <v>6889</v>
      </c>
      <c r="B3496" s="15" t="s">
        <v>6890</v>
      </c>
      <c r="C3496" s="16">
        <f>181.61/(1+B2)</f>
        <v>181.61</v>
      </c>
      <c r="D3496" s="17" t="s">
        <v>11</v>
      </c>
      <c r="E3496" s="17" t="s">
        <v>11</v>
      </c>
      <c r="F3496" s="18"/>
      <c r="G3496" s="36" t="str">
        <f>IF(ISNUMBER(F3496),C3496*F3496,"")</f>
        <v/>
      </c>
    </row>
    <row r="3497" spans="1:7" ht="12" customHeight="1" outlineLevel="3" x14ac:dyDescent="0.2">
      <c r="A3497" s="14" t="s">
        <v>6891</v>
      </c>
      <c r="B3497" s="15" t="s">
        <v>6892</v>
      </c>
      <c r="C3497" s="16">
        <f>251.22/(1+B2)</f>
        <v>251.22</v>
      </c>
      <c r="D3497" s="17" t="s">
        <v>11</v>
      </c>
      <c r="E3497" s="17" t="s">
        <v>11</v>
      </c>
      <c r="F3497" s="18"/>
      <c r="G3497" s="36" t="str">
        <f>IF(ISNUMBER(F3497),C3497*F3497,"")</f>
        <v/>
      </c>
    </row>
    <row r="3498" spans="1:7" ht="12" customHeight="1" outlineLevel="3" x14ac:dyDescent="0.2">
      <c r="A3498" s="14" t="s">
        <v>6893</v>
      </c>
      <c r="B3498" s="15" t="s">
        <v>6894</v>
      </c>
      <c r="C3498" s="16">
        <f>291.19/(1+B2)</f>
        <v>291.19</v>
      </c>
      <c r="D3498" s="17" t="s">
        <v>11</v>
      </c>
      <c r="E3498" s="17"/>
      <c r="F3498" s="18"/>
      <c r="G3498" s="36" t="str">
        <f>IF(ISNUMBER(F3498),C3498*F3498,"")</f>
        <v/>
      </c>
    </row>
    <row r="3499" spans="1:7" ht="24" customHeight="1" outlineLevel="3" x14ac:dyDescent="0.2">
      <c r="A3499" s="14" t="s">
        <v>6895</v>
      </c>
      <c r="B3499" s="15" t="s">
        <v>6896</v>
      </c>
      <c r="C3499" s="16">
        <f>472.03/(1+B2)</f>
        <v>472.03</v>
      </c>
      <c r="D3499" s="17" t="s">
        <v>14</v>
      </c>
      <c r="E3499" s="17"/>
      <c r="F3499" s="18"/>
      <c r="G3499" s="36" t="str">
        <f>IF(ISNUMBER(F3499),C3499*F3499,"")</f>
        <v/>
      </c>
    </row>
    <row r="3500" spans="1:7" ht="12" customHeight="1" outlineLevel="3" x14ac:dyDescent="0.2">
      <c r="A3500" s="14" t="s">
        <v>6897</v>
      </c>
      <c r="B3500" s="15" t="s">
        <v>6898</v>
      </c>
      <c r="C3500" s="16">
        <f>570.78/(1+B2)</f>
        <v>570.78</v>
      </c>
      <c r="D3500" s="17" t="s">
        <v>11</v>
      </c>
      <c r="E3500" s="17"/>
      <c r="F3500" s="18"/>
      <c r="G3500" s="36" t="str">
        <f>IF(ISNUMBER(F3500),C3500*F3500,"")</f>
        <v/>
      </c>
    </row>
    <row r="3501" spans="1:7" ht="12" customHeight="1" outlineLevel="3" x14ac:dyDescent="0.2">
      <c r="A3501" s="14" t="s">
        <v>6899</v>
      </c>
      <c r="B3501" s="15" t="s">
        <v>6900</v>
      </c>
      <c r="C3501" s="16">
        <f>716.31/(1+B2)</f>
        <v>716.31</v>
      </c>
      <c r="D3501" s="17" t="s">
        <v>11</v>
      </c>
      <c r="E3501" s="17"/>
      <c r="F3501" s="18"/>
      <c r="G3501" s="36" t="str">
        <f>IF(ISNUMBER(F3501),C3501*F3501,"")</f>
        <v/>
      </c>
    </row>
    <row r="3502" spans="1:7" ht="12" customHeight="1" outlineLevel="3" x14ac:dyDescent="0.2">
      <c r="A3502" s="14" t="s">
        <v>6901</v>
      </c>
      <c r="B3502" s="15" t="s">
        <v>6902</v>
      </c>
      <c r="C3502" s="16">
        <f>884.84/(1+B2)</f>
        <v>884.84</v>
      </c>
      <c r="D3502" s="17" t="s">
        <v>11</v>
      </c>
      <c r="E3502" s="17"/>
      <c r="F3502" s="18"/>
      <c r="G3502" s="36" t="str">
        <f>IF(ISNUMBER(F3502),C3502*F3502,"")</f>
        <v/>
      </c>
    </row>
    <row r="3503" spans="1:7" ht="12" customHeight="1" outlineLevel="3" x14ac:dyDescent="0.2">
      <c r="A3503" s="14" t="s">
        <v>6903</v>
      </c>
      <c r="B3503" s="15" t="s">
        <v>6904</v>
      </c>
      <c r="C3503" s="16">
        <f>162.24/(1+B2)</f>
        <v>162.24</v>
      </c>
      <c r="D3503" s="17" t="s">
        <v>11</v>
      </c>
      <c r="E3503" s="17" t="s">
        <v>14</v>
      </c>
      <c r="F3503" s="18"/>
      <c r="G3503" s="36" t="str">
        <f>IF(ISNUMBER(F3503),C3503*F3503,"")</f>
        <v/>
      </c>
    </row>
    <row r="3504" spans="1:7" ht="24" customHeight="1" outlineLevel="3" x14ac:dyDescent="0.2">
      <c r="A3504" s="14" t="s">
        <v>6905</v>
      </c>
      <c r="B3504" s="15" t="s">
        <v>6906</v>
      </c>
      <c r="C3504" s="19">
        <f>1881.74/(1+B2)</f>
        <v>1881.74</v>
      </c>
      <c r="D3504" s="17" t="s">
        <v>11</v>
      </c>
      <c r="E3504" s="17"/>
      <c r="F3504" s="18"/>
      <c r="G3504" s="36" t="str">
        <f>IF(ISNUMBER(F3504),C3504*F3504,"")</f>
        <v/>
      </c>
    </row>
    <row r="3505" spans="1:7" ht="24" customHeight="1" outlineLevel="3" x14ac:dyDescent="0.2">
      <c r="A3505" s="14" t="s">
        <v>6907</v>
      </c>
      <c r="B3505" s="15" t="s">
        <v>6908</v>
      </c>
      <c r="C3505" s="19">
        <f>1823.06/(1+B2)</f>
        <v>1823.06</v>
      </c>
      <c r="D3505" s="17" t="s">
        <v>11</v>
      </c>
      <c r="E3505" s="17"/>
      <c r="F3505" s="18"/>
      <c r="G3505" s="36" t="str">
        <f>IF(ISNUMBER(F3505),C3505*F3505,"")</f>
        <v/>
      </c>
    </row>
    <row r="3506" spans="1:7" ht="24" customHeight="1" outlineLevel="3" x14ac:dyDescent="0.2">
      <c r="A3506" s="14" t="s">
        <v>6909</v>
      </c>
      <c r="B3506" s="15" t="s">
        <v>6910</v>
      </c>
      <c r="C3506" s="19">
        <f>1182.01/(1+B2)</f>
        <v>1182.01</v>
      </c>
      <c r="D3506" s="17" t="s">
        <v>11</v>
      </c>
      <c r="E3506" s="17"/>
      <c r="F3506" s="18"/>
      <c r="G3506" s="36" t="str">
        <f>IF(ISNUMBER(F3506),C3506*F3506,"")</f>
        <v/>
      </c>
    </row>
    <row r="3507" spans="1:7" ht="24" customHeight="1" outlineLevel="3" x14ac:dyDescent="0.2">
      <c r="A3507" s="14" t="s">
        <v>6911</v>
      </c>
      <c r="B3507" s="15" t="s">
        <v>6912</v>
      </c>
      <c r="C3507" s="19">
        <f>1077.92/(1+B2)</f>
        <v>1077.92</v>
      </c>
      <c r="D3507" s="17" t="s">
        <v>11</v>
      </c>
      <c r="E3507" s="17"/>
      <c r="F3507" s="18"/>
      <c r="G3507" s="36" t="str">
        <f>IF(ISNUMBER(F3507),C3507*F3507,"")</f>
        <v/>
      </c>
    </row>
    <row r="3508" spans="1:7" ht="24" customHeight="1" outlineLevel="3" x14ac:dyDescent="0.2">
      <c r="A3508" s="14" t="s">
        <v>6913</v>
      </c>
      <c r="B3508" s="15" t="s">
        <v>6914</v>
      </c>
      <c r="C3508" s="19">
        <f>1247.92/(1+B2)</f>
        <v>1247.92</v>
      </c>
      <c r="D3508" s="17" t="s">
        <v>11</v>
      </c>
      <c r="E3508" s="17"/>
      <c r="F3508" s="18"/>
      <c r="G3508" s="36" t="str">
        <f>IF(ISNUMBER(F3508),C3508*F3508,"")</f>
        <v/>
      </c>
    </row>
    <row r="3509" spans="1:7" ht="24" customHeight="1" outlineLevel="3" x14ac:dyDescent="0.2">
      <c r="A3509" s="14" t="s">
        <v>6915</v>
      </c>
      <c r="B3509" s="15" t="s">
        <v>6916</v>
      </c>
      <c r="C3509" s="19">
        <f>1364.36/(1+B2)</f>
        <v>1364.36</v>
      </c>
      <c r="D3509" s="17" t="s">
        <v>11</v>
      </c>
      <c r="E3509" s="17"/>
      <c r="F3509" s="18"/>
      <c r="G3509" s="36" t="str">
        <f>IF(ISNUMBER(F3509),C3509*F3509,"")</f>
        <v/>
      </c>
    </row>
    <row r="3510" spans="1:7" ht="24" customHeight="1" outlineLevel="3" x14ac:dyDescent="0.2">
      <c r="A3510" s="14" t="s">
        <v>6917</v>
      </c>
      <c r="B3510" s="15" t="s">
        <v>6918</v>
      </c>
      <c r="C3510" s="19">
        <f>1300.64/(1+B2)</f>
        <v>1300.6400000000001</v>
      </c>
      <c r="D3510" s="17" t="s">
        <v>11</v>
      </c>
      <c r="E3510" s="17"/>
      <c r="F3510" s="18"/>
      <c r="G3510" s="36" t="str">
        <f>IF(ISNUMBER(F3510),C3510*F3510,"")</f>
        <v/>
      </c>
    </row>
    <row r="3511" spans="1:7" ht="24" customHeight="1" outlineLevel="3" x14ac:dyDescent="0.2">
      <c r="A3511" s="14" t="s">
        <v>6919</v>
      </c>
      <c r="B3511" s="15" t="s">
        <v>6920</v>
      </c>
      <c r="C3511" s="19">
        <f>1557.68/(1+B2)</f>
        <v>1557.68</v>
      </c>
      <c r="D3511" s="17" t="s">
        <v>11</v>
      </c>
      <c r="E3511" s="17"/>
      <c r="F3511" s="18"/>
      <c r="G3511" s="36" t="str">
        <f>IF(ISNUMBER(F3511),C3511*F3511,"")</f>
        <v/>
      </c>
    </row>
    <row r="3512" spans="1:7" ht="24" customHeight="1" outlineLevel="3" x14ac:dyDescent="0.2">
      <c r="A3512" s="14" t="s">
        <v>6921</v>
      </c>
      <c r="B3512" s="15" t="s">
        <v>6922</v>
      </c>
      <c r="C3512" s="19">
        <f>2080.56/(1+B2)</f>
        <v>2080.56</v>
      </c>
      <c r="D3512" s="17" t="s">
        <v>11</v>
      </c>
      <c r="E3512" s="17" t="s">
        <v>11</v>
      </c>
      <c r="F3512" s="18"/>
      <c r="G3512" s="36" t="str">
        <f>IF(ISNUMBER(F3512),C3512*F3512,"")</f>
        <v/>
      </c>
    </row>
    <row r="3513" spans="1:7" ht="24" customHeight="1" outlineLevel="3" x14ac:dyDescent="0.2">
      <c r="A3513" s="14" t="s">
        <v>6923</v>
      </c>
      <c r="B3513" s="15" t="s">
        <v>6924</v>
      </c>
      <c r="C3513" s="19">
        <f>1285.44/(1+B2)</f>
        <v>1285.44</v>
      </c>
      <c r="D3513" s="17" t="s">
        <v>11</v>
      </c>
      <c r="E3513" s="17"/>
      <c r="F3513" s="18"/>
      <c r="G3513" s="36" t="str">
        <f>IF(ISNUMBER(F3513),C3513*F3513,"")</f>
        <v/>
      </c>
    </row>
    <row r="3514" spans="1:7" ht="24" customHeight="1" outlineLevel="3" x14ac:dyDescent="0.2">
      <c r="A3514" s="14" t="s">
        <v>6925</v>
      </c>
      <c r="B3514" s="15" t="s">
        <v>6926</v>
      </c>
      <c r="C3514" s="19">
        <f>1934.23/(1+B2)</f>
        <v>1934.23</v>
      </c>
      <c r="D3514" s="17" t="s">
        <v>11</v>
      </c>
      <c r="E3514" s="17"/>
      <c r="F3514" s="18"/>
      <c r="G3514" s="36" t="str">
        <f>IF(ISNUMBER(F3514),C3514*F3514,"")</f>
        <v/>
      </c>
    </row>
    <row r="3515" spans="1:7" ht="24" customHeight="1" outlineLevel="3" x14ac:dyDescent="0.2">
      <c r="A3515" s="14" t="s">
        <v>6927</v>
      </c>
      <c r="B3515" s="15" t="s">
        <v>6928</v>
      </c>
      <c r="C3515" s="19">
        <f>2357.7/(1+B2)</f>
        <v>2357.6999999999998</v>
      </c>
      <c r="D3515" s="17" t="s">
        <v>11</v>
      </c>
      <c r="E3515" s="17"/>
      <c r="F3515" s="18"/>
      <c r="G3515" s="36" t="str">
        <f>IF(ISNUMBER(F3515),C3515*F3515,"")</f>
        <v/>
      </c>
    </row>
    <row r="3516" spans="1:7" ht="24" customHeight="1" outlineLevel="3" x14ac:dyDescent="0.2">
      <c r="A3516" s="14" t="s">
        <v>6929</v>
      </c>
      <c r="B3516" s="15" t="s">
        <v>6930</v>
      </c>
      <c r="C3516" s="19">
        <f>1164.26/(1+B2)</f>
        <v>1164.26</v>
      </c>
      <c r="D3516" s="17" t="s">
        <v>11</v>
      </c>
      <c r="E3516" s="17"/>
      <c r="F3516" s="18"/>
      <c r="G3516" s="36" t="str">
        <f>IF(ISNUMBER(F3516),C3516*F3516,"")</f>
        <v/>
      </c>
    </row>
    <row r="3517" spans="1:7" ht="24" customHeight="1" outlineLevel="3" x14ac:dyDescent="0.2">
      <c r="A3517" s="14" t="s">
        <v>6931</v>
      </c>
      <c r="B3517" s="15" t="s">
        <v>6932</v>
      </c>
      <c r="C3517" s="19">
        <f>1198.22/(1+B2)</f>
        <v>1198.22</v>
      </c>
      <c r="D3517" s="17" t="s">
        <v>11</v>
      </c>
      <c r="E3517" s="17"/>
      <c r="F3517" s="18"/>
      <c r="G3517" s="36" t="str">
        <f>IF(ISNUMBER(F3517),C3517*F3517,"")</f>
        <v/>
      </c>
    </row>
    <row r="3518" spans="1:7" ht="24" customHeight="1" outlineLevel="3" x14ac:dyDescent="0.2">
      <c r="A3518" s="14" t="s">
        <v>6933</v>
      </c>
      <c r="B3518" s="15" t="s">
        <v>6934</v>
      </c>
      <c r="C3518" s="19">
        <f>1627.24/(1+B2)</f>
        <v>1627.24</v>
      </c>
      <c r="D3518" s="17" t="s">
        <v>11</v>
      </c>
      <c r="E3518" s="17"/>
      <c r="F3518" s="18"/>
      <c r="G3518" s="36" t="str">
        <f>IF(ISNUMBER(F3518),C3518*F3518,"")</f>
        <v/>
      </c>
    </row>
    <row r="3519" spans="1:7" ht="12" customHeight="1" outlineLevel="3" x14ac:dyDescent="0.2">
      <c r="A3519" s="14" t="s">
        <v>6935</v>
      </c>
      <c r="B3519" s="15" t="s">
        <v>6936</v>
      </c>
      <c r="C3519" s="19">
        <f>1489.24/(1+B2)</f>
        <v>1489.24</v>
      </c>
      <c r="D3519" s="17" t="s">
        <v>11</v>
      </c>
      <c r="E3519" s="17"/>
      <c r="F3519" s="18"/>
      <c r="G3519" s="36" t="str">
        <f>IF(ISNUMBER(F3519),C3519*F3519,"")</f>
        <v/>
      </c>
    </row>
    <row r="3520" spans="1:7" ht="24" customHeight="1" outlineLevel="3" x14ac:dyDescent="0.2">
      <c r="A3520" s="14" t="s">
        <v>6937</v>
      </c>
      <c r="B3520" s="15" t="s">
        <v>6938</v>
      </c>
      <c r="C3520" s="19">
        <f>1277.81/(1+B2)</f>
        <v>1277.81</v>
      </c>
      <c r="D3520" s="17" t="s">
        <v>11</v>
      </c>
      <c r="E3520" s="17"/>
      <c r="F3520" s="18"/>
      <c r="G3520" s="36" t="str">
        <f>IF(ISNUMBER(F3520),C3520*F3520,"")</f>
        <v/>
      </c>
    </row>
    <row r="3521" spans="1:7" s="1" customFormat="1" ht="12.95" customHeight="1" outlineLevel="2" x14ac:dyDescent="0.2">
      <c r="A3521" s="20"/>
      <c r="B3521" s="21" t="s">
        <v>6939</v>
      </c>
      <c r="C3521" s="22"/>
      <c r="D3521" s="22"/>
      <c r="E3521" s="22"/>
      <c r="F3521" s="22"/>
      <c r="G3521" s="37"/>
    </row>
    <row r="3522" spans="1:7" ht="12" customHeight="1" outlineLevel="3" x14ac:dyDescent="0.2">
      <c r="A3522" s="14" t="s">
        <v>6940</v>
      </c>
      <c r="B3522" s="15" t="s">
        <v>6941</v>
      </c>
      <c r="C3522" s="16">
        <f>450.89/(1+B2)</f>
        <v>450.89</v>
      </c>
      <c r="D3522" s="17" t="s">
        <v>11</v>
      </c>
      <c r="E3522" s="17"/>
      <c r="F3522" s="18"/>
      <c r="G3522" s="36" t="str">
        <f>IF(ISNUMBER(F3522),C3522*F3522,"")</f>
        <v/>
      </c>
    </row>
    <row r="3523" spans="1:7" ht="12" customHeight="1" outlineLevel="3" x14ac:dyDescent="0.2">
      <c r="A3523" s="14" t="s">
        <v>6942</v>
      </c>
      <c r="B3523" s="15" t="s">
        <v>6943</v>
      </c>
      <c r="C3523" s="16">
        <f>804.32/(1+B2)</f>
        <v>804.32</v>
      </c>
      <c r="D3523" s="17" t="s">
        <v>11</v>
      </c>
      <c r="E3523" s="17"/>
      <c r="F3523" s="18"/>
      <c r="G3523" s="36" t="str">
        <f>IF(ISNUMBER(F3523),C3523*F3523,"")</f>
        <v/>
      </c>
    </row>
    <row r="3524" spans="1:7" ht="12" customHeight="1" outlineLevel="3" x14ac:dyDescent="0.2">
      <c r="A3524" s="14" t="s">
        <v>6944</v>
      </c>
      <c r="B3524" s="15" t="s">
        <v>6945</v>
      </c>
      <c r="C3524" s="16">
        <f>788.88/(1+B2)</f>
        <v>788.88</v>
      </c>
      <c r="D3524" s="17" t="s">
        <v>11</v>
      </c>
      <c r="E3524" s="17"/>
      <c r="F3524" s="18"/>
      <c r="G3524" s="36" t="str">
        <f>IF(ISNUMBER(F3524),C3524*F3524,"")</f>
        <v/>
      </c>
    </row>
    <row r="3525" spans="1:7" ht="12" customHeight="1" outlineLevel="3" x14ac:dyDescent="0.2">
      <c r="A3525" s="14" t="s">
        <v>6946</v>
      </c>
      <c r="B3525" s="15" t="s">
        <v>6947</v>
      </c>
      <c r="C3525" s="16">
        <f>432.43/(1+B2)</f>
        <v>432.43</v>
      </c>
      <c r="D3525" s="17" t="s">
        <v>11</v>
      </c>
      <c r="E3525" s="17"/>
      <c r="F3525" s="18"/>
      <c r="G3525" s="36" t="str">
        <f>IF(ISNUMBER(F3525),C3525*F3525,"")</f>
        <v/>
      </c>
    </row>
    <row r="3526" spans="1:7" ht="12" customHeight="1" outlineLevel="3" x14ac:dyDescent="0.2">
      <c r="A3526" s="14" t="s">
        <v>6948</v>
      </c>
      <c r="B3526" s="15" t="s">
        <v>6949</v>
      </c>
      <c r="C3526" s="16">
        <f>734.06/(1+B2)</f>
        <v>734.06</v>
      </c>
      <c r="D3526" s="17" t="s">
        <v>11</v>
      </c>
      <c r="E3526" s="17"/>
      <c r="F3526" s="18"/>
      <c r="G3526" s="36" t="str">
        <f>IF(ISNUMBER(F3526),C3526*F3526,"")</f>
        <v/>
      </c>
    </row>
    <row r="3527" spans="1:7" ht="12" customHeight="1" outlineLevel="3" x14ac:dyDescent="0.2">
      <c r="A3527" s="14" t="s">
        <v>6950</v>
      </c>
      <c r="B3527" s="15" t="s">
        <v>6951</v>
      </c>
      <c r="C3527" s="16">
        <f>720.49/(1+B2)</f>
        <v>720.49</v>
      </c>
      <c r="D3527" s="17" t="s">
        <v>11</v>
      </c>
      <c r="E3527" s="17"/>
      <c r="F3527" s="18"/>
      <c r="G3527" s="36" t="str">
        <f>IF(ISNUMBER(F3527),C3527*F3527,"")</f>
        <v/>
      </c>
    </row>
    <row r="3528" spans="1:7" ht="12" customHeight="1" outlineLevel="3" x14ac:dyDescent="0.2">
      <c r="A3528" s="14" t="s">
        <v>6952</v>
      </c>
      <c r="B3528" s="15" t="s">
        <v>6953</v>
      </c>
      <c r="C3528" s="16">
        <f>672.96/(1+B2)</f>
        <v>672.96</v>
      </c>
      <c r="D3528" s="17" t="s">
        <v>11</v>
      </c>
      <c r="E3528" s="17"/>
      <c r="F3528" s="18"/>
      <c r="G3528" s="36" t="str">
        <f>IF(ISNUMBER(F3528),C3528*F3528,"")</f>
        <v/>
      </c>
    </row>
    <row r="3529" spans="1:7" ht="12" customHeight="1" outlineLevel="3" x14ac:dyDescent="0.2">
      <c r="A3529" s="14" t="s">
        <v>6954</v>
      </c>
      <c r="B3529" s="15" t="s">
        <v>6955</v>
      </c>
      <c r="C3529" s="16">
        <f>673.15/(1+B2)</f>
        <v>673.15</v>
      </c>
      <c r="D3529" s="17" t="s">
        <v>11</v>
      </c>
      <c r="E3529" s="17"/>
      <c r="F3529" s="18"/>
      <c r="G3529" s="36" t="str">
        <f>IF(ISNUMBER(F3529),C3529*F3529,"")</f>
        <v/>
      </c>
    </row>
    <row r="3530" spans="1:7" ht="12" customHeight="1" outlineLevel="3" x14ac:dyDescent="0.2">
      <c r="A3530" s="14" t="s">
        <v>6956</v>
      </c>
      <c r="B3530" s="15" t="s">
        <v>6957</v>
      </c>
      <c r="C3530" s="16">
        <f>608.56/(1+B2)</f>
        <v>608.55999999999995</v>
      </c>
      <c r="D3530" s="17" t="s">
        <v>11</v>
      </c>
      <c r="E3530" s="17"/>
      <c r="F3530" s="18"/>
      <c r="G3530" s="36" t="str">
        <f>IF(ISNUMBER(F3530),C3530*F3530,"")</f>
        <v/>
      </c>
    </row>
    <row r="3531" spans="1:7" ht="24" customHeight="1" outlineLevel="3" x14ac:dyDescent="0.2">
      <c r="A3531" s="14" t="s">
        <v>6958</v>
      </c>
      <c r="B3531" s="15" t="s">
        <v>6959</v>
      </c>
      <c r="C3531" s="16">
        <f>755.26/(1+B2)</f>
        <v>755.26</v>
      </c>
      <c r="D3531" s="17" t="s">
        <v>11</v>
      </c>
      <c r="E3531" s="17"/>
      <c r="F3531" s="18"/>
      <c r="G3531" s="36" t="str">
        <f>IF(ISNUMBER(F3531),C3531*F3531,"")</f>
        <v/>
      </c>
    </row>
    <row r="3532" spans="1:7" ht="12" customHeight="1" outlineLevel="3" x14ac:dyDescent="0.2">
      <c r="A3532" s="14" t="s">
        <v>6960</v>
      </c>
      <c r="B3532" s="15" t="s">
        <v>6961</v>
      </c>
      <c r="C3532" s="16">
        <f>766.63/(1+B2)</f>
        <v>766.63</v>
      </c>
      <c r="D3532" s="17" t="s">
        <v>11</v>
      </c>
      <c r="E3532" s="17"/>
      <c r="F3532" s="18"/>
      <c r="G3532" s="36" t="str">
        <f>IF(ISNUMBER(F3532),C3532*F3532,"")</f>
        <v/>
      </c>
    </row>
    <row r="3533" spans="1:7" ht="24" customHeight="1" outlineLevel="3" x14ac:dyDescent="0.2">
      <c r="A3533" s="14" t="s">
        <v>6962</v>
      </c>
      <c r="B3533" s="15" t="s">
        <v>6963</v>
      </c>
      <c r="C3533" s="16">
        <f>766.63/(1+B2)</f>
        <v>766.63</v>
      </c>
      <c r="D3533" s="17" t="s">
        <v>11</v>
      </c>
      <c r="E3533" s="17"/>
      <c r="F3533" s="18"/>
      <c r="G3533" s="36" t="str">
        <f>IF(ISNUMBER(F3533),C3533*F3533,"")</f>
        <v/>
      </c>
    </row>
    <row r="3534" spans="1:7" ht="12" customHeight="1" outlineLevel="3" x14ac:dyDescent="0.2">
      <c r="A3534" s="14" t="s">
        <v>6964</v>
      </c>
      <c r="B3534" s="15" t="s">
        <v>6965</v>
      </c>
      <c r="C3534" s="16">
        <f>673.15/(1+B2)</f>
        <v>673.15</v>
      </c>
      <c r="D3534" s="17" t="s">
        <v>11</v>
      </c>
      <c r="E3534" s="17"/>
      <c r="F3534" s="18"/>
      <c r="G3534" s="36" t="str">
        <f>IF(ISNUMBER(F3534),C3534*F3534,"")</f>
        <v/>
      </c>
    </row>
    <row r="3535" spans="1:7" ht="12" customHeight="1" outlineLevel="3" x14ac:dyDescent="0.2">
      <c r="A3535" s="14" t="s">
        <v>6966</v>
      </c>
      <c r="B3535" s="15" t="s">
        <v>6967</v>
      </c>
      <c r="C3535" s="16">
        <f>673.15/(1+B2)</f>
        <v>673.15</v>
      </c>
      <c r="D3535" s="17" t="s">
        <v>11</v>
      </c>
      <c r="E3535" s="17"/>
      <c r="F3535" s="18"/>
      <c r="G3535" s="36" t="str">
        <f>IF(ISNUMBER(F3535),C3535*F3535,"")</f>
        <v/>
      </c>
    </row>
    <row r="3536" spans="1:7" ht="12" customHeight="1" outlineLevel="3" x14ac:dyDescent="0.2">
      <c r="A3536" s="14" t="s">
        <v>6968</v>
      </c>
      <c r="B3536" s="15" t="s">
        <v>6969</v>
      </c>
      <c r="C3536" s="16">
        <f>754.28/(1+B2)</f>
        <v>754.28</v>
      </c>
      <c r="D3536" s="17" t="s">
        <v>11</v>
      </c>
      <c r="E3536" s="17"/>
      <c r="F3536" s="18"/>
      <c r="G3536" s="36" t="str">
        <f>IF(ISNUMBER(F3536),C3536*F3536,"")</f>
        <v/>
      </c>
    </row>
    <row r="3537" spans="1:7" s="1" customFormat="1" ht="15.95" customHeight="1" outlineLevel="1" x14ac:dyDescent="0.25">
      <c r="A3537" s="11"/>
      <c r="B3537" s="12" t="s">
        <v>6970</v>
      </c>
      <c r="C3537" s="13"/>
      <c r="D3537" s="13"/>
      <c r="E3537" s="13"/>
      <c r="F3537" s="13"/>
      <c r="G3537" s="35"/>
    </row>
    <row r="3538" spans="1:7" s="1" customFormat="1" ht="12.95" customHeight="1" outlineLevel="2" x14ac:dyDescent="0.2">
      <c r="A3538" s="20"/>
      <c r="B3538" s="21" t="s">
        <v>6971</v>
      </c>
      <c r="C3538" s="22"/>
      <c r="D3538" s="22"/>
      <c r="E3538" s="22"/>
      <c r="F3538" s="22"/>
      <c r="G3538" s="37"/>
    </row>
    <row r="3539" spans="1:7" ht="24" customHeight="1" outlineLevel="3" x14ac:dyDescent="0.2">
      <c r="A3539" s="14" t="s">
        <v>6972</v>
      </c>
      <c r="B3539" s="15" t="s">
        <v>6973</v>
      </c>
      <c r="C3539" s="16">
        <f>478.3/(1+B2)</f>
        <v>478.3</v>
      </c>
      <c r="D3539" s="17" t="s">
        <v>11</v>
      </c>
      <c r="E3539" s="17"/>
      <c r="F3539" s="18"/>
      <c r="G3539" s="36" t="str">
        <f>IF(ISNUMBER(F3539),C3539*F3539,"")</f>
        <v/>
      </c>
    </row>
    <row r="3540" spans="1:7" ht="24" customHeight="1" outlineLevel="3" x14ac:dyDescent="0.2">
      <c r="A3540" s="14" t="s">
        <v>6974</v>
      </c>
      <c r="B3540" s="15" t="s">
        <v>6975</v>
      </c>
      <c r="C3540" s="16">
        <f>639.84/(1+B2)</f>
        <v>639.84</v>
      </c>
      <c r="D3540" s="17" t="s">
        <v>11</v>
      </c>
      <c r="E3540" s="17"/>
      <c r="F3540" s="18"/>
      <c r="G3540" s="36" t="str">
        <f>IF(ISNUMBER(F3540),C3540*F3540,"")</f>
        <v/>
      </c>
    </row>
    <row r="3541" spans="1:7" ht="12" customHeight="1" outlineLevel="3" x14ac:dyDescent="0.2">
      <c r="A3541" s="14" t="s">
        <v>6976</v>
      </c>
      <c r="B3541" s="15" t="s">
        <v>6977</v>
      </c>
      <c r="C3541" s="16">
        <f>368.34/(1+B2)</f>
        <v>368.34</v>
      </c>
      <c r="D3541" s="17" t="s">
        <v>11</v>
      </c>
      <c r="E3541" s="17"/>
      <c r="F3541" s="18"/>
      <c r="G3541" s="36" t="str">
        <f>IF(ISNUMBER(F3541),C3541*F3541,"")</f>
        <v/>
      </c>
    </row>
    <row r="3542" spans="1:7" ht="24" customHeight="1" outlineLevel="3" x14ac:dyDescent="0.2">
      <c r="A3542" s="14" t="s">
        <v>6978</v>
      </c>
      <c r="B3542" s="15" t="s">
        <v>6979</v>
      </c>
      <c r="C3542" s="16">
        <f>442.07/(1+B2)</f>
        <v>442.07</v>
      </c>
      <c r="D3542" s="17" t="s">
        <v>11</v>
      </c>
      <c r="E3542" s="17"/>
      <c r="F3542" s="18"/>
      <c r="G3542" s="36" t="str">
        <f>IF(ISNUMBER(F3542),C3542*F3542,"")</f>
        <v/>
      </c>
    </row>
    <row r="3543" spans="1:7" ht="24" customHeight="1" outlineLevel="3" x14ac:dyDescent="0.2">
      <c r="A3543" s="14" t="s">
        <v>6980</v>
      </c>
      <c r="B3543" s="15" t="s">
        <v>6981</v>
      </c>
      <c r="C3543" s="16">
        <f>300.05/(1+B2)</f>
        <v>300.05</v>
      </c>
      <c r="D3543" s="17" t="s">
        <v>11</v>
      </c>
      <c r="E3543" s="17"/>
      <c r="F3543" s="18"/>
      <c r="G3543" s="36" t="str">
        <f>IF(ISNUMBER(F3543),C3543*F3543,"")</f>
        <v/>
      </c>
    </row>
    <row r="3544" spans="1:7" ht="24" customHeight="1" outlineLevel="3" x14ac:dyDescent="0.2">
      <c r="A3544" s="14" t="s">
        <v>6982</v>
      </c>
      <c r="B3544" s="15" t="s">
        <v>6983</v>
      </c>
      <c r="C3544" s="16">
        <f>366.56/(1+B2)</f>
        <v>366.56</v>
      </c>
      <c r="D3544" s="17" t="s">
        <v>11</v>
      </c>
      <c r="E3544" s="17" t="s">
        <v>11</v>
      </c>
      <c r="F3544" s="18"/>
      <c r="G3544" s="36" t="str">
        <f>IF(ISNUMBER(F3544),C3544*F3544,"")</f>
        <v/>
      </c>
    </row>
    <row r="3545" spans="1:7" ht="24" customHeight="1" outlineLevel="3" x14ac:dyDescent="0.2">
      <c r="A3545" s="14" t="s">
        <v>6984</v>
      </c>
      <c r="B3545" s="15" t="s">
        <v>6985</v>
      </c>
      <c r="C3545" s="16">
        <f>246.66/(1+B2)</f>
        <v>246.66</v>
      </c>
      <c r="D3545" s="17" t="s">
        <v>11</v>
      </c>
      <c r="E3545" s="17"/>
      <c r="F3545" s="18"/>
      <c r="G3545" s="36" t="str">
        <f>IF(ISNUMBER(F3545),C3545*F3545,"")</f>
        <v/>
      </c>
    </row>
    <row r="3546" spans="1:7" ht="24" customHeight="1" outlineLevel="3" x14ac:dyDescent="0.2">
      <c r="A3546" s="14" t="s">
        <v>6986</v>
      </c>
      <c r="B3546" s="15" t="s">
        <v>6987</v>
      </c>
      <c r="C3546" s="16">
        <f>236.38/(1+B2)</f>
        <v>236.38</v>
      </c>
      <c r="D3546" s="17" t="s">
        <v>11</v>
      </c>
      <c r="E3546" s="17"/>
      <c r="F3546" s="18"/>
      <c r="G3546" s="36" t="str">
        <f>IF(ISNUMBER(F3546),C3546*F3546,"")</f>
        <v/>
      </c>
    </row>
    <row r="3547" spans="1:7" ht="24" customHeight="1" outlineLevel="3" x14ac:dyDescent="0.2">
      <c r="A3547" s="14" t="s">
        <v>6988</v>
      </c>
      <c r="B3547" s="15" t="s">
        <v>6989</v>
      </c>
      <c r="C3547" s="16">
        <f>306.04/(1+B2)</f>
        <v>306.04000000000002</v>
      </c>
      <c r="D3547" s="17" t="s">
        <v>11</v>
      </c>
      <c r="E3547" s="17"/>
      <c r="F3547" s="18"/>
      <c r="G3547" s="36" t="str">
        <f>IF(ISNUMBER(F3547),C3547*F3547,"")</f>
        <v/>
      </c>
    </row>
    <row r="3548" spans="1:7" ht="24" customHeight="1" outlineLevel="3" x14ac:dyDescent="0.2">
      <c r="A3548" s="14" t="s">
        <v>6990</v>
      </c>
      <c r="B3548" s="15" t="s">
        <v>6991</v>
      </c>
      <c r="C3548" s="16">
        <f>311.28/(1+B2)</f>
        <v>311.27999999999997</v>
      </c>
      <c r="D3548" s="17" t="s">
        <v>11</v>
      </c>
      <c r="E3548" s="17"/>
      <c r="F3548" s="18"/>
      <c r="G3548" s="36" t="str">
        <f>IF(ISNUMBER(F3548),C3548*F3548,"")</f>
        <v/>
      </c>
    </row>
    <row r="3549" spans="1:7" ht="12" customHeight="1" outlineLevel="3" x14ac:dyDescent="0.2">
      <c r="A3549" s="14" t="s">
        <v>6992</v>
      </c>
      <c r="B3549" s="15" t="s">
        <v>6993</v>
      </c>
      <c r="C3549" s="16">
        <f>148.85/(1+B2)</f>
        <v>148.85</v>
      </c>
      <c r="D3549" s="17" t="s">
        <v>11</v>
      </c>
      <c r="E3549" s="17" t="s">
        <v>11</v>
      </c>
      <c r="F3549" s="18"/>
      <c r="G3549" s="36" t="str">
        <f>IF(ISNUMBER(F3549),C3549*F3549,"")</f>
        <v/>
      </c>
    </row>
    <row r="3550" spans="1:7" ht="24" customHeight="1" outlineLevel="3" x14ac:dyDescent="0.2">
      <c r="A3550" s="14" t="s">
        <v>6994</v>
      </c>
      <c r="B3550" s="15" t="s">
        <v>6995</v>
      </c>
      <c r="C3550" s="16">
        <f>172.34/(1+B2)</f>
        <v>172.34</v>
      </c>
      <c r="D3550" s="17" t="s">
        <v>11</v>
      </c>
      <c r="E3550" s="17" t="s">
        <v>11</v>
      </c>
      <c r="F3550" s="18"/>
      <c r="G3550" s="36" t="str">
        <f>IF(ISNUMBER(F3550),C3550*F3550,"")</f>
        <v/>
      </c>
    </row>
    <row r="3551" spans="1:7" ht="24" customHeight="1" outlineLevel="3" x14ac:dyDescent="0.2">
      <c r="A3551" s="14" t="s">
        <v>6996</v>
      </c>
      <c r="B3551" s="15" t="s">
        <v>6997</v>
      </c>
      <c r="C3551" s="16">
        <f>278.93/(1+B2)</f>
        <v>278.93</v>
      </c>
      <c r="D3551" s="17" t="s">
        <v>11</v>
      </c>
      <c r="E3551" s="17"/>
      <c r="F3551" s="18"/>
      <c r="G3551" s="36" t="str">
        <f>IF(ISNUMBER(F3551),C3551*F3551,"")</f>
        <v/>
      </c>
    </row>
    <row r="3552" spans="1:7" ht="24" customHeight="1" outlineLevel="3" x14ac:dyDescent="0.2">
      <c r="A3552" s="14" t="s">
        <v>6998</v>
      </c>
      <c r="B3552" s="15" t="s">
        <v>6999</v>
      </c>
      <c r="C3552" s="16">
        <f>240.4/(1+B2)</f>
        <v>240.4</v>
      </c>
      <c r="D3552" s="17" t="s">
        <v>11</v>
      </c>
      <c r="E3552" s="17" t="s">
        <v>11</v>
      </c>
      <c r="F3552" s="18"/>
      <c r="G3552" s="36" t="str">
        <f>IF(ISNUMBER(F3552),C3552*F3552,"")</f>
        <v/>
      </c>
    </row>
    <row r="3553" spans="1:7" ht="24" customHeight="1" outlineLevel="3" x14ac:dyDescent="0.2">
      <c r="A3553" s="14" t="s">
        <v>7000</v>
      </c>
      <c r="B3553" s="15" t="s">
        <v>7001</v>
      </c>
      <c r="C3553" s="16">
        <f>161.39/(1+B2)</f>
        <v>161.38999999999999</v>
      </c>
      <c r="D3553" s="17" t="s">
        <v>11</v>
      </c>
      <c r="E3553" s="17"/>
      <c r="F3553" s="18"/>
      <c r="G3553" s="36" t="str">
        <f>IF(ISNUMBER(F3553),C3553*F3553,"")</f>
        <v/>
      </c>
    </row>
    <row r="3554" spans="1:7" ht="12" customHeight="1" outlineLevel="3" x14ac:dyDescent="0.2">
      <c r="A3554" s="14" t="s">
        <v>7002</v>
      </c>
      <c r="B3554" s="15" t="s">
        <v>7003</v>
      </c>
      <c r="C3554" s="16">
        <f>58.17/(1+B2)</f>
        <v>58.17</v>
      </c>
      <c r="D3554" s="17" t="s">
        <v>11</v>
      </c>
      <c r="E3554" s="17"/>
      <c r="F3554" s="18"/>
      <c r="G3554" s="36" t="str">
        <f>IF(ISNUMBER(F3554),C3554*F3554,"")</f>
        <v/>
      </c>
    </row>
    <row r="3555" spans="1:7" ht="12" customHeight="1" outlineLevel="3" x14ac:dyDescent="0.2">
      <c r="A3555" s="14" t="s">
        <v>7004</v>
      </c>
      <c r="B3555" s="15" t="s">
        <v>7005</v>
      </c>
      <c r="C3555" s="16">
        <f>142.79/(1+B2)</f>
        <v>142.79</v>
      </c>
      <c r="D3555" s="17" t="s">
        <v>11</v>
      </c>
      <c r="E3555" s="17"/>
      <c r="F3555" s="18"/>
      <c r="G3555" s="36" t="str">
        <f>IF(ISNUMBER(F3555),C3555*F3555,"")</f>
        <v/>
      </c>
    </row>
    <row r="3556" spans="1:7" ht="12" customHeight="1" outlineLevel="3" x14ac:dyDescent="0.2">
      <c r="A3556" s="14" t="s">
        <v>7006</v>
      </c>
      <c r="B3556" s="15" t="s">
        <v>7007</v>
      </c>
      <c r="C3556" s="16">
        <f>30.98/(1+B2)</f>
        <v>30.98</v>
      </c>
      <c r="D3556" s="17" t="s">
        <v>53</v>
      </c>
      <c r="E3556" s="17"/>
      <c r="F3556" s="18"/>
      <c r="G3556" s="36" t="str">
        <f>IF(ISNUMBER(F3556),C3556*F3556,"")</f>
        <v/>
      </c>
    </row>
    <row r="3557" spans="1:7" ht="12" customHeight="1" outlineLevel="3" x14ac:dyDescent="0.2">
      <c r="A3557" s="14" t="s">
        <v>7008</v>
      </c>
      <c r="B3557" s="15" t="s">
        <v>7009</v>
      </c>
      <c r="C3557" s="16">
        <f>82.56/(1+B2)</f>
        <v>82.56</v>
      </c>
      <c r="D3557" s="17" t="s">
        <v>11</v>
      </c>
      <c r="E3557" s="17"/>
      <c r="F3557" s="18"/>
      <c r="G3557" s="36" t="str">
        <f>IF(ISNUMBER(F3557),C3557*F3557,"")</f>
        <v/>
      </c>
    </row>
    <row r="3558" spans="1:7" ht="12" customHeight="1" outlineLevel="3" x14ac:dyDescent="0.2">
      <c r="A3558" s="14" t="s">
        <v>7010</v>
      </c>
      <c r="B3558" s="15" t="s">
        <v>7011</v>
      </c>
      <c r="C3558" s="16">
        <f>36.35/(1+B2)</f>
        <v>36.35</v>
      </c>
      <c r="D3558" s="17" t="s">
        <v>11</v>
      </c>
      <c r="E3558" s="17"/>
      <c r="F3558" s="18"/>
      <c r="G3558" s="36" t="str">
        <f>IF(ISNUMBER(F3558),C3558*F3558,"")</f>
        <v/>
      </c>
    </row>
    <row r="3559" spans="1:7" ht="12" customHeight="1" outlineLevel="3" x14ac:dyDescent="0.2">
      <c r="A3559" s="14" t="s">
        <v>7012</v>
      </c>
      <c r="B3559" s="15" t="s">
        <v>7013</v>
      </c>
      <c r="C3559" s="16">
        <f>50.66/(1+B2)</f>
        <v>50.66</v>
      </c>
      <c r="D3559" s="17" t="s">
        <v>11</v>
      </c>
      <c r="E3559" s="17"/>
      <c r="F3559" s="18"/>
      <c r="G3559" s="36" t="str">
        <f>IF(ISNUMBER(F3559),C3559*F3559,"")</f>
        <v/>
      </c>
    </row>
    <row r="3560" spans="1:7" ht="12" customHeight="1" outlineLevel="3" x14ac:dyDescent="0.2">
      <c r="A3560" s="14" t="s">
        <v>7014</v>
      </c>
      <c r="B3560" s="15" t="s">
        <v>7015</v>
      </c>
      <c r="C3560" s="16">
        <f>141.31/(1+B2)</f>
        <v>141.31</v>
      </c>
      <c r="D3560" s="17" t="s">
        <v>11</v>
      </c>
      <c r="E3560" s="17"/>
      <c r="F3560" s="18"/>
      <c r="G3560" s="36" t="str">
        <f>IF(ISNUMBER(F3560),C3560*F3560,"")</f>
        <v/>
      </c>
    </row>
    <row r="3561" spans="1:7" ht="12" customHeight="1" outlineLevel="3" x14ac:dyDescent="0.2">
      <c r="A3561" s="14" t="s">
        <v>7016</v>
      </c>
      <c r="B3561" s="15" t="s">
        <v>7017</v>
      </c>
      <c r="C3561" s="16">
        <f>45.85/(1+B2)</f>
        <v>45.85</v>
      </c>
      <c r="D3561" s="17" t="s">
        <v>11</v>
      </c>
      <c r="E3561" s="17" t="s">
        <v>11</v>
      </c>
      <c r="F3561" s="18"/>
      <c r="G3561" s="36" t="str">
        <f>IF(ISNUMBER(F3561),C3561*F3561,"")</f>
        <v/>
      </c>
    </row>
    <row r="3562" spans="1:7" ht="12" customHeight="1" outlineLevel="3" x14ac:dyDescent="0.2">
      <c r="A3562" s="14" t="s">
        <v>7018</v>
      </c>
      <c r="B3562" s="15" t="s">
        <v>7019</v>
      </c>
      <c r="C3562" s="16">
        <f>68.38/(1+B2)</f>
        <v>68.38</v>
      </c>
      <c r="D3562" s="17" t="s">
        <v>11</v>
      </c>
      <c r="E3562" s="17" t="s">
        <v>11</v>
      </c>
      <c r="F3562" s="18"/>
      <c r="G3562" s="36" t="str">
        <f>IF(ISNUMBER(F3562),C3562*F3562,"")</f>
        <v/>
      </c>
    </row>
    <row r="3563" spans="1:7" ht="12" customHeight="1" outlineLevel="3" x14ac:dyDescent="0.2">
      <c r="A3563" s="14" t="s">
        <v>7020</v>
      </c>
      <c r="B3563" s="15" t="s">
        <v>7021</v>
      </c>
      <c r="C3563" s="16">
        <f>141.31/(1+B2)</f>
        <v>141.31</v>
      </c>
      <c r="D3563" s="17" t="s">
        <v>11</v>
      </c>
      <c r="E3563" s="17"/>
      <c r="F3563" s="18"/>
      <c r="G3563" s="36" t="str">
        <f>IF(ISNUMBER(F3563),C3563*F3563,"")</f>
        <v/>
      </c>
    </row>
    <row r="3564" spans="1:7" ht="12" customHeight="1" outlineLevel="3" x14ac:dyDescent="0.2">
      <c r="A3564" s="14" t="s">
        <v>7022</v>
      </c>
      <c r="B3564" s="15" t="s">
        <v>7023</v>
      </c>
      <c r="C3564" s="16">
        <f>332.34/(1+B2)</f>
        <v>332.34</v>
      </c>
      <c r="D3564" s="17" t="s">
        <v>11</v>
      </c>
      <c r="E3564" s="17"/>
      <c r="F3564" s="18"/>
      <c r="G3564" s="36" t="str">
        <f>IF(ISNUMBER(F3564),C3564*F3564,"")</f>
        <v/>
      </c>
    </row>
    <row r="3565" spans="1:7" ht="24" customHeight="1" outlineLevel="3" x14ac:dyDescent="0.2">
      <c r="A3565" s="14" t="s">
        <v>7024</v>
      </c>
      <c r="B3565" s="15" t="s">
        <v>7025</v>
      </c>
      <c r="C3565" s="16">
        <f>439.02/(1+B2)</f>
        <v>439.02</v>
      </c>
      <c r="D3565" s="17" t="s">
        <v>11</v>
      </c>
      <c r="E3565" s="17"/>
      <c r="F3565" s="18"/>
      <c r="G3565" s="36" t="str">
        <f>IF(ISNUMBER(F3565),C3565*F3565,"")</f>
        <v/>
      </c>
    </row>
    <row r="3566" spans="1:7" ht="24" customHeight="1" outlineLevel="3" x14ac:dyDescent="0.2">
      <c r="A3566" s="14" t="s">
        <v>7026</v>
      </c>
      <c r="B3566" s="15" t="s">
        <v>7027</v>
      </c>
      <c r="C3566" s="16">
        <f>250.08/(1+B2)</f>
        <v>250.08</v>
      </c>
      <c r="D3566" s="17" t="s">
        <v>11</v>
      </c>
      <c r="E3566" s="17" t="s">
        <v>11</v>
      </c>
      <c r="F3566" s="18"/>
      <c r="G3566" s="36" t="str">
        <f>IF(ISNUMBER(F3566),C3566*F3566,"")</f>
        <v/>
      </c>
    </row>
    <row r="3567" spans="1:7" ht="24" customHeight="1" outlineLevel="3" x14ac:dyDescent="0.2">
      <c r="A3567" s="14" t="s">
        <v>7028</v>
      </c>
      <c r="B3567" s="15" t="s">
        <v>7029</v>
      </c>
      <c r="C3567" s="16">
        <f>469.96/(1+B2)</f>
        <v>469.96</v>
      </c>
      <c r="D3567" s="17" t="s">
        <v>11</v>
      </c>
      <c r="E3567" s="17"/>
      <c r="F3567" s="18"/>
      <c r="G3567" s="36" t="str">
        <f>IF(ISNUMBER(F3567),C3567*F3567,"")</f>
        <v/>
      </c>
    </row>
    <row r="3568" spans="1:7" ht="24" customHeight="1" outlineLevel="3" x14ac:dyDescent="0.2">
      <c r="A3568" s="14" t="s">
        <v>7030</v>
      </c>
      <c r="B3568" s="15" t="s">
        <v>7031</v>
      </c>
      <c r="C3568" s="16">
        <f>492.68/(1+B2)</f>
        <v>492.68</v>
      </c>
      <c r="D3568" s="17" t="s">
        <v>11</v>
      </c>
      <c r="E3568" s="17"/>
      <c r="F3568" s="18"/>
      <c r="G3568" s="36" t="str">
        <f>IF(ISNUMBER(F3568),C3568*F3568,"")</f>
        <v/>
      </c>
    </row>
    <row r="3569" spans="1:7" ht="24" customHeight="1" outlineLevel="3" x14ac:dyDescent="0.2">
      <c r="A3569" s="14" t="s">
        <v>7032</v>
      </c>
      <c r="B3569" s="15" t="s">
        <v>7033</v>
      </c>
      <c r="C3569" s="16">
        <f>618.65/(1+B2)</f>
        <v>618.65</v>
      </c>
      <c r="D3569" s="17" t="s">
        <v>11</v>
      </c>
      <c r="E3569" s="17"/>
      <c r="F3569" s="18"/>
      <c r="G3569" s="36" t="str">
        <f>IF(ISNUMBER(F3569),C3569*F3569,"")</f>
        <v/>
      </c>
    </row>
    <row r="3570" spans="1:7" ht="24" customHeight="1" outlineLevel="3" x14ac:dyDescent="0.2">
      <c r="A3570" s="14" t="s">
        <v>7034</v>
      </c>
      <c r="B3570" s="15" t="s">
        <v>7035</v>
      </c>
      <c r="C3570" s="16">
        <f>343.17/(1+B2)</f>
        <v>343.17</v>
      </c>
      <c r="D3570" s="17" t="s">
        <v>11</v>
      </c>
      <c r="E3570" s="17"/>
      <c r="F3570" s="18"/>
      <c r="G3570" s="36" t="str">
        <f>IF(ISNUMBER(F3570),C3570*F3570,"")</f>
        <v/>
      </c>
    </row>
    <row r="3571" spans="1:7" ht="24" customHeight="1" outlineLevel="3" x14ac:dyDescent="0.2">
      <c r="A3571" s="14" t="s">
        <v>7036</v>
      </c>
      <c r="B3571" s="15" t="s">
        <v>7037</v>
      </c>
      <c r="C3571" s="16">
        <f>566.05/(1+B2)</f>
        <v>566.04999999999995</v>
      </c>
      <c r="D3571" s="17" t="s">
        <v>11</v>
      </c>
      <c r="E3571" s="17"/>
      <c r="F3571" s="18"/>
      <c r="G3571" s="36" t="str">
        <f>IF(ISNUMBER(F3571),C3571*F3571,"")</f>
        <v/>
      </c>
    </row>
    <row r="3572" spans="1:7" ht="24" customHeight="1" outlineLevel="3" x14ac:dyDescent="0.2">
      <c r="A3572" s="14" t="s">
        <v>7038</v>
      </c>
      <c r="B3572" s="15" t="s">
        <v>7039</v>
      </c>
      <c r="C3572" s="16">
        <f>524.22/(1+B2)</f>
        <v>524.22</v>
      </c>
      <c r="D3572" s="17" t="s">
        <v>11</v>
      </c>
      <c r="E3572" s="17"/>
      <c r="F3572" s="18"/>
      <c r="G3572" s="36" t="str">
        <f>IF(ISNUMBER(F3572),C3572*F3572,"")</f>
        <v/>
      </c>
    </row>
    <row r="3573" spans="1:7" ht="12" customHeight="1" outlineLevel="3" x14ac:dyDescent="0.2">
      <c r="A3573" s="14" t="s">
        <v>7040</v>
      </c>
      <c r="B3573" s="15" t="s">
        <v>7041</v>
      </c>
      <c r="C3573" s="16">
        <f>336.08/(1+B2)</f>
        <v>336.08</v>
      </c>
      <c r="D3573" s="17" t="s">
        <v>11</v>
      </c>
      <c r="E3573" s="17"/>
      <c r="F3573" s="18"/>
      <c r="G3573" s="36" t="str">
        <f>IF(ISNUMBER(F3573),C3573*F3573,"")</f>
        <v/>
      </c>
    </row>
    <row r="3574" spans="1:7" ht="12" customHeight="1" outlineLevel="3" x14ac:dyDescent="0.2">
      <c r="A3574" s="14" t="s">
        <v>7042</v>
      </c>
      <c r="B3574" s="15" t="s">
        <v>7043</v>
      </c>
      <c r="C3574" s="16">
        <f>349.66/(1+B2)</f>
        <v>349.66</v>
      </c>
      <c r="D3574" s="17" t="s">
        <v>11</v>
      </c>
      <c r="E3574" s="17"/>
      <c r="F3574" s="18"/>
      <c r="G3574" s="36" t="str">
        <f>IF(ISNUMBER(F3574),C3574*F3574,"")</f>
        <v/>
      </c>
    </row>
    <row r="3575" spans="1:7" s="1" customFormat="1" ht="12.95" customHeight="1" outlineLevel="2" x14ac:dyDescent="0.2">
      <c r="A3575" s="20"/>
      <c r="B3575" s="21" t="s">
        <v>7044</v>
      </c>
      <c r="C3575" s="22"/>
      <c r="D3575" s="22"/>
      <c r="E3575" s="22"/>
      <c r="F3575" s="22"/>
      <c r="G3575" s="37"/>
    </row>
    <row r="3576" spans="1:7" ht="12" customHeight="1" outlineLevel="3" x14ac:dyDescent="0.2">
      <c r="A3576" s="14" t="s">
        <v>7045</v>
      </c>
      <c r="B3576" s="15" t="s">
        <v>7046</v>
      </c>
      <c r="C3576" s="16">
        <f>42.84/(1+B2)</f>
        <v>42.84</v>
      </c>
      <c r="D3576" s="17" t="s">
        <v>14</v>
      </c>
      <c r="E3576" s="17"/>
      <c r="F3576" s="18"/>
      <c r="G3576" s="36" t="str">
        <f>IF(ISNUMBER(F3576),C3576*F3576,"")</f>
        <v/>
      </c>
    </row>
    <row r="3577" spans="1:7" ht="12" customHeight="1" outlineLevel="3" x14ac:dyDescent="0.2">
      <c r="A3577" s="14" t="s">
        <v>7047</v>
      </c>
      <c r="B3577" s="15" t="s">
        <v>7048</v>
      </c>
      <c r="C3577" s="19">
        <f>1254.2/(1+B2)</f>
        <v>1254.2</v>
      </c>
      <c r="D3577" s="17" t="s">
        <v>11</v>
      </c>
      <c r="E3577" s="17"/>
      <c r="F3577" s="18"/>
      <c r="G3577" s="36" t="str">
        <f>IF(ISNUMBER(F3577),C3577*F3577,"")</f>
        <v/>
      </c>
    </row>
    <row r="3578" spans="1:7" ht="12" customHeight="1" outlineLevel="3" x14ac:dyDescent="0.2">
      <c r="A3578" s="14" t="s">
        <v>7049</v>
      </c>
      <c r="B3578" s="15" t="s">
        <v>7050</v>
      </c>
      <c r="C3578" s="16">
        <f>63.51/(1+B2)</f>
        <v>63.51</v>
      </c>
      <c r="D3578" s="17" t="s">
        <v>11</v>
      </c>
      <c r="E3578" s="17"/>
      <c r="F3578" s="18"/>
      <c r="G3578" s="36" t="str">
        <f>IF(ISNUMBER(F3578),C3578*F3578,"")</f>
        <v/>
      </c>
    </row>
    <row r="3579" spans="1:7" ht="12" customHeight="1" outlineLevel="3" x14ac:dyDescent="0.2">
      <c r="A3579" s="14" t="s">
        <v>7051</v>
      </c>
      <c r="B3579" s="15" t="s">
        <v>7052</v>
      </c>
      <c r="C3579" s="16">
        <f>42.24/(1+B2)</f>
        <v>42.24</v>
      </c>
      <c r="D3579" s="17" t="s">
        <v>11</v>
      </c>
      <c r="E3579" s="17"/>
      <c r="F3579" s="18"/>
      <c r="G3579" s="36" t="str">
        <f>IF(ISNUMBER(F3579),C3579*F3579,"")</f>
        <v/>
      </c>
    </row>
    <row r="3580" spans="1:7" ht="12" customHeight="1" outlineLevel="3" x14ac:dyDescent="0.2">
      <c r="A3580" s="14" t="s">
        <v>7053</v>
      </c>
      <c r="B3580" s="15" t="s">
        <v>7054</v>
      </c>
      <c r="C3580" s="16">
        <f>56.14/(1+B2)</f>
        <v>56.14</v>
      </c>
      <c r="D3580" s="17" t="s">
        <v>11</v>
      </c>
      <c r="E3580" s="17"/>
      <c r="F3580" s="18"/>
      <c r="G3580" s="36" t="str">
        <f>IF(ISNUMBER(F3580),C3580*F3580,"")</f>
        <v/>
      </c>
    </row>
    <row r="3581" spans="1:7" ht="12" customHeight="1" outlineLevel="3" x14ac:dyDescent="0.2">
      <c r="A3581" s="14" t="s">
        <v>7055</v>
      </c>
      <c r="B3581" s="15" t="s">
        <v>7056</v>
      </c>
      <c r="C3581" s="16">
        <f>21.77/(1+B2)</f>
        <v>21.77</v>
      </c>
      <c r="D3581" s="17" t="s">
        <v>11</v>
      </c>
      <c r="E3581" s="17" t="s">
        <v>14</v>
      </c>
      <c r="F3581" s="18"/>
      <c r="G3581" s="36" t="str">
        <f>IF(ISNUMBER(F3581),C3581*F3581,"")</f>
        <v/>
      </c>
    </row>
    <row r="3582" spans="1:7" ht="12" customHeight="1" outlineLevel="3" x14ac:dyDescent="0.2">
      <c r="A3582" s="14" t="s">
        <v>7057</v>
      </c>
      <c r="B3582" s="15" t="s">
        <v>7058</v>
      </c>
      <c r="C3582" s="16">
        <f>37.48/(1+B2)</f>
        <v>37.479999999999997</v>
      </c>
      <c r="D3582" s="17" t="s">
        <v>14</v>
      </c>
      <c r="E3582" s="17"/>
      <c r="F3582" s="18"/>
      <c r="G3582" s="36" t="str">
        <f>IF(ISNUMBER(F3582),C3582*F3582,"")</f>
        <v/>
      </c>
    </row>
    <row r="3583" spans="1:7" ht="12" customHeight="1" outlineLevel="3" x14ac:dyDescent="0.2">
      <c r="A3583" s="14" t="s">
        <v>7059</v>
      </c>
      <c r="B3583" s="15" t="s">
        <v>7060</v>
      </c>
      <c r="C3583" s="16">
        <f>29.54/(1+B2)</f>
        <v>29.54</v>
      </c>
      <c r="D3583" s="17" t="s">
        <v>11</v>
      </c>
      <c r="E3583" s="17" t="s">
        <v>14</v>
      </c>
      <c r="F3583" s="18"/>
      <c r="G3583" s="36" t="str">
        <f>IF(ISNUMBER(F3583),C3583*F3583,"")</f>
        <v/>
      </c>
    </row>
    <row r="3584" spans="1:7" ht="12" customHeight="1" outlineLevel="3" x14ac:dyDescent="0.2">
      <c r="A3584" s="14" t="s">
        <v>7061</v>
      </c>
      <c r="B3584" s="15" t="s">
        <v>7062</v>
      </c>
      <c r="C3584" s="16">
        <f>22.99/(1+B2)</f>
        <v>22.99</v>
      </c>
      <c r="D3584" s="17" t="s">
        <v>53</v>
      </c>
      <c r="E3584" s="17" t="s">
        <v>106</v>
      </c>
      <c r="F3584" s="18"/>
      <c r="G3584" s="36" t="str">
        <f>IF(ISNUMBER(F3584),C3584*F3584,"")</f>
        <v/>
      </c>
    </row>
    <row r="3585" spans="1:7" ht="12" customHeight="1" outlineLevel="3" x14ac:dyDescent="0.2">
      <c r="A3585" s="14" t="s">
        <v>7063</v>
      </c>
      <c r="B3585" s="15" t="s">
        <v>7064</v>
      </c>
      <c r="C3585" s="16">
        <f>14.4/(1+B2)</f>
        <v>14.4</v>
      </c>
      <c r="D3585" s="17" t="s">
        <v>11</v>
      </c>
      <c r="E3585" s="17"/>
      <c r="F3585" s="18"/>
      <c r="G3585" s="36" t="str">
        <f>IF(ISNUMBER(F3585),C3585*F3585,"")</f>
        <v/>
      </c>
    </row>
    <row r="3586" spans="1:7" ht="12" customHeight="1" outlineLevel="3" x14ac:dyDescent="0.2">
      <c r="A3586" s="14" t="s">
        <v>7065</v>
      </c>
      <c r="B3586" s="15" t="s">
        <v>7066</v>
      </c>
      <c r="C3586" s="16">
        <f>109/(1+B2)</f>
        <v>109</v>
      </c>
      <c r="D3586" s="17" t="s">
        <v>11</v>
      </c>
      <c r="E3586" s="17" t="s">
        <v>11</v>
      </c>
      <c r="F3586" s="18"/>
      <c r="G3586" s="36" t="str">
        <f>IF(ISNUMBER(F3586),C3586*F3586,"")</f>
        <v/>
      </c>
    </row>
    <row r="3587" spans="1:7" ht="12" customHeight="1" outlineLevel="3" x14ac:dyDescent="0.2">
      <c r="A3587" s="14" t="s">
        <v>7067</v>
      </c>
      <c r="B3587" s="15" t="s">
        <v>7068</v>
      </c>
      <c r="C3587" s="16">
        <f>109/(1+B2)</f>
        <v>109</v>
      </c>
      <c r="D3587" s="17" t="s">
        <v>11</v>
      </c>
      <c r="E3587" s="17" t="s">
        <v>11</v>
      </c>
      <c r="F3587" s="18"/>
      <c r="G3587" s="36" t="str">
        <f>IF(ISNUMBER(F3587),C3587*F3587,"")</f>
        <v/>
      </c>
    </row>
    <row r="3588" spans="1:7" ht="12" customHeight="1" outlineLevel="3" x14ac:dyDescent="0.2">
      <c r="A3588" s="14" t="s">
        <v>7069</v>
      </c>
      <c r="B3588" s="15" t="s">
        <v>7070</v>
      </c>
      <c r="C3588" s="16">
        <f>109/(1+B2)</f>
        <v>109</v>
      </c>
      <c r="D3588" s="17" t="s">
        <v>11</v>
      </c>
      <c r="E3588" s="17" t="s">
        <v>11</v>
      </c>
      <c r="F3588" s="18"/>
      <c r="G3588" s="36" t="str">
        <f>IF(ISNUMBER(F3588),C3588*F3588,"")</f>
        <v/>
      </c>
    </row>
    <row r="3589" spans="1:7" ht="12" customHeight="1" outlineLevel="3" x14ac:dyDescent="0.2">
      <c r="A3589" s="14" t="s">
        <v>7071</v>
      </c>
      <c r="B3589" s="15" t="s">
        <v>7072</v>
      </c>
      <c r="C3589" s="16">
        <f>109/(1+B2)</f>
        <v>109</v>
      </c>
      <c r="D3589" s="17" t="s">
        <v>11</v>
      </c>
      <c r="E3589" s="17" t="s">
        <v>11</v>
      </c>
      <c r="F3589" s="18"/>
      <c r="G3589" s="36" t="str">
        <f>IF(ISNUMBER(F3589),C3589*F3589,"")</f>
        <v/>
      </c>
    </row>
    <row r="3590" spans="1:7" ht="12" customHeight="1" outlineLevel="3" x14ac:dyDescent="0.2">
      <c r="A3590" s="14" t="s">
        <v>7073</v>
      </c>
      <c r="B3590" s="15" t="s">
        <v>7074</v>
      </c>
      <c r="C3590" s="16">
        <f>109/(1+B2)</f>
        <v>109</v>
      </c>
      <c r="D3590" s="17" t="s">
        <v>11</v>
      </c>
      <c r="E3590" s="17" t="s">
        <v>11</v>
      </c>
      <c r="F3590" s="18"/>
      <c r="G3590" s="36" t="str">
        <f>IF(ISNUMBER(F3590),C3590*F3590,"")</f>
        <v/>
      </c>
    </row>
    <row r="3591" spans="1:7" ht="12" customHeight="1" outlineLevel="3" x14ac:dyDescent="0.2">
      <c r="A3591" s="14" t="s">
        <v>7075</v>
      </c>
      <c r="B3591" s="15" t="s">
        <v>7076</v>
      </c>
      <c r="C3591" s="16">
        <f>109/(1+B2)</f>
        <v>109</v>
      </c>
      <c r="D3591" s="17" t="s">
        <v>11</v>
      </c>
      <c r="E3591" s="17" t="s">
        <v>11</v>
      </c>
      <c r="F3591" s="18"/>
      <c r="G3591" s="36" t="str">
        <f>IF(ISNUMBER(F3591),C3591*F3591,"")</f>
        <v/>
      </c>
    </row>
    <row r="3592" spans="1:7" ht="12" customHeight="1" outlineLevel="3" x14ac:dyDescent="0.2">
      <c r="A3592" s="14" t="s">
        <v>7077</v>
      </c>
      <c r="B3592" s="15" t="s">
        <v>7078</v>
      </c>
      <c r="C3592" s="16">
        <f>139.01/(1+B2)</f>
        <v>139.01</v>
      </c>
      <c r="D3592" s="17" t="s">
        <v>11</v>
      </c>
      <c r="E3592" s="17"/>
      <c r="F3592" s="18"/>
      <c r="G3592" s="36" t="str">
        <f>IF(ISNUMBER(F3592),C3592*F3592,"")</f>
        <v/>
      </c>
    </row>
    <row r="3593" spans="1:7" ht="12" customHeight="1" outlineLevel="3" x14ac:dyDescent="0.2">
      <c r="A3593" s="14" t="s">
        <v>7079</v>
      </c>
      <c r="B3593" s="15" t="s">
        <v>7080</v>
      </c>
      <c r="C3593" s="16">
        <f>139.01/(1+B2)</f>
        <v>139.01</v>
      </c>
      <c r="D3593" s="17" t="s">
        <v>11</v>
      </c>
      <c r="E3593" s="17"/>
      <c r="F3593" s="18"/>
      <c r="G3593" s="36" t="str">
        <f>IF(ISNUMBER(F3593),C3593*F3593,"")</f>
        <v/>
      </c>
    </row>
    <row r="3594" spans="1:7" ht="12" customHeight="1" outlineLevel="3" x14ac:dyDescent="0.2">
      <c r="A3594" s="14" t="s">
        <v>7081</v>
      </c>
      <c r="B3594" s="15" t="s">
        <v>7082</v>
      </c>
      <c r="C3594" s="16">
        <f>23.17/(1+B2)</f>
        <v>23.17</v>
      </c>
      <c r="D3594" s="17" t="s">
        <v>14</v>
      </c>
      <c r="E3594" s="17" t="s">
        <v>53</v>
      </c>
      <c r="F3594" s="18"/>
      <c r="G3594" s="36" t="str">
        <f>IF(ISNUMBER(F3594),C3594*F3594,"")</f>
        <v/>
      </c>
    </row>
    <row r="3595" spans="1:7" ht="12" customHeight="1" outlineLevel="3" x14ac:dyDescent="0.2">
      <c r="A3595" s="14" t="s">
        <v>7083</v>
      </c>
      <c r="B3595" s="15" t="s">
        <v>7084</v>
      </c>
      <c r="C3595" s="16">
        <f>40.39/(1+B2)</f>
        <v>40.39</v>
      </c>
      <c r="D3595" s="17" t="s">
        <v>14</v>
      </c>
      <c r="E3595" s="17"/>
      <c r="F3595" s="18"/>
      <c r="G3595" s="36" t="str">
        <f>IF(ISNUMBER(F3595),C3595*F3595,"")</f>
        <v/>
      </c>
    </row>
    <row r="3596" spans="1:7" ht="12" customHeight="1" outlineLevel="3" x14ac:dyDescent="0.2">
      <c r="A3596" s="14" t="s">
        <v>7085</v>
      </c>
      <c r="B3596" s="15" t="s">
        <v>7086</v>
      </c>
      <c r="C3596" s="16">
        <f>20.5/(1+B2)</f>
        <v>20.5</v>
      </c>
      <c r="D3596" s="17" t="s">
        <v>11</v>
      </c>
      <c r="E3596" s="17"/>
      <c r="F3596" s="18"/>
      <c r="G3596" s="36" t="str">
        <f>IF(ISNUMBER(F3596),C3596*F3596,"")</f>
        <v/>
      </c>
    </row>
    <row r="3597" spans="1:7" ht="12" customHeight="1" outlineLevel="3" x14ac:dyDescent="0.2">
      <c r="A3597" s="14" t="s">
        <v>7087</v>
      </c>
      <c r="B3597" s="15" t="s">
        <v>7088</v>
      </c>
      <c r="C3597" s="16">
        <f>19.08/(1+B2)</f>
        <v>19.079999999999998</v>
      </c>
      <c r="D3597" s="17" t="s">
        <v>11</v>
      </c>
      <c r="E3597" s="17"/>
      <c r="F3597" s="18"/>
      <c r="G3597" s="36" t="str">
        <f>IF(ISNUMBER(F3597),C3597*F3597,"")</f>
        <v/>
      </c>
    </row>
    <row r="3598" spans="1:7" ht="12" customHeight="1" outlineLevel="3" x14ac:dyDescent="0.2">
      <c r="A3598" s="14" t="s">
        <v>7089</v>
      </c>
      <c r="B3598" s="15" t="s">
        <v>7090</v>
      </c>
      <c r="C3598" s="16">
        <f>15.31/(1+B2)</f>
        <v>15.31</v>
      </c>
      <c r="D3598" s="17" t="s">
        <v>11</v>
      </c>
      <c r="E3598" s="17"/>
      <c r="F3598" s="18"/>
      <c r="G3598" s="36" t="str">
        <f>IF(ISNUMBER(F3598),C3598*F3598,"")</f>
        <v/>
      </c>
    </row>
    <row r="3599" spans="1:7" ht="12" customHeight="1" outlineLevel="3" x14ac:dyDescent="0.2">
      <c r="A3599" s="14" t="s">
        <v>7091</v>
      </c>
      <c r="B3599" s="15" t="s">
        <v>7092</v>
      </c>
      <c r="C3599" s="16">
        <f>21.88/(1+B2)</f>
        <v>21.88</v>
      </c>
      <c r="D3599" s="17" t="s">
        <v>14</v>
      </c>
      <c r="E3599" s="17"/>
      <c r="F3599" s="18"/>
      <c r="G3599" s="36" t="str">
        <f>IF(ISNUMBER(F3599),C3599*F3599,"")</f>
        <v/>
      </c>
    </row>
    <row r="3600" spans="1:7" ht="12" customHeight="1" outlineLevel="3" x14ac:dyDescent="0.2">
      <c r="A3600" s="14" t="s">
        <v>7093</v>
      </c>
      <c r="B3600" s="15" t="s">
        <v>7094</v>
      </c>
      <c r="C3600" s="16">
        <f>26.17/(1+B2)</f>
        <v>26.17</v>
      </c>
      <c r="D3600" s="17" t="s">
        <v>11</v>
      </c>
      <c r="E3600" s="17"/>
      <c r="F3600" s="18"/>
      <c r="G3600" s="36" t="str">
        <f>IF(ISNUMBER(F3600),C3600*F3600,"")</f>
        <v/>
      </c>
    </row>
    <row r="3601" spans="1:7" ht="12" customHeight="1" outlineLevel="3" x14ac:dyDescent="0.2">
      <c r="A3601" s="14" t="s">
        <v>7095</v>
      </c>
      <c r="B3601" s="15" t="s">
        <v>7096</v>
      </c>
      <c r="C3601" s="16">
        <f>25.55/(1+B2)</f>
        <v>25.55</v>
      </c>
      <c r="D3601" s="17" t="s">
        <v>11</v>
      </c>
      <c r="E3601" s="17"/>
      <c r="F3601" s="18"/>
      <c r="G3601" s="36" t="str">
        <f>IF(ISNUMBER(F3601),C3601*F3601,"")</f>
        <v/>
      </c>
    </row>
    <row r="3602" spans="1:7" ht="12" customHeight="1" outlineLevel="3" x14ac:dyDescent="0.2">
      <c r="A3602" s="14" t="s">
        <v>7097</v>
      </c>
      <c r="B3602" s="15" t="s">
        <v>7098</v>
      </c>
      <c r="C3602" s="16">
        <f>42.52/(1+B2)</f>
        <v>42.52</v>
      </c>
      <c r="D3602" s="17" t="s">
        <v>11</v>
      </c>
      <c r="E3602" s="17"/>
      <c r="F3602" s="18"/>
      <c r="G3602" s="36" t="str">
        <f>IF(ISNUMBER(F3602),C3602*F3602,"")</f>
        <v/>
      </c>
    </row>
    <row r="3603" spans="1:7" ht="12" customHeight="1" outlineLevel="3" x14ac:dyDescent="0.2">
      <c r="A3603" s="14" t="s">
        <v>7099</v>
      </c>
      <c r="B3603" s="15" t="s">
        <v>7100</v>
      </c>
      <c r="C3603" s="16">
        <f>19.08/(1+B2)</f>
        <v>19.079999999999998</v>
      </c>
      <c r="D3603" s="17" t="s">
        <v>11</v>
      </c>
      <c r="E3603" s="17"/>
      <c r="F3603" s="18"/>
      <c r="G3603" s="36" t="str">
        <f>IF(ISNUMBER(F3603),C3603*F3603,"")</f>
        <v/>
      </c>
    </row>
    <row r="3604" spans="1:7" ht="12" customHeight="1" outlineLevel="3" x14ac:dyDescent="0.2">
      <c r="A3604" s="14" t="s">
        <v>7101</v>
      </c>
      <c r="B3604" s="15" t="s">
        <v>7102</v>
      </c>
      <c r="C3604" s="16">
        <f>28.37/(1+B2)</f>
        <v>28.37</v>
      </c>
      <c r="D3604" s="17" t="s">
        <v>14</v>
      </c>
      <c r="E3604" s="17" t="s">
        <v>14</v>
      </c>
      <c r="F3604" s="18"/>
      <c r="G3604" s="36" t="str">
        <f>IF(ISNUMBER(F3604),C3604*F3604,"")</f>
        <v/>
      </c>
    </row>
    <row r="3605" spans="1:7" ht="12" customHeight="1" outlineLevel="3" x14ac:dyDescent="0.2">
      <c r="A3605" s="14" t="s">
        <v>7103</v>
      </c>
      <c r="B3605" s="15" t="s">
        <v>7104</v>
      </c>
      <c r="C3605" s="16">
        <f>21.17/(1+B2)</f>
        <v>21.17</v>
      </c>
      <c r="D3605" s="17" t="s">
        <v>53</v>
      </c>
      <c r="E3605" s="17"/>
      <c r="F3605" s="18"/>
      <c r="G3605" s="36" t="str">
        <f>IF(ISNUMBER(F3605),C3605*F3605,"")</f>
        <v/>
      </c>
    </row>
    <row r="3606" spans="1:7" ht="12" customHeight="1" outlineLevel="3" x14ac:dyDescent="0.2">
      <c r="A3606" s="14" t="s">
        <v>7105</v>
      </c>
      <c r="B3606" s="15" t="s">
        <v>7106</v>
      </c>
      <c r="C3606" s="16">
        <f>24.33/(1+B2)</f>
        <v>24.33</v>
      </c>
      <c r="D3606" s="17" t="s">
        <v>53</v>
      </c>
      <c r="E3606" s="17"/>
      <c r="F3606" s="18"/>
      <c r="G3606" s="36" t="str">
        <f>IF(ISNUMBER(F3606),C3606*F3606,"")</f>
        <v/>
      </c>
    </row>
    <row r="3607" spans="1:7" ht="12" customHeight="1" outlineLevel="3" x14ac:dyDescent="0.2">
      <c r="A3607" s="14" t="s">
        <v>7107</v>
      </c>
      <c r="B3607" s="15" t="s">
        <v>7108</v>
      </c>
      <c r="C3607" s="16">
        <f>17.58/(1+B2)</f>
        <v>17.579999999999998</v>
      </c>
      <c r="D3607" s="17" t="s">
        <v>14</v>
      </c>
      <c r="E3607" s="17"/>
      <c r="F3607" s="18"/>
      <c r="G3607" s="36" t="str">
        <f>IF(ISNUMBER(F3607),C3607*F3607,"")</f>
        <v/>
      </c>
    </row>
    <row r="3608" spans="1:7" ht="12" customHeight="1" outlineLevel="3" x14ac:dyDescent="0.2">
      <c r="A3608" s="14" t="s">
        <v>7109</v>
      </c>
      <c r="B3608" s="15" t="s">
        <v>7110</v>
      </c>
      <c r="C3608" s="16">
        <f>19.08/(1+B2)</f>
        <v>19.079999999999998</v>
      </c>
      <c r="D3608" s="17" t="s">
        <v>11</v>
      </c>
      <c r="E3608" s="17"/>
      <c r="F3608" s="18"/>
      <c r="G3608" s="36" t="str">
        <f>IF(ISNUMBER(F3608),C3608*F3608,"")</f>
        <v/>
      </c>
    </row>
    <row r="3609" spans="1:7" ht="12" customHeight="1" outlineLevel="3" x14ac:dyDescent="0.2">
      <c r="A3609" s="14" t="s">
        <v>7111</v>
      </c>
      <c r="B3609" s="15" t="s">
        <v>7112</v>
      </c>
      <c r="C3609" s="16">
        <f>11.16/(1+B2)</f>
        <v>11.16</v>
      </c>
      <c r="D3609" s="17" t="s">
        <v>106</v>
      </c>
      <c r="E3609" s="17"/>
      <c r="F3609" s="18"/>
      <c r="G3609" s="36" t="str">
        <f>IF(ISNUMBER(F3609),C3609*F3609,"")</f>
        <v/>
      </c>
    </row>
    <row r="3610" spans="1:7" ht="12" customHeight="1" outlineLevel="3" x14ac:dyDescent="0.2">
      <c r="A3610" s="14" t="s">
        <v>7113</v>
      </c>
      <c r="B3610" s="15" t="s">
        <v>7114</v>
      </c>
      <c r="C3610" s="16">
        <f>12.2/(1+B2)</f>
        <v>12.2</v>
      </c>
      <c r="D3610" s="17" t="s">
        <v>53</v>
      </c>
      <c r="E3610" s="17"/>
      <c r="F3610" s="18"/>
      <c r="G3610" s="36" t="str">
        <f>IF(ISNUMBER(F3610),C3610*F3610,"")</f>
        <v/>
      </c>
    </row>
    <row r="3611" spans="1:7" ht="12" customHeight="1" outlineLevel="3" x14ac:dyDescent="0.2">
      <c r="A3611" s="14" t="s">
        <v>7115</v>
      </c>
      <c r="B3611" s="15" t="s">
        <v>7116</v>
      </c>
      <c r="C3611" s="16">
        <f>9.48/(1+B2)</f>
        <v>9.48</v>
      </c>
      <c r="D3611" s="17" t="s">
        <v>14</v>
      </c>
      <c r="E3611" s="17"/>
      <c r="F3611" s="18"/>
      <c r="G3611" s="36" t="str">
        <f>IF(ISNUMBER(F3611),C3611*F3611,"")</f>
        <v/>
      </c>
    </row>
    <row r="3612" spans="1:7" ht="12" customHeight="1" outlineLevel="3" x14ac:dyDescent="0.2">
      <c r="A3612" s="14" t="s">
        <v>7117</v>
      </c>
      <c r="B3612" s="15" t="s">
        <v>7118</v>
      </c>
      <c r="C3612" s="16">
        <f>12.22/(1+B2)</f>
        <v>12.22</v>
      </c>
      <c r="D3612" s="17" t="s">
        <v>53</v>
      </c>
      <c r="E3612" s="17" t="s">
        <v>53</v>
      </c>
      <c r="F3612" s="18"/>
      <c r="G3612" s="36" t="str">
        <f>IF(ISNUMBER(F3612),C3612*F3612,"")</f>
        <v/>
      </c>
    </row>
    <row r="3613" spans="1:7" ht="12" customHeight="1" outlineLevel="3" x14ac:dyDescent="0.2">
      <c r="A3613" s="14" t="s">
        <v>7119</v>
      </c>
      <c r="B3613" s="15" t="s">
        <v>7120</v>
      </c>
      <c r="C3613" s="16">
        <f>10.94/(1+B2)</f>
        <v>10.94</v>
      </c>
      <c r="D3613" s="17" t="s">
        <v>53</v>
      </c>
      <c r="E3613" s="17"/>
      <c r="F3613" s="18"/>
      <c r="G3613" s="36" t="str">
        <f>IF(ISNUMBER(F3613),C3613*F3613,"")</f>
        <v/>
      </c>
    </row>
    <row r="3614" spans="1:7" ht="12" customHeight="1" outlineLevel="3" x14ac:dyDescent="0.2">
      <c r="A3614" s="14" t="s">
        <v>7121</v>
      </c>
      <c r="B3614" s="15" t="s">
        <v>7122</v>
      </c>
      <c r="C3614" s="16">
        <f>12.25/(1+B2)</f>
        <v>12.25</v>
      </c>
      <c r="D3614" s="17" t="s">
        <v>53</v>
      </c>
      <c r="E3614" s="17"/>
      <c r="F3614" s="18"/>
      <c r="G3614" s="36" t="str">
        <f>IF(ISNUMBER(F3614),C3614*F3614,"")</f>
        <v/>
      </c>
    </row>
    <row r="3615" spans="1:7" ht="12" customHeight="1" outlineLevel="3" x14ac:dyDescent="0.2">
      <c r="A3615" s="14" t="s">
        <v>7123</v>
      </c>
      <c r="B3615" s="15" t="s">
        <v>7124</v>
      </c>
      <c r="C3615" s="16">
        <f>11.3/(1+B2)</f>
        <v>11.3</v>
      </c>
      <c r="D3615" s="17" t="s">
        <v>106</v>
      </c>
      <c r="E3615" s="17"/>
      <c r="F3615" s="18"/>
      <c r="G3615" s="36" t="str">
        <f>IF(ISNUMBER(F3615),C3615*F3615,"")</f>
        <v/>
      </c>
    </row>
    <row r="3616" spans="1:7" ht="12" customHeight="1" outlineLevel="3" x14ac:dyDescent="0.2">
      <c r="A3616" s="14" t="s">
        <v>7125</v>
      </c>
      <c r="B3616" s="15" t="s">
        <v>7126</v>
      </c>
      <c r="C3616" s="16">
        <f>10.61/(1+B2)</f>
        <v>10.61</v>
      </c>
      <c r="D3616" s="17" t="s">
        <v>106</v>
      </c>
      <c r="E3616" s="17"/>
      <c r="F3616" s="18"/>
      <c r="G3616" s="36" t="str">
        <f>IF(ISNUMBER(F3616),C3616*F3616,"")</f>
        <v/>
      </c>
    </row>
    <row r="3617" spans="1:7" ht="12" customHeight="1" outlineLevel="3" x14ac:dyDescent="0.2">
      <c r="A3617" s="14" t="s">
        <v>7127</v>
      </c>
      <c r="B3617" s="15" t="s">
        <v>7128</v>
      </c>
      <c r="C3617" s="16">
        <f>10.39/(1+B2)</f>
        <v>10.39</v>
      </c>
      <c r="D3617" s="17" t="s">
        <v>106</v>
      </c>
      <c r="E3617" s="17"/>
      <c r="F3617" s="18"/>
      <c r="G3617" s="36" t="str">
        <f>IF(ISNUMBER(F3617),C3617*F3617,"")</f>
        <v/>
      </c>
    </row>
    <row r="3618" spans="1:7" ht="12" customHeight="1" outlineLevel="3" x14ac:dyDescent="0.2">
      <c r="A3618" s="14" t="s">
        <v>7129</v>
      </c>
      <c r="B3618" s="15" t="s">
        <v>7130</v>
      </c>
      <c r="C3618" s="16">
        <f>11.38/(1+B2)</f>
        <v>11.38</v>
      </c>
      <c r="D3618" s="17" t="s">
        <v>106</v>
      </c>
      <c r="E3618" s="17"/>
      <c r="F3618" s="18"/>
      <c r="G3618" s="36" t="str">
        <f>IF(ISNUMBER(F3618),C3618*F3618,"")</f>
        <v/>
      </c>
    </row>
    <row r="3619" spans="1:7" s="1" customFormat="1" ht="12.95" customHeight="1" outlineLevel="2" x14ac:dyDescent="0.2">
      <c r="A3619" s="20"/>
      <c r="B3619" s="21" t="s">
        <v>7131</v>
      </c>
      <c r="C3619" s="22"/>
      <c r="D3619" s="22"/>
      <c r="E3619" s="22"/>
      <c r="F3619" s="22"/>
      <c r="G3619" s="37"/>
    </row>
    <row r="3620" spans="1:7" ht="12" customHeight="1" outlineLevel="3" x14ac:dyDescent="0.2">
      <c r="A3620" s="14" t="s">
        <v>7132</v>
      </c>
      <c r="B3620" s="15" t="s">
        <v>7133</v>
      </c>
      <c r="C3620" s="16">
        <f>54.76/(1+B2)</f>
        <v>54.76</v>
      </c>
      <c r="D3620" s="17" t="s">
        <v>11</v>
      </c>
      <c r="E3620" s="17"/>
      <c r="F3620" s="18"/>
      <c r="G3620" s="36" t="str">
        <f>IF(ISNUMBER(F3620),C3620*F3620,"")</f>
        <v/>
      </c>
    </row>
    <row r="3621" spans="1:7" ht="12" customHeight="1" outlineLevel="3" x14ac:dyDescent="0.2">
      <c r="A3621" s="14" t="s">
        <v>7134</v>
      </c>
      <c r="B3621" s="15" t="s">
        <v>7135</v>
      </c>
      <c r="C3621" s="16">
        <f>54.72/(1+B2)</f>
        <v>54.72</v>
      </c>
      <c r="D3621" s="17" t="s">
        <v>11</v>
      </c>
      <c r="E3621" s="17"/>
      <c r="F3621" s="18"/>
      <c r="G3621" s="36" t="str">
        <f>IF(ISNUMBER(F3621),C3621*F3621,"")</f>
        <v/>
      </c>
    </row>
    <row r="3622" spans="1:7" ht="12" customHeight="1" outlineLevel="3" x14ac:dyDescent="0.2">
      <c r="A3622" s="14" t="s">
        <v>7136</v>
      </c>
      <c r="B3622" s="15" t="s">
        <v>7137</v>
      </c>
      <c r="C3622" s="16">
        <f>56.63/(1+B2)</f>
        <v>56.63</v>
      </c>
      <c r="D3622" s="17" t="s">
        <v>11</v>
      </c>
      <c r="E3622" s="17"/>
      <c r="F3622" s="18"/>
      <c r="G3622" s="36" t="str">
        <f>IF(ISNUMBER(F3622),C3622*F3622,"")</f>
        <v/>
      </c>
    </row>
    <row r="3623" spans="1:7" ht="12" customHeight="1" outlineLevel="3" x14ac:dyDescent="0.2">
      <c r="A3623" s="14" t="s">
        <v>7138</v>
      </c>
      <c r="B3623" s="15" t="s">
        <v>7139</v>
      </c>
      <c r="C3623" s="16">
        <f>78.79/(1+B2)</f>
        <v>78.790000000000006</v>
      </c>
      <c r="D3623" s="17" t="s">
        <v>14</v>
      </c>
      <c r="E3623" s="17"/>
      <c r="F3623" s="18"/>
      <c r="G3623" s="36" t="str">
        <f>IF(ISNUMBER(F3623),C3623*F3623,"")</f>
        <v/>
      </c>
    </row>
    <row r="3624" spans="1:7" ht="12" customHeight="1" outlineLevel="3" x14ac:dyDescent="0.2">
      <c r="A3624" s="14" t="s">
        <v>7140</v>
      </c>
      <c r="B3624" s="15" t="s">
        <v>7141</v>
      </c>
      <c r="C3624" s="16">
        <f>66.43/(1+B2)</f>
        <v>66.430000000000007</v>
      </c>
      <c r="D3624" s="17" t="s">
        <v>11</v>
      </c>
      <c r="E3624" s="17" t="s">
        <v>11</v>
      </c>
      <c r="F3624" s="18"/>
      <c r="G3624" s="36" t="str">
        <f>IF(ISNUMBER(F3624),C3624*F3624,"")</f>
        <v/>
      </c>
    </row>
    <row r="3625" spans="1:7" ht="12" customHeight="1" outlineLevel="3" x14ac:dyDescent="0.2">
      <c r="A3625" s="14" t="s">
        <v>7142</v>
      </c>
      <c r="B3625" s="15" t="s">
        <v>7143</v>
      </c>
      <c r="C3625" s="16">
        <f>66.62/(1+B2)</f>
        <v>66.62</v>
      </c>
      <c r="D3625" s="17" t="s">
        <v>11</v>
      </c>
      <c r="E3625" s="17" t="s">
        <v>11</v>
      </c>
      <c r="F3625" s="18"/>
      <c r="G3625" s="36" t="str">
        <f>IF(ISNUMBER(F3625),C3625*F3625,"")</f>
        <v/>
      </c>
    </row>
    <row r="3626" spans="1:7" ht="12" customHeight="1" outlineLevel="3" x14ac:dyDescent="0.2">
      <c r="A3626" s="14" t="s">
        <v>7144</v>
      </c>
      <c r="B3626" s="15" t="s">
        <v>7145</v>
      </c>
      <c r="C3626" s="16">
        <f>88/(1+B2)</f>
        <v>88</v>
      </c>
      <c r="D3626" s="17" t="s">
        <v>11</v>
      </c>
      <c r="E3626" s="17"/>
      <c r="F3626" s="18"/>
      <c r="G3626" s="36" t="str">
        <f>IF(ISNUMBER(F3626),C3626*F3626,"")</f>
        <v/>
      </c>
    </row>
    <row r="3627" spans="1:7" ht="12" customHeight="1" outlineLevel="3" x14ac:dyDescent="0.2">
      <c r="A3627" s="14" t="s">
        <v>7146</v>
      </c>
      <c r="B3627" s="15" t="s">
        <v>7147</v>
      </c>
      <c r="C3627" s="16">
        <f>36.54/(1+B2)</f>
        <v>36.54</v>
      </c>
      <c r="D3627" s="17" t="s">
        <v>14</v>
      </c>
      <c r="E3627" s="17"/>
      <c r="F3627" s="18"/>
      <c r="G3627" s="36" t="str">
        <f>IF(ISNUMBER(F3627),C3627*F3627,"")</f>
        <v/>
      </c>
    </row>
    <row r="3628" spans="1:7" ht="12" customHeight="1" outlineLevel="3" x14ac:dyDescent="0.2">
      <c r="A3628" s="14" t="s">
        <v>7148</v>
      </c>
      <c r="B3628" s="15" t="s">
        <v>7149</v>
      </c>
      <c r="C3628" s="16">
        <f>50.56/(1+B2)</f>
        <v>50.56</v>
      </c>
      <c r="D3628" s="17" t="s">
        <v>14</v>
      </c>
      <c r="E3628" s="17"/>
      <c r="F3628" s="18"/>
      <c r="G3628" s="36" t="str">
        <f>IF(ISNUMBER(F3628),C3628*F3628,"")</f>
        <v/>
      </c>
    </row>
    <row r="3629" spans="1:7" ht="12" customHeight="1" outlineLevel="3" x14ac:dyDescent="0.2">
      <c r="A3629" s="14" t="s">
        <v>7150</v>
      </c>
      <c r="B3629" s="15" t="s">
        <v>7151</v>
      </c>
      <c r="C3629" s="16">
        <f>50.51/(1+B2)</f>
        <v>50.51</v>
      </c>
      <c r="D3629" s="17" t="s">
        <v>14</v>
      </c>
      <c r="E3629" s="17"/>
      <c r="F3629" s="18"/>
      <c r="G3629" s="36" t="str">
        <f>IF(ISNUMBER(F3629),C3629*F3629,"")</f>
        <v/>
      </c>
    </row>
    <row r="3630" spans="1:7" ht="12" customHeight="1" outlineLevel="3" x14ac:dyDescent="0.2">
      <c r="A3630" s="14" t="s">
        <v>7152</v>
      </c>
      <c r="B3630" s="15" t="s">
        <v>7153</v>
      </c>
      <c r="C3630" s="16">
        <f>50.45/(1+B2)</f>
        <v>50.45</v>
      </c>
      <c r="D3630" s="17" t="s">
        <v>11</v>
      </c>
      <c r="E3630" s="17"/>
      <c r="F3630" s="18"/>
      <c r="G3630" s="36" t="str">
        <f>IF(ISNUMBER(F3630),C3630*F3630,"")</f>
        <v/>
      </c>
    </row>
    <row r="3631" spans="1:7" ht="12" customHeight="1" outlineLevel="3" x14ac:dyDescent="0.2">
      <c r="A3631" s="14" t="s">
        <v>7154</v>
      </c>
      <c r="B3631" s="15" t="s">
        <v>7155</v>
      </c>
      <c r="C3631" s="16">
        <f>119/(1+B2)</f>
        <v>119</v>
      </c>
      <c r="D3631" s="17" t="s">
        <v>11</v>
      </c>
      <c r="E3631" s="17"/>
      <c r="F3631" s="18"/>
      <c r="G3631" s="36" t="str">
        <f>IF(ISNUMBER(F3631),C3631*F3631,"")</f>
        <v/>
      </c>
    </row>
    <row r="3632" spans="1:7" ht="12" customHeight="1" outlineLevel="3" x14ac:dyDescent="0.2">
      <c r="A3632" s="14" t="s">
        <v>7156</v>
      </c>
      <c r="B3632" s="15" t="s">
        <v>7157</v>
      </c>
      <c r="C3632" s="16">
        <f>72.61/(1+B2)</f>
        <v>72.61</v>
      </c>
      <c r="D3632" s="17" t="s">
        <v>11</v>
      </c>
      <c r="E3632" s="17"/>
      <c r="F3632" s="18"/>
      <c r="G3632" s="36" t="str">
        <f>IF(ISNUMBER(F3632),C3632*F3632,"")</f>
        <v/>
      </c>
    </row>
    <row r="3633" spans="1:7" ht="12" customHeight="1" outlineLevel="3" x14ac:dyDescent="0.2">
      <c r="A3633" s="14" t="s">
        <v>7158</v>
      </c>
      <c r="B3633" s="15" t="s">
        <v>7159</v>
      </c>
      <c r="C3633" s="16">
        <f>64.64/(1+B2)</f>
        <v>64.64</v>
      </c>
      <c r="D3633" s="17" t="s">
        <v>14</v>
      </c>
      <c r="E3633" s="17"/>
      <c r="F3633" s="18"/>
      <c r="G3633" s="36" t="str">
        <f>IF(ISNUMBER(F3633),C3633*F3633,"")</f>
        <v/>
      </c>
    </row>
    <row r="3634" spans="1:7" ht="12" customHeight="1" outlineLevel="3" x14ac:dyDescent="0.2">
      <c r="A3634" s="14" t="s">
        <v>7160</v>
      </c>
      <c r="B3634" s="15" t="s">
        <v>7161</v>
      </c>
      <c r="C3634" s="16">
        <f>62.23/(1+B2)</f>
        <v>62.23</v>
      </c>
      <c r="D3634" s="17" t="s">
        <v>14</v>
      </c>
      <c r="E3634" s="17"/>
      <c r="F3634" s="18"/>
      <c r="G3634" s="36" t="str">
        <f>IF(ISNUMBER(F3634),C3634*F3634,"")</f>
        <v/>
      </c>
    </row>
    <row r="3635" spans="1:7" ht="12" customHeight="1" outlineLevel="3" x14ac:dyDescent="0.2">
      <c r="A3635" s="14" t="s">
        <v>7162</v>
      </c>
      <c r="B3635" s="15" t="s">
        <v>7163</v>
      </c>
      <c r="C3635" s="16">
        <f>61.58/(1+B2)</f>
        <v>61.58</v>
      </c>
      <c r="D3635" s="17" t="s">
        <v>11</v>
      </c>
      <c r="E3635" s="17"/>
      <c r="F3635" s="18"/>
      <c r="G3635" s="36" t="str">
        <f>IF(ISNUMBER(F3635),C3635*F3635,"")</f>
        <v/>
      </c>
    </row>
    <row r="3636" spans="1:7" ht="12" customHeight="1" outlineLevel="3" x14ac:dyDescent="0.2">
      <c r="A3636" s="14" t="s">
        <v>7164</v>
      </c>
      <c r="B3636" s="15" t="s">
        <v>7165</v>
      </c>
      <c r="C3636" s="16">
        <f>51.49/(1+B2)</f>
        <v>51.49</v>
      </c>
      <c r="D3636" s="17" t="s">
        <v>11</v>
      </c>
      <c r="E3636" s="17"/>
      <c r="F3636" s="18"/>
      <c r="G3636" s="36" t="str">
        <f>IF(ISNUMBER(F3636),C3636*F3636,"")</f>
        <v/>
      </c>
    </row>
    <row r="3637" spans="1:7" ht="12" customHeight="1" outlineLevel="3" x14ac:dyDescent="0.2">
      <c r="A3637" s="14" t="s">
        <v>7166</v>
      </c>
      <c r="B3637" s="15" t="s">
        <v>7167</v>
      </c>
      <c r="C3637" s="16">
        <f>40.84/(1+B2)</f>
        <v>40.840000000000003</v>
      </c>
      <c r="D3637" s="17" t="s">
        <v>11</v>
      </c>
      <c r="E3637" s="17" t="s">
        <v>53</v>
      </c>
      <c r="F3637" s="18"/>
      <c r="G3637" s="36" t="str">
        <f>IF(ISNUMBER(F3637),C3637*F3637,"")</f>
        <v/>
      </c>
    </row>
    <row r="3638" spans="1:7" ht="12" customHeight="1" outlineLevel="3" x14ac:dyDescent="0.2">
      <c r="A3638" s="14" t="s">
        <v>7168</v>
      </c>
      <c r="B3638" s="15" t="s">
        <v>7169</v>
      </c>
      <c r="C3638" s="16">
        <f>42.46/(1+B2)</f>
        <v>42.46</v>
      </c>
      <c r="D3638" s="17" t="s">
        <v>11</v>
      </c>
      <c r="E3638" s="17"/>
      <c r="F3638" s="18"/>
      <c r="G3638" s="36" t="str">
        <f>IF(ISNUMBER(F3638),C3638*F3638,"")</f>
        <v/>
      </c>
    </row>
    <row r="3639" spans="1:7" ht="12" customHeight="1" outlineLevel="3" x14ac:dyDescent="0.2">
      <c r="A3639" s="14" t="s">
        <v>7170</v>
      </c>
      <c r="B3639" s="15" t="s">
        <v>7171</v>
      </c>
      <c r="C3639" s="16">
        <f>53.46/(1+B2)</f>
        <v>53.46</v>
      </c>
      <c r="D3639" s="17" t="s">
        <v>11</v>
      </c>
      <c r="E3639" s="17"/>
      <c r="F3639" s="18"/>
      <c r="G3639" s="36" t="str">
        <f>IF(ISNUMBER(F3639),C3639*F3639,"")</f>
        <v/>
      </c>
    </row>
    <row r="3640" spans="1:7" ht="12" customHeight="1" outlineLevel="3" x14ac:dyDescent="0.2">
      <c r="A3640" s="14" t="s">
        <v>7172</v>
      </c>
      <c r="B3640" s="15" t="s">
        <v>7173</v>
      </c>
      <c r="C3640" s="16">
        <f>52.34/(1+B2)</f>
        <v>52.34</v>
      </c>
      <c r="D3640" s="17" t="s">
        <v>11</v>
      </c>
      <c r="E3640" s="17"/>
      <c r="F3640" s="18"/>
      <c r="G3640" s="36" t="str">
        <f>IF(ISNUMBER(F3640),C3640*F3640,"")</f>
        <v/>
      </c>
    </row>
    <row r="3641" spans="1:7" ht="12" customHeight="1" outlineLevel="3" x14ac:dyDescent="0.2">
      <c r="A3641" s="14" t="s">
        <v>7174</v>
      </c>
      <c r="B3641" s="15" t="s">
        <v>7175</v>
      </c>
      <c r="C3641" s="16">
        <f>45.17/(1+B2)</f>
        <v>45.17</v>
      </c>
      <c r="D3641" s="17" t="s">
        <v>11</v>
      </c>
      <c r="E3641" s="17"/>
      <c r="F3641" s="18"/>
      <c r="G3641" s="36" t="str">
        <f>IF(ISNUMBER(F3641),C3641*F3641,"")</f>
        <v/>
      </c>
    </row>
    <row r="3642" spans="1:7" ht="12" customHeight="1" outlineLevel="3" x14ac:dyDescent="0.2">
      <c r="A3642" s="14" t="s">
        <v>7176</v>
      </c>
      <c r="B3642" s="15" t="s">
        <v>7177</v>
      </c>
      <c r="C3642" s="16">
        <f>61.33/(1+B2)</f>
        <v>61.33</v>
      </c>
      <c r="D3642" s="17" t="s">
        <v>14</v>
      </c>
      <c r="E3642" s="17"/>
      <c r="F3642" s="18"/>
      <c r="G3642" s="36" t="str">
        <f>IF(ISNUMBER(F3642),C3642*F3642,"")</f>
        <v/>
      </c>
    </row>
    <row r="3643" spans="1:7" ht="12" customHeight="1" outlineLevel="3" x14ac:dyDescent="0.2">
      <c r="A3643" s="14" t="s">
        <v>7178</v>
      </c>
      <c r="B3643" s="15" t="s">
        <v>7179</v>
      </c>
      <c r="C3643" s="16">
        <f>65.89/(1+B2)</f>
        <v>65.89</v>
      </c>
      <c r="D3643" s="17" t="s">
        <v>11</v>
      </c>
      <c r="E3643" s="17" t="s">
        <v>14</v>
      </c>
      <c r="F3643" s="18"/>
      <c r="G3643" s="36" t="str">
        <f>IF(ISNUMBER(F3643),C3643*F3643,"")</f>
        <v/>
      </c>
    </row>
    <row r="3644" spans="1:7" ht="12" customHeight="1" outlineLevel="3" x14ac:dyDescent="0.2">
      <c r="A3644" s="14" t="s">
        <v>7180</v>
      </c>
      <c r="B3644" s="15" t="s">
        <v>7181</v>
      </c>
      <c r="C3644" s="16">
        <f>64.78/(1+B2)</f>
        <v>64.78</v>
      </c>
      <c r="D3644" s="17" t="s">
        <v>11</v>
      </c>
      <c r="E3644" s="17" t="s">
        <v>11</v>
      </c>
      <c r="F3644" s="18"/>
      <c r="G3644" s="36" t="str">
        <f>IF(ISNUMBER(F3644),C3644*F3644,"")</f>
        <v/>
      </c>
    </row>
    <row r="3645" spans="1:7" ht="12" customHeight="1" outlineLevel="3" x14ac:dyDescent="0.2">
      <c r="A3645" s="14" t="s">
        <v>7182</v>
      </c>
      <c r="B3645" s="15" t="s">
        <v>7183</v>
      </c>
      <c r="C3645" s="16">
        <f>67.48/(1+B2)</f>
        <v>67.48</v>
      </c>
      <c r="D3645" s="17" t="s">
        <v>11</v>
      </c>
      <c r="E3645" s="17" t="s">
        <v>14</v>
      </c>
      <c r="F3645" s="18"/>
      <c r="G3645" s="36" t="str">
        <f>IF(ISNUMBER(F3645),C3645*F3645,"")</f>
        <v/>
      </c>
    </row>
    <row r="3646" spans="1:7" ht="12" customHeight="1" outlineLevel="3" x14ac:dyDescent="0.2">
      <c r="A3646" s="14" t="s">
        <v>7184</v>
      </c>
      <c r="B3646" s="15" t="s">
        <v>7185</v>
      </c>
      <c r="C3646" s="16">
        <f>64.42/(1+B2)</f>
        <v>64.42</v>
      </c>
      <c r="D3646" s="17" t="s">
        <v>11</v>
      </c>
      <c r="E3646" s="17" t="s">
        <v>14</v>
      </c>
      <c r="F3646" s="18"/>
      <c r="G3646" s="36" t="str">
        <f>IF(ISNUMBER(F3646),C3646*F3646,"")</f>
        <v/>
      </c>
    </row>
    <row r="3647" spans="1:7" ht="12" customHeight="1" outlineLevel="3" x14ac:dyDescent="0.2">
      <c r="A3647" s="14" t="s">
        <v>7186</v>
      </c>
      <c r="B3647" s="15" t="s">
        <v>7187</v>
      </c>
      <c r="C3647" s="16">
        <f>69.37/(1+B2)</f>
        <v>69.37</v>
      </c>
      <c r="D3647" s="17" t="s">
        <v>11</v>
      </c>
      <c r="E3647" s="17"/>
      <c r="F3647" s="18"/>
      <c r="G3647" s="36" t="str">
        <f>IF(ISNUMBER(F3647),C3647*F3647,"")</f>
        <v/>
      </c>
    </row>
    <row r="3648" spans="1:7" ht="12" customHeight="1" outlineLevel="3" x14ac:dyDescent="0.2">
      <c r="A3648" s="14" t="s">
        <v>7188</v>
      </c>
      <c r="B3648" s="15" t="s">
        <v>7189</v>
      </c>
      <c r="C3648" s="16">
        <f>86.82/(1+B2)</f>
        <v>86.82</v>
      </c>
      <c r="D3648" s="17" t="s">
        <v>11</v>
      </c>
      <c r="E3648" s="17"/>
      <c r="F3648" s="18"/>
      <c r="G3648" s="36" t="str">
        <f>IF(ISNUMBER(F3648),C3648*F3648,"")</f>
        <v/>
      </c>
    </row>
    <row r="3649" spans="1:7" ht="12" customHeight="1" outlineLevel="3" x14ac:dyDescent="0.2">
      <c r="A3649" s="14" t="s">
        <v>7190</v>
      </c>
      <c r="B3649" s="15" t="s">
        <v>7191</v>
      </c>
      <c r="C3649" s="16">
        <f>101.38/(1+B2)</f>
        <v>101.38</v>
      </c>
      <c r="D3649" s="17" t="s">
        <v>14</v>
      </c>
      <c r="E3649" s="17"/>
      <c r="F3649" s="18"/>
      <c r="G3649" s="36" t="str">
        <f>IF(ISNUMBER(F3649),C3649*F3649,"")</f>
        <v/>
      </c>
    </row>
    <row r="3650" spans="1:7" ht="12" customHeight="1" outlineLevel="3" x14ac:dyDescent="0.2">
      <c r="A3650" s="14" t="s">
        <v>7192</v>
      </c>
      <c r="B3650" s="15" t="s">
        <v>7193</v>
      </c>
      <c r="C3650" s="16">
        <f>94.96/(1+B2)</f>
        <v>94.96</v>
      </c>
      <c r="D3650" s="17" t="s">
        <v>11</v>
      </c>
      <c r="E3650" s="17" t="s">
        <v>11</v>
      </c>
      <c r="F3650" s="18"/>
      <c r="G3650" s="36" t="str">
        <f>IF(ISNUMBER(F3650),C3650*F3650,"")</f>
        <v/>
      </c>
    </row>
    <row r="3651" spans="1:7" ht="12" customHeight="1" outlineLevel="3" x14ac:dyDescent="0.2">
      <c r="A3651" s="14" t="s">
        <v>7194</v>
      </c>
      <c r="B3651" s="15" t="s">
        <v>7195</v>
      </c>
      <c r="C3651" s="16">
        <f>68/(1+B2)</f>
        <v>68</v>
      </c>
      <c r="D3651" s="17" t="s">
        <v>11</v>
      </c>
      <c r="E3651" s="17"/>
      <c r="F3651" s="18"/>
      <c r="G3651" s="36" t="str">
        <f>IF(ISNUMBER(F3651),C3651*F3651,"")</f>
        <v/>
      </c>
    </row>
    <row r="3652" spans="1:7" ht="12" customHeight="1" outlineLevel="3" x14ac:dyDescent="0.2">
      <c r="A3652" s="14" t="s">
        <v>7196</v>
      </c>
      <c r="B3652" s="15" t="s">
        <v>7197</v>
      </c>
      <c r="C3652" s="16">
        <f>129.01/(1+B2)</f>
        <v>129.01</v>
      </c>
      <c r="D3652" s="17" t="s">
        <v>11</v>
      </c>
      <c r="E3652" s="17"/>
      <c r="F3652" s="18"/>
      <c r="G3652" s="36" t="str">
        <f>IF(ISNUMBER(F3652),C3652*F3652,"")</f>
        <v/>
      </c>
    </row>
    <row r="3653" spans="1:7" ht="12" customHeight="1" outlineLevel="3" x14ac:dyDescent="0.2">
      <c r="A3653" s="14" t="s">
        <v>7198</v>
      </c>
      <c r="B3653" s="15" t="s">
        <v>7199</v>
      </c>
      <c r="C3653" s="16">
        <f>41.71/(1+B2)</f>
        <v>41.71</v>
      </c>
      <c r="D3653" s="17" t="s">
        <v>11</v>
      </c>
      <c r="E3653" s="17"/>
      <c r="F3653" s="18"/>
      <c r="G3653" s="36" t="str">
        <f>IF(ISNUMBER(F3653),C3653*F3653,"")</f>
        <v/>
      </c>
    </row>
    <row r="3654" spans="1:7" ht="12" customHeight="1" outlineLevel="3" x14ac:dyDescent="0.2">
      <c r="A3654" s="14" t="s">
        <v>7200</v>
      </c>
      <c r="B3654" s="15" t="s">
        <v>7201</v>
      </c>
      <c r="C3654" s="16">
        <f>95/(1+B2)</f>
        <v>95</v>
      </c>
      <c r="D3654" s="17" t="s">
        <v>11</v>
      </c>
      <c r="E3654" s="17"/>
      <c r="F3654" s="18"/>
      <c r="G3654" s="36" t="str">
        <f>IF(ISNUMBER(F3654),C3654*F3654,"")</f>
        <v/>
      </c>
    </row>
    <row r="3655" spans="1:7" ht="12" customHeight="1" outlineLevel="3" x14ac:dyDescent="0.2">
      <c r="A3655" s="14" t="s">
        <v>7202</v>
      </c>
      <c r="B3655" s="15" t="s">
        <v>7203</v>
      </c>
      <c r="C3655" s="16">
        <f>103.45/(1+B2)</f>
        <v>103.45</v>
      </c>
      <c r="D3655" s="17" t="s">
        <v>11</v>
      </c>
      <c r="E3655" s="17" t="s">
        <v>11</v>
      </c>
      <c r="F3655" s="18"/>
      <c r="G3655" s="36" t="str">
        <f>IF(ISNUMBER(F3655),C3655*F3655,"")</f>
        <v/>
      </c>
    </row>
    <row r="3656" spans="1:7" ht="12" customHeight="1" outlineLevel="3" x14ac:dyDescent="0.2">
      <c r="A3656" s="14" t="s">
        <v>7204</v>
      </c>
      <c r="B3656" s="15" t="s">
        <v>7205</v>
      </c>
      <c r="C3656" s="16">
        <f>132.26/(1+B2)</f>
        <v>132.26</v>
      </c>
      <c r="D3656" s="17" t="s">
        <v>11</v>
      </c>
      <c r="E3656" s="17"/>
      <c r="F3656" s="18"/>
      <c r="G3656" s="36" t="str">
        <f>IF(ISNUMBER(F3656),C3656*F3656,"")</f>
        <v/>
      </c>
    </row>
    <row r="3657" spans="1:7" ht="12" customHeight="1" outlineLevel="3" x14ac:dyDescent="0.2">
      <c r="A3657" s="14" t="s">
        <v>7206</v>
      </c>
      <c r="B3657" s="15" t="s">
        <v>7207</v>
      </c>
      <c r="C3657" s="16">
        <f>103.28/(1+B2)</f>
        <v>103.28</v>
      </c>
      <c r="D3657" s="17" t="s">
        <v>11</v>
      </c>
      <c r="E3657" s="17"/>
      <c r="F3657" s="18"/>
      <c r="G3657" s="36" t="str">
        <f>IF(ISNUMBER(F3657),C3657*F3657,"")</f>
        <v/>
      </c>
    </row>
    <row r="3658" spans="1:7" ht="12" customHeight="1" outlineLevel="3" x14ac:dyDescent="0.2">
      <c r="A3658" s="14" t="s">
        <v>7208</v>
      </c>
      <c r="B3658" s="15" t="s">
        <v>7209</v>
      </c>
      <c r="C3658" s="16">
        <f>182.77/(1+B2)</f>
        <v>182.77</v>
      </c>
      <c r="D3658" s="17" t="s">
        <v>11</v>
      </c>
      <c r="E3658" s="17"/>
      <c r="F3658" s="18"/>
      <c r="G3658" s="36" t="str">
        <f>IF(ISNUMBER(F3658),C3658*F3658,"")</f>
        <v/>
      </c>
    </row>
    <row r="3659" spans="1:7" ht="12" customHeight="1" outlineLevel="3" x14ac:dyDescent="0.2">
      <c r="A3659" s="14" t="s">
        <v>7210</v>
      </c>
      <c r="B3659" s="15" t="s">
        <v>7211</v>
      </c>
      <c r="C3659" s="16">
        <f>110.81/(1+B2)</f>
        <v>110.81</v>
      </c>
      <c r="D3659" s="17" t="s">
        <v>14</v>
      </c>
      <c r="E3659" s="17"/>
      <c r="F3659" s="18"/>
      <c r="G3659" s="36" t="str">
        <f>IF(ISNUMBER(F3659),C3659*F3659,"")</f>
        <v/>
      </c>
    </row>
    <row r="3660" spans="1:7" ht="12" customHeight="1" outlineLevel="3" x14ac:dyDescent="0.2">
      <c r="A3660" s="14" t="s">
        <v>7212</v>
      </c>
      <c r="B3660" s="15" t="s">
        <v>7213</v>
      </c>
      <c r="C3660" s="16">
        <f>66/(1+B2)</f>
        <v>66</v>
      </c>
      <c r="D3660" s="17" t="s">
        <v>11</v>
      </c>
      <c r="E3660" s="17"/>
      <c r="F3660" s="18"/>
      <c r="G3660" s="36" t="str">
        <f>IF(ISNUMBER(F3660),C3660*F3660,"")</f>
        <v/>
      </c>
    </row>
    <row r="3661" spans="1:7" ht="12" customHeight="1" outlineLevel="3" x14ac:dyDescent="0.2">
      <c r="A3661" s="14" t="s">
        <v>7214</v>
      </c>
      <c r="B3661" s="15" t="s">
        <v>7215</v>
      </c>
      <c r="C3661" s="16">
        <f>57.3/(1+B2)</f>
        <v>57.3</v>
      </c>
      <c r="D3661" s="17" t="s">
        <v>11</v>
      </c>
      <c r="E3661" s="17"/>
      <c r="F3661" s="18"/>
      <c r="G3661" s="36" t="str">
        <f>IF(ISNUMBER(F3661),C3661*F3661,"")</f>
        <v/>
      </c>
    </row>
    <row r="3662" spans="1:7" ht="12" customHeight="1" outlineLevel="3" x14ac:dyDescent="0.2">
      <c r="A3662" s="14" t="s">
        <v>7216</v>
      </c>
      <c r="B3662" s="15" t="s">
        <v>7217</v>
      </c>
      <c r="C3662" s="16">
        <f>209.58/(1+B2)</f>
        <v>209.58</v>
      </c>
      <c r="D3662" s="17" t="s">
        <v>11</v>
      </c>
      <c r="E3662" s="17" t="s">
        <v>14</v>
      </c>
      <c r="F3662" s="18"/>
      <c r="G3662" s="36" t="str">
        <f>IF(ISNUMBER(F3662),C3662*F3662,"")</f>
        <v/>
      </c>
    </row>
    <row r="3663" spans="1:7" ht="12" customHeight="1" outlineLevel="3" x14ac:dyDescent="0.2">
      <c r="A3663" s="14" t="s">
        <v>7218</v>
      </c>
      <c r="B3663" s="15" t="s">
        <v>7219</v>
      </c>
      <c r="C3663" s="16">
        <f>235.51/(1+B2)</f>
        <v>235.51</v>
      </c>
      <c r="D3663" s="17" t="s">
        <v>11</v>
      </c>
      <c r="E3663" s="17" t="s">
        <v>11</v>
      </c>
      <c r="F3663" s="18"/>
      <c r="G3663" s="36" t="str">
        <f>IF(ISNUMBER(F3663),C3663*F3663,"")</f>
        <v/>
      </c>
    </row>
    <row r="3664" spans="1:7" s="1" customFormat="1" ht="12.95" customHeight="1" outlineLevel="2" x14ac:dyDescent="0.2">
      <c r="A3664" s="20"/>
      <c r="B3664" s="21" t="s">
        <v>7220</v>
      </c>
      <c r="C3664" s="22"/>
      <c r="D3664" s="22"/>
      <c r="E3664" s="22"/>
      <c r="F3664" s="22"/>
      <c r="G3664" s="37"/>
    </row>
    <row r="3665" spans="1:7" ht="12" customHeight="1" outlineLevel="3" x14ac:dyDescent="0.2">
      <c r="A3665" s="14" t="s">
        <v>7221</v>
      </c>
      <c r="B3665" s="15" t="s">
        <v>7222</v>
      </c>
      <c r="C3665" s="16">
        <f>75.72/(1+B2)</f>
        <v>75.72</v>
      </c>
      <c r="D3665" s="17" t="s">
        <v>11</v>
      </c>
      <c r="E3665" s="17"/>
      <c r="F3665" s="18"/>
      <c r="G3665" s="36" t="str">
        <f>IF(ISNUMBER(F3665),C3665*F3665,"")</f>
        <v/>
      </c>
    </row>
    <row r="3666" spans="1:7" ht="12" customHeight="1" outlineLevel="3" x14ac:dyDescent="0.2">
      <c r="A3666" s="14" t="s">
        <v>7223</v>
      </c>
      <c r="B3666" s="15" t="s">
        <v>7224</v>
      </c>
      <c r="C3666" s="16">
        <f>671.29/(1+B2)</f>
        <v>671.29</v>
      </c>
      <c r="D3666" s="17" t="s">
        <v>11</v>
      </c>
      <c r="E3666" s="17"/>
      <c r="F3666" s="18"/>
      <c r="G3666" s="36" t="str">
        <f>IF(ISNUMBER(F3666),C3666*F3666,"")</f>
        <v/>
      </c>
    </row>
    <row r="3667" spans="1:7" ht="12" customHeight="1" outlineLevel="3" x14ac:dyDescent="0.2">
      <c r="A3667" s="14" t="s">
        <v>7225</v>
      </c>
      <c r="B3667" s="15" t="s">
        <v>7226</v>
      </c>
      <c r="C3667" s="16">
        <f>341.01/(1+B2)</f>
        <v>341.01</v>
      </c>
      <c r="D3667" s="17" t="s">
        <v>11</v>
      </c>
      <c r="E3667" s="17"/>
      <c r="F3667" s="18"/>
      <c r="G3667" s="36" t="str">
        <f>IF(ISNUMBER(F3667),C3667*F3667,"")</f>
        <v/>
      </c>
    </row>
    <row r="3668" spans="1:7" ht="12" customHeight="1" outlineLevel="3" x14ac:dyDescent="0.2">
      <c r="A3668" s="14" t="s">
        <v>7227</v>
      </c>
      <c r="B3668" s="15" t="s">
        <v>7228</v>
      </c>
      <c r="C3668" s="16">
        <f>185.74/(1+B2)</f>
        <v>185.74</v>
      </c>
      <c r="D3668" s="17" t="s">
        <v>11</v>
      </c>
      <c r="E3668" s="17"/>
      <c r="F3668" s="18"/>
      <c r="G3668" s="36" t="str">
        <f>IF(ISNUMBER(F3668),C3668*F3668,"")</f>
        <v/>
      </c>
    </row>
    <row r="3669" spans="1:7" ht="12" customHeight="1" outlineLevel="3" x14ac:dyDescent="0.2">
      <c r="A3669" s="14" t="s">
        <v>7229</v>
      </c>
      <c r="B3669" s="15" t="s">
        <v>7230</v>
      </c>
      <c r="C3669" s="16">
        <f>360.47/(1+B2)</f>
        <v>360.47</v>
      </c>
      <c r="D3669" s="17" t="s">
        <v>11</v>
      </c>
      <c r="E3669" s="17"/>
      <c r="F3669" s="18"/>
      <c r="G3669" s="36" t="str">
        <f>IF(ISNUMBER(F3669),C3669*F3669,"")</f>
        <v/>
      </c>
    </row>
    <row r="3670" spans="1:7" ht="12" customHeight="1" outlineLevel="3" x14ac:dyDescent="0.2">
      <c r="A3670" s="14" t="s">
        <v>7231</v>
      </c>
      <c r="B3670" s="15" t="s">
        <v>7232</v>
      </c>
      <c r="C3670" s="16">
        <f>360.47/(1+B2)</f>
        <v>360.47</v>
      </c>
      <c r="D3670" s="17" t="s">
        <v>11</v>
      </c>
      <c r="E3670" s="17"/>
      <c r="F3670" s="18"/>
      <c r="G3670" s="36" t="str">
        <f>IF(ISNUMBER(F3670),C3670*F3670,"")</f>
        <v/>
      </c>
    </row>
    <row r="3671" spans="1:7" ht="12" customHeight="1" outlineLevel="3" x14ac:dyDescent="0.2">
      <c r="A3671" s="14" t="s">
        <v>7233</v>
      </c>
      <c r="B3671" s="15" t="s">
        <v>7234</v>
      </c>
      <c r="C3671" s="16">
        <f>354.64/(1+B2)</f>
        <v>354.64</v>
      </c>
      <c r="D3671" s="17" t="s">
        <v>11</v>
      </c>
      <c r="E3671" s="17"/>
      <c r="F3671" s="18"/>
      <c r="G3671" s="36" t="str">
        <f>IF(ISNUMBER(F3671),C3671*F3671,"")</f>
        <v/>
      </c>
    </row>
    <row r="3672" spans="1:7" ht="12" customHeight="1" outlineLevel="3" x14ac:dyDescent="0.2">
      <c r="A3672" s="14" t="s">
        <v>7235</v>
      </c>
      <c r="B3672" s="15" t="s">
        <v>7236</v>
      </c>
      <c r="C3672" s="16">
        <f>360.47/(1+B2)</f>
        <v>360.47</v>
      </c>
      <c r="D3672" s="17" t="s">
        <v>11</v>
      </c>
      <c r="E3672" s="17"/>
      <c r="F3672" s="18"/>
      <c r="G3672" s="36" t="str">
        <f>IF(ISNUMBER(F3672),C3672*F3672,"")</f>
        <v/>
      </c>
    </row>
    <row r="3673" spans="1:7" ht="12" customHeight="1" outlineLevel="3" x14ac:dyDescent="0.2">
      <c r="A3673" s="14" t="s">
        <v>7237</v>
      </c>
      <c r="B3673" s="15" t="s">
        <v>7238</v>
      </c>
      <c r="C3673" s="16">
        <f>360.47/(1+B2)</f>
        <v>360.47</v>
      </c>
      <c r="D3673" s="17" t="s">
        <v>11</v>
      </c>
      <c r="E3673" s="17"/>
      <c r="F3673" s="18"/>
      <c r="G3673" s="36" t="str">
        <f>IF(ISNUMBER(F3673),C3673*F3673,"")</f>
        <v/>
      </c>
    </row>
    <row r="3674" spans="1:7" ht="12" customHeight="1" outlineLevel="3" x14ac:dyDescent="0.2">
      <c r="A3674" s="14" t="s">
        <v>7239</v>
      </c>
      <c r="B3674" s="15" t="s">
        <v>7240</v>
      </c>
      <c r="C3674" s="16">
        <f>360.47/(1+B2)</f>
        <v>360.47</v>
      </c>
      <c r="D3674" s="17" t="s">
        <v>11</v>
      </c>
      <c r="E3674" s="17"/>
      <c r="F3674" s="18"/>
      <c r="G3674" s="36" t="str">
        <f>IF(ISNUMBER(F3674),C3674*F3674,"")</f>
        <v/>
      </c>
    </row>
    <row r="3675" spans="1:7" ht="12" customHeight="1" outlineLevel="3" x14ac:dyDescent="0.2">
      <c r="A3675" s="14" t="s">
        <v>7241</v>
      </c>
      <c r="B3675" s="15" t="s">
        <v>7242</v>
      </c>
      <c r="C3675" s="16">
        <f>392.06/(1+B2)</f>
        <v>392.06</v>
      </c>
      <c r="D3675" s="17" t="s">
        <v>11</v>
      </c>
      <c r="E3675" s="17"/>
      <c r="F3675" s="18"/>
      <c r="G3675" s="36" t="str">
        <f>IF(ISNUMBER(F3675),C3675*F3675,"")</f>
        <v/>
      </c>
    </row>
    <row r="3676" spans="1:7" ht="12" customHeight="1" outlineLevel="3" x14ac:dyDescent="0.2">
      <c r="A3676" s="14" t="s">
        <v>7243</v>
      </c>
      <c r="B3676" s="15" t="s">
        <v>7244</v>
      </c>
      <c r="C3676" s="16">
        <f>348.24/(1+B2)</f>
        <v>348.24</v>
      </c>
      <c r="D3676" s="17" t="s">
        <v>11</v>
      </c>
      <c r="E3676" s="17"/>
      <c r="F3676" s="18"/>
      <c r="G3676" s="36" t="str">
        <f>IF(ISNUMBER(F3676),C3676*F3676,"")</f>
        <v/>
      </c>
    </row>
    <row r="3677" spans="1:7" ht="12" customHeight="1" outlineLevel="3" x14ac:dyDescent="0.2">
      <c r="A3677" s="14" t="s">
        <v>7245</v>
      </c>
      <c r="B3677" s="15" t="s">
        <v>7246</v>
      </c>
      <c r="C3677" s="16">
        <f>348.24/(1+B2)</f>
        <v>348.24</v>
      </c>
      <c r="D3677" s="17" t="s">
        <v>11</v>
      </c>
      <c r="E3677" s="17"/>
      <c r="F3677" s="18"/>
      <c r="G3677" s="36" t="str">
        <f>IF(ISNUMBER(F3677),C3677*F3677,"")</f>
        <v/>
      </c>
    </row>
    <row r="3678" spans="1:7" ht="12" customHeight="1" outlineLevel="3" x14ac:dyDescent="0.2">
      <c r="A3678" s="14" t="s">
        <v>7247</v>
      </c>
      <c r="B3678" s="15" t="s">
        <v>7248</v>
      </c>
      <c r="C3678" s="16">
        <f>360.47/(1+B2)</f>
        <v>360.47</v>
      </c>
      <c r="D3678" s="17" t="s">
        <v>11</v>
      </c>
      <c r="E3678" s="17"/>
      <c r="F3678" s="18"/>
      <c r="G3678" s="36" t="str">
        <f>IF(ISNUMBER(F3678),C3678*F3678,"")</f>
        <v/>
      </c>
    </row>
    <row r="3679" spans="1:7" ht="12" customHeight="1" outlineLevel="3" x14ac:dyDescent="0.2">
      <c r="A3679" s="14" t="s">
        <v>7249</v>
      </c>
      <c r="B3679" s="15" t="s">
        <v>7250</v>
      </c>
      <c r="C3679" s="16">
        <f>354.64/(1+B2)</f>
        <v>354.64</v>
      </c>
      <c r="D3679" s="17" t="s">
        <v>11</v>
      </c>
      <c r="E3679" s="17"/>
      <c r="F3679" s="18"/>
      <c r="G3679" s="36" t="str">
        <f>IF(ISNUMBER(F3679),C3679*F3679,"")</f>
        <v/>
      </c>
    </row>
    <row r="3680" spans="1:7" ht="12" customHeight="1" outlineLevel="3" x14ac:dyDescent="0.2">
      <c r="A3680" s="14" t="s">
        <v>7251</v>
      </c>
      <c r="B3680" s="15" t="s">
        <v>7252</v>
      </c>
      <c r="C3680" s="16">
        <f>354.64/(1+B2)</f>
        <v>354.64</v>
      </c>
      <c r="D3680" s="17" t="s">
        <v>11</v>
      </c>
      <c r="E3680" s="17"/>
      <c r="F3680" s="18"/>
      <c r="G3680" s="36" t="str">
        <f>IF(ISNUMBER(F3680),C3680*F3680,"")</f>
        <v/>
      </c>
    </row>
    <row r="3681" spans="1:7" ht="12" customHeight="1" outlineLevel="3" x14ac:dyDescent="0.2">
      <c r="A3681" s="14" t="s">
        <v>7253</v>
      </c>
      <c r="B3681" s="15" t="s">
        <v>7254</v>
      </c>
      <c r="C3681" s="16">
        <f>401.35/(1+B2)</f>
        <v>401.35</v>
      </c>
      <c r="D3681" s="17" t="s">
        <v>11</v>
      </c>
      <c r="E3681" s="17"/>
      <c r="F3681" s="18"/>
      <c r="G3681" s="36" t="str">
        <f>IF(ISNUMBER(F3681),C3681*F3681,"")</f>
        <v/>
      </c>
    </row>
    <row r="3682" spans="1:7" ht="12" customHeight="1" outlineLevel="3" x14ac:dyDescent="0.2">
      <c r="A3682" s="14" t="s">
        <v>7255</v>
      </c>
      <c r="B3682" s="15" t="s">
        <v>7256</v>
      </c>
      <c r="C3682" s="16">
        <f>360.47/(1+B2)</f>
        <v>360.47</v>
      </c>
      <c r="D3682" s="17" t="s">
        <v>11</v>
      </c>
      <c r="E3682" s="17"/>
      <c r="F3682" s="18"/>
      <c r="G3682" s="36" t="str">
        <f>IF(ISNUMBER(F3682),C3682*F3682,"")</f>
        <v/>
      </c>
    </row>
    <row r="3683" spans="1:7" ht="12" customHeight="1" outlineLevel="3" x14ac:dyDescent="0.2">
      <c r="A3683" s="14" t="s">
        <v>7257</v>
      </c>
      <c r="B3683" s="15" t="s">
        <v>7258</v>
      </c>
      <c r="C3683" s="16">
        <f>360.47/(1+B2)</f>
        <v>360.47</v>
      </c>
      <c r="D3683" s="17" t="s">
        <v>11</v>
      </c>
      <c r="E3683" s="17"/>
      <c r="F3683" s="18"/>
      <c r="G3683" s="36" t="str">
        <f>IF(ISNUMBER(F3683),C3683*F3683,"")</f>
        <v/>
      </c>
    </row>
    <row r="3684" spans="1:7" ht="12" customHeight="1" outlineLevel="3" x14ac:dyDescent="0.2">
      <c r="A3684" s="14" t="s">
        <v>7259</v>
      </c>
      <c r="B3684" s="15" t="s">
        <v>7260</v>
      </c>
      <c r="C3684" s="16">
        <f>348.24/(1+B2)</f>
        <v>348.24</v>
      </c>
      <c r="D3684" s="17" t="s">
        <v>11</v>
      </c>
      <c r="E3684" s="17"/>
      <c r="F3684" s="18"/>
      <c r="G3684" s="36" t="str">
        <f>IF(ISNUMBER(F3684),C3684*F3684,"")</f>
        <v/>
      </c>
    </row>
    <row r="3685" spans="1:7" ht="12" customHeight="1" outlineLevel="3" x14ac:dyDescent="0.2">
      <c r="A3685" s="14" t="s">
        <v>7261</v>
      </c>
      <c r="B3685" s="15" t="s">
        <v>7262</v>
      </c>
      <c r="C3685" s="16">
        <f>354.64/(1+B2)</f>
        <v>354.64</v>
      </c>
      <c r="D3685" s="17" t="s">
        <v>11</v>
      </c>
      <c r="E3685" s="17"/>
      <c r="F3685" s="18"/>
      <c r="G3685" s="36" t="str">
        <f>IF(ISNUMBER(F3685),C3685*F3685,"")</f>
        <v/>
      </c>
    </row>
    <row r="3686" spans="1:7" ht="12" customHeight="1" outlineLevel="3" x14ac:dyDescent="0.2">
      <c r="A3686" s="14" t="s">
        <v>7263</v>
      </c>
      <c r="B3686" s="15" t="s">
        <v>7264</v>
      </c>
      <c r="C3686" s="16">
        <f>434.29/(1+B2)</f>
        <v>434.29</v>
      </c>
      <c r="D3686" s="17" t="s">
        <v>11</v>
      </c>
      <c r="E3686" s="17"/>
      <c r="F3686" s="18"/>
      <c r="G3686" s="36" t="str">
        <f>IF(ISNUMBER(F3686),C3686*F3686,"")</f>
        <v/>
      </c>
    </row>
    <row r="3687" spans="1:7" ht="12" customHeight="1" outlineLevel="3" x14ac:dyDescent="0.2">
      <c r="A3687" s="14" t="s">
        <v>7265</v>
      </c>
      <c r="B3687" s="15" t="s">
        <v>7266</v>
      </c>
      <c r="C3687" s="16">
        <f>138.48/(1+B2)</f>
        <v>138.47999999999999</v>
      </c>
      <c r="D3687" s="17" t="s">
        <v>11</v>
      </c>
      <c r="E3687" s="17"/>
      <c r="F3687" s="18"/>
      <c r="G3687" s="36" t="str">
        <f>IF(ISNUMBER(F3687),C3687*F3687,"")</f>
        <v/>
      </c>
    </row>
    <row r="3688" spans="1:7" ht="12" customHeight="1" outlineLevel="3" x14ac:dyDescent="0.2">
      <c r="A3688" s="14" t="s">
        <v>7267</v>
      </c>
      <c r="B3688" s="15" t="s">
        <v>7268</v>
      </c>
      <c r="C3688" s="16">
        <f>65.05/(1+B2)</f>
        <v>65.05</v>
      </c>
      <c r="D3688" s="17" t="s">
        <v>11</v>
      </c>
      <c r="E3688" s="17"/>
      <c r="F3688" s="18"/>
      <c r="G3688" s="36" t="str">
        <f>IF(ISNUMBER(F3688),C3688*F3688,"")</f>
        <v/>
      </c>
    </row>
    <row r="3689" spans="1:7" ht="12" customHeight="1" outlineLevel="3" x14ac:dyDescent="0.2">
      <c r="A3689" s="14" t="s">
        <v>7269</v>
      </c>
      <c r="B3689" s="15" t="s">
        <v>7270</v>
      </c>
      <c r="C3689" s="16">
        <f>65.05/(1+B2)</f>
        <v>65.05</v>
      </c>
      <c r="D3689" s="17" t="s">
        <v>11</v>
      </c>
      <c r="E3689" s="17"/>
      <c r="F3689" s="18"/>
      <c r="G3689" s="36" t="str">
        <f>IF(ISNUMBER(F3689),C3689*F3689,"")</f>
        <v/>
      </c>
    </row>
    <row r="3690" spans="1:7" ht="12" customHeight="1" outlineLevel="3" x14ac:dyDescent="0.2">
      <c r="A3690" s="14" t="s">
        <v>7271</v>
      </c>
      <c r="B3690" s="15" t="s">
        <v>7272</v>
      </c>
      <c r="C3690" s="16">
        <f>80.59/(1+B2)</f>
        <v>80.59</v>
      </c>
      <c r="D3690" s="17" t="s">
        <v>11</v>
      </c>
      <c r="E3690" s="17" t="s">
        <v>14</v>
      </c>
      <c r="F3690" s="18"/>
      <c r="G3690" s="36" t="str">
        <f>IF(ISNUMBER(F3690),C3690*F3690,"")</f>
        <v/>
      </c>
    </row>
    <row r="3691" spans="1:7" ht="12" customHeight="1" outlineLevel="3" x14ac:dyDescent="0.2">
      <c r="A3691" s="14" t="s">
        <v>7273</v>
      </c>
      <c r="B3691" s="15" t="s">
        <v>7274</v>
      </c>
      <c r="C3691" s="16">
        <f>65.05/(1+B2)</f>
        <v>65.05</v>
      </c>
      <c r="D3691" s="17" t="s">
        <v>11</v>
      </c>
      <c r="E3691" s="17"/>
      <c r="F3691" s="18"/>
      <c r="G3691" s="36" t="str">
        <f>IF(ISNUMBER(F3691),C3691*F3691,"")</f>
        <v/>
      </c>
    </row>
    <row r="3692" spans="1:7" ht="12" customHeight="1" outlineLevel="3" x14ac:dyDescent="0.2">
      <c r="A3692" s="14" t="s">
        <v>7275</v>
      </c>
      <c r="B3692" s="15" t="s">
        <v>7276</v>
      </c>
      <c r="C3692" s="16">
        <f>65.05/(1+B2)</f>
        <v>65.05</v>
      </c>
      <c r="D3692" s="17" t="s">
        <v>11</v>
      </c>
      <c r="E3692" s="17" t="s">
        <v>11</v>
      </c>
      <c r="F3692" s="18"/>
      <c r="G3692" s="36" t="str">
        <f>IF(ISNUMBER(F3692),C3692*F3692,"")</f>
        <v/>
      </c>
    </row>
    <row r="3693" spans="1:7" ht="12" customHeight="1" outlineLevel="3" x14ac:dyDescent="0.2">
      <c r="A3693" s="14" t="s">
        <v>7277</v>
      </c>
      <c r="B3693" s="15" t="s">
        <v>7278</v>
      </c>
      <c r="C3693" s="16">
        <f>65.05/(1+B2)</f>
        <v>65.05</v>
      </c>
      <c r="D3693" s="17" t="s">
        <v>11</v>
      </c>
      <c r="E3693" s="17"/>
      <c r="F3693" s="18"/>
      <c r="G3693" s="36" t="str">
        <f>IF(ISNUMBER(F3693),C3693*F3693,"")</f>
        <v/>
      </c>
    </row>
    <row r="3694" spans="1:7" ht="12" customHeight="1" outlineLevel="3" x14ac:dyDescent="0.2">
      <c r="A3694" s="14" t="s">
        <v>7279</v>
      </c>
      <c r="B3694" s="15" t="s">
        <v>7280</v>
      </c>
      <c r="C3694" s="16">
        <f>54.62/(1+B2)</f>
        <v>54.62</v>
      </c>
      <c r="D3694" s="17" t="s">
        <v>11</v>
      </c>
      <c r="E3694" s="17" t="s">
        <v>11</v>
      </c>
      <c r="F3694" s="18"/>
      <c r="G3694" s="36" t="str">
        <f>IF(ISNUMBER(F3694),C3694*F3694,"")</f>
        <v/>
      </c>
    </row>
    <row r="3695" spans="1:7" ht="12" customHeight="1" outlineLevel="3" x14ac:dyDescent="0.2">
      <c r="A3695" s="14" t="s">
        <v>7281</v>
      </c>
      <c r="B3695" s="15" t="s">
        <v>7282</v>
      </c>
      <c r="C3695" s="16">
        <f>65.05/(1+B2)</f>
        <v>65.05</v>
      </c>
      <c r="D3695" s="17" t="s">
        <v>11</v>
      </c>
      <c r="E3695" s="17"/>
      <c r="F3695" s="18"/>
      <c r="G3695" s="36" t="str">
        <f>IF(ISNUMBER(F3695),C3695*F3695,"")</f>
        <v/>
      </c>
    </row>
    <row r="3696" spans="1:7" ht="12" customHeight="1" outlineLevel="3" x14ac:dyDescent="0.2">
      <c r="A3696" s="14" t="s">
        <v>7283</v>
      </c>
      <c r="B3696" s="15" t="s">
        <v>7284</v>
      </c>
      <c r="C3696" s="16">
        <f>65.05/(1+B2)</f>
        <v>65.05</v>
      </c>
      <c r="D3696" s="17" t="s">
        <v>11</v>
      </c>
      <c r="E3696" s="17" t="s">
        <v>11</v>
      </c>
      <c r="F3696" s="18"/>
      <c r="G3696" s="36" t="str">
        <f>IF(ISNUMBER(F3696),C3696*F3696,"")</f>
        <v/>
      </c>
    </row>
    <row r="3697" spans="1:7" ht="12" customHeight="1" outlineLevel="3" x14ac:dyDescent="0.2">
      <c r="A3697" s="14" t="s">
        <v>7285</v>
      </c>
      <c r="B3697" s="15" t="s">
        <v>7286</v>
      </c>
      <c r="C3697" s="16">
        <f>83.62/(1+B2)</f>
        <v>83.62</v>
      </c>
      <c r="D3697" s="17" t="s">
        <v>11</v>
      </c>
      <c r="E3697" s="17" t="s">
        <v>14</v>
      </c>
      <c r="F3697" s="18"/>
      <c r="G3697" s="36" t="str">
        <f>IF(ISNUMBER(F3697),C3697*F3697,"")</f>
        <v/>
      </c>
    </row>
    <row r="3698" spans="1:7" ht="12" customHeight="1" outlineLevel="3" x14ac:dyDescent="0.2">
      <c r="A3698" s="14" t="s">
        <v>7287</v>
      </c>
      <c r="B3698" s="15" t="s">
        <v>7288</v>
      </c>
      <c r="C3698" s="16">
        <f>65.05/(1+B2)</f>
        <v>65.05</v>
      </c>
      <c r="D3698" s="17" t="s">
        <v>11</v>
      </c>
      <c r="E3698" s="17"/>
      <c r="F3698" s="18"/>
      <c r="G3698" s="36" t="str">
        <f>IF(ISNUMBER(F3698),C3698*F3698,"")</f>
        <v/>
      </c>
    </row>
    <row r="3699" spans="1:7" ht="12" customHeight="1" outlineLevel="3" x14ac:dyDescent="0.2">
      <c r="A3699" s="14" t="s">
        <v>7289</v>
      </c>
      <c r="B3699" s="15" t="s">
        <v>7290</v>
      </c>
      <c r="C3699" s="16">
        <f>58.15/(1+B2)</f>
        <v>58.15</v>
      </c>
      <c r="D3699" s="17" t="s">
        <v>11</v>
      </c>
      <c r="E3699" s="17"/>
      <c r="F3699" s="18"/>
      <c r="G3699" s="36" t="str">
        <f>IF(ISNUMBER(F3699),C3699*F3699,"")</f>
        <v/>
      </c>
    </row>
    <row r="3700" spans="1:7" ht="12" customHeight="1" outlineLevel="3" x14ac:dyDescent="0.2">
      <c r="A3700" s="14" t="s">
        <v>7291</v>
      </c>
      <c r="B3700" s="15" t="s">
        <v>7292</v>
      </c>
      <c r="C3700" s="16">
        <f>83.62/(1+B2)</f>
        <v>83.62</v>
      </c>
      <c r="D3700" s="17" t="s">
        <v>11</v>
      </c>
      <c r="E3700" s="17" t="s">
        <v>14</v>
      </c>
      <c r="F3700" s="18"/>
      <c r="G3700" s="36" t="str">
        <f>IF(ISNUMBER(F3700),C3700*F3700,"")</f>
        <v/>
      </c>
    </row>
    <row r="3701" spans="1:7" ht="12" customHeight="1" outlineLevel="3" x14ac:dyDescent="0.2">
      <c r="A3701" s="14" t="s">
        <v>7293</v>
      </c>
      <c r="B3701" s="15" t="s">
        <v>7294</v>
      </c>
      <c r="C3701" s="16">
        <f>83.62/(1+B2)</f>
        <v>83.62</v>
      </c>
      <c r="D3701" s="17" t="s">
        <v>11</v>
      </c>
      <c r="E3701" s="17" t="s">
        <v>11</v>
      </c>
      <c r="F3701" s="18"/>
      <c r="G3701" s="36" t="str">
        <f>IF(ISNUMBER(F3701),C3701*F3701,"")</f>
        <v/>
      </c>
    </row>
    <row r="3702" spans="1:7" ht="12" customHeight="1" outlineLevel="3" x14ac:dyDescent="0.2">
      <c r="A3702" s="14" t="s">
        <v>7295</v>
      </c>
      <c r="B3702" s="15" t="s">
        <v>7296</v>
      </c>
      <c r="C3702" s="16">
        <f>178.98/(1+B2)</f>
        <v>178.98</v>
      </c>
      <c r="D3702" s="17" t="s">
        <v>11</v>
      </c>
      <c r="E3702" s="17"/>
      <c r="F3702" s="18"/>
      <c r="G3702" s="36" t="str">
        <f>IF(ISNUMBER(F3702),C3702*F3702,"")</f>
        <v/>
      </c>
    </row>
    <row r="3703" spans="1:7" ht="12" customHeight="1" outlineLevel="3" x14ac:dyDescent="0.2">
      <c r="A3703" s="14" t="s">
        <v>7297</v>
      </c>
      <c r="B3703" s="15" t="s">
        <v>7298</v>
      </c>
      <c r="C3703" s="16">
        <f>178.98/(1+B2)</f>
        <v>178.98</v>
      </c>
      <c r="D3703" s="17" t="s">
        <v>11</v>
      </c>
      <c r="E3703" s="17"/>
      <c r="F3703" s="18"/>
      <c r="G3703" s="36" t="str">
        <f>IF(ISNUMBER(F3703),C3703*F3703,"")</f>
        <v/>
      </c>
    </row>
    <row r="3704" spans="1:7" ht="12" customHeight="1" outlineLevel="3" x14ac:dyDescent="0.2">
      <c r="A3704" s="14" t="s">
        <v>7299</v>
      </c>
      <c r="B3704" s="15" t="s">
        <v>7300</v>
      </c>
      <c r="C3704" s="16">
        <f>283.88/(1+B2)</f>
        <v>283.88</v>
      </c>
      <c r="D3704" s="17" t="s">
        <v>11</v>
      </c>
      <c r="E3704" s="17"/>
      <c r="F3704" s="18"/>
      <c r="G3704" s="36" t="str">
        <f>IF(ISNUMBER(F3704),C3704*F3704,"")</f>
        <v/>
      </c>
    </row>
    <row r="3705" spans="1:7" ht="12" customHeight="1" outlineLevel="3" x14ac:dyDescent="0.2">
      <c r="A3705" s="14" t="s">
        <v>7301</v>
      </c>
      <c r="B3705" s="15" t="s">
        <v>7302</v>
      </c>
      <c r="C3705" s="16">
        <f>284.08/(1+B2)</f>
        <v>284.08</v>
      </c>
      <c r="D3705" s="17" t="s">
        <v>11</v>
      </c>
      <c r="E3705" s="17" t="s">
        <v>11</v>
      </c>
      <c r="F3705" s="18"/>
      <c r="G3705" s="36" t="str">
        <f>IF(ISNUMBER(F3705),C3705*F3705,"")</f>
        <v/>
      </c>
    </row>
    <row r="3706" spans="1:7" ht="12" customHeight="1" outlineLevel="3" x14ac:dyDescent="0.2">
      <c r="A3706" s="14" t="s">
        <v>7303</v>
      </c>
      <c r="B3706" s="15" t="s">
        <v>7304</v>
      </c>
      <c r="C3706" s="16">
        <f>248.69/(1+B2)</f>
        <v>248.69</v>
      </c>
      <c r="D3706" s="17" t="s">
        <v>11</v>
      </c>
      <c r="E3706" s="17" t="s">
        <v>11</v>
      </c>
      <c r="F3706" s="18"/>
      <c r="G3706" s="36" t="str">
        <f>IF(ISNUMBER(F3706),C3706*F3706,"")</f>
        <v/>
      </c>
    </row>
    <row r="3707" spans="1:7" ht="12" customHeight="1" outlineLevel="3" x14ac:dyDescent="0.2">
      <c r="A3707" s="14" t="s">
        <v>7305</v>
      </c>
      <c r="B3707" s="15" t="s">
        <v>7306</v>
      </c>
      <c r="C3707" s="16">
        <f>261.85/(1+B2)</f>
        <v>261.85000000000002</v>
      </c>
      <c r="D3707" s="17" t="s">
        <v>11</v>
      </c>
      <c r="E3707" s="17"/>
      <c r="F3707" s="18"/>
      <c r="G3707" s="36" t="str">
        <f>IF(ISNUMBER(F3707),C3707*F3707,"")</f>
        <v/>
      </c>
    </row>
    <row r="3708" spans="1:7" ht="12" customHeight="1" outlineLevel="3" x14ac:dyDescent="0.2">
      <c r="A3708" s="14" t="s">
        <v>7307</v>
      </c>
      <c r="B3708" s="15" t="s">
        <v>7308</v>
      </c>
      <c r="C3708" s="16">
        <f>286.01/(1+B2)</f>
        <v>286.01</v>
      </c>
      <c r="D3708" s="17" t="s">
        <v>11</v>
      </c>
      <c r="E3708" s="17"/>
      <c r="F3708" s="18"/>
      <c r="G3708" s="36" t="str">
        <f>IF(ISNUMBER(F3708),C3708*F3708,"")</f>
        <v/>
      </c>
    </row>
    <row r="3709" spans="1:7" ht="12" customHeight="1" outlineLevel="3" x14ac:dyDescent="0.2">
      <c r="A3709" s="14" t="s">
        <v>7309</v>
      </c>
      <c r="B3709" s="15" t="s">
        <v>7310</v>
      </c>
      <c r="C3709" s="16">
        <f>374.64/(1+B2)</f>
        <v>374.64</v>
      </c>
      <c r="D3709" s="17" t="s">
        <v>11</v>
      </c>
      <c r="E3709" s="17"/>
      <c r="F3709" s="18"/>
      <c r="G3709" s="36" t="str">
        <f>IF(ISNUMBER(F3709),C3709*F3709,"")</f>
        <v/>
      </c>
    </row>
    <row r="3710" spans="1:7" ht="12" customHeight="1" outlineLevel="3" x14ac:dyDescent="0.2">
      <c r="A3710" s="14" t="s">
        <v>7311</v>
      </c>
      <c r="B3710" s="15" t="s">
        <v>7312</v>
      </c>
      <c r="C3710" s="16">
        <f>374.64/(1+B2)</f>
        <v>374.64</v>
      </c>
      <c r="D3710" s="17" t="s">
        <v>11</v>
      </c>
      <c r="E3710" s="17"/>
      <c r="F3710" s="18"/>
      <c r="G3710" s="36" t="str">
        <f>IF(ISNUMBER(F3710),C3710*F3710,"")</f>
        <v/>
      </c>
    </row>
    <row r="3711" spans="1:7" ht="12" customHeight="1" outlineLevel="3" x14ac:dyDescent="0.2">
      <c r="A3711" s="14" t="s">
        <v>7313</v>
      </c>
      <c r="B3711" s="15" t="s">
        <v>7314</v>
      </c>
      <c r="C3711" s="16">
        <f>328.92/(1+B2)</f>
        <v>328.92</v>
      </c>
      <c r="D3711" s="17" t="s">
        <v>11</v>
      </c>
      <c r="E3711" s="17"/>
      <c r="F3711" s="18"/>
      <c r="G3711" s="36" t="str">
        <f>IF(ISNUMBER(F3711),C3711*F3711,"")</f>
        <v/>
      </c>
    </row>
    <row r="3712" spans="1:7" ht="12" customHeight="1" outlineLevel="3" x14ac:dyDescent="0.2">
      <c r="A3712" s="14" t="s">
        <v>7315</v>
      </c>
      <c r="B3712" s="15" t="s">
        <v>7316</v>
      </c>
      <c r="C3712" s="16">
        <f>551.65/(1+B2)</f>
        <v>551.65</v>
      </c>
      <c r="D3712" s="17" t="s">
        <v>11</v>
      </c>
      <c r="E3712" s="17"/>
      <c r="F3712" s="18"/>
      <c r="G3712" s="36" t="str">
        <f>IF(ISNUMBER(F3712),C3712*F3712,"")</f>
        <v/>
      </c>
    </row>
    <row r="3713" spans="1:7" ht="12" customHeight="1" outlineLevel="3" x14ac:dyDescent="0.2">
      <c r="A3713" s="14" t="s">
        <v>7317</v>
      </c>
      <c r="B3713" s="15" t="s">
        <v>7318</v>
      </c>
      <c r="C3713" s="16">
        <f>525.38/(1+B2)</f>
        <v>525.38</v>
      </c>
      <c r="D3713" s="17" t="s">
        <v>11</v>
      </c>
      <c r="E3713" s="17"/>
      <c r="F3713" s="18"/>
      <c r="G3713" s="36" t="str">
        <f>IF(ISNUMBER(F3713),C3713*F3713,"")</f>
        <v/>
      </c>
    </row>
    <row r="3714" spans="1:7" s="1" customFormat="1" ht="12.95" customHeight="1" outlineLevel="2" x14ac:dyDescent="0.2">
      <c r="A3714" s="20"/>
      <c r="B3714" s="21" t="s">
        <v>7319</v>
      </c>
      <c r="C3714" s="22"/>
      <c r="D3714" s="22"/>
      <c r="E3714" s="22"/>
      <c r="F3714" s="22"/>
      <c r="G3714" s="37"/>
    </row>
    <row r="3715" spans="1:7" ht="12" customHeight="1" outlineLevel="3" x14ac:dyDescent="0.2">
      <c r="A3715" s="14" t="s">
        <v>7320</v>
      </c>
      <c r="B3715" s="15" t="s">
        <v>7321</v>
      </c>
      <c r="C3715" s="19">
        <f>1038.19/(1+B2)</f>
        <v>1038.19</v>
      </c>
      <c r="D3715" s="17" t="s">
        <v>11</v>
      </c>
      <c r="E3715" s="17"/>
      <c r="F3715" s="18"/>
      <c r="G3715" s="36" t="str">
        <f>IF(ISNUMBER(F3715),C3715*F3715,"")</f>
        <v/>
      </c>
    </row>
    <row r="3716" spans="1:7" ht="12" customHeight="1" outlineLevel="3" x14ac:dyDescent="0.2">
      <c r="A3716" s="14" t="s">
        <v>7322</v>
      </c>
      <c r="B3716" s="15" t="s">
        <v>7323</v>
      </c>
      <c r="C3716" s="16">
        <f>592.87/(1+B2)</f>
        <v>592.87</v>
      </c>
      <c r="D3716" s="17" t="s">
        <v>11</v>
      </c>
      <c r="E3716" s="17"/>
      <c r="F3716" s="18"/>
      <c r="G3716" s="36" t="str">
        <f>IF(ISNUMBER(F3716),C3716*F3716,"")</f>
        <v/>
      </c>
    </row>
    <row r="3717" spans="1:7" ht="12" customHeight="1" outlineLevel="3" x14ac:dyDescent="0.2">
      <c r="A3717" s="14" t="s">
        <v>7324</v>
      </c>
      <c r="B3717" s="15" t="s">
        <v>7325</v>
      </c>
      <c r="C3717" s="16">
        <f>477/(1+B2)</f>
        <v>477</v>
      </c>
      <c r="D3717" s="17" t="s">
        <v>11</v>
      </c>
      <c r="E3717" s="17"/>
      <c r="F3717" s="18"/>
      <c r="G3717" s="36" t="str">
        <f>IF(ISNUMBER(F3717),C3717*F3717,"")</f>
        <v/>
      </c>
    </row>
    <row r="3718" spans="1:7" ht="12" customHeight="1" outlineLevel="3" x14ac:dyDescent="0.2">
      <c r="A3718" s="14" t="s">
        <v>7326</v>
      </c>
      <c r="B3718" s="15" t="s">
        <v>7327</v>
      </c>
      <c r="C3718" s="16">
        <f>774.38/(1+B2)</f>
        <v>774.38</v>
      </c>
      <c r="D3718" s="17" t="s">
        <v>11</v>
      </c>
      <c r="E3718" s="17"/>
      <c r="F3718" s="18"/>
      <c r="G3718" s="36" t="str">
        <f>IF(ISNUMBER(F3718),C3718*F3718,"")</f>
        <v/>
      </c>
    </row>
    <row r="3719" spans="1:7" ht="12" customHeight="1" outlineLevel="3" x14ac:dyDescent="0.2">
      <c r="A3719" s="14" t="s">
        <v>7328</v>
      </c>
      <c r="B3719" s="15" t="s">
        <v>7329</v>
      </c>
      <c r="C3719" s="16">
        <f>762.17/(1+B2)</f>
        <v>762.17</v>
      </c>
      <c r="D3719" s="17" t="s">
        <v>11</v>
      </c>
      <c r="E3719" s="17"/>
      <c r="F3719" s="18"/>
      <c r="G3719" s="36" t="str">
        <f>IF(ISNUMBER(F3719),C3719*F3719,"")</f>
        <v/>
      </c>
    </row>
    <row r="3720" spans="1:7" ht="12" customHeight="1" outlineLevel="3" x14ac:dyDescent="0.2">
      <c r="A3720" s="14" t="s">
        <v>7330</v>
      </c>
      <c r="B3720" s="15" t="s">
        <v>7331</v>
      </c>
      <c r="C3720" s="16">
        <f>529.2/(1+B2)</f>
        <v>529.20000000000005</v>
      </c>
      <c r="D3720" s="17" t="s">
        <v>11</v>
      </c>
      <c r="E3720" s="17"/>
      <c r="F3720" s="18"/>
      <c r="G3720" s="36" t="str">
        <f>IF(ISNUMBER(F3720),C3720*F3720,"")</f>
        <v/>
      </c>
    </row>
    <row r="3721" spans="1:7" ht="12" customHeight="1" outlineLevel="3" x14ac:dyDescent="0.2">
      <c r="A3721" s="14" t="s">
        <v>7332</v>
      </c>
      <c r="B3721" s="15" t="s">
        <v>7333</v>
      </c>
      <c r="C3721" s="16">
        <f>702.6/(1+B2)</f>
        <v>702.6</v>
      </c>
      <c r="D3721" s="17" t="s">
        <v>11</v>
      </c>
      <c r="E3721" s="17"/>
      <c r="F3721" s="18"/>
      <c r="G3721" s="36" t="str">
        <f>IF(ISNUMBER(F3721),C3721*F3721,"")</f>
        <v/>
      </c>
    </row>
    <row r="3722" spans="1:7" ht="12" customHeight="1" outlineLevel="3" x14ac:dyDescent="0.2">
      <c r="A3722" s="14" t="s">
        <v>7334</v>
      </c>
      <c r="B3722" s="15" t="s">
        <v>7335</v>
      </c>
      <c r="C3722" s="16">
        <f>475.02/(1+B2)</f>
        <v>475.02</v>
      </c>
      <c r="D3722" s="17" t="s">
        <v>11</v>
      </c>
      <c r="E3722" s="17"/>
      <c r="F3722" s="18"/>
      <c r="G3722" s="36" t="str">
        <f>IF(ISNUMBER(F3722),C3722*F3722,"")</f>
        <v/>
      </c>
    </row>
    <row r="3723" spans="1:7" ht="12" customHeight="1" outlineLevel="3" x14ac:dyDescent="0.2">
      <c r="A3723" s="14" t="s">
        <v>7336</v>
      </c>
      <c r="B3723" s="15" t="s">
        <v>7337</v>
      </c>
      <c r="C3723" s="16">
        <f>446.49/(1+B2)</f>
        <v>446.49</v>
      </c>
      <c r="D3723" s="17" t="s">
        <v>11</v>
      </c>
      <c r="E3723" s="17"/>
      <c r="F3723" s="18"/>
      <c r="G3723" s="36" t="str">
        <f>IF(ISNUMBER(F3723),C3723*F3723,"")</f>
        <v/>
      </c>
    </row>
    <row r="3724" spans="1:7" ht="24" customHeight="1" outlineLevel="3" x14ac:dyDescent="0.2">
      <c r="A3724" s="14" t="s">
        <v>7338</v>
      </c>
      <c r="B3724" s="15" t="s">
        <v>7339</v>
      </c>
      <c r="C3724" s="16">
        <f>601.79/(1+B2)</f>
        <v>601.79</v>
      </c>
      <c r="D3724" s="17" t="s">
        <v>11</v>
      </c>
      <c r="E3724" s="17"/>
      <c r="F3724" s="18"/>
      <c r="G3724" s="36" t="str">
        <f>IF(ISNUMBER(F3724),C3724*F3724,"")</f>
        <v/>
      </c>
    </row>
    <row r="3725" spans="1:7" ht="12" customHeight="1" outlineLevel="3" x14ac:dyDescent="0.2">
      <c r="A3725" s="14" t="s">
        <v>7340</v>
      </c>
      <c r="B3725" s="15" t="s">
        <v>7341</v>
      </c>
      <c r="C3725" s="16">
        <f>601.79/(1+B2)</f>
        <v>601.79</v>
      </c>
      <c r="D3725" s="17" t="s">
        <v>11</v>
      </c>
      <c r="E3725" s="17"/>
      <c r="F3725" s="18"/>
      <c r="G3725" s="36" t="str">
        <f>IF(ISNUMBER(F3725),C3725*F3725,"")</f>
        <v/>
      </c>
    </row>
    <row r="3726" spans="1:7" ht="12" customHeight="1" outlineLevel="3" x14ac:dyDescent="0.2">
      <c r="A3726" s="14" t="s">
        <v>7342</v>
      </c>
      <c r="B3726" s="15" t="s">
        <v>7343</v>
      </c>
      <c r="C3726" s="16">
        <f>335.45/(1+B2)</f>
        <v>335.45</v>
      </c>
      <c r="D3726" s="17" t="s">
        <v>11</v>
      </c>
      <c r="E3726" s="17"/>
      <c r="F3726" s="18"/>
      <c r="G3726" s="36" t="str">
        <f>IF(ISNUMBER(F3726),C3726*F3726,"")</f>
        <v/>
      </c>
    </row>
    <row r="3727" spans="1:7" ht="12" customHeight="1" outlineLevel="3" x14ac:dyDescent="0.2">
      <c r="A3727" s="14" t="s">
        <v>7344</v>
      </c>
      <c r="B3727" s="15" t="s">
        <v>7345</v>
      </c>
      <c r="C3727" s="16">
        <f>330.53/(1+B2)</f>
        <v>330.53</v>
      </c>
      <c r="D3727" s="17" t="s">
        <v>11</v>
      </c>
      <c r="E3727" s="17"/>
      <c r="F3727" s="18"/>
      <c r="G3727" s="36" t="str">
        <f>IF(ISNUMBER(F3727),C3727*F3727,"")</f>
        <v/>
      </c>
    </row>
    <row r="3728" spans="1:7" ht="12" customHeight="1" outlineLevel="3" x14ac:dyDescent="0.2">
      <c r="A3728" s="14" t="s">
        <v>7346</v>
      </c>
      <c r="B3728" s="15" t="s">
        <v>7347</v>
      </c>
      <c r="C3728" s="16">
        <f>441.42/(1+B2)</f>
        <v>441.42</v>
      </c>
      <c r="D3728" s="17" t="s">
        <v>11</v>
      </c>
      <c r="E3728" s="17"/>
      <c r="F3728" s="18"/>
      <c r="G3728" s="36" t="str">
        <f>IF(ISNUMBER(F3728),C3728*F3728,"")</f>
        <v/>
      </c>
    </row>
    <row r="3729" spans="1:7" ht="12" customHeight="1" outlineLevel="3" x14ac:dyDescent="0.2">
      <c r="A3729" s="14" t="s">
        <v>7348</v>
      </c>
      <c r="B3729" s="15" t="s">
        <v>7349</v>
      </c>
      <c r="C3729" s="16">
        <f>429.19/(1+B2)</f>
        <v>429.19</v>
      </c>
      <c r="D3729" s="17" t="s">
        <v>11</v>
      </c>
      <c r="E3729" s="17"/>
      <c r="F3729" s="18"/>
      <c r="G3729" s="36" t="str">
        <f>IF(ISNUMBER(F3729),C3729*F3729,"")</f>
        <v/>
      </c>
    </row>
    <row r="3730" spans="1:7" ht="12" customHeight="1" outlineLevel="3" x14ac:dyDescent="0.2">
      <c r="A3730" s="14" t="s">
        <v>7350</v>
      </c>
      <c r="B3730" s="15" t="s">
        <v>7351</v>
      </c>
      <c r="C3730" s="16">
        <f>458.22/(1+B2)</f>
        <v>458.22</v>
      </c>
      <c r="D3730" s="17" t="s">
        <v>11</v>
      </c>
      <c r="E3730" s="17"/>
      <c r="F3730" s="18"/>
      <c r="G3730" s="36" t="str">
        <f>IF(ISNUMBER(F3730),C3730*F3730,"")</f>
        <v/>
      </c>
    </row>
    <row r="3731" spans="1:7" ht="12" customHeight="1" outlineLevel="3" x14ac:dyDescent="0.2">
      <c r="A3731" s="14" t="s">
        <v>7352</v>
      </c>
      <c r="B3731" s="15" t="s">
        <v>7353</v>
      </c>
      <c r="C3731" s="16">
        <f>351.49/(1+B2)</f>
        <v>351.49</v>
      </c>
      <c r="D3731" s="17" t="s">
        <v>11</v>
      </c>
      <c r="E3731" s="17"/>
      <c r="F3731" s="18"/>
      <c r="G3731" s="36" t="str">
        <f>IF(ISNUMBER(F3731),C3731*F3731,"")</f>
        <v/>
      </c>
    </row>
    <row r="3732" spans="1:7" ht="12" customHeight="1" outlineLevel="3" x14ac:dyDescent="0.2">
      <c r="A3732" s="14" t="s">
        <v>7354</v>
      </c>
      <c r="B3732" s="15" t="s">
        <v>7355</v>
      </c>
      <c r="C3732" s="16">
        <f>315.97/(1+B2)</f>
        <v>315.97000000000003</v>
      </c>
      <c r="D3732" s="17" t="s">
        <v>11</v>
      </c>
      <c r="E3732" s="17"/>
      <c r="F3732" s="18"/>
      <c r="G3732" s="36" t="str">
        <f>IF(ISNUMBER(F3732),C3732*F3732,"")</f>
        <v/>
      </c>
    </row>
    <row r="3733" spans="1:7" ht="12" customHeight="1" outlineLevel="3" x14ac:dyDescent="0.2">
      <c r="A3733" s="14" t="s">
        <v>7356</v>
      </c>
      <c r="B3733" s="15" t="s">
        <v>7357</v>
      </c>
      <c r="C3733" s="16">
        <f>157.49/(1+B2)</f>
        <v>157.49</v>
      </c>
      <c r="D3733" s="17" t="s">
        <v>11</v>
      </c>
      <c r="E3733" s="17" t="s">
        <v>11</v>
      </c>
      <c r="F3733" s="18"/>
      <c r="G3733" s="36" t="str">
        <f>IF(ISNUMBER(F3733),C3733*F3733,"")</f>
        <v/>
      </c>
    </row>
    <row r="3734" spans="1:7" ht="12" customHeight="1" outlineLevel="3" x14ac:dyDescent="0.2">
      <c r="A3734" s="14" t="s">
        <v>7358</v>
      </c>
      <c r="B3734" s="15" t="s">
        <v>7359</v>
      </c>
      <c r="C3734" s="16">
        <f>368.1/(1+B2)</f>
        <v>368.1</v>
      </c>
      <c r="D3734" s="17" t="s">
        <v>11</v>
      </c>
      <c r="E3734" s="17"/>
      <c r="F3734" s="18"/>
      <c r="G3734" s="36" t="str">
        <f>IF(ISNUMBER(F3734),C3734*F3734,"")</f>
        <v/>
      </c>
    </row>
    <row r="3735" spans="1:7" ht="12" customHeight="1" outlineLevel="3" x14ac:dyDescent="0.2">
      <c r="A3735" s="14" t="s">
        <v>7360</v>
      </c>
      <c r="B3735" s="15" t="s">
        <v>7361</v>
      </c>
      <c r="C3735" s="16">
        <f>334.5/(1+B2)</f>
        <v>334.5</v>
      </c>
      <c r="D3735" s="17" t="s">
        <v>11</v>
      </c>
      <c r="E3735" s="17"/>
      <c r="F3735" s="18"/>
      <c r="G3735" s="36" t="str">
        <f>IF(ISNUMBER(F3735),C3735*F3735,"")</f>
        <v/>
      </c>
    </row>
    <row r="3736" spans="1:7" ht="12" customHeight="1" outlineLevel="3" x14ac:dyDescent="0.2">
      <c r="A3736" s="14" t="s">
        <v>7362</v>
      </c>
      <c r="B3736" s="15" t="s">
        <v>7363</v>
      </c>
      <c r="C3736" s="16">
        <f>368.1/(1+B2)</f>
        <v>368.1</v>
      </c>
      <c r="D3736" s="17" t="s">
        <v>11</v>
      </c>
      <c r="E3736" s="17"/>
      <c r="F3736" s="18"/>
      <c r="G3736" s="36" t="str">
        <f>IF(ISNUMBER(F3736),C3736*F3736,"")</f>
        <v/>
      </c>
    </row>
    <row r="3737" spans="1:7" ht="12" customHeight="1" outlineLevel="3" x14ac:dyDescent="0.2">
      <c r="A3737" s="14" t="s">
        <v>7364</v>
      </c>
      <c r="B3737" s="15" t="s">
        <v>7365</v>
      </c>
      <c r="C3737" s="16">
        <f>374.21/(1+B2)</f>
        <v>374.21</v>
      </c>
      <c r="D3737" s="17" t="s">
        <v>11</v>
      </c>
      <c r="E3737" s="17"/>
      <c r="F3737" s="18"/>
      <c r="G3737" s="36" t="str">
        <f>IF(ISNUMBER(F3737),C3737*F3737,"")</f>
        <v/>
      </c>
    </row>
    <row r="3738" spans="1:7" ht="12" customHeight="1" outlineLevel="3" x14ac:dyDescent="0.2">
      <c r="A3738" s="14" t="s">
        <v>7366</v>
      </c>
      <c r="B3738" s="15" t="s">
        <v>7367</v>
      </c>
      <c r="C3738" s="16">
        <f>394.07/(1+B2)</f>
        <v>394.07</v>
      </c>
      <c r="D3738" s="17" t="s">
        <v>11</v>
      </c>
      <c r="E3738" s="17"/>
      <c r="F3738" s="18"/>
      <c r="G3738" s="36" t="str">
        <f>IF(ISNUMBER(F3738),C3738*F3738,"")</f>
        <v/>
      </c>
    </row>
    <row r="3739" spans="1:7" ht="12" customHeight="1" outlineLevel="3" x14ac:dyDescent="0.2">
      <c r="A3739" s="14" t="s">
        <v>7368</v>
      </c>
      <c r="B3739" s="15" t="s">
        <v>7369</v>
      </c>
      <c r="C3739" s="16">
        <f>158.62/(1+B2)</f>
        <v>158.62</v>
      </c>
      <c r="D3739" s="17" t="s">
        <v>11</v>
      </c>
      <c r="E3739" s="17" t="s">
        <v>11</v>
      </c>
      <c r="F3739" s="18"/>
      <c r="G3739" s="36" t="str">
        <f>IF(ISNUMBER(F3739),C3739*F3739,"")</f>
        <v/>
      </c>
    </row>
    <row r="3740" spans="1:7" ht="12" customHeight="1" outlineLevel="3" x14ac:dyDescent="0.2">
      <c r="A3740" s="14" t="s">
        <v>7370</v>
      </c>
      <c r="B3740" s="15" t="s">
        <v>7371</v>
      </c>
      <c r="C3740" s="16">
        <f>158.62/(1+B2)</f>
        <v>158.62</v>
      </c>
      <c r="D3740" s="17" t="s">
        <v>11</v>
      </c>
      <c r="E3740" s="17" t="s">
        <v>11</v>
      </c>
      <c r="F3740" s="18"/>
      <c r="G3740" s="36" t="str">
        <f>IF(ISNUMBER(F3740),C3740*F3740,"")</f>
        <v/>
      </c>
    </row>
    <row r="3741" spans="1:7" ht="12" customHeight="1" outlineLevel="3" x14ac:dyDescent="0.2">
      <c r="A3741" s="14" t="s">
        <v>7372</v>
      </c>
      <c r="B3741" s="15" t="s">
        <v>7373</v>
      </c>
      <c r="C3741" s="16">
        <f>238/(1+B2)</f>
        <v>238</v>
      </c>
      <c r="D3741" s="17" t="s">
        <v>11</v>
      </c>
      <c r="E3741" s="17" t="s">
        <v>11</v>
      </c>
      <c r="F3741" s="18"/>
      <c r="G3741" s="36" t="str">
        <f>IF(ISNUMBER(F3741),C3741*F3741,"")</f>
        <v/>
      </c>
    </row>
    <row r="3742" spans="1:7" ht="12" customHeight="1" outlineLevel="3" x14ac:dyDescent="0.2">
      <c r="A3742" s="14" t="s">
        <v>7374</v>
      </c>
      <c r="B3742" s="15" t="s">
        <v>7375</v>
      </c>
      <c r="C3742" s="16">
        <f>232.67/(1+B2)</f>
        <v>232.67</v>
      </c>
      <c r="D3742" s="17" t="s">
        <v>11</v>
      </c>
      <c r="E3742" s="17" t="s">
        <v>11</v>
      </c>
      <c r="F3742" s="18"/>
      <c r="G3742" s="36" t="str">
        <f>IF(ISNUMBER(F3742),C3742*F3742,"")</f>
        <v/>
      </c>
    </row>
    <row r="3743" spans="1:7" ht="12" customHeight="1" outlineLevel="3" x14ac:dyDescent="0.2">
      <c r="A3743" s="14" t="s">
        <v>7376</v>
      </c>
      <c r="B3743" s="15" t="s">
        <v>7377</v>
      </c>
      <c r="C3743" s="16">
        <f>267.34/(1+B2)</f>
        <v>267.33999999999997</v>
      </c>
      <c r="D3743" s="17" t="s">
        <v>11</v>
      </c>
      <c r="E3743" s="17"/>
      <c r="F3743" s="18"/>
      <c r="G3743" s="36" t="str">
        <f>IF(ISNUMBER(F3743),C3743*F3743,"")</f>
        <v/>
      </c>
    </row>
    <row r="3744" spans="1:7" ht="12" customHeight="1" outlineLevel="3" x14ac:dyDescent="0.2">
      <c r="A3744" s="14" t="s">
        <v>7378</v>
      </c>
      <c r="B3744" s="15" t="s">
        <v>7379</v>
      </c>
      <c r="C3744" s="16">
        <f>248.92/(1+B2)</f>
        <v>248.92</v>
      </c>
      <c r="D3744" s="17" t="s">
        <v>11</v>
      </c>
      <c r="E3744" s="17"/>
      <c r="F3744" s="18"/>
      <c r="G3744" s="36" t="str">
        <f>IF(ISNUMBER(F3744),C3744*F3744,"")</f>
        <v/>
      </c>
    </row>
    <row r="3745" spans="1:7" ht="12" customHeight="1" outlineLevel="3" x14ac:dyDescent="0.2">
      <c r="A3745" s="14" t="s">
        <v>7380</v>
      </c>
      <c r="B3745" s="15" t="s">
        <v>7381</v>
      </c>
      <c r="C3745" s="16">
        <f>165.8/(1+B2)</f>
        <v>165.8</v>
      </c>
      <c r="D3745" s="17" t="s">
        <v>11</v>
      </c>
      <c r="E3745" s="17" t="s">
        <v>11</v>
      </c>
      <c r="F3745" s="18"/>
      <c r="G3745" s="36" t="str">
        <f>IF(ISNUMBER(F3745),C3745*F3745,"")</f>
        <v/>
      </c>
    </row>
    <row r="3746" spans="1:7" ht="12" customHeight="1" outlineLevel="3" x14ac:dyDescent="0.2">
      <c r="A3746" s="14" t="s">
        <v>7382</v>
      </c>
      <c r="B3746" s="15" t="s">
        <v>7383</v>
      </c>
      <c r="C3746" s="16">
        <f>168.01/(1+B2)</f>
        <v>168.01</v>
      </c>
      <c r="D3746" s="17" t="s">
        <v>11</v>
      </c>
      <c r="E3746" s="17"/>
      <c r="F3746" s="18"/>
      <c r="G3746" s="36" t="str">
        <f>IF(ISNUMBER(F3746),C3746*F3746,"")</f>
        <v/>
      </c>
    </row>
    <row r="3747" spans="1:7" ht="12" customHeight="1" outlineLevel="3" x14ac:dyDescent="0.2">
      <c r="A3747" s="14" t="s">
        <v>7384</v>
      </c>
      <c r="B3747" s="15" t="s">
        <v>7385</v>
      </c>
      <c r="C3747" s="16">
        <f>170.24/(1+B2)</f>
        <v>170.24</v>
      </c>
      <c r="D3747" s="17" t="s">
        <v>11</v>
      </c>
      <c r="E3747" s="17" t="s">
        <v>11</v>
      </c>
      <c r="F3747" s="18"/>
      <c r="G3747" s="36" t="str">
        <f>IF(ISNUMBER(F3747),C3747*F3747,"")</f>
        <v/>
      </c>
    </row>
    <row r="3748" spans="1:7" ht="12" customHeight="1" outlineLevel="3" x14ac:dyDescent="0.2">
      <c r="A3748" s="14" t="s">
        <v>7386</v>
      </c>
      <c r="B3748" s="15" t="s">
        <v>7387</v>
      </c>
      <c r="C3748" s="16">
        <f>160.38/(1+B2)</f>
        <v>160.38</v>
      </c>
      <c r="D3748" s="17" t="s">
        <v>11</v>
      </c>
      <c r="E3748" s="17"/>
      <c r="F3748" s="18"/>
      <c r="G3748" s="36" t="str">
        <f>IF(ISNUMBER(F3748),C3748*F3748,"")</f>
        <v/>
      </c>
    </row>
    <row r="3749" spans="1:7" ht="12" customHeight="1" outlineLevel="3" x14ac:dyDescent="0.2">
      <c r="A3749" s="14" t="s">
        <v>7388</v>
      </c>
      <c r="B3749" s="15" t="s">
        <v>7389</v>
      </c>
      <c r="C3749" s="16">
        <f>304.16/(1+B2)</f>
        <v>304.16000000000003</v>
      </c>
      <c r="D3749" s="17" t="s">
        <v>11</v>
      </c>
      <c r="E3749" s="17"/>
      <c r="F3749" s="18"/>
      <c r="G3749" s="36" t="str">
        <f>IF(ISNUMBER(F3749),C3749*F3749,"")</f>
        <v/>
      </c>
    </row>
    <row r="3750" spans="1:7" ht="12" customHeight="1" outlineLevel="3" x14ac:dyDescent="0.2">
      <c r="A3750" s="14" t="s">
        <v>7390</v>
      </c>
      <c r="B3750" s="15" t="s">
        <v>7391</v>
      </c>
      <c r="C3750" s="16">
        <f>304.16/(1+B2)</f>
        <v>304.16000000000003</v>
      </c>
      <c r="D3750" s="17" t="s">
        <v>11</v>
      </c>
      <c r="E3750" s="17" t="s">
        <v>11</v>
      </c>
      <c r="F3750" s="18"/>
      <c r="G3750" s="36" t="str">
        <f>IF(ISNUMBER(F3750),C3750*F3750,"")</f>
        <v/>
      </c>
    </row>
    <row r="3751" spans="1:7" ht="12" customHeight="1" outlineLevel="3" x14ac:dyDescent="0.2">
      <c r="A3751" s="14" t="s">
        <v>7392</v>
      </c>
      <c r="B3751" s="15" t="s">
        <v>7393</v>
      </c>
      <c r="C3751" s="16">
        <f>357.7/(1+B2)</f>
        <v>357.7</v>
      </c>
      <c r="D3751" s="17" t="s">
        <v>11</v>
      </c>
      <c r="E3751" s="17"/>
      <c r="F3751" s="18"/>
      <c r="G3751" s="36" t="str">
        <f>IF(ISNUMBER(F3751),C3751*F3751,"")</f>
        <v/>
      </c>
    </row>
    <row r="3752" spans="1:7" s="1" customFormat="1" ht="12.95" customHeight="1" outlineLevel="2" x14ac:dyDescent="0.2">
      <c r="A3752" s="20"/>
      <c r="B3752" s="21" t="s">
        <v>7394</v>
      </c>
      <c r="C3752" s="22"/>
      <c r="D3752" s="22"/>
      <c r="E3752" s="22"/>
      <c r="F3752" s="22"/>
      <c r="G3752" s="37"/>
    </row>
    <row r="3753" spans="1:7" ht="12" customHeight="1" outlineLevel="3" x14ac:dyDescent="0.2">
      <c r="A3753" s="14" t="s">
        <v>7395</v>
      </c>
      <c r="B3753" s="15" t="s">
        <v>7396</v>
      </c>
      <c r="C3753" s="16">
        <f>88.73/(1+B2)</f>
        <v>88.73</v>
      </c>
      <c r="D3753" s="17" t="s">
        <v>11</v>
      </c>
      <c r="E3753" s="17"/>
      <c r="F3753" s="18"/>
      <c r="G3753" s="36" t="str">
        <f>IF(ISNUMBER(F3753),C3753*F3753,"")</f>
        <v/>
      </c>
    </row>
    <row r="3754" spans="1:7" ht="12" customHeight="1" outlineLevel="3" x14ac:dyDescent="0.2">
      <c r="A3754" s="14" t="s">
        <v>7397</v>
      </c>
      <c r="B3754" s="15" t="s">
        <v>7398</v>
      </c>
      <c r="C3754" s="16">
        <f>69.08/(1+B2)</f>
        <v>69.08</v>
      </c>
      <c r="D3754" s="17" t="s">
        <v>11</v>
      </c>
      <c r="E3754" s="17"/>
      <c r="F3754" s="18"/>
      <c r="G3754" s="36" t="str">
        <f>IF(ISNUMBER(F3754),C3754*F3754,"")</f>
        <v/>
      </c>
    </row>
    <row r="3755" spans="1:7" ht="24" customHeight="1" outlineLevel="3" x14ac:dyDescent="0.2">
      <c r="A3755" s="14" t="s">
        <v>7399</v>
      </c>
      <c r="B3755" s="15" t="s">
        <v>7400</v>
      </c>
      <c r="C3755" s="16">
        <f>88.21/(1+B2)</f>
        <v>88.21</v>
      </c>
      <c r="D3755" s="17" t="s">
        <v>11</v>
      </c>
      <c r="E3755" s="17"/>
      <c r="F3755" s="18"/>
      <c r="G3755" s="36" t="str">
        <f>IF(ISNUMBER(F3755),C3755*F3755,"")</f>
        <v/>
      </c>
    </row>
    <row r="3756" spans="1:7" ht="24" customHeight="1" outlineLevel="3" x14ac:dyDescent="0.2">
      <c r="A3756" s="14" t="s">
        <v>7401</v>
      </c>
      <c r="B3756" s="15" t="s">
        <v>7402</v>
      </c>
      <c r="C3756" s="16">
        <f>82.33/(1+B2)</f>
        <v>82.33</v>
      </c>
      <c r="D3756" s="17" t="s">
        <v>11</v>
      </c>
      <c r="E3756" s="17"/>
      <c r="F3756" s="18"/>
      <c r="G3756" s="36" t="str">
        <f>IF(ISNUMBER(F3756),C3756*F3756,"")</f>
        <v/>
      </c>
    </row>
    <row r="3757" spans="1:7" ht="24" customHeight="1" outlineLevel="3" x14ac:dyDescent="0.2">
      <c r="A3757" s="14" t="s">
        <v>7403</v>
      </c>
      <c r="B3757" s="15" t="s">
        <v>7404</v>
      </c>
      <c r="C3757" s="16">
        <f>202.31/(1+B2)</f>
        <v>202.31</v>
      </c>
      <c r="D3757" s="17" t="s">
        <v>11</v>
      </c>
      <c r="E3757" s="17"/>
      <c r="F3757" s="18"/>
      <c r="G3757" s="36" t="str">
        <f>IF(ISNUMBER(F3757),C3757*F3757,"")</f>
        <v/>
      </c>
    </row>
    <row r="3758" spans="1:7" ht="12" customHeight="1" outlineLevel="3" x14ac:dyDescent="0.2">
      <c r="A3758" s="14" t="s">
        <v>7405</v>
      </c>
      <c r="B3758" s="15" t="s">
        <v>7406</v>
      </c>
      <c r="C3758" s="16">
        <f>67.37/(1+B2)</f>
        <v>67.37</v>
      </c>
      <c r="D3758" s="17" t="s">
        <v>11</v>
      </c>
      <c r="E3758" s="17"/>
      <c r="F3758" s="18"/>
      <c r="G3758" s="36" t="str">
        <f>IF(ISNUMBER(F3758),C3758*F3758,"")</f>
        <v/>
      </c>
    </row>
    <row r="3759" spans="1:7" ht="12" customHeight="1" outlineLevel="3" x14ac:dyDescent="0.2">
      <c r="A3759" s="14" t="s">
        <v>7407</v>
      </c>
      <c r="B3759" s="15" t="s">
        <v>7408</v>
      </c>
      <c r="C3759" s="16">
        <f>138.23/(1+B2)</f>
        <v>138.22999999999999</v>
      </c>
      <c r="D3759" s="17" t="s">
        <v>11</v>
      </c>
      <c r="E3759" s="17"/>
      <c r="F3759" s="18"/>
      <c r="G3759" s="36" t="str">
        <f>IF(ISNUMBER(F3759),C3759*F3759,"")</f>
        <v/>
      </c>
    </row>
    <row r="3760" spans="1:7" ht="12" customHeight="1" outlineLevel="3" x14ac:dyDescent="0.2">
      <c r="A3760" s="14" t="s">
        <v>7409</v>
      </c>
      <c r="B3760" s="15" t="s">
        <v>7410</v>
      </c>
      <c r="C3760" s="16">
        <f>194.12/(1+B2)</f>
        <v>194.12</v>
      </c>
      <c r="D3760" s="17" t="s">
        <v>11</v>
      </c>
      <c r="E3760" s="17"/>
      <c r="F3760" s="18"/>
      <c r="G3760" s="36" t="str">
        <f>IF(ISNUMBER(F3760),C3760*F3760,"")</f>
        <v/>
      </c>
    </row>
    <row r="3761" spans="1:7" ht="12" customHeight="1" outlineLevel="3" x14ac:dyDescent="0.2">
      <c r="A3761" s="14" t="s">
        <v>7411</v>
      </c>
      <c r="B3761" s="15" t="s">
        <v>7412</v>
      </c>
      <c r="C3761" s="16">
        <f>83.94/(1+B2)</f>
        <v>83.94</v>
      </c>
      <c r="D3761" s="17" t="s">
        <v>11</v>
      </c>
      <c r="E3761" s="17" t="s">
        <v>11</v>
      </c>
      <c r="F3761" s="18"/>
      <c r="G3761" s="36" t="str">
        <f>IF(ISNUMBER(F3761),C3761*F3761,"")</f>
        <v/>
      </c>
    </row>
    <row r="3762" spans="1:7" ht="12" customHeight="1" outlineLevel="3" x14ac:dyDescent="0.2">
      <c r="A3762" s="14" t="s">
        <v>7413</v>
      </c>
      <c r="B3762" s="15" t="s">
        <v>7414</v>
      </c>
      <c r="C3762" s="16">
        <f>118.18/(1+B2)</f>
        <v>118.18</v>
      </c>
      <c r="D3762" s="17" t="s">
        <v>11</v>
      </c>
      <c r="E3762" s="17" t="s">
        <v>11</v>
      </c>
      <c r="F3762" s="18"/>
      <c r="G3762" s="36" t="str">
        <f>IF(ISNUMBER(F3762),C3762*F3762,"")</f>
        <v/>
      </c>
    </row>
    <row r="3763" spans="1:7" ht="12" customHeight="1" outlineLevel="3" x14ac:dyDescent="0.2">
      <c r="A3763" s="14" t="s">
        <v>7415</v>
      </c>
      <c r="B3763" s="15" t="s">
        <v>7416</v>
      </c>
      <c r="C3763" s="16">
        <f>118.94/(1+B2)</f>
        <v>118.94</v>
      </c>
      <c r="D3763" s="17" t="s">
        <v>11</v>
      </c>
      <c r="E3763" s="17"/>
      <c r="F3763" s="18"/>
      <c r="G3763" s="36" t="str">
        <f>IF(ISNUMBER(F3763),C3763*F3763,"")</f>
        <v/>
      </c>
    </row>
    <row r="3764" spans="1:7" ht="12" customHeight="1" outlineLevel="3" x14ac:dyDescent="0.2">
      <c r="A3764" s="14" t="s">
        <v>7417</v>
      </c>
      <c r="B3764" s="15" t="s">
        <v>7418</v>
      </c>
      <c r="C3764" s="16">
        <f>185.95/(1+B2)</f>
        <v>185.95</v>
      </c>
      <c r="D3764" s="17" t="s">
        <v>11</v>
      </c>
      <c r="E3764" s="17"/>
      <c r="F3764" s="18"/>
      <c r="G3764" s="36" t="str">
        <f>IF(ISNUMBER(F3764),C3764*F3764,"")</f>
        <v/>
      </c>
    </row>
    <row r="3765" spans="1:7" ht="24" customHeight="1" outlineLevel="3" x14ac:dyDescent="0.2">
      <c r="A3765" s="14" t="s">
        <v>7419</v>
      </c>
      <c r="B3765" s="15" t="s">
        <v>7420</v>
      </c>
      <c r="C3765" s="16">
        <f>136.49/(1+B2)</f>
        <v>136.49</v>
      </c>
      <c r="D3765" s="17" t="s">
        <v>11</v>
      </c>
      <c r="E3765" s="17"/>
      <c r="F3765" s="18"/>
      <c r="G3765" s="36" t="str">
        <f>IF(ISNUMBER(F3765),C3765*F3765,"")</f>
        <v/>
      </c>
    </row>
    <row r="3766" spans="1:7" ht="24" customHeight="1" outlineLevel="3" x14ac:dyDescent="0.2">
      <c r="A3766" s="14" t="s">
        <v>7421</v>
      </c>
      <c r="B3766" s="15" t="s">
        <v>7422</v>
      </c>
      <c r="C3766" s="16">
        <f>170.57/(1+B2)</f>
        <v>170.57</v>
      </c>
      <c r="D3766" s="17" t="s">
        <v>11</v>
      </c>
      <c r="E3766" s="17"/>
      <c r="F3766" s="18"/>
      <c r="G3766" s="36" t="str">
        <f>IF(ISNUMBER(F3766),C3766*F3766,"")</f>
        <v/>
      </c>
    </row>
    <row r="3767" spans="1:7" ht="12" customHeight="1" outlineLevel="3" x14ac:dyDescent="0.2">
      <c r="A3767" s="14" t="s">
        <v>7423</v>
      </c>
      <c r="B3767" s="15" t="s">
        <v>7424</v>
      </c>
      <c r="C3767" s="16">
        <f>72.19/(1+B2)</f>
        <v>72.19</v>
      </c>
      <c r="D3767" s="17" t="s">
        <v>11</v>
      </c>
      <c r="E3767" s="17"/>
      <c r="F3767" s="18"/>
      <c r="G3767" s="36" t="str">
        <f>IF(ISNUMBER(F3767),C3767*F3767,"")</f>
        <v/>
      </c>
    </row>
    <row r="3768" spans="1:7" ht="12" customHeight="1" outlineLevel="3" x14ac:dyDescent="0.2">
      <c r="A3768" s="14" t="s">
        <v>7425</v>
      </c>
      <c r="B3768" s="15" t="s">
        <v>7426</v>
      </c>
      <c r="C3768" s="16">
        <f>84.61/(1+B2)</f>
        <v>84.61</v>
      </c>
      <c r="D3768" s="17" t="s">
        <v>11</v>
      </c>
      <c r="E3768" s="17"/>
      <c r="F3768" s="18"/>
      <c r="G3768" s="36" t="str">
        <f>IF(ISNUMBER(F3768),C3768*F3768,"")</f>
        <v/>
      </c>
    </row>
    <row r="3769" spans="1:7" ht="12" customHeight="1" outlineLevel="3" x14ac:dyDescent="0.2">
      <c r="A3769" s="14" t="s">
        <v>7427</v>
      </c>
      <c r="B3769" s="15" t="s">
        <v>7428</v>
      </c>
      <c r="C3769" s="16">
        <f>97.89/(1+B2)</f>
        <v>97.89</v>
      </c>
      <c r="D3769" s="17" t="s">
        <v>11</v>
      </c>
      <c r="E3769" s="17"/>
      <c r="F3769" s="18"/>
      <c r="G3769" s="36" t="str">
        <f>IF(ISNUMBER(F3769),C3769*F3769,"")</f>
        <v/>
      </c>
    </row>
    <row r="3770" spans="1:7" ht="12" customHeight="1" outlineLevel="3" x14ac:dyDescent="0.2">
      <c r="A3770" s="14" t="s">
        <v>7429</v>
      </c>
      <c r="B3770" s="15" t="s">
        <v>7430</v>
      </c>
      <c r="C3770" s="16">
        <f>85.51/(1+B2)</f>
        <v>85.51</v>
      </c>
      <c r="D3770" s="17" t="s">
        <v>11</v>
      </c>
      <c r="E3770" s="17"/>
      <c r="F3770" s="18"/>
      <c r="G3770" s="36" t="str">
        <f>IF(ISNUMBER(F3770),C3770*F3770,"")</f>
        <v/>
      </c>
    </row>
    <row r="3771" spans="1:7" ht="12" customHeight="1" outlineLevel="3" x14ac:dyDescent="0.2">
      <c r="A3771" s="14" t="s">
        <v>7431</v>
      </c>
      <c r="B3771" s="15" t="s">
        <v>7432</v>
      </c>
      <c r="C3771" s="16">
        <f>45.9/(1+B2)</f>
        <v>45.9</v>
      </c>
      <c r="D3771" s="17" t="s">
        <v>11</v>
      </c>
      <c r="E3771" s="17"/>
      <c r="F3771" s="18"/>
      <c r="G3771" s="36" t="str">
        <f>IF(ISNUMBER(F3771),C3771*F3771,"")</f>
        <v/>
      </c>
    </row>
    <row r="3772" spans="1:7" ht="12" customHeight="1" outlineLevel="3" x14ac:dyDescent="0.2">
      <c r="A3772" s="14" t="s">
        <v>7433</v>
      </c>
      <c r="B3772" s="15" t="s">
        <v>7434</v>
      </c>
      <c r="C3772" s="16">
        <f>49.88/(1+B2)</f>
        <v>49.88</v>
      </c>
      <c r="D3772" s="17" t="s">
        <v>11</v>
      </c>
      <c r="E3772" s="17"/>
      <c r="F3772" s="18"/>
      <c r="G3772" s="36" t="str">
        <f>IF(ISNUMBER(F3772),C3772*F3772,"")</f>
        <v/>
      </c>
    </row>
    <row r="3773" spans="1:7" ht="12" customHeight="1" outlineLevel="3" x14ac:dyDescent="0.2">
      <c r="A3773" s="14" t="s">
        <v>7435</v>
      </c>
      <c r="B3773" s="15" t="s">
        <v>7436</v>
      </c>
      <c r="C3773" s="16">
        <f>103.21/(1+B2)</f>
        <v>103.21</v>
      </c>
      <c r="D3773" s="17" t="s">
        <v>11</v>
      </c>
      <c r="E3773" s="17"/>
      <c r="F3773" s="18"/>
      <c r="G3773" s="36" t="str">
        <f>IF(ISNUMBER(F3773),C3773*F3773,"")</f>
        <v/>
      </c>
    </row>
    <row r="3774" spans="1:7" ht="12" customHeight="1" outlineLevel="3" x14ac:dyDescent="0.2">
      <c r="A3774" s="14" t="s">
        <v>7437</v>
      </c>
      <c r="B3774" s="15" t="s">
        <v>7438</v>
      </c>
      <c r="C3774" s="16">
        <f>78.2/(1+B2)</f>
        <v>78.2</v>
      </c>
      <c r="D3774" s="17" t="s">
        <v>11</v>
      </c>
      <c r="E3774" s="17"/>
      <c r="F3774" s="18"/>
      <c r="G3774" s="36" t="str">
        <f>IF(ISNUMBER(F3774),C3774*F3774,"")</f>
        <v/>
      </c>
    </row>
    <row r="3775" spans="1:7" ht="12" customHeight="1" outlineLevel="3" x14ac:dyDescent="0.2">
      <c r="A3775" s="14" t="s">
        <v>7439</v>
      </c>
      <c r="B3775" s="15" t="s">
        <v>7440</v>
      </c>
      <c r="C3775" s="16">
        <f>67.95/(1+B2)</f>
        <v>67.95</v>
      </c>
      <c r="D3775" s="17" t="s">
        <v>11</v>
      </c>
      <c r="E3775" s="17"/>
      <c r="F3775" s="18"/>
      <c r="G3775" s="36" t="str">
        <f>IF(ISNUMBER(F3775),C3775*F3775,"")</f>
        <v/>
      </c>
    </row>
    <row r="3776" spans="1:7" ht="12" customHeight="1" outlineLevel="3" x14ac:dyDescent="0.2">
      <c r="A3776" s="14" t="s">
        <v>7441</v>
      </c>
      <c r="B3776" s="15" t="s">
        <v>7442</v>
      </c>
      <c r="C3776" s="16">
        <f>62.01/(1+B2)</f>
        <v>62.01</v>
      </c>
      <c r="D3776" s="17" t="s">
        <v>11</v>
      </c>
      <c r="E3776" s="17"/>
      <c r="F3776" s="18"/>
      <c r="G3776" s="36" t="str">
        <f>IF(ISNUMBER(F3776),C3776*F3776,"")</f>
        <v/>
      </c>
    </row>
    <row r="3777" spans="1:7" ht="12" customHeight="1" outlineLevel="3" x14ac:dyDescent="0.2">
      <c r="A3777" s="14" t="s">
        <v>7443</v>
      </c>
      <c r="B3777" s="15" t="s">
        <v>7444</v>
      </c>
      <c r="C3777" s="16">
        <f>64.34/(1+B2)</f>
        <v>64.34</v>
      </c>
      <c r="D3777" s="17" t="s">
        <v>11</v>
      </c>
      <c r="E3777" s="17"/>
      <c r="F3777" s="18"/>
      <c r="G3777" s="36" t="str">
        <f>IF(ISNUMBER(F3777),C3777*F3777,"")</f>
        <v/>
      </c>
    </row>
    <row r="3778" spans="1:7" ht="12" customHeight="1" outlineLevel="3" x14ac:dyDescent="0.2">
      <c r="A3778" s="14" t="s">
        <v>7445</v>
      </c>
      <c r="B3778" s="15" t="s">
        <v>7446</v>
      </c>
      <c r="C3778" s="16">
        <f>80.38/(1+B2)</f>
        <v>80.38</v>
      </c>
      <c r="D3778" s="17" t="s">
        <v>11</v>
      </c>
      <c r="E3778" s="17"/>
      <c r="F3778" s="18"/>
      <c r="G3778" s="36" t="str">
        <f>IF(ISNUMBER(F3778),C3778*F3778,"")</f>
        <v/>
      </c>
    </row>
    <row r="3779" spans="1:7" ht="12" customHeight="1" outlineLevel="3" x14ac:dyDescent="0.2">
      <c r="A3779" s="14" t="s">
        <v>7447</v>
      </c>
      <c r="B3779" s="15" t="s">
        <v>7448</v>
      </c>
      <c r="C3779" s="16">
        <f>77.84/(1+B2)</f>
        <v>77.84</v>
      </c>
      <c r="D3779" s="17" t="s">
        <v>11</v>
      </c>
      <c r="E3779" s="17"/>
      <c r="F3779" s="18"/>
      <c r="G3779" s="36" t="str">
        <f>IF(ISNUMBER(F3779),C3779*F3779,"")</f>
        <v/>
      </c>
    </row>
    <row r="3780" spans="1:7" ht="12" customHeight="1" outlineLevel="3" x14ac:dyDescent="0.2">
      <c r="A3780" s="14" t="s">
        <v>7449</v>
      </c>
      <c r="B3780" s="15" t="s">
        <v>7450</v>
      </c>
      <c r="C3780" s="16">
        <f>72.19/(1+B2)</f>
        <v>72.19</v>
      </c>
      <c r="D3780" s="17" t="s">
        <v>11</v>
      </c>
      <c r="E3780" s="17"/>
      <c r="F3780" s="18"/>
      <c r="G3780" s="36" t="str">
        <f>IF(ISNUMBER(F3780),C3780*F3780,"")</f>
        <v/>
      </c>
    </row>
    <row r="3781" spans="1:7" ht="12" customHeight="1" outlineLevel="3" x14ac:dyDescent="0.2">
      <c r="A3781" s="14" t="s">
        <v>7451</v>
      </c>
      <c r="B3781" s="15" t="s">
        <v>7452</v>
      </c>
      <c r="C3781" s="16">
        <f>84.7/(1+B2)</f>
        <v>84.7</v>
      </c>
      <c r="D3781" s="17" t="s">
        <v>11</v>
      </c>
      <c r="E3781" s="17"/>
      <c r="F3781" s="18"/>
      <c r="G3781" s="36" t="str">
        <f>IF(ISNUMBER(F3781),C3781*F3781,"")</f>
        <v/>
      </c>
    </row>
    <row r="3782" spans="1:7" ht="12" customHeight="1" outlineLevel="3" x14ac:dyDescent="0.2">
      <c r="A3782" s="14" t="s">
        <v>7453</v>
      </c>
      <c r="B3782" s="15" t="s">
        <v>7454</v>
      </c>
      <c r="C3782" s="16">
        <f>46.67/(1+B2)</f>
        <v>46.67</v>
      </c>
      <c r="D3782" s="17" t="s">
        <v>11</v>
      </c>
      <c r="E3782" s="17"/>
      <c r="F3782" s="18"/>
      <c r="G3782" s="36" t="str">
        <f>IF(ISNUMBER(F3782),C3782*F3782,"")</f>
        <v/>
      </c>
    </row>
    <row r="3783" spans="1:7" ht="12" customHeight="1" outlineLevel="3" x14ac:dyDescent="0.2">
      <c r="A3783" s="14" t="s">
        <v>7455</v>
      </c>
      <c r="B3783" s="15" t="s">
        <v>7456</v>
      </c>
      <c r="C3783" s="16">
        <f>548.51/(1+B2)</f>
        <v>548.51</v>
      </c>
      <c r="D3783" s="17" t="s">
        <v>11</v>
      </c>
      <c r="E3783" s="17"/>
      <c r="F3783" s="18"/>
      <c r="G3783" s="36" t="str">
        <f>IF(ISNUMBER(F3783),C3783*F3783,"")</f>
        <v/>
      </c>
    </row>
    <row r="3784" spans="1:7" ht="12" customHeight="1" outlineLevel="3" x14ac:dyDescent="0.2">
      <c r="A3784" s="14" t="s">
        <v>7457</v>
      </c>
      <c r="B3784" s="15" t="s">
        <v>7458</v>
      </c>
      <c r="C3784" s="16">
        <f>117.6/(1+B2)</f>
        <v>117.6</v>
      </c>
      <c r="D3784" s="17" t="s">
        <v>11</v>
      </c>
      <c r="E3784" s="17"/>
      <c r="F3784" s="18"/>
      <c r="G3784" s="36" t="str">
        <f>IF(ISNUMBER(F3784),C3784*F3784,"")</f>
        <v/>
      </c>
    </row>
    <row r="3785" spans="1:7" ht="24" customHeight="1" outlineLevel="3" x14ac:dyDescent="0.2">
      <c r="A3785" s="14" t="s">
        <v>7459</v>
      </c>
      <c r="B3785" s="15" t="s">
        <v>7460</v>
      </c>
      <c r="C3785" s="16">
        <f>638.17/(1+B2)</f>
        <v>638.16999999999996</v>
      </c>
      <c r="D3785" s="17" t="s">
        <v>11</v>
      </c>
      <c r="E3785" s="17" t="s">
        <v>11</v>
      </c>
      <c r="F3785" s="18"/>
      <c r="G3785" s="36" t="str">
        <f>IF(ISNUMBER(F3785),C3785*F3785,"")</f>
        <v/>
      </c>
    </row>
    <row r="3786" spans="1:7" ht="24" customHeight="1" outlineLevel="3" x14ac:dyDescent="0.2">
      <c r="A3786" s="14" t="s">
        <v>7461</v>
      </c>
      <c r="B3786" s="15" t="s">
        <v>7462</v>
      </c>
      <c r="C3786" s="19">
        <f>2255.52/(1+B2)</f>
        <v>2255.52</v>
      </c>
      <c r="D3786" s="17" t="s">
        <v>11</v>
      </c>
      <c r="E3786" s="17"/>
      <c r="F3786" s="18"/>
      <c r="G3786" s="36" t="str">
        <f>IF(ISNUMBER(F3786),C3786*F3786,"")</f>
        <v/>
      </c>
    </row>
    <row r="3787" spans="1:7" ht="24" customHeight="1" outlineLevel="3" x14ac:dyDescent="0.2">
      <c r="A3787" s="14" t="s">
        <v>7463</v>
      </c>
      <c r="B3787" s="15" t="s">
        <v>7464</v>
      </c>
      <c r="C3787" s="19">
        <f>2071.49/(1+B2)</f>
        <v>2071.4899999999998</v>
      </c>
      <c r="D3787" s="17" t="s">
        <v>11</v>
      </c>
      <c r="E3787" s="17"/>
      <c r="F3787" s="18"/>
      <c r="G3787" s="36" t="str">
        <f>IF(ISNUMBER(F3787),C3787*F3787,"")</f>
        <v/>
      </c>
    </row>
    <row r="3788" spans="1:7" ht="12" customHeight="1" outlineLevel="3" x14ac:dyDescent="0.2">
      <c r="A3788" s="14" t="s">
        <v>7465</v>
      </c>
      <c r="B3788" s="15" t="s">
        <v>7466</v>
      </c>
      <c r="C3788" s="16">
        <f>89.95/(1+B2)</f>
        <v>89.95</v>
      </c>
      <c r="D3788" s="17" t="s">
        <v>14</v>
      </c>
      <c r="E3788" s="17"/>
      <c r="F3788" s="18"/>
      <c r="G3788" s="36" t="str">
        <f>IF(ISNUMBER(F3788),C3788*F3788,"")</f>
        <v/>
      </c>
    </row>
    <row r="3789" spans="1:7" ht="24" customHeight="1" outlineLevel="3" x14ac:dyDescent="0.2">
      <c r="A3789" s="14" t="s">
        <v>7467</v>
      </c>
      <c r="B3789" s="15" t="s">
        <v>7468</v>
      </c>
      <c r="C3789" s="16">
        <f>174.19/(1+B2)</f>
        <v>174.19</v>
      </c>
      <c r="D3789" s="17" t="s">
        <v>11</v>
      </c>
      <c r="E3789" s="17" t="s">
        <v>11</v>
      </c>
      <c r="F3789" s="18"/>
      <c r="G3789" s="36" t="str">
        <f>IF(ISNUMBER(F3789),C3789*F3789,"")</f>
        <v/>
      </c>
    </row>
    <row r="3790" spans="1:7" ht="24" customHeight="1" outlineLevel="3" x14ac:dyDescent="0.2">
      <c r="A3790" s="14" t="s">
        <v>7469</v>
      </c>
      <c r="B3790" s="15" t="s">
        <v>7470</v>
      </c>
      <c r="C3790" s="16">
        <f>83.39/(1+B2)</f>
        <v>83.39</v>
      </c>
      <c r="D3790" s="17" t="s">
        <v>11</v>
      </c>
      <c r="E3790" s="17"/>
      <c r="F3790" s="18"/>
      <c r="G3790" s="36" t="str">
        <f>IF(ISNUMBER(F3790),C3790*F3790,"")</f>
        <v/>
      </c>
    </row>
    <row r="3791" spans="1:7" ht="24" customHeight="1" outlineLevel="3" x14ac:dyDescent="0.2">
      <c r="A3791" s="14" t="s">
        <v>7471</v>
      </c>
      <c r="B3791" s="15" t="s">
        <v>7472</v>
      </c>
      <c r="C3791" s="16">
        <f>82.62/(1+B2)</f>
        <v>82.62</v>
      </c>
      <c r="D3791" s="17" t="s">
        <v>11</v>
      </c>
      <c r="E3791" s="17"/>
      <c r="F3791" s="18"/>
      <c r="G3791" s="36" t="str">
        <f>IF(ISNUMBER(F3791),C3791*F3791,"")</f>
        <v/>
      </c>
    </row>
    <row r="3792" spans="1:7" ht="24" customHeight="1" outlineLevel="3" x14ac:dyDescent="0.2">
      <c r="A3792" s="14" t="s">
        <v>7473</v>
      </c>
      <c r="B3792" s="15" t="s">
        <v>7474</v>
      </c>
      <c r="C3792" s="16">
        <f>110.46/(1+B2)</f>
        <v>110.46</v>
      </c>
      <c r="D3792" s="17" t="s">
        <v>11</v>
      </c>
      <c r="E3792" s="17" t="s">
        <v>11</v>
      </c>
      <c r="F3792" s="18"/>
      <c r="G3792" s="36" t="str">
        <f>IF(ISNUMBER(F3792),C3792*F3792,"")</f>
        <v/>
      </c>
    </row>
    <row r="3793" spans="1:7" ht="24" customHeight="1" outlineLevel="3" x14ac:dyDescent="0.2">
      <c r="A3793" s="14" t="s">
        <v>7475</v>
      </c>
      <c r="B3793" s="15" t="s">
        <v>7476</v>
      </c>
      <c r="C3793" s="16">
        <f>84.68/(1+B2)</f>
        <v>84.68</v>
      </c>
      <c r="D3793" s="17" t="s">
        <v>14</v>
      </c>
      <c r="E3793" s="17"/>
      <c r="F3793" s="18"/>
      <c r="G3793" s="36" t="str">
        <f>IF(ISNUMBER(F3793),C3793*F3793,"")</f>
        <v/>
      </c>
    </row>
    <row r="3794" spans="1:7" ht="12" customHeight="1" outlineLevel="3" x14ac:dyDescent="0.2">
      <c r="A3794" s="14" t="s">
        <v>7477</v>
      </c>
      <c r="B3794" s="15" t="s">
        <v>7478</v>
      </c>
      <c r="C3794" s="16">
        <f>110.84/(1+B2)</f>
        <v>110.84</v>
      </c>
      <c r="D3794" s="17" t="s">
        <v>11</v>
      </c>
      <c r="E3794" s="17" t="s">
        <v>14</v>
      </c>
      <c r="F3794" s="18"/>
      <c r="G3794" s="36" t="str">
        <f>IF(ISNUMBER(F3794),C3794*F3794,"")</f>
        <v/>
      </c>
    </row>
    <row r="3795" spans="1:7" ht="12" customHeight="1" outlineLevel="3" x14ac:dyDescent="0.2">
      <c r="A3795" s="14" t="s">
        <v>7479</v>
      </c>
      <c r="B3795" s="15" t="s">
        <v>7480</v>
      </c>
      <c r="C3795" s="16">
        <f>166.01/(1+B2)</f>
        <v>166.01</v>
      </c>
      <c r="D3795" s="17" t="s">
        <v>11</v>
      </c>
      <c r="E3795" s="17"/>
      <c r="F3795" s="18"/>
      <c r="G3795" s="36" t="str">
        <f>IF(ISNUMBER(F3795),C3795*F3795,"")</f>
        <v/>
      </c>
    </row>
    <row r="3796" spans="1:7" ht="24" customHeight="1" outlineLevel="3" x14ac:dyDescent="0.2">
      <c r="A3796" s="14" t="s">
        <v>7481</v>
      </c>
      <c r="B3796" s="15" t="s">
        <v>7482</v>
      </c>
      <c r="C3796" s="16">
        <f>87.02/(1+B2)</f>
        <v>87.02</v>
      </c>
      <c r="D3796" s="17" t="s">
        <v>11</v>
      </c>
      <c r="E3796" s="17"/>
      <c r="F3796" s="18"/>
      <c r="G3796" s="36" t="str">
        <f>IF(ISNUMBER(F3796),C3796*F3796,"")</f>
        <v/>
      </c>
    </row>
    <row r="3797" spans="1:7" ht="12" customHeight="1" outlineLevel="3" x14ac:dyDescent="0.2">
      <c r="A3797" s="14" t="s">
        <v>7483</v>
      </c>
      <c r="B3797" s="15" t="s">
        <v>7484</v>
      </c>
      <c r="C3797" s="16">
        <f>73.33/(1+B2)</f>
        <v>73.33</v>
      </c>
      <c r="D3797" s="17" t="s">
        <v>11</v>
      </c>
      <c r="E3797" s="17"/>
      <c r="F3797" s="18"/>
      <c r="G3797" s="36" t="str">
        <f>IF(ISNUMBER(F3797),C3797*F3797,"")</f>
        <v/>
      </c>
    </row>
    <row r="3798" spans="1:7" ht="12" customHeight="1" outlineLevel="3" x14ac:dyDescent="0.2">
      <c r="A3798" s="14" t="s">
        <v>7485</v>
      </c>
      <c r="B3798" s="15" t="s">
        <v>7486</v>
      </c>
      <c r="C3798" s="16">
        <f>68.22/(1+B2)</f>
        <v>68.22</v>
      </c>
      <c r="D3798" s="17" t="s">
        <v>11</v>
      </c>
      <c r="E3798" s="17" t="s">
        <v>11</v>
      </c>
      <c r="F3798" s="18"/>
      <c r="G3798" s="36" t="str">
        <f>IF(ISNUMBER(F3798),C3798*F3798,"")</f>
        <v/>
      </c>
    </row>
    <row r="3799" spans="1:7" ht="12" customHeight="1" outlineLevel="3" x14ac:dyDescent="0.2">
      <c r="A3799" s="14" t="s">
        <v>7487</v>
      </c>
      <c r="B3799" s="15" t="s">
        <v>7488</v>
      </c>
      <c r="C3799" s="16">
        <f>138.15/(1+B2)</f>
        <v>138.15</v>
      </c>
      <c r="D3799" s="17" t="s">
        <v>11</v>
      </c>
      <c r="E3799" s="17"/>
      <c r="F3799" s="18"/>
      <c r="G3799" s="36" t="str">
        <f>IF(ISNUMBER(F3799),C3799*F3799,"")</f>
        <v/>
      </c>
    </row>
    <row r="3800" spans="1:7" ht="24" customHeight="1" outlineLevel="3" x14ac:dyDescent="0.2">
      <c r="A3800" s="14" t="s">
        <v>7489</v>
      </c>
      <c r="B3800" s="15" t="s">
        <v>7490</v>
      </c>
      <c r="C3800" s="16">
        <f>110.53/(1+B2)</f>
        <v>110.53</v>
      </c>
      <c r="D3800" s="17" t="s">
        <v>11</v>
      </c>
      <c r="E3800" s="17"/>
      <c r="F3800" s="18"/>
      <c r="G3800" s="36" t="str">
        <f>IF(ISNUMBER(F3800),C3800*F3800,"")</f>
        <v/>
      </c>
    </row>
    <row r="3801" spans="1:7" ht="12" customHeight="1" outlineLevel="3" x14ac:dyDescent="0.2">
      <c r="A3801" s="14" t="s">
        <v>7491</v>
      </c>
      <c r="B3801" s="15" t="s">
        <v>7492</v>
      </c>
      <c r="C3801" s="16">
        <f>113.05/(1+B2)</f>
        <v>113.05</v>
      </c>
      <c r="D3801" s="17" t="s">
        <v>11</v>
      </c>
      <c r="E3801" s="17"/>
      <c r="F3801" s="18"/>
      <c r="G3801" s="36" t="str">
        <f>IF(ISNUMBER(F3801),C3801*F3801,"")</f>
        <v/>
      </c>
    </row>
    <row r="3802" spans="1:7" ht="12" customHeight="1" outlineLevel="3" x14ac:dyDescent="0.2">
      <c r="A3802" s="14" t="s">
        <v>7493</v>
      </c>
      <c r="B3802" s="15" t="s">
        <v>7494</v>
      </c>
      <c r="C3802" s="16">
        <f>110.79/(1+B2)</f>
        <v>110.79</v>
      </c>
      <c r="D3802" s="17" t="s">
        <v>11</v>
      </c>
      <c r="E3802" s="17"/>
      <c r="F3802" s="18"/>
      <c r="G3802" s="36" t="str">
        <f>IF(ISNUMBER(F3802),C3802*F3802,"")</f>
        <v/>
      </c>
    </row>
    <row r="3803" spans="1:7" ht="24" customHeight="1" outlineLevel="3" x14ac:dyDescent="0.2">
      <c r="A3803" s="14" t="s">
        <v>7495</v>
      </c>
      <c r="B3803" s="15" t="s">
        <v>7496</v>
      </c>
      <c r="C3803" s="16">
        <f>119.74/(1+B2)</f>
        <v>119.74</v>
      </c>
      <c r="D3803" s="17" t="s">
        <v>11</v>
      </c>
      <c r="E3803" s="17"/>
      <c r="F3803" s="18"/>
      <c r="G3803" s="36" t="str">
        <f>IF(ISNUMBER(F3803),C3803*F3803,"")</f>
        <v/>
      </c>
    </row>
    <row r="3804" spans="1:7" ht="12" customHeight="1" outlineLevel="3" x14ac:dyDescent="0.2">
      <c r="A3804" s="14" t="s">
        <v>7497</v>
      </c>
      <c r="B3804" s="15" t="s">
        <v>7498</v>
      </c>
      <c r="C3804" s="16">
        <f>62.86/(1+B2)</f>
        <v>62.86</v>
      </c>
      <c r="D3804" s="17" t="s">
        <v>11</v>
      </c>
      <c r="E3804" s="17"/>
      <c r="F3804" s="18"/>
      <c r="G3804" s="36" t="str">
        <f>IF(ISNUMBER(F3804),C3804*F3804,"")</f>
        <v/>
      </c>
    </row>
    <row r="3805" spans="1:7" ht="12" customHeight="1" outlineLevel="3" x14ac:dyDescent="0.2">
      <c r="A3805" s="14" t="s">
        <v>7499</v>
      </c>
      <c r="B3805" s="15" t="s">
        <v>7500</v>
      </c>
      <c r="C3805" s="16">
        <f>71.44/(1+B2)</f>
        <v>71.44</v>
      </c>
      <c r="D3805" s="17" t="s">
        <v>11</v>
      </c>
      <c r="E3805" s="17"/>
      <c r="F3805" s="18"/>
      <c r="G3805" s="36" t="str">
        <f>IF(ISNUMBER(F3805),C3805*F3805,"")</f>
        <v/>
      </c>
    </row>
    <row r="3806" spans="1:7" ht="12" customHeight="1" outlineLevel="3" x14ac:dyDescent="0.2">
      <c r="A3806" s="14" t="s">
        <v>7501</v>
      </c>
      <c r="B3806" s="15" t="s">
        <v>7502</v>
      </c>
      <c r="C3806" s="16">
        <f>108.13/(1+B2)</f>
        <v>108.13</v>
      </c>
      <c r="D3806" s="17" t="s">
        <v>11</v>
      </c>
      <c r="E3806" s="17"/>
      <c r="F3806" s="18"/>
      <c r="G3806" s="36" t="str">
        <f>IF(ISNUMBER(F3806),C3806*F3806,"")</f>
        <v/>
      </c>
    </row>
    <row r="3807" spans="1:7" ht="12" customHeight="1" outlineLevel="3" x14ac:dyDescent="0.2">
      <c r="A3807" s="14" t="s">
        <v>7503</v>
      </c>
      <c r="B3807" s="15" t="s">
        <v>7504</v>
      </c>
      <c r="C3807" s="16">
        <f>97.59/(1+B2)</f>
        <v>97.59</v>
      </c>
      <c r="D3807" s="17" t="s">
        <v>11</v>
      </c>
      <c r="E3807" s="17"/>
      <c r="F3807" s="18"/>
      <c r="G3807" s="36" t="str">
        <f>IF(ISNUMBER(F3807),C3807*F3807,"")</f>
        <v/>
      </c>
    </row>
    <row r="3808" spans="1:7" ht="12" customHeight="1" outlineLevel="3" x14ac:dyDescent="0.2">
      <c r="A3808" s="14" t="s">
        <v>7505</v>
      </c>
      <c r="B3808" s="15" t="s">
        <v>7506</v>
      </c>
      <c r="C3808" s="16">
        <f>82.86/(1+B2)</f>
        <v>82.86</v>
      </c>
      <c r="D3808" s="17" t="s">
        <v>11</v>
      </c>
      <c r="E3808" s="17"/>
      <c r="F3808" s="18"/>
      <c r="G3808" s="36" t="str">
        <f>IF(ISNUMBER(F3808),C3808*F3808,"")</f>
        <v/>
      </c>
    </row>
    <row r="3809" spans="1:7" ht="12" customHeight="1" outlineLevel="3" x14ac:dyDescent="0.2">
      <c r="A3809" s="14" t="s">
        <v>7507</v>
      </c>
      <c r="B3809" s="15" t="s">
        <v>7508</v>
      </c>
      <c r="C3809" s="16">
        <f>95.41/(1+B2)</f>
        <v>95.41</v>
      </c>
      <c r="D3809" s="17" t="s">
        <v>11</v>
      </c>
      <c r="E3809" s="17"/>
      <c r="F3809" s="18"/>
      <c r="G3809" s="36" t="str">
        <f>IF(ISNUMBER(F3809),C3809*F3809,"")</f>
        <v/>
      </c>
    </row>
    <row r="3810" spans="1:7" ht="12" customHeight="1" outlineLevel="3" x14ac:dyDescent="0.2">
      <c r="A3810" s="14" t="s">
        <v>7509</v>
      </c>
      <c r="B3810" s="15" t="s">
        <v>7510</v>
      </c>
      <c r="C3810" s="16">
        <f>107.23/(1+B2)</f>
        <v>107.23</v>
      </c>
      <c r="D3810" s="17" t="s">
        <v>11</v>
      </c>
      <c r="E3810" s="17"/>
      <c r="F3810" s="18"/>
      <c r="G3810" s="36" t="str">
        <f>IF(ISNUMBER(F3810),C3810*F3810,"")</f>
        <v/>
      </c>
    </row>
    <row r="3811" spans="1:7" ht="12" customHeight="1" outlineLevel="3" x14ac:dyDescent="0.2">
      <c r="A3811" s="14" t="s">
        <v>7511</v>
      </c>
      <c r="B3811" s="15" t="s">
        <v>7512</v>
      </c>
      <c r="C3811" s="16">
        <f>110.73/(1+B2)</f>
        <v>110.73</v>
      </c>
      <c r="D3811" s="17" t="s">
        <v>11</v>
      </c>
      <c r="E3811" s="17"/>
      <c r="F3811" s="18"/>
      <c r="G3811" s="36" t="str">
        <f>IF(ISNUMBER(F3811),C3811*F3811,"")</f>
        <v/>
      </c>
    </row>
    <row r="3812" spans="1:7" ht="12" customHeight="1" outlineLevel="3" x14ac:dyDescent="0.2">
      <c r="A3812" s="14" t="s">
        <v>7513</v>
      </c>
      <c r="B3812" s="15" t="s">
        <v>7514</v>
      </c>
      <c r="C3812" s="16">
        <f>121.44/(1+B2)</f>
        <v>121.44</v>
      </c>
      <c r="D3812" s="17" t="s">
        <v>11</v>
      </c>
      <c r="E3812" s="17"/>
      <c r="F3812" s="18"/>
      <c r="G3812" s="36" t="str">
        <f>IF(ISNUMBER(F3812),C3812*F3812,"")</f>
        <v/>
      </c>
    </row>
    <row r="3813" spans="1:7" ht="12" customHeight="1" outlineLevel="3" x14ac:dyDescent="0.2">
      <c r="A3813" s="14" t="s">
        <v>7515</v>
      </c>
      <c r="B3813" s="15" t="s">
        <v>7516</v>
      </c>
      <c r="C3813" s="16">
        <f>75.31/(1+B2)</f>
        <v>75.31</v>
      </c>
      <c r="D3813" s="17" t="s">
        <v>11</v>
      </c>
      <c r="E3813" s="17"/>
      <c r="F3813" s="18"/>
      <c r="G3813" s="36" t="str">
        <f>IF(ISNUMBER(F3813),C3813*F3813,"")</f>
        <v/>
      </c>
    </row>
    <row r="3814" spans="1:7" ht="12" customHeight="1" outlineLevel="3" x14ac:dyDescent="0.2">
      <c r="A3814" s="14" t="s">
        <v>7517</v>
      </c>
      <c r="B3814" s="15" t="s">
        <v>7518</v>
      </c>
      <c r="C3814" s="16">
        <f>96.99/(1+B2)</f>
        <v>96.99</v>
      </c>
      <c r="D3814" s="17" t="s">
        <v>11</v>
      </c>
      <c r="E3814" s="17"/>
      <c r="F3814" s="18"/>
      <c r="G3814" s="36" t="str">
        <f>IF(ISNUMBER(F3814),C3814*F3814,"")</f>
        <v/>
      </c>
    </row>
    <row r="3815" spans="1:7" ht="12" customHeight="1" outlineLevel="3" x14ac:dyDescent="0.2">
      <c r="A3815" s="14" t="s">
        <v>7519</v>
      </c>
      <c r="B3815" s="15" t="s">
        <v>7520</v>
      </c>
      <c r="C3815" s="16">
        <f>54.1/(1+B2)</f>
        <v>54.1</v>
      </c>
      <c r="D3815" s="17" t="s">
        <v>11</v>
      </c>
      <c r="E3815" s="17"/>
      <c r="F3815" s="18"/>
      <c r="G3815" s="36" t="str">
        <f>IF(ISNUMBER(F3815),C3815*F3815,"")</f>
        <v/>
      </c>
    </row>
    <row r="3816" spans="1:7" ht="12" customHeight="1" outlineLevel="3" x14ac:dyDescent="0.2">
      <c r="A3816" s="14" t="s">
        <v>7521</v>
      </c>
      <c r="B3816" s="15" t="s">
        <v>7522</v>
      </c>
      <c r="C3816" s="16">
        <f>122.9/(1+B2)</f>
        <v>122.9</v>
      </c>
      <c r="D3816" s="17" t="s">
        <v>11</v>
      </c>
      <c r="E3816" s="17"/>
      <c r="F3816" s="18"/>
      <c r="G3816" s="36" t="str">
        <f>IF(ISNUMBER(F3816),C3816*F3816,"")</f>
        <v/>
      </c>
    </row>
    <row r="3817" spans="1:7" ht="12" customHeight="1" outlineLevel="3" x14ac:dyDescent="0.2">
      <c r="A3817" s="14" t="s">
        <v>7523</v>
      </c>
      <c r="B3817" s="15" t="s">
        <v>7524</v>
      </c>
      <c r="C3817" s="16">
        <f>145.5/(1+B2)</f>
        <v>145.5</v>
      </c>
      <c r="D3817" s="17" t="s">
        <v>14</v>
      </c>
      <c r="E3817" s="17"/>
      <c r="F3817" s="18"/>
      <c r="G3817" s="36" t="str">
        <f>IF(ISNUMBER(F3817),C3817*F3817,"")</f>
        <v/>
      </c>
    </row>
    <row r="3818" spans="1:7" ht="12" customHeight="1" outlineLevel="3" x14ac:dyDescent="0.2">
      <c r="A3818" s="14" t="s">
        <v>7525</v>
      </c>
      <c r="B3818" s="15" t="s">
        <v>7526</v>
      </c>
      <c r="C3818" s="16">
        <f>161.46/(1+B2)</f>
        <v>161.46</v>
      </c>
      <c r="D3818" s="17" t="s">
        <v>11</v>
      </c>
      <c r="E3818" s="17"/>
      <c r="F3818" s="18"/>
      <c r="G3818" s="36" t="str">
        <f>IF(ISNUMBER(F3818),C3818*F3818,"")</f>
        <v/>
      </c>
    </row>
    <row r="3819" spans="1:7" s="1" customFormat="1" ht="12.95" customHeight="1" outlineLevel="2" x14ac:dyDescent="0.2">
      <c r="A3819" s="20"/>
      <c r="B3819" s="21" t="s">
        <v>7527</v>
      </c>
      <c r="C3819" s="22"/>
      <c r="D3819" s="22"/>
      <c r="E3819" s="22"/>
      <c r="F3819" s="22"/>
      <c r="G3819" s="37"/>
    </row>
    <row r="3820" spans="1:7" ht="12" customHeight="1" outlineLevel="3" x14ac:dyDescent="0.2">
      <c r="A3820" s="14" t="s">
        <v>7528</v>
      </c>
      <c r="B3820" s="15" t="s">
        <v>7529</v>
      </c>
      <c r="C3820" s="16">
        <f>73.79/(1+B2)</f>
        <v>73.790000000000006</v>
      </c>
      <c r="D3820" s="17" t="s">
        <v>11</v>
      </c>
      <c r="E3820" s="17"/>
      <c r="F3820" s="18"/>
      <c r="G3820" s="36" t="str">
        <f>IF(ISNUMBER(F3820),C3820*F3820,"")</f>
        <v/>
      </c>
    </row>
    <row r="3821" spans="1:7" ht="12" customHeight="1" outlineLevel="3" x14ac:dyDescent="0.2">
      <c r="A3821" s="14" t="s">
        <v>7530</v>
      </c>
      <c r="B3821" s="15" t="s">
        <v>7531</v>
      </c>
      <c r="C3821" s="16">
        <f>282.16/(1+B2)</f>
        <v>282.16000000000003</v>
      </c>
      <c r="D3821" s="17" t="s">
        <v>11</v>
      </c>
      <c r="E3821" s="17"/>
      <c r="F3821" s="18"/>
      <c r="G3821" s="36" t="str">
        <f>IF(ISNUMBER(F3821),C3821*F3821,"")</f>
        <v/>
      </c>
    </row>
    <row r="3822" spans="1:7" ht="12" customHeight="1" outlineLevel="3" x14ac:dyDescent="0.2">
      <c r="A3822" s="14" t="s">
        <v>7532</v>
      </c>
      <c r="B3822" s="15" t="s">
        <v>7533</v>
      </c>
      <c r="C3822" s="16">
        <f>430.66/(1+B2)</f>
        <v>430.66</v>
      </c>
      <c r="D3822" s="17" t="s">
        <v>11</v>
      </c>
      <c r="E3822" s="17"/>
      <c r="F3822" s="18"/>
      <c r="G3822" s="36" t="str">
        <f>IF(ISNUMBER(F3822),C3822*F3822,"")</f>
        <v/>
      </c>
    </row>
    <row r="3823" spans="1:7" ht="12" customHeight="1" outlineLevel="3" x14ac:dyDescent="0.2">
      <c r="A3823" s="14" t="s">
        <v>7534</v>
      </c>
      <c r="B3823" s="15" t="s">
        <v>7535</v>
      </c>
      <c r="C3823" s="16">
        <f>48.17/(1+B2)</f>
        <v>48.17</v>
      </c>
      <c r="D3823" s="17" t="s">
        <v>11</v>
      </c>
      <c r="E3823" s="17"/>
      <c r="F3823" s="18"/>
      <c r="G3823" s="36" t="str">
        <f>IF(ISNUMBER(F3823),C3823*F3823,"")</f>
        <v/>
      </c>
    </row>
    <row r="3824" spans="1:7" ht="12" customHeight="1" outlineLevel="3" x14ac:dyDescent="0.2">
      <c r="A3824" s="14" t="s">
        <v>7536</v>
      </c>
      <c r="B3824" s="15" t="s">
        <v>7537</v>
      </c>
      <c r="C3824" s="16">
        <f>45.32/(1+B2)</f>
        <v>45.32</v>
      </c>
      <c r="D3824" s="17" t="s">
        <v>11</v>
      </c>
      <c r="E3824" s="17"/>
      <c r="F3824" s="18"/>
      <c r="G3824" s="36" t="str">
        <f>IF(ISNUMBER(F3824),C3824*F3824,"")</f>
        <v/>
      </c>
    </row>
    <row r="3825" spans="1:7" ht="12" customHeight="1" outlineLevel="3" x14ac:dyDescent="0.2">
      <c r="A3825" s="14" t="s">
        <v>7538</v>
      </c>
      <c r="B3825" s="15" t="s">
        <v>7539</v>
      </c>
      <c r="C3825" s="16">
        <f>43.54/(1+B2)</f>
        <v>43.54</v>
      </c>
      <c r="D3825" s="17" t="s">
        <v>11</v>
      </c>
      <c r="E3825" s="17"/>
      <c r="F3825" s="18"/>
      <c r="G3825" s="36" t="str">
        <f>IF(ISNUMBER(F3825),C3825*F3825,"")</f>
        <v/>
      </c>
    </row>
    <row r="3826" spans="1:7" ht="12" customHeight="1" outlineLevel="3" x14ac:dyDescent="0.2">
      <c r="A3826" s="14" t="s">
        <v>7540</v>
      </c>
      <c r="B3826" s="15" t="s">
        <v>7541</v>
      </c>
      <c r="C3826" s="16">
        <f>278.29/(1+B2)</f>
        <v>278.29000000000002</v>
      </c>
      <c r="D3826" s="17" t="s">
        <v>11</v>
      </c>
      <c r="E3826" s="17"/>
      <c r="F3826" s="18"/>
      <c r="G3826" s="36" t="str">
        <f>IF(ISNUMBER(F3826),C3826*F3826,"")</f>
        <v/>
      </c>
    </row>
    <row r="3827" spans="1:7" ht="12" customHeight="1" outlineLevel="3" x14ac:dyDescent="0.2">
      <c r="A3827" s="14" t="s">
        <v>7542</v>
      </c>
      <c r="B3827" s="15" t="s">
        <v>7543</v>
      </c>
      <c r="C3827" s="16">
        <f>85.36/(1+B2)</f>
        <v>85.36</v>
      </c>
      <c r="D3827" s="17" t="s">
        <v>11</v>
      </c>
      <c r="E3827" s="17"/>
      <c r="F3827" s="18"/>
      <c r="G3827" s="36" t="str">
        <f>IF(ISNUMBER(F3827),C3827*F3827,"")</f>
        <v/>
      </c>
    </row>
    <row r="3828" spans="1:7" ht="12" customHeight="1" outlineLevel="3" x14ac:dyDescent="0.2">
      <c r="A3828" s="14" t="s">
        <v>7544</v>
      </c>
      <c r="B3828" s="15" t="s">
        <v>7545</v>
      </c>
      <c r="C3828" s="16">
        <f>121.2/(1+B2)</f>
        <v>121.2</v>
      </c>
      <c r="D3828" s="17" t="s">
        <v>11</v>
      </c>
      <c r="E3828" s="17"/>
      <c r="F3828" s="18"/>
      <c r="G3828" s="36" t="str">
        <f>IF(ISNUMBER(F3828),C3828*F3828,"")</f>
        <v/>
      </c>
    </row>
    <row r="3829" spans="1:7" ht="12" customHeight="1" outlineLevel="3" x14ac:dyDescent="0.2">
      <c r="A3829" s="14" t="s">
        <v>7546</v>
      </c>
      <c r="B3829" s="15" t="s">
        <v>7547</v>
      </c>
      <c r="C3829" s="16">
        <f>136.75/(1+B2)</f>
        <v>136.75</v>
      </c>
      <c r="D3829" s="17" t="s">
        <v>11</v>
      </c>
      <c r="E3829" s="17"/>
      <c r="F3829" s="18"/>
      <c r="G3829" s="36" t="str">
        <f>IF(ISNUMBER(F3829),C3829*F3829,"")</f>
        <v/>
      </c>
    </row>
    <row r="3830" spans="1:7" ht="12" customHeight="1" outlineLevel="3" x14ac:dyDescent="0.2">
      <c r="A3830" s="14" t="s">
        <v>7548</v>
      </c>
      <c r="B3830" s="15" t="s">
        <v>7549</v>
      </c>
      <c r="C3830" s="16">
        <f>137.13/(1+B2)</f>
        <v>137.13</v>
      </c>
      <c r="D3830" s="17" t="s">
        <v>11</v>
      </c>
      <c r="E3830" s="17"/>
      <c r="F3830" s="18"/>
      <c r="G3830" s="36" t="str">
        <f>IF(ISNUMBER(F3830),C3830*F3830,"")</f>
        <v/>
      </c>
    </row>
    <row r="3831" spans="1:7" ht="12" customHeight="1" outlineLevel="3" x14ac:dyDescent="0.2">
      <c r="A3831" s="14" t="s">
        <v>7550</v>
      </c>
      <c r="B3831" s="15" t="s">
        <v>7551</v>
      </c>
      <c r="C3831" s="16">
        <f>129.83/(1+B2)</f>
        <v>129.83000000000001</v>
      </c>
      <c r="D3831" s="17" t="s">
        <v>11</v>
      </c>
      <c r="E3831" s="17"/>
      <c r="F3831" s="18"/>
      <c r="G3831" s="36" t="str">
        <f>IF(ISNUMBER(F3831),C3831*F3831,"")</f>
        <v/>
      </c>
    </row>
    <row r="3832" spans="1:7" ht="12" customHeight="1" outlineLevel="3" x14ac:dyDescent="0.2">
      <c r="A3832" s="14" t="s">
        <v>7552</v>
      </c>
      <c r="B3832" s="15" t="s">
        <v>7553</v>
      </c>
      <c r="C3832" s="16">
        <f>109.08/(1+B2)</f>
        <v>109.08</v>
      </c>
      <c r="D3832" s="17" t="s">
        <v>14</v>
      </c>
      <c r="E3832" s="17"/>
      <c r="F3832" s="18"/>
      <c r="G3832" s="36" t="str">
        <f>IF(ISNUMBER(F3832),C3832*F3832,"")</f>
        <v/>
      </c>
    </row>
    <row r="3833" spans="1:7" ht="12" customHeight="1" outlineLevel="3" x14ac:dyDescent="0.2">
      <c r="A3833" s="14" t="s">
        <v>7554</v>
      </c>
      <c r="B3833" s="15" t="s">
        <v>7555</v>
      </c>
      <c r="C3833" s="16">
        <f>137.8/(1+B2)</f>
        <v>137.80000000000001</v>
      </c>
      <c r="D3833" s="17" t="s">
        <v>11</v>
      </c>
      <c r="E3833" s="17"/>
      <c r="F3833" s="18"/>
      <c r="G3833" s="36" t="str">
        <f>IF(ISNUMBER(F3833),C3833*F3833,"")</f>
        <v/>
      </c>
    </row>
    <row r="3834" spans="1:7" ht="12" customHeight="1" outlineLevel="3" x14ac:dyDescent="0.2">
      <c r="A3834" s="14" t="s">
        <v>7556</v>
      </c>
      <c r="B3834" s="15" t="s">
        <v>7557</v>
      </c>
      <c r="C3834" s="16">
        <f>126.89/(1+B2)</f>
        <v>126.89</v>
      </c>
      <c r="D3834" s="17" t="s">
        <v>11</v>
      </c>
      <c r="E3834" s="17"/>
      <c r="F3834" s="18"/>
      <c r="G3834" s="36" t="str">
        <f>IF(ISNUMBER(F3834),C3834*F3834,"")</f>
        <v/>
      </c>
    </row>
    <row r="3835" spans="1:7" ht="12" customHeight="1" outlineLevel="3" x14ac:dyDescent="0.2">
      <c r="A3835" s="14" t="s">
        <v>7558</v>
      </c>
      <c r="B3835" s="15" t="s">
        <v>7559</v>
      </c>
      <c r="C3835" s="16">
        <f>28.63/(1+B2)</f>
        <v>28.63</v>
      </c>
      <c r="D3835" s="17" t="s">
        <v>11</v>
      </c>
      <c r="E3835" s="17"/>
      <c r="F3835" s="18"/>
      <c r="G3835" s="36" t="str">
        <f>IF(ISNUMBER(F3835),C3835*F3835,"")</f>
        <v/>
      </c>
    </row>
    <row r="3836" spans="1:7" ht="12" customHeight="1" outlineLevel="3" x14ac:dyDescent="0.2">
      <c r="A3836" s="14" t="s">
        <v>7560</v>
      </c>
      <c r="B3836" s="15" t="s">
        <v>7561</v>
      </c>
      <c r="C3836" s="16">
        <f>48.79/(1+B2)</f>
        <v>48.79</v>
      </c>
      <c r="D3836" s="17" t="s">
        <v>11</v>
      </c>
      <c r="E3836" s="17"/>
      <c r="F3836" s="18"/>
      <c r="G3836" s="36" t="str">
        <f>IF(ISNUMBER(F3836),C3836*F3836,"")</f>
        <v/>
      </c>
    </row>
    <row r="3837" spans="1:7" ht="12" customHeight="1" outlineLevel="3" x14ac:dyDescent="0.2">
      <c r="A3837" s="14" t="s">
        <v>7562</v>
      </c>
      <c r="B3837" s="15" t="s">
        <v>7563</v>
      </c>
      <c r="C3837" s="16">
        <f>33.97/(1+B2)</f>
        <v>33.97</v>
      </c>
      <c r="D3837" s="17" t="s">
        <v>14</v>
      </c>
      <c r="E3837" s="17" t="s">
        <v>53</v>
      </c>
      <c r="F3837" s="18"/>
      <c r="G3837" s="36" t="str">
        <f>IF(ISNUMBER(F3837),C3837*F3837,"")</f>
        <v/>
      </c>
    </row>
    <row r="3838" spans="1:7" ht="12" customHeight="1" outlineLevel="3" x14ac:dyDescent="0.2">
      <c r="A3838" s="14" t="s">
        <v>7564</v>
      </c>
      <c r="B3838" s="15" t="s">
        <v>7565</v>
      </c>
      <c r="C3838" s="16">
        <f>35.02/(1+B2)</f>
        <v>35.020000000000003</v>
      </c>
      <c r="D3838" s="17" t="s">
        <v>11</v>
      </c>
      <c r="E3838" s="17"/>
      <c r="F3838" s="18"/>
      <c r="G3838" s="36" t="str">
        <f>IF(ISNUMBER(F3838),C3838*F3838,"")</f>
        <v/>
      </c>
    </row>
    <row r="3839" spans="1:7" ht="12" customHeight="1" outlineLevel="3" x14ac:dyDescent="0.2">
      <c r="A3839" s="14" t="s">
        <v>7566</v>
      </c>
      <c r="B3839" s="15" t="s">
        <v>7567</v>
      </c>
      <c r="C3839" s="16">
        <f>69.11/(1+B2)</f>
        <v>69.11</v>
      </c>
      <c r="D3839" s="17" t="s">
        <v>11</v>
      </c>
      <c r="E3839" s="17" t="s">
        <v>11</v>
      </c>
      <c r="F3839" s="18"/>
      <c r="G3839" s="36" t="str">
        <f>IF(ISNUMBER(F3839),C3839*F3839,"")</f>
        <v/>
      </c>
    </row>
    <row r="3840" spans="1:7" ht="12" customHeight="1" outlineLevel="3" x14ac:dyDescent="0.2">
      <c r="A3840" s="14" t="s">
        <v>7568</v>
      </c>
      <c r="B3840" s="15" t="s">
        <v>7569</v>
      </c>
      <c r="C3840" s="16">
        <f>79.68/(1+B2)</f>
        <v>79.680000000000007</v>
      </c>
      <c r="D3840" s="17" t="s">
        <v>11</v>
      </c>
      <c r="E3840" s="17"/>
      <c r="F3840" s="18"/>
      <c r="G3840" s="36" t="str">
        <f>IF(ISNUMBER(F3840),C3840*F3840,"")</f>
        <v/>
      </c>
    </row>
    <row r="3841" spans="1:7" ht="12" customHeight="1" outlineLevel="3" x14ac:dyDescent="0.2">
      <c r="A3841" s="14" t="s">
        <v>7570</v>
      </c>
      <c r="B3841" s="15" t="s">
        <v>7571</v>
      </c>
      <c r="C3841" s="16">
        <f>173.66/(1+B2)</f>
        <v>173.66</v>
      </c>
      <c r="D3841" s="17" t="s">
        <v>11</v>
      </c>
      <c r="E3841" s="17"/>
      <c r="F3841" s="18"/>
      <c r="G3841" s="36" t="str">
        <f>IF(ISNUMBER(F3841),C3841*F3841,"")</f>
        <v/>
      </c>
    </row>
    <row r="3842" spans="1:7" ht="12" customHeight="1" outlineLevel="3" x14ac:dyDescent="0.2">
      <c r="A3842" s="14" t="s">
        <v>7572</v>
      </c>
      <c r="B3842" s="15" t="s">
        <v>7573</v>
      </c>
      <c r="C3842" s="16">
        <f>41.69/(1+B2)</f>
        <v>41.69</v>
      </c>
      <c r="D3842" s="17" t="s">
        <v>11</v>
      </c>
      <c r="E3842" s="17"/>
      <c r="F3842" s="18"/>
      <c r="G3842" s="36" t="str">
        <f>IF(ISNUMBER(F3842),C3842*F3842,"")</f>
        <v/>
      </c>
    </row>
    <row r="3843" spans="1:7" ht="12" customHeight="1" outlineLevel="3" x14ac:dyDescent="0.2">
      <c r="A3843" s="14" t="s">
        <v>7574</v>
      </c>
      <c r="B3843" s="15" t="s">
        <v>7575</v>
      </c>
      <c r="C3843" s="16">
        <f>26.75/(1+B2)</f>
        <v>26.75</v>
      </c>
      <c r="D3843" s="17" t="s">
        <v>11</v>
      </c>
      <c r="E3843" s="17" t="s">
        <v>11</v>
      </c>
      <c r="F3843" s="18"/>
      <c r="G3843" s="36" t="str">
        <f>IF(ISNUMBER(F3843),C3843*F3843,"")</f>
        <v/>
      </c>
    </row>
    <row r="3844" spans="1:7" ht="12" customHeight="1" outlineLevel="3" x14ac:dyDescent="0.2">
      <c r="A3844" s="14" t="s">
        <v>7576</v>
      </c>
      <c r="B3844" s="15" t="s">
        <v>7577</v>
      </c>
      <c r="C3844" s="16">
        <f>63.36/(1+B2)</f>
        <v>63.36</v>
      </c>
      <c r="D3844" s="17" t="s">
        <v>11</v>
      </c>
      <c r="E3844" s="17"/>
      <c r="F3844" s="18"/>
      <c r="G3844" s="36" t="str">
        <f>IF(ISNUMBER(F3844),C3844*F3844,"")</f>
        <v/>
      </c>
    </row>
    <row r="3845" spans="1:7" ht="12" customHeight="1" outlineLevel="3" x14ac:dyDescent="0.2">
      <c r="A3845" s="14" t="s">
        <v>7578</v>
      </c>
      <c r="B3845" s="15" t="s">
        <v>7579</v>
      </c>
      <c r="C3845" s="16">
        <f>83.28/(1+B2)</f>
        <v>83.28</v>
      </c>
      <c r="D3845" s="17" t="s">
        <v>14</v>
      </c>
      <c r="E3845" s="17"/>
      <c r="F3845" s="18"/>
      <c r="G3845" s="36" t="str">
        <f>IF(ISNUMBER(F3845),C3845*F3845,"")</f>
        <v/>
      </c>
    </row>
    <row r="3846" spans="1:7" ht="12" customHeight="1" outlineLevel="3" x14ac:dyDescent="0.2">
      <c r="A3846" s="14" t="s">
        <v>7580</v>
      </c>
      <c r="B3846" s="15" t="s">
        <v>7581</v>
      </c>
      <c r="C3846" s="16">
        <f>68.17/(1+B2)</f>
        <v>68.17</v>
      </c>
      <c r="D3846" s="17" t="s">
        <v>11</v>
      </c>
      <c r="E3846" s="17"/>
      <c r="F3846" s="18"/>
      <c r="G3846" s="36" t="str">
        <f>IF(ISNUMBER(F3846),C3846*F3846,"")</f>
        <v/>
      </c>
    </row>
    <row r="3847" spans="1:7" ht="12" customHeight="1" outlineLevel="3" x14ac:dyDescent="0.2">
      <c r="A3847" s="14" t="s">
        <v>7582</v>
      </c>
      <c r="B3847" s="15" t="s">
        <v>7583</v>
      </c>
      <c r="C3847" s="16">
        <f>66.03/(1+B2)</f>
        <v>66.03</v>
      </c>
      <c r="D3847" s="17" t="s">
        <v>14</v>
      </c>
      <c r="E3847" s="17"/>
      <c r="F3847" s="18"/>
      <c r="G3847" s="36" t="str">
        <f>IF(ISNUMBER(F3847),C3847*F3847,"")</f>
        <v/>
      </c>
    </row>
    <row r="3848" spans="1:7" ht="12" customHeight="1" outlineLevel="3" x14ac:dyDescent="0.2">
      <c r="A3848" s="14" t="s">
        <v>7584</v>
      </c>
      <c r="B3848" s="15" t="s">
        <v>7585</v>
      </c>
      <c r="C3848" s="16">
        <f>81.28/(1+B2)</f>
        <v>81.28</v>
      </c>
      <c r="D3848" s="17" t="s">
        <v>11</v>
      </c>
      <c r="E3848" s="17"/>
      <c r="F3848" s="18"/>
      <c r="G3848" s="36" t="str">
        <f>IF(ISNUMBER(F3848),C3848*F3848,"")</f>
        <v/>
      </c>
    </row>
    <row r="3849" spans="1:7" ht="12" customHeight="1" outlineLevel="3" x14ac:dyDescent="0.2">
      <c r="A3849" s="14" t="s">
        <v>7586</v>
      </c>
      <c r="B3849" s="15" t="s">
        <v>7587</v>
      </c>
      <c r="C3849" s="16">
        <f>116.6/(1+B2)</f>
        <v>116.6</v>
      </c>
      <c r="D3849" s="17" t="s">
        <v>11</v>
      </c>
      <c r="E3849" s="17"/>
      <c r="F3849" s="18"/>
      <c r="G3849" s="36" t="str">
        <f>IF(ISNUMBER(F3849),C3849*F3849,"")</f>
        <v/>
      </c>
    </row>
    <row r="3850" spans="1:7" ht="12" customHeight="1" outlineLevel="3" x14ac:dyDescent="0.2">
      <c r="A3850" s="14" t="s">
        <v>7588</v>
      </c>
      <c r="B3850" s="15" t="s">
        <v>7589</v>
      </c>
      <c r="C3850" s="16">
        <f>40.86/(1+B2)</f>
        <v>40.86</v>
      </c>
      <c r="D3850" s="17" t="s">
        <v>11</v>
      </c>
      <c r="E3850" s="17"/>
      <c r="F3850" s="18"/>
      <c r="G3850" s="36" t="str">
        <f>IF(ISNUMBER(F3850),C3850*F3850,"")</f>
        <v/>
      </c>
    </row>
    <row r="3851" spans="1:7" ht="12" customHeight="1" outlineLevel="3" x14ac:dyDescent="0.2">
      <c r="A3851" s="14" t="s">
        <v>7590</v>
      </c>
      <c r="B3851" s="15" t="s">
        <v>7591</v>
      </c>
      <c r="C3851" s="16">
        <f>60.31/(1+B2)</f>
        <v>60.31</v>
      </c>
      <c r="D3851" s="17" t="s">
        <v>11</v>
      </c>
      <c r="E3851" s="17"/>
      <c r="F3851" s="18"/>
      <c r="G3851" s="36" t="str">
        <f>IF(ISNUMBER(F3851),C3851*F3851,"")</f>
        <v/>
      </c>
    </row>
    <row r="3852" spans="1:7" ht="12" customHeight="1" outlineLevel="3" x14ac:dyDescent="0.2">
      <c r="A3852" s="14" t="s">
        <v>7592</v>
      </c>
      <c r="B3852" s="15" t="s">
        <v>7593</v>
      </c>
      <c r="C3852" s="16">
        <f>155.59/(1+B2)</f>
        <v>155.59</v>
      </c>
      <c r="D3852" s="17" t="s">
        <v>11</v>
      </c>
      <c r="E3852" s="17"/>
      <c r="F3852" s="18"/>
      <c r="G3852" s="36" t="str">
        <f>IF(ISNUMBER(F3852),C3852*F3852,"")</f>
        <v/>
      </c>
    </row>
    <row r="3853" spans="1:7" ht="12" customHeight="1" outlineLevel="3" x14ac:dyDescent="0.2">
      <c r="A3853" s="14" t="s">
        <v>7594</v>
      </c>
      <c r="B3853" s="15" t="s">
        <v>7595</v>
      </c>
      <c r="C3853" s="16">
        <f>60/(1+B2)</f>
        <v>60</v>
      </c>
      <c r="D3853" s="17" t="s">
        <v>11</v>
      </c>
      <c r="E3853" s="17"/>
      <c r="F3853" s="18"/>
      <c r="G3853" s="36" t="str">
        <f>IF(ISNUMBER(F3853),C3853*F3853,"")</f>
        <v/>
      </c>
    </row>
    <row r="3854" spans="1:7" ht="12" customHeight="1" outlineLevel="3" x14ac:dyDescent="0.2">
      <c r="A3854" s="14" t="s">
        <v>7596</v>
      </c>
      <c r="B3854" s="15" t="s">
        <v>7597</v>
      </c>
      <c r="C3854" s="16">
        <f>62/(1+B2)</f>
        <v>62</v>
      </c>
      <c r="D3854" s="17" t="s">
        <v>11</v>
      </c>
      <c r="E3854" s="17"/>
      <c r="F3854" s="18"/>
      <c r="G3854" s="36" t="str">
        <f>IF(ISNUMBER(F3854),C3854*F3854,"")</f>
        <v/>
      </c>
    </row>
    <row r="3855" spans="1:7" ht="12" customHeight="1" outlineLevel="3" x14ac:dyDescent="0.2">
      <c r="A3855" s="14" t="s">
        <v>7598</v>
      </c>
      <c r="B3855" s="15" t="s">
        <v>7599</v>
      </c>
      <c r="C3855" s="16">
        <f>29.24/(1+B2)</f>
        <v>29.24</v>
      </c>
      <c r="D3855" s="17" t="s">
        <v>53</v>
      </c>
      <c r="E3855" s="17"/>
      <c r="F3855" s="18"/>
      <c r="G3855" s="36" t="str">
        <f>IF(ISNUMBER(F3855),C3855*F3855,"")</f>
        <v/>
      </c>
    </row>
    <row r="3856" spans="1:7" ht="12" customHeight="1" outlineLevel="3" x14ac:dyDescent="0.2">
      <c r="A3856" s="14" t="s">
        <v>7600</v>
      </c>
      <c r="B3856" s="15" t="s">
        <v>7601</v>
      </c>
      <c r="C3856" s="16">
        <f>79.02/(1+B2)</f>
        <v>79.02</v>
      </c>
      <c r="D3856" s="17" t="s">
        <v>11</v>
      </c>
      <c r="E3856" s="17"/>
      <c r="F3856" s="18"/>
      <c r="G3856" s="36" t="str">
        <f>IF(ISNUMBER(F3856),C3856*F3856,"")</f>
        <v/>
      </c>
    </row>
    <row r="3857" spans="1:7" ht="12" customHeight="1" outlineLevel="3" x14ac:dyDescent="0.2">
      <c r="A3857" s="14" t="s">
        <v>7602</v>
      </c>
      <c r="B3857" s="15" t="s">
        <v>7603</v>
      </c>
      <c r="C3857" s="16">
        <f>85.97/(1+B2)</f>
        <v>85.97</v>
      </c>
      <c r="D3857" s="17" t="s">
        <v>11</v>
      </c>
      <c r="E3857" s="17" t="s">
        <v>14</v>
      </c>
      <c r="F3857" s="18"/>
      <c r="G3857" s="36" t="str">
        <f>IF(ISNUMBER(F3857),C3857*F3857,"")</f>
        <v/>
      </c>
    </row>
    <row r="3858" spans="1:7" ht="12" customHeight="1" outlineLevel="3" x14ac:dyDescent="0.2">
      <c r="A3858" s="14" t="s">
        <v>7604</v>
      </c>
      <c r="B3858" s="15" t="s">
        <v>7605</v>
      </c>
      <c r="C3858" s="16">
        <f>180.01/(1+B2)</f>
        <v>180.01</v>
      </c>
      <c r="D3858" s="17" t="s">
        <v>11</v>
      </c>
      <c r="E3858" s="17"/>
      <c r="F3858" s="18"/>
      <c r="G3858" s="36" t="str">
        <f>IF(ISNUMBER(F3858),C3858*F3858,"")</f>
        <v/>
      </c>
    </row>
    <row r="3859" spans="1:7" ht="12" customHeight="1" outlineLevel="3" x14ac:dyDescent="0.2">
      <c r="A3859" s="14" t="s">
        <v>7606</v>
      </c>
      <c r="B3859" s="15" t="s">
        <v>7607</v>
      </c>
      <c r="C3859" s="16">
        <f>249.01/(1+B2)</f>
        <v>249.01</v>
      </c>
      <c r="D3859" s="17" t="s">
        <v>11</v>
      </c>
      <c r="E3859" s="17"/>
      <c r="F3859" s="18"/>
      <c r="G3859" s="36" t="str">
        <f>IF(ISNUMBER(F3859),C3859*F3859,"")</f>
        <v/>
      </c>
    </row>
    <row r="3860" spans="1:7" ht="12" customHeight="1" outlineLevel="3" x14ac:dyDescent="0.2">
      <c r="A3860" s="14" t="s">
        <v>7608</v>
      </c>
      <c r="B3860" s="15" t="s">
        <v>7609</v>
      </c>
      <c r="C3860" s="16">
        <f>249.01/(1+B2)</f>
        <v>249.01</v>
      </c>
      <c r="D3860" s="17" t="s">
        <v>11</v>
      </c>
      <c r="E3860" s="17"/>
      <c r="F3860" s="18"/>
      <c r="G3860" s="36" t="str">
        <f>IF(ISNUMBER(F3860),C3860*F3860,"")</f>
        <v/>
      </c>
    </row>
    <row r="3861" spans="1:7" ht="12" customHeight="1" outlineLevel="3" x14ac:dyDescent="0.2">
      <c r="A3861" s="14" t="s">
        <v>7610</v>
      </c>
      <c r="B3861" s="15" t="s">
        <v>7611</v>
      </c>
      <c r="C3861" s="16">
        <f>249.01/(1+B2)</f>
        <v>249.01</v>
      </c>
      <c r="D3861" s="17" t="s">
        <v>11</v>
      </c>
      <c r="E3861" s="17"/>
      <c r="F3861" s="18"/>
      <c r="G3861" s="36" t="str">
        <f>IF(ISNUMBER(F3861),C3861*F3861,"")</f>
        <v/>
      </c>
    </row>
    <row r="3862" spans="1:7" ht="12" customHeight="1" outlineLevel="3" x14ac:dyDescent="0.2">
      <c r="A3862" s="14" t="s">
        <v>7612</v>
      </c>
      <c r="B3862" s="15" t="s">
        <v>7613</v>
      </c>
      <c r="C3862" s="16">
        <f>369.96/(1+B2)</f>
        <v>369.96</v>
      </c>
      <c r="D3862" s="17" t="s">
        <v>11</v>
      </c>
      <c r="E3862" s="17" t="s">
        <v>11</v>
      </c>
      <c r="F3862" s="18"/>
      <c r="G3862" s="36" t="str">
        <f>IF(ISNUMBER(F3862),C3862*F3862,"")</f>
        <v/>
      </c>
    </row>
    <row r="3863" spans="1:7" s="1" customFormat="1" ht="12.95" customHeight="1" outlineLevel="2" x14ac:dyDescent="0.2">
      <c r="A3863" s="20"/>
      <c r="B3863" s="21" t="s">
        <v>7614</v>
      </c>
      <c r="C3863" s="22"/>
      <c r="D3863" s="22"/>
      <c r="E3863" s="22"/>
      <c r="F3863" s="22"/>
      <c r="G3863" s="37"/>
    </row>
    <row r="3864" spans="1:7" ht="12" customHeight="1" outlineLevel="3" x14ac:dyDescent="0.2">
      <c r="A3864" s="14" t="s">
        <v>7615</v>
      </c>
      <c r="B3864" s="15" t="s">
        <v>7616</v>
      </c>
      <c r="C3864" s="16">
        <f>239.62/(1+B2)</f>
        <v>239.62</v>
      </c>
      <c r="D3864" s="17" t="s">
        <v>11</v>
      </c>
      <c r="E3864" s="17"/>
      <c r="F3864" s="18"/>
      <c r="G3864" s="36" t="str">
        <f>IF(ISNUMBER(F3864),C3864*F3864,"")</f>
        <v/>
      </c>
    </row>
    <row r="3865" spans="1:7" ht="12" customHeight="1" outlineLevel="3" x14ac:dyDescent="0.2">
      <c r="A3865" s="14" t="s">
        <v>7617</v>
      </c>
      <c r="B3865" s="15" t="s">
        <v>7618</v>
      </c>
      <c r="C3865" s="16">
        <f>252.29/(1+B2)</f>
        <v>252.29</v>
      </c>
      <c r="D3865" s="17" t="s">
        <v>11</v>
      </c>
      <c r="E3865" s="17"/>
      <c r="F3865" s="18"/>
      <c r="G3865" s="36" t="str">
        <f>IF(ISNUMBER(F3865),C3865*F3865,"")</f>
        <v/>
      </c>
    </row>
    <row r="3866" spans="1:7" ht="12" customHeight="1" outlineLevel="3" x14ac:dyDescent="0.2">
      <c r="A3866" s="14" t="s">
        <v>7619</v>
      </c>
      <c r="B3866" s="15" t="s">
        <v>7620</v>
      </c>
      <c r="C3866" s="16">
        <f>163.84/(1+B2)</f>
        <v>163.84</v>
      </c>
      <c r="D3866" s="17" t="s">
        <v>11</v>
      </c>
      <c r="E3866" s="17"/>
      <c r="F3866" s="18"/>
      <c r="G3866" s="36" t="str">
        <f>IF(ISNUMBER(F3866),C3866*F3866,"")</f>
        <v/>
      </c>
    </row>
    <row r="3867" spans="1:7" ht="12" customHeight="1" outlineLevel="3" x14ac:dyDescent="0.2">
      <c r="A3867" s="14" t="s">
        <v>7621</v>
      </c>
      <c r="B3867" s="15" t="s">
        <v>7622</v>
      </c>
      <c r="C3867" s="16">
        <f>168.19/(1+B2)</f>
        <v>168.19</v>
      </c>
      <c r="D3867" s="17" t="s">
        <v>11</v>
      </c>
      <c r="E3867" s="17"/>
      <c r="F3867" s="18"/>
      <c r="G3867" s="36" t="str">
        <f>IF(ISNUMBER(F3867),C3867*F3867,"")</f>
        <v/>
      </c>
    </row>
    <row r="3868" spans="1:7" ht="12" customHeight="1" outlineLevel="3" x14ac:dyDescent="0.2">
      <c r="A3868" s="14" t="s">
        <v>7623</v>
      </c>
      <c r="B3868" s="15" t="s">
        <v>7624</v>
      </c>
      <c r="C3868" s="16">
        <f>181.43/(1+B2)</f>
        <v>181.43</v>
      </c>
      <c r="D3868" s="17" t="s">
        <v>11</v>
      </c>
      <c r="E3868" s="17"/>
      <c r="F3868" s="18"/>
      <c r="G3868" s="36" t="str">
        <f>IF(ISNUMBER(F3868),C3868*F3868,"")</f>
        <v/>
      </c>
    </row>
    <row r="3869" spans="1:7" ht="12" customHeight="1" outlineLevel="3" x14ac:dyDescent="0.2">
      <c r="A3869" s="14" t="s">
        <v>7625</v>
      </c>
      <c r="B3869" s="15" t="s">
        <v>7626</v>
      </c>
      <c r="C3869" s="16">
        <f>233.34/(1+B2)</f>
        <v>233.34</v>
      </c>
      <c r="D3869" s="17" t="s">
        <v>11</v>
      </c>
      <c r="E3869" s="17"/>
      <c r="F3869" s="18"/>
      <c r="G3869" s="36" t="str">
        <f>IF(ISNUMBER(F3869),C3869*F3869,"")</f>
        <v/>
      </c>
    </row>
    <row r="3870" spans="1:7" ht="12" customHeight="1" outlineLevel="3" x14ac:dyDescent="0.2">
      <c r="A3870" s="14" t="s">
        <v>7627</v>
      </c>
      <c r="B3870" s="15" t="s">
        <v>7628</v>
      </c>
      <c r="C3870" s="16">
        <f>219.7/(1+B2)</f>
        <v>219.7</v>
      </c>
      <c r="D3870" s="17" t="s">
        <v>11</v>
      </c>
      <c r="E3870" s="17"/>
      <c r="F3870" s="18"/>
      <c r="G3870" s="36" t="str">
        <f>IF(ISNUMBER(F3870),C3870*F3870,"")</f>
        <v/>
      </c>
    </row>
    <row r="3871" spans="1:7" ht="12" customHeight="1" outlineLevel="3" x14ac:dyDescent="0.2">
      <c r="A3871" s="14" t="s">
        <v>7629</v>
      </c>
      <c r="B3871" s="15" t="s">
        <v>7630</v>
      </c>
      <c r="C3871" s="16">
        <f>249.16/(1+B2)</f>
        <v>249.16</v>
      </c>
      <c r="D3871" s="17" t="s">
        <v>11</v>
      </c>
      <c r="E3871" s="17"/>
      <c r="F3871" s="18"/>
      <c r="G3871" s="36" t="str">
        <f>IF(ISNUMBER(F3871),C3871*F3871,"")</f>
        <v/>
      </c>
    </row>
    <row r="3872" spans="1:7" ht="12" customHeight="1" outlineLevel="3" x14ac:dyDescent="0.2">
      <c r="A3872" s="14" t="s">
        <v>7631</v>
      </c>
      <c r="B3872" s="15" t="s">
        <v>7632</v>
      </c>
      <c r="C3872" s="16">
        <f>243.17/(1+B2)</f>
        <v>243.17</v>
      </c>
      <c r="D3872" s="17" t="s">
        <v>11</v>
      </c>
      <c r="E3872" s="17"/>
      <c r="F3872" s="18"/>
      <c r="G3872" s="36" t="str">
        <f>IF(ISNUMBER(F3872),C3872*F3872,"")</f>
        <v/>
      </c>
    </row>
    <row r="3873" spans="1:7" ht="12" customHeight="1" outlineLevel="3" x14ac:dyDescent="0.2">
      <c r="A3873" s="14" t="s">
        <v>7633</v>
      </c>
      <c r="B3873" s="15" t="s">
        <v>7634</v>
      </c>
      <c r="C3873" s="16">
        <f>225.77/(1+B2)</f>
        <v>225.77</v>
      </c>
      <c r="D3873" s="17" t="s">
        <v>11</v>
      </c>
      <c r="E3873" s="17"/>
      <c r="F3873" s="18"/>
      <c r="G3873" s="36" t="str">
        <f>IF(ISNUMBER(F3873),C3873*F3873,"")</f>
        <v/>
      </c>
    </row>
    <row r="3874" spans="1:7" ht="12" customHeight="1" outlineLevel="3" x14ac:dyDescent="0.2">
      <c r="A3874" s="14" t="s">
        <v>7635</v>
      </c>
      <c r="B3874" s="15" t="s">
        <v>7636</v>
      </c>
      <c r="C3874" s="16">
        <f>119.55/(1+B2)</f>
        <v>119.55</v>
      </c>
      <c r="D3874" s="17" t="s">
        <v>11</v>
      </c>
      <c r="E3874" s="17"/>
      <c r="F3874" s="18"/>
      <c r="G3874" s="36" t="str">
        <f>IF(ISNUMBER(F3874),C3874*F3874,"")</f>
        <v/>
      </c>
    </row>
    <row r="3875" spans="1:7" ht="12" customHeight="1" outlineLevel="3" x14ac:dyDescent="0.2">
      <c r="A3875" s="14" t="s">
        <v>7637</v>
      </c>
      <c r="B3875" s="15" t="s">
        <v>7638</v>
      </c>
      <c r="C3875" s="16">
        <f>64/(1+B2)</f>
        <v>64</v>
      </c>
      <c r="D3875" s="17" t="s">
        <v>11</v>
      </c>
      <c r="E3875" s="17" t="s">
        <v>11</v>
      </c>
      <c r="F3875" s="18"/>
      <c r="G3875" s="36" t="str">
        <f>IF(ISNUMBER(F3875),C3875*F3875,"")</f>
        <v/>
      </c>
    </row>
    <row r="3876" spans="1:7" ht="12" customHeight="1" outlineLevel="3" x14ac:dyDescent="0.2">
      <c r="A3876" s="14" t="s">
        <v>7639</v>
      </c>
      <c r="B3876" s="15" t="s">
        <v>7640</v>
      </c>
      <c r="C3876" s="16">
        <f>132.36/(1+B2)</f>
        <v>132.36000000000001</v>
      </c>
      <c r="D3876" s="17" t="s">
        <v>11</v>
      </c>
      <c r="E3876" s="17"/>
      <c r="F3876" s="18"/>
      <c r="G3876" s="36" t="str">
        <f>IF(ISNUMBER(F3876),C3876*F3876,"")</f>
        <v/>
      </c>
    </row>
    <row r="3877" spans="1:7" ht="12" customHeight="1" outlineLevel="3" x14ac:dyDescent="0.2">
      <c r="A3877" s="14" t="s">
        <v>7641</v>
      </c>
      <c r="B3877" s="15" t="s">
        <v>7642</v>
      </c>
      <c r="C3877" s="16">
        <f>223.31/(1+B2)</f>
        <v>223.31</v>
      </c>
      <c r="D3877" s="17" t="s">
        <v>11</v>
      </c>
      <c r="E3877" s="17"/>
      <c r="F3877" s="18"/>
      <c r="G3877" s="36" t="str">
        <f>IF(ISNUMBER(F3877),C3877*F3877,"")</f>
        <v/>
      </c>
    </row>
    <row r="3878" spans="1:7" ht="12" customHeight="1" outlineLevel="3" x14ac:dyDescent="0.2">
      <c r="A3878" s="14" t="s">
        <v>7643</v>
      </c>
      <c r="B3878" s="15" t="s">
        <v>7644</v>
      </c>
      <c r="C3878" s="16">
        <f>368.56/(1+B2)</f>
        <v>368.56</v>
      </c>
      <c r="D3878" s="17" t="s">
        <v>11</v>
      </c>
      <c r="E3878" s="17"/>
      <c r="F3878" s="18"/>
      <c r="G3878" s="36" t="str">
        <f>IF(ISNUMBER(F3878),C3878*F3878,"")</f>
        <v/>
      </c>
    </row>
    <row r="3879" spans="1:7" ht="12" customHeight="1" outlineLevel="3" x14ac:dyDescent="0.2">
      <c r="A3879" s="14" t="s">
        <v>7645</v>
      </c>
      <c r="B3879" s="15" t="s">
        <v>7646</v>
      </c>
      <c r="C3879" s="16">
        <f>189.01/(1+B2)</f>
        <v>189.01</v>
      </c>
      <c r="D3879" s="17" t="s">
        <v>11</v>
      </c>
      <c r="E3879" s="17"/>
      <c r="F3879" s="18"/>
      <c r="G3879" s="36" t="str">
        <f>IF(ISNUMBER(F3879),C3879*F3879,"")</f>
        <v/>
      </c>
    </row>
    <row r="3880" spans="1:7" ht="12" customHeight="1" outlineLevel="3" x14ac:dyDescent="0.2">
      <c r="A3880" s="14" t="s">
        <v>7647</v>
      </c>
      <c r="B3880" s="15" t="s">
        <v>7648</v>
      </c>
      <c r="C3880" s="16">
        <f>149.01/(1+B2)</f>
        <v>149.01</v>
      </c>
      <c r="D3880" s="17" t="s">
        <v>11</v>
      </c>
      <c r="E3880" s="17"/>
      <c r="F3880" s="18"/>
      <c r="G3880" s="36" t="str">
        <f>IF(ISNUMBER(F3880),C3880*F3880,"")</f>
        <v/>
      </c>
    </row>
    <row r="3881" spans="1:7" ht="12" customHeight="1" outlineLevel="3" x14ac:dyDescent="0.2">
      <c r="A3881" s="14" t="s">
        <v>7649</v>
      </c>
      <c r="B3881" s="15" t="s">
        <v>7650</v>
      </c>
      <c r="C3881" s="16">
        <f>189.01/(1+B2)</f>
        <v>189.01</v>
      </c>
      <c r="D3881" s="17" t="s">
        <v>11</v>
      </c>
      <c r="E3881" s="17"/>
      <c r="F3881" s="18"/>
      <c r="G3881" s="36" t="str">
        <f>IF(ISNUMBER(F3881),C3881*F3881,"")</f>
        <v/>
      </c>
    </row>
    <row r="3882" spans="1:7" ht="12" customHeight="1" outlineLevel="3" x14ac:dyDescent="0.2">
      <c r="A3882" s="14" t="s">
        <v>7651</v>
      </c>
      <c r="B3882" s="15" t="s">
        <v>7652</v>
      </c>
      <c r="C3882" s="16">
        <f>390.41/(1+B2)</f>
        <v>390.41</v>
      </c>
      <c r="D3882" s="17" t="s">
        <v>11</v>
      </c>
      <c r="E3882" s="17"/>
      <c r="F3882" s="18"/>
      <c r="G3882" s="36" t="str">
        <f>IF(ISNUMBER(F3882),C3882*F3882,"")</f>
        <v/>
      </c>
    </row>
    <row r="3883" spans="1:7" ht="12" customHeight="1" outlineLevel="3" x14ac:dyDescent="0.2">
      <c r="A3883" s="14" t="s">
        <v>7653</v>
      </c>
      <c r="B3883" s="15" t="s">
        <v>7654</v>
      </c>
      <c r="C3883" s="16">
        <f>307.66/(1+B2)</f>
        <v>307.66000000000003</v>
      </c>
      <c r="D3883" s="17" t="s">
        <v>11</v>
      </c>
      <c r="E3883" s="17"/>
      <c r="F3883" s="18"/>
      <c r="G3883" s="36" t="str">
        <f>IF(ISNUMBER(F3883),C3883*F3883,"")</f>
        <v/>
      </c>
    </row>
    <row r="3884" spans="1:7" ht="12" customHeight="1" outlineLevel="3" x14ac:dyDescent="0.2">
      <c r="A3884" s="14" t="s">
        <v>7655</v>
      </c>
      <c r="B3884" s="15" t="s">
        <v>7656</v>
      </c>
      <c r="C3884" s="16">
        <f>182.48/(1+B2)</f>
        <v>182.48</v>
      </c>
      <c r="D3884" s="17" t="s">
        <v>11</v>
      </c>
      <c r="E3884" s="17"/>
      <c r="F3884" s="18"/>
      <c r="G3884" s="36" t="str">
        <f>IF(ISNUMBER(F3884),C3884*F3884,"")</f>
        <v/>
      </c>
    </row>
    <row r="3885" spans="1:7" ht="12" customHeight="1" outlineLevel="3" x14ac:dyDescent="0.2">
      <c r="A3885" s="14" t="s">
        <v>7657</v>
      </c>
      <c r="B3885" s="15" t="s">
        <v>7658</v>
      </c>
      <c r="C3885" s="16">
        <f>44.51/(1+B2)</f>
        <v>44.51</v>
      </c>
      <c r="D3885" s="17" t="s">
        <v>53</v>
      </c>
      <c r="E3885" s="17"/>
      <c r="F3885" s="18"/>
      <c r="G3885" s="36" t="str">
        <f>IF(ISNUMBER(F3885),C3885*F3885,"")</f>
        <v/>
      </c>
    </row>
    <row r="3886" spans="1:7" ht="12" customHeight="1" outlineLevel="3" x14ac:dyDescent="0.2">
      <c r="A3886" s="14" t="s">
        <v>7659</v>
      </c>
      <c r="B3886" s="15" t="s">
        <v>7660</v>
      </c>
      <c r="C3886" s="16">
        <f>307.01/(1+B2)</f>
        <v>307.01</v>
      </c>
      <c r="D3886" s="17" t="s">
        <v>11</v>
      </c>
      <c r="E3886" s="17"/>
      <c r="F3886" s="18"/>
      <c r="G3886" s="36" t="str">
        <f>IF(ISNUMBER(F3886),C3886*F3886,"")</f>
        <v/>
      </c>
    </row>
    <row r="3887" spans="1:7" ht="12" customHeight="1" outlineLevel="3" x14ac:dyDescent="0.2">
      <c r="A3887" s="14" t="s">
        <v>7661</v>
      </c>
      <c r="B3887" s="15" t="s">
        <v>7662</v>
      </c>
      <c r="C3887" s="16">
        <f>354.36/(1+B2)</f>
        <v>354.36</v>
      </c>
      <c r="D3887" s="17" t="s">
        <v>11</v>
      </c>
      <c r="E3887" s="17"/>
      <c r="F3887" s="18"/>
      <c r="G3887" s="36" t="str">
        <f>IF(ISNUMBER(F3887),C3887*F3887,"")</f>
        <v/>
      </c>
    </row>
    <row r="3888" spans="1:7" ht="12" customHeight="1" outlineLevel="3" x14ac:dyDescent="0.2">
      <c r="A3888" s="14" t="s">
        <v>7663</v>
      </c>
      <c r="B3888" s="15" t="s">
        <v>7664</v>
      </c>
      <c r="C3888" s="16">
        <f>46.54/(1+B2)</f>
        <v>46.54</v>
      </c>
      <c r="D3888" s="17" t="s">
        <v>14</v>
      </c>
      <c r="E3888" s="17"/>
      <c r="F3888" s="18"/>
      <c r="G3888" s="36" t="str">
        <f>IF(ISNUMBER(F3888),C3888*F3888,"")</f>
        <v/>
      </c>
    </row>
    <row r="3889" spans="1:7" ht="12" customHeight="1" outlineLevel="3" x14ac:dyDescent="0.2">
      <c r="A3889" s="14" t="s">
        <v>7665</v>
      </c>
      <c r="B3889" s="15" t="s">
        <v>7666</v>
      </c>
      <c r="C3889" s="16">
        <f>49.93/(1+B2)</f>
        <v>49.93</v>
      </c>
      <c r="D3889" s="17" t="s">
        <v>11</v>
      </c>
      <c r="E3889" s="17"/>
      <c r="F3889" s="18"/>
      <c r="G3889" s="36" t="str">
        <f>IF(ISNUMBER(F3889),C3889*F3889,"")</f>
        <v/>
      </c>
    </row>
    <row r="3890" spans="1:7" ht="12" customHeight="1" outlineLevel="3" x14ac:dyDescent="0.2">
      <c r="A3890" s="14" t="s">
        <v>7667</v>
      </c>
      <c r="B3890" s="15" t="s">
        <v>7668</v>
      </c>
      <c r="C3890" s="16">
        <f>49.93/(1+B2)</f>
        <v>49.93</v>
      </c>
      <c r="D3890" s="17" t="s">
        <v>11</v>
      </c>
      <c r="E3890" s="17"/>
      <c r="F3890" s="18"/>
      <c r="G3890" s="36" t="str">
        <f>IF(ISNUMBER(F3890),C3890*F3890,"")</f>
        <v/>
      </c>
    </row>
    <row r="3891" spans="1:7" ht="12" customHeight="1" outlineLevel="3" x14ac:dyDescent="0.2">
      <c r="A3891" s="14" t="s">
        <v>7669</v>
      </c>
      <c r="B3891" s="15" t="s">
        <v>7670</v>
      </c>
      <c r="C3891" s="16">
        <f>229.01/(1+B2)</f>
        <v>229.01</v>
      </c>
      <c r="D3891" s="17" t="s">
        <v>11</v>
      </c>
      <c r="E3891" s="17"/>
      <c r="F3891" s="18"/>
      <c r="G3891" s="36" t="str">
        <f>IF(ISNUMBER(F3891),C3891*F3891,"")</f>
        <v/>
      </c>
    </row>
    <row r="3892" spans="1:7" ht="12" customHeight="1" outlineLevel="3" x14ac:dyDescent="0.2">
      <c r="A3892" s="14" t="s">
        <v>7671</v>
      </c>
      <c r="B3892" s="15" t="s">
        <v>7672</v>
      </c>
      <c r="C3892" s="16">
        <f>484.66/(1+B2)</f>
        <v>484.66</v>
      </c>
      <c r="D3892" s="17" t="s">
        <v>11</v>
      </c>
      <c r="E3892" s="17"/>
      <c r="F3892" s="18"/>
      <c r="G3892" s="36" t="str">
        <f>IF(ISNUMBER(F3892),C3892*F3892,"")</f>
        <v/>
      </c>
    </row>
    <row r="3893" spans="1:7" ht="12" customHeight="1" outlineLevel="3" x14ac:dyDescent="0.2">
      <c r="A3893" s="14" t="s">
        <v>7673</v>
      </c>
      <c r="B3893" s="15" t="s">
        <v>7674</v>
      </c>
      <c r="C3893" s="16">
        <f>139.01/(1+B2)</f>
        <v>139.01</v>
      </c>
      <c r="D3893" s="17" t="s">
        <v>11</v>
      </c>
      <c r="E3893" s="17"/>
      <c r="F3893" s="18"/>
      <c r="G3893" s="36" t="str">
        <f>IF(ISNUMBER(F3893),C3893*F3893,"")</f>
        <v/>
      </c>
    </row>
    <row r="3894" spans="1:7" ht="12" customHeight="1" outlineLevel="3" x14ac:dyDescent="0.2">
      <c r="A3894" s="14" t="s">
        <v>7675</v>
      </c>
      <c r="B3894" s="15" t="s">
        <v>7676</v>
      </c>
      <c r="C3894" s="16">
        <f>88.68/(1+B2)</f>
        <v>88.68</v>
      </c>
      <c r="D3894" s="17" t="s">
        <v>11</v>
      </c>
      <c r="E3894" s="17"/>
      <c r="F3894" s="18"/>
      <c r="G3894" s="36" t="str">
        <f>IF(ISNUMBER(F3894),C3894*F3894,"")</f>
        <v/>
      </c>
    </row>
    <row r="3895" spans="1:7" ht="12" customHeight="1" outlineLevel="3" x14ac:dyDescent="0.2">
      <c r="A3895" s="14" t="s">
        <v>7677</v>
      </c>
      <c r="B3895" s="15" t="s">
        <v>7678</v>
      </c>
      <c r="C3895" s="16">
        <f>51/(1+B2)</f>
        <v>51</v>
      </c>
      <c r="D3895" s="17" t="s">
        <v>11</v>
      </c>
      <c r="E3895" s="17"/>
      <c r="F3895" s="18"/>
      <c r="G3895" s="36" t="str">
        <f>IF(ISNUMBER(F3895),C3895*F3895,"")</f>
        <v/>
      </c>
    </row>
    <row r="3896" spans="1:7" ht="12" customHeight="1" outlineLevel="3" x14ac:dyDescent="0.2">
      <c r="A3896" s="14" t="s">
        <v>7679</v>
      </c>
      <c r="B3896" s="15" t="s">
        <v>7680</v>
      </c>
      <c r="C3896" s="16">
        <f>35.54/(1+B2)</f>
        <v>35.54</v>
      </c>
      <c r="D3896" s="17" t="s">
        <v>11</v>
      </c>
      <c r="E3896" s="17" t="s">
        <v>11</v>
      </c>
      <c r="F3896" s="18"/>
      <c r="G3896" s="36" t="str">
        <f>IF(ISNUMBER(F3896),C3896*F3896,"")</f>
        <v/>
      </c>
    </row>
    <row r="3897" spans="1:7" ht="12" customHeight="1" outlineLevel="3" x14ac:dyDescent="0.2">
      <c r="A3897" s="14" t="s">
        <v>7681</v>
      </c>
      <c r="B3897" s="15" t="s">
        <v>7682</v>
      </c>
      <c r="C3897" s="16">
        <f>34/(1+B2)</f>
        <v>34</v>
      </c>
      <c r="D3897" s="17" t="s">
        <v>11</v>
      </c>
      <c r="E3897" s="17" t="s">
        <v>14</v>
      </c>
      <c r="F3897" s="18"/>
      <c r="G3897" s="36" t="str">
        <f>IF(ISNUMBER(F3897),C3897*F3897,"")</f>
        <v/>
      </c>
    </row>
    <row r="3898" spans="1:7" ht="12" customHeight="1" outlineLevel="3" x14ac:dyDescent="0.2">
      <c r="A3898" s="14" t="s">
        <v>7683</v>
      </c>
      <c r="B3898" s="15" t="s">
        <v>7684</v>
      </c>
      <c r="C3898" s="16">
        <f>85.69/(1+B2)</f>
        <v>85.69</v>
      </c>
      <c r="D3898" s="17" t="s">
        <v>11</v>
      </c>
      <c r="E3898" s="17"/>
      <c r="F3898" s="18"/>
      <c r="G3898" s="36" t="str">
        <f>IF(ISNUMBER(F3898),C3898*F3898,"")</f>
        <v/>
      </c>
    </row>
    <row r="3899" spans="1:7" ht="12" customHeight="1" outlineLevel="3" x14ac:dyDescent="0.2">
      <c r="A3899" s="14" t="s">
        <v>7685</v>
      </c>
      <c r="B3899" s="15" t="s">
        <v>7686</v>
      </c>
      <c r="C3899" s="16">
        <f>149.01/(1+B2)</f>
        <v>149.01</v>
      </c>
      <c r="D3899" s="17" t="s">
        <v>11</v>
      </c>
      <c r="E3899" s="17"/>
      <c r="F3899" s="18"/>
      <c r="G3899" s="36" t="str">
        <f>IF(ISNUMBER(F3899),C3899*F3899,"")</f>
        <v/>
      </c>
    </row>
    <row r="3900" spans="1:7" ht="12" customHeight="1" outlineLevel="3" x14ac:dyDescent="0.2">
      <c r="A3900" s="14" t="s">
        <v>7687</v>
      </c>
      <c r="B3900" s="15" t="s">
        <v>7688</v>
      </c>
      <c r="C3900" s="16">
        <f>119/(1+B2)</f>
        <v>119</v>
      </c>
      <c r="D3900" s="17" t="s">
        <v>11</v>
      </c>
      <c r="E3900" s="17"/>
      <c r="F3900" s="18"/>
      <c r="G3900" s="36" t="str">
        <f>IF(ISNUMBER(F3900),C3900*F3900,"")</f>
        <v/>
      </c>
    </row>
    <row r="3901" spans="1:7" ht="12" customHeight="1" outlineLevel="3" x14ac:dyDescent="0.2">
      <c r="A3901" s="14" t="s">
        <v>7689</v>
      </c>
      <c r="B3901" s="15" t="s">
        <v>7690</v>
      </c>
      <c r="C3901" s="16">
        <f>276.65/(1+B2)</f>
        <v>276.64999999999998</v>
      </c>
      <c r="D3901" s="17" t="s">
        <v>11</v>
      </c>
      <c r="E3901" s="17"/>
      <c r="F3901" s="18"/>
      <c r="G3901" s="36" t="str">
        <f>IF(ISNUMBER(F3901),C3901*F3901,"")</f>
        <v/>
      </c>
    </row>
    <row r="3902" spans="1:7" ht="12" customHeight="1" outlineLevel="3" x14ac:dyDescent="0.2">
      <c r="A3902" s="14" t="s">
        <v>7691</v>
      </c>
      <c r="B3902" s="15" t="s">
        <v>7692</v>
      </c>
      <c r="C3902" s="16">
        <f>209.32/(1+B2)</f>
        <v>209.32</v>
      </c>
      <c r="D3902" s="17" t="s">
        <v>11</v>
      </c>
      <c r="E3902" s="17"/>
      <c r="F3902" s="18"/>
      <c r="G3902" s="36" t="str">
        <f>IF(ISNUMBER(F3902),C3902*F3902,"")</f>
        <v/>
      </c>
    </row>
    <row r="3903" spans="1:7" ht="12" customHeight="1" outlineLevel="3" x14ac:dyDescent="0.2">
      <c r="A3903" s="14" t="s">
        <v>7693</v>
      </c>
      <c r="B3903" s="15" t="s">
        <v>7694</v>
      </c>
      <c r="C3903" s="16">
        <f>276.65/(1+B2)</f>
        <v>276.64999999999998</v>
      </c>
      <c r="D3903" s="17" t="s">
        <v>11</v>
      </c>
      <c r="E3903" s="17"/>
      <c r="F3903" s="18"/>
      <c r="G3903" s="36" t="str">
        <f>IF(ISNUMBER(F3903),C3903*F3903,"")</f>
        <v/>
      </c>
    </row>
    <row r="3904" spans="1:7" ht="12" customHeight="1" outlineLevel="3" x14ac:dyDescent="0.2">
      <c r="A3904" s="14" t="s">
        <v>7695</v>
      </c>
      <c r="B3904" s="15" t="s">
        <v>7696</v>
      </c>
      <c r="C3904" s="16">
        <f>209.32/(1+B2)</f>
        <v>209.32</v>
      </c>
      <c r="D3904" s="17" t="s">
        <v>11</v>
      </c>
      <c r="E3904" s="17"/>
      <c r="F3904" s="18"/>
      <c r="G3904" s="36" t="str">
        <f>IF(ISNUMBER(F3904),C3904*F3904,"")</f>
        <v/>
      </c>
    </row>
    <row r="3905" spans="1:7" ht="12" customHeight="1" outlineLevel="3" x14ac:dyDescent="0.2">
      <c r="A3905" s="14" t="s">
        <v>7697</v>
      </c>
      <c r="B3905" s="15" t="s">
        <v>7698</v>
      </c>
      <c r="C3905" s="16">
        <f>179.01/(1+B2)</f>
        <v>179.01</v>
      </c>
      <c r="D3905" s="17" t="s">
        <v>11</v>
      </c>
      <c r="E3905" s="17"/>
      <c r="F3905" s="18"/>
      <c r="G3905" s="36" t="str">
        <f>IF(ISNUMBER(F3905),C3905*F3905,"")</f>
        <v/>
      </c>
    </row>
    <row r="3906" spans="1:7" ht="12" customHeight="1" outlineLevel="3" x14ac:dyDescent="0.2">
      <c r="A3906" s="14" t="s">
        <v>7699</v>
      </c>
      <c r="B3906" s="15" t="s">
        <v>7700</v>
      </c>
      <c r="C3906" s="16">
        <f>62/(1+B2)</f>
        <v>62</v>
      </c>
      <c r="D3906" s="17" t="s">
        <v>11</v>
      </c>
      <c r="E3906" s="17" t="s">
        <v>11</v>
      </c>
      <c r="F3906" s="18"/>
      <c r="G3906" s="36" t="str">
        <f>IF(ISNUMBER(F3906),C3906*F3906,"")</f>
        <v/>
      </c>
    </row>
    <row r="3907" spans="1:7" ht="12" customHeight="1" outlineLevel="3" x14ac:dyDescent="0.2">
      <c r="A3907" s="14" t="s">
        <v>7701</v>
      </c>
      <c r="B3907" s="15" t="s">
        <v>7702</v>
      </c>
      <c r="C3907" s="16">
        <f>93/(1+B2)</f>
        <v>93</v>
      </c>
      <c r="D3907" s="17" t="s">
        <v>11</v>
      </c>
      <c r="E3907" s="17"/>
      <c r="F3907" s="18"/>
      <c r="G3907" s="36" t="str">
        <f>IF(ISNUMBER(F3907),C3907*F3907,"")</f>
        <v/>
      </c>
    </row>
    <row r="3908" spans="1:7" ht="12" customHeight="1" outlineLevel="3" x14ac:dyDescent="0.2">
      <c r="A3908" s="14" t="s">
        <v>7703</v>
      </c>
      <c r="B3908" s="15" t="s">
        <v>7704</v>
      </c>
      <c r="C3908" s="16">
        <f>87/(1+B2)</f>
        <v>87</v>
      </c>
      <c r="D3908" s="17" t="s">
        <v>11</v>
      </c>
      <c r="E3908" s="17"/>
      <c r="F3908" s="18"/>
      <c r="G3908" s="36" t="str">
        <f>IF(ISNUMBER(F3908),C3908*F3908,"")</f>
        <v/>
      </c>
    </row>
    <row r="3909" spans="1:7" ht="12" customHeight="1" outlineLevel="3" x14ac:dyDescent="0.2">
      <c r="A3909" s="14" t="s">
        <v>7705</v>
      </c>
      <c r="B3909" s="15" t="s">
        <v>7706</v>
      </c>
      <c r="C3909" s="16">
        <f>115.5/(1+B2)</f>
        <v>115.5</v>
      </c>
      <c r="D3909" s="17" t="s">
        <v>11</v>
      </c>
      <c r="E3909" s="17"/>
      <c r="F3909" s="18"/>
      <c r="G3909" s="36" t="str">
        <f>IF(ISNUMBER(F3909),C3909*F3909,"")</f>
        <v/>
      </c>
    </row>
    <row r="3910" spans="1:7" ht="12" customHeight="1" outlineLevel="3" x14ac:dyDescent="0.2">
      <c r="A3910" s="14" t="s">
        <v>7707</v>
      </c>
      <c r="B3910" s="15" t="s">
        <v>7708</v>
      </c>
      <c r="C3910" s="16">
        <f>85.54/(1+B2)</f>
        <v>85.54</v>
      </c>
      <c r="D3910" s="17" t="s">
        <v>11</v>
      </c>
      <c r="E3910" s="17"/>
      <c r="F3910" s="18"/>
      <c r="G3910" s="36" t="str">
        <f>IF(ISNUMBER(F3910),C3910*F3910,"")</f>
        <v/>
      </c>
    </row>
    <row r="3911" spans="1:7" ht="12" customHeight="1" outlineLevel="3" x14ac:dyDescent="0.2">
      <c r="A3911" s="14" t="s">
        <v>7709</v>
      </c>
      <c r="B3911" s="15" t="s">
        <v>7710</v>
      </c>
      <c r="C3911" s="16">
        <f>110.08/(1+B2)</f>
        <v>110.08</v>
      </c>
      <c r="D3911" s="17" t="s">
        <v>11</v>
      </c>
      <c r="E3911" s="17"/>
      <c r="F3911" s="18"/>
      <c r="G3911" s="36" t="str">
        <f>IF(ISNUMBER(F3911),C3911*F3911,"")</f>
        <v/>
      </c>
    </row>
    <row r="3912" spans="1:7" ht="12" customHeight="1" outlineLevel="3" x14ac:dyDescent="0.2">
      <c r="A3912" s="14" t="s">
        <v>7711</v>
      </c>
      <c r="B3912" s="15" t="s">
        <v>7712</v>
      </c>
      <c r="C3912" s="16">
        <f>87.91/(1+B2)</f>
        <v>87.91</v>
      </c>
      <c r="D3912" s="17" t="s">
        <v>11</v>
      </c>
      <c r="E3912" s="17"/>
      <c r="F3912" s="18"/>
      <c r="G3912" s="36" t="str">
        <f>IF(ISNUMBER(F3912),C3912*F3912,"")</f>
        <v/>
      </c>
    </row>
    <row r="3913" spans="1:7" ht="12" customHeight="1" outlineLevel="3" x14ac:dyDescent="0.2">
      <c r="A3913" s="14" t="s">
        <v>7713</v>
      </c>
      <c r="B3913" s="15" t="s">
        <v>7714</v>
      </c>
      <c r="C3913" s="16">
        <f>134.66/(1+B2)</f>
        <v>134.66</v>
      </c>
      <c r="D3913" s="17" t="s">
        <v>11</v>
      </c>
      <c r="E3913" s="17"/>
      <c r="F3913" s="18"/>
      <c r="G3913" s="36" t="str">
        <f>IF(ISNUMBER(F3913),C3913*F3913,"")</f>
        <v/>
      </c>
    </row>
    <row r="3914" spans="1:7" s="1" customFormat="1" ht="12.95" customHeight="1" outlineLevel="2" x14ac:dyDescent="0.2">
      <c r="A3914" s="20"/>
      <c r="B3914" s="21" t="s">
        <v>7715</v>
      </c>
      <c r="C3914" s="22"/>
      <c r="D3914" s="22"/>
      <c r="E3914" s="22"/>
      <c r="F3914" s="22"/>
      <c r="G3914" s="37"/>
    </row>
    <row r="3915" spans="1:7" ht="12" customHeight="1" outlineLevel="3" x14ac:dyDescent="0.2">
      <c r="A3915" s="14" t="s">
        <v>7716</v>
      </c>
      <c r="B3915" s="15" t="s">
        <v>7717</v>
      </c>
      <c r="C3915" s="16">
        <f>207.52/(1+B2)</f>
        <v>207.52</v>
      </c>
      <c r="D3915" s="17" t="s">
        <v>11</v>
      </c>
      <c r="E3915" s="17"/>
      <c r="F3915" s="18"/>
      <c r="G3915" s="36" t="str">
        <f>IF(ISNUMBER(F3915),C3915*F3915,"")</f>
        <v/>
      </c>
    </row>
    <row r="3916" spans="1:7" ht="12" customHeight="1" outlineLevel="3" x14ac:dyDescent="0.2">
      <c r="A3916" s="14" t="s">
        <v>7718</v>
      </c>
      <c r="B3916" s="15" t="s">
        <v>7719</v>
      </c>
      <c r="C3916" s="16">
        <f>92/(1+B2)</f>
        <v>92</v>
      </c>
      <c r="D3916" s="17" t="s">
        <v>11</v>
      </c>
      <c r="E3916" s="17"/>
      <c r="F3916" s="18"/>
      <c r="G3916" s="36" t="str">
        <f>IF(ISNUMBER(F3916),C3916*F3916,"")</f>
        <v/>
      </c>
    </row>
    <row r="3917" spans="1:7" ht="12" customHeight="1" outlineLevel="3" x14ac:dyDescent="0.2">
      <c r="A3917" s="14" t="s">
        <v>7720</v>
      </c>
      <c r="B3917" s="15" t="s">
        <v>7721</v>
      </c>
      <c r="C3917" s="16">
        <f>241.66/(1+B2)</f>
        <v>241.66</v>
      </c>
      <c r="D3917" s="17" t="s">
        <v>11</v>
      </c>
      <c r="E3917" s="17"/>
      <c r="F3917" s="18"/>
      <c r="G3917" s="36" t="str">
        <f>IF(ISNUMBER(F3917),C3917*F3917,"")</f>
        <v/>
      </c>
    </row>
    <row r="3918" spans="1:7" ht="12" customHeight="1" outlineLevel="3" x14ac:dyDescent="0.2">
      <c r="A3918" s="14" t="s">
        <v>7722</v>
      </c>
      <c r="B3918" s="15" t="s">
        <v>7723</v>
      </c>
      <c r="C3918" s="16">
        <f>694.32/(1+B2)</f>
        <v>694.32</v>
      </c>
      <c r="D3918" s="17" t="s">
        <v>11</v>
      </c>
      <c r="E3918" s="17"/>
      <c r="F3918" s="18"/>
      <c r="G3918" s="36" t="str">
        <f>IF(ISNUMBER(F3918),C3918*F3918,"")</f>
        <v/>
      </c>
    </row>
    <row r="3919" spans="1:7" ht="12" customHeight="1" outlineLevel="3" x14ac:dyDescent="0.2">
      <c r="A3919" s="14" t="s">
        <v>7724</v>
      </c>
      <c r="B3919" s="15" t="s">
        <v>7725</v>
      </c>
      <c r="C3919" s="16">
        <f>147.15/(1+B2)</f>
        <v>147.15</v>
      </c>
      <c r="D3919" s="17" t="s">
        <v>11</v>
      </c>
      <c r="E3919" s="17"/>
      <c r="F3919" s="18"/>
      <c r="G3919" s="36" t="str">
        <f>IF(ISNUMBER(F3919),C3919*F3919,"")</f>
        <v/>
      </c>
    </row>
    <row r="3920" spans="1:7" ht="12" customHeight="1" outlineLevel="3" x14ac:dyDescent="0.2">
      <c r="A3920" s="14" t="s">
        <v>7726</v>
      </c>
      <c r="B3920" s="15" t="s">
        <v>7727</v>
      </c>
      <c r="C3920" s="16">
        <f>160.65/(1+B2)</f>
        <v>160.65</v>
      </c>
      <c r="D3920" s="17" t="s">
        <v>11</v>
      </c>
      <c r="E3920" s="17"/>
      <c r="F3920" s="18"/>
      <c r="G3920" s="36" t="str">
        <f>IF(ISNUMBER(F3920),C3920*F3920,"")</f>
        <v/>
      </c>
    </row>
    <row r="3921" spans="1:7" ht="12" customHeight="1" outlineLevel="3" x14ac:dyDescent="0.2">
      <c r="A3921" s="14" t="s">
        <v>7728</v>
      </c>
      <c r="B3921" s="15" t="s">
        <v>7729</v>
      </c>
      <c r="C3921" s="16">
        <f>108.43/(1+B2)</f>
        <v>108.43</v>
      </c>
      <c r="D3921" s="17" t="s">
        <v>11</v>
      </c>
      <c r="E3921" s="17"/>
      <c r="F3921" s="18"/>
      <c r="G3921" s="36" t="str">
        <f>IF(ISNUMBER(F3921),C3921*F3921,"")</f>
        <v/>
      </c>
    </row>
    <row r="3922" spans="1:7" ht="12" customHeight="1" outlineLevel="3" x14ac:dyDescent="0.2">
      <c r="A3922" s="14" t="s">
        <v>7730</v>
      </c>
      <c r="B3922" s="15" t="s">
        <v>7731</v>
      </c>
      <c r="C3922" s="16">
        <f>170.93/(1+B2)</f>
        <v>170.93</v>
      </c>
      <c r="D3922" s="17" t="s">
        <v>11</v>
      </c>
      <c r="E3922" s="17"/>
      <c r="F3922" s="18"/>
      <c r="G3922" s="36" t="str">
        <f>IF(ISNUMBER(F3922),C3922*F3922,"")</f>
        <v/>
      </c>
    </row>
    <row r="3923" spans="1:7" ht="12" customHeight="1" outlineLevel="3" x14ac:dyDescent="0.2">
      <c r="A3923" s="14" t="s">
        <v>7732</v>
      </c>
      <c r="B3923" s="15" t="s">
        <v>7733</v>
      </c>
      <c r="C3923" s="16">
        <f>211.13/(1+B2)</f>
        <v>211.13</v>
      </c>
      <c r="D3923" s="17" t="s">
        <v>11</v>
      </c>
      <c r="E3923" s="17" t="s">
        <v>11</v>
      </c>
      <c r="F3923" s="18"/>
      <c r="G3923" s="36" t="str">
        <f>IF(ISNUMBER(F3923),C3923*F3923,"")</f>
        <v/>
      </c>
    </row>
    <row r="3924" spans="1:7" ht="12" customHeight="1" outlineLevel="3" x14ac:dyDescent="0.2">
      <c r="A3924" s="14" t="s">
        <v>7734</v>
      </c>
      <c r="B3924" s="15" t="s">
        <v>7735</v>
      </c>
      <c r="C3924" s="16">
        <f>96.98/(1+B2)</f>
        <v>96.98</v>
      </c>
      <c r="D3924" s="17" t="s">
        <v>11</v>
      </c>
      <c r="E3924" s="17"/>
      <c r="F3924" s="18"/>
      <c r="G3924" s="36" t="str">
        <f>IF(ISNUMBER(F3924),C3924*F3924,"")</f>
        <v/>
      </c>
    </row>
    <row r="3925" spans="1:7" ht="12" customHeight="1" outlineLevel="3" x14ac:dyDescent="0.2">
      <c r="A3925" s="14" t="s">
        <v>7736</v>
      </c>
      <c r="B3925" s="15" t="s">
        <v>7737</v>
      </c>
      <c r="C3925" s="16">
        <f>91.43/(1+B2)</f>
        <v>91.43</v>
      </c>
      <c r="D3925" s="17" t="s">
        <v>11</v>
      </c>
      <c r="E3925" s="17"/>
      <c r="F3925" s="18"/>
      <c r="G3925" s="36" t="str">
        <f>IF(ISNUMBER(F3925),C3925*F3925,"")</f>
        <v/>
      </c>
    </row>
    <row r="3926" spans="1:7" ht="12" customHeight="1" outlineLevel="3" x14ac:dyDescent="0.2">
      <c r="A3926" s="14" t="s">
        <v>7738</v>
      </c>
      <c r="B3926" s="15" t="s">
        <v>7739</v>
      </c>
      <c r="C3926" s="16">
        <f>167.6/(1+B2)</f>
        <v>167.6</v>
      </c>
      <c r="D3926" s="17" t="s">
        <v>11</v>
      </c>
      <c r="E3926" s="17"/>
      <c r="F3926" s="18"/>
      <c r="G3926" s="36" t="str">
        <f>IF(ISNUMBER(F3926),C3926*F3926,"")</f>
        <v/>
      </c>
    </row>
    <row r="3927" spans="1:7" ht="12" customHeight="1" outlineLevel="3" x14ac:dyDescent="0.2">
      <c r="A3927" s="14" t="s">
        <v>7740</v>
      </c>
      <c r="B3927" s="15" t="s">
        <v>7741</v>
      </c>
      <c r="C3927" s="16">
        <f>167.6/(1+B2)</f>
        <v>167.6</v>
      </c>
      <c r="D3927" s="17" t="s">
        <v>11</v>
      </c>
      <c r="E3927" s="17"/>
      <c r="F3927" s="18"/>
      <c r="G3927" s="36" t="str">
        <f>IF(ISNUMBER(F3927),C3927*F3927,"")</f>
        <v/>
      </c>
    </row>
    <row r="3928" spans="1:7" ht="12" customHeight="1" outlineLevel="3" x14ac:dyDescent="0.2">
      <c r="A3928" s="14" t="s">
        <v>7742</v>
      </c>
      <c r="B3928" s="15" t="s">
        <v>7743</v>
      </c>
      <c r="C3928" s="16">
        <f>109/(1+B2)</f>
        <v>109</v>
      </c>
      <c r="D3928" s="17" t="s">
        <v>11</v>
      </c>
      <c r="E3928" s="17"/>
      <c r="F3928" s="18"/>
      <c r="G3928" s="36" t="str">
        <f>IF(ISNUMBER(F3928),C3928*F3928,"")</f>
        <v/>
      </c>
    </row>
    <row r="3929" spans="1:7" ht="12" customHeight="1" outlineLevel="3" x14ac:dyDescent="0.2">
      <c r="A3929" s="14" t="s">
        <v>7744</v>
      </c>
      <c r="B3929" s="15" t="s">
        <v>7745</v>
      </c>
      <c r="C3929" s="16">
        <f>190.82/(1+B2)</f>
        <v>190.82</v>
      </c>
      <c r="D3929" s="17" t="s">
        <v>11</v>
      </c>
      <c r="E3929" s="17"/>
      <c r="F3929" s="18"/>
      <c r="G3929" s="36" t="str">
        <f>IF(ISNUMBER(F3929),C3929*F3929,"")</f>
        <v/>
      </c>
    </row>
    <row r="3930" spans="1:7" ht="12" customHeight="1" outlineLevel="3" x14ac:dyDescent="0.2">
      <c r="A3930" s="14" t="s">
        <v>7746</v>
      </c>
      <c r="B3930" s="15" t="s">
        <v>7747</v>
      </c>
      <c r="C3930" s="16">
        <f>719.03/(1+B2)</f>
        <v>719.03</v>
      </c>
      <c r="D3930" s="17" t="s">
        <v>11</v>
      </c>
      <c r="E3930" s="17"/>
      <c r="F3930" s="18"/>
      <c r="G3930" s="36" t="str">
        <f>IF(ISNUMBER(F3930),C3930*F3930,"")</f>
        <v/>
      </c>
    </row>
    <row r="3931" spans="1:7" ht="12" customHeight="1" outlineLevel="3" x14ac:dyDescent="0.2">
      <c r="A3931" s="14" t="s">
        <v>7748</v>
      </c>
      <c r="B3931" s="15" t="s">
        <v>7749</v>
      </c>
      <c r="C3931" s="16">
        <f>81/(1+B2)</f>
        <v>81</v>
      </c>
      <c r="D3931" s="17" t="s">
        <v>11</v>
      </c>
      <c r="E3931" s="17"/>
      <c r="F3931" s="18"/>
      <c r="G3931" s="36" t="str">
        <f>IF(ISNUMBER(F3931),C3931*F3931,"")</f>
        <v/>
      </c>
    </row>
    <row r="3932" spans="1:7" ht="12" customHeight="1" outlineLevel="3" x14ac:dyDescent="0.2">
      <c r="A3932" s="14" t="s">
        <v>7750</v>
      </c>
      <c r="B3932" s="15" t="s">
        <v>7751</v>
      </c>
      <c r="C3932" s="16">
        <f>69/(1+B2)</f>
        <v>69</v>
      </c>
      <c r="D3932" s="17" t="s">
        <v>11</v>
      </c>
      <c r="E3932" s="17"/>
      <c r="F3932" s="18"/>
      <c r="G3932" s="36" t="str">
        <f>IF(ISNUMBER(F3932),C3932*F3932,"")</f>
        <v/>
      </c>
    </row>
    <row r="3933" spans="1:7" ht="24" customHeight="1" outlineLevel="3" x14ac:dyDescent="0.2">
      <c r="A3933" s="14" t="s">
        <v>7752</v>
      </c>
      <c r="B3933" s="15" t="s">
        <v>7753</v>
      </c>
      <c r="C3933" s="16">
        <f>259.63/(1+B2)</f>
        <v>259.63</v>
      </c>
      <c r="D3933" s="17" t="s">
        <v>11</v>
      </c>
      <c r="E3933" s="17"/>
      <c r="F3933" s="18"/>
      <c r="G3933" s="36" t="str">
        <f>IF(ISNUMBER(F3933),C3933*F3933,"")</f>
        <v/>
      </c>
    </row>
    <row r="3934" spans="1:7" ht="12" customHeight="1" outlineLevel="3" x14ac:dyDescent="0.2">
      <c r="A3934" s="14" t="s">
        <v>7754</v>
      </c>
      <c r="B3934" s="15" t="s">
        <v>7755</v>
      </c>
      <c r="C3934" s="16">
        <f>251.28/(1+B2)</f>
        <v>251.28</v>
      </c>
      <c r="D3934" s="17" t="s">
        <v>11</v>
      </c>
      <c r="E3934" s="17"/>
      <c r="F3934" s="18"/>
      <c r="G3934" s="36" t="str">
        <f>IF(ISNUMBER(F3934),C3934*F3934,"")</f>
        <v/>
      </c>
    </row>
    <row r="3935" spans="1:7" ht="12" customHeight="1" outlineLevel="3" x14ac:dyDescent="0.2">
      <c r="A3935" s="14" t="s">
        <v>7756</v>
      </c>
      <c r="B3935" s="15" t="s">
        <v>7757</v>
      </c>
      <c r="C3935" s="16">
        <f>248.44/(1+B2)</f>
        <v>248.44</v>
      </c>
      <c r="D3935" s="17" t="s">
        <v>11</v>
      </c>
      <c r="E3935" s="17"/>
      <c r="F3935" s="18"/>
      <c r="G3935" s="36" t="str">
        <f>IF(ISNUMBER(F3935),C3935*F3935,"")</f>
        <v/>
      </c>
    </row>
    <row r="3936" spans="1:7" ht="12" customHeight="1" outlineLevel="3" x14ac:dyDescent="0.2">
      <c r="A3936" s="14" t="s">
        <v>7758</v>
      </c>
      <c r="B3936" s="15" t="s">
        <v>7759</v>
      </c>
      <c r="C3936" s="16">
        <f>261.62/(1+B2)</f>
        <v>261.62</v>
      </c>
      <c r="D3936" s="17" t="s">
        <v>11</v>
      </c>
      <c r="E3936" s="17" t="s">
        <v>11</v>
      </c>
      <c r="F3936" s="18"/>
      <c r="G3936" s="36" t="str">
        <f>IF(ISNUMBER(F3936),C3936*F3936,"")</f>
        <v/>
      </c>
    </row>
    <row r="3937" spans="1:7" ht="12" customHeight="1" outlineLevel="3" x14ac:dyDescent="0.2">
      <c r="A3937" s="14" t="s">
        <v>7760</v>
      </c>
      <c r="B3937" s="15" t="s">
        <v>7761</v>
      </c>
      <c r="C3937" s="16">
        <f>237.91/(1+B2)</f>
        <v>237.91</v>
      </c>
      <c r="D3937" s="17" t="s">
        <v>11</v>
      </c>
      <c r="E3937" s="17"/>
      <c r="F3937" s="18"/>
      <c r="G3937" s="36" t="str">
        <f>IF(ISNUMBER(F3937),C3937*F3937,"")</f>
        <v/>
      </c>
    </row>
    <row r="3938" spans="1:7" ht="12" customHeight="1" outlineLevel="3" x14ac:dyDescent="0.2">
      <c r="A3938" s="14" t="s">
        <v>7762</v>
      </c>
      <c r="B3938" s="15" t="s">
        <v>7763</v>
      </c>
      <c r="C3938" s="16">
        <f>100.88/(1+B2)</f>
        <v>100.88</v>
      </c>
      <c r="D3938" s="17" t="s">
        <v>11</v>
      </c>
      <c r="E3938" s="17" t="s">
        <v>11</v>
      </c>
      <c r="F3938" s="18"/>
      <c r="G3938" s="36" t="str">
        <f>IF(ISNUMBER(F3938),C3938*F3938,"")</f>
        <v/>
      </c>
    </row>
    <row r="3939" spans="1:7" ht="12" customHeight="1" outlineLevel="3" x14ac:dyDescent="0.2">
      <c r="A3939" s="14" t="s">
        <v>7764</v>
      </c>
      <c r="B3939" s="15" t="s">
        <v>7765</v>
      </c>
      <c r="C3939" s="16">
        <f>267.24/(1+B2)</f>
        <v>267.24</v>
      </c>
      <c r="D3939" s="17" t="s">
        <v>11</v>
      </c>
      <c r="E3939" s="17"/>
      <c r="F3939" s="18"/>
      <c r="G3939" s="36" t="str">
        <f>IF(ISNUMBER(F3939),C3939*F3939,"")</f>
        <v/>
      </c>
    </row>
    <row r="3940" spans="1:7" ht="12" customHeight="1" outlineLevel="3" x14ac:dyDescent="0.2">
      <c r="A3940" s="14" t="s">
        <v>7766</v>
      </c>
      <c r="B3940" s="15" t="s">
        <v>7767</v>
      </c>
      <c r="C3940" s="16">
        <f>269.58/(1+B2)</f>
        <v>269.58</v>
      </c>
      <c r="D3940" s="17" t="s">
        <v>11</v>
      </c>
      <c r="E3940" s="17"/>
      <c r="F3940" s="18"/>
      <c r="G3940" s="36" t="str">
        <f>IF(ISNUMBER(F3940),C3940*F3940,"")</f>
        <v/>
      </c>
    </row>
    <row r="3941" spans="1:7" ht="12" customHeight="1" outlineLevel="3" x14ac:dyDescent="0.2">
      <c r="A3941" s="14" t="s">
        <v>7768</v>
      </c>
      <c r="B3941" s="15" t="s">
        <v>7769</v>
      </c>
      <c r="C3941" s="16">
        <f>288.55/(1+B2)</f>
        <v>288.55</v>
      </c>
      <c r="D3941" s="17" t="s">
        <v>11</v>
      </c>
      <c r="E3941" s="17"/>
      <c r="F3941" s="18"/>
      <c r="G3941" s="36" t="str">
        <f>IF(ISNUMBER(F3941),C3941*F3941,"")</f>
        <v/>
      </c>
    </row>
    <row r="3942" spans="1:7" ht="12" customHeight="1" outlineLevel="3" x14ac:dyDescent="0.2">
      <c r="A3942" s="14" t="s">
        <v>7770</v>
      </c>
      <c r="B3942" s="15" t="s">
        <v>7771</v>
      </c>
      <c r="C3942" s="16">
        <f>290.69/(1+B2)</f>
        <v>290.69</v>
      </c>
      <c r="D3942" s="17" t="s">
        <v>11</v>
      </c>
      <c r="E3942" s="17"/>
      <c r="F3942" s="18"/>
      <c r="G3942" s="36" t="str">
        <f>IF(ISNUMBER(F3942),C3942*F3942,"")</f>
        <v/>
      </c>
    </row>
    <row r="3943" spans="1:7" ht="12" customHeight="1" outlineLevel="3" x14ac:dyDescent="0.2">
      <c r="A3943" s="14" t="s">
        <v>7772</v>
      </c>
      <c r="B3943" s="15" t="s">
        <v>7773</v>
      </c>
      <c r="C3943" s="16">
        <f>236.6/(1+B2)</f>
        <v>236.6</v>
      </c>
      <c r="D3943" s="17" t="s">
        <v>11</v>
      </c>
      <c r="E3943" s="17"/>
      <c r="F3943" s="18"/>
      <c r="G3943" s="36" t="str">
        <f>IF(ISNUMBER(F3943),C3943*F3943,"")</f>
        <v/>
      </c>
    </row>
    <row r="3944" spans="1:7" ht="12" customHeight="1" outlineLevel="3" x14ac:dyDescent="0.2">
      <c r="A3944" s="14" t="s">
        <v>7774</v>
      </c>
      <c r="B3944" s="15" t="s">
        <v>7775</v>
      </c>
      <c r="C3944" s="16">
        <f>199.04/(1+B2)</f>
        <v>199.04</v>
      </c>
      <c r="D3944" s="17" t="s">
        <v>11</v>
      </c>
      <c r="E3944" s="17"/>
      <c r="F3944" s="18"/>
      <c r="G3944" s="36" t="str">
        <f>IF(ISNUMBER(F3944),C3944*F3944,"")</f>
        <v/>
      </c>
    </row>
    <row r="3945" spans="1:7" ht="12" customHeight="1" outlineLevel="3" x14ac:dyDescent="0.2">
      <c r="A3945" s="14" t="s">
        <v>7776</v>
      </c>
      <c r="B3945" s="15" t="s">
        <v>7777</v>
      </c>
      <c r="C3945" s="16">
        <f>33/(1+B2)</f>
        <v>33</v>
      </c>
      <c r="D3945" s="17" t="s">
        <v>11</v>
      </c>
      <c r="E3945" s="17"/>
      <c r="F3945" s="18"/>
      <c r="G3945" s="36" t="str">
        <f>IF(ISNUMBER(F3945),C3945*F3945,"")</f>
        <v/>
      </c>
    </row>
    <row r="3946" spans="1:7" ht="12" customHeight="1" outlineLevel="3" x14ac:dyDescent="0.2">
      <c r="A3946" s="14" t="s">
        <v>7778</v>
      </c>
      <c r="B3946" s="15" t="s">
        <v>7779</v>
      </c>
      <c r="C3946" s="16">
        <f>62.1/(1+B2)</f>
        <v>62.1</v>
      </c>
      <c r="D3946" s="17" t="s">
        <v>11</v>
      </c>
      <c r="E3946" s="17"/>
      <c r="F3946" s="18"/>
      <c r="G3946" s="36" t="str">
        <f>IF(ISNUMBER(F3946),C3946*F3946,"")</f>
        <v/>
      </c>
    </row>
    <row r="3947" spans="1:7" ht="12" customHeight="1" outlineLevel="3" x14ac:dyDescent="0.2">
      <c r="A3947" s="14" t="s">
        <v>7780</v>
      </c>
      <c r="B3947" s="15" t="s">
        <v>7781</v>
      </c>
      <c r="C3947" s="16">
        <f>389.02/(1+B2)</f>
        <v>389.02</v>
      </c>
      <c r="D3947" s="17" t="s">
        <v>11</v>
      </c>
      <c r="E3947" s="17"/>
      <c r="F3947" s="18"/>
      <c r="G3947" s="36" t="str">
        <f>IF(ISNUMBER(F3947),C3947*F3947,"")</f>
        <v/>
      </c>
    </row>
    <row r="3948" spans="1:7" ht="12" customHeight="1" outlineLevel="3" x14ac:dyDescent="0.2">
      <c r="A3948" s="14" t="s">
        <v>7782</v>
      </c>
      <c r="B3948" s="15" t="s">
        <v>7783</v>
      </c>
      <c r="C3948" s="16">
        <f>85.96/(1+B2)</f>
        <v>85.96</v>
      </c>
      <c r="D3948" s="17" t="s">
        <v>11</v>
      </c>
      <c r="E3948" s="17"/>
      <c r="F3948" s="18"/>
      <c r="G3948" s="36" t="str">
        <f>IF(ISNUMBER(F3948),C3948*F3948,"")</f>
        <v/>
      </c>
    </row>
    <row r="3949" spans="1:7" ht="12" customHeight="1" outlineLevel="3" x14ac:dyDescent="0.2">
      <c r="A3949" s="14" t="s">
        <v>7784</v>
      </c>
      <c r="B3949" s="15" t="s">
        <v>7785</v>
      </c>
      <c r="C3949" s="16">
        <f>199.01/(1+B2)</f>
        <v>199.01</v>
      </c>
      <c r="D3949" s="17" t="s">
        <v>11</v>
      </c>
      <c r="E3949" s="17"/>
      <c r="F3949" s="18"/>
      <c r="G3949" s="36" t="str">
        <f>IF(ISNUMBER(F3949),C3949*F3949,"")</f>
        <v/>
      </c>
    </row>
    <row r="3950" spans="1:7" ht="12" customHeight="1" outlineLevel="3" x14ac:dyDescent="0.2">
      <c r="A3950" s="14" t="s">
        <v>7786</v>
      </c>
      <c r="B3950" s="15" t="s">
        <v>7787</v>
      </c>
      <c r="C3950" s="16">
        <f>33.56/(1+B2)</f>
        <v>33.56</v>
      </c>
      <c r="D3950" s="17" t="s">
        <v>11</v>
      </c>
      <c r="E3950" s="17"/>
      <c r="F3950" s="18"/>
      <c r="G3950" s="36" t="str">
        <f>IF(ISNUMBER(F3950),C3950*F3950,"")</f>
        <v/>
      </c>
    </row>
    <row r="3951" spans="1:7" ht="12" customHeight="1" outlineLevel="3" x14ac:dyDescent="0.2">
      <c r="A3951" s="14" t="s">
        <v>7788</v>
      </c>
      <c r="B3951" s="15" t="s">
        <v>7789</v>
      </c>
      <c r="C3951" s="16">
        <f>34/(1+B2)</f>
        <v>34</v>
      </c>
      <c r="D3951" s="17" t="s">
        <v>11</v>
      </c>
      <c r="E3951" s="17"/>
      <c r="F3951" s="18"/>
      <c r="G3951" s="36" t="str">
        <f>IF(ISNUMBER(F3951),C3951*F3951,"")</f>
        <v/>
      </c>
    </row>
    <row r="3952" spans="1:7" ht="12" customHeight="1" outlineLevel="3" x14ac:dyDescent="0.2">
      <c r="A3952" s="14" t="s">
        <v>7790</v>
      </c>
      <c r="B3952" s="15" t="s">
        <v>7791</v>
      </c>
      <c r="C3952" s="16">
        <f>31/(1+B2)</f>
        <v>31</v>
      </c>
      <c r="D3952" s="17" t="s">
        <v>14</v>
      </c>
      <c r="E3952" s="17"/>
      <c r="F3952" s="18"/>
      <c r="G3952" s="36" t="str">
        <f>IF(ISNUMBER(F3952),C3952*F3952,"")</f>
        <v/>
      </c>
    </row>
    <row r="3953" spans="1:7" ht="12" customHeight="1" outlineLevel="3" x14ac:dyDescent="0.2">
      <c r="A3953" s="14" t="s">
        <v>7792</v>
      </c>
      <c r="B3953" s="15" t="s">
        <v>7793</v>
      </c>
      <c r="C3953" s="16">
        <f>40.86/(1+B2)</f>
        <v>40.86</v>
      </c>
      <c r="D3953" s="17" t="s">
        <v>11</v>
      </c>
      <c r="E3953" s="17"/>
      <c r="F3953" s="18"/>
      <c r="G3953" s="36" t="str">
        <f>IF(ISNUMBER(F3953),C3953*F3953,"")</f>
        <v/>
      </c>
    </row>
    <row r="3954" spans="1:7" ht="12" customHeight="1" outlineLevel="3" x14ac:dyDescent="0.2">
      <c r="A3954" s="14" t="s">
        <v>7794</v>
      </c>
      <c r="B3954" s="15" t="s">
        <v>7795</v>
      </c>
      <c r="C3954" s="16">
        <f>62.84/(1+B2)</f>
        <v>62.84</v>
      </c>
      <c r="D3954" s="17" t="s">
        <v>11</v>
      </c>
      <c r="E3954" s="17"/>
      <c r="F3954" s="18"/>
      <c r="G3954" s="36" t="str">
        <f>IF(ISNUMBER(F3954),C3954*F3954,"")</f>
        <v/>
      </c>
    </row>
    <row r="3955" spans="1:7" ht="12" customHeight="1" outlineLevel="3" x14ac:dyDescent="0.2">
      <c r="A3955" s="14" t="s">
        <v>7796</v>
      </c>
      <c r="B3955" s="15" t="s">
        <v>7797</v>
      </c>
      <c r="C3955" s="16">
        <f>173.71/(1+B2)</f>
        <v>173.71</v>
      </c>
      <c r="D3955" s="17" t="s">
        <v>11</v>
      </c>
      <c r="E3955" s="17"/>
      <c r="F3955" s="18"/>
      <c r="G3955" s="36" t="str">
        <f>IF(ISNUMBER(F3955),C3955*F3955,"")</f>
        <v/>
      </c>
    </row>
    <row r="3956" spans="1:7" ht="12" customHeight="1" outlineLevel="3" x14ac:dyDescent="0.2">
      <c r="A3956" s="14" t="s">
        <v>7798</v>
      </c>
      <c r="B3956" s="15" t="s">
        <v>7799</v>
      </c>
      <c r="C3956" s="16">
        <f>149.01/(1+B2)</f>
        <v>149.01</v>
      </c>
      <c r="D3956" s="17" t="s">
        <v>11</v>
      </c>
      <c r="E3956" s="17"/>
      <c r="F3956" s="18"/>
      <c r="G3956" s="36" t="str">
        <f>IF(ISNUMBER(F3956),C3956*F3956,"")</f>
        <v/>
      </c>
    </row>
    <row r="3957" spans="1:7" ht="12" customHeight="1" outlineLevel="3" x14ac:dyDescent="0.2">
      <c r="A3957" s="14" t="s">
        <v>7800</v>
      </c>
      <c r="B3957" s="15" t="s">
        <v>7801</v>
      </c>
      <c r="C3957" s="16">
        <f>310.92/(1+B2)</f>
        <v>310.92</v>
      </c>
      <c r="D3957" s="17" t="s">
        <v>11</v>
      </c>
      <c r="E3957" s="17"/>
      <c r="F3957" s="18"/>
      <c r="G3957" s="36" t="str">
        <f>IF(ISNUMBER(F3957),C3957*F3957,"")</f>
        <v/>
      </c>
    </row>
    <row r="3958" spans="1:7" ht="12" customHeight="1" outlineLevel="3" x14ac:dyDescent="0.2">
      <c r="A3958" s="14" t="s">
        <v>7802</v>
      </c>
      <c r="B3958" s="15" t="s">
        <v>7803</v>
      </c>
      <c r="C3958" s="16">
        <f>99/(1+B2)</f>
        <v>99</v>
      </c>
      <c r="D3958" s="17" t="s">
        <v>11</v>
      </c>
      <c r="E3958" s="17"/>
      <c r="F3958" s="18"/>
      <c r="G3958" s="36" t="str">
        <f>IF(ISNUMBER(F3958),C3958*F3958,"")</f>
        <v/>
      </c>
    </row>
    <row r="3959" spans="1:7" ht="12" customHeight="1" outlineLevel="3" x14ac:dyDescent="0.2">
      <c r="A3959" s="14" t="s">
        <v>7804</v>
      </c>
      <c r="B3959" s="15" t="s">
        <v>7805</v>
      </c>
      <c r="C3959" s="16">
        <f>119/(1+B2)</f>
        <v>119</v>
      </c>
      <c r="D3959" s="17" t="s">
        <v>11</v>
      </c>
      <c r="E3959" s="17"/>
      <c r="F3959" s="18"/>
      <c r="G3959" s="36" t="str">
        <f>IF(ISNUMBER(F3959),C3959*F3959,"")</f>
        <v/>
      </c>
    </row>
    <row r="3960" spans="1:7" ht="12" customHeight="1" outlineLevel="3" x14ac:dyDescent="0.2">
      <c r="A3960" s="14" t="s">
        <v>7806</v>
      </c>
      <c r="B3960" s="15" t="s">
        <v>7807</v>
      </c>
      <c r="C3960" s="16">
        <f>98.63/(1+B2)</f>
        <v>98.63</v>
      </c>
      <c r="D3960" s="17" t="s">
        <v>11</v>
      </c>
      <c r="E3960" s="17"/>
      <c r="F3960" s="18"/>
      <c r="G3960" s="36" t="str">
        <f>IF(ISNUMBER(F3960),C3960*F3960,"")</f>
        <v/>
      </c>
    </row>
    <row r="3961" spans="1:7" ht="12" customHeight="1" outlineLevel="3" x14ac:dyDescent="0.2">
      <c r="A3961" s="14" t="s">
        <v>7808</v>
      </c>
      <c r="B3961" s="15" t="s">
        <v>7809</v>
      </c>
      <c r="C3961" s="16">
        <f>98.63/(1+B2)</f>
        <v>98.63</v>
      </c>
      <c r="D3961" s="17" t="s">
        <v>11</v>
      </c>
      <c r="E3961" s="17"/>
      <c r="F3961" s="18"/>
      <c r="G3961" s="36" t="str">
        <f>IF(ISNUMBER(F3961),C3961*F3961,"")</f>
        <v/>
      </c>
    </row>
    <row r="3962" spans="1:7" ht="12" customHeight="1" outlineLevel="3" x14ac:dyDescent="0.2">
      <c r="A3962" s="14" t="s">
        <v>7810</v>
      </c>
      <c r="B3962" s="15" t="s">
        <v>7811</v>
      </c>
      <c r="C3962" s="16">
        <f>98.63/(1+B2)</f>
        <v>98.63</v>
      </c>
      <c r="D3962" s="17" t="s">
        <v>11</v>
      </c>
      <c r="E3962" s="17"/>
      <c r="F3962" s="18"/>
      <c r="G3962" s="36" t="str">
        <f>IF(ISNUMBER(F3962),C3962*F3962,"")</f>
        <v/>
      </c>
    </row>
    <row r="3963" spans="1:7" ht="12" customHeight="1" outlineLevel="3" x14ac:dyDescent="0.2">
      <c r="A3963" s="14" t="s">
        <v>7812</v>
      </c>
      <c r="B3963" s="15" t="s">
        <v>7813</v>
      </c>
      <c r="C3963" s="16">
        <f>70.07/(1+B2)</f>
        <v>70.069999999999993</v>
      </c>
      <c r="D3963" s="17" t="s">
        <v>14</v>
      </c>
      <c r="E3963" s="17"/>
      <c r="F3963" s="18"/>
      <c r="G3963" s="36" t="str">
        <f>IF(ISNUMBER(F3963),C3963*F3963,"")</f>
        <v/>
      </c>
    </row>
    <row r="3964" spans="1:7" ht="12" customHeight="1" outlineLevel="3" x14ac:dyDescent="0.2">
      <c r="A3964" s="14" t="s">
        <v>7814</v>
      </c>
      <c r="B3964" s="15" t="s">
        <v>7815</v>
      </c>
      <c r="C3964" s="16">
        <f>99.22/(1+B2)</f>
        <v>99.22</v>
      </c>
      <c r="D3964" s="17" t="s">
        <v>11</v>
      </c>
      <c r="E3964" s="17"/>
      <c r="F3964" s="18"/>
      <c r="G3964" s="36" t="str">
        <f>IF(ISNUMBER(F3964),C3964*F3964,"")</f>
        <v/>
      </c>
    </row>
    <row r="3965" spans="1:7" ht="12" customHeight="1" outlineLevel="3" x14ac:dyDescent="0.2">
      <c r="A3965" s="14" t="s">
        <v>7816</v>
      </c>
      <c r="B3965" s="15" t="s">
        <v>7817</v>
      </c>
      <c r="C3965" s="16">
        <f>58.68/(1+B2)</f>
        <v>58.68</v>
      </c>
      <c r="D3965" s="17" t="s">
        <v>14</v>
      </c>
      <c r="E3965" s="17"/>
      <c r="F3965" s="18"/>
      <c r="G3965" s="36" t="str">
        <f>IF(ISNUMBER(F3965),C3965*F3965,"")</f>
        <v/>
      </c>
    </row>
    <row r="3966" spans="1:7" ht="12" customHeight="1" outlineLevel="3" x14ac:dyDescent="0.2">
      <c r="A3966" s="14" t="s">
        <v>7818</v>
      </c>
      <c r="B3966" s="15" t="s">
        <v>7819</v>
      </c>
      <c r="C3966" s="16">
        <f>80/(1+B2)</f>
        <v>80</v>
      </c>
      <c r="D3966" s="17" t="s">
        <v>11</v>
      </c>
      <c r="E3966" s="17"/>
      <c r="F3966" s="18"/>
      <c r="G3966" s="36" t="str">
        <f>IF(ISNUMBER(F3966),C3966*F3966,"")</f>
        <v/>
      </c>
    </row>
    <row r="3967" spans="1:7" ht="12" customHeight="1" outlineLevel="3" x14ac:dyDescent="0.2">
      <c r="A3967" s="14" t="s">
        <v>7820</v>
      </c>
      <c r="B3967" s="15" t="s">
        <v>7821</v>
      </c>
      <c r="C3967" s="16">
        <f>219.01/(1+B2)</f>
        <v>219.01</v>
      </c>
      <c r="D3967" s="17" t="s">
        <v>11</v>
      </c>
      <c r="E3967" s="17"/>
      <c r="F3967" s="18"/>
      <c r="G3967" s="36" t="str">
        <f>IF(ISNUMBER(F3967),C3967*F3967,"")</f>
        <v/>
      </c>
    </row>
    <row r="3968" spans="1:7" ht="12" customHeight="1" outlineLevel="3" x14ac:dyDescent="0.2">
      <c r="A3968" s="14" t="s">
        <v>7822</v>
      </c>
      <c r="B3968" s="15" t="s">
        <v>7823</v>
      </c>
      <c r="C3968" s="16">
        <f>101.88/(1+B2)</f>
        <v>101.88</v>
      </c>
      <c r="D3968" s="17" t="s">
        <v>11</v>
      </c>
      <c r="E3968" s="17"/>
      <c r="F3968" s="18"/>
      <c r="G3968" s="36" t="str">
        <f>IF(ISNUMBER(F3968),C3968*F3968,"")</f>
        <v/>
      </c>
    </row>
    <row r="3969" spans="1:7" ht="12" customHeight="1" outlineLevel="3" x14ac:dyDescent="0.2">
      <c r="A3969" s="14" t="s">
        <v>7824</v>
      </c>
      <c r="B3969" s="15" t="s">
        <v>7825</v>
      </c>
      <c r="C3969" s="16">
        <f>135.54/(1+B2)</f>
        <v>135.54</v>
      </c>
      <c r="D3969" s="17" t="s">
        <v>11</v>
      </c>
      <c r="E3969" s="17" t="s">
        <v>11</v>
      </c>
      <c r="F3969" s="18"/>
      <c r="G3969" s="36" t="str">
        <f>IF(ISNUMBER(F3969),C3969*F3969,"")</f>
        <v/>
      </c>
    </row>
    <row r="3970" spans="1:7" ht="12" customHeight="1" outlineLevel="3" x14ac:dyDescent="0.2">
      <c r="A3970" s="14" t="s">
        <v>7826</v>
      </c>
      <c r="B3970" s="15" t="s">
        <v>7827</v>
      </c>
      <c r="C3970" s="16">
        <f>139.01/(1+B2)</f>
        <v>139.01</v>
      </c>
      <c r="D3970" s="17" t="s">
        <v>11</v>
      </c>
      <c r="E3970" s="17" t="s">
        <v>11</v>
      </c>
      <c r="F3970" s="18"/>
      <c r="G3970" s="36" t="str">
        <f>IF(ISNUMBER(F3970),C3970*F3970,"")</f>
        <v/>
      </c>
    </row>
    <row r="3971" spans="1:7" ht="12" customHeight="1" outlineLevel="3" x14ac:dyDescent="0.2">
      <c r="A3971" s="14" t="s">
        <v>7828</v>
      </c>
      <c r="B3971" s="15" t="s">
        <v>7829</v>
      </c>
      <c r="C3971" s="16">
        <f>43.11/(1+B2)</f>
        <v>43.11</v>
      </c>
      <c r="D3971" s="17" t="s">
        <v>11</v>
      </c>
      <c r="E3971" s="17"/>
      <c r="F3971" s="18"/>
      <c r="G3971" s="36" t="str">
        <f>IF(ISNUMBER(F3971),C3971*F3971,"")</f>
        <v/>
      </c>
    </row>
    <row r="3972" spans="1:7" ht="12" customHeight="1" outlineLevel="3" x14ac:dyDescent="0.2">
      <c r="A3972" s="14" t="s">
        <v>7830</v>
      </c>
      <c r="B3972" s="15" t="s">
        <v>7831</v>
      </c>
      <c r="C3972" s="16">
        <f>87.74/(1+B2)</f>
        <v>87.74</v>
      </c>
      <c r="D3972" s="17" t="s">
        <v>11</v>
      </c>
      <c r="E3972" s="17"/>
      <c r="F3972" s="18"/>
      <c r="G3972" s="36" t="str">
        <f>IF(ISNUMBER(F3972),C3972*F3972,"")</f>
        <v/>
      </c>
    </row>
    <row r="3973" spans="1:7" ht="12" customHeight="1" outlineLevel="3" x14ac:dyDescent="0.2">
      <c r="A3973" s="14" t="s">
        <v>7832</v>
      </c>
      <c r="B3973" s="15" t="s">
        <v>7833</v>
      </c>
      <c r="C3973" s="16">
        <f>87.74/(1+B2)</f>
        <v>87.74</v>
      </c>
      <c r="D3973" s="17" t="s">
        <v>11</v>
      </c>
      <c r="E3973" s="17"/>
      <c r="F3973" s="18"/>
      <c r="G3973" s="36" t="str">
        <f>IF(ISNUMBER(F3973),C3973*F3973,"")</f>
        <v/>
      </c>
    </row>
    <row r="3974" spans="1:7" ht="12" customHeight="1" outlineLevel="3" x14ac:dyDescent="0.2">
      <c r="A3974" s="14" t="s">
        <v>7834</v>
      </c>
      <c r="B3974" s="15" t="s">
        <v>7835</v>
      </c>
      <c r="C3974" s="16">
        <f>303.08/(1+B2)</f>
        <v>303.08</v>
      </c>
      <c r="D3974" s="17" t="s">
        <v>11</v>
      </c>
      <c r="E3974" s="17"/>
      <c r="F3974" s="18"/>
      <c r="G3974" s="36" t="str">
        <f>IF(ISNUMBER(F3974),C3974*F3974,"")</f>
        <v/>
      </c>
    </row>
    <row r="3975" spans="1:7" ht="12" customHeight="1" outlineLevel="3" x14ac:dyDescent="0.2">
      <c r="A3975" s="14" t="s">
        <v>7836</v>
      </c>
      <c r="B3975" s="15" t="s">
        <v>7837</v>
      </c>
      <c r="C3975" s="16">
        <f>24/(1+B2)</f>
        <v>24</v>
      </c>
      <c r="D3975" s="17" t="s">
        <v>11</v>
      </c>
      <c r="E3975" s="17" t="s">
        <v>11</v>
      </c>
      <c r="F3975" s="18"/>
      <c r="G3975" s="36" t="str">
        <f>IF(ISNUMBER(F3975),C3975*F3975,"")</f>
        <v/>
      </c>
    </row>
    <row r="3976" spans="1:7" ht="12" customHeight="1" outlineLevel="3" x14ac:dyDescent="0.2">
      <c r="A3976" s="14" t="s">
        <v>7838</v>
      </c>
      <c r="B3976" s="15" t="s">
        <v>7839</v>
      </c>
      <c r="C3976" s="16">
        <f>29/(1+B2)</f>
        <v>29</v>
      </c>
      <c r="D3976" s="17" t="s">
        <v>11</v>
      </c>
      <c r="E3976" s="17"/>
      <c r="F3976" s="18"/>
      <c r="G3976" s="36" t="str">
        <f>IF(ISNUMBER(F3976),C3976*F3976,"")</f>
        <v/>
      </c>
    </row>
    <row r="3977" spans="1:7" ht="12" customHeight="1" outlineLevel="3" x14ac:dyDescent="0.2">
      <c r="A3977" s="14" t="s">
        <v>7840</v>
      </c>
      <c r="B3977" s="15" t="s">
        <v>7841</v>
      </c>
      <c r="C3977" s="16">
        <f>119/(1+B2)</f>
        <v>119</v>
      </c>
      <c r="D3977" s="17" t="s">
        <v>11</v>
      </c>
      <c r="E3977" s="17"/>
      <c r="F3977" s="18"/>
      <c r="G3977" s="36" t="str">
        <f>IF(ISNUMBER(F3977),C3977*F3977,"")</f>
        <v/>
      </c>
    </row>
    <row r="3978" spans="1:7" ht="12" customHeight="1" outlineLevel="3" x14ac:dyDescent="0.2">
      <c r="A3978" s="14" t="s">
        <v>7842</v>
      </c>
      <c r="B3978" s="15" t="s">
        <v>7843</v>
      </c>
      <c r="C3978" s="16">
        <f>139.01/(1+B2)</f>
        <v>139.01</v>
      </c>
      <c r="D3978" s="17" t="s">
        <v>11</v>
      </c>
      <c r="E3978" s="17"/>
      <c r="F3978" s="18"/>
      <c r="G3978" s="36" t="str">
        <f>IF(ISNUMBER(F3978),C3978*F3978,"")</f>
        <v/>
      </c>
    </row>
    <row r="3979" spans="1:7" ht="12" customHeight="1" outlineLevel="3" x14ac:dyDescent="0.2">
      <c r="A3979" s="14" t="s">
        <v>7844</v>
      </c>
      <c r="B3979" s="15" t="s">
        <v>7845</v>
      </c>
      <c r="C3979" s="16">
        <f>141.01/(1+B2)</f>
        <v>141.01</v>
      </c>
      <c r="D3979" s="17" t="s">
        <v>14</v>
      </c>
      <c r="E3979" s="17"/>
      <c r="F3979" s="18"/>
      <c r="G3979" s="36" t="str">
        <f>IF(ISNUMBER(F3979),C3979*F3979,"")</f>
        <v/>
      </c>
    </row>
    <row r="3980" spans="1:7" ht="12" customHeight="1" outlineLevel="3" x14ac:dyDescent="0.2">
      <c r="A3980" s="14" t="s">
        <v>7846</v>
      </c>
      <c r="B3980" s="15" t="s">
        <v>7847</v>
      </c>
      <c r="C3980" s="16">
        <f>54/(1+B2)</f>
        <v>54</v>
      </c>
      <c r="D3980" s="17" t="s">
        <v>11</v>
      </c>
      <c r="E3980" s="17"/>
      <c r="F3980" s="18"/>
      <c r="G3980" s="36" t="str">
        <f>IF(ISNUMBER(F3980),C3980*F3980,"")</f>
        <v/>
      </c>
    </row>
    <row r="3981" spans="1:7" ht="12" customHeight="1" outlineLevel="3" x14ac:dyDescent="0.2">
      <c r="A3981" s="14" t="s">
        <v>7848</v>
      </c>
      <c r="B3981" s="15" t="s">
        <v>7849</v>
      </c>
      <c r="C3981" s="16">
        <f>43/(1+B2)</f>
        <v>43</v>
      </c>
      <c r="D3981" s="17" t="s">
        <v>11</v>
      </c>
      <c r="E3981" s="17"/>
      <c r="F3981" s="18"/>
      <c r="G3981" s="36" t="str">
        <f>IF(ISNUMBER(F3981),C3981*F3981,"")</f>
        <v/>
      </c>
    </row>
    <row r="3982" spans="1:7" ht="12" customHeight="1" outlineLevel="3" x14ac:dyDescent="0.2">
      <c r="A3982" s="14" t="s">
        <v>7850</v>
      </c>
      <c r="B3982" s="15" t="s">
        <v>7851</v>
      </c>
      <c r="C3982" s="16">
        <f>96/(1+B2)</f>
        <v>96</v>
      </c>
      <c r="D3982" s="17" t="s">
        <v>14</v>
      </c>
      <c r="E3982" s="17"/>
      <c r="F3982" s="18"/>
      <c r="G3982" s="36" t="str">
        <f>IF(ISNUMBER(F3982),C3982*F3982,"")</f>
        <v/>
      </c>
    </row>
    <row r="3983" spans="1:7" ht="12" customHeight="1" outlineLevel="3" x14ac:dyDescent="0.2">
      <c r="A3983" s="14" t="s">
        <v>7852</v>
      </c>
      <c r="B3983" s="15" t="s">
        <v>7853</v>
      </c>
      <c r="C3983" s="16">
        <f>118.53/(1+B2)</f>
        <v>118.53</v>
      </c>
      <c r="D3983" s="17" t="s">
        <v>11</v>
      </c>
      <c r="E3983" s="17"/>
      <c r="F3983" s="18"/>
      <c r="G3983" s="36" t="str">
        <f>IF(ISNUMBER(F3983),C3983*F3983,"")</f>
        <v/>
      </c>
    </row>
    <row r="3984" spans="1:7" ht="12" customHeight="1" outlineLevel="3" x14ac:dyDescent="0.2">
      <c r="A3984" s="14" t="s">
        <v>7854</v>
      </c>
      <c r="B3984" s="15" t="s">
        <v>7855</v>
      </c>
      <c r="C3984" s="16">
        <f>51.99/(1+B2)</f>
        <v>51.99</v>
      </c>
      <c r="D3984" s="17" t="s">
        <v>11</v>
      </c>
      <c r="E3984" s="17"/>
      <c r="F3984" s="18"/>
      <c r="G3984" s="36" t="str">
        <f>IF(ISNUMBER(F3984),C3984*F3984,"")</f>
        <v/>
      </c>
    </row>
    <row r="3985" spans="1:7" ht="12" customHeight="1" outlineLevel="3" x14ac:dyDescent="0.2">
      <c r="A3985" s="14" t="s">
        <v>7856</v>
      </c>
      <c r="B3985" s="15" t="s">
        <v>7857</v>
      </c>
      <c r="C3985" s="16">
        <f>49.04/(1+B2)</f>
        <v>49.04</v>
      </c>
      <c r="D3985" s="17" t="s">
        <v>11</v>
      </c>
      <c r="E3985" s="17"/>
      <c r="F3985" s="18"/>
      <c r="G3985" s="36" t="str">
        <f>IF(ISNUMBER(F3985),C3985*F3985,"")</f>
        <v/>
      </c>
    </row>
    <row r="3986" spans="1:7" ht="12" customHeight="1" outlineLevel="3" x14ac:dyDescent="0.2">
      <c r="A3986" s="14" t="s">
        <v>7858</v>
      </c>
      <c r="B3986" s="15" t="s">
        <v>7859</v>
      </c>
      <c r="C3986" s="16">
        <f>53/(1+B2)</f>
        <v>53</v>
      </c>
      <c r="D3986" s="17" t="s">
        <v>11</v>
      </c>
      <c r="E3986" s="17"/>
      <c r="F3986" s="18"/>
      <c r="G3986" s="36" t="str">
        <f>IF(ISNUMBER(F3986),C3986*F3986,"")</f>
        <v/>
      </c>
    </row>
    <row r="3987" spans="1:7" ht="12" customHeight="1" outlineLevel="3" x14ac:dyDescent="0.2">
      <c r="A3987" s="14" t="s">
        <v>7860</v>
      </c>
      <c r="B3987" s="15" t="s">
        <v>7861</v>
      </c>
      <c r="C3987" s="16">
        <f>83/(1+B2)</f>
        <v>83</v>
      </c>
      <c r="D3987" s="17" t="s">
        <v>11</v>
      </c>
      <c r="E3987" s="17"/>
      <c r="F3987" s="18"/>
      <c r="G3987" s="36" t="str">
        <f>IF(ISNUMBER(F3987),C3987*F3987,"")</f>
        <v/>
      </c>
    </row>
    <row r="3988" spans="1:7" ht="12" customHeight="1" outlineLevel="3" x14ac:dyDescent="0.2">
      <c r="A3988" s="14" t="s">
        <v>7862</v>
      </c>
      <c r="B3988" s="15" t="s">
        <v>7863</v>
      </c>
      <c r="C3988" s="16">
        <f>42/(1+B2)</f>
        <v>42</v>
      </c>
      <c r="D3988" s="17" t="s">
        <v>11</v>
      </c>
      <c r="E3988" s="17"/>
      <c r="F3988" s="18"/>
      <c r="G3988" s="36" t="str">
        <f>IF(ISNUMBER(F3988),C3988*F3988,"")</f>
        <v/>
      </c>
    </row>
    <row r="3989" spans="1:7" ht="12" customHeight="1" outlineLevel="3" x14ac:dyDescent="0.2">
      <c r="A3989" s="14" t="s">
        <v>7864</v>
      </c>
      <c r="B3989" s="15" t="s">
        <v>7865</v>
      </c>
      <c r="C3989" s="16">
        <f>98/(1+B2)</f>
        <v>98</v>
      </c>
      <c r="D3989" s="17" t="s">
        <v>11</v>
      </c>
      <c r="E3989" s="17"/>
      <c r="F3989" s="18"/>
      <c r="G3989" s="36" t="str">
        <f>IF(ISNUMBER(F3989),C3989*F3989,"")</f>
        <v/>
      </c>
    </row>
    <row r="3990" spans="1:7" ht="12" customHeight="1" outlineLevel="3" x14ac:dyDescent="0.2">
      <c r="A3990" s="14" t="s">
        <v>7866</v>
      </c>
      <c r="B3990" s="15" t="s">
        <v>7867</v>
      </c>
      <c r="C3990" s="16">
        <f>235.62/(1+B2)</f>
        <v>235.62</v>
      </c>
      <c r="D3990" s="17" t="s">
        <v>11</v>
      </c>
      <c r="E3990" s="17"/>
      <c r="F3990" s="18"/>
      <c r="G3990" s="36" t="str">
        <f>IF(ISNUMBER(F3990),C3990*F3990,"")</f>
        <v/>
      </c>
    </row>
    <row r="3991" spans="1:7" ht="12" customHeight="1" outlineLevel="3" x14ac:dyDescent="0.2">
      <c r="A3991" s="14" t="s">
        <v>7868</v>
      </c>
      <c r="B3991" s="15" t="s">
        <v>7869</v>
      </c>
      <c r="C3991" s="16">
        <f>43.14/(1+B2)</f>
        <v>43.14</v>
      </c>
      <c r="D3991" s="17" t="s">
        <v>11</v>
      </c>
      <c r="E3991" s="17"/>
      <c r="F3991" s="18"/>
      <c r="G3991" s="36" t="str">
        <f>IF(ISNUMBER(F3991),C3991*F3991,"")</f>
        <v/>
      </c>
    </row>
    <row r="3992" spans="1:7" ht="12" customHeight="1" outlineLevel="3" x14ac:dyDescent="0.2">
      <c r="A3992" s="14" t="s">
        <v>7870</v>
      </c>
      <c r="B3992" s="15" t="s">
        <v>7871</v>
      </c>
      <c r="C3992" s="16">
        <f>289.01/(1+B2)</f>
        <v>289.01</v>
      </c>
      <c r="D3992" s="17" t="s">
        <v>11</v>
      </c>
      <c r="E3992" s="17"/>
      <c r="F3992" s="18"/>
      <c r="G3992" s="36" t="str">
        <f>IF(ISNUMBER(F3992),C3992*F3992,"")</f>
        <v/>
      </c>
    </row>
    <row r="3993" spans="1:7" s="1" customFormat="1" ht="12.95" customHeight="1" outlineLevel="2" x14ac:dyDescent="0.2">
      <c r="A3993" s="20"/>
      <c r="B3993" s="21" t="s">
        <v>7872</v>
      </c>
      <c r="C3993" s="22"/>
      <c r="D3993" s="22"/>
      <c r="E3993" s="22"/>
      <c r="F3993" s="22"/>
      <c r="G3993" s="37"/>
    </row>
    <row r="3994" spans="1:7" ht="12" customHeight="1" outlineLevel="3" x14ac:dyDescent="0.2">
      <c r="A3994" s="14" t="s">
        <v>7873</v>
      </c>
      <c r="B3994" s="15" t="s">
        <v>7874</v>
      </c>
      <c r="C3994" s="16">
        <f>127.19/(1+B2)</f>
        <v>127.19</v>
      </c>
      <c r="D3994" s="17" t="s">
        <v>11</v>
      </c>
      <c r="E3994" s="17" t="s">
        <v>11</v>
      </c>
      <c r="F3994" s="18"/>
      <c r="G3994" s="36" t="str">
        <f>IF(ISNUMBER(F3994),C3994*F3994,"")</f>
        <v/>
      </c>
    </row>
    <row r="3995" spans="1:7" ht="12" customHeight="1" outlineLevel="3" x14ac:dyDescent="0.2">
      <c r="A3995" s="14" t="s">
        <v>7875</v>
      </c>
      <c r="B3995" s="15" t="s">
        <v>7876</v>
      </c>
      <c r="C3995" s="16">
        <f>106.52/(1+B2)</f>
        <v>106.52</v>
      </c>
      <c r="D3995" s="17" t="s">
        <v>11</v>
      </c>
      <c r="E3995" s="17"/>
      <c r="F3995" s="18"/>
      <c r="G3995" s="36" t="str">
        <f>IF(ISNUMBER(F3995),C3995*F3995,"")</f>
        <v/>
      </c>
    </row>
    <row r="3996" spans="1:7" ht="12" customHeight="1" outlineLevel="3" x14ac:dyDescent="0.2">
      <c r="A3996" s="14" t="s">
        <v>7877</v>
      </c>
      <c r="B3996" s="15" t="s">
        <v>7878</v>
      </c>
      <c r="C3996" s="16">
        <f>73.82/(1+B2)</f>
        <v>73.819999999999993</v>
      </c>
      <c r="D3996" s="17" t="s">
        <v>11</v>
      </c>
      <c r="E3996" s="17" t="s">
        <v>11</v>
      </c>
      <c r="F3996" s="18"/>
      <c r="G3996" s="36" t="str">
        <f>IF(ISNUMBER(F3996),C3996*F3996,"")</f>
        <v/>
      </c>
    </row>
    <row r="3997" spans="1:7" ht="12" customHeight="1" outlineLevel="3" x14ac:dyDescent="0.2">
      <c r="A3997" s="14" t="s">
        <v>7879</v>
      </c>
      <c r="B3997" s="15" t="s">
        <v>7880</v>
      </c>
      <c r="C3997" s="16">
        <f>87.6/(1+B2)</f>
        <v>87.6</v>
      </c>
      <c r="D3997" s="17" t="s">
        <v>11</v>
      </c>
      <c r="E3997" s="17"/>
      <c r="F3997" s="18"/>
      <c r="G3997" s="36" t="str">
        <f>IF(ISNUMBER(F3997),C3997*F3997,"")</f>
        <v/>
      </c>
    </row>
    <row r="3998" spans="1:7" ht="12" customHeight="1" outlineLevel="3" x14ac:dyDescent="0.2">
      <c r="A3998" s="14" t="s">
        <v>7881</v>
      </c>
      <c r="B3998" s="15" t="s">
        <v>7882</v>
      </c>
      <c r="C3998" s="16">
        <f>75.37/(1+B2)</f>
        <v>75.37</v>
      </c>
      <c r="D3998" s="17" t="s">
        <v>11</v>
      </c>
      <c r="E3998" s="17"/>
      <c r="F3998" s="18"/>
      <c r="G3998" s="36" t="str">
        <f>IF(ISNUMBER(F3998),C3998*F3998,"")</f>
        <v/>
      </c>
    </row>
    <row r="3999" spans="1:7" ht="12" customHeight="1" outlineLevel="3" x14ac:dyDescent="0.2">
      <c r="A3999" s="14" t="s">
        <v>7883</v>
      </c>
      <c r="B3999" s="15" t="s">
        <v>7884</v>
      </c>
      <c r="C3999" s="16">
        <f>67.36/(1+B2)</f>
        <v>67.36</v>
      </c>
      <c r="D3999" s="17" t="s">
        <v>11</v>
      </c>
      <c r="E3999" s="17" t="s">
        <v>11</v>
      </c>
      <c r="F3999" s="18"/>
      <c r="G3999" s="36" t="str">
        <f>IF(ISNUMBER(F3999),C3999*F3999,"")</f>
        <v/>
      </c>
    </row>
    <row r="4000" spans="1:7" ht="12" customHeight="1" outlineLevel="3" x14ac:dyDescent="0.2">
      <c r="A4000" s="14" t="s">
        <v>7885</v>
      </c>
      <c r="B4000" s="15" t="s">
        <v>7886</v>
      </c>
      <c r="C4000" s="16">
        <f>100.34/(1+B2)</f>
        <v>100.34</v>
      </c>
      <c r="D4000" s="17" t="s">
        <v>14</v>
      </c>
      <c r="E4000" s="17"/>
      <c r="F4000" s="18"/>
      <c r="G4000" s="36" t="str">
        <f>IF(ISNUMBER(F4000),C4000*F4000,"")</f>
        <v/>
      </c>
    </row>
    <row r="4001" spans="1:7" ht="12" customHeight="1" outlineLevel="3" x14ac:dyDescent="0.2">
      <c r="A4001" s="14" t="s">
        <v>7887</v>
      </c>
      <c r="B4001" s="15" t="s">
        <v>7888</v>
      </c>
      <c r="C4001" s="16">
        <f>104.53/(1+B2)</f>
        <v>104.53</v>
      </c>
      <c r="D4001" s="17" t="s">
        <v>11</v>
      </c>
      <c r="E4001" s="17"/>
      <c r="F4001" s="18"/>
      <c r="G4001" s="36" t="str">
        <f>IF(ISNUMBER(F4001),C4001*F4001,"")</f>
        <v/>
      </c>
    </row>
    <row r="4002" spans="1:7" ht="12" customHeight="1" outlineLevel="3" x14ac:dyDescent="0.2">
      <c r="A4002" s="14" t="s">
        <v>7889</v>
      </c>
      <c r="B4002" s="15" t="s">
        <v>7890</v>
      </c>
      <c r="C4002" s="16">
        <f>114.7/(1+B2)</f>
        <v>114.7</v>
      </c>
      <c r="D4002" s="17" t="s">
        <v>11</v>
      </c>
      <c r="E4002" s="17" t="s">
        <v>11</v>
      </c>
      <c r="F4002" s="18"/>
      <c r="G4002" s="36" t="str">
        <f>IF(ISNUMBER(F4002),C4002*F4002,"")</f>
        <v/>
      </c>
    </row>
    <row r="4003" spans="1:7" ht="12" customHeight="1" outlineLevel="3" x14ac:dyDescent="0.2">
      <c r="A4003" s="14" t="s">
        <v>7891</v>
      </c>
      <c r="B4003" s="15" t="s">
        <v>7892</v>
      </c>
      <c r="C4003" s="16">
        <f>75.19/(1+B2)</f>
        <v>75.19</v>
      </c>
      <c r="D4003" s="17" t="s">
        <v>14</v>
      </c>
      <c r="E4003" s="17"/>
      <c r="F4003" s="18"/>
      <c r="G4003" s="36" t="str">
        <f>IF(ISNUMBER(F4003),C4003*F4003,"")</f>
        <v/>
      </c>
    </row>
    <row r="4004" spans="1:7" ht="12" customHeight="1" outlineLevel="3" x14ac:dyDescent="0.2">
      <c r="A4004" s="14" t="s">
        <v>7893</v>
      </c>
      <c r="B4004" s="15" t="s">
        <v>7894</v>
      </c>
      <c r="C4004" s="16">
        <f>75.19/(1+B2)</f>
        <v>75.19</v>
      </c>
      <c r="D4004" s="17" t="s">
        <v>14</v>
      </c>
      <c r="E4004" s="17"/>
      <c r="F4004" s="18"/>
      <c r="G4004" s="36" t="str">
        <f>IF(ISNUMBER(F4004),C4004*F4004,"")</f>
        <v/>
      </c>
    </row>
    <row r="4005" spans="1:7" ht="12" customHeight="1" outlineLevel="3" x14ac:dyDescent="0.2">
      <c r="A4005" s="14" t="s">
        <v>7895</v>
      </c>
      <c r="B4005" s="15" t="s">
        <v>7896</v>
      </c>
      <c r="C4005" s="16">
        <f>53.7/(1+B2)</f>
        <v>53.7</v>
      </c>
      <c r="D4005" s="17" t="s">
        <v>11</v>
      </c>
      <c r="E4005" s="17"/>
      <c r="F4005" s="18"/>
      <c r="G4005" s="36" t="str">
        <f>IF(ISNUMBER(F4005),C4005*F4005,"")</f>
        <v/>
      </c>
    </row>
    <row r="4006" spans="1:7" ht="12" customHeight="1" outlineLevel="3" x14ac:dyDescent="0.2">
      <c r="A4006" s="14" t="s">
        <v>7897</v>
      </c>
      <c r="B4006" s="15" t="s">
        <v>7898</v>
      </c>
      <c r="C4006" s="16">
        <f>75.85/(1+B2)</f>
        <v>75.849999999999994</v>
      </c>
      <c r="D4006" s="17" t="s">
        <v>14</v>
      </c>
      <c r="E4006" s="17"/>
      <c r="F4006" s="18"/>
      <c r="G4006" s="36" t="str">
        <f>IF(ISNUMBER(F4006),C4006*F4006,"")</f>
        <v/>
      </c>
    </row>
    <row r="4007" spans="1:7" ht="12" customHeight="1" outlineLevel="3" x14ac:dyDescent="0.2">
      <c r="A4007" s="14" t="s">
        <v>7899</v>
      </c>
      <c r="B4007" s="15" t="s">
        <v>7900</v>
      </c>
      <c r="C4007" s="16">
        <f>70.16/(1+B2)</f>
        <v>70.16</v>
      </c>
      <c r="D4007" s="17" t="s">
        <v>11</v>
      </c>
      <c r="E4007" s="17" t="s">
        <v>11</v>
      </c>
      <c r="F4007" s="18"/>
      <c r="G4007" s="36" t="str">
        <f>IF(ISNUMBER(F4007),C4007*F4007,"")</f>
        <v/>
      </c>
    </row>
    <row r="4008" spans="1:7" ht="12" customHeight="1" outlineLevel="3" x14ac:dyDescent="0.2">
      <c r="A4008" s="14" t="s">
        <v>7901</v>
      </c>
      <c r="B4008" s="15" t="s">
        <v>7902</v>
      </c>
      <c r="C4008" s="16">
        <f>71.98/(1+B2)</f>
        <v>71.98</v>
      </c>
      <c r="D4008" s="17" t="s">
        <v>53</v>
      </c>
      <c r="E4008" s="17"/>
      <c r="F4008" s="18"/>
      <c r="G4008" s="36" t="str">
        <f>IF(ISNUMBER(F4008),C4008*F4008,"")</f>
        <v/>
      </c>
    </row>
    <row r="4009" spans="1:7" ht="12" customHeight="1" outlineLevel="3" x14ac:dyDescent="0.2">
      <c r="A4009" s="14" t="s">
        <v>7903</v>
      </c>
      <c r="B4009" s="15" t="s">
        <v>7904</v>
      </c>
      <c r="C4009" s="16">
        <f>71.39/(1+B2)</f>
        <v>71.39</v>
      </c>
      <c r="D4009" s="17" t="s">
        <v>11</v>
      </c>
      <c r="E4009" s="17"/>
      <c r="F4009" s="18"/>
      <c r="G4009" s="36" t="str">
        <f>IF(ISNUMBER(F4009),C4009*F4009,"")</f>
        <v/>
      </c>
    </row>
    <row r="4010" spans="1:7" ht="12" customHeight="1" outlineLevel="3" x14ac:dyDescent="0.2">
      <c r="A4010" s="14" t="s">
        <v>7905</v>
      </c>
      <c r="B4010" s="15" t="s">
        <v>7906</v>
      </c>
      <c r="C4010" s="16">
        <f>86.11/(1+B2)</f>
        <v>86.11</v>
      </c>
      <c r="D4010" s="17" t="s">
        <v>11</v>
      </c>
      <c r="E4010" s="17" t="s">
        <v>14</v>
      </c>
      <c r="F4010" s="18"/>
      <c r="G4010" s="36" t="str">
        <f>IF(ISNUMBER(F4010),C4010*F4010,"")</f>
        <v/>
      </c>
    </row>
    <row r="4011" spans="1:7" ht="12" customHeight="1" outlineLevel="3" x14ac:dyDescent="0.2">
      <c r="A4011" s="14" t="s">
        <v>7907</v>
      </c>
      <c r="B4011" s="15" t="s">
        <v>7908</v>
      </c>
      <c r="C4011" s="16">
        <f>67.14/(1+B2)</f>
        <v>67.14</v>
      </c>
      <c r="D4011" s="17" t="s">
        <v>11</v>
      </c>
      <c r="E4011" s="17" t="s">
        <v>53</v>
      </c>
      <c r="F4011" s="18"/>
      <c r="G4011" s="36" t="str">
        <f>IF(ISNUMBER(F4011),C4011*F4011,"")</f>
        <v/>
      </c>
    </row>
    <row r="4012" spans="1:7" ht="12" customHeight="1" outlineLevel="3" x14ac:dyDescent="0.2">
      <c r="A4012" s="14" t="s">
        <v>7909</v>
      </c>
      <c r="B4012" s="15" t="s">
        <v>7910</v>
      </c>
      <c r="C4012" s="16">
        <f>114.88/(1+B2)</f>
        <v>114.88</v>
      </c>
      <c r="D4012" s="17" t="s">
        <v>11</v>
      </c>
      <c r="E4012" s="17" t="s">
        <v>11</v>
      </c>
      <c r="F4012" s="18"/>
      <c r="G4012" s="36" t="str">
        <f>IF(ISNUMBER(F4012),C4012*F4012,"")</f>
        <v/>
      </c>
    </row>
    <row r="4013" spans="1:7" ht="12" customHeight="1" outlineLevel="3" x14ac:dyDescent="0.2">
      <c r="A4013" s="14" t="s">
        <v>7911</v>
      </c>
      <c r="B4013" s="15" t="s">
        <v>7912</v>
      </c>
      <c r="C4013" s="16">
        <f>107.62/(1+B2)</f>
        <v>107.62</v>
      </c>
      <c r="D4013" s="17" t="s">
        <v>11</v>
      </c>
      <c r="E4013" s="17"/>
      <c r="F4013" s="18"/>
      <c r="G4013" s="36" t="str">
        <f>IF(ISNUMBER(F4013),C4013*F4013,"")</f>
        <v/>
      </c>
    </row>
    <row r="4014" spans="1:7" ht="12" customHeight="1" outlineLevel="3" x14ac:dyDescent="0.2">
      <c r="A4014" s="14" t="s">
        <v>7913</v>
      </c>
      <c r="B4014" s="15" t="s">
        <v>7914</v>
      </c>
      <c r="C4014" s="16">
        <f>47.64/(1+B2)</f>
        <v>47.64</v>
      </c>
      <c r="D4014" s="17" t="s">
        <v>11</v>
      </c>
      <c r="E4014" s="17" t="s">
        <v>14</v>
      </c>
      <c r="F4014" s="18"/>
      <c r="G4014" s="36" t="str">
        <f>IF(ISNUMBER(F4014),C4014*F4014,"")</f>
        <v/>
      </c>
    </row>
    <row r="4015" spans="1:7" ht="12" customHeight="1" outlineLevel="3" x14ac:dyDescent="0.2">
      <c r="A4015" s="14" t="s">
        <v>7915</v>
      </c>
      <c r="B4015" s="15" t="s">
        <v>7916</v>
      </c>
      <c r="C4015" s="16">
        <f>51.07/(1+B2)</f>
        <v>51.07</v>
      </c>
      <c r="D4015" s="17" t="s">
        <v>14</v>
      </c>
      <c r="E4015" s="17"/>
      <c r="F4015" s="18"/>
      <c r="G4015" s="36" t="str">
        <f>IF(ISNUMBER(F4015),C4015*F4015,"")</f>
        <v/>
      </c>
    </row>
    <row r="4016" spans="1:7" ht="12" customHeight="1" outlineLevel="3" x14ac:dyDescent="0.2">
      <c r="A4016" s="14" t="s">
        <v>7917</v>
      </c>
      <c r="B4016" s="15" t="s">
        <v>7918</v>
      </c>
      <c r="C4016" s="16">
        <f>58.27/(1+B2)</f>
        <v>58.27</v>
      </c>
      <c r="D4016" s="17" t="s">
        <v>14</v>
      </c>
      <c r="E4016" s="17"/>
      <c r="F4016" s="18"/>
      <c r="G4016" s="36" t="str">
        <f>IF(ISNUMBER(F4016),C4016*F4016,"")</f>
        <v/>
      </c>
    </row>
    <row r="4017" spans="1:7" ht="12" customHeight="1" outlineLevel="3" x14ac:dyDescent="0.2">
      <c r="A4017" s="14" t="s">
        <v>7919</v>
      </c>
      <c r="B4017" s="15" t="s">
        <v>7920</v>
      </c>
      <c r="C4017" s="16">
        <f>59.22/(1+B2)</f>
        <v>59.22</v>
      </c>
      <c r="D4017" s="17" t="s">
        <v>11</v>
      </c>
      <c r="E4017" s="17" t="s">
        <v>14</v>
      </c>
      <c r="F4017" s="18"/>
      <c r="G4017" s="36" t="str">
        <f>IF(ISNUMBER(F4017),C4017*F4017,"")</f>
        <v/>
      </c>
    </row>
    <row r="4018" spans="1:7" ht="12" customHeight="1" outlineLevel="3" x14ac:dyDescent="0.2">
      <c r="A4018" s="14" t="s">
        <v>7921</v>
      </c>
      <c r="B4018" s="15" t="s">
        <v>7922</v>
      </c>
      <c r="C4018" s="16">
        <f>137.52/(1+B2)</f>
        <v>137.52000000000001</v>
      </c>
      <c r="D4018" s="17" t="s">
        <v>11</v>
      </c>
      <c r="E4018" s="17"/>
      <c r="F4018" s="18"/>
      <c r="G4018" s="36" t="str">
        <f>IF(ISNUMBER(F4018),C4018*F4018,"")</f>
        <v/>
      </c>
    </row>
    <row r="4019" spans="1:7" ht="12" customHeight="1" outlineLevel="3" x14ac:dyDescent="0.2">
      <c r="A4019" s="14" t="s">
        <v>7923</v>
      </c>
      <c r="B4019" s="15" t="s">
        <v>7924</v>
      </c>
      <c r="C4019" s="16">
        <f>64.51/(1+B2)</f>
        <v>64.510000000000005</v>
      </c>
      <c r="D4019" s="17" t="s">
        <v>14</v>
      </c>
      <c r="E4019" s="17"/>
      <c r="F4019" s="18"/>
      <c r="G4019" s="36" t="str">
        <f>IF(ISNUMBER(F4019),C4019*F4019,"")</f>
        <v/>
      </c>
    </row>
    <row r="4020" spans="1:7" ht="12" customHeight="1" outlineLevel="3" x14ac:dyDescent="0.2">
      <c r="A4020" s="14" t="s">
        <v>7925</v>
      </c>
      <c r="B4020" s="15" t="s">
        <v>7926</v>
      </c>
      <c r="C4020" s="16">
        <f>118.39/(1+B2)</f>
        <v>118.39</v>
      </c>
      <c r="D4020" s="17" t="s">
        <v>11</v>
      </c>
      <c r="E4020" s="17"/>
      <c r="F4020" s="18"/>
      <c r="G4020" s="36" t="str">
        <f>IF(ISNUMBER(F4020),C4020*F4020,"")</f>
        <v/>
      </c>
    </row>
    <row r="4021" spans="1:7" ht="12" customHeight="1" outlineLevel="3" x14ac:dyDescent="0.2">
      <c r="A4021" s="14" t="s">
        <v>7927</v>
      </c>
      <c r="B4021" s="15" t="s">
        <v>7928</v>
      </c>
      <c r="C4021" s="16">
        <f>369.01/(1+B2)</f>
        <v>369.01</v>
      </c>
      <c r="D4021" s="17" t="s">
        <v>11</v>
      </c>
      <c r="E4021" s="17"/>
      <c r="F4021" s="18"/>
      <c r="G4021" s="36" t="str">
        <f>IF(ISNUMBER(F4021),C4021*F4021,"")</f>
        <v/>
      </c>
    </row>
    <row r="4022" spans="1:7" ht="12" customHeight="1" outlineLevel="3" x14ac:dyDescent="0.2">
      <c r="A4022" s="14" t="s">
        <v>7929</v>
      </c>
      <c r="B4022" s="15" t="s">
        <v>7930</v>
      </c>
      <c r="C4022" s="16">
        <f>389.02/(1+B2)</f>
        <v>389.02</v>
      </c>
      <c r="D4022" s="17" t="s">
        <v>11</v>
      </c>
      <c r="E4022" s="17"/>
      <c r="F4022" s="18"/>
      <c r="G4022" s="36" t="str">
        <f>IF(ISNUMBER(F4022),C4022*F4022,"")</f>
        <v/>
      </c>
    </row>
    <row r="4023" spans="1:7" ht="12" customHeight="1" outlineLevel="3" x14ac:dyDescent="0.2">
      <c r="A4023" s="14" t="s">
        <v>7931</v>
      </c>
      <c r="B4023" s="15" t="s">
        <v>7932</v>
      </c>
      <c r="C4023" s="16">
        <f>141.38/(1+B2)</f>
        <v>141.38</v>
      </c>
      <c r="D4023" s="17" t="s">
        <v>11</v>
      </c>
      <c r="E4023" s="17" t="s">
        <v>11</v>
      </c>
      <c r="F4023" s="18"/>
      <c r="G4023" s="36" t="str">
        <f>IF(ISNUMBER(F4023),C4023*F4023,"")</f>
        <v/>
      </c>
    </row>
    <row r="4024" spans="1:7" ht="12" customHeight="1" outlineLevel="3" x14ac:dyDescent="0.2">
      <c r="A4024" s="14" t="s">
        <v>7933</v>
      </c>
      <c r="B4024" s="15" t="s">
        <v>7934</v>
      </c>
      <c r="C4024" s="16">
        <f>277/(1+B2)</f>
        <v>277</v>
      </c>
      <c r="D4024" s="17" t="s">
        <v>11</v>
      </c>
      <c r="E4024" s="17"/>
      <c r="F4024" s="18"/>
      <c r="G4024" s="36" t="str">
        <f>IF(ISNUMBER(F4024),C4024*F4024,"")</f>
        <v/>
      </c>
    </row>
    <row r="4025" spans="1:7" ht="12" customHeight="1" outlineLevel="3" x14ac:dyDescent="0.2">
      <c r="A4025" s="14" t="s">
        <v>7935</v>
      </c>
      <c r="B4025" s="15" t="s">
        <v>7936</v>
      </c>
      <c r="C4025" s="16">
        <f>71.15/(1+B2)</f>
        <v>71.150000000000006</v>
      </c>
      <c r="D4025" s="17" t="s">
        <v>11</v>
      </c>
      <c r="E4025" s="17" t="s">
        <v>14</v>
      </c>
      <c r="F4025" s="18"/>
      <c r="G4025" s="36" t="str">
        <f>IF(ISNUMBER(F4025),C4025*F4025,"")</f>
        <v/>
      </c>
    </row>
    <row r="4026" spans="1:7" ht="12" customHeight="1" outlineLevel="3" x14ac:dyDescent="0.2">
      <c r="A4026" s="14" t="s">
        <v>7937</v>
      </c>
      <c r="B4026" s="15" t="s">
        <v>7938</v>
      </c>
      <c r="C4026" s="16">
        <f>67.64/(1+B2)</f>
        <v>67.64</v>
      </c>
      <c r="D4026" s="17" t="s">
        <v>11</v>
      </c>
      <c r="E4026" s="17" t="s">
        <v>11</v>
      </c>
      <c r="F4026" s="18"/>
      <c r="G4026" s="36" t="str">
        <f>IF(ISNUMBER(F4026),C4026*F4026,"")</f>
        <v/>
      </c>
    </row>
    <row r="4027" spans="1:7" ht="12" customHeight="1" outlineLevel="3" x14ac:dyDescent="0.2">
      <c r="A4027" s="14" t="s">
        <v>7939</v>
      </c>
      <c r="B4027" s="15" t="s">
        <v>7940</v>
      </c>
      <c r="C4027" s="16">
        <f>63.36/(1+B2)</f>
        <v>63.36</v>
      </c>
      <c r="D4027" s="17" t="s">
        <v>11</v>
      </c>
      <c r="E4027" s="17" t="s">
        <v>11</v>
      </c>
      <c r="F4027" s="18"/>
      <c r="G4027" s="36" t="str">
        <f>IF(ISNUMBER(F4027),C4027*F4027,"")</f>
        <v/>
      </c>
    </row>
    <row r="4028" spans="1:7" ht="12" customHeight="1" outlineLevel="3" x14ac:dyDescent="0.2">
      <c r="A4028" s="14" t="s">
        <v>7941</v>
      </c>
      <c r="B4028" s="15" t="s">
        <v>7942</v>
      </c>
      <c r="C4028" s="16">
        <f>66.73/(1+B2)</f>
        <v>66.73</v>
      </c>
      <c r="D4028" s="17" t="s">
        <v>11</v>
      </c>
      <c r="E4028" s="17" t="s">
        <v>14</v>
      </c>
      <c r="F4028" s="18"/>
      <c r="G4028" s="36" t="str">
        <f>IF(ISNUMBER(F4028),C4028*F4028,"")</f>
        <v/>
      </c>
    </row>
    <row r="4029" spans="1:7" ht="12" customHeight="1" outlineLevel="3" x14ac:dyDescent="0.2">
      <c r="A4029" s="14" t="s">
        <v>7943</v>
      </c>
      <c r="B4029" s="15" t="s">
        <v>7944</v>
      </c>
      <c r="C4029" s="16">
        <f>60.05/(1+B2)</f>
        <v>60.05</v>
      </c>
      <c r="D4029" s="17" t="s">
        <v>11</v>
      </c>
      <c r="E4029" s="17"/>
      <c r="F4029" s="18"/>
      <c r="G4029" s="36" t="str">
        <f>IF(ISNUMBER(F4029),C4029*F4029,"")</f>
        <v/>
      </c>
    </row>
    <row r="4030" spans="1:7" ht="12" customHeight="1" outlineLevel="3" x14ac:dyDescent="0.2">
      <c r="A4030" s="14" t="s">
        <v>7945</v>
      </c>
      <c r="B4030" s="15" t="s">
        <v>7946</v>
      </c>
      <c r="C4030" s="16">
        <f>68.78/(1+B2)</f>
        <v>68.78</v>
      </c>
      <c r="D4030" s="17" t="s">
        <v>14</v>
      </c>
      <c r="E4030" s="17" t="s">
        <v>11</v>
      </c>
      <c r="F4030" s="18"/>
      <c r="G4030" s="36" t="str">
        <f>IF(ISNUMBER(F4030),C4030*F4030,"")</f>
        <v/>
      </c>
    </row>
    <row r="4031" spans="1:7" ht="12" customHeight="1" outlineLevel="3" x14ac:dyDescent="0.2">
      <c r="A4031" s="14" t="s">
        <v>7947</v>
      </c>
      <c r="B4031" s="15" t="s">
        <v>7948</v>
      </c>
      <c r="C4031" s="16">
        <f>57.91/(1+B2)</f>
        <v>57.91</v>
      </c>
      <c r="D4031" s="17" t="s">
        <v>11</v>
      </c>
      <c r="E4031" s="17"/>
      <c r="F4031" s="18"/>
      <c r="G4031" s="36" t="str">
        <f>IF(ISNUMBER(F4031),C4031*F4031,"")</f>
        <v/>
      </c>
    </row>
    <row r="4032" spans="1:7" s="1" customFormat="1" ht="12.95" customHeight="1" outlineLevel="2" x14ac:dyDescent="0.2">
      <c r="A4032" s="20"/>
      <c r="B4032" s="21" t="s">
        <v>7949</v>
      </c>
      <c r="C4032" s="22"/>
      <c r="D4032" s="22"/>
      <c r="E4032" s="22"/>
      <c r="F4032" s="22"/>
      <c r="G4032" s="37"/>
    </row>
    <row r="4033" spans="1:7" ht="12" customHeight="1" outlineLevel="3" x14ac:dyDescent="0.2">
      <c r="A4033" s="14" t="s">
        <v>7950</v>
      </c>
      <c r="B4033" s="15" t="s">
        <v>7951</v>
      </c>
      <c r="C4033" s="16">
        <f>371.05/(1+B2)</f>
        <v>371.05</v>
      </c>
      <c r="D4033" s="17" t="s">
        <v>11</v>
      </c>
      <c r="E4033" s="17"/>
      <c r="F4033" s="18"/>
      <c r="G4033" s="36" t="str">
        <f>IF(ISNUMBER(F4033),C4033*F4033,"")</f>
        <v/>
      </c>
    </row>
    <row r="4034" spans="1:7" ht="24" customHeight="1" outlineLevel="3" x14ac:dyDescent="0.2">
      <c r="A4034" s="14" t="s">
        <v>7952</v>
      </c>
      <c r="B4034" s="15" t="s">
        <v>7953</v>
      </c>
      <c r="C4034" s="19">
        <f>1078.55/(1+B2)</f>
        <v>1078.55</v>
      </c>
      <c r="D4034" s="17" t="s">
        <v>11</v>
      </c>
      <c r="E4034" s="17"/>
      <c r="F4034" s="18"/>
      <c r="G4034" s="36" t="str">
        <f>IF(ISNUMBER(F4034),C4034*F4034,"")</f>
        <v/>
      </c>
    </row>
    <row r="4035" spans="1:7" ht="24" customHeight="1" outlineLevel="3" x14ac:dyDescent="0.2">
      <c r="A4035" s="14" t="s">
        <v>7954</v>
      </c>
      <c r="B4035" s="15" t="s">
        <v>7955</v>
      </c>
      <c r="C4035" s="16">
        <f>485.41/(1+B2)</f>
        <v>485.41</v>
      </c>
      <c r="D4035" s="17" t="s">
        <v>11</v>
      </c>
      <c r="E4035" s="17"/>
      <c r="F4035" s="18"/>
      <c r="G4035" s="36" t="str">
        <f>IF(ISNUMBER(F4035),C4035*F4035,"")</f>
        <v/>
      </c>
    </row>
    <row r="4036" spans="1:7" ht="24" customHeight="1" outlineLevel="3" x14ac:dyDescent="0.2">
      <c r="A4036" s="14" t="s">
        <v>7956</v>
      </c>
      <c r="B4036" s="15" t="s">
        <v>7957</v>
      </c>
      <c r="C4036" s="16">
        <f>641.77/(1+B2)</f>
        <v>641.77</v>
      </c>
      <c r="D4036" s="17" t="s">
        <v>11</v>
      </c>
      <c r="E4036" s="17"/>
      <c r="F4036" s="18"/>
      <c r="G4036" s="36" t="str">
        <f>IF(ISNUMBER(F4036),C4036*F4036,"")</f>
        <v/>
      </c>
    </row>
    <row r="4037" spans="1:7" ht="24" customHeight="1" outlineLevel="3" x14ac:dyDescent="0.2">
      <c r="A4037" s="14" t="s">
        <v>7958</v>
      </c>
      <c r="B4037" s="15" t="s">
        <v>7959</v>
      </c>
      <c r="C4037" s="16">
        <f>765.98/(1+B2)</f>
        <v>765.98</v>
      </c>
      <c r="D4037" s="17" t="s">
        <v>11</v>
      </c>
      <c r="E4037" s="17"/>
      <c r="F4037" s="18"/>
      <c r="G4037" s="36" t="str">
        <f>IF(ISNUMBER(F4037),C4037*F4037,"")</f>
        <v/>
      </c>
    </row>
    <row r="4038" spans="1:7" ht="24" customHeight="1" outlineLevel="3" x14ac:dyDescent="0.2">
      <c r="A4038" s="14" t="s">
        <v>7960</v>
      </c>
      <c r="B4038" s="15" t="s">
        <v>7961</v>
      </c>
      <c r="C4038" s="16">
        <f>607.2/(1+B2)</f>
        <v>607.20000000000005</v>
      </c>
      <c r="D4038" s="17" t="s">
        <v>11</v>
      </c>
      <c r="E4038" s="17"/>
      <c r="F4038" s="18"/>
      <c r="G4038" s="36" t="str">
        <f>IF(ISNUMBER(F4038),C4038*F4038,"")</f>
        <v/>
      </c>
    </row>
    <row r="4039" spans="1:7" ht="24" customHeight="1" outlineLevel="3" x14ac:dyDescent="0.2">
      <c r="A4039" s="14" t="s">
        <v>7962</v>
      </c>
      <c r="B4039" s="15" t="s">
        <v>7963</v>
      </c>
      <c r="C4039" s="16">
        <f>410.51/(1+B2)</f>
        <v>410.51</v>
      </c>
      <c r="D4039" s="17" t="s">
        <v>11</v>
      </c>
      <c r="E4039" s="17"/>
      <c r="F4039" s="18"/>
      <c r="G4039" s="36" t="str">
        <f>IF(ISNUMBER(F4039),C4039*F4039,"")</f>
        <v/>
      </c>
    </row>
    <row r="4040" spans="1:7" ht="24" customHeight="1" outlineLevel="3" x14ac:dyDescent="0.2">
      <c r="A4040" s="14" t="s">
        <v>7964</v>
      </c>
      <c r="B4040" s="15" t="s">
        <v>7965</v>
      </c>
      <c r="C4040" s="16">
        <f>656.86/(1+B2)</f>
        <v>656.86</v>
      </c>
      <c r="D4040" s="17" t="s">
        <v>11</v>
      </c>
      <c r="E4040" s="17"/>
      <c r="F4040" s="18"/>
      <c r="G4040" s="36" t="str">
        <f>IF(ISNUMBER(F4040),C4040*F4040,"")</f>
        <v/>
      </c>
    </row>
    <row r="4041" spans="1:7" ht="24" customHeight="1" outlineLevel="3" x14ac:dyDescent="0.2">
      <c r="A4041" s="14" t="s">
        <v>7966</v>
      </c>
      <c r="B4041" s="15" t="s">
        <v>7967</v>
      </c>
      <c r="C4041" s="16">
        <f>460.25/(1+B2)</f>
        <v>460.25</v>
      </c>
      <c r="D4041" s="17" t="s">
        <v>11</v>
      </c>
      <c r="E4041" s="17"/>
      <c r="F4041" s="18"/>
      <c r="G4041" s="36" t="str">
        <f>IF(ISNUMBER(F4041),C4041*F4041,"")</f>
        <v/>
      </c>
    </row>
    <row r="4042" spans="1:7" ht="24" customHeight="1" outlineLevel="3" x14ac:dyDescent="0.2">
      <c r="A4042" s="14" t="s">
        <v>7968</v>
      </c>
      <c r="B4042" s="15" t="s">
        <v>7969</v>
      </c>
      <c r="C4042" s="16">
        <f>577.56/(1+B2)</f>
        <v>577.55999999999995</v>
      </c>
      <c r="D4042" s="17" t="s">
        <v>11</v>
      </c>
      <c r="E4042" s="17" t="s">
        <v>11</v>
      </c>
      <c r="F4042" s="18"/>
      <c r="G4042" s="36" t="str">
        <f>IF(ISNUMBER(F4042),C4042*F4042,"")</f>
        <v/>
      </c>
    </row>
    <row r="4043" spans="1:7" ht="24" customHeight="1" outlineLevel="3" x14ac:dyDescent="0.2">
      <c r="A4043" s="14" t="s">
        <v>7970</v>
      </c>
      <c r="B4043" s="15" t="s">
        <v>7971</v>
      </c>
      <c r="C4043" s="16">
        <f>519/(1+B2)</f>
        <v>519</v>
      </c>
      <c r="D4043" s="17" t="s">
        <v>11</v>
      </c>
      <c r="E4043" s="17"/>
      <c r="F4043" s="18"/>
      <c r="G4043" s="36" t="str">
        <f>IF(ISNUMBER(F4043),C4043*F4043,"")</f>
        <v/>
      </c>
    </row>
    <row r="4044" spans="1:7" ht="24" customHeight="1" outlineLevel="3" x14ac:dyDescent="0.2">
      <c r="A4044" s="14" t="s">
        <v>7972</v>
      </c>
      <c r="B4044" s="15" t="s">
        <v>7973</v>
      </c>
      <c r="C4044" s="16">
        <f>549.56/(1+B2)</f>
        <v>549.55999999999995</v>
      </c>
      <c r="D4044" s="17" t="s">
        <v>11</v>
      </c>
      <c r="E4044" s="17"/>
      <c r="F4044" s="18"/>
      <c r="G4044" s="36" t="str">
        <f>IF(ISNUMBER(F4044),C4044*F4044,"")</f>
        <v/>
      </c>
    </row>
    <row r="4045" spans="1:7" ht="12" customHeight="1" outlineLevel="3" x14ac:dyDescent="0.2">
      <c r="A4045" s="14" t="s">
        <v>7974</v>
      </c>
      <c r="B4045" s="15" t="s">
        <v>7975</v>
      </c>
      <c r="C4045" s="16">
        <f>638.04/(1+B2)</f>
        <v>638.04</v>
      </c>
      <c r="D4045" s="17" t="s">
        <v>11</v>
      </c>
      <c r="E4045" s="17" t="s">
        <v>11</v>
      </c>
      <c r="F4045" s="18"/>
      <c r="G4045" s="36" t="str">
        <f>IF(ISNUMBER(F4045),C4045*F4045,"")</f>
        <v/>
      </c>
    </row>
    <row r="4046" spans="1:7" ht="12" customHeight="1" outlineLevel="3" x14ac:dyDescent="0.2">
      <c r="A4046" s="14" t="s">
        <v>7976</v>
      </c>
      <c r="B4046" s="15" t="s">
        <v>7977</v>
      </c>
      <c r="C4046" s="16">
        <f>419.9/(1+B2)</f>
        <v>419.9</v>
      </c>
      <c r="D4046" s="17" t="s">
        <v>11</v>
      </c>
      <c r="E4046" s="17"/>
      <c r="F4046" s="18"/>
      <c r="G4046" s="36" t="str">
        <f>IF(ISNUMBER(F4046),C4046*F4046,"")</f>
        <v/>
      </c>
    </row>
    <row r="4047" spans="1:7" ht="12" customHeight="1" outlineLevel="3" x14ac:dyDescent="0.2">
      <c r="A4047" s="14" t="s">
        <v>7978</v>
      </c>
      <c r="B4047" s="15" t="s">
        <v>7979</v>
      </c>
      <c r="C4047" s="16">
        <f>290/(1+B2)</f>
        <v>290</v>
      </c>
      <c r="D4047" s="17" t="s">
        <v>11</v>
      </c>
      <c r="E4047" s="17" t="s">
        <v>11</v>
      </c>
      <c r="F4047" s="18"/>
      <c r="G4047" s="36" t="str">
        <f>IF(ISNUMBER(F4047),C4047*F4047,"")</f>
        <v/>
      </c>
    </row>
    <row r="4048" spans="1:7" ht="12" customHeight="1" outlineLevel="3" x14ac:dyDescent="0.2">
      <c r="A4048" s="14" t="s">
        <v>7980</v>
      </c>
      <c r="B4048" s="15" t="s">
        <v>7981</v>
      </c>
      <c r="C4048" s="16">
        <f>602.57/(1+B2)</f>
        <v>602.57000000000005</v>
      </c>
      <c r="D4048" s="17" t="s">
        <v>11</v>
      </c>
      <c r="E4048" s="17" t="s">
        <v>11</v>
      </c>
      <c r="F4048" s="18"/>
      <c r="G4048" s="36" t="str">
        <f>IF(ISNUMBER(F4048),C4048*F4048,"")</f>
        <v/>
      </c>
    </row>
    <row r="4049" spans="1:7" ht="12" customHeight="1" outlineLevel="3" x14ac:dyDescent="0.2">
      <c r="A4049" s="14" t="s">
        <v>7982</v>
      </c>
      <c r="B4049" s="15" t="s">
        <v>7983</v>
      </c>
      <c r="C4049" s="16">
        <f>200.32/(1+B2)</f>
        <v>200.32</v>
      </c>
      <c r="D4049" s="17" t="s">
        <v>11</v>
      </c>
      <c r="E4049" s="17"/>
      <c r="F4049" s="18"/>
      <c r="G4049" s="36" t="str">
        <f>IF(ISNUMBER(F4049),C4049*F4049,"")</f>
        <v/>
      </c>
    </row>
    <row r="4050" spans="1:7" ht="12" customHeight="1" outlineLevel="3" x14ac:dyDescent="0.2">
      <c r="A4050" s="14" t="s">
        <v>7984</v>
      </c>
      <c r="B4050" s="15" t="s">
        <v>7985</v>
      </c>
      <c r="C4050" s="16">
        <f>250.55/(1+B2)</f>
        <v>250.55</v>
      </c>
      <c r="D4050" s="17" t="s">
        <v>11</v>
      </c>
      <c r="E4050" s="17"/>
      <c r="F4050" s="18"/>
      <c r="G4050" s="36" t="str">
        <f>IF(ISNUMBER(F4050),C4050*F4050,"")</f>
        <v/>
      </c>
    </row>
    <row r="4051" spans="1:7" ht="12" customHeight="1" outlineLevel="3" x14ac:dyDescent="0.2">
      <c r="A4051" s="14" t="s">
        <v>7986</v>
      </c>
      <c r="B4051" s="15" t="s">
        <v>7987</v>
      </c>
      <c r="C4051" s="16">
        <f>474.41/(1+B2)</f>
        <v>474.41</v>
      </c>
      <c r="D4051" s="17" t="s">
        <v>11</v>
      </c>
      <c r="E4051" s="17"/>
      <c r="F4051" s="18"/>
      <c r="G4051" s="36" t="str">
        <f>IF(ISNUMBER(F4051),C4051*F4051,"")</f>
        <v/>
      </c>
    </row>
    <row r="4052" spans="1:7" ht="12" customHeight="1" outlineLevel="3" x14ac:dyDescent="0.2">
      <c r="A4052" s="14" t="s">
        <v>7988</v>
      </c>
      <c r="B4052" s="15" t="s">
        <v>7989</v>
      </c>
      <c r="C4052" s="16">
        <f>564.66/(1+B2)</f>
        <v>564.66</v>
      </c>
      <c r="D4052" s="17" t="s">
        <v>11</v>
      </c>
      <c r="E4052" s="17" t="s">
        <v>11</v>
      </c>
      <c r="F4052" s="18"/>
      <c r="G4052" s="36" t="str">
        <f>IF(ISNUMBER(F4052),C4052*F4052,"")</f>
        <v/>
      </c>
    </row>
    <row r="4053" spans="1:7" ht="12" customHeight="1" outlineLevel="3" x14ac:dyDescent="0.2">
      <c r="A4053" s="14" t="s">
        <v>7990</v>
      </c>
      <c r="B4053" s="15" t="s">
        <v>7991</v>
      </c>
      <c r="C4053" s="16">
        <f>444.04/(1+B2)</f>
        <v>444.04</v>
      </c>
      <c r="D4053" s="17" t="s">
        <v>11</v>
      </c>
      <c r="E4053" s="17"/>
      <c r="F4053" s="18"/>
      <c r="G4053" s="36" t="str">
        <f>IF(ISNUMBER(F4053),C4053*F4053,"")</f>
        <v/>
      </c>
    </row>
    <row r="4054" spans="1:7" ht="12" customHeight="1" outlineLevel="3" x14ac:dyDescent="0.2">
      <c r="A4054" s="14" t="s">
        <v>7992</v>
      </c>
      <c r="B4054" s="15" t="s">
        <v>7993</v>
      </c>
      <c r="C4054" s="16">
        <f>492.97/(1+B2)</f>
        <v>492.97</v>
      </c>
      <c r="D4054" s="17" t="s">
        <v>11</v>
      </c>
      <c r="E4054" s="17" t="s">
        <v>11</v>
      </c>
      <c r="F4054" s="18"/>
      <c r="G4054" s="36" t="str">
        <f>IF(ISNUMBER(F4054),C4054*F4054,"")</f>
        <v/>
      </c>
    </row>
    <row r="4055" spans="1:7" ht="12" customHeight="1" outlineLevel="3" x14ac:dyDescent="0.2">
      <c r="A4055" s="14" t="s">
        <v>7994</v>
      </c>
      <c r="B4055" s="15" t="s">
        <v>7995</v>
      </c>
      <c r="C4055" s="16">
        <f>628.12/(1+B2)</f>
        <v>628.12</v>
      </c>
      <c r="D4055" s="17" t="s">
        <v>11</v>
      </c>
      <c r="E4055" s="17"/>
      <c r="F4055" s="18"/>
      <c r="G4055" s="36" t="str">
        <f>IF(ISNUMBER(F4055),C4055*F4055,"")</f>
        <v/>
      </c>
    </row>
    <row r="4056" spans="1:7" ht="12" customHeight="1" outlineLevel="3" x14ac:dyDescent="0.2">
      <c r="A4056" s="14" t="s">
        <v>7996</v>
      </c>
      <c r="B4056" s="15" t="s">
        <v>7997</v>
      </c>
      <c r="C4056" s="16">
        <f>409.42/(1+B2)</f>
        <v>409.42</v>
      </c>
      <c r="D4056" s="17" t="s">
        <v>11</v>
      </c>
      <c r="E4056" s="17"/>
      <c r="F4056" s="18"/>
      <c r="G4056" s="36" t="str">
        <f>IF(ISNUMBER(F4056),C4056*F4056,"")</f>
        <v/>
      </c>
    </row>
    <row r="4057" spans="1:7" ht="12" customHeight="1" outlineLevel="3" x14ac:dyDescent="0.2">
      <c r="A4057" s="14" t="s">
        <v>7998</v>
      </c>
      <c r="B4057" s="15" t="s">
        <v>7999</v>
      </c>
      <c r="C4057" s="16">
        <f>409.42/(1+B2)</f>
        <v>409.42</v>
      </c>
      <c r="D4057" s="17" t="s">
        <v>11</v>
      </c>
      <c r="E4057" s="17" t="s">
        <v>11</v>
      </c>
      <c r="F4057" s="18"/>
      <c r="G4057" s="36" t="str">
        <f>IF(ISNUMBER(F4057),C4057*F4057,"")</f>
        <v/>
      </c>
    </row>
    <row r="4058" spans="1:7" ht="24" customHeight="1" outlineLevel="3" x14ac:dyDescent="0.2">
      <c r="A4058" s="14" t="s">
        <v>8000</v>
      </c>
      <c r="B4058" s="15" t="s">
        <v>8001</v>
      </c>
      <c r="C4058" s="16">
        <f>323.5/(1+B2)</f>
        <v>323.5</v>
      </c>
      <c r="D4058" s="17" t="s">
        <v>11</v>
      </c>
      <c r="E4058" s="17"/>
      <c r="F4058" s="18"/>
      <c r="G4058" s="36" t="str">
        <f>IF(ISNUMBER(F4058),C4058*F4058,"")</f>
        <v/>
      </c>
    </row>
    <row r="4059" spans="1:7" ht="12" customHeight="1" outlineLevel="3" x14ac:dyDescent="0.2">
      <c r="A4059" s="14" t="s">
        <v>8002</v>
      </c>
      <c r="B4059" s="15" t="s">
        <v>8003</v>
      </c>
      <c r="C4059" s="16">
        <f>667.81/(1+B2)</f>
        <v>667.81</v>
      </c>
      <c r="D4059" s="17" t="s">
        <v>11</v>
      </c>
      <c r="E4059" s="17"/>
      <c r="F4059" s="18"/>
      <c r="G4059" s="36" t="str">
        <f>IF(ISNUMBER(F4059),C4059*F4059,"")</f>
        <v/>
      </c>
    </row>
    <row r="4060" spans="1:7" ht="24" customHeight="1" outlineLevel="3" x14ac:dyDescent="0.2">
      <c r="A4060" s="14" t="s">
        <v>8004</v>
      </c>
      <c r="B4060" s="15" t="s">
        <v>8005</v>
      </c>
      <c r="C4060" s="16">
        <f>788.12/(1+B2)</f>
        <v>788.12</v>
      </c>
      <c r="D4060" s="17" t="s">
        <v>11</v>
      </c>
      <c r="E4060" s="17" t="s">
        <v>14</v>
      </c>
      <c r="F4060" s="18"/>
      <c r="G4060" s="36" t="str">
        <f>IF(ISNUMBER(F4060),C4060*F4060,"")</f>
        <v/>
      </c>
    </row>
    <row r="4061" spans="1:7" ht="24" customHeight="1" outlineLevel="3" x14ac:dyDescent="0.2">
      <c r="A4061" s="14" t="s">
        <v>8006</v>
      </c>
      <c r="B4061" s="15" t="s">
        <v>8007</v>
      </c>
      <c r="C4061" s="16">
        <f>406.79/(1+B2)</f>
        <v>406.79</v>
      </c>
      <c r="D4061" s="17" t="s">
        <v>11</v>
      </c>
      <c r="E4061" s="17"/>
      <c r="F4061" s="18"/>
      <c r="G4061" s="36" t="str">
        <f>IF(ISNUMBER(F4061),C4061*F4061,"")</f>
        <v/>
      </c>
    </row>
    <row r="4062" spans="1:7" ht="12" customHeight="1" outlineLevel="3" x14ac:dyDescent="0.2">
      <c r="A4062" s="14" t="s">
        <v>8008</v>
      </c>
      <c r="B4062" s="15" t="s">
        <v>8009</v>
      </c>
      <c r="C4062" s="16">
        <f>722.64/(1+B2)</f>
        <v>722.64</v>
      </c>
      <c r="D4062" s="17" t="s">
        <v>11</v>
      </c>
      <c r="E4062" s="17"/>
      <c r="F4062" s="18"/>
      <c r="G4062" s="36" t="str">
        <f>IF(ISNUMBER(F4062),C4062*F4062,"")</f>
        <v/>
      </c>
    </row>
    <row r="4063" spans="1:7" ht="12" customHeight="1" outlineLevel="3" x14ac:dyDescent="0.2">
      <c r="A4063" s="14" t="s">
        <v>8010</v>
      </c>
      <c r="B4063" s="15" t="s">
        <v>8011</v>
      </c>
      <c r="C4063" s="16">
        <f>650.54/(1+B2)</f>
        <v>650.54</v>
      </c>
      <c r="D4063" s="17" t="s">
        <v>11</v>
      </c>
      <c r="E4063" s="17"/>
      <c r="F4063" s="18"/>
      <c r="G4063" s="36" t="str">
        <f>IF(ISNUMBER(F4063),C4063*F4063,"")</f>
        <v/>
      </c>
    </row>
    <row r="4064" spans="1:7" ht="12" customHeight="1" outlineLevel="3" x14ac:dyDescent="0.2">
      <c r="A4064" s="14" t="s">
        <v>8012</v>
      </c>
      <c r="B4064" s="15" t="s">
        <v>8013</v>
      </c>
      <c r="C4064" s="16">
        <f>845.69/(1+B2)</f>
        <v>845.69</v>
      </c>
      <c r="D4064" s="17" t="s">
        <v>11</v>
      </c>
      <c r="E4064" s="17" t="s">
        <v>11</v>
      </c>
      <c r="F4064" s="18"/>
      <c r="G4064" s="36" t="str">
        <f>IF(ISNUMBER(F4064),C4064*F4064,"")</f>
        <v/>
      </c>
    </row>
    <row r="4065" spans="1:7" ht="12" customHeight="1" outlineLevel="3" x14ac:dyDescent="0.2">
      <c r="A4065" s="14" t="s">
        <v>8014</v>
      </c>
      <c r="B4065" s="15" t="s">
        <v>8015</v>
      </c>
      <c r="C4065" s="16">
        <f>404.59/(1+B2)</f>
        <v>404.59</v>
      </c>
      <c r="D4065" s="17" t="s">
        <v>11</v>
      </c>
      <c r="E4065" s="17" t="s">
        <v>11</v>
      </c>
      <c r="F4065" s="18"/>
      <c r="G4065" s="36" t="str">
        <f>IF(ISNUMBER(F4065),C4065*F4065,"")</f>
        <v/>
      </c>
    </row>
    <row r="4066" spans="1:7" ht="24" customHeight="1" outlineLevel="3" x14ac:dyDescent="0.2">
      <c r="A4066" s="14" t="s">
        <v>8016</v>
      </c>
      <c r="B4066" s="15" t="s">
        <v>8017</v>
      </c>
      <c r="C4066" s="16">
        <f>156.43/(1+B2)</f>
        <v>156.43</v>
      </c>
      <c r="D4066" s="17" t="s">
        <v>11</v>
      </c>
      <c r="E4066" s="17"/>
      <c r="F4066" s="18"/>
      <c r="G4066" s="36" t="str">
        <f>IF(ISNUMBER(F4066),C4066*F4066,"")</f>
        <v/>
      </c>
    </row>
    <row r="4067" spans="1:7" ht="12" customHeight="1" outlineLevel="3" x14ac:dyDescent="0.2">
      <c r="A4067" s="14" t="s">
        <v>8018</v>
      </c>
      <c r="B4067" s="15" t="s">
        <v>8019</v>
      </c>
      <c r="C4067" s="16">
        <f>423.85/(1+B2)</f>
        <v>423.85</v>
      </c>
      <c r="D4067" s="17" t="s">
        <v>11</v>
      </c>
      <c r="E4067" s="17"/>
      <c r="F4067" s="18"/>
      <c r="G4067" s="36" t="str">
        <f>IF(ISNUMBER(F4067),C4067*F4067,"")</f>
        <v/>
      </c>
    </row>
    <row r="4068" spans="1:7" ht="12" customHeight="1" outlineLevel="3" x14ac:dyDescent="0.2">
      <c r="A4068" s="14" t="s">
        <v>8020</v>
      </c>
      <c r="B4068" s="15" t="s">
        <v>8021</v>
      </c>
      <c r="C4068" s="16">
        <f>591.73/(1+B2)</f>
        <v>591.73</v>
      </c>
      <c r="D4068" s="17" t="s">
        <v>11</v>
      </c>
      <c r="E4068" s="17"/>
      <c r="F4068" s="18"/>
      <c r="G4068" s="36" t="str">
        <f>IF(ISNUMBER(F4068),C4068*F4068,"")</f>
        <v/>
      </c>
    </row>
    <row r="4069" spans="1:7" ht="12" customHeight="1" outlineLevel="3" x14ac:dyDescent="0.2">
      <c r="A4069" s="14" t="s">
        <v>8022</v>
      </c>
      <c r="B4069" s="15" t="s">
        <v>8023</v>
      </c>
      <c r="C4069" s="16">
        <f>186.4/(1+B2)</f>
        <v>186.4</v>
      </c>
      <c r="D4069" s="17" t="s">
        <v>11</v>
      </c>
      <c r="E4069" s="17"/>
      <c r="F4069" s="18"/>
      <c r="G4069" s="36" t="str">
        <f>IF(ISNUMBER(F4069),C4069*F4069,"")</f>
        <v/>
      </c>
    </row>
    <row r="4070" spans="1:7" ht="24" customHeight="1" outlineLevel="3" x14ac:dyDescent="0.2">
      <c r="A4070" s="14" t="s">
        <v>8024</v>
      </c>
      <c r="B4070" s="15" t="s">
        <v>8025</v>
      </c>
      <c r="C4070" s="16">
        <f>281.44/(1+B2)</f>
        <v>281.44</v>
      </c>
      <c r="D4070" s="17" t="s">
        <v>11</v>
      </c>
      <c r="E4070" s="17"/>
      <c r="F4070" s="18"/>
      <c r="G4070" s="36" t="str">
        <f>IF(ISNUMBER(F4070),C4070*F4070,"")</f>
        <v/>
      </c>
    </row>
    <row r="4071" spans="1:7" ht="24" customHeight="1" outlineLevel="3" x14ac:dyDescent="0.2">
      <c r="A4071" s="14" t="s">
        <v>8026</v>
      </c>
      <c r="B4071" s="15" t="s">
        <v>8027</v>
      </c>
      <c r="C4071" s="16">
        <f>282.77/(1+B2)</f>
        <v>282.77</v>
      </c>
      <c r="D4071" s="17" t="s">
        <v>11</v>
      </c>
      <c r="E4071" s="17" t="s">
        <v>11</v>
      </c>
      <c r="F4071" s="18"/>
      <c r="G4071" s="36" t="str">
        <f>IF(ISNUMBER(F4071),C4071*F4071,"")</f>
        <v/>
      </c>
    </row>
    <row r="4072" spans="1:7" ht="24" customHeight="1" outlineLevel="3" x14ac:dyDescent="0.2">
      <c r="A4072" s="14" t="s">
        <v>8028</v>
      </c>
      <c r="B4072" s="15" t="s">
        <v>8029</v>
      </c>
      <c r="C4072" s="16">
        <f>220.56/(1+B2)</f>
        <v>220.56</v>
      </c>
      <c r="D4072" s="17" t="s">
        <v>11</v>
      </c>
      <c r="E4072" s="17"/>
      <c r="F4072" s="18"/>
      <c r="G4072" s="36" t="str">
        <f>IF(ISNUMBER(F4072),C4072*F4072,"")</f>
        <v/>
      </c>
    </row>
    <row r="4073" spans="1:7" ht="24" customHeight="1" outlineLevel="3" x14ac:dyDescent="0.2">
      <c r="A4073" s="14" t="s">
        <v>8030</v>
      </c>
      <c r="B4073" s="15" t="s">
        <v>8031</v>
      </c>
      <c r="C4073" s="16">
        <f>183.48/(1+B2)</f>
        <v>183.48</v>
      </c>
      <c r="D4073" s="17" t="s">
        <v>11</v>
      </c>
      <c r="E4073" s="17" t="s">
        <v>11</v>
      </c>
      <c r="F4073" s="18"/>
      <c r="G4073" s="36" t="str">
        <f>IF(ISNUMBER(F4073),C4073*F4073,"")</f>
        <v/>
      </c>
    </row>
    <row r="4074" spans="1:7" ht="12" customHeight="1" outlineLevel="3" x14ac:dyDescent="0.2">
      <c r="A4074" s="14" t="s">
        <v>8032</v>
      </c>
      <c r="B4074" s="15" t="s">
        <v>8033</v>
      </c>
      <c r="C4074" s="16">
        <f>730.91/(1+B2)</f>
        <v>730.91</v>
      </c>
      <c r="D4074" s="17" t="s">
        <v>11</v>
      </c>
      <c r="E4074" s="17"/>
      <c r="F4074" s="18"/>
      <c r="G4074" s="36" t="str">
        <f>IF(ISNUMBER(F4074),C4074*F4074,"")</f>
        <v/>
      </c>
    </row>
    <row r="4075" spans="1:7" ht="12" customHeight="1" outlineLevel="3" x14ac:dyDescent="0.2">
      <c r="A4075" s="14" t="s">
        <v>8034</v>
      </c>
      <c r="B4075" s="15" t="s">
        <v>8035</v>
      </c>
      <c r="C4075" s="16">
        <f>878.74/(1+B2)</f>
        <v>878.74</v>
      </c>
      <c r="D4075" s="17" t="s">
        <v>11</v>
      </c>
      <c r="E4075" s="17"/>
      <c r="F4075" s="18"/>
      <c r="G4075" s="36" t="str">
        <f>IF(ISNUMBER(F4075),C4075*F4075,"")</f>
        <v/>
      </c>
    </row>
    <row r="4076" spans="1:7" ht="12" customHeight="1" outlineLevel="3" x14ac:dyDescent="0.2">
      <c r="A4076" s="14" t="s">
        <v>8036</v>
      </c>
      <c r="B4076" s="15" t="s">
        <v>8037</v>
      </c>
      <c r="C4076" s="16">
        <f>520.06/(1+B2)</f>
        <v>520.05999999999995</v>
      </c>
      <c r="D4076" s="17" t="s">
        <v>11</v>
      </c>
      <c r="E4076" s="17"/>
      <c r="F4076" s="18"/>
      <c r="G4076" s="36" t="str">
        <f>IF(ISNUMBER(F4076),C4076*F4076,"")</f>
        <v/>
      </c>
    </row>
    <row r="4077" spans="1:7" ht="12" customHeight="1" outlineLevel="3" x14ac:dyDescent="0.2">
      <c r="A4077" s="14" t="s">
        <v>8038</v>
      </c>
      <c r="B4077" s="15" t="s">
        <v>8039</v>
      </c>
      <c r="C4077" s="16">
        <f>433.31/(1+B2)</f>
        <v>433.31</v>
      </c>
      <c r="D4077" s="17" t="s">
        <v>11</v>
      </c>
      <c r="E4077" s="17"/>
      <c r="F4077" s="18"/>
      <c r="G4077" s="36" t="str">
        <f>IF(ISNUMBER(F4077),C4077*F4077,"")</f>
        <v/>
      </c>
    </row>
    <row r="4078" spans="1:7" ht="12" customHeight="1" outlineLevel="3" x14ac:dyDescent="0.2">
      <c r="A4078" s="14" t="s">
        <v>8040</v>
      </c>
      <c r="B4078" s="15" t="s">
        <v>8041</v>
      </c>
      <c r="C4078" s="16">
        <f>921.36/(1+B2)</f>
        <v>921.36</v>
      </c>
      <c r="D4078" s="17" t="s">
        <v>11</v>
      </c>
      <c r="E4078" s="17" t="s">
        <v>11</v>
      </c>
      <c r="F4078" s="18"/>
      <c r="G4078" s="36" t="str">
        <f>IF(ISNUMBER(F4078),C4078*F4078,"")</f>
        <v/>
      </c>
    </row>
    <row r="4079" spans="1:7" ht="12" customHeight="1" outlineLevel="3" x14ac:dyDescent="0.2">
      <c r="A4079" s="14" t="s">
        <v>8042</v>
      </c>
      <c r="B4079" s="15" t="s">
        <v>8043</v>
      </c>
      <c r="C4079" s="16">
        <f>349.66/(1+B2)</f>
        <v>349.66</v>
      </c>
      <c r="D4079" s="17" t="s">
        <v>11</v>
      </c>
      <c r="E4079" s="17"/>
      <c r="F4079" s="18"/>
      <c r="G4079" s="36" t="str">
        <f>IF(ISNUMBER(F4079),C4079*F4079,"")</f>
        <v/>
      </c>
    </row>
    <row r="4080" spans="1:7" ht="12" customHeight="1" outlineLevel="3" x14ac:dyDescent="0.2">
      <c r="A4080" s="14" t="s">
        <v>8044</v>
      </c>
      <c r="B4080" s="15" t="s">
        <v>8045</v>
      </c>
      <c r="C4080" s="16">
        <f>298.39/(1+B2)</f>
        <v>298.39</v>
      </c>
      <c r="D4080" s="17" t="s">
        <v>11</v>
      </c>
      <c r="E4080" s="17"/>
      <c r="F4080" s="18"/>
      <c r="G4080" s="36" t="str">
        <f>IF(ISNUMBER(F4080),C4080*F4080,"")</f>
        <v/>
      </c>
    </row>
    <row r="4081" spans="1:7" ht="12" customHeight="1" outlineLevel="3" x14ac:dyDescent="0.2">
      <c r="A4081" s="14" t="s">
        <v>8046</v>
      </c>
      <c r="B4081" s="15" t="s">
        <v>8047</v>
      </c>
      <c r="C4081" s="16">
        <f>783.23/(1+B2)</f>
        <v>783.23</v>
      </c>
      <c r="D4081" s="17" t="s">
        <v>11</v>
      </c>
      <c r="E4081" s="17"/>
      <c r="F4081" s="18"/>
      <c r="G4081" s="36" t="str">
        <f>IF(ISNUMBER(F4081),C4081*F4081,"")</f>
        <v/>
      </c>
    </row>
    <row r="4082" spans="1:7" ht="24" customHeight="1" outlineLevel="3" x14ac:dyDescent="0.2">
      <c r="A4082" s="14" t="s">
        <v>8048</v>
      </c>
      <c r="B4082" s="15" t="s">
        <v>8049</v>
      </c>
      <c r="C4082" s="16">
        <f>566.75/(1+B2)</f>
        <v>566.75</v>
      </c>
      <c r="D4082" s="17" t="s">
        <v>11</v>
      </c>
      <c r="E4082" s="17"/>
      <c r="F4082" s="18"/>
      <c r="G4082" s="36" t="str">
        <f>IF(ISNUMBER(F4082),C4082*F4082,"")</f>
        <v/>
      </c>
    </row>
    <row r="4083" spans="1:7" ht="24" customHeight="1" outlineLevel="3" x14ac:dyDescent="0.2">
      <c r="A4083" s="14" t="s">
        <v>8050</v>
      </c>
      <c r="B4083" s="15" t="s">
        <v>8051</v>
      </c>
      <c r="C4083" s="16">
        <f>447.36/(1+B2)</f>
        <v>447.36</v>
      </c>
      <c r="D4083" s="17" t="s">
        <v>11</v>
      </c>
      <c r="E4083" s="17" t="s">
        <v>11</v>
      </c>
      <c r="F4083" s="18"/>
      <c r="G4083" s="36" t="str">
        <f>IF(ISNUMBER(F4083),C4083*F4083,"")</f>
        <v/>
      </c>
    </row>
    <row r="4084" spans="1:7" ht="24" customHeight="1" outlineLevel="3" x14ac:dyDescent="0.2">
      <c r="A4084" s="14" t="s">
        <v>8052</v>
      </c>
      <c r="B4084" s="15" t="s">
        <v>8053</v>
      </c>
      <c r="C4084" s="16">
        <f>429.36/(1+B2)</f>
        <v>429.36</v>
      </c>
      <c r="D4084" s="17" t="s">
        <v>11</v>
      </c>
      <c r="E4084" s="17"/>
      <c r="F4084" s="18"/>
      <c r="G4084" s="36" t="str">
        <f>IF(ISNUMBER(F4084),C4084*F4084,"")</f>
        <v/>
      </c>
    </row>
    <row r="4085" spans="1:7" ht="24" customHeight="1" outlineLevel="3" x14ac:dyDescent="0.2">
      <c r="A4085" s="14" t="s">
        <v>8054</v>
      </c>
      <c r="B4085" s="15" t="s">
        <v>8055</v>
      </c>
      <c r="C4085" s="16">
        <f>359.07/(1+B2)</f>
        <v>359.07</v>
      </c>
      <c r="D4085" s="17" t="s">
        <v>11</v>
      </c>
      <c r="E4085" s="17"/>
      <c r="F4085" s="18"/>
      <c r="G4085" s="36" t="str">
        <f>IF(ISNUMBER(F4085),C4085*F4085,"")</f>
        <v/>
      </c>
    </row>
    <row r="4086" spans="1:7" ht="24" customHeight="1" outlineLevel="3" x14ac:dyDescent="0.2">
      <c r="A4086" s="14" t="s">
        <v>8056</v>
      </c>
      <c r="B4086" s="15" t="s">
        <v>8057</v>
      </c>
      <c r="C4086" s="16">
        <f>293.56/(1+B2)</f>
        <v>293.56</v>
      </c>
      <c r="D4086" s="17" t="s">
        <v>11</v>
      </c>
      <c r="E4086" s="17"/>
      <c r="F4086" s="18"/>
      <c r="G4086" s="36" t="str">
        <f>IF(ISNUMBER(F4086),C4086*F4086,"")</f>
        <v/>
      </c>
    </row>
    <row r="4087" spans="1:7" s="1" customFormat="1" ht="15.95" customHeight="1" outlineLevel="1" x14ac:dyDescent="0.25">
      <c r="A4087" s="11"/>
      <c r="B4087" s="12" t="s">
        <v>8058</v>
      </c>
      <c r="C4087" s="13"/>
      <c r="D4087" s="13"/>
      <c r="E4087" s="13"/>
      <c r="F4087" s="13"/>
      <c r="G4087" s="35"/>
    </row>
    <row r="4088" spans="1:7" s="1" customFormat="1" ht="12.95" customHeight="1" outlineLevel="2" x14ac:dyDescent="0.2">
      <c r="A4088" s="20"/>
      <c r="B4088" s="21" t="s">
        <v>8059</v>
      </c>
      <c r="C4088" s="22"/>
      <c r="D4088" s="22"/>
      <c r="E4088" s="22"/>
      <c r="F4088" s="22"/>
      <c r="G4088" s="37"/>
    </row>
    <row r="4089" spans="1:7" ht="24" customHeight="1" outlineLevel="3" x14ac:dyDescent="0.2">
      <c r="A4089" s="14" t="s">
        <v>8060</v>
      </c>
      <c r="B4089" s="15" t="s">
        <v>8061</v>
      </c>
      <c r="C4089" s="16">
        <f>546.76/(1+B2)</f>
        <v>546.76</v>
      </c>
      <c r="D4089" s="17" t="s">
        <v>11</v>
      </c>
      <c r="E4089" s="17"/>
      <c r="F4089" s="18"/>
      <c r="G4089" s="36" t="str">
        <f>IF(ISNUMBER(F4089),C4089*F4089,"")</f>
        <v/>
      </c>
    </row>
    <row r="4090" spans="1:7" ht="24" customHeight="1" outlineLevel="3" x14ac:dyDescent="0.2">
      <c r="A4090" s="14" t="s">
        <v>8062</v>
      </c>
      <c r="B4090" s="15" t="s">
        <v>8063</v>
      </c>
      <c r="C4090" s="16">
        <f>546.76/(1+B2)</f>
        <v>546.76</v>
      </c>
      <c r="D4090" s="17" t="s">
        <v>11</v>
      </c>
      <c r="E4090" s="17"/>
      <c r="F4090" s="18"/>
      <c r="G4090" s="36" t="str">
        <f>IF(ISNUMBER(F4090),C4090*F4090,"")</f>
        <v/>
      </c>
    </row>
    <row r="4091" spans="1:7" ht="24" customHeight="1" outlineLevel="3" x14ac:dyDescent="0.2">
      <c r="A4091" s="14" t="s">
        <v>8064</v>
      </c>
      <c r="B4091" s="15" t="s">
        <v>8065</v>
      </c>
      <c r="C4091" s="16">
        <f>553.46/(1+B2)</f>
        <v>553.46</v>
      </c>
      <c r="D4091" s="17" t="s">
        <v>11</v>
      </c>
      <c r="E4091" s="17"/>
      <c r="F4091" s="18"/>
      <c r="G4091" s="36" t="str">
        <f>IF(ISNUMBER(F4091),C4091*F4091,"")</f>
        <v/>
      </c>
    </row>
    <row r="4092" spans="1:7" ht="24" customHeight="1" outlineLevel="3" x14ac:dyDescent="0.2">
      <c r="A4092" s="14" t="s">
        <v>8066</v>
      </c>
      <c r="B4092" s="15" t="s">
        <v>8067</v>
      </c>
      <c r="C4092" s="16">
        <f>553.46/(1+B2)</f>
        <v>553.46</v>
      </c>
      <c r="D4092" s="17" t="s">
        <v>11</v>
      </c>
      <c r="E4092" s="17"/>
      <c r="F4092" s="18"/>
      <c r="G4092" s="36" t="str">
        <f>IF(ISNUMBER(F4092),C4092*F4092,"")</f>
        <v/>
      </c>
    </row>
    <row r="4093" spans="1:7" ht="12" customHeight="1" outlineLevel="3" x14ac:dyDescent="0.2">
      <c r="A4093" s="14" t="s">
        <v>8068</v>
      </c>
      <c r="B4093" s="15" t="s">
        <v>8069</v>
      </c>
      <c r="C4093" s="16">
        <f>449.02/(1+B2)</f>
        <v>449.02</v>
      </c>
      <c r="D4093" s="17" t="s">
        <v>11</v>
      </c>
      <c r="E4093" s="17"/>
      <c r="F4093" s="18"/>
      <c r="G4093" s="36" t="str">
        <f>IF(ISNUMBER(F4093),C4093*F4093,"")</f>
        <v/>
      </c>
    </row>
    <row r="4094" spans="1:7" ht="12" customHeight="1" outlineLevel="3" x14ac:dyDescent="0.2">
      <c r="A4094" s="14" t="s">
        <v>8070</v>
      </c>
      <c r="B4094" s="15" t="s">
        <v>8071</v>
      </c>
      <c r="C4094" s="16">
        <f>334.31/(1+B2)</f>
        <v>334.31</v>
      </c>
      <c r="D4094" s="17" t="s">
        <v>11</v>
      </c>
      <c r="E4094" s="17" t="s">
        <v>11</v>
      </c>
      <c r="F4094" s="18"/>
      <c r="G4094" s="36" t="str">
        <f>IF(ISNUMBER(F4094),C4094*F4094,"")</f>
        <v/>
      </c>
    </row>
    <row r="4095" spans="1:7" ht="24" customHeight="1" outlineLevel="3" x14ac:dyDescent="0.2">
      <c r="A4095" s="14" t="s">
        <v>8072</v>
      </c>
      <c r="B4095" s="15" t="s">
        <v>8073</v>
      </c>
      <c r="C4095" s="16">
        <f>504.23/(1+B2)</f>
        <v>504.23</v>
      </c>
      <c r="D4095" s="17" t="s">
        <v>11</v>
      </c>
      <c r="E4095" s="17"/>
      <c r="F4095" s="18"/>
      <c r="G4095" s="36" t="str">
        <f>IF(ISNUMBER(F4095),C4095*F4095,"")</f>
        <v/>
      </c>
    </row>
    <row r="4096" spans="1:7" ht="24" customHeight="1" outlineLevel="3" x14ac:dyDescent="0.2">
      <c r="A4096" s="14" t="s">
        <v>8074</v>
      </c>
      <c r="B4096" s="15" t="s">
        <v>8075</v>
      </c>
      <c r="C4096" s="16">
        <f>525/(1+B2)</f>
        <v>525</v>
      </c>
      <c r="D4096" s="17" t="s">
        <v>11</v>
      </c>
      <c r="E4096" s="17"/>
      <c r="F4096" s="18"/>
      <c r="G4096" s="36" t="str">
        <f>IF(ISNUMBER(F4096),C4096*F4096,"")</f>
        <v/>
      </c>
    </row>
    <row r="4097" spans="1:7" ht="24" customHeight="1" outlineLevel="3" x14ac:dyDescent="0.2">
      <c r="A4097" s="14" t="s">
        <v>8076</v>
      </c>
      <c r="B4097" s="15" t="s">
        <v>8077</v>
      </c>
      <c r="C4097" s="16">
        <f>501.23/(1+B2)</f>
        <v>501.23</v>
      </c>
      <c r="D4097" s="17" t="s">
        <v>11</v>
      </c>
      <c r="E4097" s="17"/>
      <c r="F4097" s="18"/>
      <c r="G4097" s="36" t="str">
        <f>IF(ISNUMBER(F4097),C4097*F4097,"")</f>
        <v/>
      </c>
    </row>
    <row r="4098" spans="1:7" s="1" customFormat="1" ht="12.95" customHeight="1" outlineLevel="2" x14ac:dyDescent="0.2">
      <c r="A4098" s="20"/>
      <c r="B4098" s="21" t="s">
        <v>8078</v>
      </c>
      <c r="C4098" s="22"/>
      <c r="D4098" s="22"/>
      <c r="E4098" s="22"/>
      <c r="F4098" s="22"/>
      <c r="G4098" s="37"/>
    </row>
    <row r="4099" spans="1:7" ht="12" customHeight="1" outlineLevel="3" x14ac:dyDescent="0.2">
      <c r="A4099" s="14" t="s">
        <v>8079</v>
      </c>
      <c r="B4099" s="15" t="s">
        <v>8080</v>
      </c>
      <c r="C4099" s="16">
        <f>40/(1+B2)</f>
        <v>40</v>
      </c>
      <c r="D4099" s="17" t="s">
        <v>11</v>
      </c>
      <c r="E4099" s="17"/>
      <c r="F4099" s="18"/>
      <c r="G4099" s="36" t="str">
        <f>IF(ISNUMBER(F4099),C4099*F4099,"")</f>
        <v/>
      </c>
    </row>
    <row r="4100" spans="1:7" ht="12" customHeight="1" outlineLevel="3" x14ac:dyDescent="0.2">
      <c r="A4100" s="14" t="s">
        <v>8081</v>
      </c>
      <c r="B4100" s="15" t="s">
        <v>8082</v>
      </c>
      <c r="C4100" s="16">
        <f>75.88/(1+B2)</f>
        <v>75.88</v>
      </c>
      <c r="D4100" s="17" t="s">
        <v>11</v>
      </c>
      <c r="E4100" s="17"/>
      <c r="F4100" s="18"/>
      <c r="G4100" s="36" t="str">
        <f>IF(ISNUMBER(F4100),C4100*F4100,"")</f>
        <v/>
      </c>
    </row>
    <row r="4101" spans="1:7" ht="12" customHeight="1" outlineLevel="3" x14ac:dyDescent="0.2">
      <c r="A4101" s="14" t="s">
        <v>8083</v>
      </c>
      <c r="B4101" s="15" t="s">
        <v>8084</v>
      </c>
      <c r="C4101" s="16">
        <f>83.68/(1+B2)</f>
        <v>83.68</v>
      </c>
      <c r="D4101" s="17" t="s">
        <v>11</v>
      </c>
      <c r="E4101" s="17"/>
      <c r="F4101" s="18"/>
      <c r="G4101" s="36" t="str">
        <f>IF(ISNUMBER(F4101),C4101*F4101,"")</f>
        <v/>
      </c>
    </row>
    <row r="4102" spans="1:7" ht="12" customHeight="1" outlineLevel="3" x14ac:dyDescent="0.2">
      <c r="A4102" s="14" t="s">
        <v>8085</v>
      </c>
      <c r="B4102" s="15" t="s">
        <v>8086</v>
      </c>
      <c r="C4102" s="16">
        <f>87.88/(1+B2)</f>
        <v>87.88</v>
      </c>
      <c r="D4102" s="17" t="s">
        <v>14</v>
      </c>
      <c r="E4102" s="17" t="s">
        <v>11</v>
      </c>
      <c r="F4102" s="18"/>
      <c r="G4102" s="36" t="str">
        <f>IF(ISNUMBER(F4102),C4102*F4102,"")</f>
        <v/>
      </c>
    </row>
    <row r="4103" spans="1:7" ht="12" customHeight="1" outlineLevel="3" x14ac:dyDescent="0.2">
      <c r="A4103" s="14" t="s">
        <v>8087</v>
      </c>
      <c r="B4103" s="15" t="s">
        <v>8088</v>
      </c>
      <c r="C4103" s="16">
        <f>84.42/(1+B2)</f>
        <v>84.42</v>
      </c>
      <c r="D4103" s="17" t="s">
        <v>14</v>
      </c>
      <c r="E4103" s="17" t="s">
        <v>11</v>
      </c>
      <c r="F4103" s="18"/>
      <c r="G4103" s="36" t="str">
        <f>IF(ISNUMBER(F4103),C4103*F4103,"")</f>
        <v/>
      </c>
    </row>
    <row r="4104" spans="1:7" ht="12" customHeight="1" outlineLevel="3" x14ac:dyDescent="0.2">
      <c r="A4104" s="14" t="s">
        <v>8089</v>
      </c>
      <c r="B4104" s="15" t="s">
        <v>8090</v>
      </c>
      <c r="C4104" s="16">
        <f>85.03/(1+B2)</f>
        <v>85.03</v>
      </c>
      <c r="D4104" s="17" t="s">
        <v>14</v>
      </c>
      <c r="E4104" s="17" t="s">
        <v>11</v>
      </c>
      <c r="F4104" s="18"/>
      <c r="G4104" s="36" t="str">
        <f>IF(ISNUMBER(F4104),C4104*F4104,"")</f>
        <v/>
      </c>
    </row>
    <row r="4105" spans="1:7" ht="12" customHeight="1" outlineLevel="3" x14ac:dyDescent="0.2">
      <c r="A4105" s="14" t="s">
        <v>8091</v>
      </c>
      <c r="B4105" s="15" t="s">
        <v>8092</v>
      </c>
      <c r="C4105" s="16">
        <f>93.1/(1+B2)</f>
        <v>93.1</v>
      </c>
      <c r="D4105" s="17" t="s">
        <v>14</v>
      </c>
      <c r="E4105" s="17" t="s">
        <v>11</v>
      </c>
      <c r="F4105" s="18"/>
      <c r="G4105" s="36" t="str">
        <f>IF(ISNUMBER(F4105),C4105*F4105,"")</f>
        <v/>
      </c>
    </row>
    <row r="4106" spans="1:7" ht="12" customHeight="1" outlineLevel="3" x14ac:dyDescent="0.2">
      <c r="A4106" s="14" t="s">
        <v>8093</v>
      </c>
      <c r="B4106" s="15" t="s">
        <v>8094</v>
      </c>
      <c r="C4106" s="16">
        <f>86.41/(1+B2)</f>
        <v>86.41</v>
      </c>
      <c r="D4106" s="17" t="s">
        <v>14</v>
      </c>
      <c r="E4106" s="17" t="s">
        <v>11</v>
      </c>
      <c r="F4106" s="18"/>
      <c r="G4106" s="36" t="str">
        <f>IF(ISNUMBER(F4106),C4106*F4106,"")</f>
        <v/>
      </c>
    </row>
    <row r="4107" spans="1:7" ht="12" customHeight="1" outlineLevel="3" x14ac:dyDescent="0.2">
      <c r="A4107" s="14" t="s">
        <v>8095</v>
      </c>
      <c r="B4107" s="15" t="s">
        <v>8096</v>
      </c>
      <c r="C4107" s="16">
        <f>88.54/(1+B2)</f>
        <v>88.54</v>
      </c>
      <c r="D4107" s="17" t="s">
        <v>14</v>
      </c>
      <c r="E4107" s="17" t="s">
        <v>11</v>
      </c>
      <c r="F4107" s="18"/>
      <c r="G4107" s="36" t="str">
        <f>IF(ISNUMBER(F4107),C4107*F4107,"")</f>
        <v/>
      </c>
    </row>
    <row r="4108" spans="1:7" ht="12" customHeight="1" outlineLevel="3" x14ac:dyDescent="0.2">
      <c r="A4108" s="14" t="s">
        <v>8097</v>
      </c>
      <c r="B4108" s="15" t="s">
        <v>8098</v>
      </c>
      <c r="C4108" s="16">
        <f>86.02/(1+B2)</f>
        <v>86.02</v>
      </c>
      <c r="D4108" s="17" t="s">
        <v>14</v>
      </c>
      <c r="E4108" s="17"/>
      <c r="F4108" s="18"/>
      <c r="G4108" s="36" t="str">
        <f>IF(ISNUMBER(F4108),C4108*F4108,"")</f>
        <v/>
      </c>
    </row>
    <row r="4109" spans="1:7" ht="12" customHeight="1" outlineLevel="3" x14ac:dyDescent="0.2">
      <c r="A4109" s="14" t="s">
        <v>8099</v>
      </c>
      <c r="B4109" s="15" t="s">
        <v>8100</v>
      </c>
      <c r="C4109" s="16">
        <f>84.7/(1+B2)</f>
        <v>84.7</v>
      </c>
      <c r="D4109" s="17" t="s">
        <v>14</v>
      </c>
      <c r="E4109" s="17" t="s">
        <v>11</v>
      </c>
      <c r="F4109" s="18"/>
      <c r="G4109" s="36" t="str">
        <f>IF(ISNUMBER(F4109),C4109*F4109,"")</f>
        <v/>
      </c>
    </row>
    <row r="4110" spans="1:7" ht="12" customHeight="1" outlineLevel="3" x14ac:dyDescent="0.2">
      <c r="A4110" s="14" t="s">
        <v>8101</v>
      </c>
      <c r="B4110" s="15" t="s">
        <v>8102</v>
      </c>
      <c r="C4110" s="16">
        <f>90.61/(1+B2)</f>
        <v>90.61</v>
      </c>
      <c r="D4110" s="17" t="s">
        <v>11</v>
      </c>
      <c r="E4110" s="17"/>
      <c r="F4110" s="18"/>
      <c r="G4110" s="36" t="str">
        <f>IF(ISNUMBER(F4110),C4110*F4110,"")</f>
        <v/>
      </c>
    </row>
    <row r="4111" spans="1:7" ht="12" customHeight="1" outlineLevel="3" x14ac:dyDescent="0.2">
      <c r="A4111" s="14" t="s">
        <v>8103</v>
      </c>
      <c r="B4111" s="15" t="s">
        <v>8104</v>
      </c>
      <c r="C4111" s="16">
        <f>108.72/(1+B2)</f>
        <v>108.72</v>
      </c>
      <c r="D4111" s="17" t="s">
        <v>11</v>
      </c>
      <c r="E4111" s="17"/>
      <c r="F4111" s="18"/>
      <c r="G4111" s="36" t="str">
        <f>IF(ISNUMBER(F4111),C4111*F4111,"")</f>
        <v/>
      </c>
    </row>
    <row r="4112" spans="1:7" ht="12" customHeight="1" outlineLevel="3" x14ac:dyDescent="0.2">
      <c r="A4112" s="14" t="s">
        <v>8105</v>
      </c>
      <c r="B4112" s="15" t="s">
        <v>8106</v>
      </c>
      <c r="C4112" s="16">
        <f>93.26/(1+B2)</f>
        <v>93.26</v>
      </c>
      <c r="D4112" s="17" t="s">
        <v>11</v>
      </c>
      <c r="E4112" s="17"/>
      <c r="F4112" s="18"/>
      <c r="G4112" s="36" t="str">
        <f>IF(ISNUMBER(F4112),C4112*F4112,"")</f>
        <v/>
      </c>
    </row>
    <row r="4113" spans="1:7" ht="12" customHeight="1" outlineLevel="3" x14ac:dyDescent="0.2">
      <c r="A4113" s="14" t="s">
        <v>8107</v>
      </c>
      <c r="B4113" s="15" t="s">
        <v>8108</v>
      </c>
      <c r="C4113" s="16">
        <f>100/(1+B2)</f>
        <v>100</v>
      </c>
      <c r="D4113" s="17" t="s">
        <v>11</v>
      </c>
      <c r="E4113" s="17"/>
      <c r="F4113" s="18"/>
      <c r="G4113" s="36" t="str">
        <f>IF(ISNUMBER(F4113),C4113*F4113,"")</f>
        <v/>
      </c>
    </row>
    <row r="4114" spans="1:7" ht="12" customHeight="1" outlineLevel="3" x14ac:dyDescent="0.2">
      <c r="A4114" s="14" t="s">
        <v>8109</v>
      </c>
      <c r="B4114" s="15" t="s">
        <v>8110</v>
      </c>
      <c r="C4114" s="16">
        <f>100/(1+B2)</f>
        <v>100</v>
      </c>
      <c r="D4114" s="17" t="s">
        <v>11</v>
      </c>
      <c r="E4114" s="17"/>
      <c r="F4114" s="18"/>
      <c r="G4114" s="36" t="str">
        <f>IF(ISNUMBER(F4114),C4114*F4114,"")</f>
        <v/>
      </c>
    </row>
    <row r="4115" spans="1:7" ht="12" customHeight="1" outlineLevel="3" x14ac:dyDescent="0.2">
      <c r="A4115" s="14" t="s">
        <v>8111</v>
      </c>
      <c r="B4115" s="15" t="s">
        <v>8112</v>
      </c>
      <c r="C4115" s="16">
        <f>94.91/(1+B2)</f>
        <v>94.91</v>
      </c>
      <c r="D4115" s="17" t="s">
        <v>11</v>
      </c>
      <c r="E4115" s="17"/>
      <c r="F4115" s="18"/>
      <c r="G4115" s="36" t="str">
        <f>IF(ISNUMBER(F4115),C4115*F4115,"")</f>
        <v/>
      </c>
    </row>
    <row r="4116" spans="1:7" ht="12" customHeight="1" outlineLevel="3" x14ac:dyDescent="0.2">
      <c r="A4116" s="14" t="s">
        <v>8113</v>
      </c>
      <c r="B4116" s="15" t="s">
        <v>8114</v>
      </c>
      <c r="C4116" s="16">
        <f>92.23/(1+B2)</f>
        <v>92.23</v>
      </c>
      <c r="D4116" s="17" t="s">
        <v>11</v>
      </c>
      <c r="E4116" s="17"/>
      <c r="F4116" s="18"/>
      <c r="G4116" s="36" t="str">
        <f>IF(ISNUMBER(F4116),C4116*F4116,"")</f>
        <v/>
      </c>
    </row>
    <row r="4117" spans="1:7" ht="12" customHeight="1" outlineLevel="3" x14ac:dyDescent="0.2">
      <c r="A4117" s="14" t="s">
        <v>8115</v>
      </c>
      <c r="B4117" s="15" t="s">
        <v>8116</v>
      </c>
      <c r="C4117" s="16">
        <f>40/(1+B2)</f>
        <v>40</v>
      </c>
      <c r="D4117" s="17" t="s">
        <v>11</v>
      </c>
      <c r="E4117" s="17"/>
      <c r="F4117" s="18"/>
      <c r="G4117" s="36" t="str">
        <f>IF(ISNUMBER(F4117),C4117*F4117,"")</f>
        <v/>
      </c>
    </row>
    <row r="4118" spans="1:7" ht="12" customHeight="1" outlineLevel="3" x14ac:dyDescent="0.2">
      <c r="A4118" s="14" t="s">
        <v>8117</v>
      </c>
      <c r="B4118" s="15" t="s">
        <v>8118</v>
      </c>
      <c r="C4118" s="16">
        <f>91.9/(1+B2)</f>
        <v>91.9</v>
      </c>
      <c r="D4118" s="17" t="s">
        <v>11</v>
      </c>
      <c r="E4118" s="17"/>
      <c r="F4118" s="18"/>
      <c r="G4118" s="36" t="str">
        <f>IF(ISNUMBER(F4118),C4118*F4118,"")</f>
        <v/>
      </c>
    </row>
    <row r="4119" spans="1:7" ht="12" customHeight="1" outlineLevel="3" x14ac:dyDescent="0.2">
      <c r="A4119" s="14" t="s">
        <v>8119</v>
      </c>
      <c r="B4119" s="15" t="s">
        <v>8120</v>
      </c>
      <c r="C4119" s="16">
        <f>115.01/(1+B2)</f>
        <v>115.01</v>
      </c>
      <c r="D4119" s="17" t="s">
        <v>11</v>
      </c>
      <c r="E4119" s="17"/>
      <c r="F4119" s="18"/>
      <c r="G4119" s="36" t="str">
        <f>IF(ISNUMBER(F4119),C4119*F4119,"")</f>
        <v/>
      </c>
    </row>
    <row r="4120" spans="1:7" ht="12" customHeight="1" outlineLevel="3" x14ac:dyDescent="0.2">
      <c r="A4120" s="14" t="s">
        <v>8121</v>
      </c>
      <c r="B4120" s="15" t="s">
        <v>8122</v>
      </c>
      <c r="C4120" s="16">
        <f>102.29/(1+B2)</f>
        <v>102.29</v>
      </c>
      <c r="D4120" s="17" t="s">
        <v>11</v>
      </c>
      <c r="E4120" s="17" t="s">
        <v>14</v>
      </c>
      <c r="F4120" s="18"/>
      <c r="G4120" s="36" t="str">
        <f>IF(ISNUMBER(F4120),C4120*F4120,"")</f>
        <v/>
      </c>
    </row>
    <row r="4121" spans="1:7" ht="12" customHeight="1" outlineLevel="3" x14ac:dyDescent="0.2">
      <c r="A4121" s="14" t="s">
        <v>8123</v>
      </c>
      <c r="B4121" s="15" t="s">
        <v>8124</v>
      </c>
      <c r="C4121" s="16">
        <f>126.76/(1+B2)</f>
        <v>126.76</v>
      </c>
      <c r="D4121" s="17" t="s">
        <v>14</v>
      </c>
      <c r="E4121" s="17"/>
      <c r="F4121" s="18"/>
      <c r="G4121" s="36" t="str">
        <f>IF(ISNUMBER(F4121),C4121*F4121,"")</f>
        <v/>
      </c>
    </row>
    <row r="4122" spans="1:7" ht="24" customHeight="1" outlineLevel="3" x14ac:dyDescent="0.2">
      <c r="A4122" s="14" t="s">
        <v>8125</v>
      </c>
      <c r="B4122" s="15" t="s">
        <v>8126</v>
      </c>
      <c r="C4122" s="16">
        <f>264.91/(1+B2)</f>
        <v>264.91000000000003</v>
      </c>
      <c r="D4122" s="17" t="s">
        <v>11</v>
      </c>
      <c r="E4122" s="17"/>
      <c r="F4122" s="18"/>
      <c r="G4122" s="36" t="str">
        <f>IF(ISNUMBER(F4122),C4122*F4122,"")</f>
        <v/>
      </c>
    </row>
    <row r="4123" spans="1:7" ht="12" customHeight="1" outlineLevel="3" x14ac:dyDescent="0.2">
      <c r="A4123" s="14" t="s">
        <v>8127</v>
      </c>
      <c r="B4123" s="15" t="s">
        <v>8128</v>
      </c>
      <c r="C4123" s="16">
        <f>173.28/(1+B2)</f>
        <v>173.28</v>
      </c>
      <c r="D4123" s="17" t="s">
        <v>11</v>
      </c>
      <c r="E4123" s="17"/>
      <c r="F4123" s="18"/>
      <c r="G4123" s="36" t="str">
        <f>IF(ISNUMBER(F4123),C4123*F4123,"")</f>
        <v/>
      </c>
    </row>
    <row r="4124" spans="1:7" ht="12" customHeight="1" outlineLevel="3" x14ac:dyDescent="0.2">
      <c r="A4124" s="14" t="s">
        <v>8129</v>
      </c>
      <c r="B4124" s="15" t="s">
        <v>8130</v>
      </c>
      <c r="C4124" s="16">
        <f>62.68/(1+B2)</f>
        <v>62.68</v>
      </c>
      <c r="D4124" s="17" t="s">
        <v>11</v>
      </c>
      <c r="E4124" s="17" t="s">
        <v>11</v>
      </c>
      <c r="F4124" s="18"/>
      <c r="G4124" s="36" t="str">
        <f>IF(ISNUMBER(F4124),C4124*F4124,"")</f>
        <v/>
      </c>
    </row>
    <row r="4125" spans="1:7" ht="12" customHeight="1" outlineLevel="3" x14ac:dyDescent="0.2">
      <c r="A4125" s="14" t="s">
        <v>8131</v>
      </c>
      <c r="B4125" s="15" t="s">
        <v>8132</v>
      </c>
      <c r="C4125" s="16">
        <f>110.81/(1+B2)</f>
        <v>110.81</v>
      </c>
      <c r="D4125" s="17" t="s">
        <v>11</v>
      </c>
      <c r="E4125" s="17"/>
      <c r="F4125" s="18"/>
      <c r="G4125" s="36" t="str">
        <f>IF(ISNUMBER(F4125),C4125*F4125,"")</f>
        <v/>
      </c>
    </row>
    <row r="4126" spans="1:7" ht="12" customHeight="1" outlineLevel="3" x14ac:dyDescent="0.2">
      <c r="A4126" s="14" t="s">
        <v>8133</v>
      </c>
      <c r="B4126" s="15" t="s">
        <v>8134</v>
      </c>
      <c r="C4126" s="16">
        <f>109.82/(1+B2)</f>
        <v>109.82</v>
      </c>
      <c r="D4126" s="17" t="s">
        <v>11</v>
      </c>
      <c r="E4126" s="17"/>
      <c r="F4126" s="18"/>
      <c r="G4126" s="36" t="str">
        <f>IF(ISNUMBER(F4126),C4126*F4126,"")</f>
        <v/>
      </c>
    </row>
    <row r="4127" spans="1:7" ht="12" customHeight="1" outlineLevel="3" x14ac:dyDescent="0.2">
      <c r="A4127" s="14" t="s">
        <v>8135</v>
      </c>
      <c r="B4127" s="15" t="s">
        <v>8136</v>
      </c>
      <c r="C4127" s="16">
        <f>106.2/(1+B2)</f>
        <v>106.2</v>
      </c>
      <c r="D4127" s="17" t="s">
        <v>11</v>
      </c>
      <c r="E4127" s="17"/>
      <c r="F4127" s="18"/>
      <c r="G4127" s="36" t="str">
        <f>IF(ISNUMBER(F4127),C4127*F4127,"")</f>
        <v/>
      </c>
    </row>
    <row r="4128" spans="1:7" ht="12" customHeight="1" outlineLevel="3" x14ac:dyDescent="0.2">
      <c r="A4128" s="14" t="s">
        <v>8137</v>
      </c>
      <c r="B4128" s="15" t="s">
        <v>8138</v>
      </c>
      <c r="C4128" s="16">
        <f>81.11/(1+B2)</f>
        <v>81.11</v>
      </c>
      <c r="D4128" s="17" t="s">
        <v>11</v>
      </c>
      <c r="E4128" s="17"/>
      <c r="F4128" s="18"/>
      <c r="G4128" s="36" t="str">
        <f>IF(ISNUMBER(F4128),C4128*F4128,"")</f>
        <v/>
      </c>
    </row>
    <row r="4129" spans="1:7" ht="12" customHeight="1" outlineLevel="3" x14ac:dyDescent="0.2">
      <c r="A4129" s="14" t="s">
        <v>8139</v>
      </c>
      <c r="B4129" s="15" t="s">
        <v>8140</v>
      </c>
      <c r="C4129" s="16">
        <f>105.06/(1+B2)</f>
        <v>105.06</v>
      </c>
      <c r="D4129" s="17" t="s">
        <v>14</v>
      </c>
      <c r="E4129" s="17"/>
      <c r="F4129" s="18"/>
      <c r="G4129" s="36" t="str">
        <f>IF(ISNUMBER(F4129),C4129*F4129,"")</f>
        <v/>
      </c>
    </row>
    <row r="4130" spans="1:7" ht="12" customHeight="1" outlineLevel="3" x14ac:dyDescent="0.2">
      <c r="A4130" s="14" t="s">
        <v>8141</v>
      </c>
      <c r="B4130" s="15" t="s">
        <v>8142</v>
      </c>
      <c r="C4130" s="16">
        <f>88.33/(1+B2)</f>
        <v>88.33</v>
      </c>
      <c r="D4130" s="17" t="s">
        <v>11</v>
      </c>
      <c r="E4130" s="17"/>
      <c r="F4130" s="18"/>
      <c r="G4130" s="36" t="str">
        <f>IF(ISNUMBER(F4130),C4130*F4130,"")</f>
        <v/>
      </c>
    </row>
    <row r="4131" spans="1:7" ht="12" customHeight="1" outlineLevel="3" x14ac:dyDescent="0.2">
      <c r="A4131" s="14" t="s">
        <v>8143</v>
      </c>
      <c r="B4131" s="15" t="s">
        <v>8144</v>
      </c>
      <c r="C4131" s="16">
        <f>94/(1+B2)</f>
        <v>94</v>
      </c>
      <c r="D4131" s="17" t="s">
        <v>11</v>
      </c>
      <c r="E4131" s="17"/>
      <c r="F4131" s="18"/>
      <c r="G4131" s="36" t="str">
        <f>IF(ISNUMBER(F4131),C4131*F4131,"")</f>
        <v/>
      </c>
    </row>
    <row r="4132" spans="1:7" ht="12" customHeight="1" outlineLevel="3" x14ac:dyDescent="0.2">
      <c r="A4132" s="14" t="s">
        <v>8145</v>
      </c>
      <c r="B4132" s="15" t="s">
        <v>8146</v>
      </c>
      <c r="C4132" s="16">
        <f>133.59/(1+B2)</f>
        <v>133.59</v>
      </c>
      <c r="D4132" s="17" t="s">
        <v>11</v>
      </c>
      <c r="E4132" s="17"/>
      <c r="F4132" s="18"/>
      <c r="G4132" s="36" t="str">
        <f>IF(ISNUMBER(F4132),C4132*F4132,"")</f>
        <v/>
      </c>
    </row>
    <row r="4133" spans="1:7" ht="12" customHeight="1" outlineLevel="3" x14ac:dyDescent="0.2">
      <c r="A4133" s="14" t="s">
        <v>8147</v>
      </c>
      <c r="B4133" s="15" t="s">
        <v>8148</v>
      </c>
      <c r="C4133" s="16">
        <f>86.11/(1+B2)</f>
        <v>86.11</v>
      </c>
      <c r="D4133" s="17" t="s">
        <v>11</v>
      </c>
      <c r="E4133" s="17" t="s">
        <v>11</v>
      </c>
      <c r="F4133" s="18"/>
      <c r="G4133" s="36" t="str">
        <f>IF(ISNUMBER(F4133),C4133*F4133,"")</f>
        <v/>
      </c>
    </row>
    <row r="4134" spans="1:7" ht="12" customHeight="1" outlineLevel="3" x14ac:dyDescent="0.2">
      <c r="A4134" s="14" t="s">
        <v>8149</v>
      </c>
      <c r="B4134" s="15" t="s">
        <v>8150</v>
      </c>
      <c r="C4134" s="16">
        <f>50/(1+B2)</f>
        <v>50</v>
      </c>
      <c r="D4134" s="17" t="s">
        <v>11</v>
      </c>
      <c r="E4134" s="17"/>
      <c r="F4134" s="18"/>
      <c r="G4134" s="36" t="str">
        <f>IF(ISNUMBER(F4134),C4134*F4134,"")</f>
        <v/>
      </c>
    </row>
    <row r="4135" spans="1:7" ht="12" customHeight="1" outlineLevel="3" x14ac:dyDescent="0.2">
      <c r="A4135" s="14" t="s">
        <v>8151</v>
      </c>
      <c r="B4135" s="15" t="s">
        <v>8152</v>
      </c>
      <c r="C4135" s="16">
        <f>50/(1+B2)</f>
        <v>50</v>
      </c>
      <c r="D4135" s="17" t="s">
        <v>11</v>
      </c>
      <c r="E4135" s="17"/>
      <c r="F4135" s="18"/>
      <c r="G4135" s="36" t="str">
        <f>IF(ISNUMBER(F4135),C4135*F4135,"")</f>
        <v/>
      </c>
    </row>
    <row r="4136" spans="1:7" s="1" customFormat="1" ht="12.95" customHeight="1" outlineLevel="2" x14ac:dyDescent="0.2">
      <c r="A4136" s="20"/>
      <c r="B4136" s="21" t="s">
        <v>8153</v>
      </c>
      <c r="C4136" s="22"/>
      <c r="D4136" s="22"/>
      <c r="E4136" s="22"/>
      <c r="F4136" s="22"/>
      <c r="G4136" s="37"/>
    </row>
    <row r="4137" spans="1:7" ht="12" customHeight="1" outlineLevel="3" x14ac:dyDescent="0.2">
      <c r="A4137" s="14" t="s">
        <v>8154</v>
      </c>
      <c r="B4137" s="15" t="s">
        <v>8155</v>
      </c>
      <c r="C4137" s="16">
        <f>309.01/(1+B2)</f>
        <v>309.01</v>
      </c>
      <c r="D4137" s="17" t="s">
        <v>11</v>
      </c>
      <c r="E4137" s="17"/>
      <c r="F4137" s="18"/>
      <c r="G4137" s="36" t="str">
        <f>IF(ISNUMBER(F4137),C4137*F4137,"")</f>
        <v/>
      </c>
    </row>
    <row r="4138" spans="1:7" ht="12" customHeight="1" outlineLevel="3" x14ac:dyDescent="0.2">
      <c r="A4138" s="14" t="s">
        <v>8156</v>
      </c>
      <c r="B4138" s="15" t="s">
        <v>8157</v>
      </c>
      <c r="C4138" s="16">
        <f>209.01/(1+B2)</f>
        <v>209.01</v>
      </c>
      <c r="D4138" s="17" t="s">
        <v>11</v>
      </c>
      <c r="E4138" s="17"/>
      <c r="F4138" s="18"/>
      <c r="G4138" s="36" t="str">
        <f>IF(ISNUMBER(F4138),C4138*F4138,"")</f>
        <v/>
      </c>
    </row>
    <row r="4139" spans="1:7" ht="12" customHeight="1" outlineLevel="3" x14ac:dyDescent="0.2">
      <c r="A4139" s="14" t="s">
        <v>8158</v>
      </c>
      <c r="B4139" s="15" t="s">
        <v>8159</v>
      </c>
      <c r="C4139" s="16">
        <f>149.01/(1+B2)</f>
        <v>149.01</v>
      </c>
      <c r="D4139" s="17" t="s">
        <v>11</v>
      </c>
      <c r="E4139" s="17"/>
      <c r="F4139" s="18"/>
      <c r="G4139" s="36" t="str">
        <f>IF(ISNUMBER(F4139),C4139*F4139,"")</f>
        <v/>
      </c>
    </row>
    <row r="4140" spans="1:7" ht="12" customHeight="1" outlineLevel="3" x14ac:dyDescent="0.2">
      <c r="A4140" s="14" t="s">
        <v>8160</v>
      </c>
      <c r="B4140" s="15" t="s">
        <v>8161</v>
      </c>
      <c r="C4140" s="16">
        <f>272.2/(1+B2)</f>
        <v>272.2</v>
      </c>
      <c r="D4140" s="17" t="s">
        <v>11</v>
      </c>
      <c r="E4140" s="17"/>
      <c r="F4140" s="18"/>
      <c r="G4140" s="36" t="str">
        <f>IF(ISNUMBER(F4140),C4140*F4140,"")</f>
        <v/>
      </c>
    </row>
    <row r="4141" spans="1:7" ht="12" customHeight="1" outlineLevel="3" x14ac:dyDescent="0.2">
      <c r="A4141" s="14" t="s">
        <v>8162</v>
      </c>
      <c r="B4141" s="15" t="s">
        <v>8163</v>
      </c>
      <c r="C4141" s="16">
        <f>165.77/(1+B2)</f>
        <v>165.77</v>
      </c>
      <c r="D4141" s="17" t="s">
        <v>11</v>
      </c>
      <c r="E4141" s="17"/>
      <c r="F4141" s="18"/>
      <c r="G4141" s="36" t="str">
        <f>IF(ISNUMBER(F4141),C4141*F4141,"")</f>
        <v/>
      </c>
    </row>
    <row r="4142" spans="1:7" ht="12" customHeight="1" outlineLevel="3" x14ac:dyDescent="0.2">
      <c r="A4142" s="14" t="s">
        <v>8164</v>
      </c>
      <c r="B4142" s="15" t="s">
        <v>8165</v>
      </c>
      <c r="C4142" s="16">
        <f>79/(1+B2)</f>
        <v>79</v>
      </c>
      <c r="D4142" s="17" t="s">
        <v>11</v>
      </c>
      <c r="E4142" s="17"/>
      <c r="F4142" s="18"/>
      <c r="G4142" s="36" t="str">
        <f>IF(ISNUMBER(F4142),C4142*F4142,"")</f>
        <v/>
      </c>
    </row>
    <row r="4143" spans="1:7" ht="12" customHeight="1" outlineLevel="3" x14ac:dyDescent="0.2">
      <c r="A4143" s="14" t="s">
        <v>8166</v>
      </c>
      <c r="B4143" s="15" t="s">
        <v>8167</v>
      </c>
      <c r="C4143" s="16">
        <f>68.79/(1+B2)</f>
        <v>68.790000000000006</v>
      </c>
      <c r="D4143" s="17" t="s">
        <v>11</v>
      </c>
      <c r="E4143" s="17"/>
      <c r="F4143" s="18"/>
      <c r="G4143" s="36" t="str">
        <f>IF(ISNUMBER(F4143),C4143*F4143,"")</f>
        <v/>
      </c>
    </row>
    <row r="4144" spans="1:7" ht="12" customHeight="1" outlineLevel="3" x14ac:dyDescent="0.2">
      <c r="A4144" s="14" t="s">
        <v>8168</v>
      </c>
      <c r="B4144" s="15" t="s">
        <v>8169</v>
      </c>
      <c r="C4144" s="16">
        <f>80.95/(1+B2)</f>
        <v>80.95</v>
      </c>
      <c r="D4144" s="17" t="s">
        <v>11</v>
      </c>
      <c r="E4144" s="17"/>
      <c r="F4144" s="18"/>
      <c r="G4144" s="36" t="str">
        <f>IF(ISNUMBER(F4144),C4144*F4144,"")</f>
        <v/>
      </c>
    </row>
    <row r="4145" spans="1:7" ht="12" customHeight="1" outlineLevel="3" x14ac:dyDescent="0.2">
      <c r="A4145" s="14" t="s">
        <v>8170</v>
      </c>
      <c r="B4145" s="15" t="s">
        <v>8171</v>
      </c>
      <c r="C4145" s="16">
        <f>80.95/(1+B2)</f>
        <v>80.95</v>
      </c>
      <c r="D4145" s="17" t="s">
        <v>14</v>
      </c>
      <c r="E4145" s="17"/>
      <c r="F4145" s="18"/>
      <c r="G4145" s="36" t="str">
        <f>IF(ISNUMBER(F4145),C4145*F4145,"")</f>
        <v/>
      </c>
    </row>
    <row r="4146" spans="1:7" ht="12" customHeight="1" outlineLevel="3" x14ac:dyDescent="0.2">
      <c r="A4146" s="14" t="s">
        <v>8172</v>
      </c>
      <c r="B4146" s="15" t="s">
        <v>8173</v>
      </c>
      <c r="C4146" s="16">
        <f>91.25/(1+B2)</f>
        <v>91.25</v>
      </c>
      <c r="D4146" s="17" t="s">
        <v>11</v>
      </c>
      <c r="E4146" s="17"/>
      <c r="F4146" s="18"/>
      <c r="G4146" s="36" t="str">
        <f>IF(ISNUMBER(F4146),C4146*F4146,"")</f>
        <v/>
      </c>
    </row>
    <row r="4147" spans="1:7" ht="12" customHeight="1" outlineLevel="3" x14ac:dyDescent="0.2">
      <c r="A4147" s="14" t="s">
        <v>8174</v>
      </c>
      <c r="B4147" s="15" t="s">
        <v>8175</v>
      </c>
      <c r="C4147" s="16">
        <f>85.93/(1+B2)</f>
        <v>85.93</v>
      </c>
      <c r="D4147" s="17" t="s">
        <v>11</v>
      </c>
      <c r="E4147" s="17"/>
      <c r="F4147" s="18"/>
      <c r="G4147" s="36" t="str">
        <f>IF(ISNUMBER(F4147),C4147*F4147,"")</f>
        <v/>
      </c>
    </row>
    <row r="4148" spans="1:7" ht="12" customHeight="1" outlineLevel="3" x14ac:dyDescent="0.2">
      <c r="A4148" s="14" t="s">
        <v>8176</v>
      </c>
      <c r="B4148" s="15" t="s">
        <v>8177</v>
      </c>
      <c r="C4148" s="16">
        <f>142.5/(1+B2)</f>
        <v>142.5</v>
      </c>
      <c r="D4148" s="17" t="s">
        <v>11</v>
      </c>
      <c r="E4148" s="17"/>
      <c r="F4148" s="18"/>
      <c r="G4148" s="36" t="str">
        <f>IF(ISNUMBER(F4148),C4148*F4148,"")</f>
        <v/>
      </c>
    </row>
    <row r="4149" spans="1:7" ht="12" customHeight="1" outlineLevel="3" x14ac:dyDescent="0.2">
      <c r="A4149" s="14" t="s">
        <v>8178</v>
      </c>
      <c r="B4149" s="15" t="s">
        <v>8179</v>
      </c>
      <c r="C4149" s="16">
        <f>50.58/(1+B2)</f>
        <v>50.58</v>
      </c>
      <c r="D4149" s="17" t="s">
        <v>11</v>
      </c>
      <c r="E4149" s="17"/>
      <c r="F4149" s="18"/>
      <c r="G4149" s="36" t="str">
        <f>IF(ISNUMBER(F4149),C4149*F4149,"")</f>
        <v/>
      </c>
    </row>
    <row r="4150" spans="1:7" ht="12" customHeight="1" outlineLevel="3" x14ac:dyDescent="0.2">
      <c r="A4150" s="14" t="s">
        <v>8180</v>
      </c>
      <c r="B4150" s="15" t="s">
        <v>8181</v>
      </c>
      <c r="C4150" s="16">
        <f>48.5/(1+B2)</f>
        <v>48.5</v>
      </c>
      <c r="D4150" s="17" t="s">
        <v>14</v>
      </c>
      <c r="E4150" s="17"/>
      <c r="F4150" s="18"/>
      <c r="G4150" s="36" t="str">
        <f>IF(ISNUMBER(F4150),C4150*F4150,"")</f>
        <v/>
      </c>
    </row>
    <row r="4151" spans="1:7" ht="12" customHeight="1" outlineLevel="3" x14ac:dyDescent="0.2">
      <c r="A4151" s="14" t="s">
        <v>8182</v>
      </c>
      <c r="B4151" s="15" t="s">
        <v>8183</v>
      </c>
      <c r="C4151" s="16">
        <f>54.64/(1+B2)</f>
        <v>54.64</v>
      </c>
      <c r="D4151" s="17" t="s">
        <v>11</v>
      </c>
      <c r="E4151" s="17"/>
      <c r="F4151" s="18"/>
      <c r="G4151" s="36" t="str">
        <f>IF(ISNUMBER(F4151),C4151*F4151,"")</f>
        <v/>
      </c>
    </row>
    <row r="4152" spans="1:7" ht="12" customHeight="1" outlineLevel="3" x14ac:dyDescent="0.2">
      <c r="A4152" s="14" t="s">
        <v>8184</v>
      </c>
      <c r="B4152" s="15" t="s">
        <v>8185</v>
      </c>
      <c r="C4152" s="16">
        <f>60.58/(1+B2)</f>
        <v>60.58</v>
      </c>
      <c r="D4152" s="17" t="s">
        <v>14</v>
      </c>
      <c r="E4152" s="17"/>
      <c r="F4152" s="18"/>
      <c r="G4152" s="36" t="str">
        <f>IF(ISNUMBER(F4152),C4152*F4152,"")</f>
        <v/>
      </c>
    </row>
    <row r="4153" spans="1:7" ht="12" customHeight="1" outlineLevel="3" x14ac:dyDescent="0.2">
      <c r="A4153" s="14" t="s">
        <v>8186</v>
      </c>
      <c r="B4153" s="15" t="s">
        <v>8187</v>
      </c>
      <c r="C4153" s="16">
        <f>69.84/(1+B2)</f>
        <v>69.84</v>
      </c>
      <c r="D4153" s="17" t="s">
        <v>11</v>
      </c>
      <c r="E4153" s="17"/>
      <c r="F4153" s="18"/>
      <c r="G4153" s="36" t="str">
        <f>IF(ISNUMBER(F4153),C4153*F4153,"")</f>
        <v/>
      </c>
    </row>
    <row r="4154" spans="1:7" ht="12" customHeight="1" outlineLevel="3" x14ac:dyDescent="0.2">
      <c r="A4154" s="14" t="s">
        <v>8188</v>
      </c>
      <c r="B4154" s="15" t="s">
        <v>8189</v>
      </c>
      <c r="C4154" s="16">
        <f>79/(1+B2)</f>
        <v>79</v>
      </c>
      <c r="D4154" s="17" t="s">
        <v>11</v>
      </c>
      <c r="E4154" s="17"/>
      <c r="F4154" s="18"/>
      <c r="G4154" s="36" t="str">
        <f>IF(ISNUMBER(F4154),C4154*F4154,"")</f>
        <v/>
      </c>
    </row>
    <row r="4155" spans="1:7" ht="12" customHeight="1" outlineLevel="3" x14ac:dyDescent="0.2">
      <c r="A4155" s="14" t="s">
        <v>8190</v>
      </c>
      <c r="B4155" s="15" t="s">
        <v>8191</v>
      </c>
      <c r="C4155" s="16">
        <f>79/(1+B2)</f>
        <v>79</v>
      </c>
      <c r="D4155" s="17" t="s">
        <v>11</v>
      </c>
      <c r="E4155" s="17"/>
      <c r="F4155" s="18"/>
      <c r="G4155" s="36" t="str">
        <f>IF(ISNUMBER(F4155),C4155*F4155,"")</f>
        <v/>
      </c>
    </row>
    <row r="4156" spans="1:7" ht="12" customHeight="1" outlineLevel="3" x14ac:dyDescent="0.2">
      <c r="A4156" s="14" t="s">
        <v>8192</v>
      </c>
      <c r="B4156" s="15" t="s">
        <v>8193</v>
      </c>
      <c r="C4156" s="16">
        <f>80/(1+B2)</f>
        <v>80</v>
      </c>
      <c r="D4156" s="17" t="s">
        <v>11</v>
      </c>
      <c r="E4156" s="17"/>
      <c r="F4156" s="18"/>
      <c r="G4156" s="36" t="str">
        <f>IF(ISNUMBER(F4156),C4156*F4156,"")</f>
        <v/>
      </c>
    </row>
    <row r="4157" spans="1:7" ht="12" customHeight="1" outlineLevel="3" x14ac:dyDescent="0.2">
      <c r="A4157" s="14" t="s">
        <v>8194</v>
      </c>
      <c r="B4157" s="15" t="s">
        <v>8195</v>
      </c>
      <c r="C4157" s="16">
        <f>75/(1+B2)</f>
        <v>75</v>
      </c>
      <c r="D4157" s="17" t="s">
        <v>11</v>
      </c>
      <c r="E4157" s="17"/>
      <c r="F4157" s="18"/>
      <c r="G4157" s="36" t="str">
        <f>IF(ISNUMBER(F4157),C4157*F4157,"")</f>
        <v/>
      </c>
    </row>
    <row r="4158" spans="1:7" ht="12" customHeight="1" outlineLevel="3" x14ac:dyDescent="0.2">
      <c r="A4158" s="14" t="s">
        <v>8196</v>
      </c>
      <c r="B4158" s="15" t="s">
        <v>8197</v>
      </c>
      <c r="C4158" s="16">
        <f>69/(1+B2)</f>
        <v>69</v>
      </c>
      <c r="D4158" s="17" t="s">
        <v>11</v>
      </c>
      <c r="E4158" s="17"/>
      <c r="F4158" s="18"/>
      <c r="G4158" s="36" t="str">
        <f>IF(ISNUMBER(F4158),C4158*F4158,"")</f>
        <v/>
      </c>
    </row>
    <row r="4159" spans="1:7" ht="12" customHeight="1" outlineLevel="3" x14ac:dyDescent="0.2">
      <c r="A4159" s="14" t="s">
        <v>8198</v>
      </c>
      <c r="B4159" s="15" t="s">
        <v>8199</v>
      </c>
      <c r="C4159" s="16">
        <f>76/(1+B2)</f>
        <v>76</v>
      </c>
      <c r="D4159" s="17" t="s">
        <v>11</v>
      </c>
      <c r="E4159" s="17"/>
      <c r="F4159" s="18"/>
      <c r="G4159" s="36" t="str">
        <f>IF(ISNUMBER(F4159),C4159*F4159,"")</f>
        <v/>
      </c>
    </row>
    <row r="4160" spans="1:7" ht="12" customHeight="1" outlineLevel="3" x14ac:dyDescent="0.2">
      <c r="A4160" s="14" t="s">
        <v>8200</v>
      </c>
      <c r="B4160" s="15" t="s">
        <v>8201</v>
      </c>
      <c r="C4160" s="16">
        <f>76/(1+B2)</f>
        <v>76</v>
      </c>
      <c r="D4160" s="17" t="s">
        <v>11</v>
      </c>
      <c r="E4160" s="17"/>
      <c r="F4160" s="18"/>
      <c r="G4160" s="36" t="str">
        <f>IF(ISNUMBER(F4160),C4160*F4160,"")</f>
        <v/>
      </c>
    </row>
    <row r="4161" spans="1:7" ht="12" customHeight="1" outlineLevel="3" x14ac:dyDescent="0.2">
      <c r="A4161" s="14" t="s">
        <v>8202</v>
      </c>
      <c r="B4161" s="15" t="s">
        <v>8203</v>
      </c>
      <c r="C4161" s="16">
        <f>74/(1+B2)</f>
        <v>74</v>
      </c>
      <c r="D4161" s="17" t="s">
        <v>11</v>
      </c>
      <c r="E4161" s="17"/>
      <c r="F4161" s="18"/>
      <c r="G4161" s="36" t="str">
        <f>IF(ISNUMBER(F4161),C4161*F4161,"")</f>
        <v/>
      </c>
    </row>
    <row r="4162" spans="1:7" ht="12" customHeight="1" outlineLevel="3" x14ac:dyDescent="0.2">
      <c r="A4162" s="14" t="s">
        <v>8204</v>
      </c>
      <c r="B4162" s="15" t="s">
        <v>8205</v>
      </c>
      <c r="C4162" s="16">
        <f>67.08/(1+B2)</f>
        <v>67.08</v>
      </c>
      <c r="D4162" s="17" t="s">
        <v>11</v>
      </c>
      <c r="E4162" s="17"/>
      <c r="F4162" s="18"/>
      <c r="G4162" s="36" t="str">
        <f>IF(ISNUMBER(F4162),C4162*F4162,"")</f>
        <v/>
      </c>
    </row>
    <row r="4163" spans="1:7" ht="12" customHeight="1" outlineLevel="3" x14ac:dyDescent="0.2">
      <c r="A4163" s="14" t="s">
        <v>8206</v>
      </c>
      <c r="B4163" s="15" t="s">
        <v>8207</v>
      </c>
      <c r="C4163" s="16">
        <f>70.98/(1+B2)</f>
        <v>70.98</v>
      </c>
      <c r="D4163" s="17" t="s">
        <v>11</v>
      </c>
      <c r="E4163" s="17"/>
      <c r="F4163" s="18"/>
      <c r="G4163" s="36" t="str">
        <f>IF(ISNUMBER(F4163),C4163*F4163,"")</f>
        <v/>
      </c>
    </row>
    <row r="4164" spans="1:7" ht="12" customHeight="1" outlineLevel="3" x14ac:dyDescent="0.2">
      <c r="A4164" s="14" t="s">
        <v>8208</v>
      </c>
      <c r="B4164" s="15" t="s">
        <v>8209</v>
      </c>
      <c r="C4164" s="16">
        <f>68.14/(1+B2)</f>
        <v>68.14</v>
      </c>
      <c r="D4164" s="17" t="s">
        <v>14</v>
      </c>
      <c r="E4164" s="17"/>
      <c r="F4164" s="18"/>
      <c r="G4164" s="36" t="str">
        <f>IF(ISNUMBER(F4164),C4164*F4164,"")</f>
        <v/>
      </c>
    </row>
    <row r="4165" spans="1:7" ht="12" customHeight="1" outlineLevel="3" x14ac:dyDescent="0.2">
      <c r="A4165" s="14" t="s">
        <v>8210</v>
      </c>
      <c r="B4165" s="15" t="s">
        <v>8211</v>
      </c>
      <c r="C4165" s="16">
        <f>112.31/(1+B2)</f>
        <v>112.31</v>
      </c>
      <c r="D4165" s="17" t="s">
        <v>11</v>
      </c>
      <c r="E4165" s="17"/>
      <c r="F4165" s="18"/>
      <c r="G4165" s="36" t="str">
        <f>IF(ISNUMBER(F4165),C4165*F4165,"")</f>
        <v/>
      </c>
    </row>
    <row r="4166" spans="1:7" ht="12" customHeight="1" outlineLevel="3" x14ac:dyDescent="0.2">
      <c r="A4166" s="14" t="s">
        <v>8212</v>
      </c>
      <c r="B4166" s="15" t="s">
        <v>8213</v>
      </c>
      <c r="C4166" s="16">
        <f>78/(1+B2)</f>
        <v>78</v>
      </c>
      <c r="D4166" s="17" t="s">
        <v>11</v>
      </c>
      <c r="E4166" s="17"/>
      <c r="F4166" s="18"/>
      <c r="G4166" s="36" t="str">
        <f>IF(ISNUMBER(F4166),C4166*F4166,"")</f>
        <v/>
      </c>
    </row>
    <row r="4167" spans="1:7" ht="12" customHeight="1" outlineLevel="3" x14ac:dyDescent="0.2">
      <c r="A4167" s="14" t="s">
        <v>8214</v>
      </c>
      <c r="B4167" s="15" t="s">
        <v>8215</v>
      </c>
      <c r="C4167" s="16">
        <f>119/(1+B2)</f>
        <v>119</v>
      </c>
      <c r="D4167" s="17" t="s">
        <v>11</v>
      </c>
      <c r="E4167" s="17"/>
      <c r="F4167" s="18"/>
      <c r="G4167" s="36" t="str">
        <f>IF(ISNUMBER(F4167),C4167*F4167,"")</f>
        <v/>
      </c>
    </row>
    <row r="4168" spans="1:7" ht="12" customHeight="1" outlineLevel="3" x14ac:dyDescent="0.2">
      <c r="A4168" s="14" t="s">
        <v>8216</v>
      </c>
      <c r="B4168" s="15" t="s">
        <v>8217</v>
      </c>
      <c r="C4168" s="16">
        <f>119/(1+B2)</f>
        <v>119</v>
      </c>
      <c r="D4168" s="17" t="s">
        <v>11</v>
      </c>
      <c r="E4168" s="17"/>
      <c r="F4168" s="18"/>
      <c r="G4168" s="36" t="str">
        <f>IF(ISNUMBER(F4168),C4168*F4168,"")</f>
        <v/>
      </c>
    </row>
    <row r="4169" spans="1:7" ht="12" customHeight="1" outlineLevel="3" x14ac:dyDescent="0.2">
      <c r="A4169" s="14" t="s">
        <v>8218</v>
      </c>
      <c r="B4169" s="15" t="s">
        <v>8219</v>
      </c>
      <c r="C4169" s="16">
        <f>66/(1+B2)</f>
        <v>66</v>
      </c>
      <c r="D4169" s="17" t="s">
        <v>11</v>
      </c>
      <c r="E4169" s="17"/>
      <c r="F4169" s="18"/>
      <c r="G4169" s="36" t="str">
        <f>IF(ISNUMBER(F4169),C4169*F4169,"")</f>
        <v/>
      </c>
    </row>
    <row r="4170" spans="1:7" ht="12" customHeight="1" outlineLevel="3" x14ac:dyDescent="0.2">
      <c r="A4170" s="14" t="s">
        <v>8220</v>
      </c>
      <c r="B4170" s="15" t="s">
        <v>8221</v>
      </c>
      <c r="C4170" s="16">
        <f>80.95/(1+B2)</f>
        <v>80.95</v>
      </c>
      <c r="D4170" s="17" t="s">
        <v>11</v>
      </c>
      <c r="E4170" s="17"/>
      <c r="F4170" s="18"/>
      <c r="G4170" s="36" t="str">
        <f>IF(ISNUMBER(F4170),C4170*F4170,"")</f>
        <v/>
      </c>
    </row>
    <row r="4171" spans="1:7" ht="12" customHeight="1" outlineLevel="3" x14ac:dyDescent="0.2">
      <c r="A4171" s="14" t="s">
        <v>8222</v>
      </c>
      <c r="B4171" s="15" t="s">
        <v>8223</v>
      </c>
      <c r="C4171" s="16">
        <f>91.25/(1+B2)</f>
        <v>91.25</v>
      </c>
      <c r="D4171" s="17" t="s">
        <v>11</v>
      </c>
      <c r="E4171" s="17"/>
      <c r="F4171" s="18"/>
      <c r="G4171" s="36" t="str">
        <f>IF(ISNUMBER(F4171),C4171*F4171,"")</f>
        <v/>
      </c>
    </row>
    <row r="4172" spans="1:7" ht="12" customHeight="1" outlineLevel="3" x14ac:dyDescent="0.2">
      <c r="A4172" s="14" t="s">
        <v>8224</v>
      </c>
      <c r="B4172" s="15" t="s">
        <v>8225</v>
      </c>
      <c r="C4172" s="16">
        <f>110.48/(1+B2)</f>
        <v>110.48</v>
      </c>
      <c r="D4172" s="17" t="s">
        <v>11</v>
      </c>
      <c r="E4172" s="17"/>
      <c r="F4172" s="18"/>
      <c r="G4172" s="36" t="str">
        <f>IF(ISNUMBER(F4172),C4172*F4172,"")</f>
        <v/>
      </c>
    </row>
    <row r="4173" spans="1:7" ht="12" customHeight="1" outlineLevel="3" x14ac:dyDescent="0.2">
      <c r="A4173" s="14" t="s">
        <v>8226</v>
      </c>
      <c r="B4173" s="15" t="s">
        <v>8227</v>
      </c>
      <c r="C4173" s="16">
        <f>82.32/(1+B2)</f>
        <v>82.32</v>
      </c>
      <c r="D4173" s="17" t="s">
        <v>11</v>
      </c>
      <c r="E4173" s="17"/>
      <c r="F4173" s="18"/>
      <c r="G4173" s="36" t="str">
        <f>IF(ISNUMBER(F4173),C4173*F4173,"")</f>
        <v/>
      </c>
    </row>
    <row r="4174" spans="1:7" ht="12" customHeight="1" outlineLevel="3" x14ac:dyDescent="0.2">
      <c r="A4174" s="14" t="s">
        <v>8228</v>
      </c>
      <c r="B4174" s="15" t="s">
        <v>8229</v>
      </c>
      <c r="C4174" s="16">
        <f>88.9/(1+B2)</f>
        <v>88.9</v>
      </c>
      <c r="D4174" s="17" t="s">
        <v>11</v>
      </c>
      <c r="E4174" s="17"/>
      <c r="F4174" s="18"/>
      <c r="G4174" s="36" t="str">
        <f>IF(ISNUMBER(F4174),C4174*F4174,"")</f>
        <v/>
      </c>
    </row>
    <row r="4175" spans="1:7" ht="12" customHeight="1" outlineLevel="3" x14ac:dyDescent="0.2">
      <c r="A4175" s="14" t="s">
        <v>8230</v>
      </c>
      <c r="B4175" s="15" t="s">
        <v>8231</v>
      </c>
      <c r="C4175" s="16">
        <f>85.93/(1+B2)</f>
        <v>85.93</v>
      </c>
      <c r="D4175" s="17" t="s">
        <v>11</v>
      </c>
      <c r="E4175" s="17"/>
      <c r="F4175" s="18"/>
      <c r="G4175" s="36" t="str">
        <f>IF(ISNUMBER(F4175),C4175*F4175,"")</f>
        <v/>
      </c>
    </row>
    <row r="4176" spans="1:7" ht="12" customHeight="1" outlineLevel="3" x14ac:dyDescent="0.2">
      <c r="A4176" s="14" t="s">
        <v>8232</v>
      </c>
      <c r="B4176" s="15" t="s">
        <v>8233</v>
      </c>
      <c r="C4176" s="16">
        <f>94.4/(1+B2)</f>
        <v>94.4</v>
      </c>
      <c r="D4176" s="17" t="s">
        <v>11</v>
      </c>
      <c r="E4176" s="17"/>
      <c r="F4176" s="18"/>
      <c r="G4176" s="36" t="str">
        <f>IF(ISNUMBER(F4176),C4176*F4176,"")</f>
        <v/>
      </c>
    </row>
    <row r="4177" spans="1:7" ht="12" customHeight="1" outlineLevel="3" x14ac:dyDescent="0.2">
      <c r="A4177" s="14" t="s">
        <v>8234</v>
      </c>
      <c r="B4177" s="15" t="s">
        <v>8235</v>
      </c>
      <c r="C4177" s="16">
        <f>36.29/(1+B2)</f>
        <v>36.29</v>
      </c>
      <c r="D4177" s="17" t="s">
        <v>11</v>
      </c>
      <c r="E4177" s="17"/>
      <c r="F4177" s="18"/>
      <c r="G4177" s="36" t="str">
        <f>IF(ISNUMBER(F4177),C4177*F4177,"")</f>
        <v/>
      </c>
    </row>
    <row r="4178" spans="1:7" ht="12" customHeight="1" outlineLevel="3" x14ac:dyDescent="0.2">
      <c r="A4178" s="14" t="s">
        <v>8236</v>
      </c>
      <c r="B4178" s="15" t="s">
        <v>8237</v>
      </c>
      <c r="C4178" s="16">
        <f>70.72/(1+B2)</f>
        <v>70.72</v>
      </c>
      <c r="D4178" s="17" t="s">
        <v>11</v>
      </c>
      <c r="E4178" s="17" t="s">
        <v>14</v>
      </c>
      <c r="F4178" s="18"/>
      <c r="G4178" s="36" t="str">
        <f>IF(ISNUMBER(F4178),C4178*F4178,"")</f>
        <v/>
      </c>
    </row>
    <row r="4179" spans="1:7" ht="12" customHeight="1" outlineLevel="3" x14ac:dyDescent="0.2">
      <c r="A4179" s="14" t="s">
        <v>8238</v>
      </c>
      <c r="B4179" s="15" t="s">
        <v>8239</v>
      </c>
      <c r="C4179" s="16">
        <f>180.13/(1+B2)</f>
        <v>180.13</v>
      </c>
      <c r="D4179" s="17" t="s">
        <v>11</v>
      </c>
      <c r="E4179" s="17"/>
      <c r="F4179" s="18"/>
      <c r="G4179" s="36" t="str">
        <f>IF(ISNUMBER(F4179),C4179*F4179,"")</f>
        <v/>
      </c>
    </row>
    <row r="4180" spans="1:7" ht="12" customHeight="1" outlineLevel="3" x14ac:dyDescent="0.2">
      <c r="A4180" s="14" t="s">
        <v>8240</v>
      </c>
      <c r="B4180" s="15" t="s">
        <v>8241</v>
      </c>
      <c r="C4180" s="16">
        <f>276.64/(1+B2)</f>
        <v>276.64</v>
      </c>
      <c r="D4180" s="17" t="s">
        <v>11</v>
      </c>
      <c r="E4180" s="17"/>
      <c r="F4180" s="18"/>
      <c r="G4180" s="36" t="str">
        <f>IF(ISNUMBER(F4180),C4180*F4180,"")</f>
        <v/>
      </c>
    </row>
    <row r="4181" spans="1:7" ht="12" customHeight="1" outlineLevel="3" x14ac:dyDescent="0.2">
      <c r="A4181" s="14" t="s">
        <v>8242</v>
      </c>
      <c r="B4181" s="15" t="s">
        <v>8243</v>
      </c>
      <c r="C4181" s="16">
        <f>95/(1+B2)</f>
        <v>95</v>
      </c>
      <c r="D4181" s="17" t="s">
        <v>11</v>
      </c>
      <c r="E4181" s="17"/>
      <c r="F4181" s="18"/>
      <c r="G4181" s="36" t="str">
        <f>IF(ISNUMBER(F4181),C4181*F4181,"")</f>
        <v/>
      </c>
    </row>
    <row r="4182" spans="1:7" ht="24" customHeight="1" outlineLevel="3" x14ac:dyDescent="0.2">
      <c r="A4182" s="14" t="s">
        <v>8244</v>
      </c>
      <c r="B4182" s="15" t="s">
        <v>8245</v>
      </c>
      <c r="C4182" s="16">
        <f>82.15/(1+B2)</f>
        <v>82.15</v>
      </c>
      <c r="D4182" s="17" t="s">
        <v>14</v>
      </c>
      <c r="E4182" s="17"/>
      <c r="F4182" s="18"/>
      <c r="G4182" s="36" t="str">
        <f>IF(ISNUMBER(F4182),C4182*F4182,"")</f>
        <v/>
      </c>
    </row>
    <row r="4183" spans="1:7" ht="12" customHeight="1" outlineLevel="3" x14ac:dyDescent="0.2">
      <c r="A4183" s="14" t="s">
        <v>8246</v>
      </c>
      <c r="B4183" s="15" t="s">
        <v>8247</v>
      </c>
      <c r="C4183" s="16">
        <f>75.69/(1+B2)</f>
        <v>75.69</v>
      </c>
      <c r="D4183" s="17" t="s">
        <v>11</v>
      </c>
      <c r="E4183" s="17"/>
      <c r="F4183" s="18"/>
      <c r="G4183" s="36" t="str">
        <f>IF(ISNUMBER(F4183),C4183*F4183,"")</f>
        <v/>
      </c>
    </row>
    <row r="4184" spans="1:7" ht="12" customHeight="1" outlineLevel="3" x14ac:dyDescent="0.2">
      <c r="A4184" s="14" t="s">
        <v>8248</v>
      </c>
      <c r="B4184" s="15" t="s">
        <v>8249</v>
      </c>
      <c r="C4184" s="16">
        <f>81/(1+B2)</f>
        <v>81</v>
      </c>
      <c r="D4184" s="17" t="s">
        <v>11</v>
      </c>
      <c r="E4184" s="17"/>
      <c r="F4184" s="18"/>
      <c r="G4184" s="36" t="str">
        <f>IF(ISNUMBER(F4184),C4184*F4184,"")</f>
        <v/>
      </c>
    </row>
    <row r="4185" spans="1:7" ht="12" customHeight="1" outlineLevel="3" x14ac:dyDescent="0.2">
      <c r="A4185" s="14" t="s">
        <v>8250</v>
      </c>
      <c r="B4185" s="15" t="s">
        <v>8251</v>
      </c>
      <c r="C4185" s="16">
        <f>81/(1+B2)</f>
        <v>81</v>
      </c>
      <c r="D4185" s="17" t="s">
        <v>11</v>
      </c>
      <c r="E4185" s="17"/>
      <c r="F4185" s="18"/>
      <c r="G4185" s="36" t="str">
        <f>IF(ISNUMBER(F4185),C4185*F4185,"")</f>
        <v/>
      </c>
    </row>
    <row r="4186" spans="1:7" ht="12" customHeight="1" outlineLevel="3" x14ac:dyDescent="0.2">
      <c r="A4186" s="14" t="s">
        <v>8252</v>
      </c>
      <c r="B4186" s="15" t="s">
        <v>8253</v>
      </c>
      <c r="C4186" s="16">
        <f>81/(1+B2)</f>
        <v>81</v>
      </c>
      <c r="D4186" s="17" t="s">
        <v>11</v>
      </c>
      <c r="E4186" s="17"/>
      <c r="F4186" s="18"/>
      <c r="G4186" s="36" t="str">
        <f>IF(ISNUMBER(F4186),C4186*F4186,"")</f>
        <v/>
      </c>
    </row>
    <row r="4187" spans="1:7" ht="12" customHeight="1" outlineLevel="3" x14ac:dyDescent="0.2">
      <c r="A4187" s="14" t="s">
        <v>8254</v>
      </c>
      <c r="B4187" s="15" t="s">
        <v>8255</v>
      </c>
      <c r="C4187" s="16">
        <f>81/(1+B2)</f>
        <v>81</v>
      </c>
      <c r="D4187" s="17" t="s">
        <v>11</v>
      </c>
      <c r="E4187" s="17"/>
      <c r="F4187" s="18"/>
      <c r="G4187" s="36" t="str">
        <f>IF(ISNUMBER(F4187),C4187*F4187,"")</f>
        <v/>
      </c>
    </row>
    <row r="4188" spans="1:7" ht="12" customHeight="1" outlineLevel="3" x14ac:dyDescent="0.2">
      <c r="A4188" s="14" t="s">
        <v>8256</v>
      </c>
      <c r="B4188" s="15" t="s">
        <v>8257</v>
      </c>
      <c r="C4188" s="16">
        <f>81/(1+B2)</f>
        <v>81</v>
      </c>
      <c r="D4188" s="17" t="s">
        <v>11</v>
      </c>
      <c r="E4188" s="17"/>
      <c r="F4188" s="18"/>
      <c r="G4188" s="36" t="str">
        <f>IF(ISNUMBER(F4188),C4188*F4188,"")</f>
        <v/>
      </c>
    </row>
    <row r="4189" spans="1:7" ht="12" customHeight="1" outlineLevel="3" x14ac:dyDescent="0.2">
      <c r="A4189" s="14" t="s">
        <v>8258</v>
      </c>
      <c r="B4189" s="15" t="s">
        <v>8259</v>
      </c>
      <c r="C4189" s="16">
        <f>64.09/(1+B2)</f>
        <v>64.09</v>
      </c>
      <c r="D4189" s="17" t="s">
        <v>11</v>
      </c>
      <c r="E4189" s="17"/>
      <c r="F4189" s="18"/>
      <c r="G4189" s="36" t="str">
        <f>IF(ISNUMBER(F4189),C4189*F4189,"")</f>
        <v/>
      </c>
    </row>
    <row r="4190" spans="1:7" ht="24" customHeight="1" outlineLevel="3" x14ac:dyDescent="0.2">
      <c r="A4190" s="14" t="s">
        <v>8260</v>
      </c>
      <c r="B4190" s="15" t="s">
        <v>8261</v>
      </c>
      <c r="C4190" s="16">
        <f>100.24/(1+B2)</f>
        <v>100.24</v>
      </c>
      <c r="D4190" s="17" t="s">
        <v>11</v>
      </c>
      <c r="E4190" s="17"/>
      <c r="F4190" s="18"/>
      <c r="G4190" s="36" t="str">
        <f>IF(ISNUMBER(F4190),C4190*F4190,"")</f>
        <v/>
      </c>
    </row>
    <row r="4191" spans="1:7" ht="12" customHeight="1" outlineLevel="3" x14ac:dyDescent="0.2">
      <c r="A4191" s="14" t="s">
        <v>8262</v>
      </c>
      <c r="B4191" s="15" t="s">
        <v>8263</v>
      </c>
      <c r="C4191" s="16">
        <f>78/(1+B2)</f>
        <v>78</v>
      </c>
      <c r="D4191" s="17" t="s">
        <v>11</v>
      </c>
      <c r="E4191" s="17"/>
      <c r="F4191" s="18"/>
      <c r="G4191" s="36" t="str">
        <f>IF(ISNUMBER(F4191),C4191*F4191,"")</f>
        <v/>
      </c>
    </row>
    <row r="4192" spans="1:7" ht="12" customHeight="1" outlineLevel="3" x14ac:dyDescent="0.2">
      <c r="A4192" s="14" t="s">
        <v>8264</v>
      </c>
      <c r="B4192" s="15" t="s">
        <v>8265</v>
      </c>
      <c r="C4192" s="16">
        <f>62.64/(1+B2)</f>
        <v>62.64</v>
      </c>
      <c r="D4192" s="17" t="s">
        <v>11</v>
      </c>
      <c r="E4192" s="17"/>
      <c r="F4192" s="18"/>
      <c r="G4192" s="36" t="str">
        <f>IF(ISNUMBER(F4192),C4192*F4192,"")</f>
        <v/>
      </c>
    </row>
    <row r="4193" spans="1:7" ht="12" customHeight="1" outlineLevel="3" x14ac:dyDescent="0.2">
      <c r="A4193" s="14" t="s">
        <v>8266</v>
      </c>
      <c r="B4193" s="15" t="s">
        <v>8267</v>
      </c>
      <c r="C4193" s="16">
        <f>67.66/(1+B2)</f>
        <v>67.66</v>
      </c>
      <c r="D4193" s="17" t="s">
        <v>11</v>
      </c>
      <c r="E4193" s="17"/>
      <c r="F4193" s="18"/>
      <c r="G4193" s="36" t="str">
        <f>IF(ISNUMBER(F4193),C4193*F4193,"")</f>
        <v/>
      </c>
    </row>
    <row r="4194" spans="1:7" ht="12" customHeight="1" outlineLevel="3" x14ac:dyDescent="0.2">
      <c r="A4194" s="14" t="s">
        <v>8268</v>
      </c>
      <c r="B4194" s="15" t="s">
        <v>8269</v>
      </c>
      <c r="C4194" s="16">
        <f>81.28/(1+B2)</f>
        <v>81.28</v>
      </c>
      <c r="D4194" s="17" t="s">
        <v>11</v>
      </c>
      <c r="E4194" s="17"/>
      <c r="F4194" s="18"/>
      <c r="G4194" s="36" t="str">
        <f>IF(ISNUMBER(F4194),C4194*F4194,"")</f>
        <v/>
      </c>
    </row>
    <row r="4195" spans="1:7" ht="12" customHeight="1" outlineLevel="3" x14ac:dyDescent="0.2">
      <c r="A4195" s="14" t="s">
        <v>8270</v>
      </c>
      <c r="B4195" s="15" t="s">
        <v>8271</v>
      </c>
      <c r="C4195" s="16">
        <f>312.43/(1+B2)</f>
        <v>312.43</v>
      </c>
      <c r="D4195" s="17" t="s">
        <v>11</v>
      </c>
      <c r="E4195" s="17"/>
      <c r="F4195" s="18"/>
      <c r="G4195" s="36" t="str">
        <f>IF(ISNUMBER(F4195),C4195*F4195,"")</f>
        <v/>
      </c>
    </row>
    <row r="4196" spans="1:7" ht="12" customHeight="1" outlineLevel="3" x14ac:dyDescent="0.2">
      <c r="A4196" s="14" t="s">
        <v>8272</v>
      </c>
      <c r="B4196" s="15" t="s">
        <v>8273</v>
      </c>
      <c r="C4196" s="16">
        <f>353.6/(1+B2)</f>
        <v>353.6</v>
      </c>
      <c r="D4196" s="17" t="s">
        <v>11</v>
      </c>
      <c r="E4196" s="17"/>
      <c r="F4196" s="18"/>
      <c r="G4196" s="36" t="str">
        <f>IF(ISNUMBER(F4196),C4196*F4196,"")</f>
        <v/>
      </c>
    </row>
    <row r="4197" spans="1:7" s="1" customFormat="1" ht="12.95" customHeight="1" outlineLevel="2" x14ac:dyDescent="0.2">
      <c r="A4197" s="20"/>
      <c r="B4197" s="21" t="s">
        <v>8274</v>
      </c>
      <c r="C4197" s="22"/>
      <c r="D4197" s="22"/>
      <c r="E4197" s="22"/>
      <c r="F4197" s="22"/>
      <c r="G4197" s="37"/>
    </row>
    <row r="4198" spans="1:7" ht="12" customHeight="1" outlineLevel="3" x14ac:dyDescent="0.2">
      <c r="A4198" s="14" t="s">
        <v>8275</v>
      </c>
      <c r="B4198" s="15" t="s">
        <v>8276</v>
      </c>
      <c r="C4198" s="16">
        <f>75.32/(1+B2)</f>
        <v>75.319999999999993</v>
      </c>
      <c r="D4198" s="17" t="s">
        <v>11</v>
      </c>
      <c r="E4198" s="17"/>
      <c r="F4198" s="18"/>
      <c r="G4198" s="36" t="str">
        <f>IF(ISNUMBER(F4198),C4198*F4198,"")</f>
        <v/>
      </c>
    </row>
    <row r="4199" spans="1:7" ht="12" customHeight="1" outlineLevel="3" x14ac:dyDescent="0.2">
      <c r="A4199" s="14" t="s">
        <v>8277</v>
      </c>
      <c r="B4199" s="15" t="s">
        <v>8278</v>
      </c>
      <c r="C4199" s="16">
        <f>54.33/(1+B2)</f>
        <v>54.33</v>
      </c>
      <c r="D4199" s="17" t="s">
        <v>11</v>
      </c>
      <c r="E4199" s="17"/>
      <c r="F4199" s="18"/>
      <c r="G4199" s="36" t="str">
        <f>IF(ISNUMBER(F4199),C4199*F4199,"")</f>
        <v/>
      </c>
    </row>
    <row r="4200" spans="1:7" ht="12" customHeight="1" outlineLevel="3" x14ac:dyDescent="0.2">
      <c r="A4200" s="14" t="s">
        <v>8279</v>
      </c>
      <c r="B4200" s="15" t="s">
        <v>8280</v>
      </c>
      <c r="C4200" s="16">
        <f>65.21/(1+B2)</f>
        <v>65.209999999999994</v>
      </c>
      <c r="D4200" s="17" t="s">
        <v>14</v>
      </c>
      <c r="E4200" s="17"/>
      <c r="F4200" s="18"/>
      <c r="G4200" s="36" t="str">
        <f>IF(ISNUMBER(F4200),C4200*F4200,"")</f>
        <v/>
      </c>
    </row>
    <row r="4201" spans="1:7" ht="12" customHeight="1" outlineLevel="3" x14ac:dyDescent="0.2">
      <c r="A4201" s="14" t="s">
        <v>8281</v>
      </c>
      <c r="B4201" s="15" t="s">
        <v>8282</v>
      </c>
      <c r="C4201" s="16">
        <f>61.58/(1+B2)</f>
        <v>61.58</v>
      </c>
      <c r="D4201" s="17" t="s">
        <v>11</v>
      </c>
      <c r="E4201" s="17"/>
      <c r="F4201" s="18"/>
      <c r="G4201" s="36" t="str">
        <f>IF(ISNUMBER(F4201),C4201*F4201,"")</f>
        <v/>
      </c>
    </row>
    <row r="4202" spans="1:7" ht="12" customHeight="1" outlineLevel="3" x14ac:dyDescent="0.2">
      <c r="A4202" s="14" t="s">
        <v>8283</v>
      </c>
      <c r="B4202" s="15" t="s">
        <v>8284</v>
      </c>
      <c r="C4202" s="16">
        <f>73.15/(1+B2)</f>
        <v>73.150000000000006</v>
      </c>
      <c r="D4202" s="17" t="s">
        <v>11</v>
      </c>
      <c r="E4202" s="17"/>
      <c r="F4202" s="18"/>
      <c r="G4202" s="36" t="str">
        <f>IF(ISNUMBER(F4202),C4202*F4202,"")</f>
        <v/>
      </c>
    </row>
    <row r="4203" spans="1:7" ht="12" customHeight="1" outlineLevel="3" x14ac:dyDescent="0.2">
      <c r="A4203" s="14" t="s">
        <v>8285</v>
      </c>
      <c r="B4203" s="15" t="s">
        <v>8286</v>
      </c>
      <c r="C4203" s="16">
        <f>105.05/(1+B2)</f>
        <v>105.05</v>
      </c>
      <c r="D4203" s="17" t="s">
        <v>11</v>
      </c>
      <c r="E4203" s="17"/>
      <c r="F4203" s="18"/>
      <c r="G4203" s="36" t="str">
        <f>IF(ISNUMBER(F4203),C4203*F4203,"")</f>
        <v/>
      </c>
    </row>
    <row r="4204" spans="1:7" ht="12" customHeight="1" outlineLevel="3" x14ac:dyDescent="0.2">
      <c r="A4204" s="14" t="s">
        <v>8287</v>
      </c>
      <c r="B4204" s="15" t="s">
        <v>8288</v>
      </c>
      <c r="C4204" s="16">
        <f>125.27/(1+B2)</f>
        <v>125.27</v>
      </c>
      <c r="D4204" s="17" t="s">
        <v>11</v>
      </c>
      <c r="E4204" s="17"/>
      <c r="F4204" s="18"/>
      <c r="G4204" s="36" t="str">
        <f>IF(ISNUMBER(F4204),C4204*F4204,"")</f>
        <v/>
      </c>
    </row>
    <row r="4205" spans="1:7" ht="12" customHeight="1" outlineLevel="3" x14ac:dyDescent="0.2">
      <c r="A4205" s="14" t="s">
        <v>8289</v>
      </c>
      <c r="B4205" s="15" t="s">
        <v>8290</v>
      </c>
      <c r="C4205" s="16">
        <f>90.3/(1+B2)</f>
        <v>90.3</v>
      </c>
      <c r="D4205" s="17" t="s">
        <v>11</v>
      </c>
      <c r="E4205" s="17"/>
      <c r="F4205" s="18"/>
      <c r="G4205" s="36" t="str">
        <f>IF(ISNUMBER(F4205),C4205*F4205,"")</f>
        <v/>
      </c>
    </row>
    <row r="4206" spans="1:7" s="1" customFormat="1" ht="12.95" customHeight="1" outlineLevel="2" x14ac:dyDescent="0.2">
      <c r="A4206" s="20"/>
      <c r="B4206" s="21" t="s">
        <v>8291</v>
      </c>
      <c r="C4206" s="22"/>
      <c r="D4206" s="22"/>
      <c r="E4206" s="22"/>
      <c r="F4206" s="22"/>
      <c r="G4206" s="37"/>
    </row>
    <row r="4207" spans="1:7" ht="12" customHeight="1" outlineLevel="3" x14ac:dyDescent="0.2">
      <c r="A4207" s="14" t="s">
        <v>8292</v>
      </c>
      <c r="B4207" s="15" t="s">
        <v>8293</v>
      </c>
      <c r="C4207" s="16">
        <f>396.98/(1+B2)</f>
        <v>396.98</v>
      </c>
      <c r="D4207" s="17" t="s">
        <v>11</v>
      </c>
      <c r="E4207" s="17"/>
      <c r="F4207" s="18"/>
      <c r="G4207" s="36" t="str">
        <f>IF(ISNUMBER(F4207),C4207*F4207,"")</f>
        <v/>
      </c>
    </row>
    <row r="4208" spans="1:7" ht="12" customHeight="1" outlineLevel="3" x14ac:dyDescent="0.2">
      <c r="A4208" s="14" t="s">
        <v>8294</v>
      </c>
      <c r="B4208" s="15" t="s">
        <v>8295</v>
      </c>
      <c r="C4208" s="16">
        <f>249.01/(1+B2)</f>
        <v>249.01</v>
      </c>
      <c r="D4208" s="17" t="s">
        <v>11</v>
      </c>
      <c r="E4208" s="17"/>
      <c r="F4208" s="18"/>
      <c r="G4208" s="36" t="str">
        <f>IF(ISNUMBER(F4208),C4208*F4208,"")</f>
        <v/>
      </c>
    </row>
    <row r="4209" spans="1:7" ht="12" customHeight="1" outlineLevel="3" x14ac:dyDescent="0.2">
      <c r="A4209" s="14" t="s">
        <v>8296</v>
      </c>
      <c r="B4209" s="15" t="s">
        <v>8297</v>
      </c>
      <c r="C4209" s="16">
        <f>339.01/(1+B2)</f>
        <v>339.01</v>
      </c>
      <c r="D4209" s="17" t="s">
        <v>11</v>
      </c>
      <c r="E4209" s="17"/>
      <c r="F4209" s="18"/>
      <c r="G4209" s="36" t="str">
        <f>IF(ISNUMBER(F4209),C4209*F4209,"")</f>
        <v/>
      </c>
    </row>
    <row r="4210" spans="1:7" ht="12" customHeight="1" outlineLevel="3" x14ac:dyDescent="0.2">
      <c r="A4210" s="14" t="s">
        <v>8298</v>
      </c>
      <c r="B4210" s="15" t="s">
        <v>8299</v>
      </c>
      <c r="C4210" s="16">
        <f>195.62/(1+B2)</f>
        <v>195.62</v>
      </c>
      <c r="D4210" s="17" t="s">
        <v>11</v>
      </c>
      <c r="E4210" s="17"/>
      <c r="F4210" s="18"/>
      <c r="G4210" s="36" t="str">
        <f>IF(ISNUMBER(F4210),C4210*F4210,"")</f>
        <v/>
      </c>
    </row>
    <row r="4211" spans="1:7" ht="12" customHeight="1" outlineLevel="3" x14ac:dyDescent="0.2">
      <c r="A4211" s="14" t="s">
        <v>8300</v>
      </c>
      <c r="B4211" s="15" t="s">
        <v>8301</v>
      </c>
      <c r="C4211" s="16">
        <f>382.63/(1+B2)</f>
        <v>382.63</v>
      </c>
      <c r="D4211" s="17" t="s">
        <v>11</v>
      </c>
      <c r="E4211" s="17"/>
      <c r="F4211" s="18"/>
      <c r="G4211" s="36" t="str">
        <f>IF(ISNUMBER(F4211),C4211*F4211,"")</f>
        <v/>
      </c>
    </row>
    <row r="4212" spans="1:7" s="1" customFormat="1" ht="12.95" customHeight="1" outlineLevel="2" x14ac:dyDescent="0.2">
      <c r="A4212" s="20"/>
      <c r="B4212" s="21" t="s">
        <v>8302</v>
      </c>
      <c r="C4212" s="22"/>
      <c r="D4212" s="22"/>
      <c r="E4212" s="22"/>
      <c r="F4212" s="22"/>
      <c r="G4212" s="37"/>
    </row>
    <row r="4213" spans="1:7" ht="12" customHeight="1" outlineLevel="3" x14ac:dyDescent="0.2">
      <c r="A4213" s="14" t="s">
        <v>8303</v>
      </c>
      <c r="B4213" s="15" t="s">
        <v>8304</v>
      </c>
      <c r="C4213" s="16">
        <f>188.1/(1+B2)</f>
        <v>188.1</v>
      </c>
      <c r="D4213" s="17" t="s">
        <v>11</v>
      </c>
      <c r="E4213" s="17"/>
      <c r="F4213" s="18"/>
      <c r="G4213" s="36" t="str">
        <f>IF(ISNUMBER(F4213),C4213*F4213,"")</f>
        <v/>
      </c>
    </row>
    <row r="4214" spans="1:7" ht="12" customHeight="1" outlineLevel="3" x14ac:dyDescent="0.2">
      <c r="A4214" s="14" t="s">
        <v>8305</v>
      </c>
      <c r="B4214" s="15" t="s">
        <v>8306</v>
      </c>
      <c r="C4214" s="16">
        <f>217.4/(1+B2)</f>
        <v>217.4</v>
      </c>
      <c r="D4214" s="17" t="s">
        <v>11</v>
      </c>
      <c r="E4214" s="17"/>
      <c r="F4214" s="18"/>
      <c r="G4214" s="36" t="str">
        <f>IF(ISNUMBER(F4214),C4214*F4214,"")</f>
        <v/>
      </c>
    </row>
    <row r="4215" spans="1:7" ht="12" customHeight="1" outlineLevel="3" x14ac:dyDescent="0.2">
      <c r="A4215" s="14" t="s">
        <v>8307</v>
      </c>
      <c r="B4215" s="15" t="s">
        <v>8308</v>
      </c>
      <c r="C4215" s="16">
        <f>198.33/(1+B2)</f>
        <v>198.33</v>
      </c>
      <c r="D4215" s="17" t="s">
        <v>11</v>
      </c>
      <c r="E4215" s="17"/>
      <c r="F4215" s="18"/>
      <c r="G4215" s="36" t="str">
        <f>IF(ISNUMBER(F4215),C4215*F4215,"")</f>
        <v/>
      </c>
    </row>
    <row r="4216" spans="1:7" ht="12" customHeight="1" outlineLevel="3" x14ac:dyDescent="0.2">
      <c r="A4216" s="14" t="s">
        <v>8309</v>
      </c>
      <c r="B4216" s="15" t="s">
        <v>8310</v>
      </c>
      <c r="C4216" s="16">
        <f>67.2/(1+B2)</f>
        <v>67.2</v>
      </c>
      <c r="D4216" s="17" t="s">
        <v>11</v>
      </c>
      <c r="E4216" s="17"/>
      <c r="F4216" s="18"/>
      <c r="G4216" s="36" t="str">
        <f>IF(ISNUMBER(F4216),C4216*F4216,"")</f>
        <v/>
      </c>
    </row>
    <row r="4217" spans="1:7" ht="12" customHeight="1" outlineLevel="3" x14ac:dyDescent="0.2">
      <c r="A4217" s="14" t="s">
        <v>8311</v>
      </c>
      <c r="B4217" s="15" t="s">
        <v>8312</v>
      </c>
      <c r="C4217" s="16">
        <f>73.93/(1+B2)</f>
        <v>73.930000000000007</v>
      </c>
      <c r="D4217" s="17" t="s">
        <v>11</v>
      </c>
      <c r="E4217" s="17"/>
      <c r="F4217" s="18"/>
      <c r="G4217" s="36" t="str">
        <f>IF(ISNUMBER(F4217),C4217*F4217,"")</f>
        <v/>
      </c>
    </row>
    <row r="4218" spans="1:7" ht="12" customHeight="1" outlineLevel="3" x14ac:dyDescent="0.2">
      <c r="A4218" s="14" t="s">
        <v>8313</v>
      </c>
      <c r="B4218" s="15" t="s">
        <v>8314</v>
      </c>
      <c r="C4218" s="16">
        <f>82.83/(1+B2)</f>
        <v>82.83</v>
      </c>
      <c r="D4218" s="17" t="s">
        <v>11</v>
      </c>
      <c r="E4218" s="17"/>
      <c r="F4218" s="18"/>
      <c r="G4218" s="36" t="str">
        <f>IF(ISNUMBER(F4218),C4218*F4218,"")</f>
        <v/>
      </c>
    </row>
    <row r="4219" spans="1:7" s="1" customFormat="1" ht="12.95" customHeight="1" outlineLevel="2" x14ac:dyDescent="0.2">
      <c r="A4219" s="20"/>
      <c r="B4219" s="21" t="s">
        <v>8315</v>
      </c>
      <c r="C4219" s="22"/>
      <c r="D4219" s="22"/>
      <c r="E4219" s="22"/>
      <c r="F4219" s="22"/>
      <c r="G4219" s="37"/>
    </row>
    <row r="4220" spans="1:7" ht="12" customHeight="1" outlineLevel="3" x14ac:dyDescent="0.2">
      <c r="A4220" s="14" t="s">
        <v>8316</v>
      </c>
      <c r="B4220" s="15" t="s">
        <v>8317</v>
      </c>
      <c r="C4220" s="16">
        <f>457.66/(1+B2)</f>
        <v>457.66</v>
      </c>
      <c r="D4220" s="17" t="s">
        <v>11</v>
      </c>
      <c r="E4220" s="17"/>
      <c r="F4220" s="18"/>
      <c r="G4220" s="36" t="str">
        <f>IF(ISNUMBER(F4220),C4220*F4220,"")</f>
        <v/>
      </c>
    </row>
    <row r="4221" spans="1:7" ht="12" customHeight="1" outlineLevel="3" x14ac:dyDescent="0.2">
      <c r="A4221" s="14" t="s">
        <v>8318</v>
      </c>
      <c r="B4221" s="15" t="s">
        <v>8319</v>
      </c>
      <c r="C4221" s="16">
        <f>457.66/(1+B2)</f>
        <v>457.66</v>
      </c>
      <c r="D4221" s="17" t="s">
        <v>11</v>
      </c>
      <c r="E4221" s="17"/>
      <c r="F4221" s="18"/>
      <c r="G4221" s="36" t="str">
        <f>IF(ISNUMBER(F4221),C4221*F4221,"")</f>
        <v/>
      </c>
    </row>
    <row r="4222" spans="1:7" ht="12" customHeight="1" outlineLevel="3" x14ac:dyDescent="0.2">
      <c r="A4222" s="14" t="s">
        <v>8320</v>
      </c>
      <c r="B4222" s="15" t="s">
        <v>8321</v>
      </c>
      <c r="C4222" s="16">
        <f>379.02/(1+B2)</f>
        <v>379.02</v>
      </c>
      <c r="D4222" s="17" t="s">
        <v>11</v>
      </c>
      <c r="E4222" s="17"/>
      <c r="F4222" s="18"/>
      <c r="G4222" s="36" t="str">
        <f>IF(ISNUMBER(F4222),C4222*F4222,"")</f>
        <v/>
      </c>
    </row>
    <row r="4223" spans="1:7" ht="12" customHeight="1" outlineLevel="3" x14ac:dyDescent="0.2">
      <c r="A4223" s="14" t="s">
        <v>8322</v>
      </c>
      <c r="B4223" s="15" t="s">
        <v>8323</v>
      </c>
      <c r="C4223" s="16">
        <f>592.9/(1+B2)</f>
        <v>592.9</v>
      </c>
      <c r="D4223" s="17" t="s">
        <v>11</v>
      </c>
      <c r="E4223" s="17"/>
      <c r="F4223" s="18"/>
      <c r="G4223" s="36" t="str">
        <f>IF(ISNUMBER(F4223),C4223*F4223,"")</f>
        <v/>
      </c>
    </row>
    <row r="4224" spans="1:7" ht="12" customHeight="1" outlineLevel="3" x14ac:dyDescent="0.2">
      <c r="A4224" s="14" t="s">
        <v>8324</v>
      </c>
      <c r="B4224" s="15" t="s">
        <v>8325</v>
      </c>
      <c r="C4224" s="16">
        <f>591.73/(1+B2)</f>
        <v>591.73</v>
      </c>
      <c r="D4224" s="17" t="s">
        <v>11</v>
      </c>
      <c r="E4224" s="17"/>
      <c r="F4224" s="18"/>
      <c r="G4224" s="36" t="str">
        <f>IF(ISNUMBER(F4224),C4224*F4224,"")</f>
        <v/>
      </c>
    </row>
    <row r="4225" spans="1:7" ht="12" customHeight="1" outlineLevel="3" x14ac:dyDescent="0.2">
      <c r="A4225" s="14" t="s">
        <v>8326</v>
      </c>
      <c r="B4225" s="15" t="s">
        <v>8327</v>
      </c>
      <c r="C4225" s="16">
        <f>529.09/(1+B2)</f>
        <v>529.09</v>
      </c>
      <c r="D4225" s="17" t="s">
        <v>11</v>
      </c>
      <c r="E4225" s="17"/>
      <c r="F4225" s="18"/>
      <c r="G4225" s="36" t="str">
        <f>IF(ISNUMBER(F4225),C4225*F4225,"")</f>
        <v/>
      </c>
    </row>
    <row r="4226" spans="1:7" ht="12" customHeight="1" outlineLevel="3" x14ac:dyDescent="0.2">
      <c r="A4226" s="14" t="s">
        <v>8328</v>
      </c>
      <c r="B4226" s="15" t="s">
        <v>8329</v>
      </c>
      <c r="C4226" s="16">
        <f>369.01/(1+B2)</f>
        <v>369.01</v>
      </c>
      <c r="D4226" s="17" t="s">
        <v>11</v>
      </c>
      <c r="E4226" s="17"/>
      <c r="F4226" s="18"/>
      <c r="G4226" s="36" t="str">
        <f>IF(ISNUMBER(F4226),C4226*F4226,"")</f>
        <v/>
      </c>
    </row>
    <row r="4227" spans="1:7" ht="12" customHeight="1" outlineLevel="3" x14ac:dyDescent="0.2">
      <c r="A4227" s="14" t="s">
        <v>8330</v>
      </c>
      <c r="B4227" s="15" t="s">
        <v>8331</v>
      </c>
      <c r="C4227" s="16">
        <f>369.01/(1+B2)</f>
        <v>369.01</v>
      </c>
      <c r="D4227" s="17" t="s">
        <v>11</v>
      </c>
      <c r="E4227" s="17"/>
      <c r="F4227" s="18"/>
      <c r="G4227" s="36" t="str">
        <f>IF(ISNUMBER(F4227),C4227*F4227,"")</f>
        <v/>
      </c>
    </row>
    <row r="4228" spans="1:7" ht="12" customHeight="1" outlineLevel="3" x14ac:dyDescent="0.2">
      <c r="A4228" s="14" t="s">
        <v>8332</v>
      </c>
      <c r="B4228" s="15" t="s">
        <v>8333</v>
      </c>
      <c r="C4228" s="16">
        <f>369.01/(1+B2)</f>
        <v>369.01</v>
      </c>
      <c r="D4228" s="17" t="s">
        <v>11</v>
      </c>
      <c r="E4228" s="17"/>
      <c r="F4228" s="18"/>
      <c r="G4228" s="36" t="str">
        <f>IF(ISNUMBER(F4228),C4228*F4228,"")</f>
        <v/>
      </c>
    </row>
    <row r="4229" spans="1:7" ht="12" customHeight="1" outlineLevel="3" x14ac:dyDescent="0.2">
      <c r="A4229" s="14" t="s">
        <v>8334</v>
      </c>
      <c r="B4229" s="15" t="s">
        <v>8335</v>
      </c>
      <c r="C4229" s="16">
        <f>369.01/(1+B2)</f>
        <v>369.01</v>
      </c>
      <c r="D4229" s="17" t="s">
        <v>11</v>
      </c>
      <c r="E4229" s="17"/>
      <c r="F4229" s="18"/>
      <c r="G4229" s="36" t="str">
        <f>IF(ISNUMBER(F4229),C4229*F4229,"")</f>
        <v/>
      </c>
    </row>
    <row r="4230" spans="1:7" ht="12" customHeight="1" outlineLevel="3" x14ac:dyDescent="0.2">
      <c r="A4230" s="14" t="s">
        <v>8336</v>
      </c>
      <c r="B4230" s="15" t="s">
        <v>8337</v>
      </c>
      <c r="C4230" s="16">
        <f>449.02/(1+B2)</f>
        <v>449.02</v>
      </c>
      <c r="D4230" s="17" t="s">
        <v>11</v>
      </c>
      <c r="E4230" s="17"/>
      <c r="F4230" s="18"/>
      <c r="G4230" s="36" t="str">
        <f>IF(ISNUMBER(F4230),C4230*F4230,"")</f>
        <v/>
      </c>
    </row>
    <row r="4231" spans="1:7" ht="12" customHeight="1" outlineLevel="3" x14ac:dyDescent="0.2">
      <c r="A4231" s="14" t="s">
        <v>8338</v>
      </c>
      <c r="B4231" s="15" t="s">
        <v>8339</v>
      </c>
      <c r="C4231" s="16">
        <f>279.01/(1+B2)</f>
        <v>279.01</v>
      </c>
      <c r="D4231" s="17" t="s">
        <v>11</v>
      </c>
      <c r="E4231" s="17"/>
      <c r="F4231" s="18"/>
      <c r="G4231" s="36" t="str">
        <f>IF(ISNUMBER(F4231),C4231*F4231,"")</f>
        <v/>
      </c>
    </row>
    <row r="4232" spans="1:7" ht="12" customHeight="1" outlineLevel="3" x14ac:dyDescent="0.2">
      <c r="A4232" s="14" t="s">
        <v>8340</v>
      </c>
      <c r="B4232" s="15" t="s">
        <v>8341</v>
      </c>
      <c r="C4232" s="19">
        <f>1554.23/(1+B2)</f>
        <v>1554.23</v>
      </c>
      <c r="D4232" s="17" t="s">
        <v>11</v>
      </c>
      <c r="E4232" s="17"/>
      <c r="F4232" s="18"/>
      <c r="G4232" s="36" t="str">
        <f>IF(ISNUMBER(F4232),C4232*F4232,"")</f>
        <v/>
      </c>
    </row>
    <row r="4233" spans="1:7" ht="24" customHeight="1" outlineLevel="3" x14ac:dyDescent="0.2">
      <c r="A4233" s="14" t="s">
        <v>8342</v>
      </c>
      <c r="B4233" s="15" t="s">
        <v>8343</v>
      </c>
      <c r="C4233" s="19">
        <f>2167.49/(1+B2)</f>
        <v>2167.4899999999998</v>
      </c>
      <c r="D4233" s="17" t="s">
        <v>11</v>
      </c>
      <c r="E4233" s="17"/>
      <c r="F4233" s="18"/>
      <c r="G4233" s="36" t="str">
        <f>IF(ISNUMBER(F4233),C4233*F4233,"")</f>
        <v/>
      </c>
    </row>
    <row r="4234" spans="1:7" ht="12" customHeight="1" outlineLevel="3" x14ac:dyDescent="0.2">
      <c r="A4234" s="14" t="s">
        <v>8344</v>
      </c>
      <c r="B4234" s="15" t="s">
        <v>8345</v>
      </c>
      <c r="C4234" s="19">
        <f>3378.65/(1+B2)</f>
        <v>3378.65</v>
      </c>
      <c r="D4234" s="17" t="s">
        <v>11</v>
      </c>
      <c r="E4234" s="17"/>
      <c r="F4234" s="18"/>
      <c r="G4234" s="36" t="str">
        <f>IF(ISNUMBER(F4234),C4234*F4234,"")</f>
        <v/>
      </c>
    </row>
    <row r="4235" spans="1:7" s="1" customFormat="1" ht="15.95" customHeight="1" x14ac:dyDescent="0.25">
      <c r="A4235" s="8"/>
      <c r="B4235" s="9" t="s">
        <v>8346</v>
      </c>
      <c r="C4235" s="10"/>
      <c r="D4235" s="10"/>
      <c r="E4235" s="10"/>
      <c r="F4235" s="10"/>
      <c r="G4235" s="34"/>
    </row>
    <row r="4236" spans="1:7" s="1" customFormat="1" ht="15.95" customHeight="1" outlineLevel="1" x14ac:dyDescent="0.25">
      <c r="A4236" s="11"/>
      <c r="B4236" s="12" t="s">
        <v>8347</v>
      </c>
      <c r="C4236" s="13"/>
      <c r="D4236" s="13"/>
      <c r="E4236" s="13"/>
      <c r="F4236" s="13"/>
      <c r="G4236" s="35"/>
    </row>
    <row r="4237" spans="1:7" ht="12" customHeight="1" outlineLevel="2" x14ac:dyDescent="0.2">
      <c r="A4237" s="14" t="s">
        <v>8348</v>
      </c>
      <c r="B4237" s="15" t="s">
        <v>8349</v>
      </c>
      <c r="C4237" s="16">
        <f>97.65/(1+B2)</f>
        <v>97.65</v>
      </c>
      <c r="D4237" s="17" t="s">
        <v>11</v>
      </c>
      <c r="E4237" s="17" t="s">
        <v>14</v>
      </c>
      <c r="F4237" s="18"/>
      <c r="G4237" s="36" t="str">
        <f>IF(ISNUMBER(F4237),C4237*F4237,"")</f>
        <v/>
      </c>
    </row>
    <row r="4238" spans="1:7" ht="12" customHeight="1" outlineLevel="2" x14ac:dyDescent="0.2">
      <c r="A4238" s="14" t="s">
        <v>8350</v>
      </c>
      <c r="B4238" s="15" t="s">
        <v>8351</v>
      </c>
      <c r="C4238" s="16">
        <f>49.68/(1+B2)</f>
        <v>49.68</v>
      </c>
      <c r="D4238" s="17" t="s">
        <v>11</v>
      </c>
      <c r="E4238" s="17" t="s">
        <v>11</v>
      </c>
      <c r="F4238" s="18"/>
      <c r="G4238" s="36" t="str">
        <f>IF(ISNUMBER(F4238),C4238*F4238,"")</f>
        <v/>
      </c>
    </row>
    <row r="4239" spans="1:7" ht="12" customHeight="1" outlineLevel="2" x14ac:dyDescent="0.2">
      <c r="A4239" s="14" t="s">
        <v>8352</v>
      </c>
      <c r="B4239" s="15" t="s">
        <v>8353</v>
      </c>
      <c r="C4239" s="16">
        <f>50.08/(1+B2)</f>
        <v>50.08</v>
      </c>
      <c r="D4239" s="17" t="s">
        <v>11</v>
      </c>
      <c r="E4239" s="17" t="s">
        <v>14</v>
      </c>
      <c r="F4239" s="18"/>
      <c r="G4239" s="36" t="str">
        <f>IF(ISNUMBER(F4239),C4239*F4239,"")</f>
        <v/>
      </c>
    </row>
    <row r="4240" spans="1:7" ht="12" customHeight="1" outlineLevel="2" x14ac:dyDescent="0.2">
      <c r="A4240" s="14" t="s">
        <v>8354</v>
      </c>
      <c r="B4240" s="15" t="s">
        <v>8355</v>
      </c>
      <c r="C4240" s="16">
        <f>72.16/(1+B2)</f>
        <v>72.16</v>
      </c>
      <c r="D4240" s="17" t="s">
        <v>11</v>
      </c>
      <c r="E4240" s="17" t="s">
        <v>11</v>
      </c>
      <c r="F4240" s="18"/>
      <c r="G4240" s="36" t="str">
        <f>IF(ISNUMBER(F4240),C4240*F4240,"")</f>
        <v/>
      </c>
    </row>
    <row r="4241" spans="1:7" ht="12" customHeight="1" outlineLevel="2" x14ac:dyDescent="0.2">
      <c r="A4241" s="14" t="s">
        <v>8356</v>
      </c>
      <c r="B4241" s="15" t="s">
        <v>8357</v>
      </c>
      <c r="C4241" s="16">
        <f>65.6/(1+B2)</f>
        <v>65.599999999999994</v>
      </c>
      <c r="D4241" s="17" t="s">
        <v>11</v>
      </c>
      <c r="E4241" s="17" t="s">
        <v>14</v>
      </c>
      <c r="F4241" s="18"/>
      <c r="G4241" s="36" t="str">
        <f>IF(ISNUMBER(F4241),C4241*F4241,"")</f>
        <v/>
      </c>
    </row>
    <row r="4242" spans="1:7" ht="12" customHeight="1" outlineLevel="2" x14ac:dyDescent="0.2">
      <c r="A4242" s="14" t="s">
        <v>8358</v>
      </c>
      <c r="B4242" s="15" t="s">
        <v>8359</v>
      </c>
      <c r="C4242" s="16">
        <f>62.18/(1+B2)</f>
        <v>62.18</v>
      </c>
      <c r="D4242" s="17" t="s">
        <v>14</v>
      </c>
      <c r="E4242" s="17" t="s">
        <v>14</v>
      </c>
      <c r="F4242" s="18"/>
      <c r="G4242" s="36" t="str">
        <f>IF(ISNUMBER(F4242),C4242*F4242,"")</f>
        <v/>
      </c>
    </row>
    <row r="4243" spans="1:7" ht="12" customHeight="1" outlineLevel="2" x14ac:dyDescent="0.2">
      <c r="A4243" s="14" t="s">
        <v>8360</v>
      </c>
      <c r="B4243" s="15" t="s">
        <v>8361</v>
      </c>
      <c r="C4243" s="16">
        <f>82.44/(1+B2)</f>
        <v>82.44</v>
      </c>
      <c r="D4243" s="17" t="s">
        <v>14</v>
      </c>
      <c r="E4243" s="17" t="s">
        <v>14</v>
      </c>
      <c r="F4243" s="18"/>
      <c r="G4243" s="36" t="str">
        <f>IF(ISNUMBER(F4243),C4243*F4243,"")</f>
        <v/>
      </c>
    </row>
    <row r="4244" spans="1:7" s="1" customFormat="1" ht="15.95" customHeight="1" outlineLevel="1" x14ac:dyDescent="0.25">
      <c r="A4244" s="11"/>
      <c r="B4244" s="12" t="s">
        <v>8362</v>
      </c>
      <c r="C4244" s="13"/>
      <c r="D4244" s="13"/>
      <c r="E4244" s="13"/>
      <c r="F4244" s="13"/>
      <c r="G4244" s="35"/>
    </row>
    <row r="4245" spans="1:7" ht="12" customHeight="1" outlineLevel="2" x14ac:dyDescent="0.2">
      <c r="A4245" s="14" t="s">
        <v>8363</v>
      </c>
      <c r="B4245" s="15" t="s">
        <v>8364</v>
      </c>
      <c r="C4245" s="16">
        <f>50.05/(1+B2)</f>
        <v>50.05</v>
      </c>
      <c r="D4245" s="17" t="s">
        <v>53</v>
      </c>
      <c r="E4245" s="17"/>
      <c r="F4245" s="18"/>
      <c r="G4245" s="36" t="str">
        <f>IF(ISNUMBER(F4245),C4245*F4245,"")</f>
        <v/>
      </c>
    </row>
    <row r="4246" spans="1:7" ht="12" customHeight="1" outlineLevel="2" x14ac:dyDescent="0.2">
      <c r="A4246" s="14" t="s">
        <v>8365</v>
      </c>
      <c r="B4246" s="15" t="s">
        <v>8366</v>
      </c>
      <c r="C4246" s="16">
        <f>59.66/(1+B2)</f>
        <v>59.66</v>
      </c>
      <c r="D4246" s="17" t="s">
        <v>53</v>
      </c>
      <c r="E4246" s="17"/>
      <c r="F4246" s="18"/>
      <c r="G4246" s="36" t="str">
        <f>IF(ISNUMBER(F4246),C4246*F4246,"")</f>
        <v/>
      </c>
    </row>
    <row r="4247" spans="1:7" ht="12" customHeight="1" outlineLevel="2" x14ac:dyDescent="0.2">
      <c r="A4247" s="14" t="s">
        <v>8367</v>
      </c>
      <c r="B4247" s="15" t="s">
        <v>8368</v>
      </c>
      <c r="C4247" s="16">
        <f>69.46/(1+B2)</f>
        <v>69.459999999999994</v>
      </c>
      <c r="D4247" s="17" t="s">
        <v>53</v>
      </c>
      <c r="E4247" s="17"/>
      <c r="F4247" s="18"/>
      <c r="G4247" s="36" t="str">
        <f>IF(ISNUMBER(F4247),C4247*F4247,"")</f>
        <v/>
      </c>
    </row>
    <row r="4248" spans="1:7" ht="12" customHeight="1" outlineLevel="2" x14ac:dyDescent="0.2">
      <c r="A4248" s="14" t="s">
        <v>8369</v>
      </c>
      <c r="B4248" s="15" t="s">
        <v>8370</v>
      </c>
      <c r="C4248" s="16">
        <f>87.96/(1+B2)</f>
        <v>87.96</v>
      </c>
      <c r="D4248" s="17" t="s">
        <v>53</v>
      </c>
      <c r="E4248" s="17"/>
      <c r="F4248" s="18"/>
      <c r="G4248" s="36" t="str">
        <f>IF(ISNUMBER(F4248),C4248*F4248,"")</f>
        <v/>
      </c>
    </row>
    <row r="4249" spans="1:7" ht="12" customHeight="1" outlineLevel="2" x14ac:dyDescent="0.2">
      <c r="A4249" s="14" t="s">
        <v>8371</v>
      </c>
      <c r="B4249" s="15" t="s">
        <v>8372</v>
      </c>
      <c r="C4249" s="16">
        <f>30.47/(1+B2)</f>
        <v>30.47</v>
      </c>
      <c r="D4249" s="17" t="s">
        <v>11</v>
      </c>
      <c r="E4249" s="17"/>
      <c r="F4249" s="18"/>
      <c r="G4249" s="36" t="str">
        <f>IF(ISNUMBER(F4249),C4249*F4249,"")</f>
        <v/>
      </c>
    </row>
    <row r="4250" spans="1:7" ht="12" customHeight="1" outlineLevel="2" x14ac:dyDescent="0.2">
      <c r="A4250" s="14" t="s">
        <v>8373</v>
      </c>
      <c r="B4250" s="15" t="s">
        <v>8374</v>
      </c>
      <c r="C4250" s="16">
        <f>62.02/(1+B2)</f>
        <v>62.02</v>
      </c>
      <c r="D4250" s="17" t="s">
        <v>53</v>
      </c>
      <c r="E4250" s="17"/>
      <c r="F4250" s="18"/>
      <c r="G4250" s="36" t="str">
        <f>IF(ISNUMBER(F4250),C4250*F4250,"")</f>
        <v/>
      </c>
    </row>
    <row r="4251" spans="1:7" ht="12" customHeight="1" outlineLevel="2" x14ac:dyDescent="0.2">
      <c r="A4251" s="14" t="s">
        <v>8375</v>
      </c>
      <c r="B4251" s="15" t="s">
        <v>8376</v>
      </c>
      <c r="C4251" s="16">
        <f>42.44/(1+B2)</f>
        <v>42.44</v>
      </c>
      <c r="D4251" s="17" t="s">
        <v>11</v>
      </c>
      <c r="E4251" s="17"/>
      <c r="F4251" s="18"/>
      <c r="G4251" s="36" t="str">
        <f>IF(ISNUMBER(F4251),C4251*F4251,"")</f>
        <v/>
      </c>
    </row>
    <row r="4252" spans="1:7" ht="12" customHeight="1" outlineLevel="2" x14ac:dyDescent="0.2">
      <c r="A4252" s="14" t="s">
        <v>8377</v>
      </c>
      <c r="B4252" s="15" t="s">
        <v>8378</v>
      </c>
      <c r="C4252" s="16">
        <f>79.25/(1+B2)</f>
        <v>79.25</v>
      </c>
      <c r="D4252" s="17" t="s">
        <v>53</v>
      </c>
      <c r="E4252" s="17"/>
      <c r="F4252" s="18"/>
      <c r="G4252" s="36" t="str">
        <f>IF(ISNUMBER(F4252),C4252*F4252,"")</f>
        <v/>
      </c>
    </row>
    <row r="4253" spans="1:7" ht="12" customHeight="1" outlineLevel="2" x14ac:dyDescent="0.2">
      <c r="A4253" s="14" t="s">
        <v>8379</v>
      </c>
      <c r="B4253" s="15" t="s">
        <v>8380</v>
      </c>
      <c r="C4253" s="16">
        <f>80.52/(1+B2)</f>
        <v>80.52</v>
      </c>
      <c r="D4253" s="17" t="s">
        <v>11</v>
      </c>
      <c r="E4253" s="17"/>
      <c r="F4253" s="18"/>
      <c r="G4253" s="36" t="str">
        <f>IF(ISNUMBER(F4253),C4253*F4253,"")</f>
        <v/>
      </c>
    </row>
    <row r="4254" spans="1:7" s="1" customFormat="1" ht="15.95" customHeight="1" outlineLevel="1" x14ac:dyDescent="0.25">
      <c r="A4254" s="11"/>
      <c r="B4254" s="12" t="s">
        <v>8381</v>
      </c>
      <c r="C4254" s="13"/>
      <c r="D4254" s="13"/>
      <c r="E4254" s="13"/>
      <c r="F4254" s="13"/>
      <c r="G4254" s="35"/>
    </row>
    <row r="4255" spans="1:7" ht="12" customHeight="1" outlineLevel="2" x14ac:dyDescent="0.2">
      <c r="A4255" s="14" t="s">
        <v>8382</v>
      </c>
      <c r="B4255" s="15" t="s">
        <v>8383</v>
      </c>
      <c r="C4255" s="16">
        <f>31.41/(1+B2)</f>
        <v>31.41</v>
      </c>
      <c r="D4255" s="17" t="s">
        <v>11</v>
      </c>
      <c r="E4255" s="17"/>
      <c r="F4255" s="18"/>
      <c r="G4255" s="36" t="str">
        <f>IF(ISNUMBER(F4255),C4255*F4255,"")</f>
        <v/>
      </c>
    </row>
    <row r="4256" spans="1:7" ht="12" customHeight="1" outlineLevel="2" x14ac:dyDescent="0.2">
      <c r="A4256" s="14" t="s">
        <v>8384</v>
      </c>
      <c r="B4256" s="15" t="s">
        <v>8385</v>
      </c>
      <c r="C4256" s="16">
        <f>25.16/(1+B2)</f>
        <v>25.16</v>
      </c>
      <c r="D4256" s="17"/>
      <c r="E4256" s="17" t="s">
        <v>14</v>
      </c>
      <c r="F4256" s="18"/>
      <c r="G4256" s="36" t="str">
        <f>IF(ISNUMBER(F4256),C4256*F4256,"")</f>
        <v/>
      </c>
    </row>
    <row r="4257" spans="1:7" ht="12" customHeight="1" outlineLevel="2" x14ac:dyDescent="0.2">
      <c r="A4257" s="14" t="s">
        <v>8386</v>
      </c>
      <c r="B4257" s="15" t="s">
        <v>8387</v>
      </c>
      <c r="C4257" s="16">
        <f>149.28/(1+B2)</f>
        <v>149.28</v>
      </c>
      <c r="D4257" s="17" t="s">
        <v>11</v>
      </c>
      <c r="E4257" s="17"/>
      <c r="F4257" s="18"/>
      <c r="G4257" s="36" t="str">
        <f>IF(ISNUMBER(F4257),C4257*F4257,"")</f>
        <v/>
      </c>
    </row>
    <row r="4258" spans="1:7" ht="12" customHeight="1" outlineLevel="2" x14ac:dyDescent="0.2">
      <c r="A4258" s="14" t="s">
        <v>8388</v>
      </c>
      <c r="B4258" s="15" t="s">
        <v>8389</v>
      </c>
      <c r="C4258" s="16">
        <f>381.77/(1+B2)</f>
        <v>381.77</v>
      </c>
      <c r="D4258" s="17" t="s">
        <v>53</v>
      </c>
      <c r="E4258" s="17"/>
      <c r="F4258" s="18"/>
      <c r="G4258" s="36" t="str">
        <f>IF(ISNUMBER(F4258),C4258*F4258,"")</f>
        <v/>
      </c>
    </row>
    <row r="4259" spans="1:7" ht="12" customHeight="1" outlineLevel="2" x14ac:dyDescent="0.2">
      <c r="A4259" s="14" t="s">
        <v>8390</v>
      </c>
      <c r="B4259" s="15" t="s">
        <v>8391</v>
      </c>
      <c r="C4259" s="16">
        <f>381.77/(1+B2)</f>
        <v>381.77</v>
      </c>
      <c r="D4259" s="17" t="s">
        <v>11</v>
      </c>
      <c r="E4259" s="17"/>
      <c r="F4259" s="18"/>
      <c r="G4259" s="36" t="str">
        <f>IF(ISNUMBER(F4259),C4259*F4259,"")</f>
        <v/>
      </c>
    </row>
    <row r="4260" spans="1:7" ht="12" customHeight="1" outlineLevel="2" x14ac:dyDescent="0.2">
      <c r="A4260" s="14" t="s">
        <v>8392</v>
      </c>
      <c r="B4260" s="15" t="s">
        <v>8393</v>
      </c>
      <c r="C4260" s="16">
        <f>247.58/(1+B2)</f>
        <v>247.58</v>
      </c>
      <c r="D4260" s="17" t="s">
        <v>11</v>
      </c>
      <c r="E4260" s="17"/>
      <c r="F4260" s="18"/>
      <c r="G4260" s="36" t="str">
        <f>IF(ISNUMBER(F4260),C4260*F4260,"")</f>
        <v/>
      </c>
    </row>
    <row r="4261" spans="1:7" ht="12" customHeight="1" outlineLevel="2" x14ac:dyDescent="0.2">
      <c r="A4261" s="14" t="s">
        <v>8394</v>
      </c>
      <c r="B4261" s="15" t="s">
        <v>8395</v>
      </c>
      <c r="C4261" s="16">
        <f>247.58/(1+B2)</f>
        <v>247.58</v>
      </c>
      <c r="D4261" s="17" t="s">
        <v>11</v>
      </c>
      <c r="E4261" s="17"/>
      <c r="F4261" s="18"/>
      <c r="G4261" s="36" t="str">
        <f>IF(ISNUMBER(F4261),C4261*F4261,"")</f>
        <v/>
      </c>
    </row>
    <row r="4262" spans="1:7" ht="12" customHeight="1" outlineLevel="2" x14ac:dyDescent="0.2">
      <c r="A4262" s="14" t="s">
        <v>8396</v>
      </c>
      <c r="B4262" s="15" t="s">
        <v>8397</v>
      </c>
      <c r="C4262" s="16">
        <f>284.19/(1+B2)</f>
        <v>284.19</v>
      </c>
      <c r="D4262" s="17" t="s">
        <v>11</v>
      </c>
      <c r="E4262" s="17"/>
      <c r="F4262" s="18"/>
      <c r="G4262" s="36" t="str">
        <f>IF(ISNUMBER(F4262),C4262*F4262,"")</f>
        <v/>
      </c>
    </row>
    <row r="4263" spans="1:7" ht="12" customHeight="1" outlineLevel="2" x14ac:dyDescent="0.2">
      <c r="A4263" s="14" t="s">
        <v>8398</v>
      </c>
      <c r="B4263" s="15" t="s">
        <v>8399</v>
      </c>
      <c r="C4263" s="16">
        <f>284.19/(1+B2)</f>
        <v>284.19</v>
      </c>
      <c r="D4263" s="17" t="s">
        <v>11</v>
      </c>
      <c r="E4263" s="17"/>
      <c r="F4263" s="18"/>
      <c r="G4263" s="36" t="str">
        <f>IF(ISNUMBER(F4263),C4263*F4263,"")</f>
        <v/>
      </c>
    </row>
    <row r="4264" spans="1:7" ht="12" customHeight="1" outlineLevel="2" x14ac:dyDescent="0.2">
      <c r="A4264" s="14" t="s">
        <v>8400</v>
      </c>
      <c r="B4264" s="15" t="s">
        <v>8401</v>
      </c>
      <c r="C4264" s="16">
        <f>337.48/(1+B2)</f>
        <v>337.48</v>
      </c>
      <c r="D4264" s="17" t="s">
        <v>11</v>
      </c>
      <c r="E4264" s="17"/>
      <c r="F4264" s="18"/>
      <c r="G4264" s="36" t="str">
        <f>IF(ISNUMBER(F4264),C4264*F4264,"")</f>
        <v/>
      </c>
    </row>
    <row r="4265" spans="1:7" ht="12" customHeight="1" outlineLevel="2" x14ac:dyDescent="0.2">
      <c r="A4265" s="14" t="s">
        <v>8402</v>
      </c>
      <c r="B4265" s="15" t="s">
        <v>8403</v>
      </c>
      <c r="C4265" s="16">
        <f>337.48/(1+B2)</f>
        <v>337.48</v>
      </c>
      <c r="D4265" s="17" t="s">
        <v>11</v>
      </c>
      <c r="E4265" s="17"/>
      <c r="F4265" s="18"/>
      <c r="G4265" s="36" t="str">
        <f>IF(ISNUMBER(F4265),C4265*F4265,"")</f>
        <v/>
      </c>
    </row>
    <row r="4266" spans="1:7" ht="12" customHeight="1" outlineLevel="2" x14ac:dyDescent="0.2">
      <c r="A4266" s="14" t="s">
        <v>8404</v>
      </c>
      <c r="B4266" s="15" t="s">
        <v>8405</v>
      </c>
      <c r="C4266" s="16">
        <f>336.72/(1+B2)</f>
        <v>336.72</v>
      </c>
      <c r="D4266" s="17" t="s">
        <v>11</v>
      </c>
      <c r="E4266" s="17"/>
      <c r="F4266" s="18"/>
      <c r="G4266" s="36" t="str">
        <f>IF(ISNUMBER(F4266),C4266*F4266,"")</f>
        <v/>
      </c>
    </row>
    <row r="4267" spans="1:7" s="1" customFormat="1" ht="15.95" customHeight="1" outlineLevel="1" x14ac:dyDescent="0.25">
      <c r="A4267" s="11"/>
      <c r="B4267" s="12" t="s">
        <v>8406</v>
      </c>
      <c r="C4267" s="13"/>
      <c r="D4267" s="13"/>
      <c r="E4267" s="13"/>
      <c r="F4267" s="13"/>
      <c r="G4267" s="35"/>
    </row>
    <row r="4268" spans="1:7" ht="12" customHeight="1" outlineLevel="2" x14ac:dyDescent="0.2">
      <c r="A4268" s="14" t="s">
        <v>8407</v>
      </c>
      <c r="B4268" s="15" t="s">
        <v>8408</v>
      </c>
      <c r="C4268" s="16">
        <f>45.66/(1+B2)</f>
        <v>45.66</v>
      </c>
      <c r="D4268" s="17" t="s">
        <v>14</v>
      </c>
      <c r="E4268" s="17"/>
      <c r="F4268" s="18"/>
      <c r="G4268" s="36" t="str">
        <f>IF(ISNUMBER(F4268),C4268*F4268,"")</f>
        <v/>
      </c>
    </row>
    <row r="4269" spans="1:7" ht="12" customHeight="1" outlineLevel="2" x14ac:dyDescent="0.2">
      <c r="A4269" s="14" t="s">
        <v>8409</v>
      </c>
      <c r="B4269" s="15" t="s">
        <v>8410</v>
      </c>
      <c r="C4269" s="16">
        <f>167.94/(1+B2)</f>
        <v>167.94</v>
      </c>
      <c r="D4269" s="17" t="s">
        <v>11</v>
      </c>
      <c r="E4269" s="17"/>
      <c r="F4269" s="18"/>
      <c r="G4269" s="36" t="str">
        <f>IF(ISNUMBER(F4269),C4269*F4269,"")</f>
        <v/>
      </c>
    </row>
    <row r="4270" spans="1:7" ht="12" customHeight="1" outlineLevel="2" x14ac:dyDescent="0.2">
      <c r="A4270" s="14" t="s">
        <v>8411</v>
      </c>
      <c r="B4270" s="15" t="s">
        <v>8412</v>
      </c>
      <c r="C4270" s="16">
        <f>167.83/(1+B2)</f>
        <v>167.83</v>
      </c>
      <c r="D4270" s="17" t="s">
        <v>11</v>
      </c>
      <c r="E4270" s="17" t="s">
        <v>14</v>
      </c>
      <c r="F4270" s="18"/>
      <c r="G4270" s="36" t="str">
        <f>IF(ISNUMBER(F4270),C4270*F4270,"")</f>
        <v/>
      </c>
    </row>
    <row r="4271" spans="1:7" ht="12" customHeight="1" outlineLevel="2" x14ac:dyDescent="0.2">
      <c r="A4271" s="14" t="s">
        <v>8413</v>
      </c>
      <c r="B4271" s="15" t="s">
        <v>8414</v>
      </c>
      <c r="C4271" s="16">
        <f>155.22/(1+B2)</f>
        <v>155.22</v>
      </c>
      <c r="D4271" s="17" t="s">
        <v>11</v>
      </c>
      <c r="E4271" s="17" t="s">
        <v>53</v>
      </c>
      <c r="F4271" s="18"/>
      <c r="G4271" s="36" t="str">
        <f>IF(ISNUMBER(F4271),C4271*F4271,"")</f>
        <v/>
      </c>
    </row>
    <row r="4272" spans="1:7" ht="12" customHeight="1" outlineLevel="2" x14ac:dyDescent="0.2">
      <c r="A4272" s="14" t="s">
        <v>8415</v>
      </c>
      <c r="B4272" s="15" t="s">
        <v>8416</v>
      </c>
      <c r="C4272" s="16">
        <f>163.48/(1+B2)</f>
        <v>163.47999999999999</v>
      </c>
      <c r="D4272" s="17" t="s">
        <v>11</v>
      </c>
      <c r="E4272" s="17" t="s">
        <v>14</v>
      </c>
      <c r="F4272" s="18"/>
      <c r="G4272" s="36" t="str">
        <f>IF(ISNUMBER(F4272),C4272*F4272,"")</f>
        <v/>
      </c>
    </row>
    <row r="4273" spans="1:7" ht="12" customHeight="1" outlineLevel="2" x14ac:dyDescent="0.2">
      <c r="A4273" s="14" t="s">
        <v>8417</v>
      </c>
      <c r="B4273" s="15" t="s">
        <v>8418</v>
      </c>
      <c r="C4273" s="16">
        <f>161.31/(1+B2)</f>
        <v>161.31</v>
      </c>
      <c r="D4273" s="17" t="s">
        <v>11</v>
      </c>
      <c r="E4273" s="17" t="s">
        <v>53</v>
      </c>
      <c r="F4273" s="18"/>
      <c r="G4273" s="36" t="str">
        <f>IF(ISNUMBER(F4273),C4273*F4273,"")</f>
        <v/>
      </c>
    </row>
    <row r="4274" spans="1:7" ht="12" customHeight="1" outlineLevel="2" x14ac:dyDescent="0.2">
      <c r="A4274" s="14" t="s">
        <v>8419</v>
      </c>
      <c r="B4274" s="15" t="s">
        <v>8420</v>
      </c>
      <c r="C4274" s="16">
        <f>161.42/(1+B2)</f>
        <v>161.41999999999999</v>
      </c>
      <c r="D4274" s="17" t="s">
        <v>11</v>
      </c>
      <c r="E4274" s="17"/>
      <c r="F4274" s="18"/>
      <c r="G4274" s="36" t="str">
        <f>IF(ISNUMBER(F4274),C4274*F4274,"")</f>
        <v/>
      </c>
    </row>
    <row r="4275" spans="1:7" ht="12" customHeight="1" outlineLevel="2" x14ac:dyDescent="0.2">
      <c r="A4275" s="14" t="s">
        <v>8421</v>
      </c>
      <c r="B4275" s="15" t="s">
        <v>8422</v>
      </c>
      <c r="C4275" s="16">
        <f>159.25/(1+B2)</f>
        <v>159.25</v>
      </c>
      <c r="D4275" s="17" t="s">
        <v>11</v>
      </c>
      <c r="E4275" s="17"/>
      <c r="F4275" s="18"/>
      <c r="G4275" s="36" t="str">
        <f>IF(ISNUMBER(F4275),C4275*F4275,"")</f>
        <v/>
      </c>
    </row>
    <row r="4276" spans="1:7" ht="12" customHeight="1" outlineLevel="2" x14ac:dyDescent="0.2">
      <c r="A4276" s="14" t="s">
        <v>8423</v>
      </c>
      <c r="B4276" s="15" t="s">
        <v>8424</v>
      </c>
      <c r="C4276" s="16">
        <f>919.06/(1+B2)</f>
        <v>919.06</v>
      </c>
      <c r="D4276" s="17"/>
      <c r="E4276" s="17" t="s">
        <v>14</v>
      </c>
      <c r="F4276" s="18"/>
      <c r="G4276" s="36" t="str">
        <f>IF(ISNUMBER(F4276),C4276*F4276,"")</f>
        <v/>
      </c>
    </row>
    <row r="4277" spans="1:7" ht="12" customHeight="1" outlineLevel="2" x14ac:dyDescent="0.2">
      <c r="A4277" s="14" t="s">
        <v>8425</v>
      </c>
      <c r="B4277" s="15" t="s">
        <v>8426</v>
      </c>
      <c r="C4277" s="19">
        <f>2315.53/(1+B2)</f>
        <v>2315.5300000000002</v>
      </c>
      <c r="D4277" s="17"/>
      <c r="E4277" s="17" t="s">
        <v>11</v>
      </c>
      <c r="F4277" s="18"/>
      <c r="G4277" s="36" t="str">
        <f>IF(ISNUMBER(F4277),C4277*F4277,"")</f>
        <v/>
      </c>
    </row>
    <row r="4278" spans="1:7" ht="12" customHeight="1" outlineLevel="2" x14ac:dyDescent="0.2">
      <c r="A4278" s="14" t="s">
        <v>8427</v>
      </c>
      <c r="B4278" s="15" t="s">
        <v>8428</v>
      </c>
      <c r="C4278" s="19">
        <f>2931.64/(1+B2)</f>
        <v>2931.64</v>
      </c>
      <c r="D4278" s="17"/>
      <c r="E4278" s="17" t="s">
        <v>11</v>
      </c>
      <c r="F4278" s="18"/>
      <c r="G4278" s="36" t="str">
        <f>IF(ISNUMBER(F4278),C4278*F4278,"")</f>
        <v/>
      </c>
    </row>
    <row r="4279" spans="1:7" ht="12" customHeight="1" outlineLevel="2" x14ac:dyDescent="0.2">
      <c r="A4279" s="14" t="s">
        <v>8429</v>
      </c>
      <c r="B4279" s="15" t="s">
        <v>8430</v>
      </c>
      <c r="C4279" s="16">
        <f>588.57/(1+B2)</f>
        <v>588.57000000000005</v>
      </c>
      <c r="D4279" s="17" t="s">
        <v>11</v>
      </c>
      <c r="E4279" s="17"/>
      <c r="F4279" s="18"/>
      <c r="G4279" s="36" t="str">
        <f>IF(ISNUMBER(F4279),C4279*F4279,"")</f>
        <v/>
      </c>
    </row>
    <row r="4280" spans="1:7" ht="12" customHeight="1" outlineLevel="2" x14ac:dyDescent="0.2">
      <c r="A4280" s="14" t="s">
        <v>8431</v>
      </c>
      <c r="B4280" s="15" t="s">
        <v>8432</v>
      </c>
      <c r="C4280" s="19">
        <f>4914.48/(1+B2)</f>
        <v>4914.4799999999996</v>
      </c>
      <c r="D4280" s="17"/>
      <c r="E4280" s="17" t="s">
        <v>11</v>
      </c>
      <c r="F4280" s="18"/>
      <c r="G4280" s="36" t="str">
        <f>IF(ISNUMBER(F4280),C4280*F4280,"")</f>
        <v/>
      </c>
    </row>
    <row r="4281" spans="1:7" ht="12" customHeight="1" outlineLevel="2" x14ac:dyDescent="0.2">
      <c r="A4281" s="14" t="s">
        <v>8433</v>
      </c>
      <c r="B4281" s="15" t="s">
        <v>8434</v>
      </c>
      <c r="C4281" s="16">
        <f>688.83/(1+B2)</f>
        <v>688.83</v>
      </c>
      <c r="D4281" s="17" t="s">
        <v>11</v>
      </c>
      <c r="E4281" s="17" t="s">
        <v>11</v>
      </c>
      <c r="F4281" s="18"/>
      <c r="G4281" s="36" t="str">
        <f>IF(ISNUMBER(F4281),C4281*F4281,"")</f>
        <v/>
      </c>
    </row>
    <row r="4282" spans="1:7" ht="12" customHeight="1" outlineLevel="2" x14ac:dyDescent="0.2">
      <c r="A4282" s="14" t="s">
        <v>8435</v>
      </c>
      <c r="B4282" s="15" t="s">
        <v>8436</v>
      </c>
      <c r="C4282" s="19">
        <f>2276.94/(1+B2)</f>
        <v>2276.94</v>
      </c>
      <c r="D4282" s="17"/>
      <c r="E4282" s="17" t="s">
        <v>11</v>
      </c>
      <c r="F4282" s="18"/>
      <c r="G4282" s="36" t="str">
        <f>IF(ISNUMBER(F4282),C4282*F4282,"")</f>
        <v/>
      </c>
    </row>
    <row r="4283" spans="1:7" ht="12" customHeight="1" outlineLevel="2" x14ac:dyDescent="0.2">
      <c r="A4283" s="14" t="s">
        <v>8437</v>
      </c>
      <c r="B4283" s="15" t="s">
        <v>8438</v>
      </c>
      <c r="C4283" s="19">
        <f>2149.87/(1+B2)</f>
        <v>2149.87</v>
      </c>
      <c r="D4283" s="17"/>
      <c r="E4283" s="17" t="s">
        <v>11</v>
      </c>
      <c r="F4283" s="18"/>
      <c r="G4283" s="36" t="str">
        <f>IF(ISNUMBER(F4283),C4283*F4283,"")</f>
        <v/>
      </c>
    </row>
    <row r="4284" spans="1:7" ht="12" customHeight="1" outlineLevel="2" x14ac:dyDescent="0.2">
      <c r="A4284" s="14" t="s">
        <v>8439</v>
      </c>
      <c r="B4284" s="15" t="s">
        <v>8440</v>
      </c>
      <c r="C4284" s="19">
        <f>3513.14/(1+B2)</f>
        <v>3513.14</v>
      </c>
      <c r="D4284" s="17"/>
      <c r="E4284" s="17" t="s">
        <v>11</v>
      </c>
      <c r="F4284" s="18"/>
      <c r="G4284" s="36" t="str">
        <f>IF(ISNUMBER(F4284),C4284*F4284,"")</f>
        <v/>
      </c>
    </row>
    <row r="4285" spans="1:7" ht="12" customHeight="1" outlineLevel="2" x14ac:dyDescent="0.2">
      <c r="A4285" s="14" t="s">
        <v>8441</v>
      </c>
      <c r="B4285" s="15" t="s">
        <v>8442</v>
      </c>
      <c r="C4285" s="19">
        <f>3230.78/(1+B2)</f>
        <v>3230.78</v>
      </c>
      <c r="D4285" s="17"/>
      <c r="E4285" s="17" t="s">
        <v>11</v>
      </c>
      <c r="F4285" s="18"/>
      <c r="G4285" s="36" t="str">
        <f>IF(ISNUMBER(F4285),C4285*F4285,"")</f>
        <v/>
      </c>
    </row>
    <row r="4286" spans="1:7" ht="12" customHeight="1" outlineLevel="2" x14ac:dyDescent="0.2">
      <c r="A4286" s="14" t="s">
        <v>8443</v>
      </c>
      <c r="B4286" s="15" t="s">
        <v>8444</v>
      </c>
      <c r="C4286" s="19">
        <f>3101.1/(1+B2)</f>
        <v>3101.1</v>
      </c>
      <c r="D4286" s="17"/>
      <c r="E4286" s="17" t="s">
        <v>11</v>
      </c>
      <c r="F4286" s="18"/>
      <c r="G4286" s="36" t="str">
        <f>IF(ISNUMBER(F4286),C4286*F4286,"")</f>
        <v/>
      </c>
    </row>
    <row r="4287" spans="1:7" ht="12" customHeight="1" outlineLevel="2" x14ac:dyDescent="0.2">
      <c r="A4287" s="14" t="s">
        <v>8445</v>
      </c>
      <c r="B4287" s="15" t="s">
        <v>8446</v>
      </c>
      <c r="C4287" s="19">
        <f>2727.72/(1+B2)</f>
        <v>2727.72</v>
      </c>
      <c r="D4287" s="17"/>
      <c r="E4287" s="17" t="s">
        <v>11</v>
      </c>
      <c r="F4287" s="18"/>
      <c r="G4287" s="36" t="str">
        <f>IF(ISNUMBER(F4287),C4287*F4287,"")</f>
        <v/>
      </c>
    </row>
    <row r="4288" spans="1:7" ht="12" customHeight="1" outlineLevel="2" x14ac:dyDescent="0.2">
      <c r="A4288" s="14" t="s">
        <v>8447</v>
      </c>
      <c r="B4288" s="15" t="s">
        <v>8448</v>
      </c>
      <c r="C4288" s="16">
        <f>69.47/(1+B2)</f>
        <v>69.47</v>
      </c>
      <c r="D4288" s="17" t="s">
        <v>53</v>
      </c>
      <c r="E4288" s="17" t="s">
        <v>53</v>
      </c>
      <c r="F4288" s="18"/>
      <c r="G4288" s="36" t="str">
        <f>IF(ISNUMBER(F4288),C4288*F4288,"")</f>
        <v/>
      </c>
    </row>
    <row r="4289" spans="1:7" ht="12" customHeight="1" outlineLevel="2" x14ac:dyDescent="0.2">
      <c r="A4289" s="14" t="s">
        <v>8449</v>
      </c>
      <c r="B4289" s="15" t="s">
        <v>8450</v>
      </c>
      <c r="C4289" s="16">
        <f>57.15/(1+B2)</f>
        <v>57.15</v>
      </c>
      <c r="D4289" s="17" t="s">
        <v>11</v>
      </c>
      <c r="E4289" s="17" t="s">
        <v>53</v>
      </c>
      <c r="F4289" s="18"/>
      <c r="G4289" s="36" t="str">
        <f>IF(ISNUMBER(F4289),C4289*F4289,"")</f>
        <v/>
      </c>
    </row>
    <row r="4290" spans="1:7" ht="12" customHeight="1" outlineLevel="2" x14ac:dyDescent="0.2">
      <c r="A4290" s="14" t="s">
        <v>8451</v>
      </c>
      <c r="B4290" s="15" t="s">
        <v>8452</v>
      </c>
      <c r="C4290" s="16">
        <f>20.46/(1+B2)</f>
        <v>20.46</v>
      </c>
      <c r="D4290" s="17" t="s">
        <v>53</v>
      </c>
      <c r="E4290" s="17" t="s">
        <v>106</v>
      </c>
      <c r="F4290" s="18"/>
      <c r="G4290" s="36" t="str">
        <f>IF(ISNUMBER(F4290),C4290*F4290,"")</f>
        <v/>
      </c>
    </row>
    <row r="4291" spans="1:7" ht="12" customHeight="1" outlineLevel="2" x14ac:dyDescent="0.2">
      <c r="A4291" s="14" t="s">
        <v>8453</v>
      </c>
      <c r="B4291" s="15" t="s">
        <v>8454</v>
      </c>
      <c r="C4291" s="16">
        <f>27.95/(1+B2)</f>
        <v>27.95</v>
      </c>
      <c r="D4291" s="17" t="s">
        <v>53</v>
      </c>
      <c r="E4291" s="17" t="s">
        <v>106</v>
      </c>
      <c r="F4291" s="18"/>
      <c r="G4291" s="36" t="str">
        <f>IF(ISNUMBER(F4291),C4291*F4291,"")</f>
        <v/>
      </c>
    </row>
    <row r="4292" spans="1:7" ht="12" customHeight="1" outlineLevel="2" x14ac:dyDescent="0.2">
      <c r="A4292" s="14" t="s">
        <v>8455</v>
      </c>
      <c r="B4292" s="15" t="s">
        <v>8456</v>
      </c>
      <c r="C4292" s="16">
        <f>27.71/(1+B2)</f>
        <v>27.71</v>
      </c>
      <c r="D4292" s="17" t="s">
        <v>53</v>
      </c>
      <c r="E4292" s="17" t="s">
        <v>53</v>
      </c>
      <c r="F4292" s="18"/>
      <c r="G4292" s="36" t="str">
        <f>IF(ISNUMBER(F4292),C4292*F4292,"")</f>
        <v/>
      </c>
    </row>
    <row r="4293" spans="1:7" ht="12" customHeight="1" outlineLevel="2" x14ac:dyDescent="0.2">
      <c r="A4293" s="14" t="s">
        <v>8457</v>
      </c>
      <c r="B4293" s="15" t="s">
        <v>8458</v>
      </c>
      <c r="C4293" s="16">
        <f>91.82/(1+B2)</f>
        <v>91.82</v>
      </c>
      <c r="D4293" s="17" t="s">
        <v>53</v>
      </c>
      <c r="E4293" s="17" t="s">
        <v>106</v>
      </c>
      <c r="F4293" s="18"/>
      <c r="G4293" s="36" t="str">
        <f>IF(ISNUMBER(F4293),C4293*F4293,"")</f>
        <v/>
      </c>
    </row>
    <row r="4294" spans="1:7" ht="12" customHeight="1" outlineLevel="2" x14ac:dyDescent="0.2">
      <c r="A4294" s="14" t="s">
        <v>8459</v>
      </c>
      <c r="B4294" s="15" t="s">
        <v>8460</v>
      </c>
      <c r="C4294" s="16">
        <f>91.88/(1+B2)</f>
        <v>91.88</v>
      </c>
      <c r="D4294" s="17" t="s">
        <v>53</v>
      </c>
      <c r="E4294" s="17"/>
      <c r="F4294" s="18"/>
      <c r="G4294" s="36" t="str">
        <f>IF(ISNUMBER(F4294),C4294*F4294,"")</f>
        <v/>
      </c>
    </row>
    <row r="4295" spans="1:7" ht="12" customHeight="1" outlineLevel="2" x14ac:dyDescent="0.2">
      <c r="A4295" s="14" t="s">
        <v>8461</v>
      </c>
      <c r="B4295" s="15" t="s">
        <v>8462</v>
      </c>
      <c r="C4295" s="16">
        <f>96.39/(1+B2)</f>
        <v>96.39</v>
      </c>
      <c r="D4295" s="17" t="s">
        <v>11</v>
      </c>
      <c r="E4295" s="17"/>
      <c r="F4295" s="18"/>
      <c r="G4295" s="36" t="str">
        <f>IF(ISNUMBER(F4295),C4295*F4295,"")</f>
        <v/>
      </c>
    </row>
    <row r="4296" spans="1:7" ht="12" customHeight="1" outlineLevel="2" x14ac:dyDescent="0.2">
      <c r="A4296" s="14" t="s">
        <v>8463</v>
      </c>
      <c r="B4296" s="15" t="s">
        <v>8464</v>
      </c>
      <c r="C4296" s="19">
        <f>2095.63/(1+B2)</f>
        <v>2095.63</v>
      </c>
      <c r="D4296" s="17" t="s">
        <v>11</v>
      </c>
      <c r="E4296" s="17" t="s">
        <v>11</v>
      </c>
      <c r="F4296" s="18"/>
      <c r="G4296" s="36" t="str">
        <f>IF(ISNUMBER(F4296),C4296*F4296,"")</f>
        <v/>
      </c>
    </row>
    <row r="4297" spans="1:7" s="1" customFormat="1" ht="15.95" customHeight="1" outlineLevel="1" x14ac:dyDescent="0.25">
      <c r="A4297" s="11"/>
      <c r="B4297" s="12" t="s">
        <v>8465</v>
      </c>
      <c r="C4297" s="13"/>
      <c r="D4297" s="13"/>
      <c r="E4297" s="13"/>
      <c r="F4297" s="13"/>
      <c r="G4297" s="35"/>
    </row>
    <row r="4298" spans="1:7" ht="12" customHeight="1" outlineLevel="2" x14ac:dyDescent="0.2">
      <c r="A4298" s="14" t="s">
        <v>8466</v>
      </c>
      <c r="B4298" s="15" t="s">
        <v>8467</v>
      </c>
      <c r="C4298" s="16">
        <f>304.78/(1+B2)</f>
        <v>304.77999999999997</v>
      </c>
      <c r="D4298" s="17" t="s">
        <v>11</v>
      </c>
      <c r="E4298" s="17"/>
      <c r="F4298" s="18"/>
      <c r="G4298" s="36" t="str">
        <f>IF(ISNUMBER(F4298),C4298*F4298,"")</f>
        <v/>
      </c>
    </row>
    <row r="4299" spans="1:7" ht="12" customHeight="1" outlineLevel="2" x14ac:dyDescent="0.2">
      <c r="A4299" s="14" t="s">
        <v>8468</v>
      </c>
      <c r="B4299" s="15" t="s">
        <v>8469</v>
      </c>
      <c r="C4299" s="16">
        <f>340.54/(1+B2)</f>
        <v>340.54</v>
      </c>
      <c r="D4299" s="17" t="s">
        <v>11</v>
      </c>
      <c r="E4299" s="17"/>
      <c r="F4299" s="18"/>
      <c r="G4299" s="36" t="str">
        <f>IF(ISNUMBER(F4299),C4299*F4299,"")</f>
        <v/>
      </c>
    </row>
    <row r="4300" spans="1:7" ht="12" customHeight="1" outlineLevel="2" x14ac:dyDescent="0.2">
      <c r="A4300" s="14" t="s">
        <v>8470</v>
      </c>
      <c r="B4300" s="15" t="s">
        <v>8471</v>
      </c>
      <c r="C4300" s="16">
        <f>320.39/(1+B2)</f>
        <v>320.39</v>
      </c>
      <c r="D4300" s="17" t="s">
        <v>11</v>
      </c>
      <c r="E4300" s="17"/>
      <c r="F4300" s="18"/>
      <c r="G4300" s="36" t="str">
        <f>IF(ISNUMBER(F4300),C4300*F4300,"")</f>
        <v/>
      </c>
    </row>
    <row r="4301" spans="1:7" ht="12" customHeight="1" outlineLevel="2" x14ac:dyDescent="0.2">
      <c r="A4301" s="14" t="s">
        <v>8472</v>
      </c>
      <c r="B4301" s="15" t="s">
        <v>8473</v>
      </c>
      <c r="C4301" s="16">
        <f>453.38/(1+B2)</f>
        <v>453.38</v>
      </c>
      <c r="D4301" s="17" t="s">
        <v>11</v>
      </c>
      <c r="E4301" s="17" t="s">
        <v>11</v>
      </c>
      <c r="F4301" s="18"/>
      <c r="G4301" s="36" t="str">
        <f>IF(ISNUMBER(F4301),C4301*F4301,"")</f>
        <v/>
      </c>
    </row>
    <row r="4302" spans="1:7" ht="12" customHeight="1" outlineLevel="2" x14ac:dyDescent="0.2">
      <c r="A4302" s="14" t="s">
        <v>8474</v>
      </c>
      <c r="B4302" s="15" t="s">
        <v>8475</v>
      </c>
      <c r="C4302" s="16">
        <f>351.56/(1+B2)</f>
        <v>351.56</v>
      </c>
      <c r="D4302" s="17" t="s">
        <v>11</v>
      </c>
      <c r="E4302" s="17"/>
      <c r="F4302" s="18"/>
      <c r="G4302" s="36" t="str">
        <f>IF(ISNUMBER(F4302),C4302*F4302,"")</f>
        <v/>
      </c>
    </row>
    <row r="4303" spans="1:7" ht="12" customHeight="1" outlineLevel="2" x14ac:dyDescent="0.2">
      <c r="A4303" s="14" t="s">
        <v>8476</v>
      </c>
      <c r="B4303" s="15" t="s">
        <v>8477</v>
      </c>
      <c r="C4303" s="16">
        <f>340.58/(1+B2)</f>
        <v>340.58</v>
      </c>
      <c r="D4303" s="17" t="s">
        <v>11</v>
      </c>
      <c r="E4303" s="17" t="s">
        <v>14</v>
      </c>
      <c r="F4303" s="18"/>
      <c r="G4303" s="36" t="str">
        <f>IF(ISNUMBER(F4303),C4303*F4303,"")</f>
        <v/>
      </c>
    </row>
    <row r="4304" spans="1:7" ht="12" customHeight="1" outlineLevel="2" x14ac:dyDescent="0.2">
      <c r="A4304" s="14" t="s">
        <v>8478</v>
      </c>
      <c r="B4304" s="15" t="s">
        <v>8479</v>
      </c>
      <c r="C4304" s="16">
        <f>634.51/(1+B2)</f>
        <v>634.51</v>
      </c>
      <c r="D4304" s="17" t="s">
        <v>11</v>
      </c>
      <c r="E4304" s="17" t="s">
        <v>11</v>
      </c>
      <c r="F4304" s="18"/>
      <c r="G4304" s="36" t="str">
        <f>IF(ISNUMBER(F4304),C4304*F4304,"")</f>
        <v/>
      </c>
    </row>
    <row r="4305" spans="1:7" ht="12" customHeight="1" outlineLevel="2" x14ac:dyDescent="0.2">
      <c r="A4305" s="14" t="s">
        <v>8480</v>
      </c>
      <c r="B4305" s="15" t="s">
        <v>8481</v>
      </c>
      <c r="C4305" s="16">
        <f>699.83/(1+B2)</f>
        <v>699.83</v>
      </c>
      <c r="D4305" s="17" t="s">
        <v>11</v>
      </c>
      <c r="E4305" s="17"/>
      <c r="F4305" s="18"/>
      <c r="G4305" s="36" t="str">
        <f>IF(ISNUMBER(F4305),C4305*F4305,"")</f>
        <v/>
      </c>
    </row>
    <row r="4306" spans="1:7" ht="12" customHeight="1" outlineLevel="2" x14ac:dyDescent="0.2">
      <c r="A4306" s="14" t="s">
        <v>8482</v>
      </c>
      <c r="B4306" s="15" t="s">
        <v>8483</v>
      </c>
      <c r="C4306" s="16">
        <f>838.92/(1+B2)</f>
        <v>838.92</v>
      </c>
      <c r="D4306" s="17" t="s">
        <v>11</v>
      </c>
      <c r="E4306" s="17"/>
      <c r="F4306" s="18"/>
      <c r="G4306" s="36" t="str">
        <f>IF(ISNUMBER(F4306),C4306*F4306,"")</f>
        <v/>
      </c>
    </row>
    <row r="4307" spans="1:7" ht="12" customHeight="1" outlineLevel="2" x14ac:dyDescent="0.2">
      <c r="A4307" s="14" t="s">
        <v>8484</v>
      </c>
      <c r="B4307" s="15" t="s">
        <v>8485</v>
      </c>
      <c r="C4307" s="16">
        <f>774.47/(1+B2)</f>
        <v>774.47</v>
      </c>
      <c r="D4307" s="17" t="s">
        <v>11</v>
      </c>
      <c r="E4307" s="17"/>
      <c r="F4307" s="18"/>
      <c r="G4307" s="36" t="str">
        <f>IF(ISNUMBER(F4307),C4307*F4307,"")</f>
        <v/>
      </c>
    </row>
    <row r="4308" spans="1:7" ht="12" customHeight="1" outlineLevel="2" x14ac:dyDescent="0.2">
      <c r="A4308" s="14" t="s">
        <v>8486</v>
      </c>
      <c r="B4308" s="15" t="s">
        <v>8487</v>
      </c>
      <c r="C4308" s="16">
        <f>636.83/(1+B2)</f>
        <v>636.83000000000004</v>
      </c>
      <c r="D4308" s="17" t="s">
        <v>11</v>
      </c>
      <c r="E4308" s="17"/>
      <c r="F4308" s="18"/>
      <c r="G4308" s="36" t="str">
        <f>IF(ISNUMBER(F4308),C4308*F4308,"")</f>
        <v/>
      </c>
    </row>
    <row r="4309" spans="1:7" ht="12" customHeight="1" outlineLevel="2" x14ac:dyDescent="0.2">
      <c r="A4309" s="14" t="s">
        <v>8488</v>
      </c>
      <c r="B4309" s="15" t="s">
        <v>8489</v>
      </c>
      <c r="C4309" s="16">
        <f>607.6/(1+B2)</f>
        <v>607.6</v>
      </c>
      <c r="D4309" s="17" t="s">
        <v>11</v>
      </c>
      <c r="E4309" s="17"/>
      <c r="F4309" s="18"/>
      <c r="G4309" s="36" t="str">
        <f>IF(ISNUMBER(F4309),C4309*F4309,"")</f>
        <v/>
      </c>
    </row>
    <row r="4310" spans="1:7" ht="12" customHeight="1" outlineLevel="2" x14ac:dyDescent="0.2">
      <c r="A4310" s="14" t="s">
        <v>8490</v>
      </c>
      <c r="B4310" s="15" t="s">
        <v>8491</v>
      </c>
      <c r="C4310" s="16">
        <f>692.83/(1+B2)</f>
        <v>692.83</v>
      </c>
      <c r="D4310" s="17" t="s">
        <v>11</v>
      </c>
      <c r="E4310" s="17"/>
      <c r="F4310" s="18"/>
      <c r="G4310" s="36" t="str">
        <f>IF(ISNUMBER(F4310),C4310*F4310,"")</f>
        <v/>
      </c>
    </row>
    <row r="4311" spans="1:7" ht="12" customHeight="1" outlineLevel="2" x14ac:dyDescent="0.2">
      <c r="A4311" s="14" t="s">
        <v>8492</v>
      </c>
      <c r="B4311" s="15" t="s">
        <v>8493</v>
      </c>
      <c r="C4311" s="16">
        <f>661.56/(1+B2)</f>
        <v>661.56</v>
      </c>
      <c r="D4311" s="17" t="s">
        <v>11</v>
      </c>
      <c r="E4311" s="17" t="s">
        <v>11</v>
      </c>
      <c r="F4311" s="18"/>
      <c r="G4311" s="36" t="str">
        <f>IF(ISNUMBER(F4311),C4311*F4311,"")</f>
        <v/>
      </c>
    </row>
    <row r="4312" spans="1:7" ht="12" customHeight="1" outlineLevel="2" x14ac:dyDescent="0.2">
      <c r="A4312" s="14" t="s">
        <v>8494</v>
      </c>
      <c r="B4312" s="15" t="s">
        <v>8495</v>
      </c>
      <c r="C4312" s="16">
        <f>720.21/(1+B2)</f>
        <v>720.21</v>
      </c>
      <c r="D4312" s="17" t="s">
        <v>11</v>
      </c>
      <c r="E4312" s="17" t="s">
        <v>11</v>
      </c>
      <c r="F4312" s="18"/>
      <c r="G4312" s="36" t="str">
        <f>IF(ISNUMBER(F4312),C4312*F4312,"")</f>
        <v/>
      </c>
    </row>
    <row r="4313" spans="1:7" ht="12" customHeight="1" outlineLevel="2" x14ac:dyDescent="0.2">
      <c r="A4313" s="14" t="s">
        <v>8496</v>
      </c>
      <c r="B4313" s="15" t="s">
        <v>8497</v>
      </c>
      <c r="C4313" s="16">
        <f>701.44/(1+B2)</f>
        <v>701.44</v>
      </c>
      <c r="D4313" s="17" t="s">
        <v>11</v>
      </c>
      <c r="E4313" s="17"/>
      <c r="F4313" s="18"/>
      <c r="G4313" s="36" t="str">
        <f>IF(ISNUMBER(F4313),C4313*F4313,"")</f>
        <v/>
      </c>
    </row>
    <row r="4314" spans="1:7" ht="12" customHeight="1" outlineLevel="2" x14ac:dyDescent="0.2">
      <c r="A4314" s="14" t="s">
        <v>8498</v>
      </c>
      <c r="B4314" s="15" t="s">
        <v>8499</v>
      </c>
      <c r="C4314" s="16">
        <f>720.21/(1+B2)</f>
        <v>720.21</v>
      </c>
      <c r="D4314" s="17" t="s">
        <v>11</v>
      </c>
      <c r="E4314" s="17"/>
      <c r="F4314" s="18"/>
      <c r="G4314" s="36" t="str">
        <f>IF(ISNUMBER(F4314),C4314*F4314,"")</f>
        <v/>
      </c>
    </row>
    <row r="4315" spans="1:7" ht="12" customHeight="1" outlineLevel="2" x14ac:dyDescent="0.2">
      <c r="A4315" s="14" t="s">
        <v>8500</v>
      </c>
      <c r="B4315" s="15" t="s">
        <v>8501</v>
      </c>
      <c r="C4315" s="16">
        <f>90.77/(1+B2)</f>
        <v>90.77</v>
      </c>
      <c r="D4315" s="17" t="s">
        <v>14</v>
      </c>
      <c r="E4315" s="17"/>
      <c r="F4315" s="18"/>
      <c r="G4315" s="36" t="str">
        <f>IF(ISNUMBER(F4315),C4315*F4315,"")</f>
        <v/>
      </c>
    </row>
    <row r="4316" spans="1:7" ht="12" customHeight="1" outlineLevel="2" x14ac:dyDescent="0.2">
      <c r="A4316" s="14" t="s">
        <v>8502</v>
      </c>
      <c r="B4316" s="15" t="s">
        <v>8503</v>
      </c>
      <c r="C4316" s="16">
        <f>110.38/(1+B2)</f>
        <v>110.38</v>
      </c>
      <c r="D4316" s="17" t="s">
        <v>53</v>
      </c>
      <c r="E4316" s="17"/>
      <c r="F4316" s="18"/>
      <c r="G4316" s="36" t="str">
        <f>IF(ISNUMBER(F4316),C4316*F4316,"")</f>
        <v/>
      </c>
    </row>
    <row r="4317" spans="1:7" ht="12" customHeight="1" outlineLevel="2" x14ac:dyDescent="0.2">
      <c r="A4317" s="14" t="s">
        <v>8504</v>
      </c>
      <c r="B4317" s="15" t="s">
        <v>8505</v>
      </c>
      <c r="C4317" s="16">
        <f>237.94/(1+B2)</f>
        <v>237.94</v>
      </c>
      <c r="D4317" s="17" t="s">
        <v>14</v>
      </c>
      <c r="E4317" s="17" t="s">
        <v>11</v>
      </c>
      <c r="F4317" s="18"/>
      <c r="G4317" s="36" t="str">
        <f>IF(ISNUMBER(F4317),C4317*F4317,"")</f>
        <v/>
      </c>
    </row>
    <row r="4318" spans="1:7" ht="12" customHeight="1" outlineLevel="2" x14ac:dyDescent="0.2">
      <c r="A4318" s="14" t="s">
        <v>8506</v>
      </c>
      <c r="B4318" s="15" t="s">
        <v>8507</v>
      </c>
      <c r="C4318" s="16">
        <f>237.94/(1+B2)</f>
        <v>237.94</v>
      </c>
      <c r="D4318" s="17" t="s">
        <v>11</v>
      </c>
      <c r="E4318" s="17"/>
      <c r="F4318" s="18"/>
      <c r="G4318" s="36" t="str">
        <f>IF(ISNUMBER(F4318),C4318*F4318,"")</f>
        <v/>
      </c>
    </row>
    <row r="4319" spans="1:7" ht="12" customHeight="1" outlineLevel="2" x14ac:dyDescent="0.2">
      <c r="A4319" s="14" t="s">
        <v>8508</v>
      </c>
      <c r="B4319" s="15" t="s">
        <v>8509</v>
      </c>
      <c r="C4319" s="16">
        <f>237.94/(1+B2)</f>
        <v>237.94</v>
      </c>
      <c r="D4319" s="17" t="s">
        <v>11</v>
      </c>
      <c r="E4319" s="17" t="s">
        <v>106</v>
      </c>
      <c r="F4319" s="18"/>
      <c r="G4319" s="36" t="str">
        <f>IF(ISNUMBER(F4319),C4319*F4319,"")</f>
        <v/>
      </c>
    </row>
    <row r="4320" spans="1:7" ht="12" customHeight="1" outlineLevel="2" x14ac:dyDescent="0.2">
      <c r="A4320" s="14" t="s">
        <v>8510</v>
      </c>
      <c r="B4320" s="15" t="s">
        <v>8511</v>
      </c>
      <c r="C4320" s="16">
        <f>179.1/(1+B2)</f>
        <v>179.1</v>
      </c>
      <c r="D4320" s="17" t="s">
        <v>11</v>
      </c>
      <c r="E4320" s="17"/>
      <c r="F4320" s="18"/>
      <c r="G4320" s="36" t="str">
        <f>IF(ISNUMBER(F4320),C4320*F4320,"")</f>
        <v/>
      </c>
    </row>
    <row r="4321" spans="1:7" ht="12" customHeight="1" outlineLevel="2" x14ac:dyDescent="0.2">
      <c r="A4321" s="14" t="s">
        <v>8512</v>
      </c>
      <c r="B4321" s="15" t="s">
        <v>8513</v>
      </c>
      <c r="C4321" s="16">
        <f>317.25/(1+B2)</f>
        <v>317.25</v>
      </c>
      <c r="D4321" s="17" t="s">
        <v>11</v>
      </c>
      <c r="E4321" s="17" t="s">
        <v>106</v>
      </c>
      <c r="F4321" s="18"/>
      <c r="G4321" s="36" t="str">
        <f>IF(ISNUMBER(F4321),C4321*F4321,"")</f>
        <v/>
      </c>
    </row>
    <row r="4322" spans="1:7" ht="12" customHeight="1" outlineLevel="2" x14ac:dyDescent="0.2">
      <c r="A4322" s="14" t="s">
        <v>8514</v>
      </c>
      <c r="B4322" s="15" t="s">
        <v>8515</v>
      </c>
      <c r="C4322" s="16">
        <f>510.88/(1+B2)</f>
        <v>510.88</v>
      </c>
      <c r="D4322" s="17" t="s">
        <v>11</v>
      </c>
      <c r="E4322" s="17" t="s">
        <v>14</v>
      </c>
      <c r="F4322" s="18"/>
      <c r="G4322" s="36" t="str">
        <f>IF(ISNUMBER(F4322),C4322*F4322,"")</f>
        <v/>
      </c>
    </row>
    <row r="4323" spans="1:7" ht="12" customHeight="1" outlineLevel="2" x14ac:dyDescent="0.2">
      <c r="A4323" s="14" t="s">
        <v>8516</v>
      </c>
      <c r="B4323" s="15" t="s">
        <v>8517</v>
      </c>
      <c r="C4323" s="16">
        <f>562.19/(1+B2)</f>
        <v>562.19000000000005</v>
      </c>
      <c r="D4323" s="17" t="s">
        <v>11</v>
      </c>
      <c r="E4323" s="17" t="s">
        <v>14</v>
      </c>
      <c r="F4323" s="18"/>
      <c r="G4323" s="36" t="str">
        <f>IF(ISNUMBER(F4323),C4323*F4323,"")</f>
        <v/>
      </c>
    </row>
    <row r="4324" spans="1:7" ht="12" customHeight="1" outlineLevel="2" x14ac:dyDescent="0.2">
      <c r="A4324" s="14" t="s">
        <v>8518</v>
      </c>
      <c r="B4324" s="15" t="s">
        <v>8519</v>
      </c>
      <c r="C4324" s="16">
        <f>179.63/(1+B2)</f>
        <v>179.63</v>
      </c>
      <c r="D4324" s="17" t="s">
        <v>11</v>
      </c>
      <c r="E4324" s="17"/>
      <c r="F4324" s="18"/>
      <c r="G4324" s="36" t="str">
        <f>IF(ISNUMBER(F4324),C4324*F4324,"")</f>
        <v/>
      </c>
    </row>
    <row r="4325" spans="1:7" ht="12" customHeight="1" outlineLevel="2" x14ac:dyDescent="0.2">
      <c r="A4325" s="14" t="s">
        <v>8520</v>
      </c>
      <c r="B4325" s="15" t="s">
        <v>8521</v>
      </c>
      <c r="C4325" s="16">
        <f>209.95/(1+B2)</f>
        <v>209.95</v>
      </c>
      <c r="D4325" s="17" t="s">
        <v>14</v>
      </c>
      <c r="E4325" s="17" t="s">
        <v>53</v>
      </c>
      <c r="F4325" s="18"/>
      <c r="G4325" s="36" t="str">
        <f>IF(ISNUMBER(F4325),C4325*F4325,"")</f>
        <v/>
      </c>
    </row>
    <row r="4326" spans="1:7" ht="12" customHeight="1" outlineLevel="2" x14ac:dyDescent="0.2">
      <c r="A4326" s="14" t="s">
        <v>8522</v>
      </c>
      <c r="B4326" s="15" t="s">
        <v>8523</v>
      </c>
      <c r="C4326" s="16">
        <f>209.95/(1+B2)</f>
        <v>209.95</v>
      </c>
      <c r="D4326" s="17" t="s">
        <v>11</v>
      </c>
      <c r="E4326" s="17" t="s">
        <v>14</v>
      </c>
      <c r="F4326" s="18"/>
      <c r="G4326" s="36" t="str">
        <f>IF(ISNUMBER(F4326),C4326*F4326,"")</f>
        <v/>
      </c>
    </row>
    <row r="4327" spans="1:7" ht="12" customHeight="1" outlineLevel="2" x14ac:dyDescent="0.2">
      <c r="A4327" s="14" t="s">
        <v>8524</v>
      </c>
      <c r="B4327" s="15" t="s">
        <v>8525</v>
      </c>
      <c r="C4327" s="16">
        <f>242.62/(1+B2)</f>
        <v>242.62</v>
      </c>
      <c r="D4327" s="17" t="s">
        <v>11</v>
      </c>
      <c r="E4327" s="17"/>
      <c r="F4327" s="18"/>
      <c r="G4327" s="36" t="str">
        <f>IF(ISNUMBER(F4327),C4327*F4327,"")</f>
        <v/>
      </c>
    </row>
    <row r="4328" spans="1:7" ht="12" customHeight="1" outlineLevel="2" x14ac:dyDescent="0.2">
      <c r="A4328" s="14" t="s">
        <v>8526</v>
      </c>
      <c r="B4328" s="15" t="s">
        <v>8527</v>
      </c>
      <c r="C4328" s="16">
        <f>104.63/(1+B2)</f>
        <v>104.63</v>
      </c>
      <c r="D4328" s="17" t="s">
        <v>11</v>
      </c>
      <c r="E4328" s="17"/>
      <c r="F4328" s="18"/>
      <c r="G4328" s="36" t="str">
        <f>IF(ISNUMBER(F4328),C4328*F4328,"")</f>
        <v/>
      </c>
    </row>
    <row r="4329" spans="1:7" ht="12" customHeight="1" outlineLevel="2" x14ac:dyDescent="0.2">
      <c r="A4329" s="14" t="s">
        <v>8528</v>
      </c>
      <c r="B4329" s="15" t="s">
        <v>8529</v>
      </c>
      <c r="C4329" s="16">
        <f>184.3/(1+B2)</f>
        <v>184.3</v>
      </c>
      <c r="D4329" s="17" t="s">
        <v>11</v>
      </c>
      <c r="E4329" s="17" t="s">
        <v>106</v>
      </c>
      <c r="F4329" s="18"/>
      <c r="G4329" s="36" t="str">
        <f>IF(ISNUMBER(F4329),C4329*F4329,"")</f>
        <v/>
      </c>
    </row>
    <row r="4330" spans="1:7" ht="12" customHeight="1" outlineLevel="2" x14ac:dyDescent="0.2">
      <c r="A4330" s="14" t="s">
        <v>8530</v>
      </c>
      <c r="B4330" s="15" t="s">
        <v>8531</v>
      </c>
      <c r="C4330" s="16">
        <f>184.3/(1+B2)</f>
        <v>184.3</v>
      </c>
      <c r="D4330" s="17" t="s">
        <v>11</v>
      </c>
      <c r="E4330" s="17"/>
      <c r="F4330" s="18"/>
      <c r="G4330" s="36" t="str">
        <f>IF(ISNUMBER(F4330),C4330*F4330,"")</f>
        <v/>
      </c>
    </row>
    <row r="4331" spans="1:7" ht="12" customHeight="1" outlineLevel="2" x14ac:dyDescent="0.2">
      <c r="A4331" s="14" t="s">
        <v>8532</v>
      </c>
      <c r="B4331" s="15" t="s">
        <v>8533</v>
      </c>
      <c r="C4331" s="16">
        <f>205.24/(1+B2)</f>
        <v>205.24</v>
      </c>
      <c r="D4331" s="17" t="s">
        <v>11</v>
      </c>
      <c r="E4331" s="17" t="s">
        <v>11</v>
      </c>
      <c r="F4331" s="18"/>
      <c r="G4331" s="36" t="str">
        <f>IF(ISNUMBER(F4331),C4331*F4331,"")</f>
        <v/>
      </c>
    </row>
    <row r="4332" spans="1:7" ht="12" customHeight="1" outlineLevel="2" x14ac:dyDescent="0.2">
      <c r="A4332" s="14" t="s">
        <v>8534</v>
      </c>
      <c r="B4332" s="15" t="s">
        <v>8535</v>
      </c>
      <c r="C4332" s="16">
        <f>226.22/(1+B2)</f>
        <v>226.22</v>
      </c>
      <c r="D4332" s="17" t="s">
        <v>11</v>
      </c>
      <c r="E4332" s="17" t="s">
        <v>11</v>
      </c>
      <c r="F4332" s="18"/>
      <c r="G4332" s="36" t="str">
        <f>IF(ISNUMBER(F4332),C4332*F4332,"")</f>
        <v/>
      </c>
    </row>
    <row r="4333" spans="1:7" ht="12" customHeight="1" outlineLevel="2" x14ac:dyDescent="0.2">
      <c r="A4333" s="14" t="s">
        <v>8536</v>
      </c>
      <c r="B4333" s="15" t="s">
        <v>8537</v>
      </c>
      <c r="C4333" s="16">
        <f>176.83/(1+B2)</f>
        <v>176.83</v>
      </c>
      <c r="D4333" s="17" t="s">
        <v>11</v>
      </c>
      <c r="E4333" s="17" t="s">
        <v>14</v>
      </c>
      <c r="F4333" s="18"/>
      <c r="G4333" s="36" t="str">
        <f>IF(ISNUMBER(F4333),C4333*F4333,"")</f>
        <v/>
      </c>
    </row>
    <row r="4334" spans="1:7" ht="12" customHeight="1" outlineLevel="2" x14ac:dyDescent="0.2">
      <c r="A4334" s="14" t="s">
        <v>8538</v>
      </c>
      <c r="B4334" s="15" t="s">
        <v>8539</v>
      </c>
      <c r="C4334" s="16">
        <f>199.1/(1+B2)</f>
        <v>199.1</v>
      </c>
      <c r="D4334" s="17" t="s">
        <v>11</v>
      </c>
      <c r="E4334" s="17" t="s">
        <v>106</v>
      </c>
      <c r="F4334" s="18"/>
      <c r="G4334" s="36" t="str">
        <f>IF(ISNUMBER(F4334),C4334*F4334,"")</f>
        <v/>
      </c>
    </row>
    <row r="4335" spans="1:7" ht="12" customHeight="1" outlineLevel="2" x14ac:dyDescent="0.2">
      <c r="A4335" s="14" t="s">
        <v>8540</v>
      </c>
      <c r="B4335" s="15" t="s">
        <v>8541</v>
      </c>
      <c r="C4335" s="16">
        <f>130.88/(1+B2)</f>
        <v>130.88</v>
      </c>
      <c r="D4335" s="17" t="s">
        <v>14</v>
      </c>
      <c r="E4335" s="17"/>
      <c r="F4335" s="18"/>
      <c r="G4335" s="36" t="str">
        <f>IF(ISNUMBER(F4335),C4335*F4335,"")</f>
        <v/>
      </c>
    </row>
    <row r="4336" spans="1:7" ht="12" customHeight="1" outlineLevel="2" x14ac:dyDescent="0.2">
      <c r="A4336" s="14" t="s">
        <v>8542</v>
      </c>
      <c r="B4336" s="15" t="s">
        <v>8543</v>
      </c>
      <c r="C4336" s="16">
        <f>260.36/(1+B2)</f>
        <v>260.36</v>
      </c>
      <c r="D4336" s="17" t="s">
        <v>11</v>
      </c>
      <c r="E4336" s="17"/>
      <c r="F4336" s="18"/>
      <c r="G4336" s="36" t="str">
        <f>IF(ISNUMBER(F4336),C4336*F4336,"")</f>
        <v/>
      </c>
    </row>
    <row r="4337" spans="1:7" ht="12" customHeight="1" outlineLevel="2" x14ac:dyDescent="0.2">
      <c r="A4337" s="14" t="s">
        <v>8544</v>
      </c>
      <c r="B4337" s="15" t="s">
        <v>8545</v>
      </c>
      <c r="C4337" s="16">
        <f>155.94/(1+B2)</f>
        <v>155.94</v>
      </c>
      <c r="D4337" s="17" t="s">
        <v>11</v>
      </c>
      <c r="E4337" s="17"/>
      <c r="F4337" s="18"/>
      <c r="G4337" s="36" t="str">
        <f>IF(ISNUMBER(F4337),C4337*F4337,"")</f>
        <v/>
      </c>
    </row>
    <row r="4338" spans="1:7" ht="12" customHeight="1" outlineLevel="2" x14ac:dyDescent="0.2">
      <c r="A4338" s="14" t="s">
        <v>8546</v>
      </c>
      <c r="B4338" s="15" t="s">
        <v>8547</v>
      </c>
      <c r="C4338" s="16">
        <f>146.19/(1+B2)</f>
        <v>146.19</v>
      </c>
      <c r="D4338" s="17" t="s">
        <v>11</v>
      </c>
      <c r="E4338" s="17"/>
      <c r="F4338" s="18"/>
      <c r="G4338" s="36" t="str">
        <f>IF(ISNUMBER(F4338),C4338*F4338,"")</f>
        <v/>
      </c>
    </row>
    <row r="4339" spans="1:7" ht="12" customHeight="1" outlineLevel="2" x14ac:dyDescent="0.2">
      <c r="A4339" s="14" t="s">
        <v>8548</v>
      </c>
      <c r="B4339" s="15" t="s">
        <v>8549</v>
      </c>
      <c r="C4339" s="16">
        <f>142.01/(1+B2)</f>
        <v>142.01</v>
      </c>
      <c r="D4339" s="17" t="s">
        <v>11</v>
      </c>
      <c r="E4339" s="17" t="s">
        <v>11</v>
      </c>
      <c r="F4339" s="18"/>
      <c r="G4339" s="36" t="str">
        <f>IF(ISNUMBER(F4339),C4339*F4339,"")</f>
        <v/>
      </c>
    </row>
    <row r="4340" spans="1:7" ht="12" customHeight="1" outlineLevel="2" x14ac:dyDescent="0.2">
      <c r="A4340" s="14" t="s">
        <v>8550</v>
      </c>
      <c r="B4340" s="15" t="s">
        <v>8551</v>
      </c>
      <c r="C4340" s="16">
        <f>271.5/(1+B2)</f>
        <v>271.5</v>
      </c>
      <c r="D4340" s="17" t="s">
        <v>11</v>
      </c>
      <c r="E4340" s="17" t="s">
        <v>14</v>
      </c>
      <c r="F4340" s="18"/>
      <c r="G4340" s="36" t="str">
        <f>IF(ISNUMBER(F4340),C4340*F4340,"")</f>
        <v/>
      </c>
    </row>
    <row r="4341" spans="1:7" ht="12" customHeight="1" outlineLevel="2" x14ac:dyDescent="0.2">
      <c r="A4341" s="14" t="s">
        <v>8552</v>
      </c>
      <c r="B4341" s="15" t="s">
        <v>8553</v>
      </c>
      <c r="C4341" s="16">
        <f>900.44/(1+B2)</f>
        <v>900.44</v>
      </c>
      <c r="D4341" s="17" t="s">
        <v>11</v>
      </c>
      <c r="E4341" s="17"/>
      <c r="F4341" s="18"/>
      <c r="G4341" s="36" t="str">
        <f>IF(ISNUMBER(F4341),C4341*F4341,"")</f>
        <v/>
      </c>
    </row>
    <row r="4342" spans="1:7" ht="12" customHeight="1" outlineLevel="2" x14ac:dyDescent="0.2">
      <c r="A4342" s="14" t="s">
        <v>8554</v>
      </c>
      <c r="B4342" s="15" t="s">
        <v>8555</v>
      </c>
      <c r="C4342" s="16">
        <f>984.42/(1+B2)</f>
        <v>984.42</v>
      </c>
      <c r="D4342" s="17" t="s">
        <v>11</v>
      </c>
      <c r="E4342" s="17" t="s">
        <v>11</v>
      </c>
      <c r="F4342" s="18"/>
      <c r="G4342" s="36" t="str">
        <f>IF(ISNUMBER(F4342),C4342*F4342,"")</f>
        <v/>
      </c>
    </row>
    <row r="4343" spans="1:7" ht="12" customHeight="1" outlineLevel="2" x14ac:dyDescent="0.2">
      <c r="A4343" s="14" t="s">
        <v>8556</v>
      </c>
      <c r="B4343" s="15" t="s">
        <v>8557</v>
      </c>
      <c r="C4343" s="19">
        <f>1131.39/(1+B2)</f>
        <v>1131.3900000000001</v>
      </c>
      <c r="D4343" s="17" t="s">
        <v>11</v>
      </c>
      <c r="E4343" s="17"/>
      <c r="F4343" s="18"/>
      <c r="G4343" s="36" t="str">
        <f>IF(ISNUMBER(F4343),C4343*F4343,"")</f>
        <v/>
      </c>
    </row>
    <row r="4344" spans="1:7" ht="12" customHeight="1" outlineLevel="2" x14ac:dyDescent="0.2">
      <c r="A4344" s="14" t="s">
        <v>8558</v>
      </c>
      <c r="B4344" s="15" t="s">
        <v>8559</v>
      </c>
      <c r="C4344" s="16">
        <f>356.55/(1+B2)</f>
        <v>356.55</v>
      </c>
      <c r="D4344" s="17" t="s">
        <v>11</v>
      </c>
      <c r="E4344" s="17"/>
      <c r="F4344" s="18"/>
      <c r="G4344" s="36" t="str">
        <f>IF(ISNUMBER(F4344),C4344*F4344,"")</f>
        <v/>
      </c>
    </row>
    <row r="4345" spans="1:7" ht="12" customHeight="1" outlineLevel="2" x14ac:dyDescent="0.2">
      <c r="A4345" s="14" t="s">
        <v>8560</v>
      </c>
      <c r="B4345" s="15" t="s">
        <v>8561</v>
      </c>
      <c r="C4345" s="16">
        <f>356.55/(1+B2)</f>
        <v>356.55</v>
      </c>
      <c r="D4345" s="17" t="s">
        <v>11</v>
      </c>
      <c r="E4345" s="17"/>
      <c r="F4345" s="18"/>
      <c r="G4345" s="36" t="str">
        <f>IF(ISNUMBER(F4345),C4345*F4345,"")</f>
        <v/>
      </c>
    </row>
    <row r="4346" spans="1:7" ht="12" customHeight="1" outlineLevel="2" x14ac:dyDescent="0.2">
      <c r="A4346" s="14" t="s">
        <v>8562</v>
      </c>
      <c r="B4346" s="15" t="s">
        <v>8563</v>
      </c>
      <c r="C4346" s="16">
        <f>695.16/(1+B2)</f>
        <v>695.16</v>
      </c>
      <c r="D4346" s="17" t="s">
        <v>11</v>
      </c>
      <c r="E4346" s="17"/>
      <c r="F4346" s="18"/>
      <c r="G4346" s="36" t="str">
        <f>IF(ISNUMBER(F4346),C4346*F4346,"")</f>
        <v/>
      </c>
    </row>
    <row r="4347" spans="1:7" ht="12" customHeight="1" outlineLevel="2" x14ac:dyDescent="0.2">
      <c r="A4347" s="14" t="s">
        <v>8564</v>
      </c>
      <c r="B4347" s="15" t="s">
        <v>8565</v>
      </c>
      <c r="C4347" s="16">
        <f>765.14/(1+B2)</f>
        <v>765.14</v>
      </c>
      <c r="D4347" s="17" t="s">
        <v>11</v>
      </c>
      <c r="E4347" s="17" t="s">
        <v>14</v>
      </c>
      <c r="F4347" s="18"/>
      <c r="G4347" s="36" t="str">
        <f>IF(ISNUMBER(F4347),C4347*F4347,"")</f>
        <v/>
      </c>
    </row>
    <row r="4348" spans="1:7" ht="12" customHeight="1" outlineLevel="2" x14ac:dyDescent="0.2">
      <c r="A4348" s="14" t="s">
        <v>8566</v>
      </c>
      <c r="B4348" s="15" t="s">
        <v>8567</v>
      </c>
      <c r="C4348" s="16">
        <f>682.68/(1+B2)</f>
        <v>682.68</v>
      </c>
      <c r="D4348" s="17" t="s">
        <v>11</v>
      </c>
      <c r="E4348" s="17" t="s">
        <v>14</v>
      </c>
      <c r="F4348" s="18"/>
      <c r="G4348" s="36" t="str">
        <f>IF(ISNUMBER(F4348),C4348*F4348,"")</f>
        <v/>
      </c>
    </row>
    <row r="4349" spans="1:7" ht="12" customHeight="1" outlineLevel="2" x14ac:dyDescent="0.2">
      <c r="A4349" s="14" t="s">
        <v>8568</v>
      </c>
      <c r="B4349" s="15" t="s">
        <v>8569</v>
      </c>
      <c r="C4349" s="16">
        <f>795.46/(1+B2)</f>
        <v>795.46</v>
      </c>
      <c r="D4349" s="17" t="s">
        <v>11</v>
      </c>
      <c r="E4349" s="17"/>
      <c r="F4349" s="18"/>
      <c r="G4349" s="36" t="str">
        <f>IF(ISNUMBER(F4349),C4349*F4349,"")</f>
        <v/>
      </c>
    </row>
    <row r="4350" spans="1:7" ht="12" customHeight="1" outlineLevel="2" x14ac:dyDescent="0.2">
      <c r="A4350" s="14" t="s">
        <v>8570</v>
      </c>
      <c r="B4350" s="15" t="s">
        <v>8571</v>
      </c>
      <c r="C4350" s="16">
        <f>795.46/(1+B2)</f>
        <v>795.46</v>
      </c>
      <c r="D4350" s="17" t="s">
        <v>11</v>
      </c>
      <c r="E4350" s="17"/>
      <c r="F4350" s="18"/>
      <c r="G4350" s="36" t="str">
        <f>IF(ISNUMBER(F4350),C4350*F4350,"")</f>
        <v/>
      </c>
    </row>
    <row r="4351" spans="1:7" ht="24" customHeight="1" outlineLevel="2" x14ac:dyDescent="0.2">
      <c r="A4351" s="14" t="s">
        <v>8572</v>
      </c>
      <c r="B4351" s="15" t="s">
        <v>8573</v>
      </c>
      <c r="C4351" s="16">
        <f>453.42/(1+B2)</f>
        <v>453.42</v>
      </c>
      <c r="D4351" s="17" t="s">
        <v>11</v>
      </c>
      <c r="E4351" s="17"/>
      <c r="F4351" s="18"/>
      <c r="G4351" s="36" t="str">
        <f>IF(ISNUMBER(F4351),C4351*F4351,"")</f>
        <v/>
      </c>
    </row>
    <row r="4352" spans="1:7" ht="12" customHeight="1" outlineLevel="2" x14ac:dyDescent="0.2">
      <c r="A4352" s="14" t="s">
        <v>8574</v>
      </c>
      <c r="B4352" s="15" t="s">
        <v>8575</v>
      </c>
      <c r="C4352" s="16">
        <f>494.12/(1+B2)</f>
        <v>494.12</v>
      </c>
      <c r="D4352" s="17" t="s">
        <v>11</v>
      </c>
      <c r="E4352" s="17"/>
      <c r="F4352" s="18"/>
      <c r="G4352" s="36" t="str">
        <f>IF(ISNUMBER(F4352),C4352*F4352,"")</f>
        <v/>
      </c>
    </row>
    <row r="4353" spans="1:7" ht="12" customHeight="1" outlineLevel="2" x14ac:dyDescent="0.2">
      <c r="A4353" s="14" t="s">
        <v>8576</v>
      </c>
      <c r="B4353" s="15" t="s">
        <v>8577</v>
      </c>
      <c r="C4353" s="16">
        <f>179.1/(1+B2)</f>
        <v>179.1</v>
      </c>
      <c r="D4353" s="17" t="s">
        <v>11</v>
      </c>
      <c r="E4353" s="17"/>
      <c r="F4353" s="18"/>
      <c r="G4353" s="36" t="str">
        <f>IF(ISNUMBER(F4353),C4353*F4353,"")</f>
        <v/>
      </c>
    </row>
    <row r="4354" spans="1:7" ht="12" customHeight="1" outlineLevel="2" x14ac:dyDescent="0.2">
      <c r="A4354" s="14" t="s">
        <v>8578</v>
      </c>
      <c r="B4354" s="15" t="s">
        <v>8579</v>
      </c>
      <c r="C4354" s="16">
        <f>422.22/(1+B2)</f>
        <v>422.22</v>
      </c>
      <c r="D4354" s="17" t="s">
        <v>11</v>
      </c>
      <c r="E4354" s="17" t="s">
        <v>53</v>
      </c>
      <c r="F4354" s="18"/>
      <c r="G4354" s="36" t="str">
        <f>IF(ISNUMBER(F4354),C4354*F4354,"")</f>
        <v/>
      </c>
    </row>
    <row r="4355" spans="1:7" ht="12" customHeight="1" outlineLevel="2" x14ac:dyDescent="0.2">
      <c r="A4355" s="14" t="s">
        <v>8580</v>
      </c>
      <c r="B4355" s="15" t="s">
        <v>8581</v>
      </c>
      <c r="C4355" s="16">
        <f>464.23/(1+B2)</f>
        <v>464.23</v>
      </c>
      <c r="D4355" s="17" t="s">
        <v>11</v>
      </c>
      <c r="E4355" s="17"/>
      <c r="F4355" s="18"/>
      <c r="G4355" s="36" t="str">
        <f>IF(ISNUMBER(F4355),C4355*F4355,"")</f>
        <v/>
      </c>
    </row>
    <row r="4356" spans="1:7" ht="12" customHeight="1" outlineLevel="2" x14ac:dyDescent="0.2">
      <c r="A4356" s="14" t="s">
        <v>8582</v>
      </c>
      <c r="B4356" s="15" t="s">
        <v>8583</v>
      </c>
      <c r="C4356" s="16">
        <f>501.55/(1+B2)</f>
        <v>501.55</v>
      </c>
      <c r="D4356" s="17" t="s">
        <v>11</v>
      </c>
      <c r="E4356" s="17"/>
      <c r="F4356" s="18"/>
      <c r="G4356" s="36" t="str">
        <f>IF(ISNUMBER(F4356),C4356*F4356,"")</f>
        <v/>
      </c>
    </row>
    <row r="4357" spans="1:7" ht="12" customHeight="1" outlineLevel="2" x14ac:dyDescent="0.2">
      <c r="A4357" s="14" t="s">
        <v>8584</v>
      </c>
      <c r="B4357" s="15" t="s">
        <v>8585</v>
      </c>
      <c r="C4357" s="16">
        <f>501.55/(1+B2)</f>
        <v>501.55</v>
      </c>
      <c r="D4357" s="17" t="s">
        <v>11</v>
      </c>
      <c r="E4357" s="17" t="s">
        <v>14</v>
      </c>
      <c r="F4357" s="18"/>
      <c r="G4357" s="36" t="str">
        <f>IF(ISNUMBER(F4357),C4357*F4357,"")</f>
        <v/>
      </c>
    </row>
    <row r="4358" spans="1:7" ht="12" customHeight="1" outlineLevel="2" x14ac:dyDescent="0.2">
      <c r="A4358" s="14" t="s">
        <v>8586</v>
      </c>
      <c r="B4358" s="15" t="s">
        <v>8587</v>
      </c>
      <c r="C4358" s="16">
        <f>517.87/(1+B2)</f>
        <v>517.87</v>
      </c>
      <c r="D4358" s="17" t="s">
        <v>11</v>
      </c>
      <c r="E4358" s="17" t="s">
        <v>14</v>
      </c>
      <c r="F4358" s="18"/>
      <c r="G4358" s="36" t="str">
        <f>IF(ISNUMBER(F4358),C4358*F4358,"")</f>
        <v/>
      </c>
    </row>
    <row r="4359" spans="1:7" ht="12" customHeight="1" outlineLevel="2" x14ac:dyDescent="0.2">
      <c r="A4359" s="14" t="s">
        <v>8588</v>
      </c>
      <c r="B4359" s="15" t="s">
        <v>8589</v>
      </c>
      <c r="C4359" s="16">
        <f>555.07/(1+B2)</f>
        <v>555.07000000000005</v>
      </c>
      <c r="D4359" s="17" t="s">
        <v>11</v>
      </c>
      <c r="E4359" s="17"/>
      <c r="F4359" s="18"/>
      <c r="G4359" s="36" t="str">
        <f>IF(ISNUMBER(F4359),C4359*F4359,"")</f>
        <v/>
      </c>
    </row>
    <row r="4360" spans="1:7" ht="12" customHeight="1" outlineLevel="2" x14ac:dyDescent="0.2">
      <c r="A4360" s="14" t="s">
        <v>8590</v>
      </c>
      <c r="B4360" s="15" t="s">
        <v>8591</v>
      </c>
      <c r="C4360" s="16">
        <f>912.25/(1+B2)</f>
        <v>912.25</v>
      </c>
      <c r="D4360" s="17" t="s">
        <v>11</v>
      </c>
      <c r="E4360" s="17"/>
      <c r="F4360" s="18"/>
      <c r="G4360" s="36" t="str">
        <f>IF(ISNUMBER(F4360),C4360*F4360,"")</f>
        <v/>
      </c>
    </row>
    <row r="4361" spans="1:7" s="1" customFormat="1" ht="15.95" customHeight="1" outlineLevel="1" x14ac:dyDescent="0.25">
      <c r="A4361" s="11"/>
      <c r="B4361" s="12" t="s">
        <v>8592</v>
      </c>
      <c r="C4361" s="13"/>
      <c r="D4361" s="13"/>
      <c r="E4361" s="13"/>
      <c r="F4361" s="13"/>
      <c r="G4361" s="35"/>
    </row>
    <row r="4362" spans="1:7" ht="12" customHeight="1" outlineLevel="2" x14ac:dyDescent="0.2">
      <c r="A4362" s="14" t="s">
        <v>8593</v>
      </c>
      <c r="B4362" s="15" t="s">
        <v>8594</v>
      </c>
      <c r="C4362" s="16">
        <f>641.59/(1+B2)</f>
        <v>641.59</v>
      </c>
      <c r="D4362" s="17" t="s">
        <v>11</v>
      </c>
      <c r="E4362" s="17"/>
      <c r="F4362" s="18"/>
      <c r="G4362" s="36" t="str">
        <f>IF(ISNUMBER(F4362),C4362*F4362,"")</f>
        <v/>
      </c>
    </row>
    <row r="4363" spans="1:7" ht="12" customHeight="1" outlineLevel="2" x14ac:dyDescent="0.2">
      <c r="A4363" s="14" t="s">
        <v>8595</v>
      </c>
      <c r="B4363" s="15" t="s">
        <v>8596</v>
      </c>
      <c r="C4363" s="16">
        <f>641.59/(1+B2)</f>
        <v>641.59</v>
      </c>
      <c r="D4363" s="17" t="s">
        <v>11</v>
      </c>
      <c r="E4363" s="17"/>
      <c r="F4363" s="18"/>
      <c r="G4363" s="36" t="str">
        <f>IF(ISNUMBER(F4363),C4363*F4363,"")</f>
        <v/>
      </c>
    </row>
    <row r="4364" spans="1:7" ht="12" customHeight="1" outlineLevel="2" x14ac:dyDescent="0.2">
      <c r="A4364" s="14" t="s">
        <v>8597</v>
      </c>
      <c r="B4364" s="15" t="s">
        <v>8598</v>
      </c>
      <c r="C4364" s="16">
        <f>119.49/(1+B2)</f>
        <v>119.49</v>
      </c>
      <c r="D4364" s="17"/>
      <c r="E4364" s="17" t="s">
        <v>14</v>
      </c>
      <c r="F4364" s="18"/>
      <c r="G4364" s="36" t="str">
        <f>IF(ISNUMBER(F4364),C4364*F4364,"")</f>
        <v/>
      </c>
    </row>
    <row r="4365" spans="1:7" ht="12" customHeight="1" outlineLevel="2" x14ac:dyDescent="0.2">
      <c r="A4365" s="14" t="s">
        <v>8599</v>
      </c>
      <c r="B4365" s="15" t="s">
        <v>8600</v>
      </c>
      <c r="C4365" s="16">
        <f>138.59/(1+B2)</f>
        <v>138.59</v>
      </c>
      <c r="D4365" s="17"/>
      <c r="E4365" s="17" t="s">
        <v>14</v>
      </c>
      <c r="F4365" s="18"/>
      <c r="G4365" s="36" t="str">
        <f>IF(ISNUMBER(F4365),C4365*F4365,"")</f>
        <v/>
      </c>
    </row>
    <row r="4366" spans="1:7" ht="12" customHeight="1" outlineLevel="2" x14ac:dyDescent="0.2">
      <c r="A4366" s="14" t="s">
        <v>8601</v>
      </c>
      <c r="B4366" s="15" t="s">
        <v>8602</v>
      </c>
      <c r="C4366" s="16">
        <f>130.78/(1+B2)</f>
        <v>130.78</v>
      </c>
      <c r="D4366" s="17" t="s">
        <v>11</v>
      </c>
      <c r="E4366" s="17" t="s">
        <v>11</v>
      </c>
      <c r="F4366" s="18"/>
      <c r="G4366" s="36" t="str">
        <f>IF(ISNUMBER(F4366),C4366*F4366,"")</f>
        <v/>
      </c>
    </row>
    <row r="4367" spans="1:7" ht="12" customHeight="1" outlineLevel="2" x14ac:dyDescent="0.2">
      <c r="A4367" s="14" t="s">
        <v>8603</v>
      </c>
      <c r="B4367" s="15" t="s">
        <v>8604</v>
      </c>
      <c r="C4367" s="16">
        <f>151.99/(1+B2)</f>
        <v>151.99</v>
      </c>
      <c r="D4367" s="17" t="s">
        <v>14</v>
      </c>
      <c r="E4367" s="17"/>
      <c r="F4367" s="18"/>
      <c r="G4367" s="36" t="str">
        <f>IF(ISNUMBER(F4367),C4367*F4367,"")</f>
        <v/>
      </c>
    </row>
    <row r="4368" spans="1:7" ht="12" customHeight="1" outlineLevel="2" x14ac:dyDescent="0.2">
      <c r="A4368" s="14" t="s">
        <v>8605</v>
      </c>
      <c r="B4368" s="15" t="s">
        <v>8606</v>
      </c>
      <c r="C4368" s="16">
        <f>159.15/(1+B2)</f>
        <v>159.15</v>
      </c>
      <c r="D4368" s="17" t="s">
        <v>11</v>
      </c>
      <c r="E4368" s="17"/>
      <c r="F4368" s="18"/>
      <c r="G4368" s="36" t="str">
        <f>IF(ISNUMBER(F4368),C4368*F4368,"")</f>
        <v/>
      </c>
    </row>
    <row r="4369" spans="1:7" ht="12" customHeight="1" outlineLevel="2" x14ac:dyDescent="0.2">
      <c r="A4369" s="14" t="s">
        <v>8607</v>
      </c>
      <c r="B4369" s="15" t="s">
        <v>8608</v>
      </c>
      <c r="C4369" s="16">
        <f>152.6/(1+B2)</f>
        <v>152.6</v>
      </c>
      <c r="D4369" s="17" t="s">
        <v>11</v>
      </c>
      <c r="E4369" s="17"/>
      <c r="F4369" s="18"/>
      <c r="G4369" s="36" t="str">
        <f>IF(ISNUMBER(F4369),C4369*F4369,"")</f>
        <v/>
      </c>
    </row>
    <row r="4370" spans="1:7" ht="12" customHeight="1" outlineLevel="2" x14ac:dyDescent="0.2">
      <c r="A4370" s="14" t="s">
        <v>8609</v>
      </c>
      <c r="B4370" s="15" t="s">
        <v>8610</v>
      </c>
      <c r="C4370" s="16">
        <f>60.13/(1+B2)</f>
        <v>60.13</v>
      </c>
      <c r="D4370" s="17"/>
      <c r="E4370" s="17" t="s">
        <v>14</v>
      </c>
      <c r="F4370" s="18"/>
      <c r="G4370" s="36" t="str">
        <f>IF(ISNUMBER(F4370),C4370*F4370,"")</f>
        <v/>
      </c>
    </row>
    <row r="4371" spans="1:7" ht="24" customHeight="1" outlineLevel="2" x14ac:dyDescent="0.2">
      <c r="A4371" s="14" t="s">
        <v>8611</v>
      </c>
      <c r="B4371" s="15" t="s">
        <v>8612</v>
      </c>
      <c r="C4371" s="16">
        <f>143.11/(1+B2)</f>
        <v>143.11000000000001</v>
      </c>
      <c r="D4371" s="17" t="s">
        <v>14</v>
      </c>
      <c r="E4371" s="17"/>
      <c r="F4371" s="18"/>
      <c r="G4371" s="36" t="str">
        <f>IF(ISNUMBER(F4371),C4371*F4371,"")</f>
        <v/>
      </c>
    </row>
    <row r="4372" spans="1:7" ht="24" customHeight="1" outlineLevel="2" x14ac:dyDescent="0.2">
      <c r="A4372" s="14" t="s">
        <v>8613</v>
      </c>
      <c r="B4372" s="15" t="s">
        <v>8614</v>
      </c>
      <c r="C4372" s="16">
        <f>171.25/(1+B2)</f>
        <v>171.25</v>
      </c>
      <c r="D4372" s="17" t="s">
        <v>11</v>
      </c>
      <c r="E4372" s="17"/>
      <c r="F4372" s="18"/>
      <c r="G4372" s="36" t="str">
        <f>IF(ISNUMBER(F4372),C4372*F4372,"")</f>
        <v/>
      </c>
    </row>
    <row r="4373" spans="1:7" ht="24" customHeight="1" outlineLevel="2" x14ac:dyDescent="0.2">
      <c r="A4373" s="14" t="s">
        <v>8615</v>
      </c>
      <c r="B4373" s="15" t="s">
        <v>8616</v>
      </c>
      <c r="C4373" s="16">
        <f>310.88/(1+B2)</f>
        <v>310.88</v>
      </c>
      <c r="D4373" s="17" t="s">
        <v>11</v>
      </c>
      <c r="E4373" s="17" t="s">
        <v>11</v>
      </c>
      <c r="F4373" s="18"/>
      <c r="G4373" s="36" t="str">
        <f>IF(ISNUMBER(F4373),C4373*F4373,"")</f>
        <v/>
      </c>
    </row>
    <row r="4374" spans="1:7" ht="12" customHeight="1" outlineLevel="2" x14ac:dyDescent="0.2">
      <c r="A4374" s="14" t="s">
        <v>8617</v>
      </c>
      <c r="B4374" s="15" t="s">
        <v>8618</v>
      </c>
      <c r="C4374" s="16">
        <f>177.94/(1+B2)</f>
        <v>177.94</v>
      </c>
      <c r="D4374" s="17" t="s">
        <v>11</v>
      </c>
      <c r="E4374" s="17" t="s">
        <v>11</v>
      </c>
      <c r="F4374" s="18"/>
      <c r="G4374" s="36" t="str">
        <f>IF(ISNUMBER(F4374),C4374*F4374,"")</f>
        <v/>
      </c>
    </row>
    <row r="4375" spans="1:7" ht="12" customHeight="1" outlineLevel="2" x14ac:dyDescent="0.2">
      <c r="A4375" s="14" t="s">
        <v>8619</v>
      </c>
      <c r="B4375" s="15" t="s">
        <v>8620</v>
      </c>
      <c r="C4375" s="16">
        <f>217.33/(1+B2)</f>
        <v>217.33</v>
      </c>
      <c r="D4375" s="17" t="s">
        <v>11</v>
      </c>
      <c r="E4375" s="17"/>
      <c r="F4375" s="18"/>
      <c r="G4375" s="36" t="str">
        <f>IF(ISNUMBER(F4375),C4375*F4375,"")</f>
        <v/>
      </c>
    </row>
    <row r="4376" spans="1:7" ht="12" customHeight="1" outlineLevel="2" x14ac:dyDescent="0.2">
      <c r="A4376" s="14" t="s">
        <v>8621</v>
      </c>
      <c r="B4376" s="15" t="s">
        <v>8622</v>
      </c>
      <c r="C4376" s="16">
        <f>354.06/(1+B2)</f>
        <v>354.06</v>
      </c>
      <c r="D4376" s="17" t="s">
        <v>14</v>
      </c>
      <c r="E4376" s="17"/>
      <c r="F4376" s="18"/>
      <c r="G4376" s="36" t="str">
        <f>IF(ISNUMBER(F4376),C4376*F4376,"")</f>
        <v/>
      </c>
    </row>
    <row r="4377" spans="1:7" ht="12" customHeight="1" outlineLevel="2" x14ac:dyDescent="0.2">
      <c r="A4377" s="14" t="s">
        <v>8623</v>
      </c>
      <c r="B4377" s="15" t="s">
        <v>8624</v>
      </c>
      <c r="C4377" s="16">
        <f>196.09/(1+B2)</f>
        <v>196.09</v>
      </c>
      <c r="D4377" s="17" t="s">
        <v>11</v>
      </c>
      <c r="E4377" s="17"/>
      <c r="F4377" s="18"/>
      <c r="G4377" s="36" t="str">
        <f>IF(ISNUMBER(F4377),C4377*F4377,"")</f>
        <v/>
      </c>
    </row>
    <row r="4378" spans="1:7" ht="12" customHeight="1" outlineLevel="2" x14ac:dyDescent="0.2">
      <c r="A4378" s="14" t="s">
        <v>8625</v>
      </c>
      <c r="B4378" s="15" t="s">
        <v>8626</v>
      </c>
      <c r="C4378" s="16">
        <f>151.44/(1+B2)</f>
        <v>151.44</v>
      </c>
      <c r="D4378" s="17"/>
      <c r="E4378" s="17" t="s">
        <v>11</v>
      </c>
      <c r="F4378" s="18"/>
      <c r="G4378" s="36" t="str">
        <f>IF(ISNUMBER(F4378),C4378*F4378,"")</f>
        <v/>
      </c>
    </row>
    <row r="4379" spans="1:7" ht="12" customHeight="1" outlineLevel="2" x14ac:dyDescent="0.2">
      <c r="A4379" s="14" t="s">
        <v>8627</v>
      </c>
      <c r="B4379" s="15" t="s">
        <v>8628</v>
      </c>
      <c r="C4379" s="16">
        <f>170.68/(1+B2)</f>
        <v>170.68</v>
      </c>
      <c r="D4379" s="17"/>
      <c r="E4379" s="17" t="s">
        <v>11</v>
      </c>
      <c r="F4379" s="18"/>
      <c r="G4379" s="36" t="str">
        <f>IF(ISNUMBER(F4379),C4379*F4379,"")</f>
        <v/>
      </c>
    </row>
    <row r="4380" spans="1:7" ht="12" customHeight="1" outlineLevel="2" x14ac:dyDescent="0.2">
      <c r="A4380" s="14" t="s">
        <v>8629</v>
      </c>
      <c r="B4380" s="15" t="s">
        <v>8630</v>
      </c>
      <c r="C4380" s="16">
        <f>464.78/(1+B2)</f>
        <v>464.78</v>
      </c>
      <c r="D4380" s="17" t="s">
        <v>11</v>
      </c>
      <c r="E4380" s="17"/>
      <c r="F4380" s="18"/>
      <c r="G4380" s="36" t="str">
        <f>IF(ISNUMBER(F4380),C4380*F4380,"")</f>
        <v/>
      </c>
    </row>
    <row r="4381" spans="1:7" s="1" customFormat="1" ht="15.95" customHeight="1" outlineLevel="1" x14ac:dyDescent="0.25">
      <c r="A4381" s="11"/>
      <c r="B4381" s="12" t="s">
        <v>8631</v>
      </c>
      <c r="C4381" s="13"/>
      <c r="D4381" s="13"/>
      <c r="E4381" s="13"/>
      <c r="F4381" s="13"/>
      <c r="G4381" s="35"/>
    </row>
    <row r="4382" spans="1:7" ht="12" customHeight="1" outlineLevel="2" x14ac:dyDescent="0.2">
      <c r="A4382" s="14" t="s">
        <v>8632</v>
      </c>
      <c r="B4382" s="15" t="s">
        <v>8633</v>
      </c>
      <c r="C4382" s="16">
        <f>37.95/(1+B2)</f>
        <v>37.950000000000003</v>
      </c>
      <c r="D4382" s="17"/>
      <c r="E4382" s="17" t="s">
        <v>106</v>
      </c>
      <c r="F4382" s="18"/>
      <c r="G4382" s="36" t="str">
        <f>IF(ISNUMBER(F4382),C4382*F4382,"")</f>
        <v/>
      </c>
    </row>
    <row r="4383" spans="1:7" ht="12" customHeight="1" outlineLevel="2" x14ac:dyDescent="0.2">
      <c r="A4383" s="14" t="s">
        <v>8634</v>
      </c>
      <c r="B4383" s="15" t="s">
        <v>8635</v>
      </c>
      <c r="C4383" s="16">
        <f>81.55/(1+B2)</f>
        <v>81.55</v>
      </c>
      <c r="D4383" s="17" t="s">
        <v>11</v>
      </c>
      <c r="E4383" s="17"/>
      <c r="F4383" s="18"/>
      <c r="G4383" s="36" t="str">
        <f>IF(ISNUMBER(F4383),C4383*F4383,"")</f>
        <v/>
      </c>
    </row>
    <row r="4384" spans="1:7" ht="12" customHeight="1" outlineLevel="2" x14ac:dyDescent="0.2">
      <c r="A4384" s="14" t="s">
        <v>8636</v>
      </c>
      <c r="B4384" s="15" t="s">
        <v>8637</v>
      </c>
      <c r="C4384" s="16">
        <f>56.96/(1+B2)</f>
        <v>56.96</v>
      </c>
      <c r="D4384" s="17" t="s">
        <v>53</v>
      </c>
      <c r="E4384" s="17" t="s">
        <v>14</v>
      </c>
      <c r="F4384" s="18"/>
      <c r="G4384" s="36" t="str">
        <f>IF(ISNUMBER(F4384),C4384*F4384,"")</f>
        <v/>
      </c>
    </row>
    <row r="4385" spans="1:7" ht="12" customHeight="1" outlineLevel="2" x14ac:dyDescent="0.2">
      <c r="A4385" s="14" t="s">
        <v>8638</v>
      </c>
      <c r="B4385" s="15" t="s">
        <v>8639</v>
      </c>
      <c r="C4385" s="16">
        <f>66.15/(1+B2)</f>
        <v>66.150000000000006</v>
      </c>
      <c r="D4385" s="17" t="s">
        <v>53</v>
      </c>
      <c r="E4385" s="17" t="s">
        <v>11</v>
      </c>
      <c r="F4385" s="18"/>
      <c r="G4385" s="36" t="str">
        <f>IF(ISNUMBER(F4385),C4385*F4385,"")</f>
        <v/>
      </c>
    </row>
    <row r="4386" spans="1:7" ht="12" customHeight="1" outlineLevel="2" x14ac:dyDescent="0.2">
      <c r="A4386" s="14" t="s">
        <v>8640</v>
      </c>
      <c r="B4386" s="15" t="s">
        <v>8641</v>
      </c>
      <c r="C4386" s="16">
        <f>79.54/(1+B2)</f>
        <v>79.540000000000006</v>
      </c>
      <c r="D4386" s="17" t="s">
        <v>53</v>
      </c>
      <c r="E4386" s="17" t="s">
        <v>106</v>
      </c>
      <c r="F4386" s="18"/>
      <c r="G4386" s="36" t="str">
        <f>IF(ISNUMBER(F4386),C4386*F4386,"")</f>
        <v/>
      </c>
    </row>
    <row r="4387" spans="1:7" ht="12" customHeight="1" outlineLevel="2" x14ac:dyDescent="0.2">
      <c r="A4387" s="14" t="s">
        <v>8642</v>
      </c>
      <c r="B4387" s="15" t="s">
        <v>8643</v>
      </c>
      <c r="C4387" s="16">
        <f>97.69/(1+B2)</f>
        <v>97.69</v>
      </c>
      <c r="D4387" s="17" t="s">
        <v>106</v>
      </c>
      <c r="E4387" s="17" t="s">
        <v>53</v>
      </c>
      <c r="F4387" s="18"/>
      <c r="G4387" s="36" t="str">
        <f>IF(ISNUMBER(F4387),C4387*F4387,"")</f>
        <v/>
      </c>
    </row>
    <row r="4388" spans="1:7" ht="12" customHeight="1" outlineLevel="2" x14ac:dyDescent="0.2">
      <c r="A4388" s="14" t="s">
        <v>8644</v>
      </c>
      <c r="B4388" s="15" t="s">
        <v>8645</v>
      </c>
      <c r="C4388" s="16">
        <f>115.4/(1+B2)</f>
        <v>115.4</v>
      </c>
      <c r="D4388" s="17" t="s">
        <v>53</v>
      </c>
      <c r="E4388" s="17" t="s">
        <v>106</v>
      </c>
      <c r="F4388" s="18"/>
      <c r="G4388" s="36" t="str">
        <f>IF(ISNUMBER(F4388),C4388*F4388,"")</f>
        <v/>
      </c>
    </row>
    <row r="4389" spans="1:7" ht="12" customHeight="1" outlineLevel="2" x14ac:dyDescent="0.2">
      <c r="A4389" s="14" t="s">
        <v>8646</v>
      </c>
      <c r="B4389" s="15" t="s">
        <v>8647</v>
      </c>
      <c r="C4389" s="16">
        <f>148.51/(1+B2)</f>
        <v>148.51</v>
      </c>
      <c r="D4389" s="17" t="s">
        <v>14</v>
      </c>
      <c r="E4389" s="17" t="s">
        <v>106</v>
      </c>
      <c r="F4389" s="18"/>
      <c r="G4389" s="36" t="str">
        <f>IF(ISNUMBER(F4389),C4389*F4389,"")</f>
        <v/>
      </c>
    </row>
    <row r="4390" spans="1:7" ht="12" customHeight="1" outlineLevel="2" x14ac:dyDescent="0.2">
      <c r="A4390" s="14" t="s">
        <v>8648</v>
      </c>
      <c r="B4390" s="15" t="s">
        <v>8649</v>
      </c>
      <c r="C4390" s="16">
        <f>341/(1+B2)</f>
        <v>341</v>
      </c>
      <c r="D4390" s="17" t="s">
        <v>53</v>
      </c>
      <c r="E4390" s="17"/>
      <c r="F4390" s="18"/>
      <c r="G4390" s="36" t="str">
        <f>IF(ISNUMBER(F4390),C4390*F4390,"")</f>
        <v/>
      </c>
    </row>
    <row r="4391" spans="1:7" ht="12" customHeight="1" outlineLevel="2" x14ac:dyDescent="0.2">
      <c r="A4391" s="14" t="s">
        <v>8650</v>
      </c>
      <c r="B4391" s="15" t="s">
        <v>8651</v>
      </c>
      <c r="C4391" s="16">
        <f>465/(1+B2)</f>
        <v>465</v>
      </c>
      <c r="D4391" s="17" t="s">
        <v>11</v>
      </c>
      <c r="E4391" s="17"/>
      <c r="F4391" s="18"/>
      <c r="G4391" s="36" t="str">
        <f>IF(ISNUMBER(F4391),C4391*F4391,"")</f>
        <v/>
      </c>
    </row>
    <row r="4392" spans="1:7" ht="12" customHeight="1" outlineLevel="2" x14ac:dyDescent="0.2">
      <c r="A4392" s="14" t="s">
        <v>8652</v>
      </c>
      <c r="B4392" s="15" t="s">
        <v>8653</v>
      </c>
      <c r="C4392" s="16">
        <f>148.59/(1+B2)</f>
        <v>148.59</v>
      </c>
      <c r="D4392" s="17" t="s">
        <v>11</v>
      </c>
      <c r="E4392" s="17" t="s">
        <v>106</v>
      </c>
      <c r="F4392" s="18"/>
      <c r="G4392" s="36" t="str">
        <f>IF(ISNUMBER(F4392),C4392*F4392,"")</f>
        <v/>
      </c>
    </row>
    <row r="4393" spans="1:7" ht="12" customHeight="1" outlineLevel="2" x14ac:dyDescent="0.2">
      <c r="A4393" s="14" t="s">
        <v>8654</v>
      </c>
      <c r="B4393" s="15" t="s">
        <v>8655</v>
      </c>
      <c r="C4393" s="16">
        <f>205.24/(1+B2)</f>
        <v>205.24</v>
      </c>
      <c r="D4393" s="17" t="s">
        <v>53</v>
      </c>
      <c r="E4393" s="17" t="s">
        <v>11</v>
      </c>
      <c r="F4393" s="18"/>
      <c r="G4393" s="36" t="str">
        <f>IF(ISNUMBER(F4393),C4393*F4393,"")</f>
        <v/>
      </c>
    </row>
    <row r="4394" spans="1:7" ht="12" customHeight="1" outlineLevel="2" x14ac:dyDescent="0.2">
      <c r="A4394" s="14" t="s">
        <v>8656</v>
      </c>
      <c r="B4394" s="15" t="s">
        <v>8657</v>
      </c>
      <c r="C4394" s="16">
        <f>249.51/(1+B2)</f>
        <v>249.51</v>
      </c>
      <c r="D4394" s="17" t="s">
        <v>11</v>
      </c>
      <c r="E4394" s="17" t="s">
        <v>11</v>
      </c>
      <c r="F4394" s="18"/>
      <c r="G4394" s="36" t="str">
        <f>IF(ISNUMBER(F4394),C4394*F4394,"")</f>
        <v/>
      </c>
    </row>
    <row r="4395" spans="1:7" ht="12" customHeight="1" outlineLevel="2" x14ac:dyDescent="0.2">
      <c r="A4395" s="14" t="s">
        <v>8658</v>
      </c>
      <c r="B4395" s="15" t="s">
        <v>8659</v>
      </c>
      <c r="C4395" s="16">
        <f>259.35/(1+B2)</f>
        <v>259.35000000000002</v>
      </c>
      <c r="D4395" s="17" t="s">
        <v>53</v>
      </c>
      <c r="E4395" s="17"/>
      <c r="F4395" s="18"/>
      <c r="G4395" s="36" t="str">
        <f>IF(ISNUMBER(F4395),C4395*F4395,"")</f>
        <v/>
      </c>
    </row>
    <row r="4396" spans="1:7" ht="12" customHeight="1" outlineLevel="2" x14ac:dyDescent="0.2">
      <c r="A4396" s="14" t="s">
        <v>8660</v>
      </c>
      <c r="B4396" s="15" t="s">
        <v>8661</v>
      </c>
      <c r="C4396" s="16">
        <f>409.2/(1+B2)</f>
        <v>409.2</v>
      </c>
      <c r="D4396" s="17" t="s">
        <v>11</v>
      </c>
      <c r="E4396" s="17"/>
      <c r="F4396" s="18"/>
      <c r="G4396" s="36" t="str">
        <f>IF(ISNUMBER(F4396),C4396*F4396,"")</f>
        <v/>
      </c>
    </row>
    <row r="4397" spans="1:7" ht="12" customHeight="1" outlineLevel="2" x14ac:dyDescent="0.2">
      <c r="A4397" s="14" t="s">
        <v>8662</v>
      </c>
      <c r="B4397" s="15" t="s">
        <v>8663</v>
      </c>
      <c r="C4397" s="16">
        <f>54.94/(1+B2)</f>
        <v>54.94</v>
      </c>
      <c r="D4397" s="17" t="s">
        <v>14</v>
      </c>
      <c r="E4397" s="17" t="s">
        <v>11</v>
      </c>
      <c r="F4397" s="18"/>
      <c r="G4397" s="36" t="str">
        <f>IF(ISNUMBER(F4397),C4397*F4397,"")</f>
        <v/>
      </c>
    </row>
    <row r="4398" spans="1:7" ht="12" customHeight="1" outlineLevel="2" x14ac:dyDescent="0.2">
      <c r="A4398" s="14" t="s">
        <v>8664</v>
      </c>
      <c r="B4398" s="15" t="s">
        <v>8665</v>
      </c>
      <c r="C4398" s="16">
        <f>77.11/(1+B2)</f>
        <v>77.11</v>
      </c>
      <c r="D4398" s="17"/>
      <c r="E4398" s="17" t="s">
        <v>14</v>
      </c>
      <c r="F4398" s="18"/>
      <c r="G4398" s="36" t="str">
        <f>IF(ISNUMBER(F4398),C4398*F4398,"")</f>
        <v/>
      </c>
    </row>
    <row r="4399" spans="1:7" ht="12" customHeight="1" outlineLevel="2" x14ac:dyDescent="0.2">
      <c r="A4399" s="14" t="s">
        <v>8666</v>
      </c>
      <c r="B4399" s="15" t="s">
        <v>8667</v>
      </c>
      <c r="C4399" s="16">
        <f>91.89/(1+B2)</f>
        <v>91.89</v>
      </c>
      <c r="D4399" s="17" t="s">
        <v>53</v>
      </c>
      <c r="E4399" s="17"/>
      <c r="F4399" s="18"/>
      <c r="G4399" s="36" t="str">
        <f>IF(ISNUMBER(F4399),C4399*F4399,"")</f>
        <v/>
      </c>
    </row>
    <row r="4400" spans="1:7" ht="12" customHeight="1" outlineLevel="2" x14ac:dyDescent="0.2">
      <c r="A4400" s="14" t="s">
        <v>8668</v>
      </c>
      <c r="B4400" s="15" t="s">
        <v>8669</v>
      </c>
      <c r="C4400" s="16">
        <f>89.36/(1+B2)</f>
        <v>89.36</v>
      </c>
      <c r="D4400" s="17" t="s">
        <v>14</v>
      </c>
      <c r="E4400" s="17"/>
      <c r="F4400" s="18"/>
      <c r="G4400" s="36" t="str">
        <f>IF(ISNUMBER(F4400),C4400*F4400,"")</f>
        <v/>
      </c>
    </row>
    <row r="4401" spans="1:7" ht="12" customHeight="1" outlineLevel="2" x14ac:dyDescent="0.2">
      <c r="A4401" s="14" t="s">
        <v>8670</v>
      </c>
      <c r="B4401" s="15" t="s">
        <v>8671</v>
      </c>
      <c r="C4401" s="16">
        <f>130.56/(1+B2)</f>
        <v>130.56</v>
      </c>
      <c r="D4401" s="17" t="s">
        <v>53</v>
      </c>
      <c r="E4401" s="17"/>
      <c r="F4401" s="18"/>
      <c r="G4401" s="36" t="str">
        <f>IF(ISNUMBER(F4401),C4401*F4401,"")</f>
        <v/>
      </c>
    </row>
    <row r="4402" spans="1:7" ht="12" customHeight="1" outlineLevel="2" x14ac:dyDescent="0.2">
      <c r="A4402" s="14" t="s">
        <v>8672</v>
      </c>
      <c r="B4402" s="15" t="s">
        <v>8673</v>
      </c>
      <c r="C4402" s="16">
        <f>158.55/(1+B2)</f>
        <v>158.55000000000001</v>
      </c>
      <c r="D4402" s="17" t="s">
        <v>11</v>
      </c>
      <c r="E4402" s="17"/>
      <c r="F4402" s="18"/>
      <c r="G4402" s="36" t="str">
        <f>IF(ISNUMBER(F4402),C4402*F4402,"")</f>
        <v/>
      </c>
    </row>
    <row r="4403" spans="1:7" ht="12" customHeight="1" outlineLevel="2" x14ac:dyDescent="0.2">
      <c r="A4403" s="14" t="s">
        <v>8674</v>
      </c>
      <c r="B4403" s="15" t="s">
        <v>8675</v>
      </c>
      <c r="C4403" s="16">
        <f>195.99/(1+B2)</f>
        <v>195.99</v>
      </c>
      <c r="D4403" s="17" t="s">
        <v>11</v>
      </c>
      <c r="E4403" s="17" t="s">
        <v>14</v>
      </c>
      <c r="F4403" s="18"/>
      <c r="G4403" s="36" t="str">
        <f>IF(ISNUMBER(F4403),C4403*F4403,"")</f>
        <v/>
      </c>
    </row>
    <row r="4404" spans="1:7" ht="12" customHeight="1" outlineLevel="2" x14ac:dyDescent="0.2">
      <c r="A4404" s="14" t="s">
        <v>8676</v>
      </c>
      <c r="B4404" s="15" t="s">
        <v>8677</v>
      </c>
      <c r="C4404" s="16">
        <f>216.68/(1+B2)</f>
        <v>216.68</v>
      </c>
      <c r="D4404" s="17" t="s">
        <v>14</v>
      </c>
      <c r="E4404" s="17" t="s">
        <v>106</v>
      </c>
      <c r="F4404" s="18"/>
      <c r="G4404" s="36" t="str">
        <f>IF(ISNUMBER(F4404),C4404*F4404,"")</f>
        <v/>
      </c>
    </row>
    <row r="4405" spans="1:7" ht="12" customHeight="1" outlineLevel="2" x14ac:dyDescent="0.2">
      <c r="A4405" s="14" t="s">
        <v>8678</v>
      </c>
      <c r="B4405" s="15" t="s">
        <v>8679</v>
      </c>
      <c r="C4405" s="16">
        <f>242.08/(1+B2)</f>
        <v>242.08</v>
      </c>
      <c r="D4405" s="17" t="s">
        <v>14</v>
      </c>
      <c r="E4405" s="17"/>
      <c r="F4405" s="18"/>
      <c r="G4405" s="36" t="str">
        <f>IF(ISNUMBER(F4405),C4405*F4405,"")</f>
        <v/>
      </c>
    </row>
    <row r="4406" spans="1:7" ht="12" customHeight="1" outlineLevel="2" x14ac:dyDescent="0.2">
      <c r="A4406" s="14" t="s">
        <v>8680</v>
      </c>
      <c r="B4406" s="15" t="s">
        <v>8681</v>
      </c>
      <c r="C4406" s="16">
        <f>246.59/(1+B2)</f>
        <v>246.59</v>
      </c>
      <c r="D4406" s="17" t="s">
        <v>11</v>
      </c>
      <c r="E4406" s="17"/>
      <c r="F4406" s="18"/>
      <c r="G4406" s="36" t="str">
        <f>IF(ISNUMBER(F4406),C4406*F4406,"")</f>
        <v/>
      </c>
    </row>
    <row r="4407" spans="1:7" ht="12" customHeight="1" outlineLevel="2" x14ac:dyDescent="0.2">
      <c r="A4407" s="14" t="s">
        <v>8682</v>
      </c>
      <c r="B4407" s="15" t="s">
        <v>8683</v>
      </c>
      <c r="C4407" s="16">
        <f>298.66/(1+B2)</f>
        <v>298.66000000000003</v>
      </c>
      <c r="D4407" s="17" t="s">
        <v>14</v>
      </c>
      <c r="E4407" s="17"/>
      <c r="F4407" s="18"/>
      <c r="G4407" s="36" t="str">
        <f>IF(ISNUMBER(F4407),C4407*F4407,"")</f>
        <v/>
      </c>
    </row>
    <row r="4408" spans="1:7" ht="12" customHeight="1" outlineLevel="2" x14ac:dyDescent="0.2">
      <c r="A4408" s="14" t="s">
        <v>8684</v>
      </c>
      <c r="B4408" s="15" t="s">
        <v>8685</v>
      </c>
      <c r="C4408" s="16">
        <f>326.7/(1+B2)</f>
        <v>326.7</v>
      </c>
      <c r="D4408" s="17" t="s">
        <v>11</v>
      </c>
      <c r="E4408" s="17"/>
      <c r="F4408" s="18"/>
      <c r="G4408" s="36" t="str">
        <f>IF(ISNUMBER(F4408),C4408*F4408,"")</f>
        <v/>
      </c>
    </row>
    <row r="4409" spans="1:7" ht="12" customHeight="1" outlineLevel="2" x14ac:dyDescent="0.2">
      <c r="A4409" s="14" t="s">
        <v>8686</v>
      </c>
      <c r="B4409" s="15" t="s">
        <v>8687</v>
      </c>
      <c r="C4409" s="16">
        <f>392.44/(1+B2)</f>
        <v>392.44</v>
      </c>
      <c r="D4409" s="17" t="s">
        <v>53</v>
      </c>
      <c r="E4409" s="17"/>
      <c r="F4409" s="18"/>
      <c r="G4409" s="36" t="str">
        <f>IF(ISNUMBER(F4409),C4409*F4409,"")</f>
        <v/>
      </c>
    </row>
    <row r="4410" spans="1:7" ht="12" customHeight="1" outlineLevel="2" x14ac:dyDescent="0.2">
      <c r="A4410" s="14" t="s">
        <v>8688</v>
      </c>
      <c r="B4410" s="15" t="s">
        <v>8689</v>
      </c>
      <c r="C4410" s="16">
        <f>299.79/(1+B2)</f>
        <v>299.79000000000002</v>
      </c>
      <c r="D4410" s="17" t="s">
        <v>14</v>
      </c>
      <c r="E4410" s="17"/>
      <c r="F4410" s="18"/>
      <c r="G4410" s="36" t="str">
        <f>IF(ISNUMBER(F4410),C4410*F4410,"")</f>
        <v/>
      </c>
    </row>
    <row r="4411" spans="1:7" ht="12" customHeight="1" outlineLevel="2" x14ac:dyDescent="0.2">
      <c r="A4411" s="14" t="s">
        <v>8690</v>
      </c>
      <c r="B4411" s="15" t="s">
        <v>8691</v>
      </c>
      <c r="C4411" s="16">
        <f>438.26/(1+B2)</f>
        <v>438.26</v>
      </c>
      <c r="D4411" s="17" t="s">
        <v>14</v>
      </c>
      <c r="E4411" s="17" t="s">
        <v>11</v>
      </c>
      <c r="F4411" s="18"/>
      <c r="G4411" s="36" t="str">
        <f>IF(ISNUMBER(F4411),C4411*F4411,"")</f>
        <v/>
      </c>
    </row>
    <row r="4412" spans="1:7" ht="12" customHeight="1" outlineLevel="2" x14ac:dyDescent="0.2">
      <c r="A4412" s="14" t="s">
        <v>8692</v>
      </c>
      <c r="B4412" s="15" t="s">
        <v>8693</v>
      </c>
      <c r="C4412" s="16">
        <f>134.99/(1+B2)</f>
        <v>134.99</v>
      </c>
      <c r="D4412" s="17"/>
      <c r="E4412" s="17" t="s">
        <v>11</v>
      </c>
      <c r="F4412" s="18"/>
      <c r="G4412" s="36" t="str">
        <f>IF(ISNUMBER(F4412),C4412*F4412,"")</f>
        <v/>
      </c>
    </row>
    <row r="4413" spans="1:7" ht="12" customHeight="1" outlineLevel="2" x14ac:dyDescent="0.2">
      <c r="A4413" s="14" t="s">
        <v>8694</v>
      </c>
      <c r="B4413" s="15" t="s">
        <v>8695</v>
      </c>
      <c r="C4413" s="16">
        <f>257.13/(1+B2)</f>
        <v>257.13</v>
      </c>
      <c r="D4413" s="17"/>
      <c r="E4413" s="17" t="s">
        <v>14</v>
      </c>
      <c r="F4413" s="18"/>
      <c r="G4413" s="36" t="str">
        <f>IF(ISNUMBER(F4413),C4413*F4413,"")</f>
        <v/>
      </c>
    </row>
    <row r="4414" spans="1:7" s="1" customFormat="1" ht="15.95" customHeight="1" outlineLevel="1" x14ac:dyDescent="0.25">
      <c r="A4414" s="11"/>
      <c r="B4414" s="12" t="s">
        <v>8696</v>
      </c>
      <c r="C4414" s="13"/>
      <c r="D4414" s="13"/>
      <c r="E4414" s="13"/>
      <c r="F4414" s="13"/>
      <c r="G4414" s="35"/>
    </row>
    <row r="4415" spans="1:7" ht="12" customHeight="1" outlineLevel="2" x14ac:dyDescent="0.2">
      <c r="A4415" s="14" t="s">
        <v>8697</v>
      </c>
      <c r="B4415" s="15" t="s">
        <v>8698</v>
      </c>
      <c r="C4415" s="16">
        <f>169.2/(1+B2)</f>
        <v>169.2</v>
      </c>
      <c r="D4415" s="17" t="s">
        <v>11</v>
      </c>
      <c r="E4415" s="17"/>
      <c r="F4415" s="18"/>
      <c r="G4415" s="36" t="str">
        <f>IF(ISNUMBER(F4415),C4415*F4415,"")</f>
        <v/>
      </c>
    </row>
    <row r="4416" spans="1:7" ht="12" customHeight="1" outlineLevel="2" x14ac:dyDescent="0.2">
      <c r="A4416" s="14" t="s">
        <v>8699</v>
      </c>
      <c r="B4416" s="15" t="s">
        <v>8700</v>
      </c>
      <c r="C4416" s="16">
        <f>236.88/(1+B2)</f>
        <v>236.88</v>
      </c>
      <c r="D4416" s="17" t="s">
        <v>11</v>
      </c>
      <c r="E4416" s="17"/>
      <c r="F4416" s="18"/>
      <c r="G4416" s="36" t="str">
        <f>IF(ISNUMBER(F4416),C4416*F4416,"")</f>
        <v/>
      </c>
    </row>
    <row r="4417" spans="1:7" ht="12" customHeight="1" outlineLevel="2" x14ac:dyDescent="0.2">
      <c r="A4417" s="14" t="s">
        <v>8701</v>
      </c>
      <c r="B4417" s="15" t="s">
        <v>8702</v>
      </c>
      <c r="C4417" s="16">
        <f>48.33/(1+B2)</f>
        <v>48.33</v>
      </c>
      <c r="D4417" s="17" t="s">
        <v>11</v>
      </c>
      <c r="E4417" s="17"/>
      <c r="F4417" s="18"/>
      <c r="G4417" s="36" t="str">
        <f>IF(ISNUMBER(F4417),C4417*F4417,"")</f>
        <v/>
      </c>
    </row>
    <row r="4418" spans="1:7" ht="12" customHeight="1" outlineLevel="2" x14ac:dyDescent="0.2">
      <c r="A4418" s="14" t="s">
        <v>8703</v>
      </c>
      <c r="B4418" s="15" t="s">
        <v>8704</v>
      </c>
      <c r="C4418" s="16">
        <f>46.91/(1+B2)</f>
        <v>46.91</v>
      </c>
      <c r="D4418" s="17" t="s">
        <v>11</v>
      </c>
      <c r="E4418" s="17"/>
      <c r="F4418" s="18"/>
      <c r="G4418" s="36" t="str">
        <f>IF(ISNUMBER(F4418),C4418*F4418,"")</f>
        <v/>
      </c>
    </row>
    <row r="4419" spans="1:7" ht="12" customHeight="1" outlineLevel="2" x14ac:dyDescent="0.2">
      <c r="A4419" s="14" t="s">
        <v>8705</v>
      </c>
      <c r="B4419" s="15" t="s">
        <v>8706</v>
      </c>
      <c r="C4419" s="16">
        <f>52.95/(1+B2)</f>
        <v>52.95</v>
      </c>
      <c r="D4419" s="17" t="s">
        <v>11</v>
      </c>
      <c r="E4419" s="17" t="s">
        <v>11</v>
      </c>
      <c r="F4419" s="18"/>
      <c r="G4419" s="36" t="str">
        <f>IF(ISNUMBER(F4419),C4419*F4419,"")</f>
        <v/>
      </c>
    </row>
    <row r="4420" spans="1:7" ht="12" customHeight="1" outlineLevel="2" x14ac:dyDescent="0.2">
      <c r="A4420" s="14" t="s">
        <v>8707</v>
      </c>
      <c r="B4420" s="15" t="s">
        <v>8708</v>
      </c>
      <c r="C4420" s="16">
        <f>54.92/(1+B2)</f>
        <v>54.92</v>
      </c>
      <c r="D4420" s="17" t="s">
        <v>11</v>
      </c>
      <c r="E4420" s="17" t="s">
        <v>14</v>
      </c>
      <c r="F4420" s="18"/>
      <c r="G4420" s="36" t="str">
        <f>IF(ISNUMBER(F4420),C4420*F4420,"")</f>
        <v/>
      </c>
    </row>
    <row r="4421" spans="1:7" ht="12" customHeight="1" outlineLevel="2" x14ac:dyDescent="0.2">
      <c r="A4421" s="14" t="s">
        <v>8709</v>
      </c>
      <c r="B4421" s="15" t="s">
        <v>8710</v>
      </c>
      <c r="C4421" s="16">
        <f>319.69/(1+B2)</f>
        <v>319.69</v>
      </c>
      <c r="D4421" s="17" t="s">
        <v>11</v>
      </c>
      <c r="E4421" s="17" t="s">
        <v>11</v>
      </c>
      <c r="F4421" s="18"/>
      <c r="G4421" s="36" t="str">
        <f>IF(ISNUMBER(F4421),C4421*F4421,"")</f>
        <v/>
      </c>
    </row>
    <row r="4422" spans="1:7" ht="12" customHeight="1" outlineLevel="2" x14ac:dyDescent="0.2">
      <c r="A4422" s="14" t="s">
        <v>8711</v>
      </c>
      <c r="B4422" s="15" t="s">
        <v>8712</v>
      </c>
      <c r="C4422" s="16">
        <f>56.92/(1+B2)</f>
        <v>56.92</v>
      </c>
      <c r="D4422" s="17" t="s">
        <v>11</v>
      </c>
      <c r="E4422" s="17" t="s">
        <v>53</v>
      </c>
      <c r="F4422" s="18"/>
      <c r="G4422" s="36" t="str">
        <f>IF(ISNUMBER(F4422),C4422*F4422,"")</f>
        <v/>
      </c>
    </row>
    <row r="4423" spans="1:7" ht="12" customHeight="1" outlineLevel="2" x14ac:dyDescent="0.2">
      <c r="A4423" s="14" t="s">
        <v>8713</v>
      </c>
      <c r="B4423" s="15" t="s">
        <v>8714</v>
      </c>
      <c r="C4423" s="16">
        <f>241.8/(1+B2)</f>
        <v>241.8</v>
      </c>
      <c r="D4423" s="17" t="s">
        <v>11</v>
      </c>
      <c r="E4423" s="17"/>
      <c r="F4423" s="18"/>
      <c r="G4423" s="36" t="str">
        <f>IF(ISNUMBER(F4423),C4423*F4423,"")</f>
        <v/>
      </c>
    </row>
    <row r="4424" spans="1:7" ht="12" customHeight="1" outlineLevel="2" x14ac:dyDescent="0.2">
      <c r="A4424" s="14" t="s">
        <v>8715</v>
      </c>
      <c r="B4424" s="15" t="s">
        <v>8716</v>
      </c>
      <c r="C4424" s="16">
        <f>156.15/(1+B2)</f>
        <v>156.15</v>
      </c>
      <c r="D4424" s="17"/>
      <c r="E4424" s="17" t="s">
        <v>11</v>
      </c>
      <c r="F4424" s="18"/>
      <c r="G4424" s="36" t="str">
        <f>IF(ISNUMBER(F4424),C4424*F4424,"")</f>
        <v/>
      </c>
    </row>
    <row r="4425" spans="1:7" ht="12" customHeight="1" outlineLevel="2" x14ac:dyDescent="0.2">
      <c r="A4425" s="14" t="s">
        <v>8717</v>
      </c>
      <c r="B4425" s="15" t="s">
        <v>8718</v>
      </c>
      <c r="C4425" s="16">
        <f>180.48/(1+B2)</f>
        <v>180.48</v>
      </c>
      <c r="D4425" s="17" t="s">
        <v>11</v>
      </c>
      <c r="E4425" s="17" t="s">
        <v>11</v>
      </c>
      <c r="F4425" s="18"/>
      <c r="G4425" s="36" t="str">
        <f>IF(ISNUMBER(F4425),C4425*F4425,"")</f>
        <v/>
      </c>
    </row>
    <row r="4426" spans="1:7" ht="12" customHeight="1" outlineLevel="2" x14ac:dyDescent="0.2">
      <c r="A4426" s="14" t="s">
        <v>8719</v>
      </c>
      <c r="B4426" s="15" t="s">
        <v>8720</v>
      </c>
      <c r="C4426" s="16">
        <f>277.79/(1+B2)</f>
        <v>277.79000000000002</v>
      </c>
      <c r="D4426" s="17" t="s">
        <v>14</v>
      </c>
      <c r="E4426" s="17"/>
      <c r="F4426" s="18"/>
      <c r="G4426" s="36" t="str">
        <f>IF(ISNUMBER(F4426),C4426*F4426,"")</f>
        <v/>
      </c>
    </row>
    <row r="4427" spans="1:7" ht="12" customHeight="1" outlineLevel="2" x14ac:dyDescent="0.2">
      <c r="A4427" s="14" t="s">
        <v>8721</v>
      </c>
      <c r="B4427" s="15" t="s">
        <v>8722</v>
      </c>
      <c r="C4427" s="16">
        <f>286.88/(1+B2)</f>
        <v>286.88</v>
      </c>
      <c r="D4427" s="17" t="s">
        <v>11</v>
      </c>
      <c r="E4427" s="17" t="s">
        <v>11</v>
      </c>
      <c r="F4427" s="18"/>
      <c r="G4427" s="36" t="str">
        <f>IF(ISNUMBER(F4427),C4427*F4427,"")</f>
        <v/>
      </c>
    </row>
    <row r="4428" spans="1:7" ht="12" customHeight="1" outlineLevel="2" x14ac:dyDescent="0.2">
      <c r="A4428" s="14" t="s">
        <v>8723</v>
      </c>
      <c r="B4428" s="15" t="s">
        <v>8724</v>
      </c>
      <c r="C4428" s="16">
        <f>303.24/(1+B2)</f>
        <v>303.24</v>
      </c>
      <c r="D4428" s="17" t="s">
        <v>11</v>
      </c>
      <c r="E4428" s="17"/>
      <c r="F4428" s="18"/>
      <c r="G4428" s="36" t="str">
        <f>IF(ISNUMBER(F4428),C4428*F4428,"")</f>
        <v/>
      </c>
    </row>
    <row r="4429" spans="1:7" ht="12" customHeight="1" outlineLevel="2" x14ac:dyDescent="0.2">
      <c r="A4429" s="14" t="s">
        <v>8725</v>
      </c>
      <c r="B4429" s="15" t="s">
        <v>8726</v>
      </c>
      <c r="C4429" s="16">
        <f>309.54/(1+B2)</f>
        <v>309.54000000000002</v>
      </c>
      <c r="D4429" s="17" t="s">
        <v>11</v>
      </c>
      <c r="E4429" s="17"/>
      <c r="F4429" s="18"/>
      <c r="G4429" s="36" t="str">
        <f>IF(ISNUMBER(F4429),C4429*F4429,"")</f>
        <v/>
      </c>
    </row>
    <row r="4430" spans="1:7" ht="12" customHeight="1" outlineLevel="2" x14ac:dyDescent="0.2">
      <c r="A4430" s="14" t="s">
        <v>8727</v>
      </c>
      <c r="B4430" s="15" t="s">
        <v>8728</v>
      </c>
      <c r="C4430" s="16">
        <f>442.87/(1+B2)</f>
        <v>442.87</v>
      </c>
      <c r="D4430" s="17" t="s">
        <v>11</v>
      </c>
      <c r="E4430" s="17"/>
      <c r="F4430" s="18"/>
      <c r="G4430" s="36" t="str">
        <f>IF(ISNUMBER(F4430),C4430*F4430,"")</f>
        <v/>
      </c>
    </row>
    <row r="4431" spans="1:7" ht="12" customHeight="1" outlineLevel="2" x14ac:dyDescent="0.2">
      <c r="A4431" s="14" t="s">
        <v>8729</v>
      </c>
      <c r="B4431" s="15" t="s">
        <v>8730</v>
      </c>
      <c r="C4431" s="16">
        <f>505.99/(1+B2)</f>
        <v>505.99</v>
      </c>
      <c r="D4431" s="17" t="s">
        <v>11</v>
      </c>
      <c r="E4431" s="17"/>
      <c r="F4431" s="18"/>
      <c r="G4431" s="36" t="str">
        <f>IF(ISNUMBER(F4431),C4431*F4431,"")</f>
        <v/>
      </c>
    </row>
    <row r="4432" spans="1:7" ht="12" customHeight="1" outlineLevel="2" x14ac:dyDescent="0.2">
      <c r="A4432" s="14" t="s">
        <v>8731</v>
      </c>
      <c r="B4432" s="15" t="s">
        <v>8732</v>
      </c>
      <c r="C4432" s="16">
        <f>287.65/(1+B2)</f>
        <v>287.64999999999998</v>
      </c>
      <c r="D4432" s="17" t="s">
        <v>11</v>
      </c>
      <c r="E4432" s="17"/>
      <c r="F4432" s="18"/>
      <c r="G4432" s="36" t="str">
        <f>IF(ISNUMBER(F4432),C4432*F4432,"")</f>
        <v/>
      </c>
    </row>
    <row r="4433" spans="1:7" ht="12" customHeight="1" outlineLevel="2" x14ac:dyDescent="0.2">
      <c r="A4433" s="14" t="s">
        <v>8733</v>
      </c>
      <c r="B4433" s="15" t="s">
        <v>8734</v>
      </c>
      <c r="C4433" s="16">
        <f>179.59/(1+B2)</f>
        <v>179.59</v>
      </c>
      <c r="D4433" s="17" t="s">
        <v>11</v>
      </c>
      <c r="E4433" s="17"/>
      <c r="F4433" s="18"/>
      <c r="G4433" s="36" t="str">
        <f>IF(ISNUMBER(F4433),C4433*F4433,"")</f>
        <v/>
      </c>
    </row>
    <row r="4434" spans="1:7" ht="12" customHeight="1" outlineLevel="2" x14ac:dyDescent="0.2">
      <c r="A4434" s="14" t="s">
        <v>8735</v>
      </c>
      <c r="B4434" s="15" t="s">
        <v>8736</v>
      </c>
      <c r="C4434" s="16">
        <f>308.65/(1+B2)</f>
        <v>308.64999999999998</v>
      </c>
      <c r="D4434" s="17" t="s">
        <v>11</v>
      </c>
      <c r="E4434" s="17"/>
      <c r="F4434" s="18"/>
      <c r="G4434" s="36" t="str">
        <f>IF(ISNUMBER(F4434),C4434*F4434,"")</f>
        <v/>
      </c>
    </row>
    <row r="4435" spans="1:7" ht="12" customHeight="1" outlineLevel="2" x14ac:dyDescent="0.2">
      <c r="A4435" s="14" t="s">
        <v>8737</v>
      </c>
      <c r="B4435" s="15" t="s">
        <v>8738</v>
      </c>
      <c r="C4435" s="16">
        <f>322.77/(1+B2)</f>
        <v>322.77</v>
      </c>
      <c r="D4435" s="17" t="s">
        <v>11</v>
      </c>
      <c r="E4435" s="17"/>
      <c r="F4435" s="18"/>
      <c r="G4435" s="36" t="str">
        <f>IF(ISNUMBER(F4435),C4435*F4435,"")</f>
        <v/>
      </c>
    </row>
    <row r="4436" spans="1:7" ht="12" customHeight="1" outlineLevel="2" x14ac:dyDescent="0.2">
      <c r="A4436" s="14" t="s">
        <v>8739</v>
      </c>
      <c r="B4436" s="15" t="s">
        <v>8740</v>
      </c>
      <c r="C4436" s="16">
        <f>331.14/(1+B2)</f>
        <v>331.14</v>
      </c>
      <c r="D4436" s="17" t="s">
        <v>11</v>
      </c>
      <c r="E4436" s="17"/>
      <c r="F4436" s="18"/>
      <c r="G4436" s="36" t="str">
        <f>IF(ISNUMBER(F4436),C4436*F4436,"")</f>
        <v/>
      </c>
    </row>
    <row r="4437" spans="1:7" ht="12" customHeight="1" outlineLevel="2" x14ac:dyDescent="0.2">
      <c r="A4437" s="14" t="s">
        <v>8741</v>
      </c>
      <c r="B4437" s="15" t="s">
        <v>8742</v>
      </c>
      <c r="C4437" s="16">
        <f>331.14/(1+B2)</f>
        <v>331.14</v>
      </c>
      <c r="D4437" s="17" t="s">
        <v>11</v>
      </c>
      <c r="E4437" s="17"/>
      <c r="F4437" s="18"/>
      <c r="G4437" s="36" t="str">
        <f>IF(ISNUMBER(F4437),C4437*F4437,"")</f>
        <v/>
      </c>
    </row>
    <row r="4438" spans="1:7" ht="12" customHeight="1" outlineLevel="2" x14ac:dyDescent="0.2">
      <c r="A4438" s="14" t="s">
        <v>8743</v>
      </c>
      <c r="B4438" s="15" t="s">
        <v>8744</v>
      </c>
      <c r="C4438" s="16">
        <f>331.14/(1+B2)</f>
        <v>331.14</v>
      </c>
      <c r="D4438" s="17" t="s">
        <v>11</v>
      </c>
      <c r="E4438" s="17"/>
      <c r="F4438" s="18"/>
      <c r="G4438" s="36" t="str">
        <f>IF(ISNUMBER(F4438),C4438*F4438,"")</f>
        <v/>
      </c>
    </row>
    <row r="4439" spans="1:7" ht="12" customHeight="1" outlineLevel="2" x14ac:dyDescent="0.2">
      <c r="A4439" s="14" t="s">
        <v>8745</v>
      </c>
      <c r="B4439" s="15" t="s">
        <v>8746</v>
      </c>
      <c r="C4439" s="16">
        <f>213.64/(1+B2)</f>
        <v>213.64</v>
      </c>
      <c r="D4439" s="17" t="s">
        <v>11</v>
      </c>
      <c r="E4439" s="17"/>
      <c r="F4439" s="18"/>
      <c r="G4439" s="36" t="str">
        <f>IF(ISNUMBER(F4439),C4439*F4439,"")</f>
        <v/>
      </c>
    </row>
    <row r="4440" spans="1:7" ht="12" customHeight="1" outlineLevel="2" x14ac:dyDescent="0.2">
      <c r="A4440" s="14" t="s">
        <v>8747</v>
      </c>
      <c r="B4440" s="15" t="s">
        <v>8748</v>
      </c>
      <c r="C4440" s="16">
        <f>314.82/(1+B2)</f>
        <v>314.82</v>
      </c>
      <c r="D4440" s="17" t="s">
        <v>11</v>
      </c>
      <c r="E4440" s="17"/>
      <c r="F4440" s="18"/>
      <c r="G4440" s="36" t="str">
        <f>IF(ISNUMBER(F4440),C4440*F4440,"")</f>
        <v/>
      </c>
    </row>
    <row r="4441" spans="1:7" ht="12" customHeight="1" outlineLevel="2" x14ac:dyDescent="0.2">
      <c r="A4441" s="14" t="s">
        <v>8749</v>
      </c>
      <c r="B4441" s="15" t="s">
        <v>8750</v>
      </c>
      <c r="C4441" s="16">
        <f>354.39/(1+B2)</f>
        <v>354.39</v>
      </c>
      <c r="D4441" s="17" t="s">
        <v>11</v>
      </c>
      <c r="E4441" s="17" t="s">
        <v>11</v>
      </c>
      <c r="F4441" s="18"/>
      <c r="G4441" s="36" t="str">
        <f>IF(ISNUMBER(F4441),C4441*F4441,"")</f>
        <v/>
      </c>
    </row>
    <row r="4442" spans="1:7" ht="12" customHeight="1" outlineLevel="2" x14ac:dyDescent="0.2">
      <c r="A4442" s="14" t="s">
        <v>8751</v>
      </c>
      <c r="B4442" s="15" t="s">
        <v>8752</v>
      </c>
      <c r="C4442" s="16">
        <f>228.62/(1+B2)</f>
        <v>228.62</v>
      </c>
      <c r="D4442" s="17" t="s">
        <v>11</v>
      </c>
      <c r="E4442" s="17"/>
      <c r="F4442" s="18"/>
      <c r="G4442" s="36" t="str">
        <f>IF(ISNUMBER(F4442),C4442*F4442,"")</f>
        <v/>
      </c>
    </row>
    <row r="4443" spans="1:7" ht="12" customHeight="1" outlineLevel="2" x14ac:dyDescent="0.2">
      <c r="A4443" s="14" t="s">
        <v>8753</v>
      </c>
      <c r="B4443" s="15" t="s">
        <v>8754</v>
      </c>
      <c r="C4443" s="16">
        <f>375.75/(1+B2)</f>
        <v>375.75</v>
      </c>
      <c r="D4443" s="17" t="s">
        <v>11</v>
      </c>
      <c r="E4443" s="17" t="s">
        <v>11</v>
      </c>
      <c r="F4443" s="18"/>
      <c r="G4443" s="36" t="str">
        <f>IF(ISNUMBER(F4443),C4443*F4443,"")</f>
        <v/>
      </c>
    </row>
    <row r="4444" spans="1:7" ht="12" customHeight="1" outlineLevel="2" x14ac:dyDescent="0.2">
      <c r="A4444" s="14" t="s">
        <v>8755</v>
      </c>
      <c r="B4444" s="15" t="s">
        <v>8756</v>
      </c>
      <c r="C4444" s="16">
        <f>375.75/(1+B2)</f>
        <v>375.75</v>
      </c>
      <c r="D4444" s="17" t="s">
        <v>11</v>
      </c>
      <c r="E4444" s="17"/>
      <c r="F4444" s="18"/>
      <c r="G4444" s="36" t="str">
        <f>IF(ISNUMBER(F4444),C4444*F4444,"")</f>
        <v/>
      </c>
    </row>
    <row r="4445" spans="1:7" ht="12" customHeight="1" outlineLevel="2" x14ac:dyDescent="0.2">
      <c r="A4445" s="14" t="s">
        <v>8757</v>
      </c>
      <c r="B4445" s="15" t="s">
        <v>8758</v>
      </c>
      <c r="C4445" s="16">
        <f>375.75/(1+B2)</f>
        <v>375.75</v>
      </c>
      <c r="D4445" s="17" t="s">
        <v>11</v>
      </c>
      <c r="E4445" s="17"/>
      <c r="F4445" s="18"/>
      <c r="G4445" s="36" t="str">
        <f>IF(ISNUMBER(F4445),C4445*F4445,"")</f>
        <v/>
      </c>
    </row>
    <row r="4446" spans="1:7" ht="12" customHeight="1" outlineLevel="2" x14ac:dyDescent="0.2">
      <c r="A4446" s="14" t="s">
        <v>8759</v>
      </c>
      <c r="B4446" s="15" t="s">
        <v>8760</v>
      </c>
      <c r="C4446" s="16">
        <f>242.42/(1+B2)</f>
        <v>242.42</v>
      </c>
      <c r="D4446" s="17" t="s">
        <v>11</v>
      </c>
      <c r="E4446" s="17"/>
      <c r="F4446" s="18"/>
      <c r="G4446" s="36" t="str">
        <f>IF(ISNUMBER(F4446),C4446*F4446,"")</f>
        <v/>
      </c>
    </row>
    <row r="4447" spans="1:7" ht="12" customHeight="1" outlineLevel="2" x14ac:dyDescent="0.2">
      <c r="A4447" s="14" t="s">
        <v>8761</v>
      </c>
      <c r="B4447" s="15" t="s">
        <v>8762</v>
      </c>
      <c r="C4447" s="16">
        <f>398.07/(1+B2)</f>
        <v>398.07</v>
      </c>
      <c r="D4447" s="17" t="s">
        <v>11</v>
      </c>
      <c r="E4447" s="17"/>
      <c r="F4447" s="18"/>
      <c r="G4447" s="36" t="str">
        <f>IF(ISNUMBER(F4447),C4447*F4447,"")</f>
        <v/>
      </c>
    </row>
    <row r="4448" spans="1:7" ht="12" customHeight="1" outlineLevel="2" x14ac:dyDescent="0.2">
      <c r="A4448" s="14" t="s">
        <v>8763</v>
      </c>
      <c r="B4448" s="15" t="s">
        <v>8764</v>
      </c>
      <c r="C4448" s="16">
        <f>398.07/(1+B2)</f>
        <v>398.07</v>
      </c>
      <c r="D4448" s="17" t="s">
        <v>11</v>
      </c>
      <c r="E4448" s="17" t="s">
        <v>11</v>
      </c>
      <c r="F4448" s="18"/>
      <c r="G4448" s="36" t="str">
        <f>IF(ISNUMBER(F4448),C4448*F4448,"")</f>
        <v/>
      </c>
    </row>
    <row r="4449" spans="1:7" ht="12" customHeight="1" outlineLevel="2" x14ac:dyDescent="0.2">
      <c r="A4449" s="14" t="s">
        <v>8765</v>
      </c>
      <c r="B4449" s="15" t="s">
        <v>8766</v>
      </c>
      <c r="C4449" s="16">
        <f>398.07/(1+B2)</f>
        <v>398.07</v>
      </c>
      <c r="D4449" s="17" t="s">
        <v>11</v>
      </c>
      <c r="E4449" s="17"/>
      <c r="F4449" s="18"/>
      <c r="G4449" s="36" t="str">
        <f>IF(ISNUMBER(F4449),C4449*F4449,"")</f>
        <v/>
      </c>
    </row>
    <row r="4450" spans="1:7" ht="12" customHeight="1" outlineLevel="2" x14ac:dyDescent="0.2">
      <c r="A4450" s="14" t="s">
        <v>8767</v>
      </c>
      <c r="B4450" s="15" t="s">
        <v>8768</v>
      </c>
      <c r="C4450" s="16">
        <f>421.46/(1+B2)</f>
        <v>421.46</v>
      </c>
      <c r="D4450" s="17" t="s">
        <v>11</v>
      </c>
      <c r="E4450" s="17" t="s">
        <v>11</v>
      </c>
      <c r="F4450" s="18"/>
      <c r="G4450" s="36" t="str">
        <f>IF(ISNUMBER(F4450),C4450*F4450,"")</f>
        <v/>
      </c>
    </row>
    <row r="4451" spans="1:7" ht="12" customHeight="1" outlineLevel="2" x14ac:dyDescent="0.2">
      <c r="A4451" s="14" t="s">
        <v>8769</v>
      </c>
      <c r="B4451" s="15" t="s">
        <v>8770</v>
      </c>
      <c r="C4451" s="16">
        <f>421.46/(1+B2)</f>
        <v>421.46</v>
      </c>
      <c r="D4451" s="17" t="s">
        <v>11</v>
      </c>
      <c r="E4451" s="17" t="s">
        <v>11</v>
      </c>
      <c r="F4451" s="18"/>
      <c r="G4451" s="36" t="str">
        <f>IF(ISNUMBER(F4451),C4451*F4451,"")</f>
        <v/>
      </c>
    </row>
    <row r="4452" spans="1:7" ht="12" customHeight="1" outlineLevel="2" x14ac:dyDescent="0.2">
      <c r="A4452" s="14" t="s">
        <v>8771</v>
      </c>
      <c r="B4452" s="15" t="s">
        <v>8772</v>
      </c>
      <c r="C4452" s="16">
        <f>271.91/(1+B2)</f>
        <v>271.91000000000003</v>
      </c>
      <c r="D4452" s="17" t="s">
        <v>11</v>
      </c>
      <c r="E4452" s="17"/>
      <c r="F4452" s="18"/>
      <c r="G4452" s="36" t="str">
        <f>IF(ISNUMBER(F4452),C4452*F4452,"")</f>
        <v/>
      </c>
    </row>
    <row r="4453" spans="1:7" ht="12" customHeight="1" outlineLevel="2" x14ac:dyDescent="0.2">
      <c r="A4453" s="14" t="s">
        <v>8773</v>
      </c>
      <c r="B4453" s="15" t="s">
        <v>8774</v>
      </c>
      <c r="C4453" s="16">
        <f>256.82/(1+B2)</f>
        <v>256.82</v>
      </c>
      <c r="D4453" s="17" t="s">
        <v>11</v>
      </c>
      <c r="E4453" s="17"/>
      <c r="F4453" s="18"/>
      <c r="G4453" s="36" t="str">
        <f>IF(ISNUMBER(F4453),C4453*F4453,"")</f>
        <v/>
      </c>
    </row>
    <row r="4454" spans="1:7" ht="12" customHeight="1" outlineLevel="2" x14ac:dyDescent="0.2">
      <c r="A4454" s="14" t="s">
        <v>8775</v>
      </c>
      <c r="B4454" s="15" t="s">
        <v>8776</v>
      </c>
      <c r="C4454" s="16">
        <f>391.82/(1+B2)</f>
        <v>391.82</v>
      </c>
      <c r="D4454" s="17" t="s">
        <v>11</v>
      </c>
      <c r="E4454" s="17"/>
      <c r="F4454" s="18"/>
      <c r="G4454" s="36" t="str">
        <f>IF(ISNUMBER(F4454),C4454*F4454,"")</f>
        <v/>
      </c>
    </row>
    <row r="4455" spans="1:7" ht="12" customHeight="1" outlineLevel="2" x14ac:dyDescent="0.2">
      <c r="A4455" s="14" t="s">
        <v>8777</v>
      </c>
      <c r="B4455" s="15" t="s">
        <v>8778</v>
      </c>
      <c r="C4455" s="16">
        <f>273.85/(1+B2)</f>
        <v>273.85000000000002</v>
      </c>
      <c r="D4455" s="17" t="s">
        <v>11</v>
      </c>
      <c r="E4455" s="17"/>
      <c r="F4455" s="18"/>
      <c r="G4455" s="36" t="str">
        <f>IF(ISNUMBER(F4455),C4455*F4455,"")</f>
        <v/>
      </c>
    </row>
    <row r="4456" spans="1:7" ht="12" customHeight="1" outlineLevel="2" x14ac:dyDescent="0.2">
      <c r="A4456" s="14" t="s">
        <v>8779</v>
      </c>
      <c r="B4456" s="15" t="s">
        <v>8780</v>
      </c>
      <c r="C4456" s="16">
        <f>296.43/(1+B2)</f>
        <v>296.43</v>
      </c>
      <c r="D4456" s="17" t="s">
        <v>11</v>
      </c>
      <c r="E4456" s="17"/>
      <c r="F4456" s="18"/>
      <c r="G4456" s="36" t="str">
        <f>IF(ISNUMBER(F4456),C4456*F4456,"")</f>
        <v/>
      </c>
    </row>
    <row r="4457" spans="1:7" ht="12" customHeight="1" outlineLevel="2" x14ac:dyDescent="0.2">
      <c r="A4457" s="14" t="s">
        <v>8781</v>
      </c>
      <c r="B4457" s="15" t="s">
        <v>8782</v>
      </c>
      <c r="C4457" s="16">
        <f>238.45/(1+B2)</f>
        <v>238.45</v>
      </c>
      <c r="D4457" s="17" t="s">
        <v>11</v>
      </c>
      <c r="E4457" s="17"/>
      <c r="F4457" s="18"/>
      <c r="G4457" s="36" t="str">
        <f>IF(ISNUMBER(F4457),C4457*F4457,"")</f>
        <v/>
      </c>
    </row>
    <row r="4458" spans="1:7" ht="12" customHeight="1" outlineLevel="2" x14ac:dyDescent="0.2">
      <c r="A4458" s="14" t="s">
        <v>8783</v>
      </c>
      <c r="B4458" s="15" t="s">
        <v>8784</v>
      </c>
      <c r="C4458" s="16">
        <f>426.53/(1+B2)</f>
        <v>426.53</v>
      </c>
      <c r="D4458" s="17" t="s">
        <v>11</v>
      </c>
      <c r="E4458" s="17"/>
      <c r="F4458" s="18"/>
      <c r="G4458" s="36" t="str">
        <f>IF(ISNUMBER(F4458),C4458*F4458,"")</f>
        <v/>
      </c>
    </row>
    <row r="4459" spans="1:7" ht="12" customHeight="1" outlineLevel="2" x14ac:dyDescent="0.2">
      <c r="A4459" s="14" t="s">
        <v>8785</v>
      </c>
      <c r="B4459" s="15" t="s">
        <v>8786</v>
      </c>
      <c r="C4459" s="16">
        <f>426.53/(1+B2)</f>
        <v>426.53</v>
      </c>
      <c r="D4459" s="17" t="s">
        <v>11</v>
      </c>
      <c r="E4459" s="17"/>
      <c r="F4459" s="18"/>
      <c r="G4459" s="36" t="str">
        <f>IF(ISNUMBER(F4459),C4459*F4459,"")</f>
        <v/>
      </c>
    </row>
    <row r="4460" spans="1:7" ht="12" customHeight="1" outlineLevel="2" x14ac:dyDescent="0.2">
      <c r="A4460" s="14" t="s">
        <v>8787</v>
      </c>
      <c r="B4460" s="15" t="s">
        <v>8788</v>
      </c>
      <c r="C4460" s="16">
        <f>215.52/(1+B2)</f>
        <v>215.52</v>
      </c>
      <c r="D4460" s="17" t="s">
        <v>11</v>
      </c>
      <c r="E4460" s="17"/>
      <c r="F4460" s="18"/>
      <c r="G4460" s="36" t="str">
        <f>IF(ISNUMBER(F4460),C4460*F4460,"")</f>
        <v/>
      </c>
    </row>
    <row r="4461" spans="1:7" ht="12" customHeight="1" outlineLevel="2" x14ac:dyDescent="0.2">
      <c r="A4461" s="14" t="s">
        <v>8789</v>
      </c>
      <c r="B4461" s="15" t="s">
        <v>8790</v>
      </c>
      <c r="C4461" s="16">
        <f>276.47/(1+B2)</f>
        <v>276.47000000000003</v>
      </c>
      <c r="D4461" s="17" t="s">
        <v>11</v>
      </c>
      <c r="E4461" s="17"/>
      <c r="F4461" s="18"/>
      <c r="G4461" s="36" t="str">
        <f>IF(ISNUMBER(F4461),C4461*F4461,"")</f>
        <v/>
      </c>
    </row>
    <row r="4462" spans="1:7" ht="12" customHeight="1" outlineLevel="2" x14ac:dyDescent="0.2">
      <c r="A4462" s="14" t="s">
        <v>8791</v>
      </c>
      <c r="B4462" s="15" t="s">
        <v>8792</v>
      </c>
      <c r="C4462" s="16">
        <f>493.63/(1+B2)</f>
        <v>493.63</v>
      </c>
      <c r="D4462" s="17" t="s">
        <v>11</v>
      </c>
      <c r="E4462" s="17" t="s">
        <v>11</v>
      </c>
      <c r="F4462" s="18"/>
      <c r="G4462" s="36" t="str">
        <f>IF(ISNUMBER(F4462),C4462*F4462,"")</f>
        <v/>
      </c>
    </row>
    <row r="4463" spans="1:7" ht="12" customHeight="1" outlineLevel="2" x14ac:dyDescent="0.2">
      <c r="A4463" s="14" t="s">
        <v>8793</v>
      </c>
      <c r="B4463" s="15" t="s">
        <v>8794</v>
      </c>
      <c r="C4463" s="16">
        <f>493.63/(1+B2)</f>
        <v>493.63</v>
      </c>
      <c r="D4463" s="17" t="s">
        <v>11</v>
      </c>
      <c r="E4463" s="17" t="s">
        <v>11</v>
      </c>
      <c r="F4463" s="18"/>
      <c r="G4463" s="36" t="str">
        <f>IF(ISNUMBER(F4463),C4463*F4463,"")</f>
        <v/>
      </c>
    </row>
    <row r="4464" spans="1:7" ht="12" customHeight="1" outlineLevel="2" x14ac:dyDescent="0.2">
      <c r="A4464" s="14" t="s">
        <v>8795</v>
      </c>
      <c r="B4464" s="15" t="s">
        <v>8796</v>
      </c>
      <c r="C4464" s="16">
        <f>310.03/(1+B2)</f>
        <v>310.02999999999997</v>
      </c>
      <c r="D4464" s="17" t="s">
        <v>11</v>
      </c>
      <c r="E4464" s="17"/>
      <c r="F4464" s="18"/>
      <c r="G4464" s="36" t="str">
        <f>IF(ISNUMBER(F4464),C4464*F4464,"")</f>
        <v/>
      </c>
    </row>
    <row r="4465" spans="1:7" ht="12" customHeight="1" outlineLevel="2" x14ac:dyDescent="0.2">
      <c r="A4465" s="14" t="s">
        <v>8797</v>
      </c>
      <c r="B4465" s="15" t="s">
        <v>8798</v>
      </c>
      <c r="C4465" s="16">
        <f>279.33/(1+B2)</f>
        <v>279.33</v>
      </c>
      <c r="D4465" s="17" t="s">
        <v>11</v>
      </c>
      <c r="E4465" s="17"/>
      <c r="F4465" s="18"/>
      <c r="G4465" s="36" t="str">
        <f>IF(ISNUMBER(F4465),C4465*F4465,"")</f>
        <v/>
      </c>
    </row>
    <row r="4466" spans="1:7" ht="12" customHeight="1" outlineLevel="2" x14ac:dyDescent="0.2">
      <c r="A4466" s="14" t="s">
        <v>8799</v>
      </c>
      <c r="B4466" s="15" t="s">
        <v>8800</v>
      </c>
      <c r="C4466" s="16">
        <f>688.17/(1+B2)</f>
        <v>688.17</v>
      </c>
      <c r="D4466" s="17" t="s">
        <v>11</v>
      </c>
      <c r="E4466" s="17" t="s">
        <v>11</v>
      </c>
      <c r="F4466" s="18"/>
      <c r="G4466" s="36" t="str">
        <f>IF(ISNUMBER(F4466),C4466*F4466,"")</f>
        <v/>
      </c>
    </row>
    <row r="4467" spans="1:7" ht="12" customHeight="1" outlineLevel="2" x14ac:dyDescent="0.2">
      <c r="A4467" s="14" t="s">
        <v>8801</v>
      </c>
      <c r="B4467" s="15" t="s">
        <v>8802</v>
      </c>
      <c r="C4467" s="16">
        <f>339.53/(1+B2)</f>
        <v>339.53</v>
      </c>
      <c r="D4467" s="17" t="s">
        <v>11</v>
      </c>
      <c r="E4467" s="17"/>
      <c r="F4467" s="18"/>
      <c r="G4467" s="36" t="str">
        <f>IF(ISNUMBER(F4467),C4467*F4467,"")</f>
        <v/>
      </c>
    </row>
    <row r="4468" spans="1:7" ht="12" customHeight="1" outlineLevel="2" x14ac:dyDescent="0.2">
      <c r="A4468" s="14" t="s">
        <v>8803</v>
      </c>
      <c r="B4468" s="15" t="s">
        <v>8804</v>
      </c>
      <c r="C4468" s="16">
        <f>751.15/(1+B2)</f>
        <v>751.15</v>
      </c>
      <c r="D4468" s="17" t="s">
        <v>11</v>
      </c>
      <c r="E4468" s="17"/>
      <c r="F4468" s="18"/>
      <c r="G4468" s="36" t="str">
        <f>IF(ISNUMBER(F4468),C4468*F4468,"")</f>
        <v/>
      </c>
    </row>
    <row r="4469" spans="1:7" ht="12" customHeight="1" outlineLevel="2" x14ac:dyDescent="0.2">
      <c r="A4469" s="14" t="s">
        <v>8805</v>
      </c>
      <c r="B4469" s="15" t="s">
        <v>8806</v>
      </c>
      <c r="C4469" s="16">
        <f>277.06/(1+B2)</f>
        <v>277.06</v>
      </c>
      <c r="D4469" s="17" t="s">
        <v>11</v>
      </c>
      <c r="E4469" s="17"/>
      <c r="F4469" s="18"/>
      <c r="G4469" s="36" t="str">
        <f>IF(ISNUMBER(F4469),C4469*F4469,"")</f>
        <v/>
      </c>
    </row>
    <row r="4470" spans="1:7" ht="12" customHeight="1" outlineLevel="2" x14ac:dyDescent="0.2">
      <c r="A4470" s="14" t="s">
        <v>8807</v>
      </c>
      <c r="B4470" s="15" t="s">
        <v>8808</v>
      </c>
      <c r="C4470" s="16">
        <f>343.29/(1+B2)</f>
        <v>343.29</v>
      </c>
      <c r="D4470" s="17" t="s">
        <v>11</v>
      </c>
      <c r="E4470" s="17"/>
      <c r="F4470" s="18"/>
      <c r="G4470" s="36" t="str">
        <f>IF(ISNUMBER(F4470),C4470*F4470,"")</f>
        <v/>
      </c>
    </row>
    <row r="4471" spans="1:7" ht="12" customHeight="1" outlineLevel="2" x14ac:dyDescent="0.2">
      <c r="A4471" s="14" t="s">
        <v>8809</v>
      </c>
      <c r="B4471" s="15" t="s">
        <v>8810</v>
      </c>
      <c r="C4471" s="16">
        <f>312.84/(1+B2)</f>
        <v>312.83999999999997</v>
      </c>
      <c r="D4471" s="17" t="s">
        <v>11</v>
      </c>
      <c r="E4471" s="17"/>
      <c r="F4471" s="18"/>
      <c r="G4471" s="36" t="str">
        <f>IF(ISNUMBER(F4471),C4471*F4471,"")</f>
        <v/>
      </c>
    </row>
    <row r="4472" spans="1:7" ht="12" customHeight="1" outlineLevel="2" x14ac:dyDescent="0.2">
      <c r="A4472" s="14" t="s">
        <v>8811</v>
      </c>
      <c r="B4472" s="15" t="s">
        <v>8812</v>
      </c>
      <c r="C4472" s="16">
        <f>312.84/(1+B2)</f>
        <v>312.83999999999997</v>
      </c>
      <c r="D4472" s="17" t="s">
        <v>11</v>
      </c>
      <c r="E4472" s="17"/>
      <c r="F4472" s="18"/>
      <c r="G4472" s="36" t="str">
        <f>IF(ISNUMBER(F4472),C4472*F4472,"")</f>
        <v/>
      </c>
    </row>
    <row r="4473" spans="1:7" ht="12" customHeight="1" outlineLevel="2" x14ac:dyDescent="0.2">
      <c r="A4473" s="14" t="s">
        <v>8813</v>
      </c>
      <c r="B4473" s="15" t="s">
        <v>8814</v>
      </c>
      <c r="C4473" s="16">
        <f>312.84/(1+B2)</f>
        <v>312.83999999999997</v>
      </c>
      <c r="D4473" s="17" t="s">
        <v>11</v>
      </c>
      <c r="E4473" s="17"/>
      <c r="F4473" s="18"/>
      <c r="G4473" s="36" t="str">
        <f>IF(ISNUMBER(F4473),C4473*F4473,"")</f>
        <v/>
      </c>
    </row>
    <row r="4474" spans="1:7" ht="12" customHeight="1" outlineLevel="2" x14ac:dyDescent="0.2">
      <c r="A4474" s="14" t="s">
        <v>8815</v>
      </c>
      <c r="B4474" s="15" t="s">
        <v>8816</v>
      </c>
      <c r="C4474" s="16">
        <f>365.6/(1+B2)</f>
        <v>365.6</v>
      </c>
      <c r="D4474" s="17" t="s">
        <v>11</v>
      </c>
      <c r="E4474" s="17"/>
      <c r="F4474" s="18"/>
      <c r="G4474" s="36" t="str">
        <f>IF(ISNUMBER(F4474),C4474*F4474,"")</f>
        <v/>
      </c>
    </row>
    <row r="4475" spans="1:7" ht="12" customHeight="1" outlineLevel="2" x14ac:dyDescent="0.2">
      <c r="A4475" s="14" t="s">
        <v>8817</v>
      </c>
      <c r="B4475" s="15" t="s">
        <v>8818</v>
      </c>
      <c r="C4475" s="16">
        <f>343.29/(1+B2)</f>
        <v>343.29</v>
      </c>
      <c r="D4475" s="17" t="s">
        <v>11</v>
      </c>
      <c r="E4475" s="17"/>
      <c r="F4475" s="18"/>
      <c r="G4475" s="36" t="str">
        <f>IF(ISNUMBER(F4475),C4475*F4475,"")</f>
        <v/>
      </c>
    </row>
    <row r="4476" spans="1:7" ht="12" customHeight="1" outlineLevel="2" x14ac:dyDescent="0.2">
      <c r="A4476" s="14" t="s">
        <v>8819</v>
      </c>
      <c r="B4476" s="15" t="s">
        <v>8820</v>
      </c>
      <c r="C4476" s="16">
        <f>343.29/(1+B2)</f>
        <v>343.29</v>
      </c>
      <c r="D4476" s="17" t="s">
        <v>11</v>
      </c>
      <c r="E4476" s="17"/>
      <c r="F4476" s="18"/>
      <c r="G4476" s="36" t="str">
        <f>IF(ISNUMBER(F4476),C4476*F4476,"")</f>
        <v/>
      </c>
    </row>
    <row r="4477" spans="1:7" ht="12" customHeight="1" outlineLevel="2" x14ac:dyDescent="0.2">
      <c r="A4477" s="14" t="s">
        <v>8821</v>
      </c>
      <c r="B4477" s="15" t="s">
        <v>8822</v>
      </c>
      <c r="C4477" s="16">
        <f>365.6/(1+B2)</f>
        <v>365.6</v>
      </c>
      <c r="D4477" s="17" t="s">
        <v>14</v>
      </c>
      <c r="E4477" s="17"/>
      <c r="F4477" s="18"/>
      <c r="G4477" s="36" t="str">
        <f>IF(ISNUMBER(F4477),C4477*F4477,"")</f>
        <v/>
      </c>
    </row>
    <row r="4478" spans="1:7" ht="12" customHeight="1" outlineLevel="2" x14ac:dyDescent="0.2">
      <c r="A4478" s="14" t="s">
        <v>8823</v>
      </c>
      <c r="B4478" s="15" t="s">
        <v>8824</v>
      </c>
      <c r="C4478" s="16">
        <f>365.6/(1+B2)</f>
        <v>365.6</v>
      </c>
      <c r="D4478" s="17" t="s">
        <v>11</v>
      </c>
      <c r="E4478" s="17"/>
      <c r="F4478" s="18"/>
      <c r="G4478" s="36" t="str">
        <f>IF(ISNUMBER(F4478),C4478*F4478,"")</f>
        <v/>
      </c>
    </row>
    <row r="4479" spans="1:7" s="1" customFormat="1" ht="15.95" customHeight="1" outlineLevel="1" x14ac:dyDescent="0.25">
      <c r="A4479" s="11"/>
      <c r="B4479" s="12" t="s">
        <v>8825</v>
      </c>
      <c r="C4479" s="13"/>
      <c r="D4479" s="13"/>
      <c r="E4479" s="13"/>
      <c r="F4479" s="13"/>
      <c r="G4479" s="35"/>
    </row>
    <row r="4480" spans="1:7" ht="12" customHeight="1" outlineLevel="2" x14ac:dyDescent="0.2">
      <c r="A4480" s="14" t="s">
        <v>8826</v>
      </c>
      <c r="B4480" s="15" t="s">
        <v>8827</v>
      </c>
      <c r="C4480" s="16">
        <f>32.33/(1+B2)</f>
        <v>32.33</v>
      </c>
      <c r="D4480" s="17" t="s">
        <v>53</v>
      </c>
      <c r="E4480" s="17" t="s">
        <v>106</v>
      </c>
      <c r="F4480" s="18"/>
      <c r="G4480" s="36" t="str">
        <f>IF(ISNUMBER(F4480),C4480*F4480,"")</f>
        <v/>
      </c>
    </row>
    <row r="4481" spans="1:7" ht="12" customHeight="1" outlineLevel="2" x14ac:dyDescent="0.2">
      <c r="A4481" s="14" t="s">
        <v>8828</v>
      </c>
      <c r="B4481" s="15" t="s">
        <v>8829</v>
      </c>
      <c r="C4481" s="16">
        <f>113.46/(1+B2)</f>
        <v>113.46</v>
      </c>
      <c r="D4481" s="17" t="s">
        <v>53</v>
      </c>
      <c r="E4481" s="17"/>
      <c r="F4481" s="18"/>
      <c r="G4481" s="36" t="str">
        <f>IF(ISNUMBER(F4481),C4481*F4481,"")</f>
        <v/>
      </c>
    </row>
    <row r="4482" spans="1:7" ht="12" customHeight="1" outlineLevel="2" x14ac:dyDescent="0.2">
      <c r="A4482" s="14" t="s">
        <v>8830</v>
      </c>
      <c r="B4482" s="15" t="s">
        <v>8831</v>
      </c>
      <c r="C4482" s="16">
        <f>215.36/(1+B2)</f>
        <v>215.36</v>
      </c>
      <c r="D4482" s="17" t="s">
        <v>11</v>
      </c>
      <c r="E4482" s="17"/>
      <c r="F4482" s="18"/>
      <c r="G4482" s="36" t="str">
        <f>IF(ISNUMBER(F4482),C4482*F4482,"")</f>
        <v/>
      </c>
    </row>
    <row r="4483" spans="1:7" ht="12" customHeight="1" outlineLevel="2" x14ac:dyDescent="0.2">
      <c r="A4483" s="14" t="s">
        <v>8832</v>
      </c>
      <c r="B4483" s="15" t="s">
        <v>8833</v>
      </c>
      <c r="C4483" s="16">
        <f>206.18/(1+B2)</f>
        <v>206.18</v>
      </c>
      <c r="D4483" s="17" t="s">
        <v>11</v>
      </c>
      <c r="E4483" s="17"/>
      <c r="F4483" s="18"/>
      <c r="G4483" s="36" t="str">
        <f>IF(ISNUMBER(F4483),C4483*F4483,"")</f>
        <v/>
      </c>
    </row>
    <row r="4484" spans="1:7" ht="12" customHeight="1" outlineLevel="2" x14ac:dyDescent="0.2">
      <c r="A4484" s="14" t="s">
        <v>8834</v>
      </c>
      <c r="B4484" s="15" t="s">
        <v>8835</v>
      </c>
      <c r="C4484" s="16">
        <f>79.36/(1+B2)</f>
        <v>79.36</v>
      </c>
      <c r="D4484" s="17" t="s">
        <v>53</v>
      </c>
      <c r="E4484" s="17"/>
      <c r="F4484" s="18"/>
      <c r="G4484" s="36" t="str">
        <f>IF(ISNUMBER(F4484),C4484*F4484,"")</f>
        <v/>
      </c>
    </row>
    <row r="4485" spans="1:7" ht="12" customHeight="1" outlineLevel="2" x14ac:dyDescent="0.2">
      <c r="A4485" s="14" t="s">
        <v>8836</v>
      </c>
      <c r="B4485" s="15" t="s">
        <v>8837</v>
      </c>
      <c r="C4485" s="16">
        <f>90.32/(1+B2)</f>
        <v>90.32</v>
      </c>
      <c r="D4485" s="17" t="s">
        <v>14</v>
      </c>
      <c r="E4485" s="17"/>
      <c r="F4485" s="18"/>
      <c r="G4485" s="36" t="str">
        <f>IF(ISNUMBER(F4485),C4485*F4485,"")</f>
        <v/>
      </c>
    </row>
    <row r="4486" spans="1:7" ht="12" customHeight="1" outlineLevel="2" x14ac:dyDescent="0.2">
      <c r="A4486" s="14" t="s">
        <v>8838</v>
      </c>
      <c r="B4486" s="15" t="s">
        <v>8839</v>
      </c>
      <c r="C4486" s="16">
        <f>166.63/(1+B2)</f>
        <v>166.63</v>
      </c>
      <c r="D4486" s="17" t="s">
        <v>11</v>
      </c>
      <c r="E4486" s="17"/>
      <c r="F4486" s="18"/>
      <c r="G4486" s="36" t="str">
        <f>IF(ISNUMBER(F4486),C4486*F4486,"")</f>
        <v/>
      </c>
    </row>
    <row r="4487" spans="1:7" ht="12" customHeight="1" outlineLevel="2" x14ac:dyDescent="0.2">
      <c r="A4487" s="14" t="s">
        <v>8840</v>
      </c>
      <c r="B4487" s="15" t="s">
        <v>8841</v>
      </c>
      <c r="C4487" s="16">
        <f>166.63/(1+B2)</f>
        <v>166.63</v>
      </c>
      <c r="D4487" s="17" t="s">
        <v>11</v>
      </c>
      <c r="E4487" s="17"/>
      <c r="F4487" s="18"/>
      <c r="G4487" s="36" t="str">
        <f>IF(ISNUMBER(F4487),C4487*F4487,"")</f>
        <v/>
      </c>
    </row>
    <row r="4488" spans="1:7" ht="12" customHeight="1" outlineLevel="2" x14ac:dyDescent="0.2">
      <c r="A4488" s="14" t="s">
        <v>8842</v>
      </c>
      <c r="B4488" s="15" t="s">
        <v>8843</v>
      </c>
      <c r="C4488" s="16">
        <f>162.18/(1+B2)</f>
        <v>162.18</v>
      </c>
      <c r="D4488" s="17" t="s">
        <v>11</v>
      </c>
      <c r="E4488" s="17"/>
      <c r="F4488" s="18"/>
      <c r="G4488" s="36" t="str">
        <f>IF(ISNUMBER(F4488),C4488*F4488,"")</f>
        <v/>
      </c>
    </row>
    <row r="4489" spans="1:7" ht="12" customHeight="1" outlineLevel="2" x14ac:dyDescent="0.2">
      <c r="A4489" s="14" t="s">
        <v>8844</v>
      </c>
      <c r="B4489" s="15" t="s">
        <v>8845</v>
      </c>
      <c r="C4489" s="16">
        <f>162.18/(1+B2)</f>
        <v>162.18</v>
      </c>
      <c r="D4489" s="17" t="s">
        <v>11</v>
      </c>
      <c r="E4489" s="17"/>
      <c r="F4489" s="18"/>
      <c r="G4489" s="36" t="str">
        <f>IF(ISNUMBER(F4489),C4489*F4489,"")</f>
        <v/>
      </c>
    </row>
    <row r="4490" spans="1:7" ht="12" customHeight="1" outlineLevel="2" x14ac:dyDescent="0.2">
      <c r="A4490" s="14" t="s">
        <v>8846</v>
      </c>
      <c r="B4490" s="15" t="s">
        <v>8847</v>
      </c>
      <c r="C4490" s="16">
        <f>58.61/(1+B2)</f>
        <v>58.61</v>
      </c>
      <c r="D4490" s="17" t="s">
        <v>53</v>
      </c>
      <c r="E4490" s="17"/>
      <c r="F4490" s="18"/>
      <c r="G4490" s="36" t="str">
        <f>IF(ISNUMBER(F4490),C4490*F4490,"")</f>
        <v/>
      </c>
    </row>
    <row r="4491" spans="1:7" ht="12" customHeight="1" outlineLevel="2" x14ac:dyDescent="0.2">
      <c r="A4491" s="14" t="s">
        <v>8848</v>
      </c>
      <c r="B4491" s="15" t="s">
        <v>8849</v>
      </c>
      <c r="C4491" s="16">
        <f>58.61/(1+B2)</f>
        <v>58.61</v>
      </c>
      <c r="D4491" s="17" t="s">
        <v>53</v>
      </c>
      <c r="E4491" s="17" t="s">
        <v>14</v>
      </c>
      <c r="F4491" s="18"/>
      <c r="G4491" s="36" t="str">
        <f>IF(ISNUMBER(F4491),C4491*F4491,"")</f>
        <v/>
      </c>
    </row>
    <row r="4492" spans="1:7" ht="12" customHeight="1" outlineLevel="2" x14ac:dyDescent="0.2">
      <c r="A4492" s="14" t="s">
        <v>8850</v>
      </c>
      <c r="B4492" s="15" t="s">
        <v>8851</v>
      </c>
      <c r="C4492" s="16">
        <f>50.54/(1+B2)</f>
        <v>50.54</v>
      </c>
      <c r="D4492" s="17" t="s">
        <v>11</v>
      </c>
      <c r="E4492" s="17" t="s">
        <v>11</v>
      </c>
      <c r="F4492" s="18"/>
      <c r="G4492" s="36" t="str">
        <f>IF(ISNUMBER(F4492),C4492*F4492,"")</f>
        <v/>
      </c>
    </row>
    <row r="4493" spans="1:7" ht="24" customHeight="1" outlineLevel="2" x14ac:dyDescent="0.2">
      <c r="A4493" s="14" t="s">
        <v>8852</v>
      </c>
      <c r="B4493" s="15" t="s">
        <v>8853</v>
      </c>
      <c r="C4493" s="16">
        <f>172.8/(1+B2)</f>
        <v>172.8</v>
      </c>
      <c r="D4493" s="17" t="s">
        <v>11</v>
      </c>
      <c r="E4493" s="17"/>
      <c r="F4493" s="18"/>
      <c r="G4493" s="36" t="str">
        <f>IF(ISNUMBER(F4493),C4493*F4493,"")</f>
        <v/>
      </c>
    </row>
    <row r="4494" spans="1:7" ht="24" customHeight="1" outlineLevel="2" x14ac:dyDescent="0.2">
      <c r="A4494" s="14" t="s">
        <v>8854</v>
      </c>
      <c r="B4494" s="15" t="s">
        <v>8855</v>
      </c>
      <c r="C4494" s="16">
        <f>150.15/(1+B2)</f>
        <v>150.15</v>
      </c>
      <c r="D4494" s="17" t="s">
        <v>11</v>
      </c>
      <c r="E4494" s="17" t="s">
        <v>11</v>
      </c>
      <c r="F4494" s="18"/>
      <c r="G4494" s="36" t="str">
        <f>IF(ISNUMBER(F4494),C4494*F4494,"")</f>
        <v/>
      </c>
    </row>
    <row r="4495" spans="1:7" ht="12" customHeight="1" outlineLevel="2" x14ac:dyDescent="0.2">
      <c r="A4495" s="14" t="s">
        <v>8856</v>
      </c>
      <c r="B4495" s="15" t="s">
        <v>8857</v>
      </c>
      <c r="C4495" s="16">
        <f>158.4/(1+B2)</f>
        <v>158.4</v>
      </c>
      <c r="D4495" s="17" t="s">
        <v>11</v>
      </c>
      <c r="E4495" s="17"/>
      <c r="F4495" s="18"/>
      <c r="G4495" s="36" t="str">
        <f>IF(ISNUMBER(F4495),C4495*F4495,"")</f>
        <v/>
      </c>
    </row>
    <row r="4496" spans="1:7" ht="24" customHeight="1" outlineLevel="2" x14ac:dyDescent="0.2">
      <c r="A4496" s="14" t="s">
        <v>8858</v>
      </c>
      <c r="B4496" s="15" t="s">
        <v>8859</v>
      </c>
      <c r="C4496" s="16">
        <f>161.53/(1+B2)</f>
        <v>161.53</v>
      </c>
      <c r="D4496" s="17" t="s">
        <v>11</v>
      </c>
      <c r="E4496" s="17" t="s">
        <v>11</v>
      </c>
      <c r="F4496" s="18"/>
      <c r="G4496" s="36" t="str">
        <f>IF(ISNUMBER(F4496),C4496*F4496,"")</f>
        <v/>
      </c>
    </row>
    <row r="4497" spans="1:7" ht="24" customHeight="1" outlineLevel="2" x14ac:dyDescent="0.2">
      <c r="A4497" s="14" t="s">
        <v>8860</v>
      </c>
      <c r="B4497" s="15" t="s">
        <v>8861</v>
      </c>
      <c r="C4497" s="16">
        <f>138.78/(1+B2)</f>
        <v>138.78</v>
      </c>
      <c r="D4497" s="17" t="s">
        <v>11</v>
      </c>
      <c r="E4497" s="17" t="s">
        <v>11</v>
      </c>
      <c r="F4497" s="18"/>
      <c r="G4497" s="36" t="str">
        <f>IF(ISNUMBER(F4497),C4497*F4497,"")</f>
        <v/>
      </c>
    </row>
    <row r="4498" spans="1:7" ht="12" customHeight="1" outlineLevel="2" x14ac:dyDescent="0.2">
      <c r="A4498" s="14" t="s">
        <v>8862</v>
      </c>
      <c r="B4498" s="15" t="s">
        <v>8863</v>
      </c>
      <c r="C4498" s="16">
        <f>138.78/(1+B2)</f>
        <v>138.78</v>
      </c>
      <c r="D4498" s="17" t="s">
        <v>11</v>
      </c>
      <c r="E4498" s="17" t="s">
        <v>11</v>
      </c>
      <c r="F4498" s="18"/>
      <c r="G4498" s="36" t="str">
        <f>IF(ISNUMBER(F4498),C4498*F4498,"")</f>
        <v/>
      </c>
    </row>
    <row r="4499" spans="1:7" ht="12" customHeight="1" outlineLevel="2" x14ac:dyDescent="0.2">
      <c r="A4499" s="14" t="s">
        <v>8864</v>
      </c>
      <c r="B4499" s="15" t="s">
        <v>8865</v>
      </c>
      <c r="C4499" s="16">
        <f>138.78/(1+B2)</f>
        <v>138.78</v>
      </c>
      <c r="D4499" s="17" t="s">
        <v>53</v>
      </c>
      <c r="E4499" s="17"/>
      <c r="F4499" s="18"/>
      <c r="G4499" s="36" t="str">
        <f>IF(ISNUMBER(F4499),C4499*F4499,"")</f>
        <v/>
      </c>
    </row>
    <row r="4500" spans="1:7" ht="24" customHeight="1" outlineLevel="2" x14ac:dyDescent="0.2">
      <c r="A4500" s="14" t="s">
        <v>8866</v>
      </c>
      <c r="B4500" s="15" t="s">
        <v>8867</v>
      </c>
      <c r="C4500" s="16">
        <f>163.8/(1+B2)</f>
        <v>163.80000000000001</v>
      </c>
      <c r="D4500" s="17" t="s">
        <v>11</v>
      </c>
      <c r="E4500" s="17" t="s">
        <v>11</v>
      </c>
      <c r="F4500" s="18"/>
      <c r="G4500" s="36" t="str">
        <f>IF(ISNUMBER(F4500),C4500*F4500,"")</f>
        <v/>
      </c>
    </row>
    <row r="4501" spans="1:7" ht="24" customHeight="1" outlineLevel="2" x14ac:dyDescent="0.2">
      <c r="A4501" s="14" t="s">
        <v>8868</v>
      </c>
      <c r="B4501" s="15" t="s">
        <v>8869</v>
      </c>
      <c r="C4501" s="16">
        <f>172.8/(1+B2)</f>
        <v>172.8</v>
      </c>
      <c r="D4501" s="17" t="s">
        <v>11</v>
      </c>
      <c r="E4501" s="17"/>
      <c r="F4501" s="18"/>
      <c r="G4501" s="36" t="str">
        <f>IF(ISNUMBER(F4501),C4501*F4501,"")</f>
        <v/>
      </c>
    </row>
    <row r="4502" spans="1:7" ht="12" customHeight="1" outlineLevel="2" x14ac:dyDescent="0.2">
      <c r="A4502" s="14" t="s">
        <v>8870</v>
      </c>
      <c r="B4502" s="15" t="s">
        <v>8871</v>
      </c>
      <c r="C4502" s="16">
        <f>138.78/(1+B2)</f>
        <v>138.78</v>
      </c>
      <c r="D4502" s="17" t="s">
        <v>53</v>
      </c>
      <c r="E4502" s="17"/>
      <c r="F4502" s="18"/>
      <c r="G4502" s="36" t="str">
        <f>IF(ISNUMBER(F4502),C4502*F4502,"")</f>
        <v/>
      </c>
    </row>
    <row r="4503" spans="1:7" ht="12" customHeight="1" outlineLevel="2" x14ac:dyDescent="0.2">
      <c r="A4503" s="14" t="s">
        <v>8872</v>
      </c>
      <c r="B4503" s="15" t="s">
        <v>8873</v>
      </c>
      <c r="C4503" s="16">
        <f>27.71/(1+B2)</f>
        <v>27.71</v>
      </c>
      <c r="D4503" s="17" t="s">
        <v>53</v>
      </c>
      <c r="E4503" s="17"/>
      <c r="F4503" s="18"/>
      <c r="G4503" s="36" t="str">
        <f>IF(ISNUMBER(F4503),C4503*F4503,"")</f>
        <v/>
      </c>
    </row>
    <row r="4504" spans="1:7" ht="12" customHeight="1" outlineLevel="2" x14ac:dyDescent="0.2">
      <c r="A4504" s="14" t="s">
        <v>8874</v>
      </c>
      <c r="B4504" s="15" t="s">
        <v>8875</v>
      </c>
      <c r="C4504" s="16">
        <f>19.38/(1+B2)</f>
        <v>19.38</v>
      </c>
      <c r="D4504" s="17" t="s">
        <v>106</v>
      </c>
      <c r="E4504" s="17"/>
      <c r="F4504" s="18"/>
      <c r="G4504" s="36" t="str">
        <f>IF(ISNUMBER(F4504),C4504*F4504,"")</f>
        <v/>
      </c>
    </row>
    <row r="4505" spans="1:7" ht="12" customHeight="1" outlineLevel="2" x14ac:dyDescent="0.2">
      <c r="A4505" s="14" t="s">
        <v>8876</v>
      </c>
      <c r="B4505" s="15" t="s">
        <v>8877</v>
      </c>
      <c r="C4505" s="16">
        <f>980.28/(1+B2)</f>
        <v>980.28</v>
      </c>
      <c r="D4505" s="17" t="s">
        <v>11</v>
      </c>
      <c r="E4505" s="17"/>
      <c r="F4505" s="18"/>
      <c r="G4505" s="36" t="str">
        <f>IF(ISNUMBER(F4505),C4505*F4505,"")</f>
        <v/>
      </c>
    </row>
    <row r="4506" spans="1:7" ht="12" customHeight="1" outlineLevel="2" x14ac:dyDescent="0.2">
      <c r="A4506" s="14" t="s">
        <v>8878</v>
      </c>
      <c r="B4506" s="15" t="s">
        <v>8879</v>
      </c>
      <c r="C4506" s="19">
        <f>1234.44/(1+B2)</f>
        <v>1234.44</v>
      </c>
      <c r="D4506" s="17" t="s">
        <v>11</v>
      </c>
      <c r="E4506" s="17"/>
      <c r="F4506" s="18"/>
      <c r="G4506" s="36" t="str">
        <f>IF(ISNUMBER(F4506),C4506*F4506,"")</f>
        <v/>
      </c>
    </row>
    <row r="4507" spans="1:7" ht="12" customHeight="1" outlineLevel="2" x14ac:dyDescent="0.2">
      <c r="A4507" s="14" t="s">
        <v>8880</v>
      </c>
      <c r="B4507" s="15" t="s">
        <v>8881</v>
      </c>
      <c r="C4507" s="16">
        <f>944/(1+B2)</f>
        <v>944</v>
      </c>
      <c r="D4507" s="17" t="s">
        <v>11</v>
      </c>
      <c r="E4507" s="17"/>
      <c r="F4507" s="18"/>
      <c r="G4507" s="36" t="str">
        <f>IF(ISNUMBER(F4507),C4507*F4507,"")</f>
        <v/>
      </c>
    </row>
    <row r="4508" spans="1:7" ht="12" customHeight="1" outlineLevel="2" x14ac:dyDescent="0.2">
      <c r="A4508" s="14" t="s">
        <v>8882</v>
      </c>
      <c r="B4508" s="15" t="s">
        <v>8883</v>
      </c>
      <c r="C4508" s="16">
        <f>53.44/(1+B2)</f>
        <v>53.44</v>
      </c>
      <c r="D4508" s="17" t="s">
        <v>106</v>
      </c>
      <c r="E4508" s="17"/>
      <c r="F4508" s="18"/>
      <c r="G4508" s="36" t="str">
        <f>IF(ISNUMBER(F4508),C4508*F4508,"")</f>
        <v/>
      </c>
    </row>
    <row r="4509" spans="1:7" ht="12" customHeight="1" outlineLevel="2" x14ac:dyDescent="0.2">
      <c r="A4509" s="14" t="s">
        <v>8884</v>
      </c>
      <c r="B4509" s="15" t="s">
        <v>8885</v>
      </c>
      <c r="C4509" s="16">
        <f>174.96/(1+B2)</f>
        <v>174.96</v>
      </c>
      <c r="D4509" s="17" t="s">
        <v>11</v>
      </c>
      <c r="E4509" s="17" t="s">
        <v>53</v>
      </c>
      <c r="F4509" s="18"/>
      <c r="G4509" s="36" t="str">
        <f>IF(ISNUMBER(F4509),C4509*F4509,"")</f>
        <v/>
      </c>
    </row>
    <row r="4510" spans="1:7" ht="12" customHeight="1" outlineLevel="2" x14ac:dyDescent="0.2">
      <c r="A4510" s="14" t="s">
        <v>8886</v>
      </c>
      <c r="B4510" s="15" t="s">
        <v>8887</v>
      </c>
      <c r="C4510" s="16">
        <f>144.83/(1+B2)</f>
        <v>144.83000000000001</v>
      </c>
      <c r="D4510" s="17" t="s">
        <v>11</v>
      </c>
      <c r="E4510" s="17"/>
      <c r="F4510" s="18"/>
      <c r="G4510" s="36" t="str">
        <f>IF(ISNUMBER(F4510),C4510*F4510,"")</f>
        <v/>
      </c>
    </row>
    <row r="4511" spans="1:7" ht="12" customHeight="1" outlineLevel="2" x14ac:dyDescent="0.2">
      <c r="A4511" s="14" t="s">
        <v>8888</v>
      </c>
      <c r="B4511" s="15" t="s">
        <v>8889</v>
      </c>
      <c r="C4511" s="16">
        <f>166.53/(1+B2)</f>
        <v>166.53</v>
      </c>
      <c r="D4511" s="17" t="s">
        <v>11</v>
      </c>
      <c r="E4511" s="17"/>
      <c r="F4511" s="18"/>
      <c r="G4511" s="36" t="str">
        <f>IF(ISNUMBER(F4511),C4511*F4511,"")</f>
        <v/>
      </c>
    </row>
    <row r="4512" spans="1:7" ht="24" customHeight="1" outlineLevel="2" x14ac:dyDescent="0.2">
      <c r="A4512" s="14" t="s">
        <v>8890</v>
      </c>
      <c r="B4512" s="15" t="s">
        <v>8891</v>
      </c>
      <c r="C4512" s="16">
        <f>212.33/(1+B2)</f>
        <v>212.33</v>
      </c>
      <c r="D4512" s="17" t="s">
        <v>11</v>
      </c>
      <c r="E4512" s="17"/>
      <c r="F4512" s="18"/>
      <c r="G4512" s="36" t="str">
        <f>IF(ISNUMBER(F4512),C4512*F4512,"")</f>
        <v/>
      </c>
    </row>
    <row r="4513" spans="1:7" ht="12" customHeight="1" outlineLevel="2" x14ac:dyDescent="0.2">
      <c r="A4513" s="14" t="s">
        <v>8892</v>
      </c>
      <c r="B4513" s="15" t="s">
        <v>8893</v>
      </c>
      <c r="C4513" s="16">
        <f>19.47/(1+B2)</f>
        <v>19.47</v>
      </c>
      <c r="D4513" s="17" t="s">
        <v>53</v>
      </c>
      <c r="E4513" s="17" t="s">
        <v>106</v>
      </c>
      <c r="F4513" s="18"/>
      <c r="G4513" s="36" t="str">
        <f>IF(ISNUMBER(F4513),C4513*F4513,"")</f>
        <v/>
      </c>
    </row>
    <row r="4514" spans="1:7" ht="12" customHeight="1" outlineLevel="2" x14ac:dyDescent="0.2">
      <c r="A4514" s="14" t="s">
        <v>8894</v>
      </c>
      <c r="B4514" s="15" t="s">
        <v>8895</v>
      </c>
      <c r="C4514" s="16">
        <f>20.84/(1+B2)</f>
        <v>20.84</v>
      </c>
      <c r="D4514" s="17"/>
      <c r="E4514" s="17" t="s">
        <v>106</v>
      </c>
      <c r="F4514" s="18"/>
      <c r="G4514" s="36" t="str">
        <f>IF(ISNUMBER(F4514),C4514*F4514,"")</f>
        <v/>
      </c>
    </row>
    <row r="4515" spans="1:7" ht="12" customHeight="1" outlineLevel="2" x14ac:dyDescent="0.2">
      <c r="A4515" s="14" t="s">
        <v>8896</v>
      </c>
      <c r="B4515" s="15" t="s">
        <v>8897</v>
      </c>
      <c r="C4515" s="16">
        <f>16.29/(1+B2)</f>
        <v>16.29</v>
      </c>
      <c r="D4515" s="17"/>
      <c r="E4515" s="17" t="s">
        <v>106</v>
      </c>
      <c r="F4515" s="18"/>
      <c r="G4515" s="36" t="str">
        <f>IF(ISNUMBER(F4515),C4515*F4515,"")</f>
        <v/>
      </c>
    </row>
    <row r="4516" spans="1:7" ht="12" customHeight="1" outlineLevel="2" x14ac:dyDescent="0.2">
      <c r="A4516" s="14" t="s">
        <v>8898</v>
      </c>
      <c r="B4516" s="15" t="s">
        <v>8899</v>
      </c>
      <c r="C4516" s="16">
        <f>7.75/(1+B2)</f>
        <v>7.75</v>
      </c>
      <c r="D4516" s="17" t="s">
        <v>11</v>
      </c>
      <c r="E4516" s="17"/>
      <c r="F4516" s="18"/>
      <c r="G4516" s="36" t="str">
        <f>IF(ISNUMBER(F4516),C4516*F4516,"")</f>
        <v/>
      </c>
    </row>
    <row r="4517" spans="1:7" ht="12" customHeight="1" outlineLevel="2" x14ac:dyDescent="0.2">
      <c r="A4517" s="14" t="s">
        <v>8900</v>
      </c>
      <c r="B4517" s="15" t="s">
        <v>8901</v>
      </c>
      <c r="C4517" s="16">
        <f>202.23/(1+B2)</f>
        <v>202.23</v>
      </c>
      <c r="D4517" s="17" t="s">
        <v>11</v>
      </c>
      <c r="E4517" s="17"/>
      <c r="F4517" s="18"/>
      <c r="G4517" s="36" t="str">
        <f>IF(ISNUMBER(F4517),C4517*F4517,"")</f>
        <v/>
      </c>
    </row>
    <row r="4518" spans="1:7" ht="12" customHeight="1" outlineLevel="2" x14ac:dyDescent="0.2">
      <c r="A4518" s="14" t="s">
        <v>8902</v>
      </c>
      <c r="B4518" s="15" t="s">
        <v>8903</v>
      </c>
      <c r="C4518" s="16">
        <f>391.9/(1+B2)</f>
        <v>391.9</v>
      </c>
      <c r="D4518" s="17" t="s">
        <v>14</v>
      </c>
      <c r="E4518" s="17" t="s">
        <v>53</v>
      </c>
      <c r="F4518" s="18"/>
      <c r="G4518" s="36" t="str">
        <f>IF(ISNUMBER(F4518),C4518*F4518,"")</f>
        <v/>
      </c>
    </row>
    <row r="4519" spans="1:7" ht="12" customHeight="1" outlineLevel="2" x14ac:dyDescent="0.2">
      <c r="A4519" s="14" t="s">
        <v>8904</v>
      </c>
      <c r="B4519" s="15" t="s">
        <v>8905</v>
      </c>
      <c r="C4519" s="16">
        <f>370.84/(1+B2)</f>
        <v>370.84</v>
      </c>
      <c r="D4519" s="17" t="s">
        <v>11</v>
      </c>
      <c r="E4519" s="17" t="s">
        <v>106</v>
      </c>
      <c r="F4519" s="18"/>
      <c r="G4519" s="36" t="str">
        <f>IF(ISNUMBER(F4519),C4519*F4519,"")</f>
        <v/>
      </c>
    </row>
    <row r="4520" spans="1:7" ht="12" customHeight="1" outlineLevel="2" x14ac:dyDescent="0.2">
      <c r="A4520" s="14" t="s">
        <v>8906</v>
      </c>
      <c r="B4520" s="15" t="s">
        <v>8907</v>
      </c>
      <c r="C4520" s="16">
        <f>110.75/(1+B2)</f>
        <v>110.75</v>
      </c>
      <c r="D4520" s="17" t="s">
        <v>11</v>
      </c>
      <c r="E4520" s="17"/>
      <c r="F4520" s="18"/>
      <c r="G4520" s="36" t="str">
        <f>IF(ISNUMBER(F4520),C4520*F4520,"")</f>
        <v/>
      </c>
    </row>
    <row r="4521" spans="1:7" ht="12" customHeight="1" outlineLevel="2" x14ac:dyDescent="0.2">
      <c r="A4521" s="14" t="s">
        <v>8908</v>
      </c>
      <c r="B4521" s="15" t="s">
        <v>8909</v>
      </c>
      <c r="C4521" s="16">
        <f>236.03/(1+B2)</f>
        <v>236.03</v>
      </c>
      <c r="D4521" s="17" t="s">
        <v>11</v>
      </c>
      <c r="E4521" s="17"/>
      <c r="F4521" s="18"/>
      <c r="G4521" s="36" t="str">
        <f>IF(ISNUMBER(F4521),C4521*F4521,"")</f>
        <v/>
      </c>
    </row>
    <row r="4522" spans="1:7" s="1" customFormat="1" ht="15.95" customHeight="1" outlineLevel="1" x14ac:dyDescent="0.25">
      <c r="A4522" s="11"/>
      <c r="B4522" s="12" t="s">
        <v>8910</v>
      </c>
      <c r="C4522" s="13"/>
      <c r="D4522" s="13"/>
      <c r="E4522" s="13"/>
      <c r="F4522" s="13"/>
      <c r="G4522" s="35"/>
    </row>
    <row r="4523" spans="1:7" ht="12" customHeight="1" outlineLevel="2" x14ac:dyDescent="0.2">
      <c r="A4523" s="14" t="s">
        <v>8911</v>
      </c>
      <c r="B4523" s="15" t="s">
        <v>8912</v>
      </c>
      <c r="C4523" s="16">
        <f>61.83/(1+B2)</f>
        <v>61.83</v>
      </c>
      <c r="D4523" s="17" t="s">
        <v>11</v>
      </c>
      <c r="E4523" s="17"/>
      <c r="F4523" s="18"/>
      <c r="G4523" s="36" t="str">
        <f>IF(ISNUMBER(F4523),C4523*F4523,"")</f>
        <v/>
      </c>
    </row>
    <row r="4524" spans="1:7" ht="12" customHeight="1" outlineLevel="2" x14ac:dyDescent="0.2">
      <c r="A4524" s="14" t="s">
        <v>8913</v>
      </c>
      <c r="B4524" s="15" t="s">
        <v>8914</v>
      </c>
      <c r="C4524" s="16">
        <f>100.3/(1+B2)</f>
        <v>100.3</v>
      </c>
      <c r="D4524" s="17" t="s">
        <v>14</v>
      </c>
      <c r="E4524" s="17" t="s">
        <v>106</v>
      </c>
      <c r="F4524" s="18"/>
      <c r="G4524" s="36" t="str">
        <f>IF(ISNUMBER(F4524),C4524*F4524,"")</f>
        <v/>
      </c>
    </row>
    <row r="4525" spans="1:7" ht="12" customHeight="1" outlineLevel="2" x14ac:dyDescent="0.2">
      <c r="A4525" s="14" t="s">
        <v>8915</v>
      </c>
      <c r="B4525" s="15" t="s">
        <v>8916</v>
      </c>
      <c r="C4525" s="16">
        <f>7.69/(1+B2)</f>
        <v>7.69</v>
      </c>
      <c r="D4525" s="17" t="s">
        <v>11</v>
      </c>
      <c r="E4525" s="17" t="s">
        <v>53</v>
      </c>
      <c r="F4525" s="18"/>
      <c r="G4525" s="36" t="str">
        <f>IF(ISNUMBER(F4525),C4525*F4525,"")</f>
        <v/>
      </c>
    </row>
    <row r="4526" spans="1:7" ht="12" customHeight="1" outlineLevel="2" x14ac:dyDescent="0.2">
      <c r="A4526" s="14" t="s">
        <v>8917</v>
      </c>
      <c r="B4526" s="15" t="s">
        <v>8918</v>
      </c>
      <c r="C4526" s="16">
        <f>2.54/(1+B2)</f>
        <v>2.54</v>
      </c>
      <c r="D4526" s="17" t="s">
        <v>106</v>
      </c>
      <c r="E4526" s="17"/>
      <c r="F4526" s="18"/>
      <c r="G4526" s="36" t="str">
        <f>IF(ISNUMBER(F4526),C4526*F4526,"")</f>
        <v/>
      </c>
    </row>
    <row r="4527" spans="1:7" ht="12" customHeight="1" outlineLevel="2" x14ac:dyDescent="0.2">
      <c r="A4527" s="14" t="s">
        <v>8919</v>
      </c>
      <c r="B4527" s="15" t="s">
        <v>8920</v>
      </c>
      <c r="C4527" s="16">
        <f>3.74/(1+B2)</f>
        <v>3.74</v>
      </c>
      <c r="D4527" s="17" t="s">
        <v>106</v>
      </c>
      <c r="E4527" s="17"/>
      <c r="F4527" s="18"/>
      <c r="G4527" s="36" t="str">
        <f>IF(ISNUMBER(F4527),C4527*F4527,"")</f>
        <v/>
      </c>
    </row>
    <row r="4528" spans="1:7" ht="12" customHeight="1" outlineLevel="2" x14ac:dyDescent="0.2">
      <c r="A4528" s="14" t="s">
        <v>8921</v>
      </c>
      <c r="B4528" s="15" t="s">
        <v>8922</v>
      </c>
      <c r="C4528" s="16">
        <f>5.59/(1+B2)</f>
        <v>5.59</v>
      </c>
      <c r="D4528" s="17"/>
      <c r="E4528" s="17" t="s">
        <v>53</v>
      </c>
      <c r="F4528" s="18"/>
      <c r="G4528" s="36" t="str">
        <f>IF(ISNUMBER(F4528),C4528*F4528,"")</f>
        <v/>
      </c>
    </row>
    <row r="4529" spans="1:7" ht="12" customHeight="1" outlineLevel="2" x14ac:dyDescent="0.2">
      <c r="A4529" s="14" t="s">
        <v>8923</v>
      </c>
      <c r="B4529" s="15" t="s">
        <v>8924</v>
      </c>
      <c r="C4529" s="16">
        <f>29.94/(1+B2)</f>
        <v>29.94</v>
      </c>
      <c r="D4529" s="17" t="s">
        <v>106</v>
      </c>
      <c r="E4529" s="17"/>
      <c r="F4529" s="18"/>
      <c r="G4529" s="36" t="str">
        <f>IF(ISNUMBER(F4529),C4529*F4529,"")</f>
        <v/>
      </c>
    </row>
    <row r="4530" spans="1:7" ht="12" customHeight="1" outlineLevel="2" x14ac:dyDescent="0.2">
      <c r="A4530" s="14" t="s">
        <v>8925</v>
      </c>
      <c r="B4530" s="15" t="s">
        <v>8926</v>
      </c>
      <c r="C4530" s="16">
        <f>37.29/(1+B2)</f>
        <v>37.29</v>
      </c>
      <c r="D4530" s="17" t="s">
        <v>106</v>
      </c>
      <c r="E4530" s="17"/>
      <c r="F4530" s="18"/>
      <c r="G4530" s="36" t="str">
        <f>IF(ISNUMBER(F4530),C4530*F4530,"")</f>
        <v/>
      </c>
    </row>
    <row r="4531" spans="1:7" ht="12" customHeight="1" outlineLevel="2" x14ac:dyDescent="0.2">
      <c r="A4531" s="14" t="s">
        <v>8927</v>
      </c>
      <c r="B4531" s="15" t="s">
        <v>8928</v>
      </c>
      <c r="C4531" s="16">
        <f>8.29/(1+B2)</f>
        <v>8.2899999999999991</v>
      </c>
      <c r="D4531" s="17" t="s">
        <v>11</v>
      </c>
      <c r="E4531" s="17"/>
      <c r="F4531" s="18"/>
      <c r="G4531" s="36" t="str">
        <f>IF(ISNUMBER(F4531),C4531*F4531,"")</f>
        <v/>
      </c>
    </row>
    <row r="4532" spans="1:7" ht="12" customHeight="1" outlineLevel="2" x14ac:dyDescent="0.2">
      <c r="A4532" s="14" t="s">
        <v>8929</v>
      </c>
      <c r="B4532" s="15" t="s">
        <v>8930</v>
      </c>
      <c r="C4532" s="16">
        <f>10.39/(1+B2)</f>
        <v>10.39</v>
      </c>
      <c r="D4532" s="17"/>
      <c r="E4532" s="17" t="s">
        <v>53</v>
      </c>
      <c r="F4532" s="18"/>
      <c r="G4532" s="36" t="str">
        <f>IF(ISNUMBER(F4532),C4532*F4532,"")</f>
        <v/>
      </c>
    </row>
    <row r="4533" spans="1:7" ht="12" customHeight="1" outlineLevel="2" x14ac:dyDescent="0.2">
      <c r="A4533" s="14" t="s">
        <v>8931</v>
      </c>
      <c r="B4533" s="15" t="s">
        <v>8932</v>
      </c>
      <c r="C4533" s="16">
        <f>197.05/(1+B2)</f>
        <v>197.05</v>
      </c>
      <c r="D4533" s="17" t="s">
        <v>11</v>
      </c>
      <c r="E4533" s="17"/>
      <c r="F4533" s="18"/>
      <c r="G4533" s="36" t="str">
        <f>IF(ISNUMBER(F4533),C4533*F4533,"")</f>
        <v/>
      </c>
    </row>
    <row r="4534" spans="1:7" ht="12" customHeight="1" outlineLevel="2" x14ac:dyDescent="0.2">
      <c r="A4534" s="14" t="s">
        <v>8933</v>
      </c>
      <c r="B4534" s="15" t="s">
        <v>8934</v>
      </c>
      <c r="C4534" s="16">
        <f>230.95/(1+B2)</f>
        <v>230.95</v>
      </c>
      <c r="D4534" s="17" t="s">
        <v>11</v>
      </c>
      <c r="E4534" s="17" t="s">
        <v>11</v>
      </c>
      <c r="F4534" s="18"/>
      <c r="G4534" s="36" t="str">
        <f>IF(ISNUMBER(F4534),C4534*F4534,"")</f>
        <v/>
      </c>
    </row>
    <row r="4535" spans="1:7" ht="12" customHeight="1" outlineLevel="2" x14ac:dyDescent="0.2">
      <c r="A4535" s="14" t="s">
        <v>8935</v>
      </c>
      <c r="B4535" s="15" t="s">
        <v>8936</v>
      </c>
      <c r="C4535" s="16">
        <f>137.09/(1+B2)</f>
        <v>137.09</v>
      </c>
      <c r="D4535" s="17" t="s">
        <v>11</v>
      </c>
      <c r="E4535" s="17"/>
      <c r="F4535" s="18"/>
      <c r="G4535" s="36" t="str">
        <f>IF(ISNUMBER(F4535),C4535*F4535,"")</f>
        <v/>
      </c>
    </row>
    <row r="4536" spans="1:7" ht="12" customHeight="1" outlineLevel="2" x14ac:dyDescent="0.2">
      <c r="A4536" s="14" t="s">
        <v>8937</v>
      </c>
      <c r="B4536" s="15" t="s">
        <v>8938</v>
      </c>
      <c r="C4536" s="16">
        <f>169.57/(1+B2)</f>
        <v>169.57</v>
      </c>
      <c r="D4536" s="17" t="s">
        <v>11</v>
      </c>
      <c r="E4536" s="17"/>
      <c r="F4536" s="18"/>
      <c r="G4536" s="36" t="str">
        <f>IF(ISNUMBER(F4536),C4536*F4536,"")</f>
        <v/>
      </c>
    </row>
    <row r="4537" spans="1:7" ht="24" customHeight="1" outlineLevel="2" x14ac:dyDescent="0.2">
      <c r="A4537" s="14" t="s">
        <v>8939</v>
      </c>
      <c r="B4537" s="15" t="s">
        <v>8940</v>
      </c>
      <c r="C4537" s="16">
        <f>280.36/(1+B2)</f>
        <v>280.36</v>
      </c>
      <c r="D4537" s="17" t="s">
        <v>11</v>
      </c>
      <c r="E4537" s="17"/>
      <c r="F4537" s="18"/>
      <c r="G4537" s="36" t="str">
        <f>IF(ISNUMBER(F4537),C4537*F4537,"")</f>
        <v/>
      </c>
    </row>
    <row r="4538" spans="1:7" ht="12" customHeight="1" outlineLevel="2" x14ac:dyDescent="0.2">
      <c r="A4538" s="14" t="s">
        <v>8941</v>
      </c>
      <c r="B4538" s="15" t="s">
        <v>8942</v>
      </c>
      <c r="C4538" s="16">
        <f>35.91/(1+B2)</f>
        <v>35.909999999999997</v>
      </c>
      <c r="D4538" s="17" t="s">
        <v>11</v>
      </c>
      <c r="E4538" s="17"/>
      <c r="F4538" s="18"/>
      <c r="G4538" s="36" t="str">
        <f>IF(ISNUMBER(F4538),C4538*F4538,"")</f>
        <v/>
      </c>
    </row>
    <row r="4539" spans="1:7" ht="12" customHeight="1" outlineLevel="2" x14ac:dyDescent="0.2">
      <c r="A4539" s="14" t="s">
        <v>8943</v>
      </c>
      <c r="B4539" s="15" t="s">
        <v>8944</v>
      </c>
      <c r="C4539" s="16">
        <f>56.04/(1+B2)</f>
        <v>56.04</v>
      </c>
      <c r="D4539" s="17" t="s">
        <v>11</v>
      </c>
      <c r="E4539" s="17"/>
      <c r="F4539" s="18"/>
      <c r="G4539" s="36" t="str">
        <f>IF(ISNUMBER(F4539),C4539*F4539,"")</f>
        <v/>
      </c>
    </row>
    <row r="4540" spans="1:7" ht="12" customHeight="1" outlineLevel="2" x14ac:dyDescent="0.2">
      <c r="A4540" s="14" t="s">
        <v>8945</v>
      </c>
      <c r="B4540" s="15" t="s">
        <v>8946</v>
      </c>
      <c r="C4540" s="16">
        <f>66.2/(1+B2)</f>
        <v>66.2</v>
      </c>
      <c r="D4540" s="17" t="s">
        <v>11</v>
      </c>
      <c r="E4540" s="17"/>
      <c r="F4540" s="18"/>
      <c r="G4540" s="36" t="str">
        <f>IF(ISNUMBER(F4540),C4540*F4540,"")</f>
        <v/>
      </c>
    </row>
    <row r="4541" spans="1:7" ht="12" customHeight="1" outlineLevel="2" x14ac:dyDescent="0.2">
      <c r="A4541" s="14" t="s">
        <v>8947</v>
      </c>
      <c r="B4541" s="15" t="s">
        <v>8948</v>
      </c>
      <c r="C4541" s="16">
        <f>63.63/(1+B2)</f>
        <v>63.63</v>
      </c>
      <c r="D4541" s="17" t="s">
        <v>11</v>
      </c>
      <c r="E4541" s="17"/>
      <c r="F4541" s="18"/>
      <c r="G4541" s="36" t="str">
        <f>IF(ISNUMBER(F4541),C4541*F4541,"")</f>
        <v/>
      </c>
    </row>
    <row r="4542" spans="1:7" ht="12" customHeight="1" outlineLevel="2" x14ac:dyDescent="0.2">
      <c r="A4542" s="14" t="s">
        <v>8949</v>
      </c>
      <c r="B4542" s="15" t="s">
        <v>8950</v>
      </c>
      <c r="C4542" s="16">
        <f>32.46/(1+B2)</f>
        <v>32.46</v>
      </c>
      <c r="D4542" s="17" t="s">
        <v>11</v>
      </c>
      <c r="E4542" s="17"/>
      <c r="F4542" s="18"/>
      <c r="G4542" s="36" t="str">
        <f>IF(ISNUMBER(F4542),C4542*F4542,"")</f>
        <v/>
      </c>
    </row>
    <row r="4543" spans="1:7" ht="12" customHeight="1" outlineLevel="2" x14ac:dyDescent="0.2">
      <c r="A4543" s="14" t="s">
        <v>8951</v>
      </c>
      <c r="B4543" s="15" t="s">
        <v>8952</v>
      </c>
      <c r="C4543" s="16">
        <f>35.91/(1+B2)</f>
        <v>35.909999999999997</v>
      </c>
      <c r="D4543" s="17" t="s">
        <v>11</v>
      </c>
      <c r="E4543" s="17"/>
      <c r="F4543" s="18"/>
      <c r="G4543" s="36" t="str">
        <f>IF(ISNUMBER(F4543),C4543*F4543,"")</f>
        <v/>
      </c>
    </row>
    <row r="4544" spans="1:7" ht="12" customHeight="1" outlineLevel="2" x14ac:dyDescent="0.2">
      <c r="A4544" s="14" t="s">
        <v>8953</v>
      </c>
      <c r="B4544" s="15" t="s">
        <v>8954</v>
      </c>
      <c r="C4544" s="16">
        <f>37.9/(1+B2)</f>
        <v>37.9</v>
      </c>
      <c r="D4544" s="17" t="s">
        <v>11</v>
      </c>
      <c r="E4544" s="17"/>
      <c r="F4544" s="18"/>
      <c r="G4544" s="36" t="str">
        <f>IF(ISNUMBER(F4544),C4544*F4544,"")</f>
        <v/>
      </c>
    </row>
    <row r="4545" spans="1:7" ht="12" customHeight="1" outlineLevel="2" x14ac:dyDescent="0.2">
      <c r="A4545" s="14" t="s">
        <v>8955</v>
      </c>
      <c r="B4545" s="15" t="s">
        <v>8956</v>
      </c>
      <c r="C4545" s="16">
        <f>42.44/(1+B2)</f>
        <v>42.44</v>
      </c>
      <c r="D4545" s="17" t="s">
        <v>11</v>
      </c>
      <c r="E4545" s="17"/>
      <c r="F4545" s="18"/>
      <c r="G4545" s="36" t="str">
        <f>IF(ISNUMBER(F4545),C4545*F4545,"")</f>
        <v/>
      </c>
    </row>
    <row r="4546" spans="1:7" ht="12" customHeight="1" outlineLevel="2" x14ac:dyDescent="0.2">
      <c r="A4546" s="14" t="s">
        <v>8957</v>
      </c>
      <c r="B4546" s="15" t="s">
        <v>8958</v>
      </c>
      <c r="C4546" s="16">
        <f>108.62/(1+B2)</f>
        <v>108.62</v>
      </c>
      <c r="D4546" s="17" t="s">
        <v>53</v>
      </c>
      <c r="E4546" s="17"/>
      <c r="F4546" s="18"/>
      <c r="G4546" s="36" t="str">
        <f>IF(ISNUMBER(F4546),C4546*F4546,"")</f>
        <v/>
      </c>
    </row>
    <row r="4547" spans="1:7" ht="12" customHeight="1" outlineLevel="2" x14ac:dyDescent="0.2">
      <c r="A4547" s="14" t="s">
        <v>8959</v>
      </c>
      <c r="B4547" s="15" t="s">
        <v>8960</v>
      </c>
      <c r="C4547" s="16">
        <f>128.03/(1+B2)</f>
        <v>128.03</v>
      </c>
      <c r="D4547" s="17" t="s">
        <v>11</v>
      </c>
      <c r="E4547" s="17"/>
      <c r="F4547" s="18"/>
      <c r="G4547" s="36" t="str">
        <f>IF(ISNUMBER(F4547),C4547*F4547,"")</f>
        <v/>
      </c>
    </row>
    <row r="4548" spans="1:7" ht="12" customHeight="1" outlineLevel="2" x14ac:dyDescent="0.2">
      <c r="A4548" s="14" t="s">
        <v>8961</v>
      </c>
      <c r="B4548" s="15" t="s">
        <v>8962</v>
      </c>
      <c r="C4548" s="16">
        <f>119.18/(1+B2)</f>
        <v>119.18</v>
      </c>
      <c r="D4548" s="17" t="s">
        <v>11</v>
      </c>
      <c r="E4548" s="17"/>
      <c r="F4548" s="18"/>
      <c r="G4548" s="36" t="str">
        <f>IF(ISNUMBER(F4548),C4548*F4548,"")</f>
        <v/>
      </c>
    </row>
    <row r="4549" spans="1:7" ht="12" customHeight="1" outlineLevel="2" x14ac:dyDescent="0.2">
      <c r="A4549" s="14" t="s">
        <v>8963</v>
      </c>
      <c r="B4549" s="15" t="s">
        <v>8964</v>
      </c>
      <c r="C4549" s="16">
        <f>119.18/(1+B2)</f>
        <v>119.18</v>
      </c>
      <c r="D4549" s="17" t="s">
        <v>11</v>
      </c>
      <c r="E4549" s="17"/>
      <c r="F4549" s="18"/>
      <c r="G4549" s="36" t="str">
        <f>IF(ISNUMBER(F4549),C4549*F4549,"")</f>
        <v/>
      </c>
    </row>
    <row r="4550" spans="1:7" ht="12" customHeight="1" outlineLevel="2" x14ac:dyDescent="0.2">
      <c r="A4550" s="14" t="s">
        <v>8965</v>
      </c>
      <c r="B4550" s="15" t="s">
        <v>8966</v>
      </c>
      <c r="C4550" s="16">
        <f>127.35/(1+B2)</f>
        <v>127.35</v>
      </c>
      <c r="D4550" s="17" t="s">
        <v>11</v>
      </c>
      <c r="E4550" s="17"/>
      <c r="F4550" s="18"/>
      <c r="G4550" s="36" t="str">
        <f>IF(ISNUMBER(F4550),C4550*F4550,"")</f>
        <v/>
      </c>
    </row>
    <row r="4551" spans="1:7" ht="12" customHeight="1" outlineLevel="2" x14ac:dyDescent="0.2">
      <c r="A4551" s="14" t="s">
        <v>8967</v>
      </c>
      <c r="B4551" s="15" t="s">
        <v>8968</v>
      </c>
      <c r="C4551" s="16">
        <f>77.25/(1+B2)</f>
        <v>77.25</v>
      </c>
      <c r="D4551" s="17" t="s">
        <v>11</v>
      </c>
      <c r="E4551" s="17"/>
      <c r="F4551" s="18"/>
      <c r="G4551" s="36" t="str">
        <f>IF(ISNUMBER(F4551),C4551*F4551,"")</f>
        <v/>
      </c>
    </row>
    <row r="4552" spans="1:7" ht="12" customHeight="1" outlineLevel="2" x14ac:dyDescent="0.2">
      <c r="A4552" s="14" t="s">
        <v>8969</v>
      </c>
      <c r="B4552" s="15" t="s">
        <v>8970</v>
      </c>
      <c r="C4552" s="16">
        <f>84.34/(1+B2)</f>
        <v>84.34</v>
      </c>
      <c r="D4552" s="17" t="s">
        <v>53</v>
      </c>
      <c r="E4552" s="17"/>
      <c r="F4552" s="18"/>
      <c r="G4552" s="36" t="str">
        <f>IF(ISNUMBER(F4552),C4552*F4552,"")</f>
        <v/>
      </c>
    </row>
    <row r="4553" spans="1:7" ht="12" customHeight="1" outlineLevel="2" x14ac:dyDescent="0.2">
      <c r="A4553" s="14" t="s">
        <v>8971</v>
      </c>
      <c r="B4553" s="15" t="s">
        <v>8972</v>
      </c>
      <c r="C4553" s="16">
        <f>9.56/(1+B2)</f>
        <v>9.56</v>
      </c>
      <c r="D4553" s="17" t="s">
        <v>106</v>
      </c>
      <c r="E4553" s="17"/>
      <c r="F4553" s="18"/>
      <c r="G4553" s="36" t="str">
        <f>IF(ISNUMBER(F4553),C4553*F4553,"")</f>
        <v/>
      </c>
    </row>
    <row r="4554" spans="1:7" ht="12" customHeight="1" outlineLevel="2" x14ac:dyDescent="0.2">
      <c r="A4554" s="14" t="s">
        <v>8973</v>
      </c>
      <c r="B4554" s="15" t="s">
        <v>8974</v>
      </c>
      <c r="C4554" s="16">
        <f>9.38/(1+B2)</f>
        <v>9.3800000000000008</v>
      </c>
      <c r="D4554" s="17" t="s">
        <v>106</v>
      </c>
      <c r="E4554" s="17"/>
      <c r="F4554" s="18"/>
      <c r="G4554" s="36" t="str">
        <f>IF(ISNUMBER(F4554),C4554*F4554,"")</f>
        <v/>
      </c>
    </row>
    <row r="4555" spans="1:7" ht="12" customHeight="1" outlineLevel="2" x14ac:dyDescent="0.2">
      <c r="A4555" s="14" t="s">
        <v>8975</v>
      </c>
      <c r="B4555" s="15" t="s">
        <v>8976</v>
      </c>
      <c r="C4555" s="16">
        <f>17.68/(1+B2)</f>
        <v>17.68</v>
      </c>
      <c r="D4555" s="17" t="s">
        <v>11</v>
      </c>
      <c r="E4555" s="17" t="s">
        <v>106</v>
      </c>
      <c r="F4555" s="18"/>
      <c r="G4555" s="36" t="str">
        <f>IF(ISNUMBER(F4555),C4555*F4555,"")</f>
        <v/>
      </c>
    </row>
    <row r="4556" spans="1:7" ht="12" customHeight="1" outlineLevel="2" x14ac:dyDescent="0.2">
      <c r="A4556" s="14" t="s">
        <v>8977</v>
      </c>
      <c r="B4556" s="15" t="s">
        <v>8978</v>
      </c>
      <c r="C4556" s="16">
        <f>14.81/(1+B2)</f>
        <v>14.81</v>
      </c>
      <c r="D4556" s="17" t="s">
        <v>106</v>
      </c>
      <c r="E4556" s="17"/>
      <c r="F4556" s="18"/>
      <c r="G4556" s="36" t="str">
        <f>IF(ISNUMBER(F4556),C4556*F4556,"")</f>
        <v/>
      </c>
    </row>
    <row r="4557" spans="1:7" ht="12" customHeight="1" outlineLevel="2" x14ac:dyDescent="0.2">
      <c r="A4557" s="14" t="s">
        <v>8979</v>
      </c>
      <c r="B4557" s="15" t="s">
        <v>8980</v>
      </c>
      <c r="C4557" s="16">
        <f>9.58/(1+B2)</f>
        <v>9.58</v>
      </c>
      <c r="D4557" s="17" t="s">
        <v>106</v>
      </c>
      <c r="E4557" s="17"/>
      <c r="F4557" s="18"/>
      <c r="G4557" s="36" t="str">
        <f>IF(ISNUMBER(F4557),C4557*F4557,"")</f>
        <v/>
      </c>
    </row>
    <row r="4558" spans="1:7" ht="12" customHeight="1" outlineLevel="2" x14ac:dyDescent="0.2">
      <c r="A4558" s="14" t="s">
        <v>8981</v>
      </c>
      <c r="B4558" s="15" t="s">
        <v>8982</v>
      </c>
      <c r="C4558" s="16">
        <f>18.62/(1+B2)</f>
        <v>18.62</v>
      </c>
      <c r="D4558" s="17" t="s">
        <v>106</v>
      </c>
      <c r="E4558" s="17"/>
      <c r="F4558" s="18"/>
      <c r="G4558" s="36" t="str">
        <f>IF(ISNUMBER(F4558),C4558*F4558,"")</f>
        <v/>
      </c>
    </row>
    <row r="4559" spans="1:7" ht="12" customHeight="1" outlineLevel="2" x14ac:dyDescent="0.2">
      <c r="A4559" s="14" t="s">
        <v>8983</v>
      </c>
      <c r="B4559" s="15" t="s">
        <v>8984</v>
      </c>
      <c r="C4559" s="16">
        <f>6.94/(1+B2)</f>
        <v>6.94</v>
      </c>
      <c r="D4559" s="17" t="s">
        <v>11</v>
      </c>
      <c r="E4559" s="17"/>
      <c r="F4559" s="18"/>
      <c r="G4559" s="36" t="str">
        <f>IF(ISNUMBER(F4559),C4559*F4559,"")</f>
        <v/>
      </c>
    </row>
    <row r="4560" spans="1:7" ht="12" customHeight="1" outlineLevel="2" x14ac:dyDescent="0.2">
      <c r="A4560" s="14" t="s">
        <v>8985</v>
      </c>
      <c r="B4560" s="15" t="s">
        <v>8986</v>
      </c>
      <c r="C4560" s="16">
        <f>10.59/(1+B2)</f>
        <v>10.59</v>
      </c>
      <c r="D4560" s="17" t="s">
        <v>106</v>
      </c>
      <c r="E4560" s="17"/>
      <c r="F4560" s="18"/>
      <c r="G4560" s="36" t="str">
        <f>IF(ISNUMBER(F4560),C4560*F4560,"")</f>
        <v/>
      </c>
    </row>
    <row r="4561" spans="1:7" ht="12" customHeight="1" outlineLevel="2" x14ac:dyDescent="0.2">
      <c r="A4561" s="14" t="s">
        <v>8987</v>
      </c>
      <c r="B4561" s="15" t="s">
        <v>8988</v>
      </c>
      <c r="C4561" s="16">
        <f>9.67/(1+B2)</f>
        <v>9.67</v>
      </c>
      <c r="D4561" s="17" t="s">
        <v>106</v>
      </c>
      <c r="E4561" s="17"/>
      <c r="F4561" s="18"/>
      <c r="G4561" s="36" t="str">
        <f>IF(ISNUMBER(F4561),C4561*F4561,"")</f>
        <v/>
      </c>
    </row>
    <row r="4562" spans="1:7" ht="12" customHeight="1" outlineLevel="2" x14ac:dyDescent="0.2">
      <c r="A4562" s="14" t="s">
        <v>8989</v>
      </c>
      <c r="B4562" s="15" t="s">
        <v>8990</v>
      </c>
      <c r="C4562" s="16">
        <f>49.96/(1+B2)</f>
        <v>49.96</v>
      </c>
      <c r="D4562" s="17" t="s">
        <v>11</v>
      </c>
      <c r="E4562" s="17" t="s">
        <v>14</v>
      </c>
      <c r="F4562" s="18"/>
      <c r="G4562" s="36" t="str">
        <f>IF(ISNUMBER(F4562),C4562*F4562,"")</f>
        <v/>
      </c>
    </row>
    <row r="4563" spans="1:7" ht="12" customHeight="1" outlineLevel="2" x14ac:dyDescent="0.2">
      <c r="A4563" s="14" t="s">
        <v>8991</v>
      </c>
      <c r="B4563" s="15" t="s">
        <v>8992</v>
      </c>
      <c r="C4563" s="16">
        <f>65.51/(1+B2)</f>
        <v>65.510000000000005</v>
      </c>
      <c r="D4563" s="17"/>
      <c r="E4563" s="17" t="s">
        <v>53</v>
      </c>
      <c r="F4563" s="18"/>
      <c r="G4563" s="36" t="str">
        <f>IF(ISNUMBER(F4563),C4563*F4563,"")</f>
        <v/>
      </c>
    </row>
    <row r="4564" spans="1:7" ht="12" customHeight="1" outlineLevel="2" x14ac:dyDescent="0.2">
      <c r="A4564" s="14" t="s">
        <v>8993</v>
      </c>
      <c r="B4564" s="15" t="s">
        <v>8994</v>
      </c>
      <c r="C4564" s="16">
        <f>73.31/(1+B2)</f>
        <v>73.31</v>
      </c>
      <c r="D4564" s="17" t="s">
        <v>14</v>
      </c>
      <c r="E4564" s="17"/>
      <c r="F4564" s="18"/>
      <c r="G4564" s="36" t="str">
        <f>IF(ISNUMBER(F4564),C4564*F4564,"")</f>
        <v/>
      </c>
    </row>
    <row r="4565" spans="1:7" ht="12" customHeight="1" outlineLevel="2" x14ac:dyDescent="0.2">
      <c r="A4565" s="14" t="s">
        <v>8995</v>
      </c>
      <c r="B4565" s="15" t="s">
        <v>8996</v>
      </c>
      <c r="C4565" s="16">
        <f>67.03/(1+B2)</f>
        <v>67.03</v>
      </c>
      <c r="D4565" s="17"/>
      <c r="E4565" s="17" t="s">
        <v>14</v>
      </c>
      <c r="F4565" s="18"/>
      <c r="G4565" s="36" t="str">
        <f>IF(ISNUMBER(F4565),C4565*F4565,"")</f>
        <v/>
      </c>
    </row>
    <row r="4566" spans="1:7" ht="12" customHeight="1" outlineLevel="2" x14ac:dyDescent="0.2">
      <c r="A4566" s="14" t="s">
        <v>8997</v>
      </c>
      <c r="B4566" s="15" t="s">
        <v>8998</v>
      </c>
      <c r="C4566" s="16">
        <f>79.08/(1+B2)</f>
        <v>79.08</v>
      </c>
      <c r="D4566" s="17" t="s">
        <v>11</v>
      </c>
      <c r="E4566" s="17" t="s">
        <v>53</v>
      </c>
      <c r="F4566" s="18"/>
      <c r="G4566" s="36" t="str">
        <f>IF(ISNUMBER(F4566),C4566*F4566,"")</f>
        <v/>
      </c>
    </row>
    <row r="4567" spans="1:7" ht="12" customHeight="1" outlineLevel="2" x14ac:dyDescent="0.2">
      <c r="A4567" s="14" t="s">
        <v>8999</v>
      </c>
      <c r="B4567" s="15" t="s">
        <v>9000</v>
      </c>
      <c r="C4567" s="16">
        <f>71.94/(1+B2)</f>
        <v>71.94</v>
      </c>
      <c r="D4567" s="17" t="s">
        <v>11</v>
      </c>
      <c r="E4567" s="17" t="s">
        <v>53</v>
      </c>
      <c r="F4567" s="18"/>
      <c r="G4567" s="36" t="str">
        <f>IF(ISNUMBER(F4567),C4567*F4567,"")</f>
        <v/>
      </c>
    </row>
    <row r="4568" spans="1:7" ht="12" customHeight="1" outlineLevel="2" x14ac:dyDescent="0.2">
      <c r="A4568" s="14" t="s">
        <v>9001</v>
      </c>
      <c r="B4568" s="15" t="s">
        <v>9002</v>
      </c>
      <c r="C4568" s="16">
        <f>70.59/(1+B2)</f>
        <v>70.59</v>
      </c>
      <c r="D4568" s="17"/>
      <c r="E4568" s="17" t="s">
        <v>14</v>
      </c>
      <c r="F4568" s="18"/>
      <c r="G4568" s="36" t="str">
        <f>IF(ISNUMBER(F4568),C4568*F4568,"")</f>
        <v/>
      </c>
    </row>
    <row r="4569" spans="1:7" ht="12" customHeight="1" outlineLevel="2" x14ac:dyDescent="0.2">
      <c r="A4569" s="14" t="s">
        <v>9003</v>
      </c>
      <c r="B4569" s="15" t="s">
        <v>9004</v>
      </c>
      <c r="C4569" s="16">
        <f>162.33/(1+B2)</f>
        <v>162.33000000000001</v>
      </c>
      <c r="D4569" s="17" t="s">
        <v>11</v>
      </c>
      <c r="E4569" s="17"/>
      <c r="F4569" s="18"/>
      <c r="G4569" s="36" t="str">
        <f>IF(ISNUMBER(F4569),C4569*F4569,"")</f>
        <v/>
      </c>
    </row>
    <row r="4570" spans="1:7" s="1" customFormat="1" ht="15.95" customHeight="1" outlineLevel="1" x14ac:dyDescent="0.25">
      <c r="A4570" s="11"/>
      <c r="B4570" s="12" t="s">
        <v>9005</v>
      </c>
      <c r="C4570" s="13"/>
      <c r="D4570" s="13"/>
      <c r="E4570" s="13"/>
      <c r="F4570" s="13"/>
      <c r="G4570" s="35"/>
    </row>
    <row r="4571" spans="1:7" ht="12" customHeight="1" outlineLevel="2" x14ac:dyDescent="0.2">
      <c r="A4571" s="14" t="s">
        <v>9006</v>
      </c>
      <c r="B4571" s="15" t="s">
        <v>9007</v>
      </c>
      <c r="C4571" s="16">
        <f>32.29/(1+B2)</f>
        <v>32.29</v>
      </c>
      <c r="D4571" s="17" t="s">
        <v>11</v>
      </c>
      <c r="E4571" s="17"/>
      <c r="F4571" s="18"/>
      <c r="G4571" s="36" t="str">
        <f>IF(ISNUMBER(F4571),C4571*F4571,"")</f>
        <v/>
      </c>
    </row>
    <row r="4572" spans="1:7" ht="12" customHeight="1" outlineLevel="2" x14ac:dyDescent="0.2">
      <c r="A4572" s="14" t="s">
        <v>9008</v>
      </c>
      <c r="B4572" s="15" t="s">
        <v>9009</v>
      </c>
      <c r="C4572" s="16">
        <f>32.29/(1+B2)</f>
        <v>32.29</v>
      </c>
      <c r="D4572" s="17" t="s">
        <v>11</v>
      </c>
      <c r="E4572" s="17"/>
      <c r="F4572" s="18"/>
      <c r="G4572" s="36" t="str">
        <f>IF(ISNUMBER(F4572),C4572*F4572,"")</f>
        <v/>
      </c>
    </row>
    <row r="4573" spans="1:7" ht="12" customHeight="1" outlineLevel="2" x14ac:dyDescent="0.2">
      <c r="A4573" s="14" t="s">
        <v>9010</v>
      </c>
      <c r="B4573" s="15" t="s">
        <v>9011</v>
      </c>
      <c r="C4573" s="16">
        <f>104.45/(1+B2)</f>
        <v>104.45</v>
      </c>
      <c r="D4573" s="17" t="s">
        <v>11</v>
      </c>
      <c r="E4573" s="17"/>
      <c r="F4573" s="18"/>
      <c r="G4573" s="36" t="str">
        <f>IF(ISNUMBER(F4573),C4573*F4573,"")</f>
        <v/>
      </c>
    </row>
    <row r="4574" spans="1:7" ht="12" customHeight="1" outlineLevel="2" x14ac:dyDescent="0.2">
      <c r="A4574" s="14" t="s">
        <v>9012</v>
      </c>
      <c r="B4574" s="15" t="s">
        <v>9013</v>
      </c>
      <c r="C4574" s="16">
        <f>83.98/(1+B2)</f>
        <v>83.98</v>
      </c>
      <c r="D4574" s="17" t="s">
        <v>53</v>
      </c>
      <c r="E4574" s="17" t="s">
        <v>14</v>
      </c>
      <c r="F4574" s="18"/>
      <c r="G4574" s="36" t="str">
        <f>IF(ISNUMBER(F4574),C4574*F4574,"")</f>
        <v/>
      </c>
    </row>
    <row r="4575" spans="1:7" ht="12" customHeight="1" outlineLevel="2" x14ac:dyDescent="0.2">
      <c r="A4575" s="14" t="s">
        <v>9014</v>
      </c>
      <c r="B4575" s="15" t="s">
        <v>9015</v>
      </c>
      <c r="C4575" s="16">
        <f>89.57/(1+B2)</f>
        <v>89.57</v>
      </c>
      <c r="D4575" s="17" t="s">
        <v>53</v>
      </c>
      <c r="E4575" s="17" t="s">
        <v>14</v>
      </c>
      <c r="F4575" s="18"/>
      <c r="G4575" s="36" t="str">
        <f>IF(ISNUMBER(F4575),C4575*F4575,"")</f>
        <v/>
      </c>
    </row>
    <row r="4576" spans="1:7" ht="12" customHeight="1" outlineLevel="2" x14ac:dyDescent="0.2">
      <c r="A4576" s="14" t="s">
        <v>9016</v>
      </c>
      <c r="B4576" s="15" t="s">
        <v>9017</v>
      </c>
      <c r="C4576" s="16">
        <f>107.73/(1+B2)</f>
        <v>107.73</v>
      </c>
      <c r="D4576" s="17" t="s">
        <v>53</v>
      </c>
      <c r="E4576" s="17"/>
      <c r="F4576" s="18"/>
      <c r="G4576" s="36" t="str">
        <f>IF(ISNUMBER(F4576),C4576*F4576,"")</f>
        <v/>
      </c>
    </row>
    <row r="4577" spans="1:7" ht="12" customHeight="1" outlineLevel="2" x14ac:dyDescent="0.2">
      <c r="A4577" s="14" t="s">
        <v>9018</v>
      </c>
      <c r="B4577" s="15" t="s">
        <v>9019</v>
      </c>
      <c r="C4577" s="16">
        <f>28.29/(1+B2)</f>
        <v>28.29</v>
      </c>
      <c r="D4577" s="17" t="s">
        <v>11</v>
      </c>
      <c r="E4577" s="17"/>
      <c r="F4577" s="18"/>
      <c r="G4577" s="36" t="str">
        <f>IF(ISNUMBER(F4577),C4577*F4577,"")</f>
        <v/>
      </c>
    </row>
    <row r="4578" spans="1:7" ht="12" customHeight="1" outlineLevel="2" x14ac:dyDescent="0.2">
      <c r="A4578" s="14" t="s">
        <v>9020</v>
      </c>
      <c r="B4578" s="15" t="s">
        <v>9021</v>
      </c>
      <c r="C4578" s="16">
        <f>375.35/(1+B2)</f>
        <v>375.35</v>
      </c>
      <c r="D4578" s="17" t="s">
        <v>14</v>
      </c>
      <c r="E4578" s="17"/>
      <c r="F4578" s="18"/>
      <c r="G4578" s="36" t="str">
        <f>IF(ISNUMBER(F4578),C4578*F4578,"")</f>
        <v/>
      </c>
    </row>
    <row r="4579" spans="1:7" ht="12" customHeight="1" outlineLevel="2" x14ac:dyDescent="0.2">
      <c r="A4579" s="14" t="s">
        <v>9022</v>
      </c>
      <c r="B4579" s="15" t="s">
        <v>9023</v>
      </c>
      <c r="C4579" s="16">
        <f>29.2/(1+B2)</f>
        <v>29.2</v>
      </c>
      <c r="D4579" s="17" t="s">
        <v>53</v>
      </c>
      <c r="E4579" s="17"/>
      <c r="F4579" s="18"/>
      <c r="G4579" s="36" t="str">
        <f>IF(ISNUMBER(F4579),C4579*F4579,"")</f>
        <v/>
      </c>
    </row>
    <row r="4580" spans="1:7" ht="12" customHeight="1" outlineLevel="2" x14ac:dyDescent="0.2">
      <c r="A4580" s="14" t="s">
        <v>9024</v>
      </c>
      <c r="B4580" s="15" t="s">
        <v>9025</v>
      </c>
      <c r="C4580" s="16">
        <f>78.38/(1+B2)</f>
        <v>78.38</v>
      </c>
      <c r="D4580" s="17" t="s">
        <v>11</v>
      </c>
      <c r="E4580" s="17"/>
      <c r="F4580" s="18"/>
      <c r="G4580" s="36" t="str">
        <f>IF(ISNUMBER(F4580),C4580*F4580,"")</f>
        <v/>
      </c>
    </row>
    <row r="4581" spans="1:7" ht="12" customHeight="1" outlineLevel="2" x14ac:dyDescent="0.2">
      <c r="A4581" s="14" t="s">
        <v>9026</v>
      </c>
      <c r="B4581" s="15" t="s">
        <v>9027</v>
      </c>
      <c r="C4581" s="16">
        <f>430.88/(1+B2)</f>
        <v>430.88</v>
      </c>
      <c r="D4581" s="17" t="s">
        <v>11</v>
      </c>
      <c r="E4581" s="17"/>
      <c r="F4581" s="18"/>
      <c r="G4581" s="36" t="str">
        <f>IF(ISNUMBER(F4581),C4581*F4581,"")</f>
        <v/>
      </c>
    </row>
    <row r="4582" spans="1:7" ht="12" customHeight="1" outlineLevel="2" x14ac:dyDescent="0.2">
      <c r="A4582" s="14" t="s">
        <v>9028</v>
      </c>
      <c r="B4582" s="15" t="s">
        <v>9029</v>
      </c>
      <c r="C4582" s="16">
        <f>430.88/(1+B2)</f>
        <v>430.88</v>
      </c>
      <c r="D4582" s="17" t="s">
        <v>11</v>
      </c>
      <c r="E4582" s="17"/>
      <c r="F4582" s="18"/>
      <c r="G4582" s="36" t="str">
        <f>IF(ISNUMBER(F4582),C4582*F4582,"")</f>
        <v/>
      </c>
    </row>
    <row r="4583" spans="1:7" ht="12" customHeight="1" outlineLevel="2" x14ac:dyDescent="0.2">
      <c r="A4583" s="14" t="s">
        <v>9030</v>
      </c>
      <c r="B4583" s="15" t="s">
        <v>9031</v>
      </c>
      <c r="C4583" s="16">
        <f>19.54/(1+B2)</f>
        <v>19.54</v>
      </c>
      <c r="D4583" s="17" t="s">
        <v>11</v>
      </c>
      <c r="E4583" s="17"/>
      <c r="F4583" s="18"/>
      <c r="G4583" s="36" t="str">
        <f>IF(ISNUMBER(F4583),C4583*F4583,"")</f>
        <v/>
      </c>
    </row>
    <row r="4584" spans="1:7" ht="12" customHeight="1" outlineLevel="2" x14ac:dyDescent="0.2">
      <c r="A4584" s="14" t="s">
        <v>9032</v>
      </c>
      <c r="B4584" s="15" t="s">
        <v>9033</v>
      </c>
      <c r="C4584" s="16">
        <f>38.04/(1+B2)</f>
        <v>38.04</v>
      </c>
      <c r="D4584" s="17" t="s">
        <v>11</v>
      </c>
      <c r="E4584" s="17"/>
      <c r="F4584" s="18"/>
      <c r="G4584" s="36" t="str">
        <f>IF(ISNUMBER(F4584),C4584*F4584,"")</f>
        <v/>
      </c>
    </row>
    <row r="4585" spans="1:7" ht="12" customHeight="1" outlineLevel="2" x14ac:dyDescent="0.2">
      <c r="A4585" s="14" t="s">
        <v>9034</v>
      </c>
      <c r="B4585" s="15" t="s">
        <v>9035</v>
      </c>
      <c r="C4585" s="16">
        <f>45/(1+B2)</f>
        <v>45</v>
      </c>
      <c r="D4585" s="17" t="s">
        <v>11</v>
      </c>
      <c r="E4585" s="17"/>
      <c r="F4585" s="18"/>
      <c r="G4585" s="36" t="str">
        <f>IF(ISNUMBER(F4585),C4585*F4585,"")</f>
        <v/>
      </c>
    </row>
    <row r="4586" spans="1:7" ht="12" customHeight="1" outlineLevel="2" x14ac:dyDescent="0.2">
      <c r="A4586" s="14" t="s">
        <v>9036</v>
      </c>
      <c r="B4586" s="15" t="s">
        <v>9037</v>
      </c>
      <c r="C4586" s="16">
        <f>1.68/(1+B2)</f>
        <v>1.68</v>
      </c>
      <c r="D4586" s="17" t="s">
        <v>11</v>
      </c>
      <c r="E4586" s="17"/>
      <c r="F4586" s="18"/>
      <c r="G4586" s="36" t="str">
        <f>IF(ISNUMBER(F4586),C4586*F4586,"")</f>
        <v/>
      </c>
    </row>
    <row r="4587" spans="1:7" ht="12" customHeight="1" outlineLevel="2" x14ac:dyDescent="0.2">
      <c r="A4587" s="14" t="s">
        <v>9038</v>
      </c>
      <c r="B4587" s="15" t="s">
        <v>9039</v>
      </c>
      <c r="C4587" s="16">
        <f>232.48/(1+B2)</f>
        <v>232.48</v>
      </c>
      <c r="D4587" s="17" t="s">
        <v>11</v>
      </c>
      <c r="E4587" s="17"/>
      <c r="F4587" s="18"/>
      <c r="G4587" s="36" t="str">
        <f>IF(ISNUMBER(F4587),C4587*F4587,"")</f>
        <v/>
      </c>
    </row>
    <row r="4588" spans="1:7" ht="12" customHeight="1" outlineLevel="2" x14ac:dyDescent="0.2">
      <c r="A4588" s="14" t="s">
        <v>9040</v>
      </c>
      <c r="B4588" s="15" t="s">
        <v>9041</v>
      </c>
      <c r="C4588" s="16">
        <f>232.48/(1+B2)</f>
        <v>232.48</v>
      </c>
      <c r="D4588" s="17" t="s">
        <v>11</v>
      </c>
      <c r="E4588" s="17"/>
      <c r="F4588" s="18"/>
      <c r="G4588" s="36" t="str">
        <f>IF(ISNUMBER(F4588),C4588*F4588,"")</f>
        <v/>
      </c>
    </row>
    <row r="4589" spans="1:7" ht="12" customHeight="1" outlineLevel="2" x14ac:dyDescent="0.2">
      <c r="A4589" s="14" t="s">
        <v>9042</v>
      </c>
      <c r="B4589" s="15" t="s">
        <v>9043</v>
      </c>
      <c r="C4589" s="16">
        <f>205.28/(1+B2)</f>
        <v>205.28</v>
      </c>
      <c r="D4589" s="17" t="s">
        <v>11</v>
      </c>
      <c r="E4589" s="17"/>
      <c r="F4589" s="18"/>
      <c r="G4589" s="36" t="str">
        <f>IF(ISNUMBER(F4589),C4589*F4589,"")</f>
        <v/>
      </c>
    </row>
    <row r="4590" spans="1:7" ht="12" customHeight="1" outlineLevel="2" x14ac:dyDescent="0.2">
      <c r="A4590" s="14" t="s">
        <v>9044</v>
      </c>
      <c r="B4590" s="15" t="s">
        <v>9045</v>
      </c>
      <c r="C4590" s="16">
        <f>284.6/(1+B2)</f>
        <v>284.60000000000002</v>
      </c>
      <c r="D4590" s="17" t="s">
        <v>11</v>
      </c>
      <c r="E4590" s="17"/>
      <c r="F4590" s="18"/>
      <c r="G4590" s="36" t="str">
        <f>IF(ISNUMBER(F4590),C4590*F4590,"")</f>
        <v/>
      </c>
    </row>
    <row r="4591" spans="1:7" ht="12" customHeight="1" outlineLevel="2" x14ac:dyDescent="0.2">
      <c r="A4591" s="14" t="s">
        <v>9046</v>
      </c>
      <c r="B4591" s="15" t="s">
        <v>9047</v>
      </c>
      <c r="C4591" s="16">
        <f>385.67/(1+B2)</f>
        <v>385.67</v>
      </c>
      <c r="D4591" s="17" t="s">
        <v>11</v>
      </c>
      <c r="E4591" s="17"/>
      <c r="F4591" s="18"/>
      <c r="G4591" s="36" t="str">
        <f>IF(ISNUMBER(F4591),C4591*F4591,"")</f>
        <v/>
      </c>
    </row>
    <row r="4592" spans="1:7" ht="12" customHeight="1" outlineLevel="2" x14ac:dyDescent="0.2">
      <c r="A4592" s="14" t="s">
        <v>9048</v>
      </c>
      <c r="B4592" s="15" t="s">
        <v>9049</v>
      </c>
      <c r="C4592" s="16">
        <f>561.88/(1+B2)</f>
        <v>561.88</v>
      </c>
      <c r="D4592" s="17" t="s">
        <v>53</v>
      </c>
      <c r="E4592" s="17"/>
      <c r="F4592" s="18"/>
      <c r="G4592" s="36" t="str">
        <f>IF(ISNUMBER(F4592),C4592*F4592,"")</f>
        <v/>
      </c>
    </row>
    <row r="4593" spans="1:7" ht="12" customHeight="1" outlineLevel="2" x14ac:dyDescent="0.2">
      <c r="A4593" s="14" t="s">
        <v>9050</v>
      </c>
      <c r="B4593" s="15" t="s">
        <v>9051</v>
      </c>
      <c r="C4593" s="16">
        <f>678.13/(1+B2)</f>
        <v>678.13</v>
      </c>
      <c r="D4593" s="17" t="s">
        <v>11</v>
      </c>
      <c r="E4593" s="17"/>
      <c r="F4593" s="18"/>
      <c r="G4593" s="36" t="str">
        <f>IF(ISNUMBER(F4593),C4593*F4593,"")</f>
        <v/>
      </c>
    </row>
    <row r="4594" spans="1:7" ht="12" customHeight="1" outlineLevel="2" x14ac:dyDescent="0.2">
      <c r="A4594" s="14" t="s">
        <v>9052</v>
      </c>
      <c r="B4594" s="15" t="s">
        <v>9053</v>
      </c>
      <c r="C4594" s="19">
        <f>1085/(1+B2)</f>
        <v>1085</v>
      </c>
      <c r="D4594" s="17" t="s">
        <v>11</v>
      </c>
      <c r="E4594" s="17"/>
      <c r="F4594" s="18"/>
      <c r="G4594" s="36" t="str">
        <f>IF(ISNUMBER(F4594),C4594*F4594,"")</f>
        <v/>
      </c>
    </row>
    <row r="4595" spans="1:7" ht="12" customHeight="1" outlineLevel="2" x14ac:dyDescent="0.2">
      <c r="A4595" s="14" t="s">
        <v>9054</v>
      </c>
      <c r="B4595" s="15" t="s">
        <v>9055</v>
      </c>
      <c r="C4595" s="16">
        <f>775/(1+B2)</f>
        <v>775</v>
      </c>
      <c r="D4595" s="17" t="s">
        <v>11</v>
      </c>
      <c r="E4595" s="17"/>
      <c r="F4595" s="18"/>
      <c r="G4595" s="36" t="str">
        <f>IF(ISNUMBER(F4595),C4595*F4595,"")</f>
        <v/>
      </c>
    </row>
    <row r="4596" spans="1:7" ht="12" customHeight="1" outlineLevel="2" x14ac:dyDescent="0.2">
      <c r="A4596" s="14" t="s">
        <v>9056</v>
      </c>
      <c r="B4596" s="15" t="s">
        <v>9057</v>
      </c>
      <c r="C4596" s="16">
        <f>952.75/(1+B2)</f>
        <v>952.75</v>
      </c>
      <c r="D4596" s="17" t="s">
        <v>11</v>
      </c>
      <c r="E4596" s="17" t="s">
        <v>11</v>
      </c>
      <c r="F4596" s="18"/>
      <c r="G4596" s="36" t="str">
        <f>IF(ISNUMBER(F4596),C4596*F4596,"")</f>
        <v/>
      </c>
    </row>
    <row r="4597" spans="1:7" ht="12" customHeight="1" outlineLevel="2" x14ac:dyDescent="0.2">
      <c r="A4597" s="14" t="s">
        <v>9058</v>
      </c>
      <c r="B4597" s="15" t="s">
        <v>9059</v>
      </c>
      <c r="C4597" s="16">
        <f>26.41/(1+B2)</f>
        <v>26.41</v>
      </c>
      <c r="D4597" s="17" t="s">
        <v>11</v>
      </c>
      <c r="E4597" s="17"/>
      <c r="F4597" s="18"/>
      <c r="G4597" s="36" t="str">
        <f>IF(ISNUMBER(F4597),C4597*F4597,"")</f>
        <v/>
      </c>
    </row>
    <row r="4598" spans="1:7" s="1" customFormat="1" ht="15.95" customHeight="1" x14ac:dyDescent="0.25">
      <c r="A4598" s="8"/>
      <c r="B4598" s="9" t="s">
        <v>9060</v>
      </c>
      <c r="C4598" s="10"/>
      <c r="D4598" s="10"/>
      <c r="E4598" s="10"/>
      <c r="F4598" s="10"/>
      <c r="G4598" s="34"/>
    </row>
    <row r="4599" spans="1:7" s="1" customFormat="1" ht="15.95" customHeight="1" outlineLevel="1" x14ac:dyDescent="0.25">
      <c r="A4599" s="11"/>
      <c r="B4599" s="12" t="s">
        <v>9061</v>
      </c>
      <c r="C4599" s="13"/>
      <c r="D4599" s="13"/>
      <c r="E4599" s="13"/>
      <c r="F4599" s="13"/>
      <c r="G4599" s="35"/>
    </row>
    <row r="4600" spans="1:7" ht="12" customHeight="1" outlineLevel="2" x14ac:dyDescent="0.2">
      <c r="A4600" s="14" t="s">
        <v>9062</v>
      </c>
      <c r="B4600" s="15" t="s">
        <v>9063</v>
      </c>
      <c r="C4600" s="16">
        <f>3.28/(1+B2)</f>
        <v>3.28</v>
      </c>
      <c r="D4600" s="17" t="s">
        <v>106</v>
      </c>
      <c r="E4600" s="17" t="s">
        <v>106</v>
      </c>
      <c r="F4600" s="18"/>
      <c r="G4600" s="36" t="str">
        <f>IF(ISNUMBER(F4600),C4600*F4600,"")</f>
        <v/>
      </c>
    </row>
    <row r="4601" spans="1:7" ht="12" customHeight="1" outlineLevel="2" x14ac:dyDescent="0.2">
      <c r="A4601" s="14" t="s">
        <v>9064</v>
      </c>
      <c r="B4601" s="15" t="s">
        <v>9065</v>
      </c>
      <c r="C4601" s="16">
        <f>23.84/(1+B2)</f>
        <v>23.84</v>
      </c>
      <c r="D4601" s="17" t="s">
        <v>53</v>
      </c>
      <c r="E4601" s="17"/>
      <c r="F4601" s="18"/>
      <c r="G4601" s="36" t="str">
        <f>IF(ISNUMBER(F4601),C4601*F4601,"")</f>
        <v/>
      </c>
    </row>
    <row r="4602" spans="1:7" ht="12" customHeight="1" outlineLevel="2" x14ac:dyDescent="0.2">
      <c r="A4602" s="14" t="s">
        <v>9066</v>
      </c>
      <c r="B4602" s="15" t="s">
        <v>9067</v>
      </c>
      <c r="C4602" s="16">
        <f>2.38/(1+B2)</f>
        <v>2.38</v>
      </c>
      <c r="D4602" s="17" t="s">
        <v>106</v>
      </c>
      <c r="E4602" s="17"/>
      <c r="F4602" s="18"/>
      <c r="G4602" s="36" t="str">
        <f>IF(ISNUMBER(F4602),C4602*F4602,"")</f>
        <v/>
      </c>
    </row>
    <row r="4603" spans="1:7" ht="12" customHeight="1" outlineLevel="2" x14ac:dyDescent="0.2">
      <c r="A4603" s="14" t="s">
        <v>9068</v>
      </c>
      <c r="B4603" s="15" t="s">
        <v>9069</v>
      </c>
      <c r="C4603" s="16">
        <f>4.07/(1+B2)</f>
        <v>4.07</v>
      </c>
      <c r="D4603" s="17" t="s">
        <v>106</v>
      </c>
      <c r="E4603" s="17"/>
      <c r="F4603" s="18"/>
      <c r="G4603" s="36" t="str">
        <f>IF(ISNUMBER(F4603),C4603*F4603,"")</f>
        <v/>
      </c>
    </row>
    <row r="4604" spans="1:7" ht="12" customHeight="1" outlineLevel="2" x14ac:dyDescent="0.2">
      <c r="A4604" s="14" t="s">
        <v>9070</v>
      </c>
      <c r="B4604" s="15" t="s">
        <v>9071</v>
      </c>
      <c r="C4604" s="16">
        <f>10.48/(1+B2)</f>
        <v>10.48</v>
      </c>
      <c r="D4604" s="17" t="s">
        <v>106</v>
      </c>
      <c r="E4604" s="17"/>
      <c r="F4604" s="18"/>
      <c r="G4604" s="36" t="str">
        <f>IF(ISNUMBER(F4604),C4604*F4604,"")</f>
        <v/>
      </c>
    </row>
    <row r="4605" spans="1:7" ht="12" customHeight="1" outlineLevel="2" x14ac:dyDescent="0.2">
      <c r="A4605" s="14" t="s">
        <v>9072</v>
      </c>
      <c r="B4605" s="15" t="s">
        <v>9073</v>
      </c>
      <c r="C4605" s="16">
        <f>20.12/(1+B2)</f>
        <v>20.12</v>
      </c>
      <c r="D4605" s="17" t="s">
        <v>53</v>
      </c>
      <c r="E4605" s="17" t="s">
        <v>106</v>
      </c>
      <c r="F4605" s="18"/>
      <c r="G4605" s="36" t="str">
        <f>IF(ISNUMBER(F4605),C4605*F4605,"")</f>
        <v/>
      </c>
    </row>
    <row r="4606" spans="1:7" ht="12" customHeight="1" outlineLevel="2" x14ac:dyDescent="0.2">
      <c r="A4606" s="14" t="s">
        <v>9074</v>
      </c>
      <c r="B4606" s="15" t="s">
        <v>9075</v>
      </c>
      <c r="C4606" s="16">
        <f>25/(1+B2)</f>
        <v>25</v>
      </c>
      <c r="D4606" s="17" t="s">
        <v>11</v>
      </c>
      <c r="E4606" s="17"/>
      <c r="F4606" s="18"/>
      <c r="G4606" s="36" t="str">
        <f>IF(ISNUMBER(F4606),C4606*F4606,"")</f>
        <v/>
      </c>
    </row>
    <row r="4607" spans="1:7" ht="12" customHeight="1" outlineLevel="2" x14ac:dyDescent="0.2">
      <c r="A4607" s="14" t="s">
        <v>9076</v>
      </c>
      <c r="B4607" s="15" t="s">
        <v>9077</v>
      </c>
      <c r="C4607" s="16">
        <f>18.9/(1+B2)</f>
        <v>18.899999999999999</v>
      </c>
      <c r="D4607" s="17" t="s">
        <v>53</v>
      </c>
      <c r="E4607" s="17"/>
      <c r="F4607" s="18"/>
      <c r="G4607" s="36" t="str">
        <f>IF(ISNUMBER(F4607),C4607*F4607,"")</f>
        <v/>
      </c>
    </row>
    <row r="4608" spans="1:7" ht="12" customHeight="1" outlineLevel="2" x14ac:dyDescent="0.2">
      <c r="A4608" s="14" t="s">
        <v>9078</v>
      </c>
      <c r="B4608" s="15" t="s">
        <v>9079</v>
      </c>
      <c r="C4608" s="16">
        <f>21.43/(1+B2)</f>
        <v>21.43</v>
      </c>
      <c r="D4608" s="17" t="s">
        <v>11</v>
      </c>
      <c r="E4608" s="17"/>
      <c r="F4608" s="18"/>
      <c r="G4608" s="36" t="str">
        <f>IF(ISNUMBER(F4608),C4608*F4608,"")</f>
        <v/>
      </c>
    </row>
    <row r="4609" spans="1:7" ht="12" customHeight="1" outlineLevel="2" x14ac:dyDescent="0.2">
      <c r="A4609" s="14" t="s">
        <v>9080</v>
      </c>
      <c r="B4609" s="15" t="s">
        <v>9081</v>
      </c>
      <c r="C4609" s="16">
        <f>18.06/(1+B2)</f>
        <v>18.059999999999999</v>
      </c>
      <c r="D4609" s="17" t="s">
        <v>11</v>
      </c>
      <c r="E4609" s="17"/>
      <c r="F4609" s="18"/>
      <c r="G4609" s="36" t="str">
        <f>IF(ISNUMBER(F4609),C4609*F4609,"")</f>
        <v/>
      </c>
    </row>
    <row r="4610" spans="1:7" ht="12" customHeight="1" outlineLevel="2" x14ac:dyDescent="0.2">
      <c r="A4610" s="14" t="s">
        <v>9082</v>
      </c>
      <c r="B4610" s="15" t="s">
        <v>9083</v>
      </c>
      <c r="C4610" s="16">
        <f>10.23/(1+B2)</f>
        <v>10.23</v>
      </c>
      <c r="D4610" s="17" t="s">
        <v>11</v>
      </c>
      <c r="E4610" s="17"/>
      <c r="F4610" s="18"/>
      <c r="G4610" s="36" t="str">
        <f>IF(ISNUMBER(F4610),C4610*F4610,"")</f>
        <v/>
      </c>
    </row>
    <row r="4611" spans="1:7" ht="12" customHeight="1" outlineLevel="2" x14ac:dyDescent="0.2">
      <c r="A4611" s="14" t="s">
        <v>9084</v>
      </c>
      <c r="B4611" s="15" t="s">
        <v>9085</v>
      </c>
      <c r="C4611" s="16">
        <f>2.07/(1+B2)</f>
        <v>2.0699999999999998</v>
      </c>
      <c r="D4611" s="17" t="s">
        <v>11</v>
      </c>
      <c r="E4611" s="17"/>
      <c r="F4611" s="18"/>
      <c r="G4611" s="36" t="str">
        <f>IF(ISNUMBER(F4611),C4611*F4611,"")</f>
        <v/>
      </c>
    </row>
    <row r="4612" spans="1:7" ht="12" customHeight="1" outlineLevel="2" x14ac:dyDescent="0.2">
      <c r="A4612" s="14" t="s">
        <v>9086</v>
      </c>
      <c r="B4612" s="15" t="s">
        <v>9087</v>
      </c>
      <c r="C4612" s="16">
        <f>1.97/(1+B2)</f>
        <v>1.97</v>
      </c>
      <c r="D4612" s="17" t="s">
        <v>11</v>
      </c>
      <c r="E4612" s="17"/>
      <c r="F4612" s="18"/>
      <c r="G4612" s="36" t="str">
        <f>IF(ISNUMBER(F4612),C4612*F4612,"")</f>
        <v/>
      </c>
    </row>
    <row r="4613" spans="1:7" ht="12" customHeight="1" outlineLevel="2" x14ac:dyDescent="0.2">
      <c r="A4613" s="14" t="s">
        <v>9088</v>
      </c>
      <c r="B4613" s="15" t="s">
        <v>9089</v>
      </c>
      <c r="C4613" s="16">
        <f>3/(1+B2)</f>
        <v>3</v>
      </c>
      <c r="D4613" s="17" t="s">
        <v>11</v>
      </c>
      <c r="E4613" s="17"/>
      <c r="F4613" s="18"/>
      <c r="G4613" s="36" t="str">
        <f>IF(ISNUMBER(F4613),C4613*F4613,"")</f>
        <v/>
      </c>
    </row>
    <row r="4614" spans="1:7" ht="12" customHeight="1" outlineLevel="2" x14ac:dyDescent="0.2">
      <c r="A4614" s="14" t="s">
        <v>9090</v>
      </c>
      <c r="B4614" s="15" t="s">
        <v>9091</v>
      </c>
      <c r="C4614" s="16">
        <f>265.82/(1+B2)</f>
        <v>265.82</v>
      </c>
      <c r="D4614" s="17" t="s">
        <v>11</v>
      </c>
      <c r="E4614" s="17" t="s">
        <v>106</v>
      </c>
      <c r="F4614" s="18"/>
      <c r="G4614" s="36" t="str">
        <f>IF(ISNUMBER(F4614),C4614*F4614,"")</f>
        <v/>
      </c>
    </row>
    <row r="4615" spans="1:7" ht="12" customHeight="1" outlineLevel="2" x14ac:dyDescent="0.2">
      <c r="A4615" s="14" t="s">
        <v>9092</v>
      </c>
      <c r="B4615" s="15" t="s">
        <v>9093</v>
      </c>
      <c r="C4615" s="16">
        <f>1.49/(1+B2)</f>
        <v>1.49</v>
      </c>
      <c r="D4615" s="17" t="s">
        <v>106</v>
      </c>
      <c r="E4615" s="17" t="s">
        <v>106</v>
      </c>
      <c r="F4615" s="18"/>
      <c r="G4615" s="36" t="str">
        <f>IF(ISNUMBER(F4615),C4615*F4615,"")</f>
        <v/>
      </c>
    </row>
    <row r="4616" spans="1:7" ht="12" customHeight="1" outlineLevel="2" x14ac:dyDescent="0.2">
      <c r="A4616" s="14" t="s">
        <v>9094</v>
      </c>
      <c r="B4616" s="15" t="s">
        <v>9095</v>
      </c>
      <c r="C4616" s="16">
        <f>311.97/(1+B2)</f>
        <v>311.97000000000003</v>
      </c>
      <c r="D4616" s="17" t="s">
        <v>11</v>
      </c>
      <c r="E4616" s="17" t="s">
        <v>14</v>
      </c>
      <c r="F4616" s="18"/>
      <c r="G4616" s="36" t="str">
        <f>IF(ISNUMBER(F4616),C4616*F4616,"")</f>
        <v/>
      </c>
    </row>
    <row r="4617" spans="1:7" ht="12" customHeight="1" outlineLevel="2" x14ac:dyDescent="0.2">
      <c r="A4617" s="14" t="s">
        <v>9096</v>
      </c>
      <c r="B4617" s="15" t="s">
        <v>9097</v>
      </c>
      <c r="C4617" s="16">
        <f>1.1/(1+B2)</f>
        <v>1.1000000000000001</v>
      </c>
      <c r="D4617" s="17" t="s">
        <v>106</v>
      </c>
      <c r="E4617" s="17" t="s">
        <v>106</v>
      </c>
      <c r="F4617" s="18"/>
      <c r="G4617" s="36" t="str">
        <f>IF(ISNUMBER(F4617),C4617*F4617,"")</f>
        <v/>
      </c>
    </row>
    <row r="4618" spans="1:7" ht="12" customHeight="1" outlineLevel="2" x14ac:dyDescent="0.2">
      <c r="A4618" s="14" t="s">
        <v>9098</v>
      </c>
      <c r="B4618" s="15" t="s">
        <v>9099</v>
      </c>
      <c r="C4618" s="16">
        <f>220.33/(1+B2)</f>
        <v>220.33</v>
      </c>
      <c r="D4618" s="17" t="s">
        <v>11</v>
      </c>
      <c r="E4618" s="17"/>
      <c r="F4618" s="18"/>
      <c r="G4618" s="36" t="str">
        <f>IF(ISNUMBER(F4618),C4618*F4618,"")</f>
        <v/>
      </c>
    </row>
    <row r="4619" spans="1:7" ht="12" customHeight="1" outlineLevel="2" x14ac:dyDescent="0.2">
      <c r="A4619" s="14" t="s">
        <v>9100</v>
      </c>
      <c r="B4619" s="15" t="s">
        <v>9101</v>
      </c>
      <c r="C4619" s="16">
        <f>1.5/(1+B2)</f>
        <v>1.5</v>
      </c>
      <c r="D4619" s="17" t="s">
        <v>106</v>
      </c>
      <c r="E4619" s="17" t="s">
        <v>106</v>
      </c>
      <c r="F4619" s="18"/>
      <c r="G4619" s="36" t="str">
        <f>IF(ISNUMBER(F4619),C4619*F4619,"")</f>
        <v/>
      </c>
    </row>
    <row r="4620" spans="1:7" ht="12" customHeight="1" outlineLevel="2" x14ac:dyDescent="0.2">
      <c r="A4620" s="14" t="s">
        <v>9102</v>
      </c>
      <c r="B4620" s="15" t="s">
        <v>9103</v>
      </c>
      <c r="C4620" s="16">
        <f>254.83/(1+B2)</f>
        <v>254.83</v>
      </c>
      <c r="D4620" s="17" t="s">
        <v>11</v>
      </c>
      <c r="E4620" s="17" t="s">
        <v>106</v>
      </c>
      <c r="F4620" s="18"/>
      <c r="G4620" s="36" t="str">
        <f>IF(ISNUMBER(F4620),C4620*F4620,"")</f>
        <v/>
      </c>
    </row>
    <row r="4621" spans="1:7" ht="12" customHeight="1" outlineLevel="2" x14ac:dyDescent="0.2">
      <c r="A4621" s="14" t="s">
        <v>9104</v>
      </c>
      <c r="B4621" s="15" t="s">
        <v>9105</v>
      </c>
      <c r="C4621" s="16">
        <f>1/(1+B2)</f>
        <v>1</v>
      </c>
      <c r="D4621" s="17" t="s">
        <v>106</v>
      </c>
      <c r="E4621" s="17" t="s">
        <v>106</v>
      </c>
      <c r="F4621" s="18"/>
      <c r="G4621" s="36" t="str">
        <f>IF(ISNUMBER(F4621),C4621*F4621,"")</f>
        <v/>
      </c>
    </row>
    <row r="4622" spans="1:7" ht="12" customHeight="1" outlineLevel="2" x14ac:dyDescent="0.2">
      <c r="A4622" s="14" t="s">
        <v>9106</v>
      </c>
      <c r="B4622" s="15" t="s">
        <v>9107</v>
      </c>
      <c r="C4622" s="16">
        <f>376.45/(1+B2)</f>
        <v>376.45</v>
      </c>
      <c r="D4622" s="17" t="s">
        <v>11</v>
      </c>
      <c r="E4622" s="17" t="s">
        <v>106</v>
      </c>
      <c r="F4622" s="18"/>
      <c r="G4622" s="36" t="str">
        <f>IF(ISNUMBER(F4622),C4622*F4622,"")</f>
        <v/>
      </c>
    </row>
    <row r="4623" spans="1:7" ht="12" customHeight="1" outlineLevel="2" x14ac:dyDescent="0.2">
      <c r="A4623" s="14" t="s">
        <v>9108</v>
      </c>
      <c r="B4623" s="15" t="s">
        <v>9109</v>
      </c>
      <c r="C4623" s="16">
        <f>1.37/(1+B2)</f>
        <v>1.37</v>
      </c>
      <c r="D4623" s="17" t="s">
        <v>106</v>
      </c>
      <c r="E4623" s="17" t="s">
        <v>106</v>
      </c>
      <c r="F4623" s="18"/>
      <c r="G4623" s="36" t="str">
        <f>IF(ISNUMBER(F4623),C4623*F4623,"")</f>
        <v/>
      </c>
    </row>
    <row r="4624" spans="1:7" ht="12" customHeight="1" outlineLevel="2" x14ac:dyDescent="0.2">
      <c r="A4624" s="14" t="s">
        <v>9110</v>
      </c>
      <c r="B4624" s="15" t="s">
        <v>9111</v>
      </c>
      <c r="C4624" s="16">
        <f>220.33/(1+B2)</f>
        <v>220.33</v>
      </c>
      <c r="D4624" s="17" t="s">
        <v>11</v>
      </c>
      <c r="E4624" s="17" t="s">
        <v>53</v>
      </c>
      <c r="F4624" s="18"/>
      <c r="G4624" s="36" t="str">
        <f>IF(ISNUMBER(F4624),C4624*F4624,"")</f>
        <v/>
      </c>
    </row>
    <row r="4625" spans="1:7" ht="12" customHeight="1" outlineLevel="2" x14ac:dyDescent="0.2">
      <c r="A4625" s="14" t="s">
        <v>9112</v>
      </c>
      <c r="B4625" s="15" t="s">
        <v>9113</v>
      </c>
      <c r="C4625" s="16">
        <f>4.23/(1+B2)</f>
        <v>4.2300000000000004</v>
      </c>
      <c r="D4625" s="17" t="s">
        <v>106</v>
      </c>
      <c r="E4625" s="17" t="s">
        <v>106</v>
      </c>
      <c r="F4625" s="18"/>
      <c r="G4625" s="36" t="str">
        <f>IF(ISNUMBER(F4625),C4625*F4625,"")</f>
        <v/>
      </c>
    </row>
    <row r="4626" spans="1:7" ht="12" customHeight="1" outlineLevel="2" x14ac:dyDescent="0.2">
      <c r="A4626" s="14" t="s">
        <v>9114</v>
      </c>
      <c r="B4626" s="15" t="s">
        <v>9115</v>
      </c>
      <c r="C4626" s="16">
        <f>7.94/(1+B2)</f>
        <v>7.94</v>
      </c>
      <c r="D4626" s="17" t="s">
        <v>11</v>
      </c>
      <c r="E4626" s="17"/>
      <c r="F4626" s="18"/>
      <c r="G4626" s="36" t="str">
        <f>IF(ISNUMBER(F4626),C4626*F4626,"")</f>
        <v/>
      </c>
    </row>
    <row r="4627" spans="1:7" ht="12" customHeight="1" outlineLevel="2" x14ac:dyDescent="0.2">
      <c r="A4627" s="14" t="s">
        <v>9116</v>
      </c>
      <c r="B4627" s="15" t="s">
        <v>9117</v>
      </c>
      <c r="C4627" s="16">
        <f>10.05/(1+B2)</f>
        <v>10.050000000000001</v>
      </c>
      <c r="D4627" s="17" t="s">
        <v>53</v>
      </c>
      <c r="E4627" s="17"/>
      <c r="F4627" s="18"/>
      <c r="G4627" s="36" t="str">
        <f>IF(ISNUMBER(F4627),C4627*F4627,"")</f>
        <v/>
      </c>
    </row>
    <row r="4628" spans="1:7" ht="12" customHeight="1" outlineLevel="2" x14ac:dyDescent="0.2">
      <c r="A4628" s="14" t="s">
        <v>9118</v>
      </c>
      <c r="B4628" s="15" t="s">
        <v>9119</v>
      </c>
      <c r="C4628" s="16">
        <f>11.59/(1+B2)</f>
        <v>11.59</v>
      </c>
      <c r="D4628" s="17" t="s">
        <v>106</v>
      </c>
      <c r="E4628" s="17"/>
      <c r="F4628" s="18"/>
      <c r="G4628" s="36" t="str">
        <f>IF(ISNUMBER(F4628),C4628*F4628,"")</f>
        <v/>
      </c>
    </row>
    <row r="4629" spans="1:7" ht="12" customHeight="1" outlineLevel="2" x14ac:dyDescent="0.2">
      <c r="A4629" s="14" t="s">
        <v>9120</v>
      </c>
      <c r="B4629" s="15" t="s">
        <v>9121</v>
      </c>
      <c r="C4629" s="16">
        <f>2.81/(1+B2)</f>
        <v>2.81</v>
      </c>
      <c r="D4629" s="17" t="s">
        <v>11</v>
      </c>
      <c r="E4629" s="17"/>
      <c r="F4629" s="18"/>
      <c r="G4629" s="36" t="str">
        <f>IF(ISNUMBER(F4629),C4629*F4629,"")</f>
        <v/>
      </c>
    </row>
    <row r="4630" spans="1:7" ht="12" customHeight="1" outlineLevel="2" x14ac:dyDescent="0.2">
      <c r="A4630" s="14" t="s">
        <v>9122</v>
      </c>
      <c r="B4630" s="15" t="s">
        <v>9123</v>
      </c>
      <c r="C4630" s="16">
        <f>300.27/(1+B2)</f>
        <v>300.27</v>
      </c>
      <c r="D4630" s="17" t="s">
        <v>11</v>
      </c>
      <c r="E4630" s="17"/>
      <c r="F4630" s="18"/>
      <c r="G4630" s="36" t="str">
        <f>IF(ISNUMBER(F4630),C4630*F4630,"")</f>
        <v/>
      </c>
    </row>
    <row r="4631" spans="1:7" ht="12" customHeight="1" outlineLevel="2" x14ac:dyDescent="0.2">
      <c r="A4631" s="14" t="s">
        <v>9124</v>
      </c>
      <c r="B4631" s="15" t="s">
        <v>9125</v>
      </c>
      <c r="C4631" s="16">
        <f>2.1/(1+B2)</f>
        <v>2.1</v>
      </c>
      <c r="D4631" s="17" t="s">
        <v>106</v>
      </c>
      <c r="E4631" s="17"/>
      <c r="F4631" s="18"/>
      <c r="G4631" s="36" t="str">
        <f>IF(ISNUMBER(F4631),C4631*F4631,"")</f>
        <v/>
      </c>
    </row>
    <row r="4632" spans="1:7" ht="12" customHeight="1" outlineLevel="2" x14ac:dyDescent="0.2">
      <c r="A4632" s="14" t="s">
        <v>9126</v>
      </c>
      <c r="B4632" s="15" t="s">
        <v>9127</v>
      </c>
      <c r="C4632" s="16">
        <f>40.96/(1+B2)</f>
        <v>40.96</v>
      </c>
      <c r="D4632" s="17" t="s">
        <v>11</v>
      </c>
      <c r="E4632" s="17" t="s">
        <v>11</v>
      </c>
      <c r="F4632" s="18"/>
      <c r="G4632" s="36" t="str">
        <f>IF(ISNUMBER(F4632),C4632*F4632,"")</f>
        <v/>
      </c>
    </row>
    <row r="4633" spans="1:7" s="1" customFormat="1" ht="15.95" customHeight="1" outlineLevel="1" x14ac:dyDescent="0.25">
      <c r="A4633" s="11"/>
      <c r="B4633" s="12" t="s">
        <v>9128</v>
      </c>
      <c r="C4633" s="13"/>
      <c r="D4633" s="13"/>
      <c r="E4633" s="13"/>
      <c r="F4633" s="13"/>
      <c r="G4633" s="35"/>
    </row>
    <row r="4634" spans="1:7" ht="12" customHeight="1" outlineLevel="2" x14ac:dyDescent="0.2">
      <c r="A4634" s="14" t="s">
        <v>9129</v>
      </c>
      <c r="B4634" s="15" t="s">
        <v>9130</v>
      </c>
      <c r="C4634" s="16">
        <f>89.4/(1+B2)</f>
        <v>89.4</v>
      </c>
      <c r="D4634" s="17" t="s">
        <v>11</v>
      </c>
      <c r="E4634" s="17"/>
      <c r="F4634" s="18"/>
      <c r="G4634" s="36" t="str">
        <f>IF(ISNUMBER(F4634),C4634*F4634,"")</f>
        <v/>
      </c>
    </row>
    <row r="4635" spans="1:7" ht="12" customHeight="1" outlineLevel="2" x14ac:dyDescent="0.2">
      <c r="A4635" s="14" t="s">
        <v>9131</v>
      </c>
      <c r="B4635" s="15" t="s">
        <v>9132</v>
      </c>
      <c r="C4635" s="16">
        <f>96.53/(1+B2)</f>
        <v>96.53</v>
      </c>
      <c r="D4635" s="17" t="s">
        <v>53</v>
      </c>
      <c r="E4635" s="17"/>
      <c r="F4635" s="18"/>
      <c r="G4635" s="36" t="str">
        <f>IF(ISNUMBER(F4635),C4635*F4635,"")</f>
        <v/>
      </c>
    </row>
    <row r="4636" spans="1:7" ht="12" customHeight="1" outlineLevel="2" x14ac:dyDescent="0.2">
      <c r="A4636" s="14" t="s">
        <v>9133</v>
      </c>
      <c r="B4636" s="15" t="s">
        <v>9134</v>
      </c>
      <c r="C4636" s="16">
        <f>3.6/(1+B2)</f>
        <v>3.6</v>
      </c>
      <c r="D4636" s="17" t="s">
        <v>106</v>
      </c>
      <c r="E4636" s="17"/>
      <c r="F4636" s="18"/>
      <c r="G4636" s="36" t="str">
        <f>IF(ISNUMBER(F4636),C4636*F4636,"")</f>
        <v/>
      </c>
    </row>
    <row r="4637" spans="1:7" ht="12" customHeight="1" outlineLevel="2" x14ac:dyDescent="0.2">
      <c r="A4637" s="14" t="s">
        <v>9135</v>
      </c>
      <c r="B4637" s="15" t="s">
        <v>9136</v>
      </c>
      <c r="C4637" s="16">
        <f>3.6/(1+B2)</f>
        <v>3.6</v>
      </c>
      <c r="D4637" s="17" t="s">
        <v>106</v>
      </c>
      <c r="E4637" s="17"/>
      <c r="F4637" s="18"/>
      <c r="G4637" s="36" t="str">
        <f>IF(ISNUMBER(F4637),C4637*F4637,"")</f>
        <v/>
      </c>
    </row>
    <row r="4638" spans="1:7" ht="12" customHeight="1" outlineLevel="2" x14ac:dyDescent="0.2">
      <c r="A4638" s="14" t="s">
        <v>9137</v>
      </c>
      <c r="B4638" s="15" t="s">
        <v>9138</v>
      </c>
      <c r="C4638" s="16">
        <f>1.8/(1+B2)</f>
        <v>1.8</v>
      </c>
      <c r="D4638" s="17" t="s">
        <v>106</v>
      </c>
      <c r="E4638" s="17"/>
      <c r="F4638" s="18"/>
      <c r="G4638" s="36" t="str">
        <f>IF(ISNUMBER(F4638),C4638*F4638,"")</f>
        <v/>
      </c>
    </row>
    <row r="4639" spans="1:7" ht="12" customHeight="1" outlineLevel="2" x14ac:dyDescent="0.2">
      <c r="A4639" s="14" t="s">
        <v>9139</v>
      </c>
      <c r="B4639" s="15" t="s">
        <v>9140</v>
      </c>
      <c r="C4639" s="16">
        <f>2.73/(1+B2)</f>
        <v>2.73</v>
      </c>
      <c r="D4639" s="17" t="s">
        <v>106</v>
      </c>
      <c r="E4639" s="17" t="s">
        <v>106</v>
      </c>
      <c r="F4639" s="18"/>
      <c r="G4639" s="36" t="str">
        <f>IF(ISNUMBER(F4639),C4639*F4639,"")</f>
        <v/>
      </c>
    </row>
    <row r="4640" spans="1:7" ht="12" customHeight="1" outlineLevel="2" x14ac:dyDescent="0.2">
      <c r="A4640" s="14" t="s">
        <v>9141</v>
      </c>
      <c r="B4640" s="15" t="s">
        <v>9142</v>
      </c>
      <c r="C4640" s="16">
        <f>204.82/(1+B2)</f>
        <v>204.82</v>
      </c>
      <c r="D4640" s="17" t="s">
        <v>11</v>
      </c>
      <c r="E4640" s="17" t="s">
        <v>11</v>
      </c>
      <c r="F4640" s="18"/>
      <c r="G4640" s="36" t="str">
        <f>IF(ISNUMBER(F4640),C4640*F4640,"")</f>
        <v/>
      </c>
    </row>
    <row r="4641" spans="1:7" ht="12" customHeight="1" outlineLevel="2" x14ac:dyDescent="0.2">
      <c r="A4641" s="14" t="s">
        <v>9143</v>
      </c>
      <c r="B4641" s="15" t="s">
        <v>9144</v>
      </c>
      <c r="C4641" s="16">
        <f>48.36/(1+B2)</f>
        <v>48.36</v>
      </c>
      <c r="D4641" s="17" t="s">
        <v>11</v>
      </c>
      <c r="E4641" s="17" t="s">
        <v>53</v>
      </c>
      <c r="F4641" s="18"/>
      <c r="G4641" s="36" t="str">
        <f>IF(ISNUMBER(F4641),C4641*F4641,"")</f>
        <v/>
      </c>
    </row>
    <row r="4642" spans="1:7" ht="12" customHeight="1" outlineLevel="2" x14ac:dyDescent="0.2">
      <c r="A4642" s="14" t="s">
        <v>9145</v>
      </c>
      <c r="B4642" s="15" t="s">
        <v>9146</v>
      </c>
      <c r="C4642" s="16">
        <f>5.27/(1+B2)</f>
        <v>5.27</v>
      </c>
      <c r="D4642" s="17" t="s">
        <v>11</v>
      </c>
      <c r="E4642" s="17"/>
      <c r="F4642" s="18"/>
      <c r="G4642" s="36" t="str">
        <f>IF(ISNUMBER(F4642),C4642*F4642,"")</f>
        <v/>
      </c>
    </row>
    <row r="4643" spans="1:7" ht="12" customHeight="1" outlineLevel="2" x14ac:dyDescent="0.2">
      <c r="A4643" s="14" t="s">
        <v>9147</v>
      </c>
      <c r="B4643" s="15" t="s">
        <v>9148</v>
      </c>
      <c r="C4643" s="16">
        <f>4.13/(1+B2)</f>
        <v>4.13</v>
      </c>
      <c r="D4643" s="17" t="s">
        <v>106</v>
      </c>
      <c r="E4643" s="17"/>
      <c r="F4643" s="18"/>
      <c r="G4643" s="36" t="str">
        <f>IF(ISNUMBER(F4643),C4643*F4643,"")</f>
        <v/>
      </c>
    </row>
    <row r="4644" spans="1:7" ht="12" customHeight="1" outlineLevel="2" x14ac:dyDescent="0.2">
      <c r="A4644" s="14" t="s">
        <v>9149</v>
      </c>
      <c r="B4644" s="15" t="s">
        <v>9150</v>
      </c>
      <c r="C4644" s="16">
        <f>30.23/(1+B2)</f>
        <v>30.23</v>
      </c>
      <c r="D4644" s="17" t="s">
        <v>11</v>
      </c>
      <c r="E4644" s="17"/>
      <c r="F4644" s="18"/>
      <c r="G4644" s="36" t="str">
        <f>IF(ISNUMBER(F4644),C4644*F4644,"")</f>
        <v/>
      </c>
    </row>
    <row r="4645" spans="1:7" ht="12" customHeight="1" outlineLevel="2" x14ac:dyDescent="0.2">
      <c r="A4645" s="14" t="s">
        <v>9151</v>
      </c>
      <c r="B4645" s="15" t="s">
        <v>9152</v>
      </c>
      <c r="C4645" s="16">
        <f>0.6/(1+B2)</f>
        <v>0.6</v>
      </c>
      <c r="D4645" s="17" t="s">
        <v>106</v>
      </c>
      <c r="E4645" s="17"/>
      <c r="F4645" s="18"/>
      <c r="G4645" s="36" t="str">
        <f>IF(ISNUMBER(F4645),C4645*F4645,"")</f>
        <v/>
      </c>
    </row>
    <row r="4646" spans="1:7" ht="12" customHeight="1" outlineLevel="2" x14ac:dyDescent="0.2">
      <c r="A4646" s="14" t="s">
        <v>9153</v>
      </c>
      <c r="B4646" s="15" t="s">
        <v>9154</v>
      </c>
      <c r="C4646" s="16">
        <f>3.32/(1+B2)</f>
        <v>3.32</v>
      </c>
      <c r="D4646" s="17" t="s">
        <v>106</v>
      </c>
      <c r="E4646" s="17"/>
      <c r="F4646" s="18"/>
      <c r="G4646" s="36" t="str">
        <f>IF(ISNUMBER(F4646),C4646*F4646,"")</f>
        <v/>
      </c>
    </row>
    <row r="4647" spans="1:7" ht="12" customHeight="1" outlineLevel="2" x14ac:dyDescent="0.2">
      <c r="A4647" s="14" t="s">
        <v>9155</v>
      </c>
      <c r="B4647" s="15" t="s">
        <v>9156</v>
      </c>
      <c r="C4647" s="16">
        <f>1.33/(1+B2)</f>
        <v>1.33</v>
      </c>
      <c r="D4647" s="17" t="s">
        <v>106</v>
      </c>
      <c r="E4647" s="17"/>
      <c r="F4647" s="18"/>
      <c r="G4647" s="36" t="str">
        <f>IF(ISNUMBER(F4647),C4647*F4647,"")</f>
        <v/>
      </c>
    </row>
    <row r="4648" spans="1:7" ht="12" customHeight="1" outlineLevel="2" x14ac:dyDescent="0.2">
      <c r="A4648" s="14" t="s">
        <v>9157</v>
      </c>
      <c r="B4648" s="15" t="s">
        <v>9158</v>
      </c>
      <c r="C4648" s="16">
        <f>1.86/(1+B2)</f>
        <v>1.86</v>
      </c>
      <c r="D4648" s="17" t="s">
        <v>106</v>
      </c>
      <c r="E4648" s="17"/>
      <c r="F4648" s="18"/>
      <c r="G4648" s="36" t="str">
        <f>IF(ISNUMBER(F4648),C4648*F4648,"")</f>
        <v/>
      </c>
    </row>
    <row r="4649" spans="1:7" ht="12" customHeight="1" outlineLevel="2" x14ac:dyDescent="0.2">
      <c r="A4649" s="14" t="s">
        <v>9159</v>
      </c>
      <c r="B4649" s="15" t="s">
        <v>9160</v>
      </c>
      <c r="C4649" s="16">
        <f>2.32/(1+B2)</f>
        <v>2.3199999999999998</v>
      </c>
      <c r="D4649" s="17" t="s">
        <v>106</v>
      </c>
      <c r="E4649" s="17"/>
      <c r="F4649" s="18"/>
      <c r="G4649" s="36" t="str">
        <f>IF(ISNUMBER(F4649),C4649*F4649,"")</f>
        <v/>
      </c>
    </row>
    <row r="4650" spans="1:7" ht="12" customHeight="1" outlineLevel="2" x14ac:dyDescent="0.2">
      <c r="A4650" s="14" t="s">
        <v>9161</v>
      </c>
      <c r="B4650" s="15" t="s">
        <v>9162</v>
      </c>
      <c r="C4650" s="16">
        <f>6.03/(1+B2)</f>
        <v>6.03</v>
      </c>
      <c r="D4650" s="17" t="s">
        <v>14</v>
      </c>
      <c r="E4650" s="17"/>
      <c r="F4650" s="18"/>
      <c r="G4650" s="36" t="str">
        <f>IF(ISNUMBER(F4650),C4650*F4650,"")</f>
        <v/>
      </c>
    </row>
    <row r="4651" spans="1:7" ht="12" customHeight="1" outlineLevel="2" x14ac:dyDescent="0.2">
      <c r="A4651" s="14" t="s">
        <v>9163</v>
      </c>
      <c r="B4651" s="15" t="s">
        <v>9164</v>
      </c>
      <c r="C4651" s="16">
        <f>3.07/(1+B2)</f>
        <v>3.07</v>
      </c>
      <c r="D4651" s="17" t="s">
        <v>106</v>
      </c>
      <c r="E4651" s="17"/>
      <c r="F4651" s="18"/>
      <c r="G4651" s="36" t="str">
        <f>IF(ISNUMBER(F4651),C4651*F4651,"")</f>
        <v/>
      </c>
    </row>
    <row r="4652" spans="1:7" ht="12" customHeight="1" outlineLevel="2" x14ac:dyDescent="0.2">
      <c r="A4652" s="14" t="s">
        <v>9165</v>
      </c>
      <c r="B4652" s="15" t="s">
        <v>9166</v>
      </c>
      <c r="C4652" s="16">
        <f>7.26/(1+B2)</f>
        <v>7.26</v>
      </c>
      <c r="D4652" s="17" t="s">
        <v>53</v>
      </c>
      <c r="E4652" s="17" t="s">
        <v>106</v>
      </c>
      <c r="F4652" s="18"/>
      <c r="G4652" s="36" t="str">
        <f>IF(ISNUMBER(F4652),C4652*F4652,"")</f>
        <v/>
      </c>
    </row>
    <row r="4653" spans="1:7" ht="12" customHeight="1" outlineLevel="2" x14ac:dyDescent="0.2">
      <c r="A4653" s="14" t="s">
        <v>9167</v>
      </c>
      <c r="B4653" s="15" t="s">
        <v>9168</v>
      </c>
      <c r="C4653" s="16">
        <f>5.55/(1+B2)</f>
        <v>5.55</v>
      </c>
      <c r="D4653" s="17" t="s">
        <v>106</v>
      </c>
      <c r="E4653" s="17" t="s">
        <v>106</v>
      </c>
      <c r="F4653" s="18"/>
      <c r="G4653" s="36" t="str">
        <f>IF(ISNUMBER(F4653),C4653*F4653,"")</f>
        <v/>
      </c>
    </row>
    <row r="4654" spans="1:7" ht="12" customHeight="1" outlineLevel="2" x14ac:dyDescent="0.2">
      <c r="A4654" s="14" t="s">
        <v>9169</v>
      </c>
      <c r="B4654" s="15" t="s">
        <v>9170</v>
      </c>
      <c r="C4654" s="16">
        <f>2.64/(1+B2)</f>
        <v>2.64</v>
      </c>
      <c r="D4654" s="17" t="s">
        <v>11</v>
      </c>
      <c r="E4654" s="17"/>
      <c r="F4654" s="18"/>
      <c r="G4654" s="36" t="str">
        <f>IF(ISNUMBER(F4654),C4654*F4654,"")</f>
        <v/>
      </c>
    </row>
    <row r="4655" spans="1:7" ht="12" customHeight="1" outlineLevel="2" x14ac:dyDescent="0.2">
      <c r="A4655" s="14" t="s">
        <v>9171</v>
      </c>
      <c r="B4655" s="15" t="s">
        <v>9172</v>
      </c>
      <c r="C4655" s="16">
        <f>3.87/(1+B2)</f>
        <v>3.87</v>
      </c>
      <c r="D4655" s="17" t="s">
        <v>11</v>
      </c>
      <c r="E4655" s="17"/>
      <c r="F4655" s="18"/>
      <c r="G4655" s="36" t="str">
        <f>IF(ISNUMBER(F4655),C4655*F4655,"")</f>
        <v/>
      </c>
    </row>
    <row r="4656" spans="1:7" s="1" customFormat="1" ht="15.95" customHeight="1" outlineLevel="1" x14ac:dyDescent="0.25">
      <c r="A4656" s="11"/>
      <c r="B4656" s="12" t="s">
        <v>9173</v>
      </c>
      <c r="C4656" s="13"/>
      <c r="D4656" s="13"/>
      <c r="E4656" s="13"/>
      <c r="F4656" s="13"/>
      <c r="G4656" s="35"/>
    </row>
    <row r="4657" spans="1:7" ht="12" customHeight="1" outlineLevel="2" x14ac:dyDescent="0.2">
      <c r="A4657" s="14" t="s">
        <v>9174</v>
      </c>
      <c r="B4657" s="15" t="s">
        <v>9175</v>
      </c>
      <c r="C4657" s="16">
        <f>36.84/(1+B2)</f>
        <v>36.840000000000003</v>
      </c>
      <c r="D4657" s="17" t="s">
        <v>11</v>
      </c>
      <c r="E4657" s="17"/>
      <c r="F4657" s="18"/>
      <c r="G4657" s="36" t="str">
        <f>IF(ISNUMBER(F4657),C4657*F4657,"")</f>
        <v/>
      </c>
    </row>
    <row r="4658" spans="1:7" ht="12" customHeight="1" outlineLevel="2" x14ac:dyDescent="0.2">
      <c r="A4658" s="14" t="s">
        <v>9176</v>
      </c>
      <c r="B4658" s="15" t="s">
        <v>9177</v>
      </c>
      <c r="C4658" s="16">
        <f>0.94/(1+B2)</f>
        <v>0.94</v>
      </c>
      <c r="D4658" s="17" t="s">
        <v>106</v>
      </c>
      <c r="E4658" s="17"/>
      <c r="F4658" s="18"/>
      <c r="G4658" s="36" t="str">
        <f>IF(ISNUMBER(F4658),C4658*F4658,"")</f>
        <v/>
      </c>
    </row>
    <row r="4659" spans="1:7" ht="12" customHeight="1" outlineLevel="2" x14ac:dyDescent="0.2">
      <c r="A4659" s="14" t="s">
        <v>9178</v>
      </c>
      <c r="B4659" s="15" t="s">
        <v>9179</v>
      </c>
      <c r="C4659" s="16">
        <f>1.08/(1+B2)</f>
        <v>1.08</v>
      </c>
      <c r="D4659" s="17" t="s">
        <v>106</v>
      </c>
      <c r="E4659" s="17"/>
      <c r="F4659" s="18"/>
      <c r="G4659" s="36" t="str">
        <f>IF(ISNUMBER(F4659),C4659*F4659,"")</f>
        <v/>
      </c>
    </row>
    <row r="4660" spans="1:7" ht="12" customHeight="1" outlineLevel="2" x14ac:dyDescent="0.2">
      <c r="A4660" s="14" t="s">
        <v>9180</v>
      </c>
      <c r="B4660" s="15" t="s">
        <v>9181</v>
      </c>
      <c r="C4660" s="16">
        <f>1.55/(1+B2)</f>
        <v>1.55</v>
      </c>
      <c r="D4660" s="17" t="s">
        <v>106</v>
      </c>
      <c r="E4660" s="17"/>
      <c r="F4660" s="18"/>
      <c r="G4660" s="36" t="str">
        <f>IF(ISNUMBER(F4660),C4660*F4660,"")</f>
        <v/>
      </c>
    </row>
    <row r="4661" spans="1:7" ht="12" customHeight="1" outlineLevel="2" x14ac:dyDescent="0.2">
      <c r="A4661" s="14" t="s">
        <v>9182</v>
      </c>
      <c r="B4661" s="15" t="s">
        <v>9183</v>
      </c>
      <c r="C4661" s="16">
        <f>11.82/(1+B2)</f>
        <v>11.82</v>
      </c>
      <c r="D4661" s="17" t="s">
        <v>106</v>
      </c>
      <c r="E4661" s="17"/>
      <c r="F4661" s="18"/>
      <c r="G4661" s="36" t="str">
        <f>IF(ISNUMBER(F4661),C4661*F4661,"")</f>
        <v/>
      </c>
    </row>
    <row r="4662" spans="1:7" ht="12" customHeight="1" outlineLevel="2" x14ac:dyDescent="0.2">
      <c r="A4662" s="14" t="s">
        <v>9184</v>
      </c>
      <c r="B4662" s="15" t="s">
        <v>9185</v>
      </c>
      <c r="C4662" s="16">
        <f>15.03/(1+B2)</f>
        <v>15.03</v>
      </c>
      <c r="D4662" s="17" t="s">
        <v>53</v>
      </c>
      <c r="E4662" s="17"/>
      <c r="F4662" s="18"/>
      <c r="G4662" s="36" t="str">
        <f>IF(ISNUMBER(F4662),C4662*F4662,"")</f>
        <v/>
      </c>
    </row>
    <row r="4663" spans="1:7" ht="12" customHeight="1" outlineLevel="2" x14ac:dyDescent="0.2">
      <c r="A4663" s="14" t="s">
        <v>9186</v>
      </c>
      <c r="B4663" s="15" t="s">
        <v>9187</v>
      </c>
      <c r="C4663" s="16">
        <f>8.63/(1+B2)</f>
        <v>8.6300000000000008</v>
      </c>
      <c r="D4663" s="17" t="s">
        <v>11</v>
      </c>
      <c r="E4663" s="17"/>
      <c r="F4663" s="18"/>
      <c r="G4663" s="36" t="str">
        <f>IF(ISNUMBER(F4663),C4663*F4663,"")</f>
        <v/>
      </c>
    </row>
    <row r="4664" spans="1:7" ht="12" customHeight="1" outlineLevel="2" x14ac:dyDescent="0.2">
      <c r="A4664" s="14" t="s">
        <v>9188</v>
      </c>
      <c r="B4664" s="15" t="s">
        <v>9189</v>
      </c>
      <c r="C4664" s="16">
        <f>37.36/(1+B2)</f>
        <v>37.36</v>
      </c>
      <c r="D4664" s="17" t="s">
        <v>11</v>
      </c>
      <c r="E4664" s="17"/>
      <c r="F4664" s="18"/>
      <c r="G4664" s="36" t="str">
        <f>IF(ISNUMBER(F4664),C4664*F4664,"")</f>
        <v/>
      </c>
    </row>
    <row r="4665" spans="1:7" ht="12" customHeight="1" outlineLevel="2" x14ac:dyDescent="0.2">
      <c r="A4665" s="14" t="s">
        <v>9190</v>
      </c>
      <c r="B4665" s="15" t="s">
        <v>9191</v>
      </c>
      <c r="C4665" s="16">
        <f>45.41/(1+B2)</f>
        <v>45.41</v>
      </c>
      <c r="D4665" s="17" t="s">
        <v>11</v>
      </c>
      <c r="E4665" s="17"/>
      <c r="F4665" s="18"/>
      <c r="G4665" s="36" t="str">
        <f>IF(ISNUMBER(F4665),C4665*F4665,"")</f>
        <v/>
      </c>
    </row>
    <row r="4666" spans="1:7" ht="12" customHeight="1" outlineLevel="2" x14ac:dyDescent="0.2">
      <c r="A4666" s="14" t="s">
        <v>9192</v>
      </c>
      <c r="B4666" s="15" t="s">
        <v>9193</v>
      </c>
      <c r="C4666" s="16">
        <f>0.55/(1+B2)</f>
        <v>0.55000000000000004</v>
      </c>
      <c r="D4666" s="17" t="s">
        <v>106</v>
      </c>
      <c r="E4666" s="17"/>
      <c r="F4666" s="18"/>
      <c r="G4666" s="36" t="str">
        <f>IF(ISNUMBER(F4666),C4666*F4666,"")</f>
        <v/>
      </c>
    </row>
    <row r="4667" spans="1:7" ht="12" customHeight="1" outlineLevel="2" x14ac:dyDescent="0.2">
      <c r="A4667" s="14" t="s">
        <v>9194</v>
      </c>
      <c r="B4667" s="15" t="s">
        <v>9195</v>
      </c>
      <c r="C4667" s="16">
        <f>5.2/(1+B2)</f>
        <v>5.2</v>
      </c>
      <c r="D4667" s="17" t="s">
        <v>106</v>
      </c>
      <c r="E4667" s="17"/>
      <c r="F4667" s="18"/>
      <c r="G4667" s="36" t="str">
        <f>IF(ISNUMBER(F4667),C4667*F4667,"")</f>
        <v/>
      </c>
    </row>
    <row r="4668" spans="1:7" ht="12" customHeight="1" outlineLevel="2" x14ac:dyDescent="0.2">
      <c r="A4668" s="14" t="s">
        <v>9196</v>
      </c>
      <c r="B4668" s="15" t="s">
        <v>9197</v>
      </c>
      <c r="C4668" s="16">
        <f>36.84/(1+B2)</f>
        <v>36.840000000000003</v>
      </c>
      <c r="D4668" s="17" t="s">
        <v>53</v>
      </c>
      <c r="E4668" s="17"/>
      <c r="F4668" s="18"/>
      <c r="G4668" s="36" t="str">
        <f>IF(ISNUMBER(F4668),C4668*F4668,"")</f>
        <v/>
      </c>
    </row>
    <row r="4669" spans="1:7" ht="12" customHeight="1" outlineLevel="2" x14ac:dyDescent="0.2">
      <c r="A4669" s="14" t="s">
        <v>9198</v>
      </c>
      <c r="B4669" s="15" t="s">
        <v>9199</v>
      </c>
      <c r="C4669" s="16">
        <f>2.53/(1+B2)</f>
        <v>2.5299999999999998</v>
      </c>
      <c r="D4669" s="17" t="s">
        <v>106</v>
      </c>
      <c r="E4669" s="17" t="s">
        <v>106</v>
      </c>
      <c r="F4669" s="18"/>
      <c r="G4669" s="36" t="str">
        <f>IF(ISNUMBER(F4669),C4669*F4669,"")</f>
        <v/>
      </c>
    </row>
    <row r="4670" spans="1:7" ht="12" customHeight="1" outlineLevel="2" x14ac:dyDescent="0.2">
      <c r="A4670" s="14" t="s">
        <v>9200</v>
      </c>
      <c r="B4670" s="15" t="s">
        <v>9201</v>
      </c>
      <c r="C4670" s="16">
        <f>3.02/(1+B2)</f>
        <v>3.02</v>
      </c>
      <c r="D4670" s="17" t="s">
        <v>106</v>
      </c>
      <c r="E4670" s="17"/>
      <c r="F4670" s="18"/>
      <c r="G4670" s="36" t="str">
        <f>IF(ISNUMBER(F4670),C4670*F4670,"")</f>
        <v/>
      </c>
    </row>
    <row r="4671" spans="1:7" ht="12" customHeight="1" outlineLevel="2" x14ac:dyDescent="0.2">
      <c r="A4671" s="14" t="s">
        <v>9202</v>
      </c>
      <c r="B4671" s="15" t="s">
        <v>9203</v>
      </c>
      <c r="C4671" s="16">
        <f>4.1/(1+B2)</f>
        <v>4.0999999999999996</v>
      </c>
      <c r="D4671" s="17" t="s">
        <v>11</v>
      </c>
      <c r="E4671" s="17"/>
      <c r="F4671" s="18"/>
      <c r="G4671" s="36" t="str">
        <f>IF(ISNUMBER(F4671),C4671*F4671,"")</f>
        <v/>
      </c>
    </row>
    <row r="4672" spans="1:7" ht="12" customHeight="1" outlineLevel="2" x14ac:dyDescent="0.2">
      <c r="A4672" s="14" t="s">
        <v>9204</v>
      </c>
      <c r="B4672" s="15" t="s">
        <v>9205</v>
      </c>
      <c r="C4672" s="16">
        <f>8.06/(1+B2)</f>
        <v>8.06</v>
      </c>
      <c r="D4672" s="17" t="s">
        <v>106</v>
      </c>
      <c r="E4672" s="17"/>
      <c r="F4672" s="18"/>
      <c r="G4672" s="36" t="str">
        <f>IF(ISNUMBER(F4672),C4672*F4672,"")</f>
        <v/>
      </c>
    </row>
    <row r="4673" spans="1:7" ht="12" customHeight="1" outlineLevel="2" x14ac:dyDescent="0.2">
      <c r="A4673" s="14" t="s">
        <v>9206</v>
      </c>
      <c r="B4673" s="15" t="s">
        <v>9207</v>
      </c>
      <c r="C4673" s="16">
        <f>13.19/(1+B2)</f>
        <v>13.19</v>
      </c>
      <c r="D4673" s="17" t="s">
        <v>106</v>
      </c>
      <c r="E4673" s="17"/>
      <c r="F4673" s="18"/>
      <c r="G4673" s="36" t="str">
        <f>IF(ISNUMBER(F4673),C4673*F4673,"")</f>
        <v/>
      </c>
    </row>
    <row r="4674" spans="1:7" ht="12" customHeight="1" outlineLevel="2" x14ac:dyDescent="0.2">
      <c r="A4674" s="14" t="s">
        <v>9208</v>
      </c>
      <c r="B4674" s="15" t="s">
        <v>9209</v>
      </c>
      <c r="C4674" s="16">
        <f>1.58/(1+B2)</f>
        <v>1.58</v>
      </c>
      <c r="D4674" s="17" t="s">
        <v>106</v>
      </c>
      <c r="E4674" s="17" t="s">
        <v>106</v>
      </c>
      <c r="F4674" s="18"/>
      <c r="G4674" s="36" t="str">
        <f>IF(ISNUMBER(F4674),C4674*F4674,"")</f>
        <v/>
      </c>
    </row>
    <row r="4675" spans="1:7" ht="12" customHeight="1" outlineLevel="2" x14ac:dyDescent="0.2">
      <c r="A4675" s="14" t="s">
        <v>9210</v>
      </c>
      <c r="B4675" s="15" t="s">
        <v>9211</v>
      </c>
      <c r="C4675" s="16">
        <f>0.35/(1+B2)</f>
        <v>0.35</v>
      </c>
      <c r="D4675" s="17" t="s">
        <v>106</v>
      </c>
      <c r="E4675" s="17"/>
      <c r="F4675" s="18"/>
      <c r="G4675" s="36" t="str">
        <f>IF(ISNUMBER(F4675),C4675*F4675,"")</f>
        <v/>
      </c>
    </row>
    <row r="4676" spans="1:7" ht="12" customHeight="1" outlineLevel="2" x14ac:dyDescent="0.2">
      <c r="A4676" s="14" t="s">
        <v>9212</v>
      </c>
      <c r="B4676" s="15" t="s">
        <v>9213</v>
      </c>
      <c r="C4676" s="16">
        <f>62.87/(1+B2)</f>
        <v>62.87</v>
      </c>
      <c r="D4676" s="17" t="s">
        <v>53</v>
      </c>
      <c r="E4676" s="17"/>
      <c r="F4676" s="18"/>
      <c r="G4676" s="36" t="str">
        <f>IF(ISNUMBER(F4676),C4676*F4676,"")</f>
        <v/>
      </c>
    </row>
    <row r="4677" spans="1:7" ht="12" customHeight="1" outlineLevel="2" x14ac:dyDescent="0.2">
      <c r="A4677" s="14" t="s">
        <v>9214</v>
      </c>
      <c r="B4677" s="15" t="s">
        <v>9215</v>
      </c>
      <c r="C4677" s="16">
        <f>0.76/(1+B2)</f>
        <v>0.76</v>
      </c>
      <c r="D4677" s="17" t="s">
        <v>106</v>
      </c>
      <c r="E4677" s="17"/>
      <c r="F4677" s="18"/>
      <c r="G4677" s="36" t="str">
        <f>IF(ISNUMBER(F4677),C4677*F4677,"")</f>
        <v/>
      </c>
    </row>
    <row r="4678" spans="1:7" ht="12" customHeight="1" outlineLevel="2" x14ac:dyDescent="0.2">
      <c r="A4678" s="14" t="s">
        <v>9216</v>
      </c>
      <c r="B4678" s="15" t="s">
        <v>9217</v>
      </c>
      <c r="C4678" s="16">
        <f>8.75/(1+B2)</f>
        <v>8.75</v>
      </c>
      <c r="D4678" s="17" t="s">
        <v>53</v>
      </c>
      <c r="E4678" s="17"/>
      <c r="F4678" s="18"/>
      <c r="G4678" s="36" t="str">
        <f>IF(ISNUMBER(F4678),C4678*F4678,"")</f>
        <v/>
      </c>
    </row>
    <row r="4679" spans="1:7" ht="12" customHeight="1" outlineLevel="2" x14ac:dyDescent="0.2">
      <c r="A4679" s="14" t="s">
        <v>9218</v>
      </c>
      <c r="B4679" s="15" t="s">
        <v>9219</v>
      </c>
      <c r="C4679" s="16">
        <f>17.94/(1+B2)</f>
        <v>17.940000000000001</v>
      </c>
      <c r="D4679" s="17" t="s">
        <v>11</v>
      </c>
      <c r="E4679" s="17"/>
      <c r="F4679" s="18"/>
      <c r="G4679" s="36" t="str">
        <f>IF(ISNUMBER(F4679),C4679*F4679,"")</f>
        <v/>
      </c>
    </row>
    <row r="4680" spans="1:7" ht="12" customHeight="1" outlineLevel="2" x14ac:dyDescent="0.2">
      <c r="A4680" s="14" t="s">
        <v>9220</v>
      </c>
      <c r="B4680" s="15" t="s">
        <v>9221</v>
      </c>
      <c r="C4680" s="16">
        <f>15.33/(1+B2)</f>
        <v>15.33</v>
      </c>
      <c r="D4680" s="17" t="s">
        <v>11</v>
      </c>
      <c r="E4680" s="17"/>
      <c r="F4680" s="18"/>
      <c r="G4680" s="36" t="str">
        <f>IF(ISNUMBER(F4680),C4680*F4680,"")</f>
        <v/>
      </c>
    </row>
    <row r="4681" spans="1:7" ht="12" customHeight="1" outlineLevel="2" x14ac:dyDescent="0.2">
      <c r="A4681" s="14" t="s">
        <v>9222</v>
      </c>
      <c r="B4681" s="15" t="s">
        <v>9223</v>
      </c>
      <c r="C4681" s="16">
        <f>20/(1+B2)</f>
        <v>20</v>
      </c>
      <c r="D4681" s="17" t="s">
        <v>11</v>
      </c>
      <c r="E4681" s="17"/>
      <c r="F4681" s="18"/>
      <c r="G4681" s="36" t="str">
        <f>IF(ISNUMBER(F4681),C4681*F4681,"")</f>
        <v/>
      </c>
    </row>
    <row r="4682" spans="1:7" ht="12" customHeight="1" outlineLevel="2" x14ac:dyDescent="0.2">
      <c r="A4682" s="14" t="s">
        <v>9224</v>
      </c>
      <c r="B4682" s="15" t="s">
        <v>9225</v>
      </c>
      <c r="C4682" s="16">
        <f>22.08/(1+B2)</f>
        <v>22.08</v>
      </c>
      <c r="D4682" s="17" t="s">
        <v>11</v>
      </c>
      <c r="E4682" s="17"/>
      <c r="F4682" s="18"/>
      <c r="G4682" s="36" t="str">
        <f>IF(ISNUMBER(F4682),C4682*F4682,"")</f>
        <v/>
      </c>
    </row>
    <row r="4683" spans="1:7" ht="12" customHeight="1" outlineLevel="2" x14ac:dyDescent="0.2">
      <c r="A4683" s="14" t="s">
        <v>9226</v>
      </c>
      <c r="B4683" s="15" t="s">
        <v>9227</v>
      </c>
      <c r="C4683" s="16">
        <f>0.9/(1+B2)</f>
        <v>0.9</v>
      </c>
      <c r="D4683" s="17" t="s">
        <v>106</v>
      </c>
      <c r="E4683" s="17"/>
      <c r="F4683" s="18"/>
      <c r="G4683" s="36" t="str">
        <f>IF(ISNUMBER(F4683),C4683*F4683,"")</f>
        <v/>
      </c>
    </row>
    <row r="4684" spans="1:7" ht="12" customHeight="1" outlineLevel="2" x14ac:dyDescent="0.2">
      <c r="A4684" s="14" t="s">
        <v>9228</v>
      </c>
      <c r="B4684" s="15" t="s">
        <v>9229</v>
      </c>
      <c r="C4684" s="16">
        <f>1.17/(1+B2)</f>
        <v>1.17</v>
      </c>
      <c r="D4684" s="17" t="s">
        <v>106</v>
      </c>
      <c r="E4684" s="17"/>
      <c r="F4684" s="18"/>
      <c r="G4684" s="36" t="str">
        <f>IF(ISNUMBER(F4684),C4684*F4684,"")</f>
        <v/>
      </c>
    </row>
    <row r="4685" spans="1:7" ht="12" customHeight="1" outlineLevel="2" x14ac:dyDescent="0.2">
      <c r="A4685" s="14" t="s">
        <v>9230</v>
      </c>
      <c r="B4685" s="15" t="s">
        <v>9231</v>
      </c>
      <c r="C4685" s="16">
        <f>1.6/(1+B2)</f>
        <v>1.6</v>
      </c>
      <c r="D4685" s="17" t="s">
        <v>106</v>
      </c>
      <c r="E4685" s="17"/>
      <c r="F4685" s="18"/>
      <c r="G4685" s="36" t="str">
        <f>IF(ISNUMBER(F4685),C4685*F4685,"")</f>
        <v/>
      </c>
    </row>
    <row r="4686" spans="1:7" ht="12" customHeight="1" outlineLevel="2" x14ac:dyDescent="0.2">
      <c r="A4686" s="14" t="s">
        <v>9232</v>
      </c>
      <c r="B4686" s="15" t="s">
        <v>9233</v>
      </c>
      <c r="C4686" s="16">
        <f>0.08/(1+B2)</f>
        <v>0.08</v>
      </c>
      <c r="D4686" s="17" t="s">
        <v>106</v>
      </c>
      <c r="E4686" s="17"/>
      <c r="F4686" s="18"/>
      <c r="G4686" s="36" t="str">
        <f>IF(ISNUMBER(F4686),C4686*F4686,"")</f>
        <v/>
      </c>
    </row>
    <row r="4687" spans="1:7" ht="12" customHeight="1" outlineLevel="2" x14ac:dyDescent="0.2">
      <c r="A4687" s="14" t="s">
        <v>9234</v>
      </c>
      <c r="B4687" s="15" t="s">
        <v>9235</v>
      </c>
      <c r="C4687" s="16">
        <f>0.33/(1+B2)</f>
        <v>0.33</v>
      </c>
      <c r="D4687" s="17" t="s">
        <v>106</v>
      </c>
      <c r="E4687" s="17"/>
      <c r="F4687" s="18"/>
      <c r="G4687" s="36" t="str">
        <f>IF(ISNUMBER(F4687),C4687*F4687,"")</f>
        <v/>
      </c>
    </row>
    <row r="4688" spans="1:7" ht="12" customHeight="1" outlineLevel="2" x14ac:dyDescent="0.2">
      <c r="A4688" s="14" t="s">
        <v>9236</v>
      </c>
      <c r="B4688" s="15" t="s">
        <v>9237</v>
      </c>
      <c r="C4688" s="16">
        <f>0.07/(1+B2)</f>
        <v>7.0000000000000007E-2</v>
      </c>
      <c r="D4688" s="17" t="s">
        <v>106</v>
      </c>
      <c r="E4688" s="17"/>
      <c r="F4688" s="18"/>
      <c r="G4688" s="36" t="str">
        <f>IF(ISNUMBER(F4688),C4688*F4688,"")</f>
        <v/>
      </c>
    </row>
    <row r="4689" spans="1:7" ht="12" customHeight="1" outlineLevel="2" x14ac:dyDescent="0.2">
      <c r="A4689" s="14" t="s">
        <v>9238</v>
      </c>
      <c r="B4689" s="15" t="s">
        <v>9239</v>
      </c>
      <c r="C4689" s="16">
        <f>0.16/(1+B2)</f>
        <v>0.16</v>
      </c>
      <c r="D4689" s="17" t="s">
        <v>106</v>
      </c>
      <c r="E4689" s="17"/>
      <c r="F4689" s="18"/>
      <c r="G4689" s="36" t="str">
        <f>IF(ISNUMBER(F4689),C4689*F4689,"")</f>
        <v/>
      </c>
    </row>
    <row r="4690" spans="1:7" ht="12" customHeight="1" outlineLevel="2" x14ac:dyDescent="0.2">
      <c r="A4690" s="14" t="s">
        <v>9240</v>
      </c>
      <c r="B4690" s="15" t="s">
        <v>9241</v>
      </c>
      <c r="C4690" s="16">
        <f>0.27/(1+B2)</f>
        <v>0.27</v>
      </c>
      <c r="D4690" s="17" t="s">
        <v>106</v>
      </c>
      <c r="E4690" s="17"/>
      <c r="F4690" s="18"/>
      <c r="G4690" s="36" t="str">
        <f>IF(ISNUMBER(F4690),C4690*F4690,"")</f>
        <v/>
      </c>
    </row>
    <row r="4691" spans="1:7" ht="12" customHeight="1" outlineLevel="2" x14ac:dyDescent="0.2">
      <c r="A4691" s="14" t="s">
        <v>9242</v>
      </c>
      <c r="B4691" s="15" t="s">
        <v>9243</v>
      </c>
      <c r="C4691" s="16">
        <f>3.78/(1+B2)</f>
        <v>3.78</v>
      </c>
      <c r="D4691" s="17" t="s">
        <v>106</v>
      </c>
      <c r="E4691" s="17"/>
      <c r="F4691" s="18"/>
      <c r="G4691" s="36" t="str">
        <f>IF(ISNUMBER(F4691),C4691*F4691,"")</f>
        <v/>
      </c>
    </row>
    <row r="4692" spans="1:7" ht="12" customHeight="1" outlineLevel="2" x14ac:dyDescent="0.2">
      <c r="A4692" s="14" t="s">
        <v>9244</v>
      </c>
      <c r="B4692" s="15" t="s">
        <v>9245</v>
      </c>
      <c r="C4692" s="16">
        <f>4.85/(1+B2)</f>
        <v>4.8499999999999996</v>
      </c>
      <c r="D4692" s="17" t="s">
        <v>11</v>
      </c>
      <c r="E4692" s="17"/>
      <c r="F4692" s="18"/>
      <c r="G4692" s="36" t="str">
        <f>IF(ISNUMBER(F4692),C4692*F4692,"")</f>
        <v/>
      </c>
    </row>
    <row r="4693" spans="1:7" ht="12" customHeight="1" outlineLevel="2" x14ac:dyDescent="0.2">
      <c r="A4693" s="14" t="s">
        <v>9246</v>
      </c>
      <c r="B4693" s="15" t="s">
        <v>9247</v>
      </c>
      <c r="C4693" s="16">
        <f>8.46/(1+B2)</f>
        <v>8.4600000000000009</v>
      </c>
      <c r="D4693" s="17" t="s">
        <v>106</v>
      </c>
      <c r="E4693" s="17"/>
      <c r="F4693" s="18"/>
      <c r="G4693" s="36" t="str">
        <f>IF(ISNUMBER(F4693),C4693*F4693,"")</f>
        <v/>
      </c>
    </row>
    <row r="4694" spans="1:7" s="1" customFormat="1" ht="15.95" customHeight="1" outlineLevel="1" x14ac:dyDescent="0.25">
      <c r="A4694" s="11"/>
      <c r="B4694" s="12" t="s">
        <v>9248</v>
      </c>
      <c r="C4694" s="13"/>
      <c r="D4694" s="13"/>
      <c r="E4694" s="13"/>
      <c r="F4694" s="13"/>
      <c r="G4694" s="35"/>
    </row>
    <row r="4695" spans="1:7" ht="12" customHeight="1" outlineLevel="2" x14ac:dyDescent="0.2">
      <c r="A4695" s="14" t="s">
        <v>9249</v>
      </c>
      <c r="B4695" s="15" t="s">
        <v>9250</v>
      </c>
      <c r="C4695" s="16">
        <f>52.95/(1+B2)</f>
        <v>52.95</v>
      </c>
      <c r="D4695" s="17" t="s">
        <v>11</v>
      </c>
      <c r="E4695" s="17" t="s">
        <v>11</v>
      </c>
      <c r="F4695" s="18"/>
      <c r="G4695" s="36" t="str">
        <f>IF(ISNUMBER(F4695),C4695*F4695,"")</f>
        <v/>
      </c>
    </row>
    <row r="4696" spans="1:7" ht="12" customHeight="1" outlineLevel="2" x14ac:dyDescent="0.2">
      <c r="A4696" s="14" t="s">
        <v>9251</v>
      </c>
      <c r="B4696" s="15" t="s">
        <v>9252</v>
      </c>
      <c r="C4696" s="16">
        <f>81.32/(1+B2)</f>
        <v>81.319999999999993</v>
      </c>
      <c r="D4696" s="17" t="s">
        <v>11</v>
      </c>
      <c r="E4696" s="17" t="s">
        <v>11</v>
      </c>
      <c r="F4696" s="18"/>
      <c r="G4696" s="36" t="str">
        <f>IF(ISNUMBER(F4696),C4696*F4696,"")</f>
        <v/>
      </c>
    </row>
    <row r="4697" spans="1:7" ht="12" customHeight="1" outlineLevel="2" x14ac:dyDescent="0.2">
      <c r="A4697" s="14" t="s">
        <v>9253</v>
      </c>
      <c r="B4697" s="15" t="s">
        <v>9254</v>
      </c>
      <c r="C4697" s="16">
        <f>28.96/(1+B2)</f>
        <v>28.96</v>
      </c>
      <c r="D4697" s="17" t="s">
        <v>106</v>
      </c>
      <c r="E4697" s="17"/>
      <c r="F4697" s="18"/>
      <c r="G4697" s="36" t="str">
        <f>IF(ISNUMBER(F4697),C4697*F4697,"")</f>
        <v/>
      </c>
    </row>
    <row r="4698" spans="1:7" ht="12" customHeight="1" outlineLevel="2" x14ac:dyDescent="0.2">
      <c r="A4698" s="14" t="s">
        <v>9255</v>
      </c>
      <c r="B4698" s="15" t="s">
        <v>9256</v>
      </c>
      <c r="C4698" s="16">
        <f>0.4/(1+B2)</f>
        <v>0.4</v>
      </c>
      <c r="D4698" s="17" t="s">
        <v>106</v>
      </c>
      <c r="E4698" s="17"/>
      <c r="F4698" s="18"/>
      <c r="G4698" s="36" t="str">
        <f>IF(ISNUMBER(F4698),C4698*F4698,"")</f>
        <v/>
      </c>
    </row>
    <row r="4699" spans="1:7" ht="24" customHeight="1" outlineLevel="2" x14ac:dyDescent="0.2">
      <c r="A4699" s="14" t="s">
        <v>9257</v>
      </c>
      <c r="B4699" s="15" t="s">
        <v>9258</v>
      </c>
      <c r="C4699" s="16">
        <f>30.2/(1+B2)</f>
        <v>30.2</v>
      </c>
      <c r="D4699" s="17" t="s">
        <v>14</v>
      </c>
      <c r="E4699" s="17"/>
      <c r="F4699" s="18"/>
      <c r="G4699" s="36" t="str">
        <f>IF(ISNUMBER(F4699),C4699*F4699,"")</f>
        <v/>
      </c>
    </row>
    <row r="4700" spans="1:7" ht="12" customHeight="1" outlineLevel="2" x14ac:dyDescent="0.2">
      <c r="A4700" s="14" t="s">
        <v>9259</v>
      </c>
      <c r="B4700" s="15" t="s">
        <v>9260</v>
      </c>
      <c r="C4700" s="16">
        <f>0.3/(1+B2)</f>
        <v>0.3</v>
      </c>
      <c r="D4700" s="17" t="s">
        <v>106</v>
      </c>
      <c r="E4700" s="17"/>
      <c r="F4700" s="18"/>
      <c r="G4700" s="36" t="str">
        <f>IF(ISNUMBER(F4700),C4700*F4700,"")</f>
        <v/>
      </c>
    </row>
    <row r="4701" spans="1:7" ht="12" customHeight="1" outlineLevel="2" x14ac:dyDescent="0.2">
      <c r="A4701" s="14" t="s">
        <v>9261</v>
      </c>
      <c r="B4701" s="15" t="s">
        <v>9262</v>
      </c>
      <c r="C4701" s="16">
        <f>5.45/(1+B2)</f>
        <v>5.45</v>
      </c>
      <c r="D4701" s="17" t="s">
        <v>53</v>
      </c>
      <c r="E4701" s="17" t="s">
        <v>106</v>
      </c>
      <c r="F4701" s="18"/>
      <c r="G4701" s="36" t="str">
        <f>IF(ISNUMBER(F4701),C4701*F4701,"")</f>
        <v/>
      </c>
    </row>
    <row r="4702" spans="1:7" ht="12" customHeight="1" outlineLevel="2" x14ac:dyDescent="0.2">
      <c r="A4702" s="14" t="s">
        <v>9263</v>
      </c>
      <c r="B4702" s="15" t="s">
        <v>9264</v>
      </c>
      <c r="C4702" s="16">
        <f>5.02/(1+B2)</f>
        <v>5.0199999999999996</v>
      </c>
      <c r="D4702" s="17" t="s">
        <v>14</v>
      </c>
      <c r="E4702" s="17" t="s">
        <v>106</v>
      </c>
      <c r="F4702" s="18"/>
      <c r="G4702" s="36" t="str">
        <f>IF(ISNUMBER(F4702),C4702*F4702,"")</f>
        <v/>
      </c>
    </row>
    <row r="4703" spans="1:7" ht="12" customHeight="1" outlineLevel="2" x14ac:dyDescent="0.2">
      <c r="A4703" s="14" t="s">
        <v>9265</v>
      </c>
      <c r="B4703" s="15" t="s">
        <v>9266</v>
      </c>
      <c r="C4703" s="16">
        <f>3.1/(1+B2)</f>
        <v>3.1</v>
      </c>
      <c r="D4703" s="17" t="s">
        <v>53</v>
      </c>
      <c r="E4703" s="17" t="s">
        <v>106</v>
      </c>
      <c r="F4703" s="18"/>
      <c r="G4703" s="36" t="str">
        <f>IF(ISNUMBER(F4703),C4703*F4703,"")</f>
        <v/>
      </c>
    </row>
    <row r="4704" spans="1:7" ht="12" customHeight="1" outlineLevel="2" x14ac:dyDescent="0.2">
      <c r="A4704" s="14" t="s">
        <v>9267</v>
      </c>
      <c r="B4704" s="15" t="s">
        <v>9268</v>
      </c>
      <c r="C4704" s="16">
        <f>4.03/(1+B2)</f>
        <v>4.03</v>
      </c>
      <c r="D4704" s="17" t="s">
        <v>11</v>
      </c>
      <c r="E4704" s="17"/>
      <c r="F4704" s="18"/>
      <c r="G4704" s="36" t="str">
        <f>IF(ISNUMBER(F4704),C4704*F4704,"")</f>
        <v/>
      </c>
    </row>
    <row r="4705" spans="1:7" ht="12" customHeight="1" outlineLevel="2" x14ac:dyDescent="0.2">
      <c r="A4705" s="14" t="s">
        <v>9269</v>
      </c>
      <c r="B4705" s="15" t="s">
        <v>9270</v>
      </c>
      <c r="C4705" s="16">
        <f>7.12/(1+B2)</f>
        <v>7.12</v>
      </c>
      <c r="D4705" s="17" t="s">
        <v>11</v>
      </c>
      <c r="E4705" s="17" t="s">
        <v>106</v>
      </c>
      <c r="F4705" s="18"/>
      <c r="G4705" s="36" t="str">
        <f>IF(ISNUMBER(F4705),C4705*F4705,"")</f>
        <v/>
      </c>
    </row>
    <row r="4706" spans="1:7" ht="12" customHeight="1" outlineLevel="2" x14ac:dyDescent="0.2">
      <c r="A4706" s="14" t="s">
        <v>9271</v>
      </c>
      <c r="B4706" s="15" t="s">
        <v>9272</v>
      </c>
      <c r="C4706" s="16">
        <f>5.94/(1+B2)</f>
        <v>5.94</v>
      </c>
      <c r="D4706" s="17" t="s">
        <v>14</v>
      </c>
      <c r="E4706" s="17"/>
      <c r="F4706" s="18"/>
      <c r="G4706" s="36" t="str">
        <f>IF(ISNUMBER(F4706),C4706*F4706,"")</f>
        <v/>
      </c>
    </row>
    <row r="4707" spans="1:7" ht="12" customHeight="1" outlineLevel="2" x14ac:dyDescent="0.2">
      <c r="A4707" s="14" t="s">
        <v>9273</v>
      </c>
      <c r="B4707" s="15" t="s">
        <v>9274</v>
      </c>
      <c r="C4707" s="16">
        <f>3.55/(1+B2)</f>
        <v>3.55</v>
      </c>
      <c r="D4707" s="17" t="s">
        <v>106</v>
      </c>
      <c r="E4707" s="17" t="s">
        <v>106</v>
      </c>
      <c r="F4707" s="18"/>
      <c r="G4707" s="36" t="str">
        <f>IF(ISNUMBER(F4707),C4707*F4707,"")</f>
        <v/>
      </c>
    </row>
    <row r="4708" spans="1:7" ht="12" customHeight="1" outlineLevel="2" x14ac:dyDescent="0.2">
      <c r="A4708" s="14" t="s">
        <v>9275</v>
      </c>
      <c r="B4708" s="15" t="s">
        <v>9276</v>
      </c>
      <c r="C4708" s="16">
        <f>142.34/(1+B2)</f>
        <v>142.34</v>
      </c>
      <c r="D4708" s="17" t="s">
        <v>11</v>
      </c>
      <c r="E4708" s="17" t="s">
        <v>11</v>
      </c>
      <c r="F4708" s="18"/>
      <c r="G4708" s="36" t="str">
        <f>IF(ISNUMBER(F4708),C4708*F4708,"")</f>
        <v/>
      </c>
    </row>
    <row r="4709" spans="1:7" ht="12" customHeight="1" outlineLevel="2" x14ac:dyDescent="0.2">
      <c r="A4709" s="14" t="s">
        <v>9277</v>
      </c>
      <c r="B4709" s="15" t="s">
        <v>9278</v>
      </c>
      <c r="C4709" s="16">
        <f>3.73/(1+B2)</f>
        <v>3.73</v>
      </c>
      <c r="D4709" s="17" t="s">
        <v>11</v>
      </c>
      <c r="E4709" s="17"/>
      <c r="F4709" s="18"/>
      <c r="G4709" s="36" t="str">
        <f>IF(ISNUMBER(F4709),C4709*F4709,"")</f>
        <v/>
      </c>
    </row>
    <row r="4710" spans="1:7" ht="12" customHeight="1" outlineLevel="2" x14ac:dyDescent="0.2">
      <c r="A4710" s="14" t="s">
        <v>9279</v>
      </c>
      <c r="B4710" s="15" t="s">
        <v>9280</v>
      </c>
      <c r="C4710" s="16">
        <f>17.33/(1+B2)</f>
        <v>17.329999999999998</v>
      </c>
      <c r="D4710" s="17" t="s">
        <v>14</v>
      </c>
      <c r="E4710" s="17"/>
      <c r="F4710" s="18"/>
      <c r="G4710" s="36" t="str">
        <f>IF(ISNUMBER(F4710),C4710*F4710,"")</f>
        <v/>
      </c>
    </row>
    <row r="4711" spans="1:7" ht="24" customHeight="1" outlineLevel="2" x14ac:dyDescent="0.2">
      <c r="A4711" s="14" t="s">
        <v>9281</v>
      </c>
      <c r="B4711" s="15" t="s">
        <v>9282</v>
      </c>
      <c r="C4711" s="16">
        <f>7.98/(1+B2)</f>
        <v>7.98</v>
      </c>
      <c r="D4711" s="17" t="s">
        <v>11</v>
      </c>
      <c r="E4711" s="17"/>
      <c r="F4711" s="18"/>
      <c r="G4711" s="36" t="str">
        <f>IF(ISNUMBER(F4711),C4711*F4711,"")</f>
        <v/>
      </c>
    </row>
    <row r="4712" spans="1:7" ht="12" customHeight="1" outlineLevel="2" x14ac:dyDescent="0.2">
      <c r="A4712" s="14" t="s">
        <v>9283</v>
      </c>
      <c r="B4712" s="15" t="s">
        <v>9284</v>
      </c>
      <c r="C4712" s="16">
        <f>30.38/(1+B2)</f>
        <v>30.38</v>
      </c>
      <c r="D4712" s="17" t="s">
        <v>11</v>
      </c>
      <c r="E4712" s="17"/>
      <c r="F4712" s="18"/>
      <c r="G4712" s="36" t="str">
        <f>IF(ISNUMBER(F4712),C4712*F4712,"")</f>
        <v/>
      </c>
    </row>
    <row r="4713" spans="1:7" ht="12" customHeight="1" outlineLevel="2" x14ac:dyDescent="0.2">
      <c r="A4713" s="14" t="s">
        <v>9285</v>
      </c>
      <c r="B4713" s="15" t="s">
        <v>9286</v>
      </c>
      <c r="C4713" s="16">
        <f>0.66/(1+B2)</f>
        <v>0.66</v>
      </c>
      <c r="D4713" s="17" t="s">
        <v>106</v>
      </c>
      <c r="E4713" s="17"/>
      <c r="F4713" s="18"/>
      <c r="G4713" s="36" t="str">
        <f>IF(ISNUMBER(F4713),C4713*F4713,"")</f>
        <v/>
      </c>
    </row>
    <row r="4714" spans="1:7" ht="12" customHeight="1" outlineLevel="2" x14ac:dyDescent="0.2">
      <c r="A4714" s="14" t="s">
        <v>9287</v>
      </c>
      <c r="B4714" s="15" t="s">
        <v>9288</v>
      </c>
      <c r="C4714" s="16">
        <f>7.84/(1+B2)</f>
        <v>7.84</v>
      </c>
      <c r="D4714" s="17" t="s">
        <v>11</v>
      </c>
      <c r="E4714" s="17"/>
      <c r="F4714" s="18"/>
      <c r="G4714" s="36" t="str">
        <f>IF(ISNUMBER(F4714),C4714*F4714,"")</f>
        <v/>
      </c>
    </row>
    <row r="4715" spans="1:7" ht="12" customHeight="1" outlineLevel="2" x14ac:dyDescent="0.2">
      <c r="A4715" s="14" t="s">
        <v>9289</v>
      </c>
      <c r="B4715" s="15" t="s">
        <v>9290</v>
      </c>
      <c r="C4715" s="16">
        <f>61.44/(1+B2)</f>
        <v>61.44</v>
      </c>
      <c r="D4715" s="17" t="s">
        <v>11</v>
      </c>
      <c r="E4715" s="17"/>
      <c r="F4715" s="18"/>
      <c r="G4715" s="36" t="str">
        <f>IF(ISNUMBER(F4715),C4715*F4715,"")</f>
        <v/>
      </c>
    </row>
    <row r="4716" spans="1:7" ht="12" customHeight="1" outlineLevel="2" x14ac:dyDescent="0.2">
      <c r="A4716" s="14" t="s">
        <v>9291</v>
      </c>
      <c r="B4716" s="15" t="s">
        <v>9292</v>
      </c>
      <c r="C4716" s="16">
        <f>7/(1+B2)</f>
        <v>7</v>
      </c>
      <c r="D4716" s="17" t="s">
        <v>53</v>
      </c>
      <c r="E4716" s="17"/>
      <c r="F4716" s="18"/>
      <c r="G4716" s="36" t="str">
        <f>IF(ISNUMBER(F4716),C4716*F4716,"")</f>
        <v/>
      </c>
    </row>
    <row r="4717" spans="1:7" ht="12" customHeight="1" outlineLevel="2" x14ac:dyDescent="0.2">
      <c r="A4717" s="14" t="s">
        <v>9293</v>
      </c>
      <c r="B4717" s="15" t="s">
        <v>9294</v>
      </c>
      <c r="C4717" s="16">
        <f>85.79/(1+B2)</f>
        <v>85.79</v>
      </c>
      <c r="D4717" s="17" t="s">
        <v>11</v>
      </c>
      <c r="E4717" s="17"/>
      <c r="F4717" s="18"/>
      <c r="G4717" s="36" t="str">
        <f>IF(ISNUMBER(F4717),C4717*F4717,"")</f>
        <v/>
      </c>
    </row>
    <row r="4718" spans="1:7" ht="12" customHeight="1" outlineLevel="2" x14ac:dyDescent="0.2">
      <c r="A4718" s="14" t="s">
        <v>9295</v>
      </c>
      <c r="B4718" s="15" t="s">
        <v>9296</v>
      </c>
      <c r="C4718" s="16">
        <f>180.84/(1+B2)</f>
        <v>180.84</v>
      </c>
      <c r="D4718" s="17" t="s">
        <v>11</v>
      </c>
      <c r="E4718" s="17"/>
      <c r="F4718" s="18"/>
      <c r="G4718" s="36" t="str">
        <f>IF(ISNUMBER(F4718),C4718*F4718,"")</f>
        <v/>
      </c>
    </row>
    <row r="4719" spans="1:7" ht="12" customHeight="1" outlineLevel="2" x14ac:dyDescent="0.2">
      <c r="A4719" s="14" t="s">
        <v>9297</v>
      </c>
      <c r="B4719" s="15" t="s">
        <v>9298</v>
      </c>
      <c r="C4719" s="16">
        <f>75.41/(1+B2)</f>
        <v>75.41</v>
      </c>
      <c r="D4719" s="17" t="s">
        <v>11</v>
      </c>
      <c r="E4719" s="17" t="s">
        <v>11</v>
      </c>
      <c r="F4719" s="18"/>
      <c r="G4719" s="36" t="str">
        <f>IF(ISNUMBER(F4719),C4719*F4719,"")</f>
        <v/>
      </c>
    </row>
    <row r="4720" spans="1:7" ht="12" customHeight="1" outlineLevel="2" x14ac:dyDescent="0.2">
      <c r="A4720" s="14" t="s">
        <v>9299</v>
      </c>
      <c r="B4720" s="15" t="s">
        <v>9300</v>
      </c>
      <c r="C4720" s="16">
        <f>140.02/(1+B2)</f>
        <v>140.02000000000001</v>
      </c>
      <c r="D4720" s="17" t="s">
        <v>11</v>
      </c>
      <c r="E4720" s="17"/>
      <c r="F4720" s="18"/>
      <c r="G4720" s="36" t="str">
        <f>IF(ISNUMBER(F4720),C4720*F4720,"")</f>
        <v/>
      </c>
    </row>
    <row r="4721" spans="1:7" ht="12" customHeight="1" outlineLevel="2" x14ac:dyDescent="0.2">
      <c r="A4721" s="14" t="s">
        <v>9301</v>
      </c>
      <c r="B4721" s="15" t="s">
        <v>9302</v>
      </c>
      <c r="C4721" s="16">
        <f>84.03/(1+B2)</f>
        <v>84.03</v>
      </c>
      <c r="D4721" s="17" t="s">
        <v>11</v>
      </c>
      <c r="E4721" s="17" t="s">
        <v>11</v>
      </c>
      <c r="F4721" s="18"/>
      <c r="G4721" s="36" t="str">
        <f>IF(ISNUMBER(F4721),C4721*F4721,"")</f>
        <v/>
      </c>
    </row>
    <row r="4722" spans="1:7" ht="12" customHeight="1" outlineLevel="2" x14ac:dyDescent="0.2">
      <c r="A4722" s="14" t="s">
        <v>9303</v>
      </c>
      <c r="B4722" s="15" t="s">
        <v>9304</v>
      </c>
      <c r="C4722" s="16">
        <f>137.47/(1+B2)</f>
        <v>137.47</v>
      </c>
      <c r="D4722" s="17" t="s">
        <v>11</v>
      </c>
      <c r="E4722" s="17"/>
      <c r="F4722" s="18"/>
      <c r="G4722" s="36" t="str">
        <f>IF(ISNUMBER(F4722),C4722*F4722,"")</f>
        <v/>
      </c>
    </row>
    <row r="4723" spans="1:7" ht="12" customHeight="1" outlineLevel="2" x14ac:dyDescent="0.2">
      <c r="A4723" s="14" t="s">
        <v>9305</v>
      </c>
      <c r="B4723" s="15" t="s">
        <v>9306</v>
      </c>
      <c r="C4723" s="16">
        <f>37.13/(1+B2)</f>
        <v>37.130000000000003</v>
      </c>
      <c r="D4723" s="17" t="s">
        <v>11</v>
      </c>
      <c r="E4723" s="17"/>
      <c r="F4723" s="18"/>
      <c r="G4723" s="36" t="str">
        <f>IF(ISNUMBER(F4723),C4723*F4723,"")</f>
        <v/>
      </c>
    </row>
    <row r="4724" spans="1:7" s="1" customFormat="1" ht="15.95" customHeight="1" outlineLevel="1" x14ac:dyDescent="0.25">
      <c r="A4724" s="11"/>
      <c r="B4724" s="12" t="s">
        <v>9307</v>
      </c>
      <c r="C4724" s="13"/>
      <c r="D4724" s="13"/>
      <c r="E4724" s="13"/>
      <c r="F4724" s="13"/>
      <c r="G4724" s="35"/>
    </row>
    <row r="4725" spans="1:7" ht="12" customHeight="1" outlineLevel="2" x14ac:dyDescent="0.2">
      <c r="A4725" s="14" t="s">
        <v>9308</v>
      </c>
      <c r="B4725" s="15" t="s">
        <v>9309</v>
      </c>
      <c r="C4725" s="16">
        <f>2.21/(1+B2)</f>
        <v>2.21</v>
      </c>
      <c r="D4725" s="17" t="s">
        <v>106</v>
      </c>
      <c r="E4725" s="17"/>
      <c r="F4725" s="18"/>
      <c r="G4725" s="36" t="str">
        <f>IF(ISNUMBER(F4725),C4725*F4725,"")</f>
        <v/>
      </c>
    </row>
    <row r="4726" spans="1:7" ht="12" customHeight="1" outlineLevel="2" x14ac:dyDescent="0.2">
      <c r="A4726" s="14" t="s">
        <v>9310</v>
      </c>
      <c r="B4726" s="15" t="s">
        <v>9311</v>
      </c>
      <c r="C4726" s="16">
        <f>15.08/(1+B2)</f>
        <v>15.08</v>
      </c>
      <c r="D4726" s="17" t="s">
        <v>53</v>
      </c>
      <c r="E4726" s="17"/>
      <c r="F4726" s="18"/>
      <c r="G4726" s="36" t="str">
        <f>IF(ISNUMBER(F4726),C4726*F4726,"")</f>
        <v/>
      </c>
    </row>
    <row r="4727" spans="1:7" ht="12" customHeight="1" outlineLevel="2" x14ac:dyDescent="0.2">
      <c r="A4727" s="14" t="s">
        <v>9312</v>
      </c>
      <c r="B4727" s="15" t="s">
        <v>9313</v>
      </c>
      <c r="C4727" s="16">
        <f>18.1/(1+B2)</f>
        <v>18.100000000000001</v>
      </c>
      <c r="D4727" s="17" t="s">
        <v>11</v>
      </c>
      <c r="E4727" s="17"/>
      <c r="F4727" s="18"/>
      <c r="G4727" s="36" t="str">
        <f>IF(ISNUMBER(F4727),C4727*F4727,"")</f>
        <v/>
      </c>
    </row>
    <row r="4728" spans="1:7" ht="12" customHeight="1" outlineLevel="2" x14ac:dyDescent="0.2">
      <c r="A4728" s="14" t="s">
        <v>9314</v>
      </c>
      <c r="B4728" s="15" t="s">
        <v>9315</v>
      </c>
      <c r="C4728" s="16">
        <f>23.08/(1+B2)</f>
        <v>23.08</v>
      </c>
      <c r="D4728" s="17" t="s">
        <v>53</v>
      </c>
      <c r="E4728" s="17" t="s">
        <v>14</v>
      </c>
      <c r="F4728" s="18"/>
      <c r="G4728" s="36" t="str">
        <f>IF(ISNUMBER(F4728),C4728*F4728,"")</f>
        <v/>
      </c>
    </row>
    <row r="4729" spans="1:7" ht="12" customHeight="1" outlineLevel="2" x14ac:dyDescent="0.2">
      <c r="A4729" s="14" t="s">
        <v>9316</v>
      </c>
      <c r="B4729" s="15" t="s">
        <v>9317</v>
      </c>
      <c r="C4729" s="16">
        <f>10.81/(1+B2)</f>
        <v>10.81</v>
      </c>
      <c r="D4729" s="17" t="s">
        <v>14</v>
      </c>
      <c r="E4729" s="17"/>
      <c r="F4729" s="18"/>
      <c r="G4729" s="36" t="str">
        <f>IF(ISNUMBER(F4729),C4729*F4729,"")</f>
        <v/>
      </c>
    </row>
    <row r="4730" spans="1:7" ht="12" customHeight="1" outlineLevel="2" x14ac:dyDescent="0.2">
      <c r="A4730" s="14" t="s">
        <v>9318</v>
      </c>
      <c r="B4730" s="15" t="s">
        <v>9319</v>
      </c>
      <c r="C4730" s="16">
        <f>12.05/(1+B2)</f>
        <v>12.05</v>
      </c>
      <c r="D4730" s="17" t="s">
        <v>11</v>
      </c>
      <c r="E4730" s="17"/>
      <c r="F4730" s="18"/>
      <c r="G4730" s="36" t="str">
        <f>IF(ISNUMBER(F4730),C4730*F4730,"")</f>
        <v/>
      </c>
    </row>
    <row r="4731" spans="1:7" ht="12" customHeight="1" outlineLevel="2" x14ac:dyDescent="0.2">
      <c r="A4731" s="14" t="s">
        <v>9320</v>
      </c>
      <c r="B4731" s="15" t="s">
        <v>9321</v>
      </c>
      <c r="C4731" s="16">
        <f>15/(1+B2)</f>
        <v>15</v>
      </c>
      <c r="D4731" s="17" t="s">
        <v>11</v>
      </c>
      <c r="E4731" s="17" t="s">
        <v>106</v>
      </c>
      <c r="F4731" s="18"/>
      <c r="G4731" s="36" t="str">
        <f>IF(ISNUMBER(F4731),C4731*F4731,"")</f>
        <v/>
      </c>
    </row>
    <row r="4732" spans="1:7" ht="12" customHeight="1" outlineLevel="2" x14ac:dyDescent="0.2">
      <c r="A4732" s="14" t="s">
        <v>9322</v>
      </c>
      <c r="B4732" s="15" t="s">
        <v>9323</v>
      </c>
      <c r="C4732" s="16">
        <f>23.46/(1+B2)</f>
        <v>23.46</v>
      </c>
      <c r="D4732" s="17" t="s">
        <v>53</v>
      </c>
      <c r="E4732" s="17" t="s">
        <v>53</v>
      </c>
      <c r="F4732" s="18"/>
      <c r="G4732" s="36" t="str">
        <f>IF(ISNUMBER(F4732),C4732*F4732,"")</f>
        <v/>
      </c>
    </row>
    <row r="4733" spans="1:7" ht="12" customHeight="1" outlineLevel="2" x14ac:dyDescent="0.2">
      <c r="A4733" s="14" t="s">
        <v>9324</v>
      </c>
      <c r="B4733" s="15" t="s">
        <v>9325</v>
      </c>
      <c r="C4733" s="16">
        <f>29.94/(1+B2)</f>
        <v>29.94</v>
      </c>
      <c r="D4733" s="17" t="s">
        <v>53</v>
      </c>
      <c r="E4733" s="17" t="s">
        <v>106</v>
      </c>
      <c r="F4733" s="18"/>
      <c r="G4733" s="36" t="str">
        <f>IF(ISNUMBER(F4733),C4733*F4733,"")</f>
        <v/>
      </c>
    </row>
    <row r="4734" spans="1:7" ht="12" customHeight="1" outlineLevel="2" x14ac:dyDescent="0.2">
      <c r="A4734" s="14" t="s">
        <v>9326</v>
      </c>
      <c r="B4734" s="15" t="s">
        <v>9327</v>
      </c>
      <c r="C4734" s="16">
        <f>36.48/(1+B2)</f>
        <v>36.479999999999997</v>
      </c>
      <c r="D4734" s="17" t="s">
        <v>53</v>
      </c>
      <c r="E4734" s="17" t="s">
        <v>106</v>
      </c>
      <c r="F4734" s="18"/>
      <c r="G4734" s="36" t="str">
        <f>IF(ISNUMBER(F4734),C4734*F4734,"")</f>
        <v/>
      </c>
    </row>
    <row r="4735" spans="1:7" ht="12" customHeight="1" outlineLevel="2" x14ac:dyDescent="0.2">
      <c r="A4735" s="14" t="s">
        <v>9328</v>
      </c>
      <c r="B4735" s="15" t="s">
        <v>9329</v>
      </c>
      <c r="C4735" s="16">
        <f>41.14/(1+B2)</f>
        <v>41.14</v>
      </c>
      <c r="D4735" s="17" t="s">
        <v>14</v>
      </c>
      <c r="E4735" s="17"/>
      <c r="F4735" s="18"/>
      <c r="G4735" s="36" t="str">
        <f>IF(ISNUMBER(F4735),C4735*F4735,"")</f>
        <v/>
      </c>
    </row>
    <row r="4736" spans="1:7" ht="12" customHeight="1" outlineLevel="2" x14ac:dyDescent="0.2">
      <c r="A4736" s="14" t="s">
        <v>9330</v>
      </c>
      <c r="B4736" s="15" t="s">
        <v>9331</v>
      </c>
      <c r="C4736" s="16">
        <f>5.09/(1+B2)</f>
        <v>5.09</v>
      </c>
      <c r="D4736" s="17" t="s">
        <v>53</v>
      </c>
      <c r="E4736" s="17"/>
      <c r="F4736" s="18"/>
      <c r="G4736" s="36" t="str">
        <f>IF(ISNUMBER(F4736),C4736*F4736,"")</f>
        <v/>
      </c>
    </row>
    <row r="4737" spans="1:7" ht="12" customHeight="1" outlineLevel="2" x14ac:dyDescent="0.2">
      <c r="A4737" s="14" t="s">
        <v>9332</v>
      </c>
      <c r="B4737" s="15" t="s">
        <v>9333</v>
      </c>
      <c r="C4737" s="16">
        <f>7.08/(1+B2)</f>
        <v>7.08</v>
      </c>
      <c r="D4737" s="17" t="s">
        <v>14</v>
      </c>
      <c r="E4737" s="17"/>
      <c r="F4737" s="18"/>
      <c r="G4737" s="36" t="str">
        <f>IF(ISNUMBER(F4737),C4737*F4737,"")</f>
        <v/>
      </c>
    </row>
    <row r="4738" spans="1:7" ht="12" customHeight="1" outlineLevel="2" x14ac:dyDescent="0.2">
      <c r="A4738" s="14" t="s">
        <v>9334</v>
      </c>
      <c r="B4738" s="15" t="s">
        <v>9335</v>
      </c>
      <c r="C4738" s="16">
        <f>15.12/(1+B2)</f>
        <v>15.12</v>
      </c>
      <c r="D4738" s="17" t="s">
        <v>14</v>
      </c>
      <c r="E4738" s="17" t="s">
        <v>53</v>
      </c>
      <c r="F4738" s="18"/>
      <c r="G4738" s="36" t="str">
        <f>IF(ISNUMBER(F4738),C4738*F4738,"")</f>
        <v/>
      </c>
    </row>
    <row r="4739" spans="1:7" ht="12" customHeight="1" outlineLevel="2" x14ac:dyDescent="0.2">
      <c r="A4739" s="14" t="s">
        <v>9336</v>
      </c>
      <c r="B4739" s="15" t="s">
        <v>9337</v>
      </c>
      <c r="C4739" s="16">
        <f>6.84/(1+B2)</f>
        <v>6.84</v>
      </c>
      <c r="D4739" s="17" t="s">
        <v>53</v>
      </c>
      <c r="E4739" s="17"/>
      <c r="F4739" s="18"/>
      <c r="G4739" s="36" t="str">
        <f>IF(ISNUMBER(F4739),C4739*F4739,"")</f>
        <v/>
      </c>
    </row>
    <row r="4740" spans="1:7" ht="12" customHeight="1" outlineLevel="2" x14ac:dyDescent="0.2">
      <c r="A4740" s="14" t="s">
        <v>9338</v>
      </c>
      <c r="B4740" s="15" t="s">
        <v>9339</v>
      </c>
      <c r="C4740" s="16">
        <f>8.17/(1+B2)</f>
        <v>8.17</v>
      </c>
      <c r="D4740" s="17" t="s">
        <v>106</v>
      </c>
      <c r="E4740" s="17"/>
      <c r="F4740" s="18"/>
      <c r="G4740" s="36" t="str">
        <f>IF(ISNUMBER(F4740),C4740*F4740,"")</f>
        <v/>
      </c>
    </row>
    <row r="4741" spans="1:7" ht="12" customHeight="1" outlineLevel="2" x14ac:dyDescent="0.2">
      <c r="A4741" s="14" t="s">
        <v>9340</v>
      </c>
      <c r="B4741" s="15" t="s">
        <v>9341</v>
      </c>
      <c r="C4741" s="16">
        <f>6.8/(1+B2)</f>
        <v>6.8</v>
      </c>
      <c r="D4741" s="17" t="s">
        <v>11</v>
      </c>
      <c r="E4741" s="17"/>
      <c r="F4741" s="18"/>
      <c r="G4741" s="36" t="str">
        <f>IF(ISNUMBER(F4741),C4741*F4741,"")</f>
        <v/>
      </c>
    </row>
    <row r="4742" spans="1:7" ht="12" customHeight="1" outlineLevel="2" x14ac:dyDescent="0.2">
      <c r="A4742" s="14" t="s">
        <v>9342</v>
      </c>
      <c r="B4742" s="15" t="s">
        <v>9343</v>
      </c>
      <c r="C4742" s="16">
        <f>6.6/(1+B2)</f>
        <v>6.6</v>
      </c>
      <c r="D4742" s="17" t="s">
        <v>11</v>
      </c>
      <c r="E4742" s="17"/>
      <c r="F4742" s="18"/>
      <c r="G4742" s="36" t="str">
        <f>IF(ISNUMBER(F4742),C4742*F4742,"")</f>
        <v/>
      </c>
    </row>
    <row r="4743" spans="1:7" ht="12" customHeight="1" outlineLevel="2" x14ac:dyDescent="0.2">
      <c r="A4743" s="14" t="s">
        <v>9344</v>
      </c>
      <c r="B4743" s="15" t="s">
        <v>9345</v>
      </c>
      <c r="C4743" s="16">
        <f>10.77/(1+B2)</f>
        <v>10.77</v>
      </c>
      <c r="D4743" s="17" t="s">
        <v>11</v>
      </c>
      <c r="E4743" s="17"/>
      <c r="F4743" s="18"/>
      <c r="G4743" s="36" t="str">
        <f>IF(ISNUMBER(F4743),C4743*F4743,"")</f>
        <v/>
      </c>
    </row>
    <row r="4744" spans="1:7" ht="12" customHeight="1" outlineLevel="2" x14ac:dyDescent="0.2">
      <c r="A4744" s="14" t="s">
        <v>9346</v>
      </c>
      <c r="B4744" s="15" t="s">
        <v>9347</v>
      </c>
      <c r="C4744" s="16">
        <f>4.68/(1+B2)</f>
        <v>4.68</v>
      </c>
      <c r="D4744" s="17" t="s">
        <v>106</v>
      </c>
      <c r="E4744" s="17" t="s">
        <v>106</v>
      </c>
      <c r="F4744" s="18"/>
      <c r="G4744" s="36" t="str">
        <f>IF(ISNUMBER(F4744),C4744*F4744,"")</f>
        <v/>
      </c>
    </row>
    <row r="4745" spans="1:7" ht="12" customHeight="1" outlineLevel="2" x14ac:dyDescent="0.2">
      <c r="A4745" s="14" t="s">
        <v>9348</v>
      </c>
      <c r="B4745" s="15" t="s">
        <v>9349</v>
      </c>
      <c r="C4745" s="16">
        <f>7.18/(1+B2)</f>
        <v>7.18</v>
      </c>
      <c r="D4745" s="17" t="s">
        <v>106</v>
      </c>
      <c r="E4745" s="17" t="s">
        <v>106</v>
      </c>
      <c r="F4745" s="18"/>
      <c r="G4745" s="36" t="str">
        <f>IF(ISNUMBER(F4745),C4745*F4745,"")</f>
        <v/>
      </c>
    </row>
    <row r="4746" spans="1:7" ht="12" customHeight="1" outlineLevel="2" x14ac:dyDescent="0.2">
      <c r="A4746" s="14" t="s">
        <v>9350</v>
      </c>
      <c r="B4746" s="15" t="s">
        <v>9351</v>
      </c>
      <c r="C4746" s="16">
        <f>7.65/(1+B2)</f>
        <v>7.65</v>
      </c>
      <c r="D4746" s="17" t="s">
        <v>106</v>
      </c>
      <c r="E4746" s="17"/>
      <c r="F4746" s="18"/>
      <c r="G4746" s="36" t="str">
        <f>IF(ISNUMBER(F4746),C4746*F4746,"")</f>
        <v/>
      </c>
    </row>
    <row r="4747" spans="1:7" ht="12" customHeight="1" outlineLevel="2" x14ac:dyDescent="0.2">
      <c r="A4747" s="14" t="s">
        <v>9352</v>
      </c>
      <c r="B4747" s="15" t="s">
        <v>9353</v>
      </c>
      <c r="C4747" s="16">
        <f>26.97/(1+B2)</f>
        <v>26.97</v>
      </c>
      <c r="D4747" s="17" t="s">
        <v>53</v>
      </c>
      <c r="E4747" s="17"/>
      <c r="F4747" s="18"/>
      <c r="G4747" s="36" t="str">
        <f>IF(ISNUMBER(F4747),C4747*F4747,"")</f>
        <v/>
      </c>
    </row>
    <row r="4748" spans="1:7" ht="12" customHeight="1" outlineLevel="2" x14ac:dyDescent="0.2">
      <c r="A4748" s="14" t="s">
        <v>9354</v>
      </c>
      <c r="B4748" s="15" t="s">
        <v>9355</v>
      </c>
      <c r="C4748" s="16">
        <f>113.88/(1+B2)</f>
        <v>113.88</v>
      </c>
      <c r="D4748" s="17" t="s">
        <v>11</v>
      </c>
      <c r="E4748" s="17"/>
      <c r="F4748" s="18"/>
      <c r="G4748" s="36" t="str">
        <f>IF(ISNUMBER(F4748),C4748*F4748,"")</f>
        <v/>
      </c>
    </row>
    <row r="4749" spans="1:7" ht="12" customHeight="1" outlineLevel="2" x14ac:dyDescent="0.2">
      <c r="A4749" s="14" t="s">
        <v>9356</v>
      </c>
      <c r="B4749" s="15" t="s">
        <v>9357</v>
      </c>
      <c r="C4749" s="16">
        <f>21.38/(1+B2)</f>
        <v>21.38</v>
      </c>
      <c r="D4749" s="17" t="s">
        <v>11</v>
      </c>
      <c r="E4749" s="17"/>
      <c r="F4749" s="18"/>
      <c r="G4749" s="36" t="str">
        <f>IF(ISNUMBER(F4749),C4749*F4749,"")</f>
        <v/>
      </c>
    </row>
    <row r="4750" spans="1:7" ht="12" customHeight="1" outlineLevel="2" x14ac:dyDescent="0.2">
      <c r="A4750" s="14" t="s">
        <v>9358</v>
      </c>
      <c r="B4750" s="15" t="s">
        <v>9359</v>
      </c>
      <c r="C4750" s="16">
        <f>69.51/(1+B2)</f>
        <v>69.510000000000005</v>
      </c>
      <c r="D4750" s="17" t="s">
        <v>11</v>
      </c>
      <c r="E4750" s="17"/>
      <c r="F4750" s="18"/>
      <c r="G4750" s="36" t="str">
        <f>IF(ISNUMBER(F4750),C4750*F4750,"")</f>
        <v/>
      </c>
    </row>
    <row r="4751" spans="1:7" ht="12" customHeight="1" outlineLevel="2" x14ac:dyDescent="0.2">
      <c r="A4751" s="14" t="s">
        <v>9360</v>
      </c>
      <c r="B4751" s="15" t="s">
        <v>9361</v>
      </c>
      <c r="C4751" s="16">
        <f>10.14/(1+B2)</f>
        <v>10.14</v>
      </c>
      <c r="D4751" s="17" t="s">
        <v>106</v>
      </c>
      <c r="E4751" s="17"/>
      <c r="F4751" s="18"/>
      <c r="G4751" s="36" t="str">
        <f>IF(ISNUMBER(F4751),C4751*F4751,"")</f>
        <v/>
      </c>
    </row>
    <row r="4752" spans="1:7" ht="12" customHeight="1" outlineLevel="2" x14ac:dyDescent="0.2">
      <c r="A4752" s="14" t="s">
        <v>9362</v>
      </c>
      <c r="B4752" s="15" t="s">
        <v>9363</v>
      </c>
      <c r="C4752" s="16">
        <f>22.88/(1+B2)</f>
        <v>22.88</v>
      </c>
      <c r="D4752" s="17" t="s">
        <v>106</v>
      </c>
      <c r="E4752" s="17"/>
      <c r="F4752" s="18"/>
      <c r="G4752" s="36" t="str">
        <f>IF(ISNUMBER(F4752),C4752*F4752,"")</f>
        <v/>
      </c>
    </row>
    <row r="4753" spans="1:7" ht="12" customHeight="1" outlineLevel="2" x14ac:dyDescent="0.2">
      <c r="A4753" s="14" t="s">
        <v>9364</v>
      </c>
      <c r="B4753" s="15" t="s">
        <v>9365</v>
      </c>
      <c r="C4753" s="16">
        <f>10.8/(1+B2)</f>
        <v>10.8</v>
      </c>
      <c r="D4753" s="17" t="s">
        <v>11</v>
      </c>
      <c r="E4753" s="17"/>
      <c r="F4753" s="18"/>
      <c r="G4753" s="36" t="str">
        <f>IF(ISNUMBER(F4753),C4753*F4753,"")</f>
        <v/>
      </c>
    </row>
    <row r="4754" spans="1:7" ht="12" customHeight="1" outlineLevel="2" x14ac:dyDescent="0.2">
      <c r="A4754" s="14" t="s">
        <v>9366</v>
      </c>
      <c r="B4754" s="15" t="s">
        <v>9367</v>
      </c>
      <c r="C4754" s="16">
        <f>11.5/(1+B2)</f>
        <v>11.5</v>
      </c>
      <c r="D4754" s="17" t="s">
        <v>106</v>
      </c>
      <c r="E4754" s="17" t="s">
        <v>106</v>
      </c>
      <c r="F4754" s="18"/>
      <c r="G4754" s="36" t="str">
        <f>IF(ISNUMBER(F4754),C4754*F4754,"")</f>
        <v/>
      </c>
    </row>
    <row r="4755" spans="1:7" ht="12" customHeight="1" outlineLevel="2" x14ac:dyDescent="0.2">
      <c r="A4755" s="14" t="s">
        <v>9368</v>
      </c>
      <c r="B4755" s="15" t="s">
        <v>9369</v>
      </c>
      <c r="C4755" s="16">
        <f>13.53/(1+B2)</f>
        <v>13.53</v>
      </c>
      <c r="D4755" s="17" t="s">
        <v>11</v>
      </c>
      <c r="E4755" s="17" t="s">
        <v>106</v>
      </c>
      <c r="F4755" s="18"/>
      <c r="G4755" s="36" t="str">
        <f>IF(ISNUMBER(F4755),C4755*F4755,"")</f>
        <v/>
      </c>
    </row>
    <row r="4756" spans="1:7" ht="12" customHeight="1" outlineLevel="2" x14ac:dyDescent="0.2">
      <c r="A4756" s="14" t="s">
        <v>9370</v>
      </c>
      <c r="B4756" s="15" t="s">
        <v>9371</v>
      </c>
      <c r="C4756" s="16">
        <f>15.14/(1+B2)</f>
        <v>15.14</v>
      </c>
      <c r="D4756" s="17" t="s">
        <v>14</v>
      </c>
      <c r="E4756" s="17" t="s">
        <v>106</v>
      </c>
      <c r="F4756" s="18"/>
      <c r="G4756" s="36" t="str">
        <f>IF(ISNUMBER(F4756),C4756*F4756,"")</f>
        <v/>
      </c>
    </row>
    <row r="4757" spans="1:7" ht="12" customHeight="1" outlineLevel="2" x14ac:dyDescent="0.2">
      <c r="A4757" s="14" t="s">
        <v>9372</v>
      </c>
      <c r="B4757" s="15" t="s">
        <v>9373</v>
      </c>
      <c r="C4757" s="16">
        <f>18.12/(1+B2)</f>
        <v>18.12</v>
      </c>
      <c r="D4757" s="17" t="s">
        <v>106</v>
      </c>
      <c r="E4757" s="17" t="s">
        <v>106</v>
      </c>
      <c r="F4757" s="18"/>
      <c r="G4757" s="36" t="str">
        <f>IF(ISNUMBER(F4757),C4757*F4757,"")</f>
        <v/>
      </c>
    </row>
    <row r="4758" spans="1:7" ht="12" customHeight="1" outlineLevel="2" x14ac:dyDescent="0.2">
      <c r="A4758" s="14" t="s">
        <v>9374</v>
      </c>
      <c r="B4758" s="15" t="s">
        <v>9375</v>
      </c>
      <c r="C4758" s="16">
        <f>18.34/(1+B2)</f>
        <v>18.34</v>
      </c>
      <c r="D4758" s="17" t="s">
        <v>106</v>
      </c>
      <c r="E4758" s="17" t="s">
        <v>106</v>
      </c>
      <c r="F4758" s="18"/>
      <c r="G4758" s="36" t="str">
        <f>IF(ISNUMBER(F4758),C4758*F4758,"")</f>
        <v/>
      </c>
    </row>
    <row r="4759" spans="1:7" ht="12" customHeight="1" outlineLevel="2" x14ac:dyDescent="0.2">
      <c r="A4759" s="14" t="s">
        <v>9376</v>
      </c>
      <c r="B4759" s="15" t="s">
        <v>9377</v>
      </c>
      <c r="C4759" s="16">
        <f>10.47/(1+B2)</f>
        <v>10.47</v>
      </c>
      <c r="D4759" s="17" t="s">
        <v>106</v>
      </c>
      <c r="E4759" s="17" t="s">
        <v>106</v>
      </c>
      <c r="F4759" s="18"/>
      <c r="G4759" s="36" t="str">
        <f>IF(ISNUMBER(F4759),C4759*F4759,"")</f>
        <v/>
      </c>
    </row>
    <row r="4760" spans="1:7" ht="12" customHeight="1" outlineLevel="2" x14ac:dyDescent="0.2">
      <c r="A4760" s="14" t="s">
        <v>9378</v>
      </c>
      <c r="B4760" s="15" t="s">
        <v>9379</v>
      </c>
      <c r="C4760" s="16">
        <f>10.98/(1+B2)</f>
        <v>10.98</v>
      </c>
      <c r="D4760" s="17" t="s">
        <v>14</v>
      </c>
      <c r="E4760" s="17" t="s">
        <v>106</v>
      </c>
      <c r="F4760" s="18"/>
      <c r="G4760" s="36" t="str">
        <f>IF(ISNUMBER(F4760),C4760*F4760,"")</f>
        <v/>
      </c>
    </row>
    <row r="4761" spans="1:7" ht="12" customHeight="1" outlineLevel="2" x14ac:dyDescent="0.2">
      <c r="A4761" s="14" t="s">
        <v>9380</v>
      </c>
      <c r="B4761" s="15" t="s">
        <v>9381</v>
      </c>
      <c r="C4761" s="16">
        <f>10.68/(1+B2)</f>
        <v>10.68</v>
      </c>
      <c r="D4761" s="17" t="s">
        <v>11</v>
      </c>
      <c r="E4761" s="17" t="s">
        <v>106</v>
      </c>
      <c r="F4761" s="18"/>
      <c r="G4761" s="36" t="str">
        <f>IF(ISNUMBER(F4761),C4761*F4761,"")</f>
        <v/>
      </c>
    </row>
    <row r="4762" spans="1:7" ht="12" customHeight="1" outlineLevel="2" x14ac:dyDescent="0.2">
      <c r="A4762" s="14" t="s">
        <v>9382</v>
      </c>
      <c r="B4762" s="15" t="s">
        <v>9383</v>
      </c>
      <c r="C4762" s="16">
        <f>12.98/(1+B2)</f>
        <v>12.98</v>
      </c>
      <c r="D4762" s="17" t="s">
        <v>106</v>
      </c>
      <c r="E4762" s="17" t="s">
        <v>106</v>
      </c>
      <c r="F4762" s="18"/>
      <c r="G4762" s="36" t="str">
        <f>IF(ISNUMBER(F4762),C4762*F4762,"")</f>
        <v/>
      </c>
    </row>
    <row r="4763" spans="1:7" ht="12" customHeight="1" outlineLevel="2" x14ac:dyDescent="0.2">
      <c r="A4763" s="14" t="s">
        <v>9384</v>
      </c>
      <c r="B4763" s="15" t="s">
        <v>9385</v>
      </c>
      <c r="C4763" s="16">
        <f>14.09/(1+B2)</f>
        <v>14.09</v>
      </c>
      <c r="D4763" s="17" t="s">
        <v>106</v>
      </c>
      <c r="E4763" s="17" t="s">
        <v>106</v>
      </c>
      <c r="F4763" s="18"/>
      <c r="G4763" s="36" t="str">
        <f>IF(ISNUMBER(F4763),C4763*F4763,"")</f>
        <v/>
      </c>
    </row>
    <row r="4764" spans="1:7" ht="12" customHeight="1" outlineLevel="2" x14ac:dyDescent="0.2">
      <c r="A4764" s="14" t="s">
        <v>9386</v>
      </c>
      <c r="B4764" s="15" t="s">
        <v>9387</v>
      </c>
      <c r="C4764" s="16">
        <f>7.41/(1+B2)</f>
        <v>7.41</v>
      </c>
      <c r="D4764" s="17" t="s">
        <v>106</v>
      </c>
      <c r="E4764" s="17" t="s">
        <v>106</v>
      </c>
      <c r="F4764" s="18"/>
      <c r="G4764" s="36" t="str">
        <f>IF(ISNUMBER(F4764),C4764*F4764,"")</f>
        <v/>
      </c>
    </row>
    <row r="4765" spans="1:7" s="1" customFormat="1" ht="15.95" customHeight="1" outlineLevel="1" x14ac:dyDescent="0.25">
      <c r="A4765" s="11"/>
      <c r="B4765" s="12" t="s">
        <v>9388</v>
      </c>
      <c r="C4765" s="13"/>
      <c r="D4765" s="13"/>
      <c r="E4765" s="13"/>
      <c r="F4765" s="13"/>
      <c r="G4765" s="35"/>
    </row>
    <row r="4766" spans="1:7" s="1" customFormat="1" ht="12.95" customHeight="1" outlineLevel="2" x14ac:dyDescent="0.2">
      <c r="A4766" s="20"/>
      <c r="B4766" s="21" t="s">
        <v>9389</v>
      </c>
      <c r="C4766" s="22"/>
      <c r="D4766" s="22"/>
      <c r="E4766" s="22"/>
      <c r="F4766" s="22"/>
      <c r="G4766" s="37"/>
    </row>
    <row r="4767" spans="1:7" ht="12" customHeight="1" outlineLevel="3" x14ac:dyDescent="0.2">
      <c r="A4767" s="14" t="s">
        <v>9390</v>
      </c>
      <c r="B4767" s="15" t="s">
        <v>9391</v>
      </c>
      <c r="C4767" s="16">
        <f>0.7/(1+B2)</f>
        <v>0.7</v>
      </c>
      <c r="D4767" s="17" t="s">
        <v>106</v>
      </c>
      <c r="E4767" s="17" t="s">
        <v>106</v>
      </c>
      <c r="F4767" s="18"/>
      <c r="G4767" s="36" t="str">
        <f>IF(ISNUMBER(F4767),C4767*F4767,"")</f>
        <v/>
      </c>
    </row>
    <row r="4768" spans="1:7" ht="12" customHeight="1" outlineLevel="3" x14ac:dyDescent="0.2">
      <c r="A4768" s="14" t="s">
        <v>9392</v>
      </c>
      <c r="B4768" s="15" t="s">
        <v>9393</v>
      </c>
      <c r="C4768" s="16">
        <f>0.81/(1+B2)</f>
        <v>0.81</v>
      </c>
      <c r="D4768" s="17" t="s">
        <v>106</v>
      </c>
      <c r="E4768" s="17" t="s">
        <v>106</v>
      </c>
      <c r="F4768" s="18"/>
      <c r="G4768" s="36" t="str">
        <f>IF(ISNUMBER(F4768),C4768*F4768,"")</f>
        <v/>
      </c>
    </row>
    <row r="4769" spans="1:7" ht="12" customHeight="1" outlineLevel="2" x14ac:dyDescent="0.2">
      <c r="A4769" s="14" t="s">
        <v>9394</v>
      </c>
      <c r="B4769" s="15" t="s">
        <v>9395</v>
      </c>
      <c r="C4769" s="16">
        <f>564.3/(1+B2)</f>
        <v>564.29999999999995</v>
      </c>
      <c r="D4769" s="17" t="s">
        <v>11</v>
      </c>
      <c r="E4769" s="17" t="s">
        <v>14</v>
      </c>
      <c r="F4769" s="18"/>
      <c r="G4769" s="36" t="str">
        <f>IF(ISNUMBER(F4769),C4769*F4769,"")</f>
        <v/>
      </c>
    </row>
    <row r="4770" spans="1:7" ht="12" customHeight="1" outlineLevel="2" x14ac:dyDescent="0.2">
      <c r="A4770" s="14" t="s">
        <v>9396</v>
      </c>
      <c r="B4770" s="15" t="s">
        <v>9397</v>
      </c>
      <c r="C4770" s="16">
        <f>474.46/(1+B2)</f>
        <v>474.46</v>
      </c>
      <c r="D4770" s="17" t="s">
        <v>11</v>
      </c>
      <c r="E4770" s="17" t="s">
        <v>106</v>
      </c>
      <c r="F4770" s="18"/>
      <c r="G4770" s="36" t="str">
        <f>IF(ISNUMBER(F4770),C4770*F4770,"")</f>
        <v/>
      </c>
    </row>
    <row r="4771" spans="1:7" ht="12" customHeight="1" outlineLevel="2" x14ac:dyDescent="0.2">
      <c r="A4771" s="14" t="s">
        <v>9398</v>
      </c>
      <c r="B4771" s="15" t="s">
        <v>9399</v>
      </c>
      <c r="C4771" s="16">
        <f>555.7/(1+B2)</f>
        <v>555.70000000000005</v>
      </c>
      <c r="D4771" s="17" t="s">
        <v>11</v>
      </c>
      <c r="E4771" s="17"/>
      <c r="F4771" s="18"/>
      <c r="G4771" s="36" t="str">
        <f>IF(ISNUMBER(F4771),C4771*F4771,"")</f>
        <v/>
      </c>
    </row>
    <row r="4772" spans="1:7" ht="12" customHeight="1" outlineLevel="2" x14ac:dyDescent="0.2">
      <c r="A4772" s="14" t="s">
        <v>9400</v>
      </c>
      <c r="B4772" s="15" t="s">
        <v>9401</v>
      </c>
      <c r="C4772" s="16">
        <f>630.65/(1+B2)</f>
        <v>630.65</v>
      </c>
      <c r="D4772" s="17" t="s">
        <v>11</v>
      </c>
      <c r="E4772" s="17" t="s">
        <v>53</v>
      </c>
      <c r="F4772" s="18"/>
      <c r="G4772" s="36" t="str">
        <f>IF(ISNUMBER(F4772),C4772*F4772,"")</f>
        <v/>
      </c>
    </row>
    <row r="4773" spans="1:7" ht="12" customHeight="1" outlineLevel="2" x14ac:dyDescent="0.2">
      <c r="A4773" s="14" t="s">
        <v>9402</v>
      </c>
      <c r="B4773" s="15" t="s">
        <v>9403</v>
      </c>
      <c r="C4773" s="19">
        <f>4858.55/(1+B2)</f>
        <v>4858.55</v>
      </c>
      <c r="D4773" s="17" t="s">
        <v>11</v>
      </c>
      <c r="E4773" s="17" t="s">
        <v>11</v>
      </c>
      <c r="F4773" s="18"/>
      <c r="G4773" s="36" t="str">
        <f>IF(ISNUMBER(F4773),C4773*F4773,"")</f>
        <v/>
      </c>
    </row>
    <row r="4774" spans="1:7" ht="12" customHeight="1" outlineLevel="2" x14ac:dyDescent="0.2">
      <c r="A4774" s="14" t="s">
        <v>9404</v>
      </c>
      <c r="B4774" s="15" t="s">
        <v>9405</v>
      </c>
      <c r="C4774" s="16">
        <f>482.33/(1+B2)</f>
        <v>482.33</v>
      </c>
      <c r="D4774" s="17" t="s">
        <v>11</v>
      </c>
      <c r="E4774" s="17" t="s">
        <v>11</v>
      </c>
      <c r="F4774" s="18"/>
      <c r="G4774" s="36" t="str">
        <f>IF(ISNUMBER(F4774),C4774*F4774,"")</f>
        <v/>
      </c>
    </row>
    <row r="4775" spans="1:7" ht="12" customHeight="1" outlineLevel="2" x14ac:dyDescent="0.2">
      <c r="A4775" s="14" t="s">
        <v>9406</v>
      </c>
      <c r="B4775" s="15" t="s">
        <v>9407</v>
      </c>
      <c r="C4775" s="16">
        <f>678.23/(1+B2)</f>
        <v>678.23</v>
      </c>
      <c r="D4775" s="17" t="s">
        <v>11</v>
      </c>
      <c r="E4775" s="17"/>
      <c r="F4775" s="18"/>
      <c r="G4775" s="36" t="str">
        <f>IF(ISNUMBER(F4775),C4775*F4775,"")</f>
        <v/>
      </c>
    </row>
    <row r="4776" spans="1:7" ht="12" customHeight="1" outlineLevel="2" x14ac:dyDescent="0.2">
      <c r="A4776" s="14" t="s">
        <v>9408</v>
      </c>
      <c r="B4776" s="15" t="s">
        <v>9409</v>
      </c>
      <c r="C4776" s="16">
        <f>612.4/(1+B2)</f>
        <v>612.4</v>
      </c>
      <c r="D4776" s="17" t="s">
        <v>11</v>
      </c>
      <c r="E4776" s="17"/>
      <c r="F4776" s="18"/>
      <c r="G4776" s="36" t="str">
        <f>IF(ISNUMBER(F4776),C4776*F4776,"")</f>
        <v/>
      </c>
    </row>
    <row r="4777" spans="1:7" ht="12" customHeight="1" outlineLevel="2" x14ac:dyDescent="0.2">
      <c r="A4777" s="14" t="s">
        <v>9410</v>
      </c>
      <c r="B4777" s="15" t="s">
        <v>9411</v>
      </c>
      <c r="C4777" s="16">
        <f>516.7/(1+B2)</f>
        <v>516.70000000000005</v>
      </c>
      <c r="D4777" s="17" t="s">
        <v>11</v>
      </c>
      <c r="E4777" s="17"/>
      <c r="F4777" s="18"/>
      <c r="G4777" s="36" t="str">
        <f>IF(ISNUMBER(F4777),C4777*F4777,"")</f>
        <v/>
      </c>
    </row>
    <row r="4778" spans="1:7" ht="12" customHeight="1" outlineLevel="2" x14ac:dyDescent="0.2">
      <c r="A4778" s="14" t="s">
        <v>9412</v>
      </c>
      <c r="B4778" s="15" t="s">
        <v>9413</v>
      </c>
      <c r="C4778" s="16">
        <f>631.73/(1+B2)</f>
        <v>631.73</v>
      </c>
      <c r="D4778" s="17" t="s">
        <v>11</v>
      </c>
      <c r="E4778" s="17" t="s">
        <v>11</v>
      </c>
      <c r="F4778" s="18"/>
      <c r="G4778" s="36" t="str">
        <f>IF(ISNUMBER(F4778),C4778*F4778,"")</f>
        <v/>
      </c>
    </row>
    <row r="4779" spans="1:7" ht="12" customHeight="1" outlineLevel="2" x14ac:dyDescent="0.2">
      <c r="A4779" s="14" t="s">
        <v>9414</v>
      </c>
      <c r="B4779" s="15" t="s">
        <v>9415</v>
      </c>
      <c r="C4779" s="16">
        <f>291.45/(1+B2)</f>
        <v>291.45</v>
      </c>
      <c r="D4779" s="17" t="s">
        <v>11</v>
      </c>
      <c r="E4779" s="17" t="s">
        <v>11</v>
      </c>
      <c r="F4779" s="18"/>
      <c r="G4779" s="36" t="str">
        <f>IF(ISNUMBER(F4779),C4779*F4779,"")</f>
        <v/>
      </c>
    </row>
    <row r="4780" spans="1:7" ht="12" customHeight="1" outlineLevel="2" x14ac:dyDescent="0.2">
      <c r="A4780" s="14" t="s">
        <v>9416</v>
      </c>
      <c r="B4780" s="15" t="s">
        <v>9417</v>
      </c>
      <c r="C4780" s="16">
        <f>186/(1+B2)</f>
        <v>186</v>
      </c>
      <c r="D4780" s="17" t="s">
        <v>11</v>
      </c>
      <c r="E4780" s="17"/>
      <c r="F4780" s="18"/>
      <c r="G4780" s="36" t="str">
        <f>IF(ISNUMBER(F4780),C4780*F4780,"")</f>
        <v/>
      </c>
    </row>
    <row r="4781" spans="1:7" ht="24" customHeight="1" outlineLevel="2" x14ac:dyDescent="0.2">
      <c r="A4781" s="14" t="s">
        <v>9418</v>
      </c>
      <c r="B4781" s="15" t="s">
        <v>9419</v>
      </c>
      <c r="C4781" s="16">
        <f>480.7/(1+B2)</f>
        <v>480.7</v>
      </c>
      <c r="D4781" s="17" t="s">
        <v>11</v>
      </c>
      <c r="E4781" s="17" t="s">
        <v>11</v>
      </c>
      <c r="F4781" s="18"/>
      <c r="G4781" s="36" t="str">
        <f>IF(ISNUMBER(F4781),C4781*F4781,"")</f>
        <v/>
      </c>
    </row>
    <row r="4782" spans="1:7" ht="24" customHeight="1" outlineLevel="2" x14ac:dyDescent="0.2">
      <c r="A4782" s="14" t="s">
        <v>9420</v>
      </c>
      <c r="B4782" s="15" t="s">
        <v>9421</v>
      </c>
      <c r="C4782" s="16">
        <f>573.36/(1+B2)</f>
        <v>573.36</v>
      </c>
      <c r="D4782" s="17" t="s">
        <v>11</v>
      </c>
      <c r="E4782" s="17" t="s">
        <v>11</v>
      </c>
      <c r="F4782" s="18"/>
      <c r="G4782" s="36" t="str">
        <f>IF(ISNUMBER(F4782),C4782*F4782,"")</f>
        <v/>
      </c>
    </row>
    <row r="4783" spans="1:7" ht="24" customHeight="1" outlineLevel="2" x14ac:dyDescent="0.2">
      <c r="A4783" s="14" t="s">
        <v>9422</v>
      </c>
      <c r="B4783" s="15" t="s">
        <v>9423</v>
      </c>
      <c r="C4783" s="16">
        <f>675.68/(1+B2)</f>
        <v>675.68</v>
      </c>
      <c r="D4783" s="17" t="s">
        <v>11</v>
      </c>
      <c r="E4783" s="17" t="s">
        <v>11</v>
      </c>
      <c r="F4783" s="18"/>
      <c r="G4783" s="36" t="str">
        <f>IF(ISNUMBER(F4783),C4783*F4783,"")</f>
        <v/>
      </c>
    </row>
    <row r="4784" spans="1:7" ht="24" customHeight="1" outlineLevel="2" x14ac:dyDescent="0.2">
      <c r="A4784" s="14" t="s">
        <v>9424</v>
      </c>
      <c r="B4784" s="15" t="s">
        <v>9425</v>
      </c>
      <c r="C4784" s="16">
        <f>518.94/(1+B2)</f>
        <v>518.94000000000005</v>
      </c>
      <c r="D4784" s="17" t="s">
        <v>11</v>
      </c>
      <c r="E4784" s="17" t="s">
        <v>11</v>
      </c>
      <c r="F4784" s="18"/>
      <c r="G4784" s="36" t="str">
        <f>IF(ISNUMBER(F4784),C4784*F4784,"")</f>
        <v/>
      </c>
    </row>
    <row r="4785" spans="1:7" ht="24" customHeight="1" outlineLevel="2" x14ac:dyDescent="0.2">
      <c r="A4785" s="14" t="s">
        <v>9426</v>
      </c>
      <c r="B4785" s="15" t="s">
        <v>9427</v>
      </c>
      <c r="C4785" s="16">
        <f>796.5/(1+B2)</f>
        <v>796.5</v>
      </c>
      <c r="D4785" s="17" t="s">
        <v>11</v>
      </c>
      <c r="E4785" s="17"/>
      <c r="F4785" s="18"/>
      <c r="G4785" s="36" t="str">
        <f>IF(ISNUMBER(F4785),C4785*F4785,"")</f>
        <v/>
      </c>
    </row>
    <row r="4786" spans="1:7" s="1" customFormat="1" ht="15.95" customHeight="1" outlineLevel="1" x14ac:dyDescent="0.25">
      <c r="A4786" s="11"/>
      <c r="B4786" s="12" t="s">
        <v>9428</v>
      </c>
      <c r="C4786" s="13"/>
      <c r="D4786" s="13"/>
      <c r="E4786" s="13"/>
      <c r="F4786" s="13"/>
      <c r="G4786" s="35"/>
    </row>
    <row r="4787" spans="1:7" ht="12" customHeight="1" outlineLevel="2" x14ac:dyDescent="0.2">
      <c r="A4787" s="14" t="s">
        <v>9429</v>
      </c>
      <c r="B4787" s="15" t="s">
        <v>9430</v>
      </c>
      <c r="C4787" s="16">
        <f>371.04/(1+B2)</f>
        <v>371.04</v>
      </c>
      <c r="D4787" s="17" t="s">
        <v>11</v>
      </c>
      <c r="E4787" s="17"/>
      <c r="F4787" s="18"/>
      <c r="G4787" s="36" t="str">
        <f>IF(ISNUMBER(F4787),C4787*F4787,"")</f>
        <v/>
      </c>
    </row>
    <row r="4788" spans="1:7" ht="12" customHeight="1" outlineLevel="2" x14ac:dyDescent="0.2">
      <c r="A4788" s="14" t="s">
        <v>9431</v>
      </c>
      <c r="B4788" s="15" t="s">
        <v>9432</v>
      </c>
      <c r="C4788" s="16">
        <f>230.88/(1+B2)</f>
        <v>230.88</v>
      </c>
      <c r="D4788" s="17" t="s">
        <v>11</v>
      </c>
      <c r="E4788" s="17"/>
      <c r="F4788" s="18"/>
      <c r="G4788" s="36" t="str">
        <f>IF(ISNUMBER(F4788),C4788*F4788,"")</f>
        <v/>
      </c>
    </row>
    <row r="4789" spans="1:7" ht="12" customHeight="1" outlineLevel="2" x14ac:dyDescent="0.2">
      <c r="A4789" s="14" t="s">
        <v>9433</v>
      </c>
      <c r="B4789" s="15" t="s">
        <v>9434</v>
      </c>
      <c r="C4789" s="16">
        <f>323.4/(1+B2)</f>
        <v>323.39999999999998</v>
      </c>
      <c r="D4789" s="17" t="s">
        <v>11</v>
      </c>
      <c r="E4789" s="17"/>
      <c r="F4789" s="18"/>
      <c r="G4789" s="36" t="str">
        <f>IF(ISNUMBER(F4789),C4789*F4789,"")</f>
        <v/>
      </c>
    </row>
    <row r="4790" spans="1:7" ht="12" customHeight="1" outlineLevel="2" x14ac:dyDescent="0.2">
      <c r="A4790" s="14" t="s">
        <v>9435</v>
      </c>
      <c r="B4790" s="15" t="s">
        <v>9436</v>
      </c>
      <c r="C4790" s="16">
        <f>230.88/(1+B2)</f>
        <v>230.88</v>
      </c>
      <c r="D4790" s="17" t="s">
        <v>11</v>
      </c>
      <c r="E4790" s="17"/>
      <c r="F4790" s="18"/>
      <c r="G4790" s="36" t="str">
        <f>IF(ISNUMBER(F4790),C4790*F4790,"")</f>
        <v/>
      </c>
    </row>
    <row r="4791" spans="1:7" ht="12" customHeight="1" outlineLevel="2" x14ac:dyDescent="0.2">
      <c r="A4791" s="14" t="s">
        <v>9437</v>
      </c>
      <c r="B4791" s="15" t="s">
        <v>9438</v>
      </c>
      <c r="C4791" s="16">
        <f>103.73/(1+B2)</f>
        <v>103.73</v>
      </c>
      <c r="D4791" s="17" t="s">
        <v>11</v>
      </c>
      <c r="E4791" s="17"/>
      <c r="F4791" s="18"/>
      <c r="G4791" s="36" t="str">
        <f>IF(ISNUMBER(F4791),C4791*F4791,"")</f>
        <v/>
      </c>
    </row>
    <row r="4792" spans="1:7" ht="12" customHeight="1" outlineLevel="2" x14ac:dyDescent="0.2">
      <c r="A4792" s="14" t="s">
        <v>9439</v>
      </c>
      <c r="B4792" s="15" t="s">
        <v>9440</v>
      </c>
      <c r="C4792" s="16">
        <f>160.19/(1+B2)</f>
        <v>160.19</v>
      </c>
      <c r="D4792" s="17" t="s">
        <v>11</v>
      </c>
      <c r="E4792" s="17"/>
      <c r="F4792" s="18"/>
      <c r="G4792" s="36" t="str">
        <f>IF(ISNUMBER(F4792),C4792*F4792,"")</f>
        <v/>
      </c>
    </row>
    <row r="4793" spans="1:7" ht="12" customHeight="1" outlineLevel="2" x14ac:dyDescent="0.2">
      <c r="A4793" s="14" t="s">
        <v>9441</v>
      </c>
      <c r="B4793" s="15" t="s">
        <v>9442</v>
      </c>
      <c r="C4793" s="16">
        <f>214.5/(1+B2)</f>
        <v>214.5</v>
      </c>
      <c r="D4793" s="17" t="s">
        <v>11</v>
      </c>
      <c r="E4793" s="17"/>
      <c r="F4793" s="18"/>
      <c r="G4793" s="36" t="str">
        <f>IF(ISNUMBER(F4793),C4793*F4793,"")</f>
        <v/>
      </c>
    </row>
    <row r="4794" spans="1:7" ht="12" customHeight="1" outlineLevel="2" x14ac:dyDescent="0.2">
      <c r="A4794" s="14" t="s">
        <v>9443</v>
      </c>
      <c r="B4794" s="15" t="s">
        <v>9444</v>
      </c>
      <c r="C4794" s="16">
        <f>119.48/(1+B2)</f>
        <v>119.48</v>
      </c>
      <c r="D4794" s="17" t="s">
        <v>11</v>
      </c>
      <c r="E4794" s="17"/>
      <c r="F4794" s="18"/>
      <c r="G4794" s="36" t="str">
        <f>IF(ISNUMBER(F4794),C4794*F4794,"")</f>
        <v/>
      </c>
    </row>
    <row r="4795" spans="1:7" ht="12" customHeight="1" outlineLevel="2" x14ac:dyDescent="0.2">
      <c r="A4795" s="14" t="s">
        <v>9445</v>
      </c>
      <c r="B4795" s="15" t="s">
        <v>9446</v>
      </c>
      <c r="C4795" s="16">
        <f>312/(1+B2)</f>
        <v>312</v>
      </c>
      <c r="D4795" s="17" t="s">
        <v>11</v>
      </c>
      <c r="E4795" s="17"/>
      <c r="F4795" s="18"/>
      <c r="G4795" s="36" t="str">
        <f>IF(ISNUMBER(F4795),C4795*F4795,"")</f>
        <v/>
      </c>
    </row>
    <row r="4796" spans="1:7" s="1" customFormat="1" ht="15.95" customHeight="1" outlineLevel="1" x14ac:dyDescent="0.25">
      <c r="A4796" s="11"/>
      <c r="B4796" s="12" t="s">
        <v>9447</v>
      </c>
      <c r="C4796" s="13"/>
      <c r="D4796" s="13"/>
      <c r="E4796" s="13"/>
      <c r="F4796" s="13"/>
      <c r="G4796" s="35"/>
    </row>
    <row r="4797" spans="1:7" ht="12" customHeight="1" outlineLevel="2" x14ac:dyDescent="0.2">
      <c r="A4797" s="14" t="s">
        <v>9448</v>
      </c>
      <c r="B4797" s="15" t="s">
        <v>9449</v>
      </c>
      <c r="C4797" s="16">
        <f>91.23/(1+B2)</f>
        <v>91.23</v>
      </c>
      <c r="D4797" s="17" t="s">
        <v>11</v>
      </c>
      <c r="E4797" s="17"/>
      <c r="F4797" s="18"/>
      <c r="G4797" s="36" t="str">
        <f>IF(ISNUMBER(F4797),C4797*F4797,"")</f>
        <v/>
      </c>
    </row>
    <row r="4798" spans="1:7" ht="12" customHeight="1" outlineLevel="2" x14ac:dyDescent="0.2">
      <c r="A4798" s="14" t="s">
        <v>9450</v>
      </c>
      <c r="B4798" s="15" t="s">
        <v>9451</v>
      </c>
      <c r="C4798" s="16">
        <f>114.05/(1+B2)</f>
        <v>114.05</v>
      </c>
      <c r="D4798" s="17" t="s">
        <v>11</v>
      </c>
      <c r="E4798" s="17"/>
      <c r="F4798" s="18"/>
      <c r="G4798" s="36" t="str">
        <f>IF(ISNUMBER(F4798),C4798*F4798,"")</f>
        <v/>
      </c>
    </row>
    <row r="4799" spans="1:7" ht="12" customHeight="1" outlineLevel="2" x14ac:dyDescent="0.2">
      <c r="A4799" s="14" t="s">
        <v>9452</v>
      </c>
      <c r="B4799" s="15" t="s">
        <v>9453</v>
      </c>
      <c r="C4799" s="16">
        <f>12.14/(1+B2)</f>
        <v>12.14</v>
      </c>
      <c r="D4799" s="17" t="s">
        <v>53</v>
      </c>
      <c r="E4799" s="17" t="s">
        <v>106</v>
      </c>
      <c r="F4799" s="18"/>
      <c r="G4799" s="36" t="str">
        <f>IF(ISNUMBER(F4799),C4799*F4799,"")</f>
        <v/>
      </c>
    </row>
    <row r="4800" spans="1:7" ht="12" customHeight="1" outlineLevel="2" x14ac:dyDescent="0.2">
      <c r="A4800" s="14" t="s">
        <v>9454</v>
      </c>
      <c r="B4800" s="15" t="s">
        <v>9455</v>
      </c>
      <c r="C4800" s="16">
        <f>15.11/(1+B2)</f>
        <v>15.11</v>
      </c>
      <c r="D4800" s="17" t="s">
        <v>106</v>
      </c>
      <c r="E4800" s="17" t="s">
        <v>106</v>
      </c>
      <c r="F4800" s="18"/>
      <c r="G4800" s="36" t="str">
        <f>IF(ISNUMBER(F4800),C4800*F4800,"")</f>
        <v/>
      </c>
    </row>
    <row r="4801" spans="1:7" ht="12" customHeight="1" outlineLevel="2" x14ac:dyDescent="0.2">
      <c r="A4801" s="14" t="s">
        <v>9456</v>
      </c>
      <c r="B4801" s="15" t="s">
        <v>9457</v>
      </c>
      <c r="C4801" s="16">
        <f>27.95/(1+B2)</f>
        <v>27.95</v>
      </c>
      <c r="D4801" s="17" t="s">
        <v>53</v>
      </c>
      <c r="E4801" s="17"/>
      <c r="F4801" s="18"/>
      <c r="G4801" s="36" t="str">
        <f>IF(ISNUMBER(F4801),C4801*F4801,"")</f>
        <v/>
      </c>
    </row>
    <row r="4802" spans="1:7" ht="12" customHeight="1" outlineLevel="2" x14ac:dyDescent="0.2">
      <c r="A4802" s="14" t="s">
        <v>9458</v>
      </c>
      <c r="B4802" s="15" t="s">
        <v>9459</v>
      </c>
      <c r="C4802" s="16">
        <f>36.04/(1+B2)</f>
        <v>36.04</v>
      </c>
      <c r="D4802" s="17" t="s">
        <v>53</v>
      </c>
      <c r="E4802" s="17"/>
      <c r="F4802" s="18"/>
      <c r="G4802" s="36" t="str">
        <f>IF(ISNUMBER(F4802),C4802*F4802,"")</f>
        <v/>
      </c>
    </row>
    <row r="4803" spans="1:7" ht="12" customHeight="1" outlineLevel="2" x14ac:dyDescent="0.2">
      <c r="A4803" s="14" t="s">
        <v>9460</v>
      </c>
      <c r="B4803" s="15" t="s">
        <v>9461</v>
      </c>
      <c r="C4803" s="16">
        <f>9.85/(1+B2)</f>
        <v>9.85</v>
      </c>
      <c r="D4803" s="17" t="s">
        <v>106</v>
      </c>
      <c r="E4803" s="17" t="s">
        <v>106</v>
      </c>
      <c r="F4803" s="18"/>
      <c r="G4803" s="36" t="str">
        <f>IF(ISNUMBER(F4803),C4803*F4803,"")</f>
        <v/>
      </c>
    </row>
    <row r="4804" spans="1:7" ht="12" customHeight="1" outlineLevel="2" x14ac:dyDescent="0.2">
      <c r="A4804" s="14" t="s">
        <v>9462</v>
      </c>
      <c r="B4804" s="15" t="s">
        <v>9463</v>
      </c>
      <c r="C4804" s="16">
        <f>12.12/(1+B2)</f>
        <v>12.12</v>
      </c>
      <c r="D4804" s="17" t="s">
        <v>106</v>
      </c>
      <c r="E4804" s="17" t="s">
        <v>106</v>
      </c>
      <c r="F4804" s="18"/>
      <c r="G4804" s="36" t="str">
        <f>IF(ISNUMBER(F4804),C4804*F4804,"")</f>
        <v/>
      </c>
    </row>
    <row r="4805" spans="1:7" ht="12" customHeight="1" outlineLevel="2" x14ac:dyDescent="0.2">
      <c r="A4805" s="14" t="s">
        <v>9464</v>
      </c>
      <c r="B4805" s="15" t="s">
        <v>9465</v>
      </c>
      <c r="C4805" s="16">
        <f>6.89/(1+B2)</f>
        <v>6.89</v>
      </c>
      <c r="D4805" s="17" t="s">
        <v>53</v>
      </c>
      <c r="E4805" s="17" t="s">
        <v>106</v>
      </c>
      <c r="F4805" s="18"/>
      <c r="G4805" s="36" t="str">
        <f>IF(ISNUMBER(F4805),C4805*F4805,"")</f>
        <v/>
      </c>
    </row>
    <row r="4806" spans="1:7" ht="12" customHeight="1" outlineLevel="2" x14ac:dyDescent="0.2">
      <c r="A4806" s="14" t="s">
        <v>9466</v>
      </c>
      <c r="B4806" s="15" t="s">
        <v>9467</v>
      </c>
      <c r="C4806" s="16">
        <f>8.91/(1+B2)</f>
        <v>8.91</v>
      </c>
      <c r="D4806" s="17" t="s">
        <v>53</v>
      </c>
      <c r="E4806" s="17"/>
      <c r="F4806" s="18"/>
      <c r="G4806" s="36" t="str">
        <f>IF(ISNUMBER(F4806),C4806*F4806,"")</f>
        <v/>
      </c>
    </row>
    <row r="4807" spans="1:7" ht="12" customHeight="1" outlineLevel="2" x14ac:dyDescent="0.2">
      <c r="A4807" s="14" t="s">
        <v>9468</v>
      </c>
      <c r="B4807" s="15" t="s">
        <v>9469</v>
      </c>
      <c r="C4807" s="16">
        <f>22.65/(1+B2)</f>
        <v>22.65</v>
      </c>
      <c r="D4807" s="17" t="s">
        <v>11</v>
      </c>
      <c r="E4807" s="17"/>
      <c r="F4807" s="18"/>
      <c r="G4807" s="36" t="str">
        <f>IF(ISNUMBER(F4807),C4807*F4807,"")</f>
        <v/>
      </c>
    </row>
    <row r="4808" spans="1:7" s="1" customFormat="1" ht="15.95" customHeight="1" outlineLevel="1" x14ac:dyDescent="0.25">
      <c r="A4808" s="11"/>
      <c r="B4808" s="12" t="s">
        <v>9470</v>
      </c>
      <c r="C4808" s="13"/>
      <c r="D4808" s="13"/>
      <c r="E4808" s="13"/>
      <c r="F4808" s="13"/>
      <c r="G4808" s="35"/>
    </row>
    <row r="4809" spans="1:7" ht="12" customHeight="1" outlineLevel="2" x14ac:dyDescent="0.2">
      <c r="A4809" s="14" t="s">
        <v>9471</v>
      </c>
      <c r="B4809" s="15" t="s">
        <v>9472</v>
      </c>
      <c r="C4809" s="16">
        <f>63.6/(1+B2)</f>
        <v>63.6</v>
      </c>
      <c r="D4809" s="17" t="s">
        <v>11</v>
      </c>
      <c r="E4809" s="17"/>
      <c r="F4809" s="18"/>
      <c r="G4809" s="36" t="str">
        <f>IF(ISNUMBER(F4809),C4809*F4809,"")</f>
        <v/>
      </c>
    </row>
    <row r="4810" spans="1:7" ht="12" customHeight="1" outlineLevel="2" x14ac:dyDescent="0.2">
      <c r="A4810" s="14" t="s">
        <v>9473</v>
      </c>
      <c r="B4810" s="15" t="s">
        <v>9474</v>
      </c>
      <c r="C4810" s="16">
        <f>37.32/(1+B2)</f>
        <v>37.32</v>
      </c>
      <c r="D4810" s="17" t="s">
        <v>11</v>
      </c>
      <c r="E4810" s="17"/>
      <c r="F4810" s="18"/>
      <c r="G4810" s="36" t="str">
        <f>IF(ISNUMBER(F4810),C4810*F4810,"")</f>
        <v/>
      </c>
    </row>
    <row r="4811" spans="1:7" ht="12" customHeight="1" outlineLevel="2" x14ac:dyDescent="0.2">
      <c r="A4811" s="14" t="s">
        <v>9475</v>
      </c>
      <c r="B4811" s="15" t="s">
        <v>9476</v>
      </c>
      <c r="C4811" s="16">
        <f>33.96/(1+B2)</f>
        <v>33.96</v>
      </c>
      <c r="D4811" s="17" t="s">
        <v>11</v>
      </c>
      <c r="E4811" s="17"/>
      <c r="F4811" s="18"/>
      <c r="G4811" s="36" t="str">
        <f>IF(ISNUMBER(F4811),C4811*F4811,"")</f>
        <v/>
      </c>
    </row>
    <row r="4812" spans="1:7" ht="12" customHeight="1" outlineLevel="2" x14ac:dyDescent="0.2">
      <c r="A4812" s="14" t="s">
        <v>9477</v>
      </c>
      <c r="B4812" s="15" t="s">
        <v>9478</v>
      </c>
      <c r="C4812" s="16">
        <f>63.6/(1+B2)</f>
        <v>63.6</v>
      </c>
      <c r="D4812" s="17" t="s">
        <v>11</v>
      </c>
      <c r="E4812" s="17"/>
      <c r="F4812" s="18"/>
      <c r="G4812" s="36" t="str">
        <f>IF(ISNUMBER(F4812),C4812*F4812,"")</f>
        <v/>
      </c>
    </row>
    <row r="4813" spans="1:7" ht="12" customHeight="1" outlineLevel="2" x14ac:dyDescent="0.2">
      <c r="A4813" s="14" t="s">
        <v>9479</v>
      </c>
      <c r="B4813" s="15" t="s">
        <v>9480</v>
      </c>
      <c r="C4813" s="16">
        <f>33.96/(1+B2)</f>
        <v>33.96</v>
      </c>
      <c r="D4813" s="17" t="s">
        <v>11</v>
      </c>
      <c r="E4813" s="17"/>
      <c r="F4813" s="18"/>
      <c r="G4813" s="36" t="str">
        <f>IF(ISNUMBER(F4813),C4813*F4813,"")</f>
        <v/>
      </c>
    </row>
    <row r="4814" spans="1:7" ht="24" customHeight="1" outlineLevel="2" x14ac:dyDescent="0.2">
      <c r="A4814" s="14" t="s">
        <v>9481</v>
      </c>
      <c r="B4814" s="15" t="s">
        <v>9482</v>
      </c>
      <c r="C4814" s="16">
        <f>1.94/(1+B2)</f>
        <v>1.94</v>
      </c>
      <c r="D4814" s="17" t="s">
        <v>106</v>
      </c>
      <c r="E4814" s="17" t="s">
        <v>106</v>
      </c>
      <c r="F4814" s="18"/>
      <c r="G4814" s="36" t="str">
        <f>IF(ISNUMBER(F4814),C4814*F4814,"")</f>
        <v/>
      </c>
    </row>
    <row r="4815" spans="1:7" ht="12" customHeight="1" outlineLevel="2" x14ac:dyDescent="0.2">
      <c r="A4815" s="14" t="s">
        <v>9483</v>
      </c>
      <c r="B4815" s="15" t="s">
        <v>9484</v>
      </c>
      <c r="C4815" s="16">
        <f>1.94/(1+B2)</f>
        <v>1.94</v>
      </c>
      <c r="D4815" s="17" t="s">
        <v>106</v>
      </c>
      <c r="E4815" s="17" t="s">
        <v>106</v>
      </c>
      <c r="F4815" s="18"/>
      <c r="G4815" s="36" t="str">
        <f>IF(ISNUMBER(F4815),C4815*F4815,"")</f>
        <v/>
      </c>
    </row>
    <row r="4816" spans="1:7" ht="12" customHeight="1" outlineLevel="2" x14ac:dyDescent="0.2">
      <c r="A4816" s="14" t="s">
        <v>9485</v>
      </c>
      <c r="B4816" s="15" t="s">
        <v>9486</v>
      </c>
      <c r="C4816" s="16">
        <f>1.94/(1+B2)</f>
        <v>1.94</v>
      </c>
      <c r="D4816" s="17" t="s">
        <v>106</v>
      </c>
      <c r="E4816" s="17" t="s">
        <v>106</v>
      </c>
      <c r="F4816" s="18"/>
      <c r="G4816" s="36" t="str">
        <f>IF(ISNUMBER(F4816),C4816*F4816,"")</f>
        <v/>
      </c>
    </row>
    <row r="4817" spans="1:7" ht="12" customHeight="1" outlineLevel="2" x14ac:dyDescent="0.2">
      <c r="A4817" s="14" t="s">
        <v>9487</v>
      </c>
      <c r="B4817" s="15" t="s">
        <v>9488</v>
      </c>
      <c r="C4817" s="16">
        <f>1.94/(1+B2)</f>
        <v>1.94</v>
      </c>
      <c r="D4817" s="17" t="s">
        <v>106</v>
      </c>
      <c r="E4817" s="17" t="s">
        <v>106</v>
      </c>
      <c r="F4817" s="18"/>
      <c r="G4817" s="36" t="str">
        <f>IF(ISNUMBER(F4817),C4817*F4817,"")</f>
        <v/>
      </c>
    </row>
    <row r="4818" spans="1:7" ht="12" customHeight="1" outlineLevel="2" x14ac:dyDescent="0.2">
      <c r="A4818" s="14" t="s">
        <v>9489</v>
      </c>
      <c r="B4818" s="15" t="s">
        <v>9490</v>
      </c>
      <c r="C4818" s="16">
        <f>1.84/(1+B2)</f>
        <v>1.84</v>
      </c>
      <c r="D4818" s="17" t="s">
        <v>106</v>
      </c>
      <c r="E4818" s="17"/>
      <c r="F4818" s="18"/>
      <c r="G4818" s="36" t="str">
        <f>IF(ISNUMBER(F4818),C4818*F4818,"")</f>
        <v/>
      </c>
    </row>
    <row r="4819" spans="1:7" ht="12" customHeight="1" outlineLevel="2" x14ac:dyDescent="0.2">
      <c r="A4819" s="14" t="s">
        <v>9491</v>
      </c>
      <c r="B4819" s="15" t="s">
        <v>9492</v>
      </c>
      <c r="C4819" s="16">
        <f>1.91/(1+B2)</f>
        <v>1.91</v>
      </c>
      <c r="D4819" s="17" t="s">
        <v>53</v>
      </c>
      <c r="E4819" s="17" t="s">
        <v>106</v>
      </c>
      <c r="F4819" s="18"/>
      <c r="G4819" s="36" t="str">
        <f>IF(ISNUMBER(F4819),C4819*F4819,"")</f>
        <v/>
      </c>
    </row>
    <row r="4820" spans="1:7" ht="12" customHeight="1" outlineLevel="2" x14ac:dyDescent="0.2">
      <c r="A4820" s="14" t="s">
        <v>9493</v>
      </c>
      <c r="B4820" s="15" t="s">
        <v>9494</v>
      </c>
      <c r="C4820" s="16">
        <f>2.43/(1+B2)</f>
        <v>2.4300000000000002</v>
      </c>
      <c r="D4820" s="17" t="s">
        <v>106</v>
      </c>
      <c r="E4820" s="17"/>
      <c r="F4820" s="18"/>
      <c r="G4820" s="36" t="str">
        <f>IF(ISNUMBER(F4820),C4820*F4820,"")</f>
        <v/>
      </c>
    </row>
    <row r="4821" spans="1:7" ht="12" customHeight="1" outlineLevel="2" x14ac:dyDescent="0.2">
      <c r="A4821" s="14" t="s">
        <v>9495</v>
      </c>
      <c r="B4821" s="15" t="s">
        <v>9496</v>
      </c>
      <c r="C4821" s="16">
        <f>4.21/(1+B2)</f>
        <v>4.21</v>
      </c>
      <c r="D4821" s="17" t="s">
        <v>106</v>
      </c>
      <c r="E4821" s="17"/>
      <c r="F4821" s="18"/>
      <c r="G4821" s="36" t="str">
        <f>IF(ISNUMBER(F4821),C4821*F4821,"")</f>
        <v/>
      </c>
    </row>
    <row r="4822" spans="1:7" ht="12" customHeight="1" outlineLevel="2" x14ac:dyDescent="0.2">
      <c r="A4822" s="14" t="s">
        <v>9497</v>
      </c>
      <c r="B4822" s="15" t="s">
        <v>9498</v>
      </c>
      <c r="C4822" s="16">
        <f>448.97/(1+B2)</f>
        <v>448.97</v>
      </c>
      <c r="D4822" s="17" t="s">
        <v>11</v>
      </c>
      <c r="E4822" s="17"/>
      <c r="F4822" s="18"/>
      <c r="G4822" s="36" t="str">
        <f>IF(ISNUMBER(F4822),C4822*F4822,"")</f>
        <v/>
      </c>
    </row>
    <row r="4823" spans="1:7" ht="12" customHeight="1" outlineLevel="2" x14ac:dyDescent="0.2">
      <c r="A4823" s="14" t="s">
        <v>9499</v>
      </c>
      <c r="B4823" s="15" t="s">
        <v>9500</v>
      </c>
      <c r="C4823" s="16">
        <f>1.77/(1+B2)</f>
        <v>1.77</v>
      </c>
      <c r="D4823" s="17" t="s">
        <v>106</v>
      </c>
      <c r="E4823" s="17" t="s">
        <v>106</v>
      </c>
      <c r="F4823" s="18"/>
      <c r="G4823" s="36" t="str">
        <f>IF(ISNUMBER(F4823),C4823*F4823,"")</f>
        <v/>
      </c>
    </row>
    <row r="4824" spans="1:7" ht="12" customHeight="1" outlineLevel="2" x14ac:dyDescent="0.2">
      <c r="A4824" s="14" t="s">
        <v>9501</v>
      </c>
      <c r="B4824" s="15" t="s">
        <v>9502</v>
      </c>
      <c r="C4824" s="16">
        <f>2.32/(1+B2)</f>
        <v>2.3199999999999998</v>
      </c>
      <c r="D4824" s="17" t="s">
        <v>106</v>
      </c>
      <c r="E4824" s="17"/>
      <c r="F4824" s="18"/>
      <c r="G4824" s="36" t="str">
        <f>IF(ISNUMBER(F4824),C4824*F4824,"")</f>
        <v/>
      </c>
    </row>
    <row r="4825" spans="1:7" ht="12" customHeight="1" outlineLevel="2" x14ac:dyDescent="0.2">
      <c r="A4825" s="14" t="s">
        <v>9503</v>
      </c>
      <c r="B4825" s="15" t="s">
        <v>9504</v>
      </c>
      <c r="C4825" s="16">
        <f>2.26/(1+B2)</f>
        <v>2.2599999999999998</v>
      </c>
      <c r="D4825" s="17" t="s">
        <v>11</v>
      </c>
      <c r="E4825" s="17" t="s">
        <v>106</v>
      </c>
      <c r="F4825" s="18"/>
      <c r="G4825" s="36" t="str">
        <f>IF(ISNUMBER(F4825),C4825*F4825,"")</f>
        <v/>
      </c>
    </row>
    <row r="4826" spans="1:7" ht="12" customHeight="1" outlineLevel="2" x14ac:dyDescent="0.2">
      <c r="A4826" s="14" t="s">
        <v>9505</v>
      </c>
      <c r="B4826" s="15" t="s">
        <v>9506</v>
      </c>
      <c r="C4826" s="16">
        <f>2.02/(1+B2)</f>
        <v>2.02</v>
      </c>
      <c r="D4826" s="17" t="s">
        <v>11</v>
      </c>
      <c r="E4826" s="17"/>
      <c r="F4826" s="18"/>
      <c r="G4826" s="36" t="str">
        <f>IF(ISNUMBER(F4826),C4826*F4826,"")</f>
        <v/>
      </c>
    </row>
    <row r="4827" spans="1:7" ht="12" customHeight="1" outlineLevel="2" x14ac:dyDescent="0.2">
      <c r="A4827" s="14" t="s">
        <v>9507</v>
      </c>
      <c r="B4827" s="15" t="s">
        <v>9508</v>
      </c>
      <c r="C4827" s="16">
        <f>3.94/(1+B2)</f>
        <v>3.94</v>
      </c>
      <c r="D4827" s="17" t="s">
        <v>11</v>
      </c>
      <c r="E4827" s="17"/>
      <c r="F4827" s="18"/>
      <c r="G4827" s="36" t="str">
        <f>IF(ISNUMBER(F4827),C4827*F4827,"")</f>
        <v/>
      </c>
    </row>
    <row r="4828" spans="1:7" ht="12" customHeight="1" outlineLevel="2" x14ac:dyDescent="0.2">
      <c r="A4828" s="14" t="s">
        <v>9509</v>
      </c>
      <c r="B4828" s="15" t="s">
        <v>9510</v>
      </c>
      <c r="C4828" s="16">
        <f>5.82/(1+B2)</f>
        <v>5.82</v>
      </c>
      <c r="D4828" s="17" t="s">
        <v>106</v>
      </c>
      <c r="E4828" s="17"/>
      <c r="F4828" s="18"/>
      <c r="G4828" s="36" t="str">
        <f>IF(ISNUMBER(F4828),C4828*F4828,"")</f>
        <v/>
      </c>
    </row>
    <row r="4829" spans="1:7" ht="12" customHeight="1" outlineLevel="2" x14ac:dyDescent="0.2">
      <c r="A4829" s="14" t="s">
        <v>9511</v>
      </c>
      <c r="B4829" s="15" t="s">
        <v>9512</v>
      </c>
      <c r="C4829" s="16">
        <f>3.96/(1+B2)</f>
        <v>3.96</v>
      </c>
      <c r="D4829" s="17" t="s">
        <v>106</v>
      </c>
      <c r="E4829" s="17"/>
      <c r="F4829" s="18"/>
      <c r="G4829" s="36" t="str">
        <f>IF(ISNUMBER(F4829),C4829*F4829,"")</f>
        <v/>
      </c>
    </row>
    <row r="4830" spans="1:7" ht="12" customHeight="1" outlineLevel="2" x14ac:dyDescent="0.2">
      <c r="A4830" s="14" t="s">
        <v>9513</v>
      </c>
      <c r="B4830" s="15" t="s">
        <v>9514</v>
      </c>
      <c r="C4830" s="16">
        <f>4.85/(1+B2)</f>
        <v>4.8499999999999996</v>
      </c>
      <c r="D4830" s="17" t="s">
        <v>106</v>
      </c>
      <c r="E4830" s="17"/>
      <c r="F4830" s="18"/>
      <c r="G4830" s="36" t="str">
        <f>IF(ISNUMBER(F4830),C4830*F4830,"")</f>
        <v/>
      </c>
    </row>
    <row r="4831" spans="1:7" ht="12" customHeight="1" outlineLevel="2" x14ac:dyDescent="0.2">
      <c r="A4831" s="14" t="s">
        <v>9515</v>
      </c>
      <c r="B4831" s="15" t="s">
        <v>9516</v>
      </c>
      <c r="C4831" s="16">
        <f>6.02/(1+B2)</f>
        <v>6.02</v>
      </c>
      <c r="D4831" s="17" t="s">
        <v>106</v>
      </c>
      <c r="E4831" s="17"/>
      <c r="F4831" s="18"/>
      <c r="G4831" s="36" t="str">
        <f>IF(ISNUMBER(F4831),C4831*F4831,"")</f>
        <v/>
      </c>
    </row>
    <row r="4832" spans="1:7" ht="12" customHeight="1" outlineLevel="2" x14ac:dyDescent="0.2">
      <c r="A4832" s="14" t="s">
        <v>9517</v>
      </c>
      <c r="B4832" s="15" t="s">
        <v>9518</v>
      </c>
      <c r="C4832" s="16">
        <f>1.74/(1+B2)</f>
        <v>1.74</v>
      </c>
      <c r="D4832" s="17" t="s">
        <v>11</v>
      </c>
      <c r="E4832" s="17"/>
      <c r="F4832" s="18"/>
      <c r="G4832" s="36" t="str">
        <f>IF(ISNUMBER(F4832),C4832*F4832,"")</f>
        <v/>
      </c>
    </row>
    <row r="4833" spans="1:7" s="1" customFormat="1" ht="15.95" customHeight="1" outlineLevel="1" x14ac:dyDescent="0.25">
      <c r="A4833" s="11"/>
      <c r="B4833" s="12" t="s">
        <v>9519</v>
      </c>
      <c r="C4833" s="13"/>
      <c r="D4833" s="13"/>
      <c r="E4833" s="13"/>
      <c r="F4833" s="13"/>
      <c r="G4833" s="35"/>
    </row>
    <row r="4834" spans="1:7" ht="12" customHeight="1" outlineLevel="2" x14ac:dyDescent="0.2">
      <c r="A4834" s="14" t="s">
        <v>9520</v>
      </c>
      <c r="B4834" s="15" t="s">
        <v>9521</v>
      </c>
      <c r="C4834" s="16">
        <f>27/(1+B2)</f>
        <v>27</v>
      </c>
      <c r="D4834" s="17" t="s">
        <v>11</v>
      </c>
      <c r="E4834" s="17" t="s">
        <v>14</v>
      </c>
      <c r="F4834" s="18"/>
      <c r="G4834" s="36" t="str">
        <f>IF(ISNUMBER(F4834),C4834*F4834,"")</f>
        <v/>
      </c>
    </row>
    <row r="4835" spans="1:7" ht="12" customHeight="1" outlineLevel="2" x14ac:dyDescent="0.2">
      <c r="A4835" s="14" t="s">
        <v>9522</v>
      </c>
      <c r="B4835" s="15" t="s">
        <v>9523</v>
      </c>
      <c r="C4835" s="16">
        <f>15.02/(1+B2)</f>
        <v>15.02</v>
      </c>
      <c r="D4835" s="17" t="s">
        <v>11</v>
      </c>
      <c r="E4835" s="17"/>
      <c r="F4835" s="18"/>
      <c r="G4835" s="36" t="str">
        <f>IF(ISNUMBER(F4835),C4835*F4835,"")</f>
        <v/>
      </c>
    </row>
    <row r="4836" spans="1:7" ht="12" customHeight="1" outlineLevel="2" x14ac:dyDescent="0.2">
      <c r="A4836" s="14" t="s">
        <v>9524</v>
      </c>
      <c r="B4836" s="15" t="s">
        <v>9525</v>
      </c>
      <c r="C4836" s="16">
        <f>32.89/(1+B2)</f>
        <v>32.89</v>
      </c>
      <c r="D4836" s="17" t="s">
        <v>11</v>
      </c>
      <c r="E4836" s="17"/>
      <c r="F4836" s="18"/>
      <c r="G4836" s="36" t="str">
        <f>IF(ISNUMBER(F4836),C4836*F4836,"")</f>
        <v/>
      </c>
    </row>
    <row r="4837" spans="1:7" ht="12" customHeight="1" outlineLevel="2" x14ac:dyDescent="0.2">
      <c r="A4837" s="14" t="s">
        <v>9526</v>
      </c>
      <c r="B4837" s="15" t="s">
        <v>9527</v>
      </c>
      <c r="C4837" s="16">
        <f>51.39/(1+B2)</f>
        <v>51.39</v>
      </c>
      <c r="D4837" s="17" t="s">
        <v>11</v>
      </c>
      <c r="E4837" s="17"/>
      <c r="F4837" s="18"/>
      <c r="G4837" s="36" t="str">
        <f>IF(ISNUMBER(F4837),C4837*F4837,"")</f>
        <v/>
      </c>
    </row>
    <row r="4838" spans="1:7" ht="12" customHeight="1" outlineLevel="2" x14ac:dyDescent="0.2">
      <c r="A4838" s="14" t="s">
        <v>9528</v>
      </c>
      <c r="B4838" s="15" t="s">
        <v>9529</v>
      </c>
      <c r="C4838" s="16">
        <f>247.95/(1+B2)</f>
        <v>247.95</v>
      </c>
      <c r="D4838" s="17" t="s">
        <v>11</v>
      </c>
      <c r="E4838" s="17"/>
      <c r="F4838" s="18"/>
      <c r="G4838" s="36" t="str">
        <f>IF(ISNUMBER(F4838),C4838*F4838,"")</f>
        <v/>
      </c>
    </row>
    <row r="4839" spans="1:7" ht="12" customHeight="1" outlineLevel="2" x14ac:dyDescent="0.2">
      <c r="A4839" s="14" t="s">
        <v>9530</v>
      </c>
      <c r="B4839" s="15" t="s">
        <v>9531</v>
      </c>
      <c r="C4839" s="16">
        <f>26.49/(1+B2)</f>
        <v>26.49</v>
      </c>
      <c r="D4839" s="17" t="s">
        <v>11</v>
      </c>
      <c r="E4839" s="17"/>
      <c r="F4839" s="18"/>
      <c r="G4839" s="36" t="str">
        <f>IF(ISNUMBER(F4839),C4839*F4839,"")</f>
        <v/>
      </c>
    </row>
    <row r="4840" spans="1:7" ht="12" customHeight="1" outlineLevel="2" x14ac:dyDescent="0.2">
      <c r="A4840" s="14" t="s">
        <v>9532</v>
      </c>
      <c r="B4840" s="15" t="s">
        <v>9533</v>
      </c>
      <c r="C4840" s="16">
        <f>3.69/(1+B2)</f>
        <v>3.69</v>
      </c>
      <c r="D4840" s="17" t="s">
        <v>53</v>
      </c>
      <c r="E4840" s="17" t="s">
        <v>106</v>
      </c>
      <c r="F4840" s="18"/>
      <c r="G4840" s="36" t="str">
        <f>IF(ISNUMBER(F4840),C4840*F4840,"")</f>
        <v/>
      </c>
    </row>
    <row r="4841" spans="1:7" ht="12" customHeight="1" outlineLevel="2" x14ac:dyDescent="0.2">
      <c r="A4841" s="14" t="s">
        <v>9534</v>
      </c>
      <c r="B4841" s="15" t="s">
        <v>9535</v>
      </c>
      <c r="C4841" s="16">
        <f>232.61/(1+B2)</f>
        <v>232.61</v>
      </c>
      <c r="D4841" s="17" t="s">
        <v>11</v>
      </c>
      <c r="E4841" s="17" t="s">
        <v>53</v>
      </c>
      <c r="F4841" s="18"/>
      <c r="G4841" s="36" t="str">
        <f>IF(ISNUMBER(F4841),C4841*F4841,"")</f>
        <v/>
      </c>
    </row>
    <row r="4842" spans="1:7" ht="12" customHeight="1" outlineLevel="2" x14ac:dyDescent="0.2">
      <c r="A4842" s="14" t="s">
        <v>9536</v>
      </c>
      <c r="B4842" s="15" t="s">
        <v>9537</v>
      </c>
      <c r="C4842" s="16">
        <f>5.94/(1+B2)</f>
        <v>5.94</v>
      </c>
      <c r="D4842" s="17" t="s">
        <v>11</v>
      </c>
      <c r="E4842" s="17"/>
      <c r="F4842" s="18"/>
      <c r="G4842" s="36" t="str">
        <f>IF(ISNUMBER(F4842),C4842*F4842,"")</f>
        <v/>
      </c>
    </row>
    <row r="4843" spans="1:7" ht="12" customHeight="1" outlineLevel="2" x14ac:dyDescent="0.2">
      <c r="A4843" s="14" t="s">
        <v>9538</v>
      </c>
      <c r="B4843" s="15" t="s">
        <v>9539</v>
      </c>
      <c r="C4843" s="16">
        <f>8.92/(1+B2)</f>
        <v>8.92</v>
      </c>
      <c r="D4843" s="17" t="s">
        <v>14</v>
      </c>
      <c r="E4843" s="17" t="s">
        <v>53</v>
      </c>
      <c r="F4843" s="18"/>
      <c r="G4843" s="36" t="str">
        <f>IF(ISNUMBER(F4843),C4843*F4843,"")</f>
        <v/>
      </c>
    </row>
    <row r="4844" spans="1:7" ht="12" customHeight="1" outlineLevel="2" x14ac:dyDescent="0.2">
      <c r="A4844" s="14" t="s">
        <v>9540</v>
      </c>
      <c r="B4844" s="15" t="s">
        <v>9541</v>
      </c>
      <c r="C4844" s="16">
        <f>13.82/(1+B2)</f>
        <v>13.82</v>
      </c>
      <c r="D4844" s="17" t="s">
        <v>11</v>
      </c>
      <c r="E4844" s="17"/>
      <c r="F4844" s="18"/>
      <c r="G4844" s="36" t="str">
        <f>IF(ISNUMBER(F4844),C4844*F4844,"")</f>
        <v/>
      </c>
    </row>
    <row r="4845" spans="1:7" ht="12" customHeight="1" outlineLevel="2" x14ac:dyDescent="0.2">
      <c r="A4845" s="14" t="s">
        <v>9542</v>
      </c>
      <c r="B4845" s="15" t="s">
        <v>9543</v>
      </c>
      <c r="C4845" s="16">
        <f>17.8/(1+B2)</f>
        <v>17.8</v>
      </c>
      <c r="D4845" s="17" t="s">
        <v>11</v>
      </c>
      <c r="E4845" s="17"/>
      <c r="F4845" s="18"/>
      <c r="G4845" s="36" t="str">
        <f>IF(ISNUMBER(F4845),C4845*F4845,"")</f>
        <v/>
      </c>
    </row>
    <row r="4846" spans="1:7" ht="12" customHeight="1" outlineLevel="2" x14ac:dyDescent="0.2">
      <c r="A4846" s="14" t="s">
        <v>9544</v>
      </c>
      <c r="B4846" s="15" t="s">
        <v>9545</v>
      </c>
      <c r="C4846" s="16">
        <f>61.31/(1+B2)</f>
        <v>61.31</v>
      </c>
      <c r="D4846" s="17" t="s">
        <v>14</v>
      </c>
      <c r="E4846" s="17" t="s">
        <v>14</v>
      </c>
      <c r="F4846" s="18"/>
      <c r="G4846" s="36" t="str">
        <f>IF(ISNUMBER(F4846),C4846*F4846,"")</f>
        <v/>
      </c>
    </row>
    <row r="4847" spans="1:7" ht="12" customHeight="1" outlineLevel="2" x14ac:dyDescent="0.2">
      <c r="A4847" s="14" t="s">
        <v>9546</v>
      </c>
      <c r="B4847" s="15" t="s">
        <v>9547</v>
      </c>
      <c r="C4847" s="16">
        <f>126.28/(1+B2)</f>
        <v>126.28</v>
      </c>
      <c r="D4847" s="17" t="s">
        <v>11</v>
      </c>
      <c r="E4847" s="17" t="s">
        <v>53</v>
      </c>
      <c r="F4847" s="18"/>
      <c r="G4847" s="36" t="str">
        <f>IF(ISNUMBER(F4847),C4847*F4847,"")</f>
        <v/>
      </c>
    </row>
    <row r="4848" spans="1:7" ht="12" customHeight="1" outlineLevel="2" x14ac:dyDescent="0.2">
      <c r="A4848" s="14" t="s">
        <v>9548</v>
      </c>
      <c r="B4848" s="15" t="s">
        <v>9549</v>
      </c>
      <c r="C4848" s="16">
        <f>48.33/(1+B2)</f>
        <v>48.33</v>
      </c>
      <c r="D4848" s="17" t="s">
        <v>11</v>
      </c>
      <c r="E4848" s="17" t="s">
        <v>106</v>
      </c>
      <c r="F4848" s="18"/>
      <c r="G4848" s="36" t="str">
        <f>IF(ISNUMBER(F4848),C4848*F4848,"")</f>
        <v/>
      </c>
    </row>
    <row r="4849" spans="1:7" ht="12" customHeight="1" outlineLevel="2" x14ac:dyDescent="0.2">
      <c r="A4849" s="14" t="s">
        <v>9550</v>
      </c>
      <c r="B4849" s="15" t="s">
        <v>9551</v>
      </c>
      <c r="C4849" s="16">
        <f>33.01/(1+B2)</f>
        <v>33.01</v>
      </c>
      <c r="D4849" s="17" t="s">
        <v>11</v>
      </c>
      <c r="E4849" s="17"/>
      <c r="F4849" s="18"/>
      <c r="G4849" s="36" t="str">
        <f>IF(ISNUMBER(F4849),C4849*F4849,"")</f>
        <v/>
      </c>
    </row>
    <row r="4850" spans="1:7" ht="12" customHeight="1" outlineLevel="2" x14ac:dyDescent="0.2">
      <c r="A4850" s="14" t="s">
        <v>9552</v>
      </c>
      <c r="B4850" s="15" t="s">
        <v>9553</v>
      </c>
      <c r="C4850" s="16">
        <f>170.35/(1+B2)</f>
        <v>170.35</v>
      </c>
      <c r="D4850" s="17" t="s">
        <v>11</v>
      </c>
      <c r="E4850" s="17"/>
      <c r="F4850" s="18"/>
      <c r="G4850" s="36" t="str">
        <f>IF(ISNUMBER(F4850),C4850*F4850,"")</f>
        <v/>
      </c>
    </row>
    <row r="4851" spans="1:7" ht="12" customHeight="1" outlineLevel="2" x14ac:dyDescent="0.2">
      <c r="A4851" s="14" t="s">
        <v>9554</v>
      </c>
      <c r="B4851" s="15" t="s">
        <v>9555</v>
      </c>
      <c r="C4851" s="16">
        <f>171.82/(1+B2)</f>
        <v>171.82</v>
      </c>
      <c r="D4851" s="17" t="s">
        <v>11</v>
      </c>
      <c r="E4851" s="17" t="s">
        <v>53</v>
      </c>
      <c r="F4851" s="18"/>
      <c r="G4851" s="36" t="str">
        <f>IF(ISNUMBER(F4851),C4851*F4851,"")</f>
        <v/>
      </c>
    </row>
    <row r="4852" spans="1:7" ht="12" customHeight="1" outlineLevel="2" x14ac:dyDescent="0.2">
      <c r="A4852" s="14" t="s">
        <v>9556</v>
      </c>
      <c r="B4852" s="15" t="s">
        <v>9557</v>
      </c>
      <c r="C4852" s="16">
        <f>256.23/(1+B2)</f>
        <v>256.23</v>
      </c>
      <c r="D4852" s="17" t="s">
        <v>11</v>
      </c>
      <c r="E4852" s="17" t="s">
        <v>53</v>
      </c>
      <c r="F4852" s="18"/>
      <c r="G4852" s="36" t="str">
        <f>IF(ISNUMBER(F4852),C4852*F4852,"")</f>
        <v/>
      </c>
    </row>
    <row r="4853" spans="1:7" ht="12" customHeight="1" outlineLevel="2" x14ac:dyDescent="0.2">
      <c r="A4853" s="14" t="s">
        <v>9558</v>
      </c>
      <c r="B4853" s="15" t="s">
        <v>9559</v>
      </c>
      <c r="C4853" s="16">
        <f>482.55/(1+B2)</f>
        <v>482.55</v>
      </c>
      <c r="D4853" s="17" t="s">
        <v>11</v>
      </c>
      <c r="E4853" s="17"/>
      <c r="F4853" s="18"/>
      <c r="G4853" s="36" t="str">
        <f>IF(ISNUMBER(F4853),C4853*F4853,"")</f>
        <v/>
      </c>
    </row>
    <row r="4854" spans="1:7" ht="12" customHeight="1" outlineLevel="2" x14ac:dyDescent="0.2">
      <c r="A4854" s="14" t="s">
        <v>9560</v>
      </c>
      <c r="B4854" s="15" t="s">
        <v>9561</v>
      </c>
      <c r="C4854" s="16">
        <f>41.93/(1+B2)</f>
        <v>41.93</v>
      </c>
      <c r="D4854" s="17" t="s">
        <v>11</v>
      </c>
      <c r="E4854" s="17" t="s">
        <v>106</v>
      </c>
      <c r="F4854" s="18"/>
      <c r="G4854" s="36" t="str">
        <f>IF(ISNUMBER(F4854),C4854*F4854,"")</f>
        <v/>
      </c>
    </row>
    <row r="4855" spans="1:7" ht="12" customHeight="1" outlineLevel="2" x14ac:dyDescent="0.2">
      <c r="A4855" s="14" t="s">
        <v>9562</v>
      </c>
      <c r="B4855" s="15" t="s">
        <v>9563</v>
      </c>
      <c r="C4855" s="16">
        <f>61.04/(1+B2)</f>
        <v>61.04</v>
      </c>
      <c r="D4855" s="17" t="s">
        <v>11</v>
      </c>
      <c r="E4855" s="17" t="s">
        <v>106</v>
      </c>
      <c r="F4855" s="18"/>
      <c r="G4855" s="36" t="str">
        <f>IF(ISNUMBER(F4855),C4855*F4855,"")</f>
        <v/>
      </c>
    </row>
    <row r="4856" spans="1:7" ht="12" customHeight="1" outlineLevel="2" x14ac:dyDescent="0.2">
      <c r="A4856" s="14" t="s">
        <v>9564</v>
      </c>
      <c r="B4856" s="15" t="s">
        <v>9565</v>
      </c>
      <c r="C4856" s="16">
        <f>86.38/(1+B2)</f>
        <v>86.38</v>
      </c>
      <c r="D4856" s="17" t="s">
        <v>14</v>
      </c>
      <c r="E4856" s="17" t="s">
        <v>11</v>
      </c>
      <c r="F4856" s="18"/>
      <c r="G4856" s="36" t="str">
        <f>IF(ISNUMBER(F4856),C4856*F4856,"")</f>
        <v/>
      </c>
    </row>
    <row r="4857" spans="1:7" ht="12" customHeight="1" outlineLevel="2" x14ac:dyDescent="0.2">
      <c r="A4857" s="14" t="s">
        <v>9566</v>
      </c>
      <c r="B4857" s="15" t="s">
        <v>9567</v>
      </c>
      <c r="C4857" s="16">
        <f>129.07/(1+B2)</f>
        <v>129.07</v>
      </c>
      <c r="D4857" s="17" t="s">
        <v>11</v>
      </c>
      <c r="E4857" s="17" t="s">
        <v>14</v>
      </c>
      <c r="F4857" s="18"/>
      <c r="G4857" s="36" t="str">
        <f>IF(ISNUMBER(F4857),C4857*F4857,"")</f>
        <v/>
      </c>
    </row>
    <row r="4858" spans="1:7" ht="12" customHeight="1" outlineLevel="2" x14ac:dyDescent="0.2">
      <c r="A4858" s="14" t="s">
        <v>9568</v>
      </c>
      <c r="B4858" s="15" t="s">
        <v>9569</v>
      </c>
      <c r="C4858" s="16">
        <f>177.49/(1+B2)</f>
        <v>177.49</v>
      </c>
      <c r="D4858" s="17" t="s">
        <v>11</v>
      </c>
      <c r="E4858" s="17" t="s">
        <v>53</v>
      </c>
      <c r="F4858" s="18"/>
      <c r="G4858" s="36" t="str">
        <f>IF(ISNUMBER(F4858),C4858*F4858,"")</f>
        <v/>
      </c>
    </row>
    <row r="4859" spans="1:7" ht="12" customHeight="1" outlineLevel="2" x14ac:dyDescent="0.2">
      <c r="A4859" s="14" t="s">
        <v>9570</v>
      </c>
      <c r="B4859" s="15" t="s">
        <v>9571</v>
      </c>
      <c r="C4859" s="16">
        <f>34.49/(1+B2)</f>
        <v>34.49</v>
      </c>
      <c r="D4859" s="17" t="s">
        <v>11</v>
      </c>
      <c r="E4859" s="17" t="s">
        <v>106</v>
      </c>
      <c r="F4859" s="18"/>
      <c r="G4859" s="36" t="str">
        <f>IF(ISNUMBER(F4859),C4859*F4859,"")</f>
        <v/>
      </c>
    </row>
    <row r="4860" spans="1:7" ht="12" customHeight="1" outlineLevel="2" x14ac:dyDescent="0.2">
      <c r="A4860" s="14" t="s">
        <v>9572</v>
      </c>
      <c r="B4860" s="15" t="s">
        <v>9573</v>
      </c>
      <c r="C4860" s="16">
        <f>60.89/(1+B2)</f>
        <v>60.89</v>
      </c>
      <c r="D4860" s="17" t="s">
        <v>11</v>
      </c>
      <c r="E4860" s="17" t="s">
        <v>106</v>
      </c>
      <c r="F4860" s="18"/>
      <c r="G4860" s="36" t="str">
        <f>IF(ISNUMBER(F4860),C4860*F4860,"")</f>
        <v/>
      </c>
    </row>
    <row r="4861" spans="1:7" ht="12" customHeight="1" outlineLevel="2" x14ac:dyDescent="0.2">
      <c r="A4861" s="14" t="s">
        <v>9574</v>
      </c>
      <c r="B4861" s="15" t="s">
        <v>9575</v>
      </c>
      <c r="C4861" s="16">
        <f>75.6/(1+B2)</f>
        <v>75.599999999999994</v>
      </c>
      <c r="D4861" s="17" t="s">
        <v>11</v>
      </c>
      <c r="E4861" s="17"/>
      <c r="F4861" s="18"/>
      <c r="G4861" s="36" t="str">
        <f>IF(ISNUMBER(F4861),C4861*F4861,"")</f>
        <v/>
      </c>
    </row>
    <row r="4862" spans="1:7" ht="12" customHeight="1" outlineLevel="2" x14ac:dyDescent="0.2">
      <c r="A4862" s="14" t="s">
        <v>9576</v>
      </c>
      <c r="B4862" s="15" t="s">
        <v>9577</v>
      </c>
      <c r="C4862" s="19">
        <f>4717/(1+B2)</f>
        <v>4717</v>
      </c>
      <c r="D4862" s="17" t="s">
        <v>11</v>
      </c>
      <c r="E4862" s="17"/>
      <c r="F4862" s="18"/>
      <c r="G4862" s="36" t="str">
        <f>IF(ISNUMBER(F4862),C4862*F4862,"")</f>
        <v/>
      </c>
    </row>
    <row r="4863" spans="1:7" ht="12" customHeight="1" outlineLevel="2" x14ac:dyDescent="0.2">
      <c r="A4863" s="14" t="s">
        <v>9578</v>
      </c>
      <c r="B4863" s="15" t="s">
        <v>9579</v>
      </c>
      <c r="C4863" s="16">
        <f>14.38/(1+B2)</f>
        <v>14.38</v>
      </c>
      <c r="D4863" s="17" t="s">
        <v>11</v>
      </c>
      <c r="E4863" s="17"/>
      <c r="F4863" s="18"/>
      <c r="G4863" s="36" t="str">
        <f>IF(ISNUMBER(F4863),C4863*F4863,"")</f>
        <v/>
      </c>
    </row>
    <row r="4864" spans="1:7" ht="12" customHeight="1" outlineLevel="2" x14ac:dyDescent="0.2">
      <c r="A4864" s="14" t="s">
        <v>9580</v>
      </c>
      <c r="B4864" s="15" t="s">
        <v>9581</v>
      </c>
      <c r="C4864" s="16">
        <f>76.24/(1+B2)</f>
        <v>76.239999999999995</v>
      </c>
      <c r="D4864" s="17" t="s">
        <v>53</v>
      </c>
      <c r="E4864" s="17"/>
      <c r="F4864" s="18"/>
      <c r="G4864" s="36" t="str">
        <f>IF(ISNUMBER(F4864),C4864*F4864,"")</f>
        <v/>
      </c>
    </row>
    <row r="4865" spans="1:7" ht="12" customHeight="1" outlineLevel="2" x14ac:dyDescent="0.2">
      <c r="A4865" s="14" t="s">
        <v>9582</v>
      </c>
      <c r="B4865" s="15" t="s">
        <v>9583</v>
      </c>
      <c r="C4865" s="16">
        <f>172.71/(1+B2)</f>
        <v>172.71</v>
      </c>
      <c r="D4865" s="17" t="s">
        <v>53</v>
      </c>
      <c r="E4865" s="17"/>
      <c r="F4865" s="18"/>
      <c r="G4865" s="36" t="str">
        <f>IF(ISNUMBER(F4865),C4865*F4865,"")</f>
        <v/>
      </c>
    </row>
    <row r="4866" spans="1:7" ht="12" customHeight="1" outlineLevel="2" x14ac:dyDescent="0.2">
      <c r="A4866" s="14" t="s">
        <v>9584</v>
      </c>
      <c r="B4866" s="15" t="s">
        <v>9585</v>
      </c>
      <c r="C4866" s="16">
        <f>7.03/(1+B2)</f>
        <v>7.03</v>
      </c>
      <c r="D4866" s="17" t="s">
        <v>53</v>
      </c>
      <c r="E4866" s="17" t="s">
        <v>53</v>
      </c>
      <c r="F4866" s="18"/>
      <c r="G4866" s="36" t="str">
        <f>IF(ISNUMBER(F4866),C4866*F4866,"")</f>
        <v/>
      </c>
    </row>
    <row r="4867" spans="1:7" ht="12" customHeight="1" outlineLevel="2" x14ac:dyDescent="0.2">
      <c r="A4867" s="14" t="s">
        <v>9586</v>
      </c>
      <c r="B4867" s="15" t="s">
        <v>9587</v>
      </c>
      <c r="C4867" s="16">
        <f>12.44/(1+B2)</f>
        <v>12.44</v>
      </c>
      <c r="D4867" s="17" t="s">
        <v>11</v>
      </c>
      <c r="E4867" s="17"/>
      <c r="F4867" s="18"/>
      <c r="G4867" s="36" t="str">
        <f>IF(ISNUMBER(F4867),C4867*F4867,"")</f>
        <v/>
      </c>
    </row>
    <row r="4868" spans="1:7" ht="12" customHeight="1" outlineLevel="2" x14ac:dyDescent="0.2">
      <c r="A4868" s="14" t="s">
        <v>9588</v>
      </c>
      <c r="B4868" s="15" t="s">
        <v>9589</v>
      </c>
      <c r="C4868" s="16">
        <f>10.15/(1+B2)</f>
        <v>10.15</v>
      </c>
      <c r="D4868" s="17" t="s">
        <v>11</v>
      </c>
      <c r="E4868" s="17"/>
      <c r="F4868" s="18"/>
      <c r="G4868" s="36" t="str">
        <f>IF(ISNUMBER(F4868),C4868*F4868,"")</f>
        <v/>
      </c>
    </row>
    <row r="4869" spans="1:7" ht="12" customHeight="1" outlineLevel="2" x14ac:dyDescent="0.2">
      <c r="A4869" s="14" t="s">
        <v>9590</v>
      </c>
      <c r="B4869" s="15" t="s">
        <v>9591</v>
      </c>
      <c r="C4869" s="16">
        <f>32.66/(1+B2)</f>
        <v>32.659999999999997</v>
      </c>
      <c r="D4869" s="17" t="s">
        <v>53</v>
      </c>
      <c r="E4869" s="17"/>
      <c r="F4869" s="18"/>
      <c r="G4869" s="36" t="str">
        <f>IF(ISNUMBER(F4869),C4869*F4869,"")</f>
        <v/>
      </c>
    </row>
    <row r="4870" spans="1:7" ht="12" customHeight="1" outlineLevel="2" x14ac:dyDescent="0.2">
      <c r="A4870" s="14" t="s">
        <v>9592</v>
      </c>
      <c r="B4870" s="15" t="s">
        <v>9593</v>
      </c>
      <c r="C4870" s="16">
        <f>2.44/(1+B2)</f>
        <v>2.44</v>
      </c>
      <c r="D4870" s="17" t="s">
        <v>106</v>
      </c>
      <c r="E4870" s="17"/>
      <c r="F4870" s="18"/>
      <c r="G4870" s="36" t="str">
        <f>IF(ISNUMBER(F4870),C4870*F4870,"")</f>
        <v/>
      </c>
    </row>
    <row r="4871" spans="1:7" ht="12" customHeight="1" outlineLevel="2" x14ac:dyDescent="0.2">
      <c r="A4871" s="14" t="s">
        <v>9594</v>
      </c>
      <c r="B4871" s="15" t="s">
        <v>9595</v>
      </c>
      <c r="C4871" s="16">
        <f>5.63/(1+B2)</f>
        <v>5.63</v>
      </c>
      <c r="D4871" s="17" t="s">
        <v>106</v>
      </c>
      <c r="E4871" s="17"/>
      <c r="F4871" s="18"/>
      <c r="G4871" s="36" t="str">
        <f>IF(ISNUMBER(F4871),C4871*F4871,"")</f>
        <v/>
      </c>
    </row>
    <row r="4872" spans="1:7" ht="12" customHeight="1" outlineLevel="2" x14ac:dyDescent="0.2">
      <c r="A4872" s="14" t="s">
        <v>9596</v>
      </c>
      <c r="B4872" s="15" t="s">
        <v>9597</v>
      </c>
      <c r="C4872" s="19">
        <f>2916.45/(1+B2)</f>
        <v>2916.45</v>
      </c>
      <c r="D4872" s="17" t="s">
        <v>11</v>
      </c>
      <c r="E4872" s="17" t="s">
        <v>11</v>
      </c>
      <c r="F4872" s="18"/>
      <c r="G4872" s="36" t="str">
        <f>IF(ISNUMBER(F4872),C4872*F4872,"")</f>
        <v/>
      </c>
    </row>
    <row r="4873" spans="1:7" s="1" customFormat="1" ht="15.95" customHeight="1" x14ac:dyDescent="0.25">
      <c r="A4873" s="8"/>
      <c r="B4873" s="9" t="s">
        <v>9598</v>
      </c>
      <c r="C4873" s="10"/>
      <c r="D4873" s="10"/>
      <c r="E4873" s="10"/>
      <c r="F4873" s="10"/>
      <c r="G4873" s="34"/>
    </row>
    <row r="4874" spans="1:7" s="1" customFormat="1" ht="15.95" customHeight="1" outlineLevel="1" x14ac:dyDescent="0.25">
      <c r="A4874" s="11"/>
      <c r="B4874" s="12" t="s">
        <v>9599</v>
      </c>
      <c r="C4874" s="13"/>
      <c r="D4874" s="13"/>
      <c r="E4874" s="13"/>
      <c r="F4874" s="13"/>
      <c r="G4874" s="35"/>
    </row>
    <row r="4875" spans="1:7" ht="12" customHeight="1" outlineLevel="2" x14ac:dyDescent="0.2">
      <c r="A4875" s="14" t="s">
        <v>9600</v>
      </c>
      <c r="B4875" s="15" t="s">
        <v>9601</v>
      </c>
      <c r="C4875" s="16">
        <f>244.62/(1+B2)</f>
        <v>244.62</v>
      </c>
      <c r="D4875" s="17" t="s">
        <v>11</v>
      </c>
      <c r="E4875" s="17"/>
      <c r="F4875" s="18"/>
      <c r="G4875" s="36" t="str">
        <f>IF(ISNUMBER(F4875),C4875*F4875,"")</f>
        <v/>
      </c>
    </row>
    <row r="4876" spans="1:7" ht="24" customHeight="1" outlineLevel="2" x14ac:dyDescent="0.2">
      <c r="A4876" s="14" t="s">
        <v>9602</v>
      </c>
      <c r="B4876" s="15" t="s">
        <v>9603</v>
      </c>
      <c r="C4876" s="16">
        <f>272.54/(1+B2)</f>
        <v>272.54000000000002</v>
      </c>
      <c r="D4876" s="17" t="s">
        <v>11</v>
      </c>
      <c r="E4876" s="17"/>
      <c r="F4876" s="18"/>
      <c r="G4876" s="36" t="str">
        <f>IF(ISNUMBER(F4876),C4876*F4876,"")</f>
        <v/>
      </c>
    </row>
    <row r="4877" spans="1:7" ht="12" customHeight="1" outlineLevel="2" x14ac:dyDescent="0.2">
      <c r="A4877" s="14" t="s">
        <v>9604</v>
      </c>
      <c r="B4877" s="15" t="s">
        <v>9605</v>
      </c>
      <c r="C4877" s="16">
        <f>33.15/(1+B2)</f>
        <v>33.15</v>
      </c>
      <c r="D4877" s="17" t="s">
        <v>14</v>
      </c>
      <c r="E4877" s="17"/>
      <c r="F4877" s="18"/>
      <c r="G4877" s="36" t="str">
        <f>IF(ISNUMBER(F4877),C4877*F4877,"")</f>
        <v/>
      </c>
    </row>
    <row r="4878" spans="1:7" ht="12" customHeight="1" outlineLevel="2" x14ac:dyDescent="0.2">
      <c r="A4878" s="14" t="s">
        <v>9606</v>
      </c>
      <c r="B4878" s="15" t="s">
        <v>9607</v>
      </c>
      <c r="C4878" s="16">
        <f>33.84/(1+B2)</f>
        <v>33.840000000000003</v>
      </c>
      <c r="D4878" s="17"/>
      <c r="E4878" s="17" t="s">
        <v>14</v>
      </c>
      <c r="F4878" s="18"/>
      <c r="G4878" s="36" t="str">
        <f>IF(ISNUMBER(F4878),C4878*F4878,"")</f>
        <v/>
      </c>
    </row>
    <row r="4879" spans="1:7" ht="12" customHeight="1" outlineLevel="2" x14ac:dyDescent="0.2">
      <c r="A4879" s="14" t="s">
        <v>9608</v>
      </c>
      <c r="B4879" s="15" t="s">
        <v>9609</v>
      </c>
      <c r="C4879" s="16">
        <f>33.99/(1+B2)</f>
        <v>33.99</v>
      </c>
      <c r="D4879" s="17"/>
      <c r="E4879" s="17" t="s">
        <v>53</v>
      </c>
      <c r="F4879" s="18"/>
      <c r="G4879" s="36" t="str">
        <f>IF(ISNUMBER(F4879),C4879*F4879,"")</f>
        <v/>
      </c>
    </row>
    <row r="4880" spans="1:7" ht="24" customHeight="1" outlineLevel="2" x14ac:dyDescent="0.2">
      <c r="A4880" s="14" t="s">
        <v>9610</v>
      </c>
      <c r="B4880" s="15" t="s">
        <v>9611</v>
      </c>
      <c r="C4880" s="16">
        <f>30.75/(1+B2)</f>
        <v>30.75</v>
      </c>
      <c r="D4880" s="17"/>
      <c r="E4880" s="17" t="s">
        <v>53</v>
      </c>
      <c r="F4880" s="18"/>
      <c r="G4880" s="36" t="str">
        <f>IF(ISNUMBER(F4880),C4880*F4880,"")</f>
        <v/>
      </c>
    </row>
    <row r="4881" spans="1:7" ht="12" customHeight="1" outlineLevel="2" x14ac:dyDescent="0.2">
      <c r="A4881" s="14" t="s">
        <v>9612</v>
      </c>
      <c r="B4881" s="15" t="s">
        <v>9613</v>
      </c>
      <c r="C4881" s="16">
        <f>16.9/(1+B2)</f>
        <v>16.899999999999999</v>
      </c>
      <c r="D4881" s="17" t="s">
        <v>11</v>
      </c>
      <c r="E4881" s="17"/>
      <c r="F4881" s="18"/>
      <c r="G4881" s="36" t="str">
        <f>IF(ISNUMBER(F4881),C4881*F4881,"")</f>
        <v/>
      </c>
    </row>
    <row r="4882" spans="1:7" ht="12" customHeight="1" outlineLevel="2" x14ac:dyDescent="0.2">
      <c r="A4882" s="14" t="s">
        <v>9614</v>
      </c>
      <c r="B4882" s="15" t="s">
        <v>9615</v>
      </c>
      <c r="C4882" s="16">
        <f>8.37/(1+B2)</f>
        <v>8.3699999999999992</v>
      </c>
      <c r="D4882" s="17" t="s">
        <v>14</v>
      </c>
      <c r="E4882" s="17" t="s">
        <v>53</v>
      </c>
      <c r="F4882" s="18"/>
      <c r="G4882" s="36" t="str">
        <f>IF(ISNUMBER(F4882),C4882*F4882,"")</f>
        <v/>
      </c>
    </row>
    <row r="4883" spans="1:7" ht="24" customHeight="1" outlineLevel="2" x14ac:dyDescent="0.2">
      <c r="A4883" s="14" t="s">
        <v>9616</v>
      </c>
      <c r="B4883" s="15" t="s">
        <v>9617</v>
      </c>
      <c r="C4883" s="16">
        <f>493.71/(1+B2)</f>
        <v>493.71</v>
      </c>
      <c r="D4883" s="17" t="s">
        <v>11</v>
      </c>
      <c r="E4883" s="17"/>
      <c r="F4883" s="18"/>
      <c r="G4883" s="36" t="str">
        <f>IF(ISNUMBER(F4883),C4883*F4883,"")</f>
        <v/>
      </c>
    </row>
    <row r="4884" spans="1:7" ht="12" customHeight="1" outlineLevel="2" x14ac:dyDescent="0.2">
      <c r="A4884" s="14" t="s">
        <v>9618</v>
      </c>
      <c r="B4884" s="15" t="s">
        <v>9619</v>
      </c>
      <c r="C4884" s="16">
        <f>138.89/(1+B2)</f>
        <v>138.88999999999999</v>
      </c>
      <c r="D4884" s="17" t="s">
        <v>53</v>
      </c>
      <c r="E4884" s="17" t="s">
        <v>53</v>
      </c>
      <c r="F4884" s="18"/>
      <c r="G4884" s="36" t="str">
        <f>IF(ISNUMBER(F4884),C4884*F4884,"")</f>
        <v/>
      </c>
    </row>
    <row r="4885" spans="1:7" ht="12" customHeight="1" outlineLevel="2" x14ac:dyDescent="0.2">
      <c r="A4885" s="14" t="s">
        <v>9620</v>
      </c>
      <c r="B4885" s="15" t="s">
        <v>9621</v>
      </c>
      <c r="C4885" s="16">
        <f>98.28/(1+B2)</f>
        <v>98.28</v>
      </c>
      <c r="D4885" s="17"/>
      <c r="E4885" s="17" t="s">
        <v>14</v>
      </c>
      <c r="F4885" s="18"/>
      <c r="G4885" s="36" t="str">
        <f>IF(ISNUMBER(F4885),C4885*F4885,"")</f>
        <v/>
      </c>
    </row>
    <row r="4886" spans="1:7" ht="12" customHeight="1" outlineLevel="2" x14ac:dyDescent="0.2">
      <c r="A4886" s="14" t="s">
        <v>9622</v>
      </c>
      <c r="B4886" s="15" t="s">
        <v>9623</v>
      </c>
      <c r="C4886" s="16">
        <f>299.98/(1+B2)</f>
        <v>299.98</v>
      </c>
      <c r="D4886" s="17" t="s">
        <v>11</v>
      </c>
      <c r="E4886" s="17"/>
      <c r="F4886" s="18"/>
      <c r="G4886" s="36" t="str">
        <f>IF(ISNUMBER(F4886),C4886*F4886,"")</f>
        <v/>
      </c>
    </row>
    <row r="4887" spans="1:7" ht="12" customHeight="1" outlineLevel="2" x14ac:dyDescent="0.2">
      <c r="A4887" s="14" t="s">
        <v>9624</v>
      </c>
      <c r="B4887" s="15" t="s">
        <v>9625</v>
      </c>
      <c r="C4887" s="16">
        <f>3.45/(1+B2)</f>
        <v>3.45</v>
      </c>
      <c r="D4887" s="17" t="s">
        <v>14</v>
      </c>
      <c r="E4887" s="17" t="s">
        <v>106</v>
      </c>
      <c r="F4887" s="18"/>
      <c r="G4887" s="36" t="str">
        <f>IF(ISNUMBER(F4887),C4887*F4887,"")</f>
        <v/>
      </c>
    </row>
    <row r="4888" spans="1:7" ht="12" customHeight="1" outlineLevel="2" x14ac:dyDescent="0.2">
      <c r="A4888" s="14" t="s">
        <v>9626</v>
      </c>
      <c r="B4888" s="15" t="s">
        <v>9627</v>
      </c>
      <c r="C4888" s="16">
        <f>8.43/(1+B2)</f>
        <v>8.43</v>
      </c>
      <c r="D4888" s="17" t="s">
        <v>106</v>
      </c>
      <c r="E4888" s="17" t="s">
        <v>14</v>
      </c>
      <c r="F4888" s="18"/>
      <c r="G4888" s="36" t="str">
        <f>IF(ISNUMBER(F4888),C4888*F4888,"")</f>
        <v/>
      </c>
    </row>
    <row r="4889" spans="1:7" ht="12" customHeight="1" outlineLevel="2" x14ac:dyDescent="0.2">
      <c r="A4889" s="14" t="s">
        <v>9628</v>
      </c>
      <c r="B4889" s="15" t="s">
        <v>9629</v>
      </c>
      <c r="C4889" s="16">
        <f>11.7/(1+B2)</f>
        <v>11.7</v>
      </c>
      <c r="D4889" s="17" t="s">
        <v>11</v>
      </c>
      <c r="E4889" s="17"/>
      <c r="F4889" s="18"/>
      <c r="G4889" s="36" t="str">
        <f>IF(ISNUMBER(F4889),C4889*F4889,"")</f>
        <v/>
      </c>
    </row>
    <row r="4890" spans="1:7" ht="12" customHeight="1" outlineLevel="2" x14ac:dyDescent="0.2">
      <c r="A4890" s="14" t="s">
        <v>9630</v>
      </c>
      <c r="B4890" s="15" t="s">
        <v>9631</v>
      </c>
      <c r="C4890" s="16">
        <f>17.77/(1+B2)</f>
        <v>17.77</v>
      </c>
      <c r="D4890" s="17" t="s">
        <v>11</v>
      </c>
      <c r="E4890" s="17"/>
      <c r="F4890" s="18"/>
      <c r="G4890" s="36" t="str">
        <f>IF(ISNUMBER(F4890),C4890*F4890,"")</f>
        <v/>
      </c>
    </row>
    <row r="4891" spans="1:7" ht="12" customHeight="1" outlineLevel="2" x14ac:dyDescent="0.2">
      <c r="A4891" s="14" t="s">
        <v>9632</v>
      </c>
      <c r="B4891" s="15" t="s">
        <v>9633</v>
      </c>
      <c r="C4891" s="16">
        <f>6.4/(1+B2)</f>
        <v>6.4</v>
      </c>
      <c r="D4891" s="17"/>
      <c r="E4891" s="17" t="s">
        <v>106</v>
      </c>
      <c r="F4891" s="18"/>
      <c r="G4891" s="36" t="str">
        <f>IF(ISNUMBER(F4891),C4891*F4891,"")</f>
        <v/>
      </c>
    </row>
    <row r="4892" spans="1:7" ht="12" customHeight="1" outlineLevel="2" x14ac:dyDescent="0.2">
      <c r="A4892" s="14" t="s">
        <v>9634</v>
      </c>
      <c r="B4892" s="15" t="s">
        <v>9635</v>
      </c>
      <c r="C4892" s="16">
        <f>8.44/(1+B2)</f>
        <v>8.44</v>
      </c>
      <c r="D4892" s="17" t="s">
        <v>11</v>
      </c>
      <c r="E4892" s="17"/>
      <c r="F4892" s="18"/>
      <c r="G4892" s="36" t="str">
        <f>IF(ISNUMBER(F4892),C4892*F4892,"")</f>
        <v/>
      </c>
    </row>
    <row r="4893" spans="1:7" s="1" customFormat="1" ht="15.95" customHeight="1" outlineLevel="1" x14ac:dyDescent="0.25">
      <c r="A4893" s="11"/>
      <c r="B4893" s="12" t="s">
        <v>9636</v>
      </c>
      <c r="C4893" s="13"/>
      <c r="D4893" s="13"/>
      <c r="E4893" s="13"/>
      <c r="F4893" s="13"/>
      <c r="G4893" s="35"/>
    </row>
    <row r="4894" spans="1:7" ht="12" customHeight="1" outlineLevel="2" x14ac:dyDescent="0.2">
      <c r="A4894" s="14" t="s">
        <v>9637</v>
      </c>
      <c r="B4894" s="15" t="s">
        <v>9638</v>
      </c>
      <c r="C4894" s="16">
        <f>95.42/(1+B2)</f>
        <v>95.42</v>
      </c>
      <c r="D4894" s="17" t="s">
        <v>11</v>
      </c>
      <c r="E4894" s="17"/>
      <c r="F4894" s="18"/>
      <c r="G4894" s="36" t="str">
        <f>IF(ISNUMBER(F4894),C4894*F4894,"")</f>
        <v/>
      </c>
    </row>
    <row r="4895" spans="1:7" ht="12" customHeight="1" outlineLevel="2" x14ac:dyDescent="0.2">
      <c r="A4895" s="14" t="s">
        <v>9639</v>
      </c>
      <c r="B4895" s="15" t="s">
        <v>9640</v>
      </c>
      <c r="C4895" s="16">
        <f>110.08/(1+B2)</f>
        <v>110.08</v>
      </c>
      <c r="D4895" s="17" t="s">
        <v>11</v>
      </c>
      <c r="E4895" s="17"/>
      <c r="F4895" s="18"/>
      <c r="G4895" s="36" t="str">
        <f>IF(ISNUMBER(F4895),C4895*F4895,"")</f>
        <v/>
      </c>
    </row>
    <row r="4896" spans="1:7" ht="12" customHeight="1" outlineLevel="2" x14ac:dyDescent="0.2">
      <c r="A4896" s="14" t="s">
        <v>9641</v>
      </c>
      <c r="B4896" s="15" t="s">
        <v>9642</v>
      </c>
      <c r="C4896" s="16">
        <f>110.08/(1+B2)</f>
        <v>110.08</v>
      </c>
      <c r="D4896" s="17" t="s">
        <v>11</v>
      </c>
      <c r="E4896" s="17"/>
      <c r="F4896" s="18"/>
      <c r="G4896" s="36" t="str">
        <f>IF(ISNUMBER(F4896),C4896*F4896,"")</f>
        <v/>
      </c>
    </row>
    <row r="4897" spans="1:7" ht="12" customHeight="1" outlineLevel="2" x14ac:dyDescent="0.2">
      <c r="A4897" s="14" t="s">
        <v>9643</v>
      </c>
      <c r="B4897" s="15" t="s">
        <v>9644</v>
      </c>
      <c r="C4897" s="16">
        <f>110.08/(1+B2)</f>
        <v>110.08</v>
      </c>
      <c r="D4897" s="17" t="s">
        <v>11</v>
      </c>
      <c r="E4897" s="17"/>
      <c r="F4897" s="18"/>
      <c r="G4897" s="36" t="str">
        <f>IF(ISNUMBER(F4897),C4897*F4897,"")</f>
        <v/>
      </c>
    </row>
    <row r="4898" spans="1:7" ht="12" customHeight="1" outlineLevel="2" x14ac:dyDescent="0.2">
      <c r="A4898" s="14" t="s">
        <v>9645</v>
      </c>
      <c r="B4898" s="15" t="s">
        <v>9646</v>
      </c>
      <c r="C4898" s="16">
        <f>110.08/(1+B2)</f>
        <v>110.08</v>
      </c>
      <c r="D4898" s="17" t="s">
        <v>11</v>
      </c>
      <c r="E4898" s="17"/>
      <c r="F4898" s="18"/>
      <c r="G4898" s="36" t="str">
        <f>IF(ISNUMBER(F4898),C4898*F4898,"")</f>
        <v/>
      </c>
    </row>
    <row r="4899" spans="1:7" ht="12" customHeight="1" outlineLevel="2" x14ac:dyDescent="0.2">
      <c r="A4899" s="14" t="s">
        <v>9647</v>
      </c>
      <c r="B4899" s="15" t="s">
        <v>9648</v>
      </c>
      <c r="C4899" s="16">
        <f>110.08/(1+B2)</f>
        <v>110.08</v>
      </c>
      <c r="D4899" s="17" t="s">
        <v>11</v>
      </c>
      <c r="E4899" s="17"/>
      <c r="F4899" s="18"/>
      <c r="G4899" s="36" t="str">
        <f>IF(ISNUMBER(F4899),C4899*F4899,"")</f>
        <v/>
      </c>
    </row>
    <row r="4900" spans="1:7" ht="12" customHeight="1" outlineLevel="2" x14ac:dyDescent="0.2">
      <c r="A4900" s="14" t="s">
        <v>9649</v>
      </c>
      <c r="B4900" s="15" t="s">
        <v>9650</v>
      </c>
      <c r="C4900" s="16">
        <f>110.08/(1+B2)</f>
        <v>110.08</v>
      </c>
      <c r="D4900" s="17" t="s">
        <v>11</v>
      </c>
      <c r="E4900" s="17"/>
      <c r="F4900" s="18"/>
      <c r="G4900" s="36" t="str">
        <f>IF(ISNUMBER(F4900),C4900*F4900,"")</f>
        <v/>
      </c>
    </row>
    <row r="4901" spans="1:7" ht="12" customHeight="1" outlineLevel="2" x14ac:dyDescent="0.2">
      <c r="A4901" s="14" t="s">
        <v>9651</v>
      </c>
      <c r="B4901" s="15" t="s">
        <v>9652</v>
      </c>
      <c r="C4901" s="16">
        <f>110.08/(1+B2)</f>
        <v>110.08</v>
      </c>
      <c r="D4901" s="17" t="s">
        <v>11</v>
      </c>
      <c r="E4901" s="17"/>
      <c r="F4901" s="18"/>
      <c r="G4901" s="36" t="str">
        <f>IF(ISNUMBER(F4901),C4901*F4901,"")</f>
        <v/>
      </c>
    </row>
    <row r="4902" spans="1:7" ht="12" customHeight="1" outlineLevel="2" x14ac:dyDescent="0.2">
      <c r="A4902" s="14" t="s">
        <v>9653</v>
      </c>
      <c r="B4902" s="15" t="s">
        <v>9654</v>
      </c>
      <c r="C4902" s="16">
        <f>139.15/(1+B2)</f>
        <v>139.15</v>
      </c>
      <c r="D4902" s="17" t="s">
        <v>11</v>
      </c>
      <c r="E4902" s="17"/>
      <c r="F4902" s="18"/>
      <c r="G4902" s="36" t="str">
        <f>IF(ISNUMBER(F4902),C4902*F4902,"")</f>
        <v/>
      </c>
    </row>
    <row r="4903" spans="1:7" ht="24" customHeight="1" outlineLevel="2" x14ac:dyDescent="0.2">
      <c r="A4903" s="14" t="s">
        <v>9655</v>
      </c>
      <c r="B4903" s="15" t="s">
        <v>9656</v>
      </c>
      <c r="C4903" s="16">
        <f>151.08/(1+B2)</f>
        <v>151.08000000000001</v>
      </c>
      <c r="D4903" s="17" t="s">
        <v>11</v>
      </c>
      <c r="E4903" s="17" t="s">
        <v>11</v>
      </c>
      <c r="F4903" s="18"/>
      <c r="G4903" s="36" t="str">
        <f>IF(ISNUMBER(F4903),C4903*F4903,"")</f>
        <v/>
      </c>
    </row>
    <row r="4904" spans="1:7" ht="12" customHeight="1" outlineLevel="2" x14ac:dyDescent="0.2">
      <c r="A4904" s="14" t="s">
        <v>9657</v>
      </c>
      <c r="B4904" s="15" t="s">
        <v>9658</v>
      </c>
      <c r="C4904" s="16">
        <f>139.15/(1+B2)</f>
        <v>139.15</v>
      </c>
      <c r="D4904" s="17" t="s">
        <v>11</v>
      </c>
      <c r="E4904" s="17" t="s">
        <v>11</v>
      </c>
      <c r="F4904" s="18"/>
      <c r="G4904" s="36" t="str">
        <f>IF(ISNUMBER(F4904),C4904*F4904,"")</f>
        <v/>
      </c>
    </row>
    <row r="4905" spans="1:7" ht="12" customHeight="1" outlineLevel="2" x14ac:dyDescent="0.2">
      <c r="A4905" s="14" t="s">
        <v>9659</v>
      </c>
      <c r="B4905" s="15" t="s">
        <v>9660</v>
      </c>
      <c r="C4905" s="16">
        <f>151.08/(1+B2)</f>
        <v>151.08000000000001</v>
      </c>
      <c r="D4905" s="17"/>
      <c r="E4905" s="17" t="s">
        <v>11</v>
      </c>
      <c r="F4905" s="18"/>
      <c r="G4905" s="36" t="str">
        <f>IF(ISNUMBER(F4905),C4905*F4905,"")</f>
        <v/>
      </c>
    </row>
    <row r="4906" spans="1:7" ht="24" customHeight="1" outlineLevel="2" x14ac:dyDescent="0.2">
      <c r="A4906" s="14" t="s">
        <v>9661</v>
      </c>
      <c r="B4906" s="15" t="s">
        <v>9662</v>
      </c>
      <c r="C4906" s="16">
        <f>151.08/(1+B2)</f>
        <v>151.08000000000001</v>
      </c>
      <c r="D4906" s="17"/>
      <c r="E4906" s="17" t="s">
        <v>11</v>
      </c>
      <c r="F4906" s="18"/>
      <c r="G4906" s="36" t="str">
        <f>IF(ISNUMBER(F4906),C4906*F4906,"")</f>
        <v/>
      </c>
    </row>
    <row r="4907" spans="1:7" ht="12" customHeight="1" outlineLevel="2" x14ac:dyDescent="0.2">
      <c r="A4907" s="14" t="s">
        <v>9663</v>
      </c>
      <c r="B4907" s="15" t="s">
        <v>9664</v>
      </c>
      <c r="C4907" s="16">
        <f>139.15/(1+B2)</f>
        <v>139.15</v>
      </c>
      <c r="D4907" s="17" t="s">
        <v>11</v>
      </c>
      <c r="E4907" s="17" t="s">
        <v>11</v>
      </c>
      <c r="F4907" s="18"/>
      <c r="G4907" s="36" t="str">
        <f>IF(ISNUMBER(F4907),C4907*F4907,"")</f>
        <v/>
      </c>
    </row>
    <row r="4908" spans="1:7" ht="12" customHeight="1" outlineLevel="2" x14ac:dyDescent="0.2">
      <c r="A4908" s="14" t="s">
        <v>9665</v>
      </c>
      <c r="B4908" s="15" t="s">
        <v>9666</v>
      </c>
      <c r="C4908" s="16">
        <f>151.08/(1+B2)</f>
        <v>151.08000000000001</v>
      </c>
      <c r="D4908" s="17" t="s">
        <v>11</v>
      </c>
      <c r="E4908" s="17"/>
      <c r="F4908" s="18"/>
      <c r="G4908" s="36" t="str">
        <f>IF(ISNUMBER(F4908),C4908*F4908,"")</f>
        <v/>
      </c>
    </row>
    <row r="4909" spans="1:7" ht="12" customHeight="1" outlineLevel="2" x14ac:dyDescent="0.2">
      <c r="A4909" s="14" t="s">
        <v>9667</v>
      </c>
      <c r="B4909" s="15" t="s">
        <v>9668</v>
      </c>
      <c r="C4909" s="16">
        <f>139.15/(1+B2)</f>
        <v>139.15</v>
      </c>
      <c r="D4909" s="17" t="s">
        <v>11</v>
      </c>
      <c r="E4909" s="17" t="s">
        <v>11</v>
      </c>
      <c r="F4909" s="18"/>
      <c r="G4909" s="36" t="str">
        <f>IF(ISNUMBER(F4909),C4909*F4909,"")</f>
        <v/>
      </c>
    </row>
    <row r="4910" spans="1:7" ht="12" customHeight="1" outlineLevel="2" x14ac:dyDescent="0.2">
      <c r="A4910" s="14" t="s">
        <v>9669</v>
      </c>
      <c r="B4910" s="15" t="s">
        <v>9670</v>
      </c>
      <c r="C4910" s="16">
        <f>151.08/(1+B2)</f>
        <v>151.08000000000001</v>
      </c>
      <c r="D4910" s="17" t="s">
        <v>11</v>
      </c>
      <c r="E4910" s="17"/>
      <c r="F4910" s="18"/>
      <c r="G4910" s="36" t="str">
        <f>IF(ISNUMBER(F4910),C4910*F4910,"")</f>
        <v/>
      </c>
    </row>
    <row r="4911" spans="1:7" ht="12" customHeight="1" outlineLevel="2" x14ac:dyDescent="0.2">
      <c r="A4911" s="14" t="s">
        <v>9671</v>
      </c>
      <c r="B4911" s="15" t="s">
        <v>9672</v>
      </c>
      <c r="C4911" s="16">
        <f>98.06/(1+B2)</f>
        <v>98.06</v>
      </c>
      <c r="D4911" s="17"/>
      <c r="E4911" s="17" t="s">
        <v>11</v>
      </c>
      <c r="F4911" s="18"/>
      <c r="G4911" s="36" t="str">
        <f>IF(ISNUMBER(F4911),C4911*F4911,"")</f>
        <v/>
      </c>
    </row>
    <row r="4912" spans="1:7" ht="12" customHeight="1" outlineLevel="2" x14ac:dyDescent="0.2">
      <c r="A4912" s="14" t="s">
        <v>9673</v>
      </c>
      <c r="B4912" s="15" t="s">
        <v>9674</v>
      </c>
      <c r="C4912" s="16">
        <f>103.38/(1+B2)</f>
        <v>103.38</v>
      </c>
      <c r="D4912" s="17" t="s">
        <v>11</v>
      </c>
      <c r="E4912" s="17"/>
      <c r="F4912" s="18"/>
      <c r="G4912" s="36" t="str">
        <f>IF(ISNUMBER(F4912),C4912*F4912,"")</f>
        <v/>
      </c>
    </row>
    <row r="4913" spans="1:7" ht="12" customHeight="1" outlineLevel="2" x14ac:dyDescent="0.2">
      <c r="A4913" s="14" t="s">
        <v>9675</v>
      </c>
      <c r="B4913" s="15" t="s">
        <v>9676</v>
      </c>
      <c r="C4913" s="16">
        <f>98.06/(1+B2)</f>
        <v>98.06</v>
      </c>
      <c r="D4913" s="17" t="s">
        <v>11</v>
      </c>
      <c r="E4913" s="17" t="s">
        <v>11</v>
      </c>
      <c r="F4913" s="18"/>
      <c r="G4913" s="36" t="str">
        <f>IF(ISNUMBER(F4913),C4913*F4913,"")</f>
        <v/>
      </c>
    </row>
    <row r="4914" spans="1:7" ht="12" customHeight="1" outlineLevel="2" x14ac:dyDescent="0.2">
      <c r="A4914" s="14" t="s">
        <v>9677</v>
      </c>
      <c r="B4914" s="15" t="s">
        <v>9678</v>
      </c>
      <c r="C4914" s="16">
        <f>103.38/(1+B2)</f>
        <v>103.38</v>
      </c>
      <c r="D4914" s="17" t="s">
        <v>11</v>
      </c>
      <c r="E4914" s="17" t="s">
        <v>11</v>
      </c>
      <c r="F4914" s="18"/>
      <c r="G4914" s="36" t="str">
        <f>IF(ISNUMBER(F4914),C4914*F4914,"")</f>
        <v/>
      </c>
    </row>
    <row r="4915" spans="1:7" ht="12" customHeight="1" outlineLevel="2" x14ac:dyDescent="0.2">
      <c r="A4915" s="14" t="s">
        <v>9679</v>
      </c>
      <c r="B4915" s="15" t="s">
        <v>9680</v>
      </c>
      <c r="C4915" s="16">
        <f>98.06/(1+B2)</f>
        <v>98.06</v>
      </c>
      <c r="D4915" s="17" t="s">
        <v>11</v>
      </c>
      <c r="E4915" s="17" t="s">
        <v>11</v>
      </c>
      <c r="F4915" s="18"/>
      <c r="G4915" s="36" t="str">
        <f>IF(ISNUMBER(F4915),C4915*F4915,"")</f>
        <v/>
      </c>
    </row>
    <row r="4916" spans="1:7" ht="12" customHeight="1" outlineLevel="2" x14ac:dyDescent="0.2">
      <c r="A4916" s="14" t="s">
        <v>9681</v>
      </c>
      <c r="B4916" s="15" t="s">
        <v>9682</v>
      </c>
      <c r="C4916" s="16">
        <f>103.38/(1+B2)</f>
        <v>103.38</v>
      </c>
      <c r="D4916" s="17" t="s">
        <v>11</v>
      </c>
      <c r="E4916" s="17" t="s">
        <v>11</v>
      </c>
      <c r="F4916" s="18"/>
      <c r="G4916" s="36" t="str">
        <f>IF(ISNUMBER(F4916),C4916*F4916,"")</f>
        <v/>
      </c>
    </row>
    <row r="4917" spans="1:7" ht="12" customHeight="1" outlineLevel="2" x14ac:dyDescent="0.2">
      <c r="A4917" s="14" t="s">
        <v>9683</v>
      </c>
      <c r="B4917" s="15" t="s">
        <v>9684</v>
      </c>
      <c r="C4917" s="16">
        <f>98.06/(1+B2)</f>
        <v>98.06</v>
      </c>
      <c r="D4917" s="17" t="s">
        <v>11</v>
      </c>
      <c r="E4917" s="17" t="s">
        <v>11</v>
      </c>
      <c r="F4917" s="18"/>
      <c r="G4917" s="36" t="str">
        <f>IF(ISNUMBER(F4917),C4917*F4917,"")</f>
        <v/>
      </c>
    </row>
    <row r="4918" spans="1:7" ht="12" customHeight="1" outlineLevel="2" x14ac:dyDescent="0.2">
      <c r="A4918" s="14" t="s">
        <v>9685</v>
      </c>
      <c r="B4918" s="15" t="s">
        <v>9686</v>
      </c>
      <c r="C4918" s="16">
        <f>103.38/(1+B2)</f>
        <v>103.38</v>
      </c>
      <c r="D4918" s="17" t="s">
        <v>11</v>
      </c>
      <c r="E4918" s="17"/>
      <c r="F4918" s="18"/>
      <c r="G4918" s="36" t="str">
        <f>IF(ISNUMBER(F4918),C4918*F4918,"")</f>
        <v/>
      </c>
    </row>
    <row r="4919" spans="1:7" ht="12" customHeight="1" outlineLevel="2" x14ac:dyDescent="0.2">
      <c r="A4919" s="14" t="s">
        <v>9687</v>
      </c>
      <c r="B4919" s="15" t="s">
        <v>9688</v>
      </c>
      <c r="C4919" s="16">
        <f>98.06/(1+B2)</f>
        <v>98.06</v>
      </c>
      <c r="D4919" s="17" t="s">
        <v>11</v>
      </c>
      <c r="E4919" s="17" t="s">
        <v>11</v>
      </c>
      <c r="F4919" s="18"/>
      <c r="G4919" s="36" t="str">
        <f>IF(ISNUMBER(F4919),C4919*F4919,"")</f>
        <v/>
      </c>
    </row>
    <row r="4920" spans="1:7" ht="12" customHeight="1" outlineLevel="2" x14ac:dyDescent="0.2">
      <c r="A4920" s="14" t="s">
        <v>9689</v>
      </c>
      <c r="B4920" s="15" t="s">
        <v>9690</v>
      </c>
      <c r="C4920" s="16">
        <f>103.38/(1+B2)</f>
        <v>103.38</v>
      </c>
      <c r="D4920" s="17"/>
      <c r="E4920" s="17" t="s">
        <v>11</v>
      </c>
      <c r="F4920" s="18"/>
      <c r="G4920" s="36" t="str">
        <f>IF(ISNUMBER(F4920),C4920*F4920,"")</f>
        <v/>
      </c>
    </row>
    <row r="4921" spans="1:7" ht="12" customHeight="1" outlineLevel="2" x14ac:dyDescent="0.2">
      <c r="A4921" s="14" t="s">
        <v>9691</v>
      </c>
      <c r="B4921" s="15" t="s">
        <v>9692</v>
      </c>
      <c r="C4921" s="16">
        <f>86.14/(1+B2)</f>
        <v>86.14</v>
      </c>
      <c r="D4921" s="17"/>
      <c r="E4921" s="17" t="s">
        <v>14</v>
      </c>
      <c r="F4921" s="18"/>
      <c r="G4921" s="36" t="str">
        <f>IF(ISNUMBER(F4921),C4921*F4921,"")</f>
        <v/>
      </c>
    </row>
    <row r="4922" spans="1:7" ht="12" customHeight="1" outlineLevel="2" x14ac:dyDescent="0.2">
      <c r="A4922" s="14" t="s">
        <v>9693</v>
      </c>
      <c r="B4922" s="15" t="s">
        <v>9694</v>
      </c>
      <c r="C4922" s="16">
        <f>88.79/(1+B2)</f>
        <v>88.79</v>
      </c>
      <c r="D4922" s="17" t="s">
        <v>11</v>
      </c>
      <c r="E4922" s="17"/>
      <c r="F4922" s="18"/>
      <c r="G4922" s="36" t="str">
        <f>IF(ISNUMBER(F4922),C4922*F4922,"")</f>
        <v/>
      </c>
    </row>
    <row r="4923" spans="1:7" ht="12" customHeight="1" outlineLevel="2" x14ac:dyDescent="0.2">
      <c r="A4923" s="14" t="s">
        <v>9695</v>
      </c>
      <c r="B4923" s="15" t="s">
        <v>9696</v>
      </c>
      <c r="C4923" s="16">
        <f>86.14/(1+B2)</f>
        <v>86.14</v>
      </c>
      <c r="D4923" s="17" t="s">
        <v>11</v>
      </c>
      <c r="E4923" s="17"/>
      <c r="F4923" s="18"/>
      <c r="G4923" s="36" t="str">
        <f>IF(ISNUMBER(F4923),C4923*F4923,"")</f>
        <v/>
      </c>
    </row>
    <row r="4924" spans="1:7" ht="12" customHeight="1" outlineLevel="2" x14ac:dyDescent="0.2">
      <c r="A4924" s="14" t="s">
        <v>9697</v>
      </c>
      <c r="B4924" s="15" t="s">
        <v>9698</v>
      </c>
      <c r="C4924" s="16">
        <f>88.79/(1+B2)</f>
        <v>88.79</v>
      </c>
      <c r="D4924" s="17" t="s">
        <v>11</v>
      </c>
      <c r="E4924" s="17" t="s">
        <v>14</v>
      </c>
      <c r="F4924" s="18"/>
      <c r="G4924" s="36" t="str">
        <f>IF(ISNUMBER(F4924),C4924*F4924,"")</f>
        <v/>
      </c>
    </row>
    <row r="4925" spans="1:7" ht="12" customHeight="1" outlineLevel="2" x14ac:dyDescent="0.2">
      <c r="A4925" s="14" t="s">
        <v>9699</v>
      </c>
      <c r="B4925" s="15" t="s">
        <v>9700</v>
      </c>
      <c r="C4925" s="16">
        <f>86.14/(1+B2)</f>
        <v>86.14</v>
      </c>
      <c r="D4925" s="17" t="s">
        <v>11</v>
      </c>
      <c r="E4925" s="17" t="s">
        <v>14</v>
      </c>
      <c r="F4925" s="18"/>
      <c r="G4925" s="36" t="str">
        <f>IF(ISNUMBER(F4925),C4925*F4925,"")</f>
        <v/>
      </c>
    </row>
    <row r="4926" spans="1:7" ht="12" customHeight="1" outlineLevel="2" x14ac:dyDescent="0.2">
      <c r="A4926" s="14" t="s">
        <v>9701</v>
      </c>
      <c r="B4926" s="15" t="s">
        <v>9702</v>
      </c>
      <c r="C4926" s="16">
        <f>88.79/(1+B2)</f>
        <v>88.79</v>
      </c>
      <c r="D4926" s="17" t="s">
        <v>11</v>
      </c>
      <c r="E4926" s="17"/>
      <c r="F4926" s="18"/>
      <c r="G4926" s="36" t="str">
        <f>IF(ISNUMBER(F4926),C4926*F4926,"")</f>
        <v/>
      </c>
    </row>
    <row r="4927" spans="1:7" ht="12" customHeight="1" outlineLevel="2" x14ac:dyDescent="0.2">
      <c r="A4927" s="14" t="s">
        <v>9703</v>
      </c>
      <c r="B4927" s="15" t="s">
        <v>9704</v>
      </c>
      <c r="C4927" s="16">
        <f>86.14/(1+B2)</f>
        <v>86.14</v>
      </c>
      <c r="D4927" s="17" t="s">
        <v>11</v>
      </c>
      <c r="E4927" s="17" t="s">
        <v>11</v>
      </c>
      <c r="F4927" s="18"/>
      <c r="G4927" s="36" t="str">
        <f>IF(ISNUMBER(F4927),C4927*F4927,"")</f>
        <v/>
      </c>
    </row>
    <row r="4928" spans="1:7" ht="12" customHeight="1" outlineLevel="2" x14ac:dyDescent="0.2">
      <c r="A4928" s="14" t="s">
        <v>9705</v>
      </c>
      <c r="B4928" s="15" t="s">
        <v>9706</v>
      </c>
      <c r="C4928" s="16">
        <f>88.79/(1+B2)</f>
        <v>88.79</v>
      </c>
      <c r="D4928" s="17" t="s">
        <v>11</v>
      </c>
      <c r="E4928" s="17"/>
      <c r="F4928" s="18"/>
      <c r="G4928" s="36" t="str">
        <f>IF(ISNUMBER(F4928),C4928*F4928,"")</f>
        <v/>
      </c>
    </row>
    <row r="4929" spans="1:7" ht="12" customHeight="1" outlineLevel="2" x14ac:dyDescent="0.2">
      <c r="A4929" s="14" t="s">
        <v>9707</v>
      </c>
      <c r="B4929" s="15" t="s">
        <v>9708</v>
      </c>
      <c r="C4929" s="16">
        <f>86.14/(1+B2)</f>
        <v>86.14</v>
      </c>
      <c r="D4929" s="17" t="s">
        <v>11</v>
      </c>
      <c r="E4929" s="17" t="s">
        <v>11</v>
      </c>
      <c r="F4929" s="18"/>
      <c r="G4929" s="36" t="str">
        <f>IF(ISNUMBER(F4929),C4929*F4929,"")</f>
        <v/>
      </c>
    </row>
    <row r="4930" spans="1:7" ht="12" customHeight="1" outlineLevel="2" x14ac:dyDescent="0.2">
      <c r="A4930" s="14" t="s">
        <v>9709</v>
      </c>
      <c r="B4930" s="15" t="s">
        <v>9710</v>
      </c>
      <c r="C4930" s="16">
        <f>88.79/(1+B2)</f>
        <v>88.79</v>
      </c>
      <c r="D4930" s="17" t="s">
        <v>11</v>
      </c>
      <c r="E4930" s="17" t="s">
        <v>11</v>
      </c>
      <c r="F4930" s="18"/>
      <c r="G4930" s="36" t="str">
        <f>IF(ISNUMBER(F4930),C4930*F4930,"")</f>
        <v/>
      </c>
    </row>
    <row r="4931" spans="1:7" s="1" customFormat="1" ht="15.95" customHeight="1" outlineLevel="1" x14ac:dyDescent="0.25">
      <c r="A4931" s="11"/>
      <c r="B4931" s="12" t="s">
        <v>9711</v>
      </c>
      <c r="C4931" s="13"/>
      <c r="D4931" s="13"/>
      <c r="E4931" s="13"/>
      <c r="F4931" s="13"/>
      <c r="G4931" s="35"/>
    </row>
    <row r="4932" spans="1:7" ht="12" customHeight="1" outlineLevel="2" x14ac:dyDescent="0.2">
      <c r="A4932" s="14" t="s">
        <v>9712</v>
      </c>
      <c r="B4932" s="15" t="s">
        <v>9713</v>
      </c>
      <c r="C4932" s="16">
        <f>67.7/(1+B2)</f>
        <v>67.7</v>
      </c>
      <c r="D4932" s="17" t="s">
        <v>53</v>
      </c>
      <c r="E4932" s="17"/>
      <c r="F4932" s="18"/>
      <c r="G4932" s="36" t="str">
        <f>IF(ISNUMBER(F4932),C4932*F4932,"")</f>
        <v/>
      </c>
    </row>
    <row r="4933" spans="1:7" ht="12" customHeight="1" outlineLevel="2" x14ac:dyDescent="0.2">
      <c r="A4933" s="14" t="s">
        <v>9714</v>
      </c>
      <c r="B4933" s="15" t="s">
        <v>9715</v>
      </c>
      <c r="C4933" s="16">
        <f>26.97/(1+B2)</f>
        <v>26.97</v>
      </c>
      <c r="D4933" s="17" t="s">
        <v>11</v>
      </c>
      <c r="E4933" s="17"/>
      <c r="F4933" s="18"/>
      <c r="G4933" s="36" t="str">
        <f>IF(ISNUMBER(F4933),C4933*F4933,"")</f>
        <v/>
      </c>
    </row>
    <row r="4934" spans="1:7" ht="12" customHeight="1" outlineLevel="2" x14ac:dyDescent="0.2">
      <c r="A4934" s="14" t="s">
        <v>9716</v>
      </c>
      <c r="B4934" s="15" t="s">
        <v>9717</v>
      </c>
      <c r="C4934" s="16">
        <f>24.64/(1+B2)</f>
        <v>24.64</v>
      </c>
      <c r="D4934" s="17" t="s">
        <v>11</v>
      </c>
      <c r="E4934" s="17"/>
      <c r="F4934" s="18"/>
      <c r="G4934" s="36" t="str">
        <f>IF(ISNUMBER(F4934),C4934*F4934,"")</f>
        <v/>
      </c>
    </row>
    <row r="4935" spans="1:7" ht="12" customHeight="1" outlineLevel="2" x14ac:dyDescent="0.2">
      <c r="A4935" s="14" t="s">
        <v>9718</v>
      </c>
      <c r="B4935" s="15" t="s">
        <v>9719</v>
      </c>
      <c r="C4935" s="16">
        <f>49.51/(1+B2)</f>
        <v>49.51</v>
      </c>
      <c r="D4935" s="17" t="s">
        <v>11</v>
      </c>
      <c r="E4935" s="17"/>
      <c r="F4935" s="18"/>
      <c r="G4935" s="36" t="str">
        <f>IF(ISNUMBER(F4935),C4935*F4935,"")</f>
        <v/>
      </c>
    </row>
    <row r="4936" spans="1:7" ht="12" customHeight="1" outlineLevel="2" x14ac:dyDescent="0.2">
      <c r="A4936" s="14" t="s">
        <v>9720</v>
      </c>
      <c r="B4936" s="15" t="s">
        <v>9721</v>
      </c>
      <c r="C4936" s="16">
        <f>13.73/(1+B2)</f>
        <v>13.73</v>
      </c>
      <c r="D4936" s="17" t="s">
        <v>11</v>
      </c>
      <c r="E4936" s="17"/>
      <c r="F4936" s="18"/>
      <c r="G4936" s="36" t="str">
        <f>IF(ISNUMBER(F4936),C4936*F4936,"")</f>
        <v/>
      </c>
    </row>
    <row r="4937" spans="1:7" ht="12" customHeight="1" outlineLevel="2" x14ac:dyDescent="0.2">
      <c r="A4937" s="14" t="s">
        <v>9722</v>
      </c>
      <c r="B4937" s="15" t="s">
        <v>9723</v>
      </c>
      <c r="C4937" s="16">
        <f>19.54/(1+B2)</f>
        <v>19.54</v>
      </c>
      <c r="D4937" s="17" t="s">
        <v>11</v>
      </c>
      <c r="E4937" s="17"/>
      <c r="F4937" s="18"/>
      <c r="G4937" s="36" t="str">
        <f>IF(ISNUMBER(F4937),C4937*F4937,"")</f>
        <v/>
      </c>
    </row>
    <row r="4938" spans="1:7" ht="12" customHeight="1" outlineLevel="2" x14ac:dyDescent="0.2">
      <c r="A4938" s="14" t="s">
        <v>9724</v>
      </c>
      <c r="B4938" s="15" t="s">
        <v>9725</v>
      </c>
      <c r="C4938" s="16">
        <f>12.32/(1+B2)</f>
        <v>12.32</v>
      </c>
      <c r="D4938" s="17" t="s">
        <v>11</v>
      </c>
      <c r="E4938" s="17"/>
      <c r="F4938" s="18"/>
      <c r="G4938" s="36" t="str">
        <f>IF(ISNUMBER(F4938),C4938*F4938,"")</f>
        <v/>
      </c>
    </row>
    <row r="4939" spans="1:7" ht="12" customHeight="1" outlineLevel="2" x14ac:dyDescent="0.2">
      <c r="A4939" s="14" t="s">
        <v>9726</v>
      </c>
      <c r="B4939" s="15" t="s">
        <v>9727</v>
      </c>
      <c r="C4939" s="16">
        <f>15.4/(1+B2)</f>
        <v>15.4</v>
      </c>
      <c r="D4939" s="17" t="s">
        <v>11</v>
      </c>
      <c r="E4939" s="17"/>
      <c r="F4939" s="18"/>
      <c r="G4939" s="36" t="str">
        <f>IF(ISNUMBER(F4939),C4939*F4939,"")</f>
        <v/>
      </c>
    </row>
    <row r="4940" spans="1:7" ht="12" customHeight="1" outlineLevel="2" x14ac:dyDescent="0.2">
      <c r="A4940" s="14" t="s">
        <v>9728</v>
      </c>
      <c r="B4940" s="15" t="s">
        <v>9729</v>
      </c>
      <c r="C4940" s="16">
        <f>71.61/(1+B2)</f>
        <v>71.61</v>
      </c>
      <c r="D4940" s="17" t="s">
        <v>106</v>
      </c>
      <c r="E4940" s="17"/>
      <c r="F4940" s="18"/>
      <c r="G4940" s="36" t="str">
        <f>IF(ISNUMBER(F4940),C4940*F4940,"")</f>
        <v/>
      </c>
    </row>
    <row r="4941" spans="1:7" ht="12" customHeight="1" outlineLevel="2" x14ac:dyDescent="0.2">
      <c r="A4941" s="14" t="s">
        <v>9730</v>
      </c>
      <c r="B4941" s="15" t="s">
        <v>9731</v>
      </c>
      <c r="C4941" s="16">
        <f>20.31/(1+B2)</f>
        <v>20.309999999999999</v>
      </c>
      <c r="D4941" s="17" t="s">
        <v>11</v>
      </c>
      <c r="E4941" s="17"/>
      <c r="F4941" s="18"/>
      <c r="G4941" s="36" t="str">
        <f>IF(ISNUMBER(F4941),C4941*F4941,"")</f>
        <v/>
      </c>
    </row>
    <row r="4942" spans="1:7" ht="12" customHeight="1" outlineLevel="2" x14ac:dyDescent="0.2">
      <c r="A4942" s="14" t="s">
        <v>9732</v>
      </c>
      <c r="B4942" s="15" t="s">
        <v>9733</v>
      </c>
      <c r="C4942" s="16">
        <f>20.31/(1+B2)</f>
        <v>20.309999999999999</v>
      </c>
      <c r="D4942" s="17" t="s">
        <v>11</v>
      </c>
      <c r="E4942" s="17"/>
      <c r="F4942" s="18"/>
      <c r="G4942" s="36" t="str">
        <f>IF(ISNUMBER(F4942),C4942*F4942,"")</f>
        <v/>
      </c>
    </row>
    <row r="4943" spans="1:7" ht="12" customHeight="1" outlineLevel="2" x14ac:dyDescent="0.2">
      <c r="A4943" s="14" t="s">
        <v>9734</v>
      </c>
      <c r="B4943" s="15" t="s">
        <v>9735</v>
      </c>
      <c r="C4943" s="16">
        <f>47.39/(1+B2)</f>
        <v>47.39</v>
      </c>
      <c r="D4943" s="17" t="s">
        <v>53</v>
      </c>
      <c r="E4943" s="17"/>
      <c r="F4943" s="18"/>
      <c r="G4943" s="36" t="str">
        <f>IF(ISNUMBER(F4943),C4943*F4943,"")</f>
        <v/>
      </c>
    </row>
    <row r="4944" spans="1:7" ht="12" customHeight="1" outlineLevel="2" x14ac:dyDescent="0.2">
      <c r="A4944" s="14" t="s">
        <v>9736</v>
      </c>
      <c r="B4944" s="15" t="s">
        <v>9737</v>
      </c>
      <c r="C4944" s="16">
        <f>18.56/(1+B2)</f>
        <v>18.559999999999999</v>
      </c>
      <c r="D4944" s="17" t="s">
        <v>11</v>
      </c>
      <c r="E4944" s="17"/>
      <c r="F4944" s="18"/>
      <c r="G4944" s="36" t="str">
        <f>IF(ISNUMBER(F4944),C4944*F4944,"")</f>
        <v/>
      </c>
    </row>
    <row r="4945" spans="1:7" ht="12" customHeight="1" outlineLevel="2" x14ac:dyDescent="0.2">
      <c r="A4945" s="14" t="s">
        <v>9738</v>
      </c>
      <c r="B4945" s="15" t="s">
        <v>9739</v>
      </c>
      <c r="C4945" s="16">
        <f>35.69/(1+B2)</f>
        <v>35.69</v>
      </c>
      <c r="D4945" s="17" t="s">
        <v>11</v>
      </c>
      <c r="E4945" s="17"/>
      <c r="F4945" s="18"/>
      <c r="G4945" s="36" t="str">
        <f>IF(ISNUMBER(F4945),C4945*F4945,"")</f>
        <v/>
      </c>
    </row>
    <row r="4946" spans="1:7" ht="12" customHeight="1" outlineLevel="2" x14ac:dyDescent="0.2">
      <c r="A4946" s="14" t="s">
        <v>9740</v>
      </c>
      <c r="B4946" s="15" t="s">
        <v>9741</v>
      </c>
      <c r="C4946" s="16">
        <f>20.62/(1+B2)</f>
        <v>20.62</v>
      </c>
      <c r="D4946" s="17" t="s">
        <v>11</v>
      </c>
      <c r="E4946" s="17"/>
      <c r="F4946" s="18"/>
      <c r="G4946" s="36" t="str">
        <f>IF(ISNUMBER(F4946),C4946*F4946,"")</f>
        <v/>
      </c>
    </row>
    <row r="4947" spans="1:7" ht="12" customHeight="1" outlineLevel="2" x14ac:dyDescent="0.2">
      <c r="A4947" s="14" t="s">
        <v>9742</v>
      </c>
      <c r="B4947" s="15" t="s">
        <v>9743</v>
      </c>
      <c r="C4947" s="16">
        <f>20.62/(1+B2)</f>
        <v>20.62</v>
      </c>
      <c r="D4947" s="17" t="s">
        <v>11</v>
      </c>
      <c r="E4947" s="17"/>
      <c r="F4947" s="18"/>
      <c r="G4947" s="36" t="str">
        <f>IF(ISNUMBER(F4947),C4947*F4947,"")</f>
        <v/>
      </c>
    </row>
    <row r="4948" spans="1:7" ht="12" customHeight="1" outlineLevel="2" x14ac:dyDescent="0.2">
      <c r="A4948" s="14" t="s">
        <v>9744</v>
      </c>
      <c r="B4948" s="15" t="s">
        <v>9745</v>
      </c>
      <c r="C4948" s="16">
        <f>96.91/(1+B2)</f>
        <v>96.91</v>
      </c>
      <c r="D4948" s="17" t="s">
        <v>11</v>
      </c>
      <c r="E4948" s="17"/>
      <c r="F4948" s="18"/>
      <c r="G4948" s="36" t="str">
        <f>IF(ISNUMBER(F4948),C4948*F4948,"")</f>
        <v/>
      </c>
    </row>
    <row r="4949" spans="1:7" ht="12" customHeight="1" outlineLevel="2" x14ac:dyDescent="0.2">
      <c r="A4949" s="14" t="s">
        <v>9746</v>
      </c>
      <c r="B4949" s="15" t="s">
        <v>9747</v>
      </c>
      <c r="C4949" s="16">
        <f>13.92/(1+B2)</f>
        <v>13.92</v>
      </c>
      <c r="D4949" s="17" t="s">
        <v>11</v>
      </c>
      <c r="E4949" s="17"/>
      <c r="F4949" s="18"/>
      <c r="G4949" s="36" t="str">
        <f>IF(ISNUMBER(F4949),C4949*F4949,"")</f>
        <v/>
      </c>
    </row>
    <row r="4950" spans="1:7" ht="12" customHeight="1" outlineLevel="2" x14ac:dyDescent="0.2">
      <c r="A4950" s="14" t="s">
        <v>9748</v>
      </c>
      <c r="B4950" s="15" t="s">
        <v>9749</v>
      </c>
      <c r="C4950" s="16">
        <f>29.68/(1+B2)</f>
        <v>29.68</v>
      </c>
      <c r="D4950" s="17" t="s">
        <v>11</v>
      </c>
      <c r="E4950" s="17"/>
      <c r="F4950" s="18"/>
      <c r="G4950" s="36" t="str">
        <f>IF(ISNUMBER(F4950),C4950*F4950,"")</f>
        <v/>
      </c>
    </row>
    <row r="4951" spans="1:7" ht="12" customHeight="1" outlineLevel="2" x14ac:dyDescent="0.2">
      <c r="A4951" s="14" t="s">
        <v>9750</v>
      </c>
      <c r="B4951" s="15" t="s">
        <v>9751</v>
      </c>
      <c r="C4951" s="16">
        <f>29.68/(1+B2)</f>
        <v>29.68</v>
      </c>
      <c r="D4951" s="17" t="s">
        <v>11</v>
      </c>
      <c r="E4951" s="17"/>
      <c r="F4951" s="18"/>
      <c r="G4951" s="36" t="str">
        <f>IF(ISNUMBER(F4951),C4951*F4951,"")</f>
        <v/>
      </c>
    </row>
    <row r="4952" spans="1:7" ht="12" customHeight="1" outlineLevel="2" x14ac:dyDescent="0.2">
      <c r="A4952" s="14" t="s">
        <v>9752</v>
      </c>
      <c r="B4952" s="15" t="s">
        <v>9753</v>
      </c>
      <c r="C4952" s="16">
        <f>22.25/(1+B2)</f>
        <v>22.25</v>
      </c>
      <c r="D4952" s="17" t="s">
        <v>11</v>
      </c>
      <c r="E4952" s="17"/>
      <c r="F4952" s="18"/>
      <c r="G4952" s="36" t="str">
        <f>IF(ISNUMBER(F4952),C4952*F4952,"")</f>
        <v/>
      </c>
    </row>
    <row r="4953" spans="1:7" ht="12" customHeight="1" outlineLevel="2" x14ac:dyDescent="0.2">
      <c r="A4953" s="14" t="s">
        <v>9754</v>
      </c>
      <c r="B4953" s="15" t="s">
        <v>9755</v>
      </c>
      <c r="C4953" s="16">
        <f>22.25/(1+B2)</f>
        <v>22.25</v>
      </c>
      <c r="D4953" s="17" t="s">
        <v>11</v>
      </c>
      <c r="E4953" s="17"/>
      <c r="F4953" s="18"/>
      <c r="G4953" s="36" t="str">
        <f>IF(ISNUMBER(F4953),C4953*F4953,"")</f>
        <v/>
      </c>
    </row>
    <row r="4954" spans="1:7" ht="12" customHeight="1" outlineLevel="2" x14ac:dyDescent="0.2">
      <c r="A4954" s="14" t="s">
        <v>9756</v>
      </c>
      <c r="B4954" s="15" t="s">
        <v>9757</v>
      </c>
      <c r="C4954" s="16">
        <f>23.13/(1+B2)</f>
        <v>23.13</v>
      </c>
      <c r="D4954" s="17" t="s">
        <v>11</v>
      </c>
      <c r="E4954" s="17"/>
      <c r="F4954" s="18"/>
      <c r="G4954" s="36" t="str">
        <f>IF(ISNUMBER(F4954),C4954*F4954,"")</f>
        <v/>
      </c>
    </row>
    <row r="4955" spans="1:7" ht="12" customHeight="1" outlineLevel="2" x14ac:dyDescent="0.2">
      <c r="A4955" s="14" t="s">
        <v>9758</v>
      </c>
      <c r="B4955" s="15" t="s">
        <v>9759</v>
      </c>
      <c r="C4955" s="16">
        <f>16.25/(1+B2)</f>
        <v>16.25</v>
      </c>
      <c r="D4955" s="17" t="s">
        <v>11</v>
      </c>
      <c r="E4955" s="17"/>
      <c r="F4955" s="18"/>
      <c r="G4955" s="36" t="str">
        <f>IF(ISNUMBER(F4955),C4955*F4955,"")</f>
        <v/>
      </c>
    </row>
    <row r="4956" spans="1:7" ht="12" customHeight="1" outlineLevel="2" x14ac:dyDescent="0.2">
      <c r="A4956" s="14" t="s">
        <v>9760</v>
      </c>
      <c r="B4956" s="15" t="s">
        <v>9761</v>
      </c>
      <c r="C4956" s="16">
        <f>21.2/(1+B2)</f>
        <v>21.2</v>
      </c>
      <c r="D4956" s="17"/>
      <c r="E4956" s="17" t="s">
        <v>14</v>
      </c>
      <c r="F4956" s="18"/>
      <c r="G4956" s="36" t="str">
        <f>IF(ISNUMBER(F4956),C4956*F4956,"")</f>
        <v/>
      </c>
    </row>
    <row r="4957" spans="1:7" ht="12" customHeight="1" outlineLevel="2" x14ac:dyDescent="0.2">
      <c r="A4957" s="14" t="s">
        <v>9762</v>
      </c>
      <c r="B4957" s="15" t="s">
        <v>9763</v>
      </c>
      <c r="C4957" s="16">
        <f>21.2/(1+B2)</f>
        <v>21.2</v>
      </c>
      <c r="D4957" s="17" t="s">
        <v>11</v>
      </c>
      <c r="E4957" s="17" t="s">
        <v>14</v>
      </c>
      <c r="F4957" s="18"/>
      <c r="G4957" s="36" t="str">
        <f>IF(ISNUMBER(F4957),C4957*F4957,"")</f>
        <v/>
      </c>
    </row>
    <row r="4958" spans="1:7" ht="12" customHeight="1" outlineLevel="2" x14ac:dyDescent="0.2">
      <c r="A4958" s="14" t="s">
        <v>9764</v>
      </c>
      <c r="B4958" s="15" t="s">
        <v>9765</v>
      </c>
      <c r="C4958" s="16">
        <f>18.55/(1+B2)</f>
        <v>18.55</v>
      </c>
      <c r="D4958" s="17"/>
      <c r="E4958" s="17" t="s">
        <v>14</v>
      </c>
      <c r="F4958" s="18"/>
      <c r="G4958" s="36" t="str">
        <f>IF(ISNUMBER(F4958),C4958*F4958,"")</f>
        <v/>
      </c>
    </row>
    <row r="4959" spans="1:7" ht="12" customHeight="1" outlineLevel="2" x14ac:dyDescent="0.2">
      <c r="A4959" s="14" t="s">
        <v>9766</v>
      </c>
      <c r="B4959" s="15" t="s">
        <v>9767</v>
      </c>
      <c r="C4959" s="16">
        <f>21.41/(1+B2)</f>
        <v>21.41</v>
      </c>
      <c r="D4959" s="17" t="s">
        <v>11</v>
      </c>
      <c r="E4959" s="17"/>
      <c r="F4959" s="18"/>
      <c r="G4959" s="36" t="str">
        <f>IF(ISNUMBER(F4959),C4959*F4959,"")</f>
        <v/>
      </c>
    </row>
    <row r="4960" spans="1:7" ht="12" customHeight="1" outlineLevel="2" x14ac:dyDescent="0.2">
      <c r="A4960" s="14" t="s">
        <v>9768</v>
      </c>
      <c r="B4960" s="15" t="s">
        <v>9769</v>
      </c>
      <c r="C4960" s="16">
        <f>31.4/(1+B2)</f>
        <v>31.4</v>
      </c>
      <c r="D4960" s="17" t="s">
        <v>11</v>
      </c>
      <c r="E4960" s="17"/>
      <c r="F4960" s="18"/>
      <c r="G4960" s="36" t="str">
        <f>IF(ISNUMBER(F4960),C4960*F4960,"")</f>
        <v/>
      </c>
    </row>
    <row r="4961" spans="1:7" ht="12" customHeight="1" outlineLevel="2" x14ac:dyDescent="0.2">
      <c r="A4961" s="14" t="s">
        <v>9770</v>
      </c>
      <c r="B4961" s="15" t="s">
        <v>9771</v>
      </c>
      <c r="C4961" s="16">
        <f>58.49/(1+B2)</f>
        <v>58.49</v>
      </c>
      <c r="D4961" s="17" t="s">
        <v>11</v>
      </c>
      <c r="E4961" s="17"/>
      <c r="F4961" s="18"/>
      <c r="G4961" s="36" t="str">
        <f>IF(ISNUMBER(F4961),C4961*F4961,"")</f>
        <v/>
      </c>
    </row>
    <row r="4962" spans="1:7" ht="12" customHeight="1" outlineLevel="2" x14ac:dyDescent="0.2">
      <c r="A4962" s="14" t="s">
        <v>9772</v>
      </c>
      <c r="B4962" s="15" t="s">
        <v>9773</v>
      </c>
      <c r="C4962" s="16">
        <f>51.93/(1+B2)</f>
        <v>51.93</v>
      </c>
      <c r="D4962" s="17" t="s">
        <v>53</v>
      </c>
      <c r="E4962" s="17"/>
      <c r="F4962" s="18"/>
      <c r="G4962" s="36" t="str">
        <f>IF(ISNUMBER(F4962),C4962*F4962,"")</f>
        <v/>
      </c>
    </row>
    <row r="4963" spans="1:7" ht="12" customHeight="1" outlineLevel="2" x14ac:dyDescent="0.2">
      <c r="A4963" s="14" t="s">
        <v>9774</v>
      </c>
      <c r="B4963" s="15" t="s">
        <v>9775</v>
      </c>
      <c r="C4963" s="16">
        <f>51.93/(1+B2)</f>
        <v>51.93</v>
      </c>
      <c r="D4963" s="17" t="s">
        <v>11</v>
      </c>
      <c r="E4963" s="17"/>
      <c r="F4963" s="18"/>
      <c r="G4963" s="36" t="str">
        <f>IF(ISNUMBER(F4963),C4963*F4963,"")</f>
        <v/>
      </c>
    </row>
    <row r="4964" spans="1:7" ht="12" customHeight="1" outlineLevel="2" x14ac:dyDescent="0.2">
      <c r="A4964" s="14" t="s">
        <v>9776</v>
      </c>
      <c r="B4964" s="15" t="s">
        <v>9777</v>
      </c>
      <c r="C4964" s="16">
        <f>40.94/(1+B2)</f>
        <v>40.94</v>
      </c>
      <c r="D4964" s="17" t="s">
        <v>11</v>
      </c>
      <c r="E4964" s="17"/>
      <c r="F4964" s="18"/>
      <c r="G4964" s="36" t="str">
        <f>IF(ISNUMBER(F4964),C4964*F4964,"")</f>
        <v/>
      </c>
    </row>
    <row r="4965" spans="1:7" ht="12" customHeight="1" outlineLevel="2" x14ac:dyDescent="0.2">
      <c r="A4965" s="14" t="s">
        <v>9778</v>
      </c>
      <c r="B4965" s="15" t="s">
        <v>9779</v>
      </c>
      <c r="C4965" s="16">
        <f>47.24/(1+B2)</f>
        <v>47.24</v>
      </c>
      <c r="D4965" s="17" t="s">
        <v>11</v>
      </c>
      <c r="E4965" s="17"/>
      <c r="F4965" s="18"/>
      <c r="G4965" s="36" t="str">
        <f>IF(ISNUMBER(F4965),C4965*F4965,"")</f>
        <v/>
      </c>
    </row>
    <row r="4966" spans="1:7" ht="12" customHeight="1" outlineLevel="2" x14ac:dyDescent="0.2">
      <c r="A4966" s="14" t="s">
        <v>9780</v>
      </c>
      <c r="B4966" s="15" t="s">
        <v>9781</v>
      </c>
      <c r="C4966" s="16">
        <f>23.89/(1+B2)</f>
        <v>23.89</v>
      </c>
      <c r="D4966" s="17" t="s">
        <v>11</v>
      </c>
      <c r="E4966" s="17"/>
      <c r="F4966" s="18"/>
      <c r="G4966" s="36" t="str">
        <f>IF(ISNUMBER(F4966),C4966*F4966,"")</f>
        <v/>
      </c>
    </row>
    <row r="4967" spans="1:7" ht="12" customHeight="1" outlineLevel="2" x14ac:dyDescent="0.2">
      <c r="A4967" s="14" t="s">
        <v>9782</v>
      </c>
      <c r="B4967" s="15" t="s">
        <v>9783</v>
      </c>
      <c r="C4967" s="16">
        <f>36.7/(1+B2)</f>
        <v>36.700000000000003</v>
      </c>
      <c r="D4967" s="17" t="s">
        <v>11</v>
      </c>
      <c r="E4967" s="17"/>
      <c r="F4967" s="18"/>
      <c r="G4967" s="36" t="str">
        <f>IF(ISNUMBER(F4967),C4967*F4967,"")</f>
        <v/>
      </c>
    </row>
    <row r="4968" spans="1:7" ht="12" customHeight="1" outlineLevel="2" x14ac:dyDescent="0.2">
      <c r="A4968" s="14" t="s">
        <v>9784</v>
      </c>
      <c r="B4968" s="15" t="s">
        <v>9785</v>
      </c>
      <c r="C4968" s="16">
        <f>23.2/(1+B2)</f>
        <v>23.2</v>
      </c>
      <c r="D4968" s="17" t="s">
        <v>11</v>
      </c>
      <c r="E4968" s="17"/>
      <c r="F4968" s="18"/>
      <c r="G4968" s="36" t="str">
        <f>IF(ISNUMBER(F4968),C4968*F4968,"")</f>
        <v/>
      </c>
    </row>
    <row r="4969" spans="1:7" ht="12" customHeight="1" outlineLevel="2" x14ac:dyDescent="0.2">
      <c r="A4969" s="14" t="s">
        <v>9786</v>
      </c>
      <c r="B4969" s="15" t="s">
        <v>9787</v>
      </c>
      <c r="C4969" s="16">
        <f>23.2/(1+B2)</f>
        <v>23.2</v>
      </c>
      <c r="D4969" s="17" t="s">
        <v>11</v>
      </c>
      <c r="E4969" s="17"/>
      <c r="F4969" s="18"/>
      <c r="G4969" s="36" t="str">
        <f>IF(ISNUMBER(F4969),C4969*F4969,"")</f>
        <v/>
      </c>
    </row>
    <row r="4970" spans="1:7" ht="12" customHeight="1" outlineLevel="2" x14ac:dyDescent="0.2">
      <c r="A4970" s="14" t="s">
        <v>9788</v>
      </c>
      <c r="B4970" s="15" t="s">
        <v>9789</v>
      </c>
      <c r="C4970" s="16">
        <f>23.2/(1+B2)</f>
        <v>23.2</v>
      </c>
      <c r="D4970" s="17" t="s">
        <v>11</v>
      </c>
      <c r="E4970" s="17"/>
      <c r="F4970" s="18"/>
      <c r="G4970" s="36" t="str">
        <f>IF(ISNUMBER(F4970),C4970*F4970,"")</f>
        <v/>
      </c>
    </row>
    <row r="4971" spans="1:7" ht="12" customHeight="1" outlineLevel="2" x14ac:dyDescent="0.2">
      <c r="A4971" s="14" t="s">
        <v>9790</v>
      </c>
      <c r="B4971" s="15" t="s">
        <v>9791</v>
      </c>
      <c r="C4971" s="16">
        <f>53.51/(1+B2)</f>
        <v>53.51</v>
      </c>
      <c r="D4971" s="17" t="s">
        <v>14</v>
      </c>
      <c r="E4971" s="17"/>
      <c r="F4971" s="18"/>
      <c r="G4971" s="36" t="str">
        <f>IF(ISNUMBER(F4971),C4971*F4971,"")</f>
        <v/>
      </c>
    </row>
    <row r="4972" spans="1:7" ht="12" customHeight="1" outlineLevel="2" x14ac:dyDescent="0.2">
      <c r="A4972" s="14" t="s">
        <v>9792</v>
      </c>
      <c r="B4972" s="15" t="s">
        <v>9793</v>
      </c>
      <c r="C4972" s="16">
        <f>39.38/(1+B2)</f>
        <v>39.380000000000003</v>
      </c>
      <c r="D4972" s="17" t="s">
        <v>53</v>
      </c>
      <c r="E4972" s="17"/>
      <c r="F4972" s="18"/>
      <c r="G4972" s="36" t="str">
        <f>IF(ISNUMBER(F4972),C4972*F4972,"")</f>
        <v/>
      </c>
    </row>
    <row r="4973" spans="1:7" s="1" customFormat="1" ht="15.95" customHeight="1" outlineLevel="1" x14ac:dyDescent="0.25">
      <c r="A4973" s="11"/>
      <c r="B4973" s="12" t="s">
        <v>9794</v>
      </c>
      <c r="C4973" s="13"/>
      <c r="D4973" s="13"/>
      <c r="E4973" s="13"/>
      <c r="F4973" s="13"/>
      <c r="G4973" s="35"/>
    </row>
    <row r="4974" spans="1:7" ht="12" customHeight="1" outlineLevel="2" x14ac:dyDescent="0.2">
      <c r="A4974" s="14" t="s">
        <v>9795</v>
      </c>
      <c r="B4974" s="15" t="s">
        <v>9796</v>
      </c>
      <c r="C4974" s="16">
        <f>80.41/(1+B2)</f>
        <v>80.41</v>
      </c>
      <c r="D4974" s="17" t="s">
        <v>11</v>
      </c>
      <c r="E4974" s="17"/>
      <c r="F4974" s="18"/>
      <c r="G4974" s="36" t="str">
        <f>IF(ISNUMBER(F4974),C4974*F4974,"")</f>
        <v/>
      </c>
    </row>
    <row r="4975" spans="1:7" ht="12" customHeight="1" outlineLevel="2" x14ac:dyDescent="0.2">
      <c r="A4975" s="14" t="s">
        <v>9797</v>
      </c>
      <c r="B4975" s="15" t="s">
        <v>9798</v>
      </c>
      <c r="C4975" s="16">
        <f>55.2/(1+B2)</f>
        <v>55.2</v>
      </c>
      <c r="D4975" s="17" t="s">
        <v>11</v>
      </c>
      <c r="E4975" s="17"/>
      <c r="F4975" s="18"/>
      <c r="G4975" s="36" t="str">
        <f>IF(ISNUMBER(F4975),C4975*F4975,"")</f>
        <v/>
      </c>
    </row>
    <row r="4976" spans="1:7" ht="12" customHeight="1" outlineLevel="2" x14ac:dyDescent="0.2">
      <c r="A4976" s="14" t="s">
        <v>9799</v>
      </c>
      <c r="B4976" s="15" t="s">
        <v>9800</v>
      </c>
      <c r="C4976" s="16">
        <f>21.25/(1+B2)</f>
        <v>21.25</v>
      </c>
      <c r="D4976" s="17" t="s">
        <v>53</v>
      </c>
      <c r="E4976" s="17"/>
      <c r="F4976" s="18"/>
      <c r="G4976" s="36" t="str">
        <f>IF(ISNUMBER(F4976),C4976*F4976,"")</f>
        <v/>
      </c>
    </row>
    <row r="4977" spans="1:7" ht="12" customHeight="1" outlineLevel="2" x14ac:dyDescent="0.2">
      <c r="A4977" s="14" t="s">
        <v>9801</v>
      </c>
      <c r="B4977" s="15" t="s">
        <v>9802</v>
      </c>
      <c r="C4977" s="16">
        <f>45.01/(1+B2)</f>
        <v>45.01</v>
      </c>
      <c r="D4977" s="17" t="s">
        <v>11</v>
      </c>
      <c r="E4977" s="17" t="s">
        <v>11</v>
      </c>
      <c r="F4977" s="18"/>
      <c r="G4977" s="36" t="str">
        <f>IF(ISNUMBER(F4977),C4977*F4977,"")</f>
        <v/>
      </c>
    </row>
    <row r="4978" spans="1:7" ht="12" customHeight="1" outlineLevel="2" x14ac:dyDescent="0.2">
      <c r="A4978" s="14" t="s">
        <v>9803</v>
      </c>
      <c r="B4978" s="15" t="s">
        <v>9804</v>
      </c>
      <c r="C4978" s="16">
        <f>109.89/(1+B2)</f>
        <v>109.89</v>
      </c>
      <c r="D4978" s="17" t="s">
        <v>11</v>
      </c>
      <c r="E4978" s="17"/>
      <c r="F4978" s="18"/>
      <c r="G4978" s="36" t="str">
        <f>IF(ISNUMBER(F4978),C4978*F4978,"")</f>
        <v/>
      </c>
    </row>
    <row r="4979" spans="1:7" ht="12" customHeight="1" outlineLevel="2" x14ac:dyDescent="0.2">
      <c r="A4979" s="14" t="s">
        <v>9805</v>
      </c>
      <c r="B4979" s="15" t="s">
        <v>9806</v>
      </c>
      <c r="C4979" s="16">
        <f>109.89/(1+B2)</f>
        <v>109.89</v>
      </c>
      <c r="D4979" s="17" t="s">
        <v>11</v>
      </c>
      <c r="E4979" s="17" t="s">
        <v>11</v>
      </c>
      <c r="F4979" s="18"/>
      <c r="G4979" s="36" t="str">
        <f>IF(ISNUMBER(F4979),C4979*F4979,"")</f>
        <v/>
      </c>
    </row>
    <row r="4980" spans="1:7" ht="12" customHeight="1" outlineLevel="2" x14ac:dyDescent="0.2">
      <c r="A4980" s="14" t="s">
        <v>9807</v>
      </c>
      <c r="B4980" s="15" t="s">
        <v>9808</v>
      </c>
      <c r="C4980" s="16">
        <f>109.89/(1+B2)</f>
        <v>109.89</v>
      </c>
      <c r="D4980" s="17" t="s">
        <v>11</v>
      </c>
      <c r="E4980" s="17" t="s">
        <v>11</v>
      </c>
      <c r="F4980" s="18"/>
      <c r="G4980" s="36" t="str">
        <f>IF(ISNUMBER(F4980),C4980*F4980,"")</f>
        <v/>
      </c>
    </row>
    <row r="4981" spans="1:7" ht="12" customHeight="1" outlineLevel="2" x14ac:dyDescent="0.2">
      <c r="A4981" s="14" t="s">
        <v>9809</v>
      </c>
      <c r="B4981" s="15" t="s">
        <v>9810</v>
      </c>
      <c r="C4981" s="16">
        <f>109.89/(1+B2)</f>
        <v>109.89</v>
      </c>
      <c r="D4981" s="17"/>
      <c r="E4981" s="17" t="s">
        <v>11</v>
      </c>
      <c r="F4981" s="18"/>
      <c r="G4981" s="36" t="str">
        <f>IF(ISNUMBER(F4981),C4981*F4981,"")</f>
        <v/>
      </c>
    </row>
    <row r="4982" spans="1:7" ht="12" customHeight="1" outlineLevel="2" x14ac:dyDescent="0.2">
      <c r="A4982" s="14" t="s">
        <v>9811</v>
      </c>
      <c r="B4982" s="15" t="s">
        <v>9812</v>
      </c>
      <c r="C4982" s="16">
        <f>109.89/(1+B2)</f>
        <v>109.89</v>
      </c>
      <c r="D4982" s="17" t="s">
        <v>11</v>
      </c>
      <c r="E4982" s="17"/>
      <c r="F4982" s="18"/>
      <c r="G4982" s="36" t="str">
        <f>IF(ISNUMBER(F4982),C4982*F4982,"")</f>
        <v/>
      </c>
    </row>
    <row r="4983" spans="1:7" ht="12" customHeight="1" outlineLevel="2" x14ac:dyDescent="0.2">
      <c r="A4983" s="14" t="s">
        <v>9813</v>
      </c>
      <c r="B4983" s="15" t="s">
        <v>9814</v>
      </c>
      <c r="C4983" s="16">
        <f>109.89/(1+B2)</f>
        <v>109.89</v>
      </c>
      <c r="D4983" s="17"/>
      <c r="E4983" s="17" t="s">
        <v>11</v>
      </c>
      <c r="F4983" s="18"/>
      <c r="G4983" s="36" t="str">
        <f>IF(ISNUMBER(F4983),C4983*F4983,"")</f>
        <v/>
      </c>
    </row>
    <row r="4984" spans="1:7" ht="12" customHeight="1" outlineLevel="2" x14ac:dyDescent="0.2">
      <c r="A4984" s="14" t="s">
        <v>9815</v>
      </c>
      <c r="B4984" s="15" t="s">
        <v>9816</v>
      </c>
      <c r="C4984" s="16">
        <f>109.89/(1+B2)</f>
        <v>109.89</v>
      </c>
      <c r="D4984" s="17" t="s">
        <v>53</v>
      </c>
      <c r="E4984" s="17"/>
      <c r="F4984" s="18"/>
      <c r="G4984" s="36" t="str">
        <f>IF(ISNUMBER(F4984),C4984*F4984,"")</f>
        <v/>
      </c>
    </row>
    <row r="4985" spans="1:7" ht="12" customHeight="1" outlineLevel="2" x14ac:dyDescent="0.2">
      <c r="A4985" s="14" t="s">
        <v>9817</v>
      </c>
      <c r="B4985" s="15" t="s">
        <v>9818</v>
      </c>
      <c r="C4985" s="16">
        <f>109.89/(1+B2)</f>
        <v>109.89</v>
      </c>
      <c r="D4985" s="17" t="s">
        <v>11</v>
      </c>
      <c r="E4985" s="17" t="s">
        <v>11</v>
      </c>
      <c r="F4985" s="18"/>
      <c r="G4985" s="36" t="str">
        <f>IF(ISNUMBER(F4985),C4985*F4985,"")</f>
        <v/>
      </c>
    </row>
    <row r="4986" spans="1:7" ht="12" customHeight="1" outlineLevel="2" x14ac:dyDescent="0.2">
      <c r="A4986" s="14" t="s">
        <v>9819</v>
      </c>
      <c r="B4986" s="15" t="s">
        <v>9820</v>
      </c>
      <c r="C4986" s="16">
        <f>147.43/(1+B2)</f>
        <v>147.43</v>
      </c>
      <c r="D4986" s="17" t="s">
        <v>11</v>
      </c>
      <c r="E4986" s="17"/>
      <c r="F4986" s="18"/>
      <c r="G4986" s="36" t="str">
        <f>IF(ISNUMBER(F4986),C4986*F4986,"")</f>
        <v/>
      </c>
    </row>
    <row r="4987" spans="1:7" ht="12" customHeight="1" outlineLevel="2" x14ac:dyDescent="0.2">
      <c r="A4987" s="14" t="s">
        <v>9821</v>
      </c>
      <c r="B4987" s="15" t="s">
        <v>9822</v>
      </c>
      <c r="C4987" s="16">
        <f>147.43/(1+B2)</f>
        <v>147.43</v>
      </c>
      <c r="D4987" s="17" t="s">
        <v>11</v>
      </c>
      <c r="E4987" s="17"/>
      <c r="F4987" s="18"/>
      <c r="G4987" s="36" t="str">
        <f>IF(ISNUMBER(F4987),C4987*F4987,"")</f>
        <v/>
      </c>
    </row>
    <row r="4988" spans="1:7" ht="12" customHeight="1" outlineLevel="2" x14ac:dyDescent="0.2">
      <c r="A4988" s="14" t="s">
        <v>9823</v>
      </c>
      <c r="B4988" s="15" t="s">
        <v>9824</v>
      </c>
      <c r="C4988" s="16">
        <f>147.43/(1+B2)</f>
        <v>147.43</v>
      </c>
      <c r="D4988" s="17" t="s">
        <v>14</v>
      </c>
      <c r="E4988" s="17"/>
      <c r="F4988" s="18"/>
      <c r="G4988" s="36" t="str">
        <f>IF(ISNUMBER(F4988),C4988*F4988,"")</f>
        <v/>
      </c>
    </row>
    <row r="4989" spans="1:7" ht="12" customHeight="1" outlineLevel="2" x14ac:dyDescent="0.2">
      <c r="A4989" s="14" t="s">
        <v>9825</v>
      </c>
      <c r="B4989" s="15" t="s">
        <v>9826</v>
      </c>
      <c r="C4989" s="16">
        <f>147.43/(1+B2)</f>
        <v>147.43</v>
      </c>
      <c r="D4989" s="17" t="s">
        <v>53</v>
      </c>
      <c r="E4989" s="17"/>
      <c r="F4989" s="18"/>
      <c r="G4989" s="36" t="str">
        <f>IF(ISNUMBER(F4989),C4989*F4989,"")</f>
        <v/>
      </c>
    </row>
    <row r="4990" spans="1:7" ht="12" customHeight="1" outlineLevel="2" x14ac:dyDescent="0.2">
      <c r="A4990" s="14" t="s">
        <v>9827</v>
      </c>
      <c r="B4990" s="15" t="s">
        <v>9828</v>
      </c>
      <c r="C4990" s="16">
        <f>147.43/(1+B2)</f>
        <v>147.43</v>
      </c>
      <c r="D4990" s="17" t="s">
        <v>14</v>
      </c>
      <c r="E4990" s="17"/>
      <c r="F4990" s="18"/>
      <c r="G4990" s="36" t="str">
        <f>IF(ISNUMBER(F4990),C4990*F4990,"")</f>
        <v/>
      </c>
    </row>
    <row r="4991" spans="1:7" ht="12" customHeight="1" outlineLevel="2" x14ac:dyDescent="0.2">
      <c r="A4991" s="14" t="s">
        <v>9829</v>
      </c>
      <c r="B4991" s="15" t="s">
        <v>9830</v>
      </c>
      <c r="C4991" s="16">
        <f>147.43/(1+B2)</f>
        <v>147.43</v>
      </c>
      <c r="D4991" s="17" t="s">
        <v>14</v>
      </c>
      <c r="E4991" s="17"/>
      <c r="F4991" s="18"/>
      <c r="G4991" s="36" t="str">
        <f>IF(ISNUMBER(F4991),C4991*F4991,"")</f>
        <v/>
      </c>
    </row>
    <row r="4992" spans="1:7" ht="12" customHeight="1" outlineLevel="2" x14ac:dyDescent="0.2">
      <c r="A4992" s="14" t="s">
        <v>9831</v>
      </c>
      <c r="B4992" s="15" t="s">
        <v>9832</v>
      </c>
      <c r="C4992" s="16">
        <f>141.53/(1+B2)</f>
        <v>141.53</v>
      </c>
      <c r="D4992" s="17" t="s">
        <v>14</v>
      </c>
      <c r="E4992" s="17"/>
      <c r="F4992" s="18"/>
      <c r="G4992" s="36" t="str">
        <f>IF(ISNUMBER(F4992),C4992*F4992,"")</f>
        <v/>
      </c>
    </row>
    <row r="4993" spans="1:7" ht="12" customHeight="1" outlineLevel="2" x14ac:dyDescent="0.2">
      <c r="A4993" s="14" t="s">
        <v>9833</v>
      </c>
      <c r="B4993" s="15" t="s">
        <v>9834</v>
      </c>
      <c r="C4993" s="16">
        <f>114.25/(1+B2)</f>
        <v>114.25</v>
      </c>
      <c r="D4993" s="17" t="s">
        <v>14</v>
      </c>
      <c r="E4993" s="17"/>
      <c r="F4993" s="18"/>
      <c r="G4993" s="36" t="str">
        <f>IF(ISNUMBER(F4993),C4993*F4993,"")</f>
        <v/>
      </c>
    </row>
    <row r="4994" spans="1:7" ht="12" customHeight="1" outlineLevel="2" x14ac:dyDescent="0.2">
      <c r="A4994" s="14" t="s">
        <v>9835</v>
      </c>
      <c r="B4994" s="15" t="s">
        <v>9836</v>
      </c>
      <c r="C4994" s="16">
        <f>114.25/(1+B2)</f>
        <v>114.25</v>
      </c>
      <c r="D4994" s="17"/>
      <c r="E4994" s="17" t="s">
        <v>11</v>
      </c>
      <c r="F4994" s="18"/>
      <c r="G4994" s="36" t="str">
        <f>IF(ISNUMBER(F4994),C4994*F4994,"")</f>
        <v/>
      </c>
    </row>
    <row r="4995" spans="1:7" ht="12" customHeight="1" outlineLevel="2" x14ac:dyDescent="0.2">
      <c r="A4995" s="14" t="s">
        <v>9837</v>
      </c>
      <c r="B4995" s="15" t="s">
        <v>9838</v>
      </c>
      <c r="C4995" s="16">
        <f>114.25/(1+B2)</f>
        <v>114.25</v>
      </c>
      <c r="D4995" s="17" t="s">
        <v>53</v>
      </c>
      <c r="E4995" s="17"/>
      <c r="F4995" s="18"/>
      <c r="G4995" s="36" t="str">
        <f>IF(ISNUMBER(F4995),C4995*F4995,"")</f>
        <v/>
      </c>
    </row>
    <row r="4996" spans="1:7" ht="12" customHeight="1" outlineLevel="2" x14ac:dyDescent="0.2">
      <c r="A4996" s="14" t="s">
        <v>9839</v>
      </c>
      <c r="B4996" s="15" t="s">
        <v>9840</v>
      </c>
      <c r="C4996" s="16">
        <f>114.25/(1+B2)</f>
        <v>114.25</v>
      </c>
      <c r="D4996" s="17" t="s">
        <v>11</v>
      </c>
      <c r="E4996" s="17"/>
      <c r="F4996" s="18"/>
      <c r="G4996" s="36" t="str">
        <f>IF(ISNUMBER(F4996),C4996*F4996,"")</f>
        <v/>
      </c>
    </row>
    <row r="4997" spans="1:7" ht="12" customHeight="1" outlineLevel="2" x14ac:dyDescent="0.2">
      <c r="A4997" s="14" t="s">
        <v>9841</v>
      </c>
      <c r="B4997" s="15" t="s">
        <v>9842</v>
      </c>
      <c r="C4997" s="16">
        <f>114.25/(1+B2)</f>
        <v>114.25</v>
      </c>
      <c r="D4997" s="17" t="s">
        <v>11</v>
      </c>
      <c r="E4997" s="17" t="s">
        <v>11</v>
      </c>
      <c r="F4997" s="18"/>
      <c r="G4997" s="36" t="str">
        <f>IF(ISNUMBER(F4997),C4997*F4997,"")</f>
        <v/>
      </c>
    </row>
    <row r="4998" spans="1:7" ht="12" customHeight="1" outlineLevel="2" x14ac:dyDescent="0.2">
      <c r="A4998" s="14" t="s">
        <v>9843</v>
      </c>
      <c r="B4998" s="15" t="s">
        <v>9844</v>
      </c>
      <c r="C4998" s="16">
        <f>114.25/(1+B2)</f>
        <v>114.25</v>
      </c>
      <c r="D4998" s="17" t="s">
        <v>14</v>
      </c>
      <c r="E4998" s="17"/>
      <c r="F4998" s="18"/>
      <c r="G4998" s="36" t="str">
        <f>IF(ISNUMBER(F4998),C4998*F4998,"")</f>
        <v/>
      </c>
    </row>
    <row r="4999" spans="1:7" ht="12" customHeight="1" outlineLevel="2" x14ac:dyDescent="0.2">
      <c r="A4999" s="14" t="s">
        <v>9845</v>
      </c>
      <c r="B4999" s="15" t="s">
        <v>9846</v>
      </c>
      <c r="C4999" s="16">
        <f>114.25/(1+B2)</f>
        <v>114.25</v>
      </c>
      <c r="D4999" s="17" t="s">
        <v>11</v>
      </c>
      <c r="E4999" s="17" t="s">
        <v>11</v>
      </c>
      <c r="F4999" s="18"/>
      <c r="G4999" s="36" t="str">
        <f>IF(ISNUMBER(F4999),C4999*F4999,"")</f>
        <v/>
      </c>
    </row>
    <row r="5000" spans="1:7" ht="12" customHeight="1" outlineLevel="2" x14ac:dyDescent="0.2">
      <c r="A5000" s="14" t="s">
        <v>9847</v>
      </c>
      <c r="B5000" s="15" t="s">
        <v>9848</v>
      </c>
      <c r="C5000" s="16">
        <f>114.25/(1+B2)</f>
        <v>114.25</v>
      </c>
      <c r="D5000" s="17" t="s">
        <v>11</v>
      </c>
      <c r="E5000" s="17" t="s">
        <v>11</v>
      </c>
      <c r="F5000" s="18"/>
      <c r="G5000" s="36" t="str">
        <f>IF(ISNUMBER(F5000),C5000*F5000,"")</f>
        <v/>
      </c>
    </row>
    <row r="5001" spans="1:7" ht="12" customHeight="1" outlineLevel="2" x14ac:dyDescent="0.2">
      <c r="A5001" s="14" t="s">
        <v>9849</v>
      </c>
      <c r="B5001" s="15" t="s">
        <v>9850</v>
      </c>
      <c r="C5001" s="16">
        <f>92.68/(1+B2)</f>
        <v>92.68</v>
      </c>
      <c r="D5001" s="17" t="s">
        <v>14</v>
      </c>
      <c r="E5001" s="17" t="s">
        <v>106</v>
      </c>
      <c r="F5001" s="18"/>
      <c r="G5001" s="36" t="str">
        <f>IF(ISNUMBER(F5001),C5001*F5001,"")</f>
        <v/>
      </c>
    </row>
    <row r="5002" spans="1:7" ht="12" customHeight="1" outlineLevel="2" x14ac:dyDescent="0.2">
      <c r="A5002" s="14" t="s">
        <v>9851</v>
      </c>
      <c r="B5002" s="15" t="s">
        <v>9852</v>
      </c>
      <c r="C5002" s="16">
        <f>46.44/(1+B2)</f>
        <v>46.44</v>
      </c>
      <c r="D5002" s="17" t="s">
        <v>11</v>
      </c>
      <c r="E5002" s="17" t="s">
        <v>106</v>
      </c>
      <c r="F5002" s="18"/>
      <c r="G5002" s="36" t="str">
        <f>IF(ISNUMBER(F5002),C5002*F5002,"")</f>
        <v/>
      </c>
    </row>
    <row r="5003" spans="1:7" ht="12" customHeight="1" outlineLevel="2" x14ac:dyDescent="0.2">
      <c r="A5003" s="14" t="s">
        <v>9853</v>
      </c>
      <c r="B5003" s="15" t="s">
        <v>9854</v>
      </c>
      <c r="C5003" s="16">
        <f>310.01/(1+B2)</f>
        <v>310.01</v>
      </c>
      <c r="D5003" s="17" t="s">
        <v>11</v>
      </c>
      <c r="E5003" s="17" t="s">
        <v>11</v>
      </c>
      <c r="F5003" s="18"/>
      <c r="G5003" s="36" t="str">
        <f>IF(ISNUMBER(F5003),C5003*F5003,"")</f>
        <v/>
      </c>
    </row>
    <row r="5004" spans="1:7" ht="12" customHeight="1" outlineLevel="2" x14ac:dyDescent="0.2">
      <c r="A5004" s="14" t="s">
        <v>9855</v>
      </c>
      <c r="B5004" s="15" t="s">
        <v>9856</v>
      </c>
      <c r="C5004" s="16">
        <f>310.01/(1+B2)</f>
        <v>310.01</v>
      </c>
      <c r="D5004" s="17" t="s">
        <v>11</v>
      </c>
      <c r="E5004" s="17" t="s">
        <v>11</v>
      </c>
      <c r="F5004" s="18"/>
      <c r="G5004" s="36" t="str">
        <f>IF(ISNUMBER(F5004),C5004*F5004,"")</f>
        <v/>
      </c>
    </row>
    <row r="5005" spans="1:7" ht="12" customHeight="1" outlineLevel="2" x14ac:dyDescent="0.2">
      <c r="A5005" s="14" t="s">
        <v>9857</v>
      </c>
      <c r="B5005" s="15" t="s">
        <v>9858</v>
      </c>
      <c r="C5005" s="16">
        <f>325.53/(1+B2)</f>
        <v>325.52999999999997</v>
      </c>
      <c r="D5005" s="17" t="s">
        <v>11</v>
      </c>
      <c r="E5005" s="17"/>
      <c r="F5005" s="18"/>
      <c r="G5005" s="36" t="str">
        <f>IF(ISNUMBER(F5005),C5005*F5005,"")</f>
        <v/>
      </c>
    </row>
    <row r="5006" spans="1:7" ht="12" customHeight="1" outlineLevel="2" x14ac:dyDescent="0.2">
      <c r="A5006" s="14" t="s">
        <v>9859</v>
      </c>
      <c r="B5006" s="15" t="s">
        <v>9860</v>
      </c>
      <c r="C5006" s="16">
        <f>232.6/(1+B2)</f>
        <v>232.6</v>
      </c>
      <c r="D5006" s="17" t="s">
        <v>11</v>
      </c>
      <c r="E5006" s="17"/>
      <c r="F5006" s="18"/>
      <c r="G5006" s="36" t="str">
        <f>IF(ISNUMBER(F5006),C5006*F5006,"")</f>
        <v/>
      </c>
    </row>
    <row r="5007" spans="1:7" ht="12" customHeight="1" outlineLevel="2" x14ac:dyDescent="0.2">
      <c r="A5007" s="14" t="s">
        <v>9861</v>
      </c>
      <c r="B5007" s="15" t="s">
        <v>9862</v>
      </c>
      <c r="C5007" s="16">
        <f>232.6/(1+B2)</f>
        <v>232.6</v>
      </c>
      <c r="D5007" s="17" t="s">
        <v>11</v>
      </c>
      <c r="E5007" s="17"/>
      <c r="F5007" s="18"/>
      <c r="G5007" s="36" t="str">
        <f>IF(ISNUMBER(F5007),C5007*F5007,"")</f>
        <v/>
      </c>
    </row>
    <row r="5008" spans="1:7" ht="12" customHeight="1" outlineLevel="2" x14ac:dyDescent="0.2">
      <c r="A5008" s="14" t="s">
        <v>9863</v>
      </c>
      <c r="B5008" s="15" t="s">
        <v>9864</v>
      </c>
      <c r="C5008" s="16">
        <f>232.6/(1+B2)</f>
        <v>232.6</v>
      </c>
      <c r="D5008" s="17" t="s">
        <v>11</v>
      </c>
      <c r="E5008" s="17"/>
      <c r="F5008" s="18"/>
      <c r="G5008" s="36" t="str">
        <f>IF(ISNUMBER(F5008),C5008*F5008,"")</f>
        <v/>
      </c>
    </row>
    <row r="5009" spans="1:7" ht="12" customHeight="1" outlineLevel="2" x14ac:dyDescent="0.2">
      <c r="A5009" s="14" t="s">
        <v>9865</v>
      </c>
      <c r="B5009" s="15" t="s">
        <v>9866</v>
      </c>
      <c r="C5009" s="16">
        <f>195.27/(1+B2)</f>
        <v>195.27</v>
      </c>
      <c r="D5009" s="17" t="s">
        <v>11</v>
      </c>
      <c r="E5009" s="17"/>
      <c r="F5009" s="18"/>
      <c r="G5009" s="36" t="str">
        <f>IF(ISNUMBER(F5009),C5009*F5009,"")</f>
        <v/>
      </c>
    </row>
    <row r="5010" spans="1:7" ht="12" customHeight="1" outlineLevel="2" x14ac:dyDescent="0.2">
      <c r="A5010" s="14" t="s">
        <v>9867</v>
      </c>
      <c r="B5010" s="15" t="s">
        <v>9868</v>
      </c>
      <c r="C5010" s="16">
        <f>195.27/(1+B2)</f>
        <v>195.27</v>
      </c>
      <c r="D5010" s="17" t="s">
        <v>11</v>
      </c>
      <c r="E5010" s="17"/>
      <c r="F5010" s="18"/>
      <c r="G5010" s="36" t="str">
        <f>IF(ISNUMBER(F5010),C5010*F5010,"")</f>
        <v/>
      </c>
    </row>
    <row r="5011" spans="1:7" ht="12" customHeight="1" outlineLevel="2" x14ac:dyDescent="0.2">
      <c r="A5011" s="14" t="s">
        <v>9869</v>
      </c>
      <c r="B5011" s="15" t="s">
        <v>9870</v>
      </c>
      <c r="C5011" s="16">
        <f>289.58/(1+B2)</f>
        <v>289.58</v>
      </c>
      <c r="D5011" s="17" t="s">
        <v>11</v>
      </c>
      <c r="E5011" s="17"/>
      <c r="F5011" s="18"/>
      <c r="G5011" s="36" t="str">
        <f>IF(ISNUMBER(F5011),C5011*F5011,"")</f>
        <v/>
      </c>
    </row>
    <row r="5012" spans="1:7" ht="12" customHeight="1" outlineLevel="2" x14ac:dyDescent="0.2">
      <c r="A5012" s="14" t="s">
        <v>9871</v>
      </c>
      <c r="B5012" s="15" t="s">
        <v>9872</v>
      </c>
      <c r="C5012" s="16">
        <f>289.58/(1+B2)</f>
        <v>289.58</v>
      </c>
      <c r="D5012" s="17" t="s">
        <v>11</v>
      </c>
      <c r="E5012" s="17"/>
      <c r="F5012" s="18"/>
      <c r="G5012" s="36" t="str">
        <f>IF(ISNUMBER(F5012),C5012*F5012,"")</f>
        <v/>
      </c>
    </row>
    <row r="5013" spans="1:7" ht="12" customHeight="1" outlineLevel="2" x14ac:dyDescent="0.2">
      <c r="A5013" s="14" t="s">
        <v>9873</v>
      </c>
      <c r="B5013" s="15" t="s">
        <v>9874</v>
      </c>
      <c r="C5013" s="16">
        <f>169.65/(1+B2)</f>
        <v>169.65</v>
      </c>
      <c r="D5013" s="17" t="s">
        <v>11</v>
      </c>
      <c r="E5013" s="17"/>
      <c r="F5013" s="18"/>
      <c r="G5013" s="36" t="str">
        <f>IF(ISNUMBER(F5013),C5013*F5013,"")</f>
        <v/>
      </c>
    </row>
    <row r="5014" spans="1:7" ht="12" customHeight="1" outlineLevel="2" x14ac:dyDescent="0.2">
      <c r="A5014" s="14" t="s">
        <v>9875</v>
      </c>
      <c r="B5014" s="15" t="s">
        <v>9876</v>
      </c>
      <c r="C5014" s="16">
        <f>169.65/(1+B2)</f>
        <v>169.65</v>
      </c>
      <c r="D5014" s="17" t="s">
        <v>11</v>
      </c>
      <c r="E5014" s="17"/>
      <c r="F5014" s="18"/>
      <c r="G5014" s="36" t="str">
        <f>IF(ISNUMBER(F5014),C5014*F5014,"")</f>
        <v/>
      </c>
    </row>
    <row r="5015" spans="1:7" ht="12" customHeight="1" outlineLevel="2" x14ac:dyDescent="0.2">
      <c r="A5015" s="14" t="s">
        <v>9877</v>
      </c>
      <c r="B5015" s="15" t="s">
        <v>9878</v>
      </c>
      <c r="C5015" s="16">
        <f>169.65/(1+B2)</f>
        <v>169.65</v>
      </c>
      <c r="D5015" s="17" t="s">
        <v>11</v>
      </c>
      <c r="E5015" s="17"/>
      <c r="F5015" s="18"/>
      <c r="G5015" s="36" t="str">
        <f>IF(ISNUMBER(F5015),C5015*F5015,"")</f>
        <v/>
      </c>
    </row>
    <row r="5016" spans="1:7" ht="12" customHeight="1" outlineLevel="2" x14ac:dyDescent="0.2">
      <c r="A5016" s="14" t="s">
        <v>9879</v>
      </c>
      <c r="B5016" s="15" t="s">
        <v>9880</v>
      </c>
      <c r="C5016" s="16">
        <f>169.65/(1+B2)</f>
        <v>169.65</v>
      </c>
      <c r="D5016" s="17" t="s">
        <v>11</v>
      </c>
      <c r="E5016" s="17"/>
      <c r="F5016" s="18"/>
      <c r="G5016" s="36" t="str">
        <f>IF(ISNUMBER(F5016),C5016*F5016,"")</f>
        <v/>
      </c>
    </row>
    <row r="5017" spans="1:7" ht="12" customHeight="1" outlineLevel="2" x14ac:dyDescent="0.2">
      <c r="A5017" s="14" t="s">
        <v>9881</v>
      </c>
      <c r="B5017" s="15" t="s">
        <v>9882</v>
      </c>
      <c r="C5017" s="16">
        <f>169.65/(1+B2)</f>
        <v>169.65</v>
      </c>
      <c r="D5017" s="17" t="s">
        <v>11</v>
      </c>
      <c r="E5017" s="17"/>
      <c r="F5017" s="18"/>
      <c r="G5017" s="36" t="str">
        <f>IF(ISNUMBER(F5017),C5017*F5017,"")</f>
        <v/>
      </c>
    </row>
    <row r="5018" spans="1:7" ht="12" customHeight="1" outlineLevel="2" x14ac:dyDescent="0.2">
      <c r="A5018" s="14" t="s">
        <v>9883</v>
      </c>
      <c r="B5018" s="15" t="s">
        <v>9884</v>
      </c>
      <c r="C5018" s="16">
        <f>169.65/(1+B2)</f>
        <v>169.65</v>
      </c>
      <c r="D5018" s="17" t="s">
        <v>11</v>
      </c>
      <c r="E5018" s="17"/>
      <c r="F5018" s="18"/>
      <c r="G5018" s="36" t="str">
        <f>IF(ISNUMBER(F5018),C5018*F5018,"")</f>
        <v/>
      </c>
    </row>
    <row r="5019" spans="1:7" ht="12" customHeight="1" outlineLevel="2" x14ac:dyDescent="0.2">
      <c r="A5019" s="14" t="s">
        <v>9885</v>
      </c>
      <c r="B5019" s="15" t="s">
        <v>9886</v>
      </c>
      <c r="C5019" s="16">
        <f>169.65/(1+B2)</f>
        <v>169.65</v>
      </c>
      <c r="D5019" s="17" t="s">
        <v>11</v>
      </c>
      <c r="E5019" s="17"/>
      <c r="F5019" s="18"/>
      <c r="G5019" s="36" t="str">
        <f>IF(ISNUMBER(F5019),C5019*F5019,"")</f>
        <v/>
      </c>
    </row>
    <row r="5020" spans="1:7" ht="12" customHeight="1" outlineLevel="2" x14ac:dyDescent="0.2">
      <c r="A5020" s="14" t="s">
        <v>9887</v>
      </c>
      <c r="B5020" s="15" t="s">
        <v>9888</v>
      </c>
      <c r="C5020" s="16">
        <f>169.65/(1+B2)</f>
        <v>169.65</v>
      </c>
      <c r="D5020" s="17" t="s">
        <v>11</v>
      </c>
      <c r="E5020" s="17"/>
      <c r="F5020" s="18"/>
      <c r="G5020" s="36" t="str">
        <f>IF(ISNUMBER(F5020),C5020*F5020,"")</f>
        <v/>
      </c>
    </row>
    <row r="5021" spans="1:7" ht="12" customHeight="1" outlineLevel="2" x14ac:dyDescent="0.2">
      <c r="A5021" s="14" t="s">
        <v>9889</v>
      </c>
      <c r="B5021" s="15" t="s">
        <v>9890</v>
      </c>
      <c r="C5021" s="16">
        <f>169.65/(1+B2)</f>
        <v>169.65</v>
      </c>
      <c r="D5021" s="17" t="s">
        <v>11</v>
      </c>
      <c r="E5021" s="17"/>
      <c r="F5021" s="18"/>
      <c r="G5021" s="36" t="str">
        <f>IF(ISNUMBER(F5021),C5021*F5021,"")</f>
        <v/>
      </c>
    </row>
    <row r="5022" spans="1:7" s="1" customFormat="1" ht="15.95" customHeight="1" outlineLevel="1" x14ac:dyDescent="0.25">
      <c r="A5022" s="11"/>
      <c r="B5022" s="12" t="s">
        <v>9891</v>
      </c>
      <c r="C5022" s="13"/>
      <c r="D5022" s="13"/>
      <c r="E5022" s="13"/>
      <c r="F5022" s="13"/>
      <c r="G5022" s="35"/>
    </row>
    <row r="5023" spans="1:7" ht="12" customHeight="1" outlineLevel="2" x14ac:dyDescent="0.2">
      <c r="A5023" s="14" t="s">
        <v>9892</v>
      </c>
      <c r="B5023" s="15" t="s">
        <v>9893</v>
      </c>
      <c r="C5023" s="16">
        <f>2.6/(1+B2)</f>
        <v>2.6</v>
      </c>
      <c r="D5023" s="17" t="s">
        <v>53</v>
      </c>
      <c r="E5023" s="17"/>
      <c r="F5023" s="18"/>
      <c r="G5023" s="36" t="str">
        <f>IF(ISNUMBER(F5023),C5023*F5023,"")</f>
        <v/>
      </c>
    </row>
    <row r="5024" spans="1:7" ht="12" customHeight="1" outlineLevel="2" x14ac:dyDescent="0.2">
      <c r="A5024" s="14" t="s">
        <v>9894</v>
      </c>
      <c r="B5024" s="15" t="s">
        <v>9895</v>
      </c>
      <c r="C5024" s="16">
        <f>6.5/(1+B2)</f>
        <v>6.5</v>
      </c>
      <c r="D5024" s="17" t="s">
        <v>11</v>
      </c>
      <c r="E5024" s="17"/>
      <c r="F5024" s="18"/>
      <c r="G5024" s="36" t="str">
        <f>IF(ISNUMBER(F5024),C5024*F5024,"")</f>
        <v/>
      </c>
    </row>
    <row r="5025" spans="1:7" ht="24" customHeight="1" outlineLevel="2" x14ac:dyDescent="0.2">
      <c r="A5025" s="14" t="s">
        <v>9896</v>
      </c>
      <c r="B5025" s="15" t="s">
        <v>9897</v>
      </c>
      <c r="C5025" s="16">
        <f>61.41/(1+B2)</f>
        <v>61.41</v>
      </c>
      <c r="D5025" s="17" t="s">
        <v>11</v>
      </c>
      <c r="E5025" s="17"/>
      <c r="F5025" s="18"/>
      <c r="G5025" s="36" t="str">
        <f>IF(ISNUMBER(F5025),C5025*F5025,"")</f>
        <v/>
      </c>
    </row>
    <row r="5026" spans="1:7" ht="12" customHeight="1" outlineLevel="2" x14ac:dyDescent="0.2">
      <c r="A5026" s="14" t="s">
        <v>9898</v>
      </c>
      <c r="B5026" s="15" t="s">
        <v>9899</v>
      </c>
      <c r="C5026" s="16">
        <f>100.53/(1+B2)</f>
        <v>100.53</v>
      </c>
      <c r="D5026" s="17" t="s">
        <v>11</v>
      </c>
      <c r="E5026" s="17"/>
      <c r="F5026" s="18"/>
      <c r="G5026" s="36" t="str">
        <f>IF(ISNUMBER(F5026),C5026*F5026,"")</f>
        <v/>
      </c>
    </row>
    <row r="5027" spans="1:7" ht="12" customHeight="1" outlineLevel="2" x14ac:dyDescent="0.2">
      <c r="A5027" s="14" t="s">
        <v>9900</v>
      </c>
      <c r="B5027" s="15" t="s">
        <v>9901</v>
      </c>
      <c r="C5027" s="16">
        <f>91.06/(1+B2)</f>
        <v>91.06</v>
      </c>
      <c r="D5027" s="17" t="s">
        <v>14</v>
      </c>
      <c r="E5027" s="17"/>
      <c r="F5027" s="18"/>
      <c r="G5027" s="36" t="str">
        <f>IF(ISNUMBER(F5027),C5027*F5027,"")</f>
        <v/>
      </c>
    </row>
    <row r="5028" spans="1:7" ht="12" customHeight="1" outlineLevel="2" x14ac:dyDescent="0.2">
      <c r="A5028" s="14" t="s">
        <v>9902</v>
      </c>
      <c r="B5028" s="15" t="s">
        <v>9903</v>
      </c>
      <c r="C5028" s="16">
        <f>73.14/(1+B2)</f>
        <v>73.14</v>
      </c>
      <c r="D5028" s="17" t="s">
        <v>11</v>
      </c>
      <c r="E5028" s="17"/>
      <c r="F5028" s="18"/>
      <c r="G5028" s="36" t="str">
        <f>IF(ISNUMBER(F5028),C5028*F5028,"")</f>
        <v/>
      </c>
    </row>
    <row r="5029" spans="1:7" ht="12" customHeight="1" outlineLevel="2" x14ac:dyDescent="0.2">
      <c r="A5029" s="14" t="s">
        <v>9904</v>
      </c>
      <c r="B5029" s="15" t="s">
        <v>9905</v>
      </c>
      <c r="C5029" s="16">
        <f>36/(1+B2)</f>
        <v>36</v>
      </c>
      <c r="D5029" s="17" t="s">
        <v>11</v>
      </c>
      <c r="E5029" s="17"/>
      <c r="F5029" s="18"/>
      <c r="G5029" s="36" t="str">
        <f>IF(ISNUMBER(F5029),C5029*F5029,"")</f>
        <v/>
      </c>
    </row>
    <row r="5030" spans="1:7" ht="12" customHeight="1" outlineLevel="2" x14ac:dyDescent="0.2">
      <c r="A5030" s="14" t="s">
        <v>9906</v>
      </c>
      <c r="B5030" s="15" t="s">
        <v>9907</v>
      </c>
      <c r="C5030" s="16">
        <f>27.28/(1+B2)</f>
        <v>27.28</v>
      </c>
      <c r="D5030" s="17" t="s">
        <v>11</v>
      </c>
      <c r="E5030" s="17"/>
      <c r="F5030" s="18"/>
      <c r="G5030" s="36" t="str">
        <f>IF(ISNUMBER(F5030),C5030*F5030,"")</f>
        <v/>
      </c>
    </row>
    <row r="5031" spans="1:7" ht="12" customHeight="1" outlineLevel="2" x14ac:dyDescent="0.2">
      <c r="A5031" s="14" t="s">
        <v>9908</v>
      </c>
      <c r="B5031" s="15" t="s">
        <v>9909</v>
      </c>
      <c r="C5031" s="16">
        <f>29.35/(1+B2)</f>
        <v>29.35</v>
      </c>
      <c r="D5031" s="17" t="s">
        <v>53</v>
      </c>
      <c r="E5031" s="17" t="s">
        <v>14</v>
      </c>
      <c r="F5031" s="18"/>
      <c r="G5031" s="36" t="str">
        <f>IF(ISNUMBER(F5031),C5031*F5031,"")</f>
        <v/>
      </c>
    </row>
    <row r="5032" spans="1:7" ht="12" customHeight="1" outlineLevel="2" x14ac:dyDescent="0.2">
      <c r="A5032" s="14" t="s">
        <v>9910</v>
      </c>
      <c r="B5032" s="15" t="s">
        <v>9911</v>
      </c>
      <c r="C5032" s="16">
        <f>29.35/(1+B2)</f>
        <v>29.35</v>
      </c>
      <c r="D5032" s="17" t="s">
        <v>53</v>
      </c>
      <c r="E5032" s="17"/>
      <c r="F5032" s="18"/>
      <c r="G5032" s="36" t="str">
        <f>IF(ISNUMBER(F5032),C5032*F5032,"")</f>
        <v/>
      </c>
    </row>
    <row r="5033" spans="1:7" ht="12" customHeight="1" outlineLevel="2" x14ac:dyDescent="0.2">
      <c r="A5033" s="14" t="s">
        <v>9912</v>
      </c>
      <c r="B5033" s="15" t="s">
        <v>9913</v>
      </c>
      <c r="C5033" s="16">
        <f>12.29/(1+B2)</f>
        <v>12.29</v>
      </c>
      <c r="D5033" s="17" t="s">
        <v>53</v>
      </c>
      <c r="E5033" s="17" t="s">
        <v>53</v>
      </c>
      <c r="F5033" s="18"/>
      <c r="G5033" s="36" t="str">
        <f>IF(ISNUMBER(F5033),C5033*F5033,"")</f>
        <v/>
      </c>
    </row>
    <row r="5034" spans="1:7" ht="12" customHeight="1" outlineLevel="2" x14ac:dyDescent="0.2">
      <c r="A5034" s="14" t="s">
        <v>9914</v>
      </c>
      <c r="B5034" s="15" t="s">
        <v>9915</v>
      </c>
      <c r="C5034" s="16">
        <f>16.38/(1+B2)</f>
        <v>16.38</v>
      </c>
      <c r="D5034" s="17" t="s">
        <v>11</v>
      </c>
      <c r="E5034" s="17" t="s">
        <v>14</v>
      </c>
      <c r="F5034" s="18"/>
      <c r="G5034" s="36" t="str">
        <f>IF(ISNUMBER(F5034),C5034*F5034,"")</f>
        <v/>
      </c>
    </row>
    <row r="5035" spans="1:7" ht="12" customHeight="1" outlineLevel="2" x14ac:dyDescent="0.2">
      <c r="A5035" s="14" t="s">
        <v>9916</v>
      </c>
      <c r="B5035" s="15" t="s">
        <v>9917</v>
      </c>
      <c r="C5035" s="16">
        <f>16.38/(1+B2)</f>
        <v>16.38</v>
      </c>
      <c r="D5035" s="17" t="s">
        <v>14</v>
      </c>
      <c r="E5035" s="17"/>
      <c r="F5035" s="18"/>
      <c r="G5035" s="36" t="str">
        <f>IF(ISNUMBER(F5035),C5035*F5035,"")</f>
        <v/>
      </c>
    </row>
    <row r="5036" spans="1:7" ht="12" customHeight="1" outlineLevel="2" x14ac:dyDescent="0.2">
      <c r="A5036" s="14" t="s">
        <v>9918</v>
      </c>
      <c r="B5036" s="15" t="s">
        <v>9919</v>
      </c>
      <c r="C5036" s="16">
        <f>16.8/(1+B2)</f>
        <v>16.8</v>
      </c>
      <c r="D5036" s="17" t="s">
        <v>11</v>
      </c>
      <c r="E5036" s="17"/>
      <c r="F5036" s="18"/>
      <c r="G5036" s="36" t="str">
        <f>IF(ISNUMBER(F5036),C5036*F5036,"")</f>
        <v/>
      </c>
    </row>
    <row r="5037" spans="1:7" ht="12" customHeight="1" outlineLevel="2" x14ac:dyDescent="0.2">
      <c r="A5037" s="14" t="s">
        <v>9920</v>
      </c>
      <c r="B5037" s="15" t="s">
        <v>9921</v>
      </c>
      <c r="C5037" s="16">
        <f>32.85/(1+B2)</f>
        <v>32.85</v>
      </c>
      <c r="D5037" s="17" t="s">
        <v>106</v>
      </c>
      <c r="E5037" s="17"/>
      <c r="F5037" s="18"/>
      <c r="G5037" s="36" t="str">
        <f>IF(ISNUMBER(F5037),C5037*F5037,"")</f>
        <v/>
      </c>
    </row>
    <row r="5038" spans="1:7" ht="12" customHeight="1" outlineLevel="2" x14ac:dyDescent="0.2">
      <c r="A5038" s="14" t="s">
        <v>9922</v>
      </c>
      <c r="B5038" s="15" t="s">
        <v>9923</v>
      </c>
      <c r="C5038" s="16">
        <f>7.92/(1+B2)</f>
        <v>7.92</v>
      </c>
      <c r="D5038" s="17" t="s">
        <v>14</v>
      </c>
      <c r="E5038" s="17"/>
      <c r="F5038" s="18"/>
      <c r="G5038" s="36" t="str">
        <f>IF(ISNUMBER(F5038),C5038*F5038,"")</f>
        <v/>
      </c>
    </row>
    <row r="5039" spans="1:7" ht="12" customHeight="1" outlineLevel="2" x14ac:dyDescent="0.2">
      <c r="A5039" s="14" t="s">
        <v>9924</v>
      </c>
      <c r="B5039" s="15" t="s">
        <v>9925</v>
      </c>
      <c r="C5039" s="16">
        <f>8.4/(1+B2)</f>
        <v>8.4</v>
      </c>
      <c r="D5039" s="17" t="s">
        <v>53</v>
      </c>
      <c r="E5039" s="17"/>
      <c r="F5039" s="18"/>
      <c r="G5039" s="36" t="str">
        <f>IF(ISNUMBER(F5039),C5039*F5039,"")</f>
        <v/>
      </c>
    </row>
    <row r="5040" spans="1:7" ht="12" customHeight="1" outlineLevel="2" x14ac:dyDescent="0.2">
      <c r="A5040" s="14" t="s">
        <v>9926</v>
      </c>
      <c r="B5040" s="15" t="s">
        <v>9927</v>
      </c>
      <c r="C5040" s="16">
        <f>40.5/(1+B2)</f>
        <v>40.5</v>
      </c>
      <c r="D5040" s="17" t="s">
        <v>14</v>
      </c>
      <c r="E5040" s="17"/>
      <c r="F5040" s="18"/>
      <c r="G5040" s="36" t="str">
        <f>IF(ISNUMBER(F5040),C5040*F5040,"")</f>
        <v/>
      </c>
    </row>
    <row r="5041" spans="1:7" ht="12" customHeight="1" outlineLevel="2" x14ac:dyDescent="0.2">
      <c r="A5041" s="14" t="s">
        <v>9928</v>
      </c>
      <c r="B5041" s="15" t="s">
        <v>9929</v>
      </c>
      <c r="C5041" s="16">
        <f>30.32/(1+B2)</f>
        <v>30.32</v>
      </c>
      <c r="D5041" s="17" t="s">
        <v>14</v>
      </c>
      <c r="E5041" s="17"/>
      <c r="F5041" s="18"/>
      <c r="G5041" s="36" t="str">
        <f>IF(ISNUMBER(F5041),C5041*F5041,"")</f>
        <v/>
      </c>
    </row>
    <row r="5042" spans="1:7" ht="12" customHeight="1" outlineLevel="2" x14ac:dyDescent="0.2">
      <c r="A5042" s="14" t="s">
        <v>9930</v>
      </c>
      <c r="B5042" s="15" t="s">
        <v>9931</v>
      </c>
      <c r="C5042" s="16">
        <f>25.03/(1+B2)</f>
        <v>25.03</v>
      </c>
      <c r="D5042" s="17" t="s">
        <v>53</v>
      </c>
      <c r="E5042" s="17" t="s">
        <v>106</v>
      </c>
      <c r="F5042" s="18"/>
      <c r="G5042" s="36" t="str">
        <f>IF(ISNUMBER(F5042),C5042*F5042,"")</f>
        <v/>
      </c>
    </row>
    <row r="5043" spans="1:7" ht="12" customHeight="1" outlineLevel="2" x14ac:dyDescent="0.2">
      <c r="A5043" s="14" t="s">
        <v>9932</v>
      </c>
      <c r="B5043" s="15" t="s">
        <v>9933</v>
      </c>
      <c r="C5043" s="16">
        <f>43.68/(1+B2)</f>
        <v>43.68</v>
      </c>
      <c r="D5043" s="17" t="s">
        <v>14</v>
      </c>
      <c r="E5043" s="17"/>
      <c r="F5043" s="18"/>
      <c r="G5043" s="36" t="str">
        <f>IF(ISNUMBER(F5043),C5043*F5043,"")</f>
        <v/>
      </c>
    </row>
    <row r="5044" spans="1:7" ht="12" customHeight="1" outlineLevel="2" x14ac:dyDescent="0.2">
      <c r="A5044" s="14" t="s">
        <v>9934</v>
      </c>
      <c r="B5044" s="15" t="s">
        <v>9935</v>
      </c>
      <c r="C5044" s="16">
        <f>26.4/(1+B2)</f>
        <v>26.4</v>
      </c>
      <c r="D5044" s="17" t="s">
        <v>14</v>
      </c>
      <c r="E5044" s="17"/>
      <c r="F5044" s="18"/>
      <c r="G5044" s="36" t="str">
        <f>IF(ISNUMBER(F5044),C5044*F5044,"")</f>
        <v/>
      </c>
    </row>
    <row r="5045" spans="1:7" ht="12" customHeight="1" outlineLevel="2" x14ac:dyDescent="0.2">
      <c r="A5045" s="14" t="s">
        <v>9936</v>
      </c>
      <c r="B5045" s="15" t="s">
        <v>9937</v>
      </c>
      <c r="C5045" s="16">
        <f>19.66/(1+B2)</f>
        <v>19.66</v>
      </c>
      <c r="D5045" s="17" t="s">
        <v>14</v>
      </c>
      <c r="E5045" s="17"/>
      <c r="F5045" s="18"/>
      <c r="G5045" s="36" t="str">
        <f>IF(ISNUMBER(F5045),C5045*F5045,"")</f>
        <v/>
      </c>
    </row>
    <row r="5046" spans="1:7" ht="12" customHeight="1" outlineLevel="2" x14ac:dyDescent="0.2">
      <c r="A5046" s="14" t="s">
        <v>9938</v>
      </c>
      <c r="B5046" s="15" t="s">
        <v>9939</v>
      </c>
      <c r="C5046" s="16">
        <f>6.61/(1+B2)</f>
        <v>6.61</v>
      </c>
      <c r="D5046" s="17"/>
      <c r="E5046" s="17" t="s">
        <v>106</v>
      </c>
      <c r="F5046" s="18"/>
      <c r="G5046" s="36" t="str">
        <f>IF(ISNUMBER(F5046),C5046*F5046,"")</f>
        <v/>
      </c>
    </row>
    <row r="5047" spans="1:7" ht="12" customHeight="1" outlineLevel="2" x14ac:dyDescent="0.2">
      <c r="A5047" s="14" t="s">
        <v>9940</v>
      </c>
      <c r="B5047" s="15" t="s">
        <v>9941</v>
      </c>
      <c r="C5047" s="16">
        <f>4.08/(1+B2)</f>
        <v>4.08</v>
      </c>
      <c r="D5047" s="17"/>
      <c r="E5047" s="17" t="s">
        <v>106</v>
      </c>
      <c r="F5047" s="18"/>
      <c r="G5047" s="36" t="str">
        <f>IF(ISNUMBER(F5047),C5047*F5047,"")</f>
        <v/>
      </c>
    </row>
    <row r="5048" spans="1:7" ht="12" customHeight="1" outlineLevel="2" x14ac:dyDescent="0.2">
      <c r="A5048" s="14" t="s">
        <v>9942</v>
      </c>
      <c r="B5048" s="15" t="s">
        <v>9943</v>
      </c>
      <c r="C5048" s="16">
        <f>1.3/(1+B2)</f>
        <v>1.3</v>
      </c>
      <c r="D5048" s="17" t="s">
        <v>11</v>
      </c>
      <c r="E5048" s="17"/>
      <c r="F5048" s="18"/>
      <c r="G5048" s="36" t="str">
        <f>IF(ISNUMBER(F5048),C5048*F5048,"")</f>
        <v/>
      </c>
    </row>
    <row r="5049" spans="1:7" ht="12" customHeight="1" outlineLevel="2" x14ac:dyDescent="0.2">
      <c r="A5049" s="14" t="s">
        <v>9944</v>
      </c>
      <c r="B5049" s="15" t="s">
        <v>9945</v>
      </c>
      <c r="C5049" s="16">
        <f>109.29/(1+B2)</f>
        <v>109.29</v>
      </c>
      <c r="D5049" s="17" t="s">
        <v>11</v>
      </c>
      <c r="E5049" s="17"/>
      <c r="F5049" s="18"/>
      <c r="G5049" s="36" t="str">
        <f>IF(ISNUMBER(F5049),C5049*F5049,"")</f>
        <v/>
      </c>
    </row>
    <row r="5050" spans="1:7" ht="12" customHeight="1" outlineLevel="2" x14ac:dyDescent="0.2">
      <c r="A5050" s="14" t="s">
        <v>9946</v>
      </c>
      <c r="B5050" s="15" t="s">
        <v>9947</v>
      </c>
      <c r="C5050" s="16">
        <f>109.29/(1+B2)</f>
        <v>109.29</v>
      </c>
      <c r="D5050" s="17" t="s">
        <v>11</v>
      </c>
      <c r="E5050" s="17"/>
      <c r="F5050" s="18"/>
      <c r="G5050" s="36" t="str">
        <f>IF(ISNUMBER(F5050),C5050*F5050,"")</f>
        <v/>
      </c>
    </row>
    <row r="5051" spans="1:7" ht="12" customHeight="1" outlineLevel="2" x14ac:dyDescent="0.2">
      <c r="A5051" s="14" t="s">
        <v>9948</v>
      </c>
      <c r="B5051" s="15" t="s">
        <v>9949</v>
      </c>
      <c r="C5051" s="16">
        <f>3.22/(1+B2)</f>
        <v>3.22</v>
      </c>
      <c r="D5051" s="17" t="s">
        <v>11</v>
      </c>
      <c r="E5051" s="17"/>
      <c r="F5051" s="18"/>
      <c r="G5051" s="36" t="str">
        <f>IF(ISNUMBER(F5051),C5051*F5051,"")</f>
        <v/>
      </c>
    </row>
    <row r="5052" spans="1:7" s="1" customFormat="1" ht="15.95" customHeight="1" outlineLevel="1" x14ac:dyDescent="0.25">
      <c r="A5052" s="11"/>
      <c r="B5052" s="12" t="s">
        <v>9950</v>
      </c>
      <c r="C5052" s="13"/>
      <c r="D5052" s="13"/>
      <c r="E5052" s="13"/>
      <c r="F5052" s="13"/>
      <c r="G5052" s="35"/>
    </row>
    <row r="5053" spans="1:7" ht="12" customHeight="1" outlineLevel="2" x14ac:dyDescent="0.2">
      <c r="A5053" s="14" t="s">
        <v>9951</v>
      </c>
      <c r="B5053" s="15" t="s">
        <v>9952</v>
      </c>
      <c r="C5053" s="19">
        <f>2053.06/(1+B2)</f>
        <v>2053.06</v>
      </c>
      <c r="D5053" s="17" t="s">
        <v>11</v>
      </c>
      <c r="E5053" s="17"/>
      <c r="F5053" s="18"/>
      <c r="G5053" s="36" t="str">
        <f>IF(ISNUMBER(F5053),C5053*F5053,"")</f>
        <v/>
      </c>
    </row>
    <row r="5054" spans="1:7" ht="12" customHeight="1" outlineLevel="2" x14ac:dyDescent="0.2">
      <c r="A5054" s="14" t="s">
        <v>9953</v>
      </c>
      <c r="B5054" s="15" t="s">
        <v>9954</v>
      </c>
      <c r="C5054" s="19">
        <f>2053.06/(1+B2)</f>
        <v>2053.06</v>
      </c>
      <c r="D5054" s="17" t="s">
        <v>11</v>
      </c>
      <c r="E5054" s="17"/>
      <c r="F5054" s="18"/>
      <c r="G5054" s="36" t="str">
        <f>IF(ISNUMBER(F5054),C5054*F5054,"")</f>
        <v/>
      </c>
    </row>
    <row r="5055" spans="1:7" ht="12" customHeight="1" outlineLevel="2" x14ac:dyDescent="0.2">
      <c r="A5055" s="14" t="s">
        <v>9955</v>
      </c>
      <c r="B5055" s="15" t="s">
        <v>9956</v>
      </c>
      <c r="C5055" s="19">
        <f>2466.1/(1+B2)</f>
        <v>2466.1</v>
      </c>
      <c r="D5055" s="17" t="s">
        <v>11</v>
      </c>
      <c r="E5055" s="17"/>
      <c r="F5055" s="18"/>
      <c r="G5055" s="36" t="str">
        <f>IF(ISNUMBER(F5055),C5055*F5055,"")</f>
        <v/>
      </c>
    </row>
    <row r="5056" spans="1:7" ht="12" customHeight="1" outlineLevel="2" x14ac:dyDescent="0.2">
      <c r="A5056" s="14" t="s">
        <v>9957</v>
      </c>
      <c r="B5056" s="15" t="s">
        <v>9958</v>
      </c>
      <c r="C5056" s="19">
        <f>2466.23/(1+B2)</f>
        <v>2466.23</v>
      </c>
      <c r="D5056" s="17" t="s">
        <v>11</v>
      </c>
      <c r="E5056" s="17"/>
      <c r="F5056" s="18"/>
      <c r="G5056" s="36" t="str">
        <f>IF(ISNUMBER(F5056),C5056*F5056,"")</f>
        <v/>
      </c>
    </row>
    <row r="5057" spans="1:7" ht="12" customHeight="1" outlineLevel="2" x14ac:dyDescent="0.2">
      <c r="A5057" s="14" t="s">
        <v>9959</v>
      </c>
      <c r="B5057" s="15" t="s">
        <v>9960</v>
      </c>
      <c r="C5057" s="19">
        <f>2466.23/(1+B2)</f>
        <v>2466.23</v>
      </c>
      <c r="D5057" s="17" t="s">
        <v>11</v>
      </c>
      <c r="E5057" s="17"/>
      <c r="F5057" s="18"/>
      <c r="G5057" s="36" t="str">
        <f>IF(ISNUMBER(F5057),C5057*F5057,"")</f>
        <v/>
      </c>
    </row>
    <row r="5058" spans="1:7" ht="12" customHeight="1" outlineLevel="2" x14ac:dyDescent="0.2">
      <c r="A5058" s="14" t="s">
        <v>9961</v>
      </c>
      <c r="B5058" s="15" t="s">
        <v>9962</v>
      </c>
      <c r="C5058" s="19">
        <f>2327.8/(1+B2)</f>
        <v>2327.8000000000002</v>
      </c>
      <c r="D5058" s="17" t="s">
        <v>11</v>
      </c>
      <c r="E5058" s="17"/>
      <c r="F5058" s="18"/>
      <c r="G5058" s="36" t="str">
        <f>IF(ISNUMBER(F5058),C5058*F5058,"")</f>
        <v/>
      </c>
    </row>
    <row r="5059" spans="1:7" ht="12" customHeight="1" outlineLevel="2" x14ac:dyDescent="0.2">
      <c r="A5059" s="14" t="s">
        <v>9963</v>
      </c>
      <c r="B5059" s="15" t="s">
        <v>9964</v>
      </c>
      <c r="C5059" s="19">
        <f>2327.8/(1+B2)</f>
        <v>2327.8000000000002</v>
      </c>
      <c r="D5059" s="17" t="s">
        <v>11</v>
      </c>
      <c r="E5059" s="17"/>
      <c r="F5059" s="18"/>
      <c r="G5059" s="36" t="str">
        <f>IF(ISNUMBER(F5059),C5059*F5059,"")</f>
        <v/>
      </c>
    </row>
    <row r="5060" spans="1:7" ht="12" customHeight="1" outlineLevel="2" x14ac:dyDescent="0.2">
      <c r="A5060" s="14" t="s">
        <v>9965</v>
      </c>
      <c r="B5060" s="15" t="s">
        <v>9966</v>
      </c>
      <c r="C5060" s="19">
        <f>2327.8/(1+B2)</f>
        <v>2327.8000000000002</v>
      </c>
      <c r="D5060" s="17" t="s">
        <v>11</v>
      </c>
      <c r="E5060" s="17"/>
      <c r="F5060" s="18"/>
      <c r="G5060" s="36" t="str">
        <f>IF(ISNUMBER(F5060),C5060*F5060,"")</f>
        <v/>
      </c>
    </row>
    <row r="5061" spans="1:7" ht="12" customHeight="1" outlineLevel="2" x14ac:dyDescent="0.2">
      <c r="A5061" s="14" t="s">
        <v>9967</v>
      </c>
      <c r="B5061" s="15" t="s">
        <v>9968</v>
      </c>
      <c r="C5061" s="19">
        <f>3110.56/(1+B2)</f>
        <v>3110.56</v>
      </c>
      <c r="D5061" s="17" t="s">
        <v>11</v>
      </c>
      <c r="E5061" s="17"/>
      <c r="F5061" s="18"/>
      <c r="G5061" s="36" t="str">
        <f>IF(ISNUMBER(F5061),C5061*F5061,"")</f>
        <v/>
      </c>
    </row>
    <row r="5062" spans="1:7" ht="12" customHeight="1" outlineLevel="2" x14ac:dyDescent="0.2">
      <c r="A5062" s="14" t="s">
        <v>9969</v>
      </c>
      <c r="B5062" s="15" t="s">
        <v>9970</v>
      </c>
      <c r="C5062" s="19">
        <f>3109.42/(1+B2)</f>
        <v>3109.42</v>
      </c>
      <c r="D5062" s="17" t="s">
        <v>11</v>
      </c>
      <c r="E5062" s="17"/>
      <c r="F5062" s="18"/>
      <c r="G5062" s="36" t="str">
        <f>IF(ISNUMBER(F5062),C5062*F5062,"")</f>
        <v/>
      </c>
    </row>
    <row r="5063" spans="1:7" ht="12" customHeight="1" outlineLevel="2" x14ac:dyDescent="0.2">
      <c r="A5063" s="14" t="s">
        <v>9971</v>
      </c>
      <c r="B5063" s="15" t="s">
        <v>9972</v>
      </c>
      <c r="C5063" s="19">
        <f>3110.56/(1+B2)</f>
        <v>3110.56</v>
      </c>
      <c r="D5063" s="17" t="s">
        <v>11</v>
      </c>
      <c r="E5063" s="17"/>
      <c r="F5063" s="18"/>
      <c r="G5063" s="36" t="str">
        <f>IF(ISNUMBER(F5063),C5063*F5063,"")</f>
        <v/>
      </c>
    </row>
    <row r="5064" spans="1:7" ht="12" customHeight="1" outlineLevel="2" x14ac:dyDescent="0.2">
      <c r="A5064" s="14" t="s">
        <v>9973</v>
      </c>
      <c r="B5064" s="15" t="s">
        <v>9974</v>
      </c>
      <c r="C5064" s="19">
        <f>3109.42/(1+B2)</f>
        <v>3109.42</v>
      </c>
      <c r="D5064" s="17" t="s">
        <v>11</v>
      </c>
      <c r="E5064" s="17"/>
      <c r="F5064" s="18"/>
      <c r="G5064" s="36" t="str">
        <f>IF(ISNUMBER(F5064),C5064*F5064,"")</f>
        <v/>
      </c>
    </row>
    <row r="5065" spans="1:7" ht="12" customHeight="1" outlineLevel="2" x14ac:dyDescent="0.2">
      <c r="A5065" s="14" t="s">
        <v>9975</v>
      </c>
      <c r="B5065" s="15" t="s">
        <v>9976</v>
      </c>
      <c r="C5065" s="19">
        <f>3767.5/(1+B2)</f>
        <v>3767.5</v>
      </c>
      <c r="D5065" s="17" t="s">
        <v>11</v>
      </c>
      <c r="E5065" s="17"/>
      <c r="F5065" s="18"/>
      <c r="G5065" s="36" t="str">
        <f>IF(ISNUMBER(F5065),C5065*F5065,"")</f>
        <v/>
      </c>
    </row>
    <row r="5066" spans="1:7" ht="12" customHeight="1" outlineLevel="2" x14ac:dyDescent="0.2">
      <c r="A5066" s="14" t="s">
        <v>9977</v>
      </c>
      <c r="B5066" s="15" t="s">
        <v>9978</v>
      </c>
      <c r="C5066" s="19">
        <f>3767.5/(1+B2)</f>
        <v>3767.5</v>
      </c>
      <c r="D5066" s="17" t="s">
        <v>11</v>
      </c>
      <c r="E5066" s="17"/>
      <c r="F5066" s="18"/>
      <c r="G5066" s="36" t="str">
        <f>IF(ISNUMBER(F5066),C5066*F5066,"")</f>
        <v/>
      </c>
    </row>
    <row r="5067" spans="1:7" ht="12" customHeight="1" outlineLevel="2" x14ac:dyDescent="0.2">
      <c r="A5067" s="14" t="s">
        <v>9979</v>
      </c>
      <c r="B5067" s="15" t="s">
        <v>9980</v>
      </c>
      <c r="C5067" s="19">
        <f>3767.5/(1+B2)</f>
        <v>3767.5</v>
      </c>
      <c r="D5067" s="17" t="s">
        <v>11</v>
      </c>
      <c r="E5067" s="17"/>
      <c r="F5067" s="18"/>
      <c r="G5067" s="36" t="str">
        <f>IF(ISNUMBER(F5067),C5067*F5067,"")</f>
        <v/>
      </c>
    </row>
    <row r="5068" spans="1:7" ht="12" customHeight="1" outlineLevel="2" x14ac:dyDescent="0.2">
      <c r="A5068" s="14" t="s">
        <v>9981</v>
      </c>
      <c r="B5068" s="15" t="s">
        <v>9982</v>
      </c>
      <c r="C5068" s="19">
        <f>3767.5/(1+B2)</f>
        <v>3767.5</v>
      </c>
      <c r="D5068" s="17" t="s">
        <v>11</v>
      </c>
      <c r="E5068" s="17"/>
      <c r="F5068" s="18"/>
      <c r="G5068" s="36" t="str">
        <f>IF(ISNUMBER(F5068),C5068*F5068,"")</f>
        <v/>
      </c>
    </row>
    <row r="5069" spans="1:7" ht="12" customHeight="1" outlineLevel="2" x14ac:dyDescent="0.2">
      <c r="A5069" s="14" t="s">
        <v>9983</v>
      </c>
      <c r="B5069" s="15" t="s">
        <v>9984</v>
      </c>
      <c r="C5069" s="19">
        <f>1444.76/(1+B2)</f>
        <v>1444.76</v>
      </c>
      <c r="D5069" s="17" t="s">
        <v>11</v>
      </c>
      <c r="E5069" s="17"/>
      <c r="F5069" s="18"/>
      <c r="G5069" s="36" t="str">
        <f>IF(ISNUMBER(F5069),C5069*F5069,"")</f>
        <v/>
      </c>
    </row>
    <row r="5070" spans="1:7" ht="12" customHeight="1" outlineLevel="2" x14ac:dyDescent="0.2">
      <c r="A5070" s="14" t="s">
        <v>9985</v>
      </c>
      <c r="B5070" s="15" t="s">
        <v>9986</v>
      </c>
      <c r="C5070" s="19">
        <f>1444.76/(1+B2)</f>
        <v>1444.76</v>
      </c>
      <c r="D5070" s="17" t="s">
        <v>11</v>
      </c>
      <c r="E5070" s="17"/>
      <c r="F5070" s="18"/>
      <c r="G5070" s="36" t="str">
        <f>IF(ISNUMBER(F5070),C5070*F5070,"")</f>
        <v/>
      </c>
    </row>
    <row r="5071" spans="1:7" ht="12" customHeight="1" outlineLevel="2" x14ac:dyDescent="0.2">
      <c r="A5071" s="14" t="s">
        <v>9987</v>
      </c>
      <c r="B5071" s="15" t="s">
        <v>9988</v>
      </c>
      <c r="C5071" s="19">
        <f>1851.53/(1+B2)</f>
        <v>1851.53</v>
      </c>
      <c r="D5071" s="17" t="s">
        <v>11</v>
      </c>
      <c r="E5071" s="17"/>
      <c r="F5071" s="18"/>
      <c r="G5071" s="36" t="str">
        <f>IF(ISNUMBER(F5071),C5071*F5071,"")</f>
        <v/>
      </c>
    </row>
    <row r="5072" spans="1:7" s="1" customFormat="1" ht="15.95" customHeight="1" outlineLevel="1" x14ac:dyDescent="0.25">
      <c r="A5072" s="11"/>
      <c r="B5072" s="12" t="s">
        <v>9989</v>
      </c>
      <c r="C5072" s="13"/>
      <c r="D5072" s="13"/>
      <c r="E5072" s="13"/>
      <c r="F5072" s="13"/>
      <c r="G5072" s="35"/>
    </row>
    <row r="5073" spans="1:7" ht="12" customHeight="1" outlineLevel="2" x14ac:dyDescent="0.2">
      <c r="A5073" s="14" t="s">
        <v>9990</v>
      </c>
      <c r="B5073" s="15" t="s">
        <v>9991</v>
      </c>
      <c r="C5073" s="16">
        <f>138.95/(1+B2)</f>
        <v>138.94999999999999</v>
      </c>
      <c r="D5073" s="17" t="s">
        <v>11</v>
      </c>
      <c r="E5073" s="17"/>
      <c r="F5073" s="18"/>
      <c r="G5073" s="36" t="str">
        <f>IF(ISNUMBER(F5073),C5073*F5073,"")</f>
        <v/>
      </c>
    </row>
    <row r="5074" spans="1:7" ht="12" customHeight="1" outlineLevel="2" x14ac:dyDescent="0.2">
      <c r="A5074" s="14" t="s">
        <v>9992</v>
      </c>
      <c r="B5074" s="15" t="s">
        <v>9993</v>
      </c>
      <c r="C5074" s="16">
        <f>325.96/(1+B2)</f>
        <v>325.95999999999998</v>
      </c>
      <c r="D5074" s="17" t="s">
        <v>14</v>
      </c>
      <c r="E5074" s="17" t="s">
        <v>11</v>
      </c>
      <c r="F5074" s="18"/>
      <c r="G5074" s="36" t="str">
        <f>IF(ISNUMBER(F5074),C5074*F5074,"")</f>
        <v/>
      </c>
    </row>
    <row r="5075" spans="1:7" ht="12" customHeight="1" outlineLevel="2" x14ac:dyDescent="0.2">
      <c r="A5075" s="14" t="s">
        <v>9994</v>
      </c>
      <c r="B5075" s="15" t="s">
        <v>9995</v>
      </c>
      <c r="C5075" s="16">
        <f>459.14/(1+B2)</f>
        <v>459.14</v>
      </c>
      <c r="D5075" s="17" t="s">
        <v>11</v>
      </c>
      <c r="E5075" s="17"/>
      <c r="F5075" s="18"/>
      <c r="G5075" s="36" t="str">
        <f>IF(ISNUMBER(F5075),C5075*F5075,"")</f>
        <v/>
      </c>
    </row>
    <row r="5076" spans="1:7" ht="12" customHeight="1" outlineLevel="2" x14ac:dyDescent="0.2">
      <c r="A5076" s="14" t="s">
        <v>9996</v>
      </c>
      <c r="B5076" s="15" t="s">
        <v>9997</v>
      </c>
      <c r="C5076" s="16">
        <f>630.37/(1+B2)</f>
        <v>630.37</v>
      </c>
      <c r="D5076" s="17" t="s">
        <v>11</v>
      </c>
      <c r="E5076" s="17"/>
      <c r="F5076" s="18"/>
      <c r="G5076" s="36" t="str">
        <f>IF(ISNUMBER(F5076),C5076*F5076,"")</f>
        <v/>
      </c>
    </row>
    <row r="5077" spans="1:7" ht="12" customHeight="1" outlineLevel="2" x14ac:dyDescent="0.2">
      <c r="A5077" s="14" t="s">
        <v>9998</v>
      </c>
      <c r="B5077" s="15" t="s">
        <v>9999</v>
      </c>
      <c r="C5077" s="16">
        <f>640.6/(1+B2)</f>
        <v>640.6</v>
      </c>
      <c r="D5077" s="17" t="s">
        <v>11</v>
      </c>
      <c r="E5077" s="17"/>
      <c r="F5077" s="18"/>
      <c r="G5077" s="36" t="str">
        <f>IF(ISNUMBER(F5077),C5077*F5077,"")</f>
        <v/>
      </c>
    </row>
    <row r="5078" spans="1:7" ht="12" customHeight="1" outlineLevel="2" x14ac:dyDescent="0.2">
      <c r="A5078" s="14" t="s">
        <v>10000</v>
      </c>
      <c r="B5078" s="15" t="s">
        <v>10001</v>
      </c>
      <c r="C5078" s="16">
        <f>428.02/(1+B2)</f>
        <v>428.02</v>
      </c>
      <c r="D5078" s="17" t="s">
        <v>11</v>
      </c>
      <c r="E5078" s="17"/>
      <c r="F5078" s="18"/>
      <c r="G5078" s="36" t="str">
        <f>IF(ISNUMBER(F5078),C5078*F5078,"")</f>
        <v/>
      </c>
    </row>
    <row r="5079" spans="1:7" ht="12" customHeight="1" outlineLevel="2" x14ac:dyDescent="0.2">
      <c r="A5079" s="14" t="s">
        <v>10002</v>
      </c>
      <c r="B5079" s="15" t="s">
        <v>10003</v>
      </c>
      <c r="C5079" s="16">
        <f>230.02/(1+B2)</f>
        <v>230.02</v>
      </c>
      <c r="D5079" s="17" t="s">
        <v>11</v>
      </c>
      <c r="E5079" s="17"/>
      <c r="F5079" s="18"/>
      <c r="G5079" s="36" t="str">
        <f>IF(ISNUMBER(F5079),C5079*F5079,"")</f>
        <v/>
      </c>
    </row>
    <row r="5080" spans="1:7" ht="12" customHeight="1" outlineLevel="2" x14ac:dyDescent="0.2">
      <c r="A5080" s="14" t="s">
        <v>10004</v>
      </c>
      <c r="B5080" s="15" t="s">
        <v>10005</v>
      </c>
      <c r="C5080" s="16">
        <f>248.27/(1+B2)</f>
        <v>248.27</v>
      </c>
      <c r="D5080" s="17" t="s">
        <v>11</v>
      </c>
      <c r="E5080" s="17"/>
      <c r="F5080" s="18"/>
      <c r="G5080" s="36" t="str">
        <f>IF(ISNUMBER(F5080),C5080*F5080,"")</f>
        <v/>
      </c>
    </row>
    <row r="5081" spans="1:7" ht="12" customHeight="1" outlineLevel="2" x14ac:dyDescent="0.2">
      <c r="A5081" s="14" t="s">
        <v>10006</v>
      </c>
      <c r="B5081" s="15" t="s">
        <v>10007</v>
      </c>
      <c r="C5081" s="16">
        <f>248.27/(1+B2)</f>
        <v>248.27</v>
      </c>
      <c r="D5081" s="17" t="s">
        <v>11</v>
      </c>
      <c r="E5081" s="17"/>
      <c r="F5081" s="18"/>
      <c r="G5081" s="36" t="str">
        <f>IF(ISNUMBER(F5081),C5081*F5081,"")</f>
        <v/>
      </c>
    </row>
    <row r="5082" spans="1:7" ht="12" customHeight="1" outlineLevel="2" x14ac:dyDescent="0.2">
      <c r="A5082" s="14" t="s">
        <v>10008</v>
      </c>
      <c r="B5082" s="15" t="s">
        <v>10009</v>
      </c>
      <c r="C5082" s="16">
        <f>248.27/(1+B2)</f>
        <v>248.27</v>
      </c>
      <c r="D5082" s="17" t="s">
        <v>11</v>
      </c>
      <c r="E5082" s="17"/>
      <c r="F5082" s="18"/>
      <c r="G5082" s="36" t="str">
        <f>IF(ISNUMBER(F5082),C5082*F5082,"")</f>
        <v/>
      </c>
    </row>
    <row r="5083" spans="1:7" ht="12" customHeight="1" outlineLevel="2" x14ac:dyDescent="0.2">
      <c r="A5083" s="14" t="s">
        <v>10010</v>
      </c>
      <c r="B5083" s="15" t="s">
        <v>10011</v>
      </c>
      <c r="C5083" s="16">
        <f>248.27/(1+B2)</f>
        <v>248.27</v>
      </c>
      <c r="D5083" s="17" t="s">
        <v>11</v>
      </c>
      <c r="E5083" s="17"/>
      <c r="F5083" s="18"/>
      <c r="G5083" s="36" t="str">
        <f>IF(ISNUMBER(F5083),C5083*F5083,"")</f>
        <v/>
      </c>
    </row>
    <row r="5084" spans="1:7" ht="12" customHeight="1" outlineLevel="2" x14ac:dyDescent="0.2">
      <c r="A5084" s="14" t="s">
        <v>10012</v>
      </c>
      <c r="B5084" s="15" t="s">
        <v>10013</v>
      </c>
      <c r="C5084" s="16">
        <f>248.27/(1+B2)</f>
        <v>248.27</v>
      </c>
      <c r="D5084" s="17" t="s">
        <v>11</v>
      </c>
      <c r="E5084" s="17"/>
      <c r="F5084" s="18"/>
      <c r="G5084" s="36" t="str">
        <f>IF(ISNUMBER(F5084),C5084*F5084,"")</f>
        <v/>
      </c>
    </row>
    <row r="5085" spans="1:7" ht="12" customHeight="1" outlineLevel="2" x14ac:dyDescent="0.2">
      <c r="A5085" s="14" t="s">
        <v>10014</v>
      </c>
      <c r="B5085" s="15" t="s">
        <v>10015</v>
      </c>
      <c r="C5085" s="16">
        <f>248.27/(1+B2)</f>
        <v>248.27</v>
      </c>
      <c r="D5085" s="17" t="s">
        <v>11</v>
      </c>
      <c r="E5085" s="17"/>
      <c r="F5085" s="18"/>
      <c r="G5085" s="36" t="str">
        <f>IF(ISNUMBER(F5085),C5085*F5085,"")</f>
        <v/>
      </c>
    </row>
    <row r="5086" spans="1:7" ht="12" customHeight="1" outlineLevel="2" x14ac:dyDescent="0.2">
      <c r="A5086" s="14" t="s">
        <v>10016</v>
      </c>
      <c r="B5086" s="15" t="s">
        <v>10017</v>
      </c>
      <c r="C5086" s="16">
        <f>248.27/(1+B2)</f>
        <v>248.27</v>
      </c>
      <c r="D5086" s="17" t="s">
        <v>11</v>
      </c>
      <c r="E5086" s="17"/>
      <c r="F5086" s="18"/>
      <c r="G5086" s="36" t="str">
        <f>IF(ISNUMBER(F5086),C5086*F5086,"")</f>
        <v/>
      </c>
    </row>
    <row r="5087" spans="1:7" ht="12" customHeight="1" outlineLevel="2" x14ac:dyDescent="0.2">
      <c r="A5087" s="14" t="s">
        <v>10018</v>
      </c>
      <c r="B5087" s="15" t="s">
        <v>10019</v>
      </c>
      <c r="C5087" s="16">
        <f>248.27/(1+B2)</f>
        <v>248.27</v>
      </c>
      <c r="D5087" s="17" t="s">
        <v>11</v>
      </c>
      <c r="E5087" s="17"/>
      <c r="F5087" s="18"/>
      <c r="G5087" s="36" t="str">
        <f>IF(ISNUMBER(F5087),C5087*F5087,"")</f>
        <v/>
      </c>
    </row>
    <row r="5088" spans="1:7" ht="12" customHeight="1" outlineLevel="2" x14ac:dyDescent="0.2">
      <c r="A5088" s="14" t="s">
        <v>10020</v>
      </c>
      <c r="B5088" s="15" t="s">
        <v>10021</v>
      </c>
      <c r="C5088" s="16">
        <f>248.27/(1+B2)</f>
        <v>248.27</v>
      </c>
      <c r="D5088" s="17" t="s">
        <v>11</v>
      </c>
      <c r="E5088" s="17"/>
      <c r="F5088" s="18"/>
      <c r="G5088" s="36" t="str">
        <f>IF(ISNUMBER(F5088),C5088*F5088,"")</f>
        <v/>
      </c>
    </row>
    <row r="5089" spans="1:7" ht="12" customHeight="1" outlineLevel="2" x14ac:dyDescent="0.2">
      <c r="A5089" s="14" t="s">
        <v>10022</v>
      </c>
      <c r="B5089" s="15" t="s">
        <v>10023</v>
      </c>
      <c r="C5089" s="16">
        <f>218.79/(1+B2)</f>
        <v>218.79</v>
      </c>
      <c r="D5089" s="17" t="s">
        <v>11</v>
      </c>
      <c r="E5089" s="17" t="s">
        <v>11</v>
      </c>
      <c r="F5089" s="18"/>
      <c r="G5089" s="36" t="str">
        <f>IF(ISNUMBER(F5089),C5089*F5089,"")</f>
        <v/>
      </c>
    </row>
    <row r="5090" spans="1:7" ht="12" customHeight="1" outlineLevel="2" x14ac:dyDescent="0.2">
      <c r="A5090" s="14" t="s">
        <v>10024</v>
      </c>
      <c r="B5090" s="15" t="s">
        <v>10025</v>
      </c>
      <c r="C5090" s="16">
        <f>58.5/(1+B2)</f>
        <v>58.5</v>
      </c>
      <c r="D5090" s="17" t="s">
        <v>11</v>
      </c>
      <c r="E5090" s="17"/>
      <c r="F5090" s="18"/>
      <c r="G5090" s="36" t="str">
        <f>IF(ISNUMBER(F5090),C5090*F5090,"")</f>
        <v/>
      </c>
    </row>
    <row r="5091" spans="1:7" ht="12" customHeight="1" outlineLevel="2" x14ac:dyDescent="0.2">
      <c r="A5091" s="14" t="s">
        <v>10026</v>
      </c>
      <c r="B5091" s="15" t="s">
        <v>10027</v>
      </c>
      <c r="C5091" s="16">
        <f>153.43/(1+B2)</f>
        <v>153.43</v>
      </c>
      <c r="D5091" s="17"/>
      <c r="E5091" s="17" t="s">
        <v>11</v>
      </c>
      <c r="F5091" s="18"/>
      <c r="G5091" s="36" t="str">
        <f>IF(ISNUMBER(F5091),C5091*F5091,"")</f>
        <v/>
      </c>
    </row>
    <row r="5092" spans="1:7" ht="12" customHeight="1" outlineLevel="2" x14ac:dyDescent="0.2">
      <c r="A5092" s="14" t="s">
        <v>10028</v>
      </c>
      <c r="B5092" s="15" t="s">
        <v>10029</v>
      </c>
      <c r="C5092" s="16">
        <f>136.5/(1+B2)</f>
        <v>136.5</v>
      </c>
      <c r="D5092" s="17" t="s">
        <v>11</v>
      </c>
      <c r="E5092" s="17"/>
      <c r="F5092" s="18"/>
      <c r="G5092" s="36" t="str">
        <f>IF(ISNUMBER(F5092),C5092*F5092,"")</f>
        <v/>
      </c>
    </row>
    <row r="5093" spans="1:7" ht="12" customHeight="1" outlineLevel="2" x14ac:dyDescent="0.2">
      <c r="A5093" s="14" t="s">
        <v>10030</v>
      </c>
      <c r="B5093" s="15" t="s">
        <v>10031</v>
      </c>
      <c r="C5093" s="16">
        <f>159.44/(1+B2)</f>
        <v>159.44</v>
      </c>
      <c r="D5093" s="17" t="s">
        <v>14</v>
      </c>
      <c r="E5093" s="17" t="s">
        <v>14</v>
      </c>
      <c r="F5093" s="18"/>
      <c r="G5093" s="36" t="str">
        <f>IF(ISNUMBER(F5093),C5093*F5093,"")</f>
        <v/>
      </c>
    </row>
    <row r="5094" spans="1:7" ht="12" customHeight="1" outlineLevel="2" x14ac:dyDescent="0.2">
      <c r="A5094" s="14" t="s">
        <v>10032</v>
      </c>
      <c r="B5094" s="15" t="s">
        <v>10033</v>
      </c>
      <c r="C5094" s="16">
        <f>162.16/(1+B2)</f>
        <v>162.16</v>
      </c>
      <c r="D5094" s="17" t="s">
        <v>14</v>
      </c>
      <c r="E5094" s="17"/>
      <c r="F5094" s="18"/>
      <c r="G5094" s="36" t="str">
        <f>IF(ISNUMBER(F5094),C5094*F5094,"")</f>
        <v/>
      </c>
    </row>
    <row r="5095" spans="1:7" ht="12" customHeight="1" outlineLevel="2" x14ac:dyDescent="0.2">
      <c r="A5095" s="14" t="s">
        <v>10034</v>
      </c>
      <c r="B5095" s="15" t="s">
        <v>10035</v>
      </c>
      <c r="C5095" s="16">
        <f>263.18/(1+B2)</f>
        <v>263.18</v>
      </c>
      <c r="D5095" s="17" t="s">
        <v>11</v>
      </c>
      <c r="E5095" s="17" t="s">
        <v>11</v>
      </c>
      <c r="F5095" s="18"/>
      <c r="G5095" s="36" t="str">
        <f>IF(ISNUMBER(F5095),C5095*F5095,"")</f>
        <v/>
      </c>
    </row>
    <row r="5096" spans="1:7" ht="12" customHeight="1" outlineLevel="2" x14ac:dyDescent="0.2">
      <c r="A5096" s="14" t="s">
        <v>10036</v>
      </c>
      <c r="B5096" s="15" t="s">
        <v>10037</v>
      </c>
      <c r="C5096" s="16">
        <f>129.95/(1+B2)</f>
        <v>129.94999999999999</v>
      </c>
      <c r="D5096" s="17" t="s">
        <v>14</v>
      </c>
      <c r="E5096" s="17"/>
      <c r="F5096" s="18"/>
      <c r="G5096" s="36" t="str">
        <f>IF(ISNUMBER(F5096),C5096*F5096,"")</f>
        <v/>
      </c>
    </row>
    <row r="5097" spans="1:7" ht="12" customHeight="1" outlineLevel="2" x14ac:dyDescent="0.2">
      <c r="A5097" s="14" t="s">
        <v>10038</v>
      </c>
      <c r="B5097" s="15" t="s">
        <v>10039</v>
      </c>
      <c r="C5097" s="16">
        <f>168.71/(1+B2)</f>
        <v>168.71</v>
      </c>
      <c r="D5097" s="17" t="s">
        <v>11</v>
      </c>
      <c r="E5097" s="17"/>
      <c r="F5097" s="18"/>
      <c r="G5097" s="36" t="str">
        <f>IF(ISNUMBER(F5097),C5097*F5097,"")</f>
        <v/>
      </c>
    </row>
    <row r="5098" spans="1:7" ht="12" customHeight="1" outlineLevel="2" x14ac:dyDescent="0.2">
      <c r="A5098" s="14" t="s">
        <v>10040</v>
      </c>
      <c r="B5098" s="15" t="s">
        <v>10041</v>
      </c>
      <c r="C5098" s="16">
        <f>161.08/(1+B2)</f>
        <v>161.08000000000001</v>
      </c>
      <c r="D5098" s="17" t="s">
        <v>11</v>
      </c>
      <c r="E5098" s="17" t="s">
        <v>11</v>
      </c>
      <c r="F5098" s="18"/>
      <c r="G5098" s="36" t="str">
        <f>IF(ISNUMBER(F5098),C5098*F5098,"")</f>
        <v/>
      </c>
    </row>
    <row r="5099" spans="1:7" ht="12" customHeight="1" outlineLevel="2" x14ac:dyDescent="0.2">
      <c r="A5099" s="14" t="s">
        <v>10042</v>
      </c>
      <c r="B5099" s="15" t="s">
        <v>10043</v>
      </c>
      <c r="C5099" s="16">
        <f>198.75/(1+B2)</f>
        <v>198.75</v>
      </c>
      <c r="D5099" s="17" t="s">
        <v>11</v>
      </c>
      <c r="E5099" s="17" t="s">
        <v>11</v>
      </c>
      <c r="F5099" s="18"/>
      <c r="G5099" s="36" t="str">
        <f>IF(ISNUMBER(F5099),C5099*F5099,"")</f>
        <v/>
      </c>
    </row>
    <row r="5100" spans="1:7" ht="12" customHeight="1" outlineLevel="2" x14ac:dyDescent="0.2">
      <c r="A5100" s="14" t="s">
        <v>10044</v>
      </c>
      <c r="B5100" s="15" t="s">
        <v>10045</v>
      </c>
      <c r="C5100" s="16">
        <f>222.76/(1+B2)</f>
        <v>222.76</v>
      </c>
      <c r="D5100" s="17" t="s">
        <v>11</v>
      </c>
      <c r="E5100" s="17" t="s">
        <v>14</v>
      </c>
      <c r="F5100" s="18"/>
      <c r="G5100" s="36" t="str">
        <f>IF(ISNUMBER(F5100),C5100*F5100,"")</f>
        <v/>
      </c>
    </row>
    <row r="5101" spans="1:7" ht="12" customHeight="1" outlineLevel="2" x14ac:dyDescent="0.2">
      <c r="A5101" s="14" t="s">
        <v>10046</v>
      </c>
      <c r="B5101" s="15" t="s">
        <v>10047</v>
      </c>
      <c r="C5101" s="16">
        <f>117.94/(1+B2)</f>
        <v>117.94</v>
      </c>
      <c r="D5101" s="17" t="s">
        <v>11</v>
      </c>
      <c r="E5101" s="17"/>
      <c r="F5101" s="18"/>
      <c r="G5101" s="36" t="str">
        <f>IF(ISNUMBER(F5101),C5101*F5101,"")</f>
        <v/>
      </c>
    </row>
    <row r="5102" spans="1:7" ht="12" customHeight="1" outlineLevel="2" x14ac:dyDescent="0.2">
      <c r="A5102" s="14" t="s">
        <v>10048</v>
      </c>
      <c r="B5102" s="15" t="s">
        <v>10049</v>
      </c>
      <c r="C5102" s="16">
        <f>151.4/(1+B2)</f>
        <v>151.4</v>
      </c>
      <c r="D5102" s="17" t="s">
        <v>11</v>
      </c>
      <c r="E5102" s="17"/>
      <c r="F5102" s="18"/>
      <c r="G5102" s="36" t="str">
        <f>IF(ISNUMBER(F5102),C5102*F5102,"")</f>
        <v/>
      </c>
    </row>
    <row r="5103" spans="1:7" ht="12" customHeight="1" outlineLevel="2" x14ac:dyDescent="0.2">
      <c r="A5103" s="14" t="s">
        <v>10050</v>
      </c>
      <c r="B5103" s="15" t="s">
        <v>10051</v>
      </c>
      <c r="C5103" s="16">
        <f>151.4/(1+B2)</f>
        <v>151.4</v>
      </c>
      <c r="D5103" s="17" t="s">
        <v>11</v>
      </c>
      <c r="E5103" s="17"/>
      <c r="F5103" s="18"/>
      <c r="G5103" s="36" t="str">
        <f>IF(ISNUMBER(F5103),C5103*F5103,"")</f>
        <v/>
      </c>
    </row>
    <row r="5104" spans="1:7" ht="12" customHeight="1" outlineLevel="2" x14ac:dyDescent="0.2">
      <c r="A5104" s="14" t="s">
        <v>10052</v>
      </c>
      <c r="B5104" s="15" t="s">
        <v>10053</v>
      </c>
      <c r="C5104" s="16">
        <f>151.4/(1+B2)</f>
        <v>151.4</v>
      </c>
      <c r="D5104" s="17" t="s">
        <v>11</v>
      </c>
      <c r="E5104" s="17"/>
      <c r="F5104" s="18"/>
      <c r="G5104" s="36" t="str">
        <f>IF(ISNUMBER(F5104),C5104*F5104,"")</f>
        <v/>
      </c>
    </row>
    <row r="5105" spans="1:7" ht="12" customHeight="1" outlineLevel="2" x14ac:dyDescent="0.2">
      <c r="A5105" s="14" t="s">
        <v>10054</v>
      </c>
      <c r="B5105" s="15" t="s">
        <v>10055</v>
      </c>
      <c r="C5105" s="16">
        <f>151.4/(1+B2)</f>
        <v>151.4</v>
      </c>
      <c r="D5105" s="17" t="s">
        <v>11</v>
      </c>
      <c r="E5105" s="17"/>
      <c r="F5105" s="18"/>
      <c r="G5105" s="36" t="str">
        <f>IF(ISNUMBER(F5105),C5105*F5105,"")</f>
        <v/>
      </c>
    </row>
    <row r="5106" spans="1:7" ht="12" customHeight="1" outlineLevel="2" x14ac:dyDescent="0.2">
      <c r="A5106" s="14" t="s">
        <v>10056</v>
      </c>
      <c r="B5106" s="15" t="s">
        <v>10057</v>
      </c>
      <c r="C5106" s="16">
        <f>151.4/(1+B2)</f>
        <v>151.4</v>
      </c>
      <c r="D5106" s="17" t="s">
        <v>11</v>
      </c>
      <c r="E5106" s="17"/>
      <c r="F5106" s="18"/>
      <c r="G5106" s="36" t="str">
        <f>IF(ISNUMBER(F5106),C5106*F5106,"")</f>
        <v/>
      </c>
    </row>
    <row r="5107" spans="1:7" ht="12" customHeight="1" outlineLevel="2" x14ac:dyDescent="0.2">
      <c r="A5107" s="14" t="s">
        <v>10058</v>
      </c>
      <c r="B5107" s="15" t="s">
        <v>10059</v>
      </c>
      <c r="C5107" s="16">
        <f>151.4/(1+B2)</f>
        <v>151.4</v>
      </c>
      <c r="D5107" s="17" t="s">
        <v>11</v>
      </c>
      <c r="E5107" s="17"/>
      <c r="F5107" s="18"/>
      <c r="G5107" s="36" t="str">
        <f>IF(ISNUMBER(F5107),C5107*F5107,"")</f>
        <v/>
      </c>
    </row>
    <row r="5108" spans="1:7" ht="12" customHeight="1" outlineLevel="2" x14ac:dyDescent="0.2">
      <c r="A5108" s="14" t="s">
        <v>10060</v>
      </c>
      <c r="B5108" s="15" t="s">
        <v>10061</v>
      </c>
      <c r="C5108" s="16">
        <f>166.37/(1+B2)</f>
        <v>166.37</v>
      </c>
      <c r="D5108" s="17" t="s">
        <v>11</v>
      </c>
      <c r="E5108" s="17"/>
      <c r="F5108" s="18"/>
      <c r="G5108" s="36" t="str">
        <f>IF(ISNUMBER(F5108),C5108*F5108,"")</f>
        <v/>
      </c>
    </row>
    <row r="5109" spans="1:7" ht="12" customHeight="1" outlineLevel="2" x14ac:dyDescent="0.2">
      <c r="A5109" s="14" t="s">
        <v>10062</v>
      </c>
      <c r="B5109" s="15" t="s">
        <v>10063</v>
      </c>
      <c r="C5109" s="16">
        <f>162.51/(1+B2)</f>
        <v>162.51</v>
      </c>
      <c r="D5109" s="17" t="s">
        <v>11</v>
      </c>
      <c r="E5109" s="17"/>
      <c r="F5109" s="18"/>
      <c r="G5109" s="36" t="str">
        <f>IF(ISNUMBER(F5109),C5109*F5109,"")</f>
        <v/>
      </c>
    </row>
    <row r="5110" spans="1:7" ht="12" customHeight="1" outlineLevel="2" x14ac:dyDescent="0.2">
      <c r="A5110" s="14" t="s">
        <v>10064</v>
      </c>
      <c r="B5110" s="15" t="s">
        <v>10065</v>
      </c>
      <c r="C5110" s="16">
        <f>179.48/(1+B2)</f>
        <v>179.48</v>
      </c>
      <c r="D5110" s="17" t="s">
        <v>11</v>
      </c>
      <c r="E5110" s="17"/>
      <c r="F5110" s="18"/>
      <c r="G5110" s="36" t="str">
        <f>IF(ISNUMBER(F5110),C5110*F5110,"")</f>
        <v/>
      </c>
    </row>
    <row r="5111" spans="1:7" ht="12" customHeight="1" outlineLevel="2" x14ac:dyDescent="0.2">
      <c r="A5111" s="14" t="s">
        <v>10066</v>
      </c>
      <c r="B5111" s="15" t="s">
        <v>10067</v>
      </c>
      <c r="C5111" s="16">
        <f>179.48/(1+B2)</f>
        <v>179.48</v>
      </c>
      <c r="D5111" s="17" t="s">
        <v>11</v>
      </c>
      <c r="E5111" s="17"/>
      <c r="F5111" s="18"/>
      <c r="G5111" s="36" t="str">
        <f>IF(ISNUMBER(F5111),C5111*F5111,"")</f>
        <v/>
      </c>
    </row>
    <row r="5112" spans="1:7" ht="12" customHeight="1" outlineLevel="2" x14ac:dyDescent="0.2">
      <c r="A5112" s="14" t="s">
        <v>10068</v>
      </c>
      <c r="B5112" s="15" t="s">
        <v>10069</v>
      </c>
      <c r="C5112" s="16">
        <f>179.48/(1+B2)</f>
        <v>179.48</v>
      </c>
      <c r="D5112" s="17" t="s">
        <v>11</v>
      </c>
      <c r="E5112" s="17"/>
      <c r="F5112" s="18"/>
      <c r="G5112" s="36" t="str">
        <f>IF(ISNUMBER(F5112),C5112*F5112,"")</f>
        <v/>
      </c>
    </row>
    <row r="5113" spans="1:7" ht="12" customHeight="1" outlineLevel="2" x14ac:dyDescent="0.2">
      <c r="A5113" s="14" t="s">
        <v>10070</v>
      </c>
      <c r="B5113" s="15" t="s">
        <v>10071</v>
      </c>
      <c r="C5113" s="16">
        <f>179.48/(1+B2)</f>
        <v>179.48</v>
      </c>
      <c r="D5113" s="17" t="s">
        <v>11</v>
      </c>
      <c r="E5113" s="17"/>
      <c r="F5113" s="18"/>
      <c r="G5113" s="36" t="str">
        <f>IF(ISNUMBER(F5113),C5113*F5113,"")</f>
        <v/>
      </c>
    </row>
    <row r="5114" spans="1:7" ht="12" customHeight="1" outlineLevel="2" x14ac:dyDescent="0.2">
      <c r="A5114" s="14" t="s">
        <v>10072</v>
      </c>
      <c r="B5114" s="15" t="s">
        <v>10073</v>
      </c>
      <c r="C5114" s="16">
        <f>179.48/(1+B2)</f>
        <v>179.48</v>
      </c>
      <c r="D5114" s="17" t="s">
        <v>11</v>
      </c>
      <c r="E5114" s="17"/>
      <c r="F5114" s="18"/>
      <c r="G5114" s="36" t="str">
        <f>IF(ISNUMBER(F5114),C5114*F5114,"")</f>
        <v/>
      </c>
    </row>
    <row r="5115" spans="1:7" ht="12" customHeight="1" outlineLevel="2" x14ac:dyDescent="0.2">
      <c r="A5115" s="14" t="s">
        <v>10074</v>
      </c>
      <c r="B5115" s="15" t="s">
        <v>10075</v>
      </c>
      <c r="C5115" s="16">
        <f>179.48/(1+B2)</f>
        <v>179.48</v>
      </c>
      <c r="D5115" s="17" t="s">
        <v>11</v>
      </c>
      <c r="E5115" s="17"/>
      <c r="F5115" s="18"/>
      <c r="G5115" s="36" t="str">
        <f>IF(ISNUMBER(F5115),C5115*F5115,"")</f>
        <v/>
      </c>
    </row>
    <row r="5116" spans="1:7" ht="12" customHeight="1" outlineLevel="2" x14ac:dyDescent="0.2">
      <c r="A5116" s="14" t="s">
        <v>10076</v>
      </c>
      <c r="B5116" s="15" t="s">
        <v>10077</v>
      </c>
      <c r="C5116" s="16">
        <f>179.48/(1+B2)</f>
        <v>179.48</v>
      </c>
      <c r="D5116" s="17" t="s">
        <v>11</v>
      </c>
      <c r="E5116" s="17"/>
      <c r="F5116" s="18"/>
      <c r="G5116" s="36" t="str">
        <f>IF(ISNUMBER(F5116),C5116*F5116,"")</f>
        <v/>
      </c>
    </row>
    <row r="5117" spans="1:7" ht="12" customHeight="1" outlineLevel="2" x14ac:dyDescent="0.2">
      <c r="A5117" s="14" t="s">
        <v>10078</v>
      </c>
      <c r="B5117" s="15" t="s">
        <v>10079</v>
      </c>
      <c r="C5117" s="16">
        <f>205.1/(1+B2)</f>
        <v>205.1</v>
      </c>
      <c r="D5117" s="17" t="s">
        <v>11</v>
      </c>
      <c r="E5117" s="17"/>
      <c r="F5117" s="18"/>
      <c r="G5117" s="36" t="str">
        <f>IF(ISNUMBER(F5117),C5117*F5117,"")</f>
        <v/>
      </c>
    </row>
    <row r="5118" spans="1:7" ht="12" customHeight="1" outlineLevel="2" x14ac:dyDescent="0.2">
      <c r="A5118" s="14" t="s">
        <v>10080</v>
      </c>
      <c r="B5118" s="15" t="s">
        <v>10081</v>
      </c>
      <c r="C5118" s="16">
        <f>227.33/(1+B2)</f>
        <v>227.33</v>
      </c>
      <c r="D5118" s="17" t="s">
        <v>11</v>
      </c>
      <c r="E5118" s="17"/>
      <c r="F5118" s="18"/>
      <c r="G5118" s="36" t="str">
        <f>IF(ISNUMBER(F5118),C5118*F5118,"")</f>
        <v/>
      </c>
    </row>
    <row r="5119" spans="1:7" ht="12" customHeight="1" outlineLevel="2" x14ac:dyDescent="0.2">
      <c r="A5119" s="14" t="s">
        <v>10082</v>
      </c>
      <c r="B5119" s="15" t="s">
        <v>10083</v>
      </c>
      <c r="C5119" s="16">
        <f>227.33/(1+B2)</f>
        <v>227.33</v>
      </c>
      <c r="D5119" s="17" t="s">
        <v>11</v>
      </c>
      <c r="E5119" s="17"/>
      <c r="F5119" s="18"/>
      <c r="G5119" s="36" t="str">
        <f>IF(ISNUMBER(F5119),C5119*F5119,"")</f>
        <v/>
      </c>
    </row>
    <row r="5120" spans="1:7" ht="12" customHeight="1" outlineLevel="2" x14ac:dyDescent="0.2">
      <c r="A5120" s="14" t="s">
        <v>10084</v>
      </c>
      <c r="B5120" s="15" t="s">
        <v>10085</v>
      </c>
      <c r="C5120" s="16">
        <f>227.33/(1+B2)</f>
        <v>227.33</v>
      </c>
      <c r="D5120" s="17" t="s">
        <v>11</v>
      </c>
      <c r="E5120" s="17"/>
      <c r="F5120" s="18"/>
      <c r="G5120" s="36" t="str">
        <f>IF(ISNUMBER(F5120),C5120*F5120,"")</f>
        <v/>
      </c>
    </row>
    <row r="5121" spans="1:7" ht="12" customHeight="1" outlineLevel="2" x14ac:dyDescent="0.2">
      <c r="A5121" s="14" t="s">
        <v>10086</v>
      </c>
      <c r="B5121" s="15" t="s">
        <v>10087</v>
      </c>
      <c r="C5121" s="16">
        <f>227.33/(1+B2)</f>
        <v>227.33</v>
      </c>
      <c r="D5121" s="17" t="s">
        <v>11</v>
      </c>
      <c r="E5121" s="17"/>
      <c r="F5121" s="18"/>
      <c r="G5121" s="36" t="str">
        <f>IF(ISNUMBER(F5121),C5121*F5121,"")</f>
        <v/>
      </c>
    </row>
    <row r="5122" spans="1:7" ht="12" customHeight="1" outlineLevel="2" x14ac:dyDescent="0.2">
      <c r="A5122" s="14" t="s">
        <v>10088</v>
      </c>
      <c r="B5122" s="15" t="s">
        <v>10089</v>
      </c>
      <c r="C5122" s="16">
        <f>242.42/(1+B2)</f>
        <v>242.42</v>
      </c>
      <c r="D5122" s="17" t="s">
        <v>11</v>
      </c>
      <c r="E5122" s="17"/>
      <c r="F5122" s="18"/>
      <c r="G5122" s="36" t="str">
        <f>IF(ISNUMBER(F5122),C5122*F5122,"")</f>
        <v/>
      </c>
    </row>
    <row r="5123" spans="1:7" ht="12" customHeight="1" outlineLevel="2" x14ac:dyDescent="0.2">
      <c r="A5123" s="14" t="s">
        <v>10090</v>
      </c>
      <c r="B5123" s="15" t="s">
        <v>10091</v>
      </c>
      <c r="C5123" s="16">
        <f>266.64/(1+B2)</f>
        <v>266.64</v>
      </c>
      <c r="D5123" s="17" t="s">
        <v>11</v>
      </c>
      <c r="E5123" s="17"/>
      <c r="F5123" s="18"/>
      <c r="G5123" s="36" t="str">
        <f>IF(ISNUMBER(F5123),C5123*F5123,"")</f>
        <v/>
      </c>
    </row>
    <row r="5124" spans="1:7" ht="12" customHeight="1" outlineLevel="2" x14ac:dyDescent="0.2">
      <c r="A5124" s="14" t="s">
        <v>10092</v>
      </c>
      <c r="B5124" s="15" t="s">
        <v>10093</v>
      </c>
      <c r="C5124" s="16">
        <f>266.64/(1+B2)</f>
        <v>266.64</v>
      </c>
      <c r="D5124" s="17" t="s">
        <v>11</v>
      </c>
      <c r="E5124" s="17"/>
      <c r="F5124" s="18"/>
      <c r="G5124" s="36" t="str">
        <f>IF(ISNUMBER(F5124),C5124*F5124,"")</f>
        <v/>
      </c>
    </row>
    <row r="5125" spans="1:7" ht="12" customHeight="1" outlineLevel="2" x14ac:dyDescent="0.2">
      <c r="A5125" s="14" t="s">
        <v>10094</v>
      </c>
      <c r="B5125" s="15" t="s">
        <v>10095</v>
      </c>
      <c r="C5125" s="16">
        <f>266.64/(1+B2)</f>
        <v>266.64</v>
      </c>
      <c r="D5125" s="17" t="s">
        <v>11</v>
      </c>
      <c r="E5125" s="17"/>
      <c r="F5125" s="18"/>
      <c r="G5125" s="36" t="str">
        <f>IF(ISNUMBER(F5125),C5125*F5125,"")</f>
        <v/>
      </c>
    </row>
    <row r="5126" spans="1:7" ht="12" customHeight="1" outlineLevel="2" x14ac:dyDescent="0.2">
      <c r="A5126" s="14" t="s">
        <v>10096</v>
      </c>
      <c r="B5126" s="15" t="s">
        <v>10097</v>
      </c>
      <c r="C5126" s="16">
        <f>266.06/(1+B2)</f>
        <v>266.06</v>
      </c>
      <c r="D5126" s="17" t="s">
        <v>11</v>
      </c>
      <c r="E5126" s="17"/>
      <c r="F5126" s="18"/>
      <c r="G5126" s="36" t="str">
        <f>IF(ISNUMBER(F5126),C5126*F5126,"")</f>
        <v/>
      </c>
    </row>
    <row r="5127" spans="1:7" ht="12" customHeight="1" outlineLevel="2" x14ac:dyDescent="0.2">
      <c r="A5127" s="14" t="s">
        <v>10098</v>
      </c>
      <c r="B5127" s="15" t="s">
        <v>10099</v>
      </c>
      <c r="C5127" s="16">
        <f>290.28/(1+B2)</f>
        <v>290.27999999999997</v>
      </c>
      <c r="D5127" s="17" t="s">
        <v>11</v>
      </c>
      <c r="E5127" s="17"/>
      <c r="F5127" s="18"/>
      <c r="G5127" s="36" t="str">
        <f>IF(ISNUMBER(F5127),C5127*F5127,"")</f>
        <v/>
      </c>
    </row>
    <row r="5128" spans="1:7" ht="12" customHeight="1" outlineLevel="2" x14ac:dyDescent="0.2">
      <c r="A5128" s="14" t="s">
        <v>10100</v>
      </c>
      <c r="B5128" s="15" t="s">
        <v>10101</v>
      </c>
      <c r="C5128" s="16">
        <f>290.28/(1+B2)</f>
        <v>290.27999999999997</v>
      </c>
      <c r="D5128" s="17" t="s">
        <v>11</v>
      </c>
      <c r="E5128" s="17"/>
      <c r="F5128" s="18"/>
      <c r="G5128" s="36" t="str">
        <f>IF(ISNUMBER(F5128),C5128*F5128,"")</f>
        <v/>
      </c>
    </row>
    <row r="5129" spans="1:7" ht="12" customHeight="1" outlineLevel="2" x14ac:dyDescent="0.2">
      <c r="A5129" s="14" t="s">
        <v>10102</v>
      </c>
      <c r="B5129" s="15" t="s">
        <v>10103</v>
      </c>
      <c r="C5129" s="16">
        <f>290.28/(1+B2)</f>
        <v>290.27999999999997</v>
      </c>
      <c r="D5129" s="17" t="s">
        <v>11</v>
      </c>
      <c r="E5129" s="17"/>
      <c r="F5129" s="18"/>
      <c r="G5129" s="36" t="str">
        <f>IF(ISNUMBER(F5129),C5129*F5129,"")</f>
        <v/>
      </c>
    </row>
    <row r="5130" spans="1:7" ht="12" customHeight="1" outlineLevel="2" x14ac:dyDescent="0.2">
      <c r="A5130" s="14" t="s">
        <v>10104</v>
      </c>
      <c r="B5130" s="15" t="s">
        <v>10105</v>
      </c>
      <c r="C5130" s="16">
        <f>290.28/(1+B2)</f>
        <v>290.27999999999997</v>
      </c>
      <c r="D5130" s="17" t="s">
        <v>11</v>
      </c>
      <c r="E5130" s="17"/>
      <c r="F5130" s="18"/>
      <c r="G5130" s="36" t="str">
        <f>IF(ISNUMBER(F5130),C5130*F5130,"")</f>
        <v/>
      </c>
    </row>
    <row r="5131" spans="1:7" ht="12" customHeight="1" outlineLevel="2" x14ac:dyDescent="0.2">
      <c r="A5131" s="14" t="s">
        <v>10106</v>
      </c>
      <c r="B5131" s="15" t="s">
        <v>10107</v>
      </c>
      <c r="C5131" s="16">
        <f>167.36/(1+B2)</f>
        <v>167.36</v>
      </c>
      <c r="D5131" s="17" t="s">
        <v>11</v>
      </c>
      <c r="E5131" s="17"/>
      <c r="F5131" s="18"/>
      <c r="G5131" s="36" t="str">
        <f>IF(ISNUMBER(F5131),C5131*F5131,"")</f>
        <v/>
      </c>
    </row>
    <row r="5132" spans="1:7" ht="12" customHeight="1" outlineLevel="2" x14ac:dyDescent="0.2">
      <c r="A5132" s="14" t="s">
        <v>10108</v>
      </c>
      <c r="B5132" s="15" t="s">
        <v>10109</v>
      </c>
      <c r="C5132" s="16">
        <f>32.84/(1+B2)</f>
        <v>32.840000000000003</v>
      </c>
      <c r="D5132" s="17" t="s">
        <v>11</v>
      </c>
      <c r="E5132" s="17"/>
      <c r="F5132" s="18"/>
      <c r="G5132" s="36" t="str">
        <f>IF(ISNUMBER(F5132),C5132*F5132,"")</f>
        <v/>
      </c>
    </row>
    <row r="5133" spans="1:7" ht="12" customHeight="1" outlineLevel="2" x14ac:dyDescent="0.2">
      <c r="A5133" s="14" t="s">
        <v>10110</v>
      </c>
      <c r="B5133" s="15" t="s">
        <v>10111</v>
      </c>
      <c r="C5133" s="16">
        <f>44.31/(1+B2)</f>
        <v>44.31</v>
      </c>
      <c r="D5133" s="17"/>
      <c r="E5133" s="17" t="s">
        <v>11</v>
      </c>
      <c r="F5133" s="18"/>
      <c r="G5133" s="36" t="str">
        <f>IF(ISNUMBER(F5133),C5133*F5133,"")</f>
        <v/>
      </c>
    </row>
    <row r="5134" spans="1:7" ht="12" customHeight="1" outlineLevel="2" x14ac:dyDescent="0.2">
      <c r="A5134" s="14" t="s">
        <v>10112</v>
      </c>
      <c r="B5134" s="15" t="s">
        <v>10113</v>
      </c>
      <c r="C5134" s="16">
        <f>33/(1+B2)</f>
        <v>33</v>
      </c>
      <c r="D5134" s="17"/>
      <c r="E5134" s="17" t="s">
        <v>11</v>
      </c>
      <c r="F5134" s="18"/>
      <c r="G5134" s="36" t="str">
        <f>IF(ISNUMBER(F5134),C5134*F5134,"")</f>
        <v/>
      </c>
    </row>
    <row r="5135" spans="1:7" ht="12" customHeight="1" outlineLevel="2" x14ac:dyDescent="0.2">
      <c r="A5135" s="14" t="s">
        <v>10114</v>
      </c>
      <c r="B5135" s="15" t="s">
        <v>10115</v>
      </c>
      <c r="C5135" s="16">
        <f>40/(1+B2)</f>
        <v>40</v>
      </c>
      <c r="D5135" s="17" t="s">
        <v>14</v>
      </c>
      <c r="E5135" s="17"/>
      <c r="F5135" s="18"/>
      <c r="G5135" s="36" t="str">
        <f>IF(ISNUMBER(F5135),C5135*F5135,"")</f>
        <v/>
      </c>
    </row>
    <row r="5136" spans="1:7" ht="12" customHeight="1" outlineLevel="2" x14ac:dyDescent="0.2">
      <c r="A5136" s="14" t="s">
        <v>10116</v>
      </c>
      <c r="B5136" s="15" t="s">
        <v>10117</v>
      </c>
      <c r="C5136" s="16">
        <f>13.06/(1+B2)</f>
        <v>13.06</v>
      </c>
      <c r="D5136" s="17"/>
      <c r="E5136" s="17" t="s">
        <v>11</v>
      </c>
      <c r="F5136" s="18"/>
      <c r="G5136" s="36" t="str">
        <f>IF(ISNUMBER(F5136),C5136*F5136,"")</f>
        <v/>
      </c>
    </row>
    <row r="5137" spans="1:7" ht="12" customHeight="1" outlineLevel="2" x14ac:dyDescent="0.2">
      <c r="A5137" s="14" t="s">
        <v>10118</v>
      </c>
      <c r="B5137" s="15" t="s">
        <v>10119</v>
      </c>
      <c r="C5137" s="16">
        <f>12.79/(1+B2)</f>
        <v>12.79</v>
      </c>
      <c r="D5137" s="17"/>
      <c r="E5137" s="17" t="s">
        <v>11</v>
      </c>
      <c r="F5137" s="18"/>
      <c r="G5137" s="36" t="str">
        <f>IF(ISNUMBER(F5137),C5137*F5137,"")</f>
        <v/>
      </c>
    </row>
    <row r="5138" spans="1:7" ht="12" customHeight="1" outlineLevel="2" x14ac:dyDescent="0.2">
      <c r="A5138" s="14" t="s">
        <v>10120</v>
      </c>
      <c r="B5138" s="15" t="s">
        <v>10121</v>
      </c>
      <c r="C5138" s="16">
        <f>13/(1+B2)</f>
        <v>13</v>
      </c>
      <c r="D5138" s="17"/>
      <c r="E5138" s="17" t="s">
        <v>14</v>
      </c>
      <c r="F5138" s="18"/>
      <c r="G5138" s="36" t="str">
        <f>IF(ISNUMBER(F5138),C5138*F5138,"")</f>
        <v/>
      </c>
    </row>
    <row r="5139" spans="1:7" ht="12" customHeight="1" outlineLevel="2" x14ac:dyDescent="0.2">
      <c r="A5139" s="14" t="s">
        <v>10122</v>
      </c>
      <c r="B5139" s="15" t="s">
        <v>10123</v>
      </c>
      <c r="C5139" s="16">
        <f>15.76/(1+B2)</f>
        <v>15.76</v>
      </c>
      <c r="D5139" s="17"/>
      <c r="E5139" s="17" t="s">
        <v>14</v>
      </c>
      <c r="F5139" s="18"/>
      <c r="G5139" s="36" t="str">
        <f>IF(ISNUMBER(F5139),C5139*F5139,"")</f>
        <v/>
      </c>
    </row>
    <row r="5140" spans="1:7" ht="12" customHeight="1" outlineLevel="2" x14ac:dyDescent="0.2">
      <c r="A5140" s="14" t="s">
        <v>10124</v>
      </c>
      <c r="B5140" s="15" t="s">
        <v>10125</v>
      </c>
      <c r="C5140" s="16">
        <f>14.96/(1+B2)</f>
        <v>14.96</v>
      </c>
      <c r="D5140" s="17" t="s">
        <v>11</v>
      </c>
      <c r="E5140" s="17" t="s">
        <v>11</v>
      </c>
      <c r="F5140" s="18"/>
      <c r="G5140" s="36" t="str">
        <f>IF(ISNUMBER(F5140),C5140*F5140,"")</f>
        <v/>
      </c>
    </row>
    <row r="5141" spans="1:7" ht="12" customHeight="1" outlineLevel="2" x14ac:dyDescent="0.2">
      <c r="A5141" s="14" t="s">
        <v>10126</v>
      </c>
      <c r="B5141" s="15" t="s">
        <v>10127</v>
      </c>
      <c r="C5141" s="16">
        <f>26.78/(1+B2)</f>
        <v>26.78</v>
      </c>
      <c r="D5141" s="17" t="s">
        <v>11</v>
      </c>
      <c r="E5141" s="17"/>
      <c r="F5141" s="18"/>
      <c r="G5141" s="36" t="str">
        <f>IF(ISNUMBER(F5141),C5141*F5141,"")</f>
        <v/>
      </c>
    </row>
    <row r="5142" spans="1:7" ht="12" customHeight="1" outlineLevel="2" x14ac:dyDescent="0.2">
      <c r="A5142" s="14" t="s">
        <v>10128</v>
      </c>
      <c r="B5142" s="15" t="s">
        <v>10129</v>
      </c>
      <c r="C5142" s="16">
        <f>31.41/(1+B2)</f>
        <v>31.41</v>
      </c>
      <c r="D5142" s="17" t="s">
        <v>14</v>
      </c>
      <c r="E5142" s="17"/>
      <c r="F5142" s="18"/>
      <c r="G5142" s="36" t="str">
        <f>IF(ISNUMBER(F5142),C5142*F5142,"")</f>
        <v/>
      </c>
    </row>
    <row r="5143" spans="1:7" ht="12" customHeight="1" outlineLevel="2" x14ac:dyDescent="0.2">
      <c r="A5143" s="14" t="s">
        <v>10130</v>
      </c>
      <c r="B5143" s="15" t="s">
        <v>10131</v>
      </c>
      <c r="C5143" s="16">
        <f>27.56/(1+B2)</f>
        <v>27.56</v>
      </c>
      <c r="D5143" s="17" t="s">
        <v>14</v>
      </c>
      <c r="E5143" s="17" t="s">
        <v>11</v>
      </c>
      <c r="F5143" s="18"/>
      <c r="G5143" s="36" t="str">
        <f>IF(ISNUMBER(F5143),C5143*F5143,"")</f>
        <v/>
      </c>
    </row>
    <row r="5144" spans="1:7" ht="12" customHeight="1" outlineLevel="2" x14ac:dyDescent="0.2">
      <c r="A5144" s="14" t="s">
        <v>10132</v>
      </c>
      <c r="B5144" s="15" t="s">
        <v>10133</v>
      </c>
      <c r="C5144" s="16">
        <f>14.14/(1+B2)</f>
        <v>14.14</v>
      </c>
      <c r="D5144" s="17" t="s">
        <v>11</v>
      </c>
      <c r="E5144" s="17"/>
      <c r="F5144" s="18"/>
      <c r="G5144" s="36" t="str">
        <f>IF(ISNUMBER(F5144),C5144*F5144,"")</f>
        <v/>
      </c>
    </row>
    <row r="5145" spans="1:7" ht="12" customHeight="1" outlineLevel="2" x14ac:dyDescent="0.2">
      <c r="A5145" s="14" t="s">
        <v>10134</v>
      </c>
      <c r="B5145" s="15" t="s">
        <v>10135</v>
      </c>
      <c r="C5145" s="16">
        <f>24.76/(1+B2)</f>
        <v>24.76</v>
      </c>
      <c r="D5145" s="17"/>
      <c r="E5145" s="17" t="s">
        <v>11</v>
      </c>
      <c r="F5145" s="18"/>
      <c r="G5145" s="36" t="str">
        <f>IF(ISNUMBER(F5145),C5145*F5145,"")</f>
        <v/>
      </c>
    </row>
    <row r="5146" spans="1:7" ht="12" customHeight="1" outlineLevel="2" x14ac:dyDescent="0.2">
      <c r="A5146" s="14" t="s">
        <v>10136</v>
      </c>
      <c r="B5146" s="15" t="s">
        <v>10137</v>
      </c>
      <c r="C5146" s="16">
        <f>37.79/(1+B2)</f>
        <v>37.79</v>
      </c>
      <c r="D5146" s="17" t="s">
        <v>14</v>
      </c>
      <c r="E5146" s="17"/>
      <c r="F5146" s="18"/>
      <c r="G5146" s="36" t="str">
        <f>IF(ISNUMBER(F5146),C5146*F5146,"")</f>
        <v/>
      </c>
    </row>
    <row r="5147" spans="1:7" ht="12" customHeight="1" outlineLevel="2" x14ac:dyDescent="0.2">
      <c r="A5147" s="14" t="s">
        <v>10138</v>
      </c>
      <c r="B5147" s="15" t="s">
        <v>10139</v>
      </c>
      <c r="C5147" s="16">
        <f>35.95/(1+B2)</f>
        <v>35.950000000000003</v>
      </c>
      <c r="D5147" s="17" t="s">
        <v>14</v>
      </c>
      <c r="E5147" s="17"/>
      <c r="F5147" s="18"/>
      <c r="G5147" s="36" t="str">
        <f>IF(ISNUMBER(F5147),C5147*F5147,"")</f>
        <v/>
      </c>
    </row>
    <row r="5148" spans="1:7" s="1" customFormat="1" ht="15.95" customHeight="1" outlineLevel="1" x14ac:dyDescent="0.25">
      <c r="A5148" s="11"/>
      <c r="B5148" s="12" t="s">
        <v>10140</v>
      </c>
      <c r="C5148" s="13"/>
      <c r="D5148" s="13"/>
      <c r="E5148" s="13"/>
      <c r="F5148" s="13"/>
      <c r="G5148" s="35"/>
    </row>
    <row r="5149" spans="1:7" ht="12" customHeight="1" outlineLevel="2" x14ac:dyDescent="0.2">
      <c r="A5149" s="14" t="s">
        <v>10141</v>
      </c>
      <c r="B5149" s="15" t="s">
        <v>10142</v>
      </c>
      <c r="C5149" s="16">
        <f>68.68/(1+B2)</f>
        <v>68.680000000000007</v>
      </c>
      <c r="D5149" s="17" t="s">
        <v>14</v>
      </c>
      <c r="E5149" s="17" t="s">
        <v>53</v>
      </c>
      <c r="F5149" s="18"/>
      <c r="G5149" s="36" t="str">
        <f>IF(ISNUMBER(F5149),C5149*F5149,"")</f>
        <v/>
      </c>
    </row>
    <row r="5150" spans="1:7" ht="12" customHeight="1" outlineLevel="2" x14ac:dyDescent="0.2">
      <c r="A5150" s="14" t="s">
        <v>10143</v>
      </c>
      <c r="B5150" s="15" t="s">
        <v>10144</v>
      </c>
      <c r="C5150" s="16">
        <f>156.6/(1+B2)</f>
        <v>156.6</v>
      </c>
      <c r="D5150" s="17" t="s">
        <v>11</v>
      </c>
      <c r="E5150" s="17"/>
      <c r="F5150" s="18"/>
      <c r="G5150" s="36" t="str">
        <f>IF(ISNUMBER(F5150),C5150*F5150,"")</f>
        <v/>
      </c>
    </row>
    <row r="5151" spans="1:7" ht="12" customHeight="1" outlineLevel="2" x14ac:dyDescent="0.2">
      <c r="A5151" s="14" t="s">
        <v>10145</v>
      </c>
      <c r="B5151" s="15" t="s">
        <v>10146</v>
      </c>
      <c r="C5151" s="16">
        <f>296.83/(1+B2)</f>
        <v>296.83</v>
      </c>
      <c r="D5151" s="17" t="s">
        <v>11</v>
      </c>
      <c r="E5151" s="17"/>
      <c r="F5151" s="18"/>
      <c r="G5151" s="36" t="str">
        <f>IF(ISNUMBER(F5151),C5151*F5151,"")</f>
        <v/>
      </c>
    </row>
    <row r="5152" spans="1:7" ht="12" customHeight="1" outlineLevel="2" x14ac:dyDescent="0.2">
      <c r="A5152" s="14" t="s">
        <v>10147</v>
      </c>
      <c r="B5152" s="15" t="s">
        <v>10148</v>
      </c>
      <c r="C5152" s="16">
        <f>229.65/(1+B2)</f>
        <v>229.65</v>
      </c>
      <c r="D5152" s="17" t="s">
        <v>14</v>
      </c>
      <c r="E5152" s="17"/>
      <c r="F5152" s="18"/>
      <c r="G5152" s="36" t="str">
        <f>IF(ISNUMBER(F5152),C5152*F5152,"")</f>
        <v/>
      </c>
    </row>
    <row r="5153" spans="1:7" ht="12" customHeight="1" outlineLevel="2" x14ac:dyDescent="0.2">
      <c r="A5153" s="14" t="s">
        <v>10149</v>
      </c>
      <c r="B5153" s="15" t="s">
        <v>10150</v>
      </c>
      <c r="C5153" s="16">
        <f>172.13/(1+B2)</f>
        <v>172.13</v>
      </c>
      <c r="D5153" s="17" t="s">
        <v>11</v>
      </c>
      <c r="E5153" s="17"/>
      <c r="F5153" s="18"/>
      <c r="G5153" s="36" t="str">
        <f>IF(ISNUMBER(F5153),C5153*F5153,"")</f>
        <v/>
      </c>
    </row>
    <row r="5154" spans="1:7" ht="12" customHeight="1" outlineLevel="2" x14ac:dyDescent="0.2">
      <c r="A5154" s="14" t="s">
        <v>10151</v>
      </c>
      <c r="B5154" s="15" t="s">
        <v>10152</v>
      </c>
      <c r="C5154" s="16">
        <f>198.38/(1+B2)</f>
        <v>198.38</v>
      </c>
      <c r="D5154" s="17" t="s">
        <v>11</v>
      </c>
      <c r="E5154" s="17"/>
      <c r="F5154" s="18"/>
      <c r="G5154" s="36" t="str">
        <f>IF(ISNUMBER(F5154),C5154*F5154,"")</f>
        <v/>
      </c>
    </row>
    <row r="5155" spans="1:7" ht="12" customHeight="1" outlineLevel="2" x14ac:dyDescent="0.2">
      <c r="A5155" s="14" t="s">
        <v>10153</v>
      </c>
      <c r="B5155" s="15" t="s">
        <v>10154</v>
      </c>
      <c r="C5155" s="16">
        <f>87.04/(1+B2)</f>
        <v>87.04</v>
      </c>
      <c r="D5155" s="17" t="s">
        <v>11</v>
      </c>
      <c r="E5155" s="17"/>
      <c r="F5155" s="18"/>
      <c r="G5155" s="36" t="str">
        <f>IF(ISNUMBER(F5155),C5155*F5155,"")</f>
        <v/>
      </c>
    </row>
    <row r="5156" spans="1:7" ht="12" customHeight="1" outlineLevel="2" x14ac:dyDescent="0.2">
      <c r="A5156" s="14" t="s">
        <v>10155</v>
      </c>
      <c r="B5156" s="15" t="s">
        <v>10156</v>
      </c>
      <c r="C5156" s="16">
        <f>51.99/(1+B2)</f>
        <v>51.99</v>
      </c>
      <c r="D5156" s="17" t="s">
        <v>11</v>
      </c>
      <c r="E5156" s="17"/>
      <c r="F5156" s="18"/>
      <c r="G5156" s="36" t="str">
        <f>IF(ISNUMBER(F5156),C5156*F5156,"")</f>
        <v/>
      </c>
    </row>
    <row r="5157" spans="1:7" ht="12" customHeight="1" outlineLevel="2" x14ac:dyDescent="0.2">
      <c r="A5157" s="14" t="s">
        <v>10157</v>
      </c>
      <c r="B5157" s="15" t="s">
        <v>10158</v>
      </c>
      <c r="C5157" s="16">
        <f>74.13/(1+B2)</f>
        <v>74.13</v>
      </c>
      <c r="D5157" s="17" t="s">
        <v>11</v>
      </c>
      <c r="E5157" s="17"/>
      <c r="F5157" s="18"/>
      <c r="G5157" s="36" t="str">
        <f>IF(ISNUMBER(F5157),C5157*F5157,"")</f>
        <v/>
      </c>
    </row>
    <row r="5158" spans="1:7" ht="12" customHeight="1" outlineLevel="2" x14ac:dyDescent="0.2">
      <c r="A5158" s="14" t="s">
        <v>10159</v>
      </c>
      <c r="B5158" s="15" t="s">
        <v>10160</v>
      </c>
      <c r="C5158" s="16">
        <f>53.25/(1+B2)</f>
        <v>53.25</v>
      </c>
      <c r="D5158" s="17" t="s">
        <v>11</v>
      </c>
      <c r="E5158" s="17"/>
      <c r="F5158" s="18"/>
      <c r="G5158" s="36" t="str">
        <f>IF(ISNUMBER(F5158),C5158*F5158,"")</f>
        <v/>
      </c>
    </row>
    <row r="5159" spans="1:7" ht="12" customHeight="1" outlineLevel="2" x14ac:dyDescent="0.2">
      <c r="A5159" s="14" t="s">
        <v>10161</v>
      </c>
      <c r="B5159" s="15" t="s">
        <v>10162</v>
      </c>
      <c r="C5159" s="16">
        <f>36.37/(1+B2)</f>
        <v>36.369999999999997</v>
      </c>
      <c r="D5159" s="17" t="s">
        <v>11</v>
      </c>
      <c r="E5159" s="17"/>
      <c r="F5159" s="18"/>
      <c r="G5159" s="36" t="str">
        <f>IF(ISNUMBER(F5159),C5159*F5159,"")</f>
        <v/>
      </c>
    </row>
    <row r="5160" spans="1:7" ht="12" customHeight="1" outlineLevel="2" x14ac:dyDescent="0.2">
      <c r="A5160" s="14" t="s">
        <v>10163</v>
      </c>
      <c r="B5160" s="15" t="s">
        <v>10164</v>
      </c>
      <c r="C5160" s="16">
        <f>81.82/(1+B2)</f>
        <v>81.819999999999993</v>
      </c>
      <c r="D5160" s="17" t="s">
        <v>11</v>
      </c>
      <c r="E5160" s="17"/>
      <c r="F5160" s="18"/>
      <c r="G5160" s="36" t="str">
        <f>IF(ISNUMBER(F5160),C5160*F5160,"")</f>
        <v/>
      </c>
    </row>
    <row r="5161" spans="1:7" ht="12" customHeight="1" outlineLevel="2" x14ac:dyDescent="0.2">
      <c r="A5161" s="14" t="s">
        <v>10165</v>
      </c>
      <c r="B5161" s="15" t="s">
        <v>10166</v>
      </c>
      <c r="C5161" s="16">
        <f>81.82/(1+B2)</f>
        <v>81.819999999999993</v>
      </c>
      <c r="D5161" s="17" t="s">
        <v>11</v>
      </c>
      <c r="E5161" s="17"/>
      <c r="F5161" s="18"/>
      <c r="G5161" s="36" t="str">
        <f>IF(ISNUMBER(F5161),C5161*F5161,"")</f>
        <v/>
      </c>
    </row>
    <row r="5162" spans="1:7" ht="12" customHeight="1" outlineLevel="2" x14ac:dyDescent="0.2">
      <c r="A5162" s="14" t="s">
        <v>10167</v>
      </c>
      <c r="B5162" s="15" t="s">
        <v>10168</v>
      </c>
      <c r="C5162" s="16">
        <f>119.99/(1+B2)</f>
        <v>119.99</v>
      </c>
      <c r="D5162" s="17" t="s">
        <v>11</v>
      </c>
      <c r="E5162" s="17"/>
      <c r="F5162" s="18"/>
      <c r="G5162" s="36" t="str">
        <f>IF(ISNUMBER(F5162),C5162*F5162,"")</f>
        <v/>
      </c>
    </row>
    <row r="5163" spans="1:7" ht="12" customHeight="1" outlineLevel="2" x14ac:dyDescent="0.2">
      <c r="A5163" s="14" t="s">
        <v>10169</v>
      </c>
      <c r="B5163" s="15" t="s">
        <v>10170</v>
      </c>
      <c r="C5163" s="16">
        <f>99.49/(1+B2)</f>
        <v>99.49</v>
      </c>
      <c r="D5163" s="17" t="s">
        <v>11</v>
      </c>
      <c r="E5163" s="17"/>
      <c r="F5163" s="18"/>
      <c r="G5163" s="36" t="str">
        <f>IF(ISNUMBER(F5163),C5163*F5163,"")</f>
        <v/>
      </c>
    </row>
    <row r="5164" spans="1:7" ht="12" customHeight="1" outlineLevel="2" x14ac:dyDescent="0.2">
      <c r="A5164" s="14" t="s">
        <v>10171</v>
      </c>
      <c r="B5164" s="15" t="s">
        <v>10172</v>
      </c>
      <c r="C5164" s="16">
        <f>75.96/(1+B2)</f>
        <v>75.959999999999994</v>
      </c>
      <c r="D5164" s="17" t="s">
        <v>53</v>
      </c>
      <c r="E5164" s="17"/>
      <c r="F5164" s="18"/>
      <c r="G5164" s="36" t="str">
        <f>IF(ISNUMBER(F5164),C5164*F5164,"")</f>
        <v/>
      </c>
    </row>
    <row r="5165" spans="1:7" ht="12" customHeight="1" outlineLevel="2" x14ac:dyDescent="0.2">
      <c r="A5165" s="14" t="s">
        <v>10173</v>
      </c>
      <c r="B5165" s="15" t="s">
        <v>10174</v>
      </c>
      <c r="C5165" s="16">
        <f>44.41/(1+B2)</f>
        <v>44.41</v>
      </c>
      <c r="D5165" s="17" t="s">
        <v>11</v>
      </c>
      <c r="E5165" s="17"/>
      <c r="F5165" s="18"/>
      <c r="G5165" s="36" t="str">
        <f>IF(ISNUMBER(F5165),C5165*F5165,"")</f>
        <v/>
      </c>
    </row>
    <row r="5166" spans="1:7" ht="12" customHeight="1" outlineLevel="2" x14ac:dyDescent="0.2">
      <c r="A5166" s="14" t="s">
        <v>10175</v>
      </c>
      <c r="B5166" s="15" t="s">
        <v>10176</v>
      </c>
      <c r="C5166" s="16">
        <f>81.64/(1+B2)</f>
        <v>81.64</v>
      </c>
      <c r="D5166" s="17" t="s">
        <v>11</v>
      </c>
      <c r="E5166" s="17"/>
      <c r="F5166" s="18"/>
      <c r="G5166" s="36" t="str">
        <f>IF(ISNUMBER(F5166),C5166*F5166,"")</f>
        <v/>
      </c>
    </row>
    <row r="5167" spans="1:7" ht="12" customHeight="1" outlineLevel="2" x14ac:dyDescent="0.2">
      <c r="A5167" s="14" t="s">
        <v>10177</v>
      </c>
      <c r="B5167" s="15" t="s">
        <v>10178</v>
      </c>
      <c r="C5167" s="16">
        <f>68.23/(1+B2)</f>
        <v>68.23</v>
      </c>
      <c r="D5167" s="17" t="s">
        <v>14</v>
      </c>
      <c r="E5167" s="17"/>
      <c r="F5167" s="18"/>
      <c r="G5167" s="36" t="str">
        <f>IF(ISNUMBER(F5167),C5167*F5167,"")</f>
        <v/>
      </c>
    </row>
    <row r="5168" spans="1:7" ht="12" customHeight="1" outlineLevel="2" x14ac:dyDescent="0.2">
      <c r="A5168" s="14" t="s">
        <v>10179</v>
      </c>
      <c r="B5168" s="15" t="s">
        <v>10180</v>
      </c>
      <c r="C5168" s="16">
        <f>51.2/(1+B2)</f>
        <v>51.2</v>
      </c>
      <c r="D5168" s="17" t="s">
        <v>14</v>
      </c>
      <c r="E5168" s="17"/>
      <c r="F5168" s="18"/>
      <c r="G5168" s="36" t="str">
        <f>IF(ISNUMBER(F5168),C5168*F5168,"")</f>
        <v/>
      </c>
    </row>
    <row r="5169" spans="1:7" ht="12" customHeight="1" outlineLevel="2" x14ac:dyDescent="0.2">
      <c r="A5169" s="14" t="s">
        <v>10181</v>
      </c>
      <c r="B5169" s="15" t="s">
        <v>10182</v>
      </c>
      <c r="C5169" s="16">
        <f>50.96/(1+B2)</f>
        <v>50.96</v>
      </c>
      <c r="D5169" s="17" t="s">
        <v>11</v>
      </c>
      <c r="E5169" s="17"/>
      <c r="F5169" s="18"/>
      <c r="G5169" s="36" t="str">
        <f>IF(ISNUMBER(F5169),C5169*F5169,"")</f>
        <v/>
      </c>
    </row>
    <row r="5170" spans="1:7" ht="12" customHeight="1" outlineLevel="2" x14ac:dyDescent="0.2">
      <c r="A5170" s="14" t="s">
        <v>10183</v>
      </c>
      <c r="B5170" s="15" t="s">
        <v>10184</v>
      </c>
      <c r="C5170" s="16">
        <f>110.23/(1+B2)</f>
        <v>110.23</v>
      </c>
      <c r="D5170" s="17" t="s">
        <v>11</v>
      </c>
      <c r="E5170" s="17"/>
      <c r="F5170" s="18"/>
      <c r="G5170" s="36" t="str">
        <f>IF(ISNUMBER(F5170),C5170*F5170,"")</f>
        <v/>
      </c>
    </row>
    <row r="5171" spans="1:7" ht="12" customHeight="1" outlineLevel="2" x14ac:dyDescent="0.2">
      <c r="A5171" s="14" t="s">
        <v>10185</v>
      </c>
      <c r="B5171" s="15" t="s">
        <v>10186</v>
      </c>
      <c r="C5171" s="16">
        <f>71.64/(1+B2)</f>
        <v>71.64</v>
      </c>
      <c r="D5171" s="17" t="s">
        <v>14</v>
      </c>
      <c r="E5171" s="17"/>
      <c r="F5171" s="18"/>
      <c r="G5171" s="36" t="str">
        <f>IF(ISNUMBER(F5171),C5171*F5171,"")</f>
        <v/>
      </c>
    </row>
    <row r="5172" spans="1:7" ht="12" customHeight="1" outlineLevel="2" x14ac:dyDescent="0.2">
      <c r="A5172" s="14" t="s">
        <v>10187</v>
      </c>
      <c r="B5172" s="15" t="s">
        <v>10188</v>
      </c>
      <c r="C5172" s="16">
        <f>48.44/(1+B2)</f>
        <v>48.44</v>
      </c>
      <c r="D5172" s="17" t="s">
        <v>11</v>
      </c>
      <c r="E5172" s="17"/>
      <c r="F5172" s="18"/>
      <c r="G5172" s="36" t="str">
        <f>IF(ISNUMBER(F5172),C5172*F5172,"")</f>
        <v/>
      </c>
    </row>
    <row r="5173" spans="1:7" ht="12" customHeight="1" outlineLevel="2" x14ac:dyDescent="0.2">
      <c r="A5173" s="14" t="s">
        <v>10189</v>
      </c>
      <c r="B5173" s="15" t="s">
        <v>10190</v>
      </c>
      <c r="C5173" s="16">
        <f>39.84/(1+B2)</f>
        <v>39.840000000000003</v>
      </c>
      <c r="D5173" s="17" t="s">
        <v>11</v>
      </c>
      <c r="E5173" s="17"/>
      <c r="F5173" s="18"/>
      <c r="G5173" s="36" t="str">
        <f>IF(ISNUMBER(F5173),C5173*F5173,"")</f>
        <v/>
      </c>
    </row>
    <row r="5174" spans="1:7" ht="12" customHeight="1" outlineLevel="2" x14ac:dyDescent="0.2">
      <c r="A5174" s="14" t="s">
        <v>10191</v>
      </c>
      <c r="B5174" s="15" t="s">
        <v>10192</v>
      </c>
      <c r="C5174" s="16">
        <f>62.45/(1+B2)</f>
        <v>62.45</v>
      </c>
      <c r="D5174" s="17" t="s">
        <v>14</v>
      </c>
      <c r="E5174" s="17" t="s">
        <v>14</v>
      </c>
      <c r="F5174" s="18"/>
      <c r="G5174" s="36" t="str">
        <f>IF(ISNUMBER(F5174),C5174*F5174,"")</f>
        <v/>
      </c>
    </row>
    <row r="5175" spans="1:7" ht="12" customHeight="1" outlineLevel="2" x14ac:dyDescent="0.2">
      <c r="A5175" s="14" t="s">
        <v>10193</v>
      </c>
      <c r="B5175" s="15" t="s">
        <v>10194</v>
      </c>
      <c r="C5175" s="16">
        <f>269.01/(1+B2)</f>
        <v>269.01</v>
      </c>
      <c r="D5175" s="17" t="s">
        <v>14</v>
      </c>
      <c r="E5175" s="17"/>
      <c r="F5175" s="18"/>
      <c r="G5175" s="36" t="str">
        <f>IF(ISNUMBER(F5175),C5175*F5175,"")</f>
        <v/>
      </c>
    </row>
    <row r="5176" spans="1:7" ht="12" customHeight="1" outlineLevel="2" x14ac:dyDescent="0.2">
      <c r="A5176" s="14" t="s">
        <v>10195</v>
      </c>
      <c r="B5176" s="15" t="s">
        <v>10196</v>
      </c>
      <c r="C5176" s="16">
        <f>269.01/(1+B2)</f>
        <v>269.01</v>
      </c>
      <c r="D5176" s="17" t="s">
        <v>11</v>
      </c>
      <c r="E5176" s="17"/>
      <c r="F5176" s="18"/>
      <c r="G5176" s="36" t="str">
        <f>IF(ISNUMBER(F5176),C5176*F5176,"")</f>
        <v/>
      </c>
    </row>
    <row r="5177" spans="1:7" s="1" customFormat="1" ht="15.95" customHeight="1" outlineLevel="1" x14ac:dyDescent="0.25">
      <c r="A5177" s="11"/>
      <c r="B5177" s="12" t="s">
        <v>10197</v>
      </c>
      <c r="C5177" s="13"/>
      <c r="D5177" s="13"/>
      <c r="E5177" s="13"/>
      <c r="F5177" s="13"/>
      <c r="G5177" s="35"/>
    </row>
    <row r="5178" spans="1:7" ht="12" customHeight="1" outlineLevel="2" x14ac:dyDescent="0.2">
      <c r="A5178" s="14" t="s">
        <v>10198</v>
      </c>
      <c r="B5178" s="15" t="s">
        <v>10199</v>
      </c>
      <c r="C5178" s="16">
        <f>5.18/(1+B2)</f>
        <v>5.18</v>
      </c>
      <c r="D5178" s="17" t="s">
        <v>106</v>
      </c>
      <c r="E5178" s="17"/>
      <c r="F5178" s="18"/>
      <c r="G5178" s="36" t="str">
        <f>IF(ISNUMBER(F5178),C5178*F5178,"")</f>
        <v/>
      </c>
    </row>
    <row r="5179" spans="1:7" ht="12" customHeight="1" outlineLevel="2" x14ac:dyDescent="0.2">
      <c r="A5179" s="14" t="s">
        <v>10200</v>
      </c>
      <c r="B5179" s="15" t="s">
        <v>10201</v>
      </c>
      <c r="C5179" s="16">
        <f>5.4/(1+B2)</f>
        <v>5.4</v>
      </c>
      <c r="D5179" s="17"/>
      <c r="E5179" s="17" t="s">
        <v>53</v>
      </c>
      <c r="F5179" s="18"/>
      <c r="G5179" s="36" t="str">
        <f>IF(ISNUMBER(F5179),C5179*F5179,"")</f>
        <v/>
      </c>
    </row>
    <row r="5180" spans="1:7" ht="12" customHeight="1" outlineLevel="2" x14ac:dyDescent="0.2">
      <c r="A5180" s="14" t="s">
        <v>10202</v>
      </c>
      <c r="B5180" s="15" t="s">
        <v>10203</v>
      </c>
      <c r="C5180" s="16">
        <f>5.4/(1+B2)</f>
        <v>5.4</v>
      </c>
      <c r="D5180" s="17" t="s">
        <v>14</v>
      </c>
      <c r="E5180" s="17" t="s">
        <v>14</v>
      </c>
      <c r="F5180" s="18"/>
      <c r="G5180" s="36" t="str">
        <f>IF(ISNUMBER(F5180),C5180*F5180,"")</f>
        <v/>
      </c>
    </row>
    <row r="5181" spans="1:7" ht="12" customHeight="1" outlineLevel="2" x14ac:dyDescent="0.2">
      <c r="A5181" s="14" t="s">
        <v>10204</v>
      </c>
      <c r="B5181" s="15" t="s">
        <v>10205</v>
      </c>
      <c r="C5181" s="16">
        <f>5.4/(1+B2)</f>
        <v>5.4</v>
      </c>
      <c r="D5181" s="17" t="s">
        <v>106</v>
      </c>
      <c r="E5181" s="17"/>
      <c r="F5181" s="18"/>
      <c r="G5181" s="36" t="str">
        <f>IF(ISNUMBER(F5181),C5181*F5181,"")</f>
        <v/>
      </c>
    </row>
    <row r="5182" spans="1:7" ht="12" customHeight="1" outlineLevel="2" x14ac:dyDescent="0.2">
      <c r="A5182" s="14" t="s">
        <v>10206</v>
      </c>
      <c r="B5182" s="15" t="s">
        <v>10207</v>
      </c>
      <c r="C5182" s="16">
        <f>5.4/(1+B2)</f>
        <v>5.4</v>
      </c>
      <c r="D5182" s="17" t="s">
        <v>106</v>
      </c>
      <c r="E5182" s="17"/>
      <c r="F5182" s="18"/>
      <c r="G5182" s="36" t="str">
        <f>IF(ISNUMBER(F5182),C5182*F5182,"")</f>
        <v/>
      </c>
    </row>
    <row r="5183" spans="1:7" ht="12" customHeight="1" outlineLevel="2" x14ac:dyDescent="0.2">
      <c r="A5183" s="14" t="s">
        <v>10208</v>
      </c>
      <c r="B5183" s="15" t="s">
        <v>10209</v>
      </c>
      <c r="C5183" s="16">
        <f>5.4/(1+B2)</f>
        <v>5.4</v>
      </c>
      <c r="D5183" s="17" t="s">
        <v>106</v>
      </c>
      <c r="E5183" s="17"/>
      <c r="F5183" s="18"/>
      <c r="G5183" s="36" t="str">
        <f>IF(ISNUMBER(F5183),C5183*F5183,"")</f>
        <v/>
      </c>
    </row>
    <row r="5184" spans="1:7" ht="12" customHeight="1" outlineLevel="2" x14ac:dyDescent="0.2">
      <c r="A5184" s="14" t="s">
        <v>10210</v>
      </c>
      <c r="B5184" s="15" t="s">
        <v>10211</v>
      </c>
      <c r="C5184" s="16">
        <f>5.4/(1+B2)</f>
        <v>5.4</v>
      </c>
      <c r="D5184" s="17" t="s">
        <v>106</v>
      </c>
      <c r="E5184" s="17"/>
      <c r="F5184" s="18"/>
      <c r="G5184" s="36" t="str">
        <f>IF(ISNUMBER(F5184),C5184*F5184,"")</f>
        <v/>
      </c>
    </row>
    <row r="5185" spans="1:7" ht="12" customHeight="1" outlineLevel="2" x14ac:dyDescent="0.2">
      <c r="A5185" s="14" t="s">
        <v>10212</v>
      </c>
      <c r="B5185" s="15" t="s">
        <v>10213</v>
      </c>
      <c r="C5185" s="16">
        <f>5.18/(1+B2)</f>
        <v>5.18</v>
      </c>
      <c r="D5185" s="17" t="s">
        <v>11</v>
      </c>
      <c r="E5185" s="17"/>
      <c r="F5185" s="18"/>
      <c r="G5185" s="36" t="str">
        <f>IF(ISNUMBER(F5185),C5185*F5185,"")</f>
        <v/>
      </c>
    </row>
    <row r="5186" spans="1:7" ht="12" customHeight="1" outlineLevel="2" x14ac:dyDescent="0.2">
      <c r="A5186" s="14" t="s">
        <v>10214</v>
      </c>
      <c r="B5186" s="15" t="s">
        <v>10215</v>
      </c>
      <c r="C5186" s="16">
        <f>5.4/(1+B2)</f>
        <v>5.4</v>
      </c>
      <c r="D5186" s="17" t="s">
        <v>14</v>
      </c>
      <c r="E5186" s="17"/>
      <c r="F5186" s="18"/>
      <c r="G5186" s="36" t="str">
        <f>IF(ISNUMBER(F5186),C5186*F5186,"")</f>
        <v/>
      </c>
    </row>
    <row r="5187" spans="1:7" ht="12" customHeight="1" outlineLevel="2" x14ac:dyDescent="0.2">
      <c r="A5187" s="14" t="s">
        <v>10216</v>
      </c>
      <c r="B5187" s="15" t="s">
        <v>10217</v>
      </c>
      <c r="C5187" s="16">
        <f>5.18/(1+B2)</f>
        <v>5.18</v>
      </c>
      <c r="D5187" s="17" t="s">
        <v>11</v>
      </c>
      <c r="E5187" s="17"/>
      <c r="F5187" s="18"/>
      <c r="G5187" s="36" t="str">
        <f>IF(ISNUMBER(F5187),C5187*F5187,"")</f>
        <v/>
      </c>
    </row>
    <row r="5188" spans="1:7" ht="12" customHeight="1" outlineLevel="2" x14ac:dyDescent="0.2">
      <c r="A5188" s="14" t="s">
        <v>10218</v>
      </c>
      <c r="B5188" s="15" t="s">
        <v>10219</v>
      </c>
      <c r="C5188" s="16">
        <f>5.73/(1+B2)</f>
        <v>5.73</v>
      </c>
      <c r="D5188" s="17" t="s">
        <v>11</v>
      </c>
      <c r="E5188" s="17"/>
      <c r="F5188" s="18"/>
      <c r="G5188" s="36" t="str">
        <f>IF(ISNUMBER(F5188),C5188*F5188,"")</f>
        <v/>
      </c>
    </row>
    <row r="5189" spans="1:7" ht="12" customHeight="1" outlineLevel="2" x14ac:dyDescent="0.2">
      <c r="A5189" s="14" t="s">
        <v>10220</v>
      </c>
      <c r="B5189" s="15" t="s">
        <v>10221</v>
      </c>
      <c r="C5189" s="16">
        <f>6.24/(1+B2)</f>
        <v>6.24</v>
      </c>
      <c r="D5189" s="17" t="s">
        <v>106</v>
      </c>
      <c r="E5189" s="17"/>
      <c r="F5189" s="18"/>
      <c r="G5189" s="36" t="str">
        <f>IF(ISNUMBER(F5189),C5189*F5189,"")</f>
        <v/>
      </c>
    </row>
    <row r="5190" spans="1:7" ht="12" customHeight="1" outlineLevel="2" x14ac:dyDescent="0.2">
      <c r="A5190" s="14" t="s">
        <v>10222</v>
      </c>
      <c r="B5190" s="15" t="s">
        <v>10223</v>
      </c>
      <c r="C5190" s="16">
        <f>5.73/(1+B2)</f>
        <v>5.73</v>
      </c>
      <c r="D5190" s="17" t="s">
        <v>11</v>
      </c>
      <c r="E5190" s="17"/>
      <c r="F5190" s="18"/>
      <c r="G5190" s="36" t="str">
        <f>IF(ISNUMBER(F5190),C5190*F5190,"")</f>
        <v/>
      </c>
    </row>
    <row r="5191" spans="1:7" ht="12" customHeight="1" outlineLevel="2" x14ac:dyDescent="0.2">
      <c r="A5191" s="14" t="s">
        <v>10224</v>
      </c>
      <c r="B5191" s="15" t="s">
        <v>10225</v>
      </c>
      <c r="C5191" s="16">
        <f>5.73/(1+B2)</f>
        <v>5.73</v>
      </c>
      <c r="D5191" s="17" t="s">
        <v>53</v>
      </c>
      <c r="E5191" s="17"/>
      <c r="F5191" s="18"/>
      <c r="G5191" s="36" t="str">
        <f>IF(ISNUMBER(F5191),C5191*F5191,"")</f>
        <v/>
      </c>
    </row>
    <row r="5192" spans="1:7" ht="12" customHeight="1" outlineLevel="2" x14ac:dyDescent="0.2">
      <c r="A5192" s="14" t="s">
        <v>10226</v>
      </c>
      <c r="B5192" s="15" t="s">
        <v>10227</v>
      </c>
      <c r="C5192" s="16">
        <f>6.3/(1+B2)</f>
        <v>6.3</v>
      </c>
      <c r="D5192" s="17" t="s">
        <v>14</v>
      </c>
      <c r="E5192" s="17"/>
      <c r="F5192" s="18"/>
      <c r="G5192" s="36" t="str">
        <f>IF(ISNUMBER(F5192),C5192*F5192,"")</f>
        <v/>
      </c>
    </row>
    <row r="5193" spans="1:7" ht="12" customHeight="1" outlineLevel="2" x14ac:dyDescent="0.2">
      <c r="A5193" s="14" t="s">
        <v>10228</v>
      </c>
      <c r="B5193" s="15" t="s">
        <v>10229</v>
      </c>
      <c r="C5193" s="16">
        <f>5.73/(1+B2)</f>
        <v>5.73</v>
      </c>
      <c r="D5193" s="17" t="s">
        <v>14</v>
      </c>
      <c r="E5193" s="17"/>
      <c r="F5193" s="18"/>
      <c r="G5193" s="36" t="str">
        <f>IF(ISNUMBER(F5193),C5193*F5193,"")</f>
        <v/>
      </c>
    </row>
    <row r="5194" spans="1:7" ht="12" customHeight="1" outlineLevel="2" x14ac:dyDescent="0.2">
      <c r="A5194" s="14" t="s">
        <v>10230</v>
      </c>
      <c r="B5194" s="15" t="s">
        <v>10231</v>
      </c>
      <c r="C5194" s="16">
        <f>5.73/(1+B2)</f>
        <v>5.73</v>
      </c>
      <c r="D5194" s="17" t="s">
        <v>53</v>
      </c>
      <c r="E5194" s="17"/>
      <c r="F5194" s="18"/>
      <c r="G5194" s="36" t="str">
        <f>IF(ISNUMBER(F5194),C5194*F5194,"")</f>
        <v/>
      </c>
    </row>
    <row r="5195" spans="1:7" ht="12" customHeight="1" outlineLevel="2" x14ac:dyDescent="0.2">
      <c r="A5195" s="14" t="s">
        <v>10232</v>
      </c>
      <c r="B5195" s="15" t="s">
        <v>10233</v>
      </c>
      <c r="C5195" s="16">
        <f>5.73/(1+B2)</f>
        <v>5.73</v>
      </c>
      <c r="D5195" s="17" t="s">
        <v>11</v>
      </c>
      <c r="E5195" s="17"/>
      <c r="F5195" s="18"/>
      <c r="G5195" s="36" t="str">
        <f>IF(ISNUMBER(F5195),C5195*F5195,"")</f>
        <v/>
      </c>
    </row>
    <row r="5196" spans="1:7" ht="12" customHeight="1" outlineLevel="2" x14ac:dyDescent="0.2">
      <c r="A5196" s="14" t="s">
        <v>10234</v>
      </c>
      <c r="B5196" s="15" t="s">
        <v>10235</v>
      </c>
      <c r="C5196" s="16">
        <f>19.48/(1+B2)</f>
        <v>19.48</v>
      </c>
      <c r="D5196" s="17" t="s">
        <v>11</v>
      </c>
      <c r="E5196" s="17"/>
      <c r="F5196" s="18"/>
      <c r="G5196" s="36" t="str">
        <f>IF(ISNUMBER(F5196),C5196*F5196,"")</f>
        <v/>
      </c>
    </row>
    <row r="5197" spans="1:7" ht="12" customHeight="1" outlineLevel="2" x14ac:dyDescent="0.2">
      <c r="A5197" s="14" t="s">
        <v>10236</v>
      </c>
      <c r="B5197" s="15" t="s">
        <v>10237</v>
      </c>
      <c r="C5197" s="16">
        <f>19.48/(1+B2)</f>
        <v>19.48</v>
      </c>
      <c r="D5197" s="17" t="s">
        <v>11</v>
      </c>
      <c r="E5197" s="17"/>
      <c r="F5197" s="18"/>
      <c r="G5197" s="36" t="str">
        <f>IF(ISNUMBER(F5197),C5197*F5197,"")</f>
        <v/>
      </c>
    </row>
    <row r="5198" spans="1:7" ht="12" customHeight="1" outlineLevel="2" x14ac:dyDescent="0.2">
      <c r="A5198" s="14" t="s">
        <v>10238</v>
      </c>
      <c r="B5198" s="15" t="s">
        <v>10239</v>
      </c>
      <c r="C5198" s="16">
        <f>19.48/(1+B2)</f>
        <v>19.48</v>
      </c>
      <c r="D5198" s="17" t="s">
        <v>11</v>
      </c>
      <c r="E5198" s="17"/>
      <c r="F5198" s="18"/>
      <c r="G5198" s="36" t="str">
        <f>IF(ISNUMBER(F5198),C5198*F5198,"")</f>
        <v/>
      </c>
    </row>
    <row r="5199" spans="1:7" ht="12" customHeight="1" outlineLevel="2" x14ac:dyDescent="0.2">
      <c r="A5199" s="14" t="s">
        <v>10240</v>
      </c>
      <c r="B5199" s="15" t="s">
        <v>10241</v>
      </c>
      <c r="C5199" s="16">
        <f>19.48/(1+B2)</f>
        <v>19.48</v>
      </c>
      <c r="D5199" s="17" t="s">
        <v>14</v>
      </c>
      <c r="E5199" s="17"/>
      <c r="F5199" s="18"/>
      <c r="G5199" s="36" t="str">
        <f>IF(ISNUMBER(F5199),C5199*F5199,"")</f>
        <v/>
      </c>
    </row>
    <row r="5200" spans="1:7" ht="12" customHeight="1" outlineLevel="2" x14ac:dyDescent="0.2">
      <c r="A5200" s="14" t="s">
        <v>10242</v>
      </c>
      <c r="B5200" s="15" t="s">
        <v>10243</v>
      </c>
      <c r="C5200" s="16">
        <f>18.55/(1+B2)</f>
        <v>18.55</v>
      </c>
      <c r="D5200" s="17" t="s">
        <v>11</v>
      </c>
      <c r="E5200" s="17"/>
      <c r="F5200" s="18"/>
      <c r="G5200" s="36" t="str">
        <f>IF(ISNUMBER(F5200),C5200*F5200,"")</f>
        <v/>
      </c>
    </row>
    <row r="5201" spans="1:7" ht="12" customHeight="1" outlineLevel="2" x14ac:dyDescent="0.2">
      <c r="A5201" s="14" t="s">
        <v>10244</v>
      </c>
      <c r="B5201" s="15" t="s">
        <v>10245</v>
      </c>
      <c r="C5201" s="16">
        <f>19.48/(1+B2)</f>
        <v>19.48</v>
      </c>
      <c r="D5201" s="17" t="s">
        <v>11</v>
      </c>
      <c r="E5201" s="17"/>
      <c r="F5201" s="18"/>
      <c r="G5201" s="36" t="str">
        <f>IF(ISNUMBER(F5201),C5201*F5201,"")</f>
        <v/>
      </c>
    </row>
    <row r="5202" spans="1:7" ht="12" customHeight="1" outlineLevel="2" x14ac:dyDescent="0.2">
      <c r="A5202" s="14" t="s">
        <v>10246</v>
      </c>
      <c r="B5202" s="15" t="s">
        <v>10247</v>
      </c>
      <c r="C5202" s="16">
        <f>18.55/(1+B2)</f>
        <v>18.55</v>
      </c>
      <c r="D5202" s="17" t="s">
        <v>11</v>
      </c>
      <c r="E5202" s="17"/>
      <c r="F5202" s="18"/>
      <c r="G5202" s="36" t="str">
        <f>IF(ISNUMBER(F5202),C5202*F5202,"")</f>
        <v/>
      </c>
    </row>
    <row r="5203" spans="1:7" ht="12" customHeight="1" outlineLevel="2" x14ac:dyDescent="0.2">
      <c r="A5203" s="14" t="s">
        <v>10248</v>
      </c>
      <c r="B5203" s="15" t="s">
        <v>10249</v>
      </c>
      <c r="C5203" s="16">
        <f>13.25/(1+B2)</f>
        <v>13.25</v>
      </c>
      <c r="D5203" s="17" t="s">
        <v>53</v>
      </c>
      <c r="E5203" s="17"/>
      <c r="F5203" s="18"/>
      <c r="G5203" s="36" t="str">
        <f>IF(ISNUMBER(F5203),C5203*F5203,"")</f>
        <v/>
      </c>
    </row>
    <row r="5204" spans="1:7" ht="12" customHeight="1" outlineLevel="2" x14ac:dyDescent="0.2">
      <c r="A5204" s="14" t="s">
        <v>10250</v>
      </c>
      <c r="B5204" s="15" t="s">
        <v>10251</v>
      </c>
      <c r="C5204" s="16">
        <f>13.25/(1+B2)</f>
        <v>13.25</v>
      </c>
      <c r="D5204" s="17" t="s">
        <v>53</v>
      </c>
      <c r="E5204" s="17"/>
      <c r="F5204" s="18"/>
      <c r="G5204" s="36" t="str">
        <f>IF(ISNUMBER(F5204),C5204*F5204,"")</f>
        <v/>
      </c>
    </row>
    <row r="5205" spans="1:7" ht="12" customHeight="1" outlineLevel="2" x14ac:dyDescent="0.2">
      <c r="A5205" s="14" t="s">
        <v>10252</v>
      </c>
      <c r="B5205" s="15" t="s">
        <v>10253</v>
      </c>
      <c r="C5205" s="16">
        <f>13.25/(1+B2)</f>
        <v>13.25</v>
      </c>
      <c r="D5205" s="17" t="s">
        <v>53</v>
      </c>
      <c r="E5205" s="17"/>
      <c r="F5205" s="18"/>
      <c r="G5205" s="36" t="str">
        <f>IF(ISNUMBER(F5205),C5205*F5205,"")</f>
        <v/>
      </c>
    </row>
    <row r="5206" spans="1:7" ht="12" customHeight="1" outlineLevel="2" x14ac:dyDescent="0.2">
      <c r="A5206" s="14" t="s">
        <v>10254</v>
      </c>
      <c r="B5206" s="15" t="s">
        <v>10255</v>
      </c>
      <c r="C5206" s="16">
        <f>13.25/(1+B2)</f>
        <v>13.25</v>
      </c>
      <c r="D5206" s="17" t="s">
        <v>106</v>
      </c>
      <c r="E5206" s="17"/>
      <c r="F5206" s="18"/>
      <c r="G5206" s="36" t="str">
        <f>IF(ISNUMBER(F5206),C5206*F5206,"")</f>
        <v/>
      </c>
    </row>
    <row r="5207" spans="1:7" ht="12" customHeight="1" outlineLevel="2" x14ac:dyDescent="0.2">
      <c r="A5207" s="14" t="s">
        <v>10256</v>
      </c>
      <c r="B5207" s="15" t="s">
        <v>10257</v>
      </c>
      <c r="C5207" s="16">
        <f>13.25/(1+B2)</f>
        <v>13.25</v>
      </c>
      <c r="D5207" s="17" t="s">
        <v>53</v>
      </c>
      <c r="E5207" s="17"/>
      <c r="F5207" s="18"/>
      <c r="G5207" s="36" t="str">
        <f>IF(ISNUMBER(F5207),C5207*F5207,"")</f>
        <v/>
      </c>
    </row>
    <row r="5208" spans="1:7" ht="12" customHeight="1" outlineLevel="2" x14ac:dyDescent="0.2">
      <c r="A5208" s="14" t="s">
        <v>10258</v>
      </c>
      <c r="B5208" s="15" t="s">
        <v>10259</v>
      </c>
      <c r="C5208" s="16">
        <f>13.25/(1+B2)</f>
        <v>13.25</v>
      </c>
      <c r="D5208" s="17" t="s">
        <v>106</v>
      </c>
      <c r="E5208" s="17"/>
      <c r="F5208" s="18"/>
      <c r="G5208" s="36" t="str">
        <f>IF(ISNUMBER(F5208),C5208*F5208,"")</f>
        <v/>
      </c>
    </row>
    <row r="5209" spans="1:7" s="1" customFormat="1" ht="15.95" customHeight="1" outlineLevel="1" x14ac:dyDescent="0.25">
      <c r="A5209" s="11"/>
      <c r="B5209" s="12" t="s">
        <v>10260</v>
      </c>
      <c r="C5209" s="13"/>
      <c r="D5209" s="13"/>
      <c r="E5209" s="13"/>
      <c r="F5209" s="13"/>
      <c r="G5209" s="35"/>
    </row>
    <row r="5210" spans="1:7" ht="12" customHeight="1" outlineLevel="2" x14ac:dyDescent="0.2">
      <c r="A5210" s="14" t="s">
        <v>10261</v>
      </c>
      <c r="B5210" s="15" t="s">
        <v>10262</v>
      </c>
      <c r="C5210" s="16">
        <f>69.17/(1+B2)</f>
        <v>69.17</v>
      </c>
      <c r="D5210" s="17" t="s">
        <v>11</v>
      </c>
      <c r="E5210" s="17" t="s">
        <v>11</v>
      </c>
      <c r="F5210" s="18"/>
      <c r="G5210" s="36" t="str">
        <f>IF(ISNUMBER(F5210),C5210*F5210,"")</f>
        <v/>
      </c>
    </row>
    <row r="5211" spans="1:7" ht="12" customHeight="1" outlineLevel="2" x14ac:dyDescent="0.2">
      <c r="A5211" s="14" t="s">
        <v>10263</v>
      </c>
      <c r="B5211" s="15" t="s">
        <v>10264</v>
      </c>
      <c r="C5211" s="16">
        <f>310.01/(1+B2)</f>
        <v>310.01</v>
      </c>
      <c r="D5211" s="17" t="s">
        <v>11</v>
      </c>
      <c r="E5211" s="17"/>
      <c r="F5211" s="18"/>
      <c r="G5211" s="36" t="str">
        <f>IF(ISNUMBER(F5211),C5211*F5211,"")</f>
        <v/>
      </c>
    </row>
    <row r="5212" spans="1:7" ht="12" customHeight="1" outlineLevel="2" x14ac:dyDescent="0.2">
      <c r="A5212" s="14" t="s">
        <v>10265</v>
      </c>
      <c r="B5212" s="15" t="s">
        <v>10266</v>
      </c>
      <c r="C5212" s="16">
        <f>402.02/(1+B2)</f>
        <v>402.02</v>
      </c>
      <c r="D5212" s="17" t="s">
        <v>11</v>
      </c>
      <c r="E5212" s="17"/>
      <c r="F5212" s="18"/>
      <c r="G5212" s="36" t="str">
        <f>IF(ISNUMBER(F5212),C5212*F5212,"")</f>
        <v/>
      </c>
    </row>
    <row r="5213" spans="1:7" ht="24" customHeight="1" outlineLevel="2" x14ac:dyDescent="0.2">
      <c r="A5213" s="14" t="s">
        <v>10267</v>
      </c>
      <c r="B5213" s="15" t="s">
        <v>10268</v>
      </c>
      <c r="C5213" s="16">
        <f>248.46/(1+B2)</f>
        <v>248.46</v>
      </c>
      <c r="D5213" s="17" t="s">
        <v>11</v>
      </c>
      <c r="E5213" s="17"/>
      <c r="F5213" s="18"/>
      <c r="G5213" s="36" t="str">
        <f>IF(ISNUMBER(F5213),C5213*F5213,"")</f>
        <v/>
      </c>
    </row>
    <row r="5214" spans="1:7" ht="24" customHeight="1" outlineLevel="2" x14ac:dyDescent="0.2">
      <c r="A5214" s="14" t="s">
        <v>10269</v>
      </c>
      <c r="B5214" s="15" t="s">
        <v>10270</v>
      </c>
      <c r="C5214" s="16">
        <f>745.67/(1+B2)</f>
        <v>745.67</v>
      </c>
      <c r="D5214" s="17" t="s">
        <v>11</v>
      </c>
      <c r="E5214" s="17" t="s">
        <v>11</v>
      </c>
      <c r="F5214" s="18"/>
      <c r="G5214" s="36" t="str">
        <f>IF(ISNUMBER(F5214),C5214*F5214,"")</f>
        <v/>
      </c>
    </row>
    <row r="5215" spans="1:7" ht="24" customHeight="1" outlineLevel="2" x14ac:dyDescent="0.2">
      <c r="A5215" s="14" t="s">
        <v>10271</v>
      </c>
      <c r="B5215" s="15" t="s">
        <v>10272</v>
      </c>
      <c r="C5215" s="16">
        <f>931.81/(1+B2)</f>
        <v>931.81</v>
      </c>
      <c r="D5215" s="17" t="s">
        <v>11</v>
      </c>
      <c r="E5215" s="17"/>
      <c r="F5215" s="18"/>
      <c r="G5215" s="36" t="str">
        <f>IF(ISNUMBER(F5215),C5215*F5215,"")</f>
        <v/>
      </c>
    </row>
    <row r="5216" spans="1:7" ht="24" customHeight="1" outlineLevel="2" x14ac:dyDescent="0.2">
      <c r="A5216" s="14" t="s">
        <v>10273</v>
      </c>
      <c r="B5216" s="15" t="s">
        <v>10274</v>
      </c>
      <c r="C5216" s="16">
        <f>171.29/(1+B2)</f>
        <v>171.29</v>
      </c>
      <c r="D5216" s="17" t="s">
        <v>11</v>
      </c>
      <c r="E5216" s="17"/>
      <c r="F5216" s="18"/>
      <c r="G5216" s="36" t="str">
        <f>IF(ISNUMBER(F5216),C5216*F5216,"")</f>
        <v/>
      </c>
    </row>
    <row r="5217" spans="1:7" ht="12" customHeight="1" outlineLevel="2" x14ac:dyDescent="0.2">
      <c r="A5217" s="14" t="s">
        <v>10275</v>
      </c>
      <c r="B5217" s="15" t="s">
        <v>10276</v>
      </c>
      <c r="C5217" s="16">
        <f>637.8/(1+B2)</f>
        <v>637.79999999999995</v>
      </c>
      <c r="D5217" s="17" t="s">
        <v>11</v>
      </c>
      <c r="E5217" s="17"/>
      <c r="F5217" s="18"/>
      <c r="G5217" s="36" t="str">
        <f>IF(ISNUMBER(F5217),C5217*F5217,"")</f>
        <v/>
      </c>
    </row>
    <row r="5218" spans="1:7" ht="12" customHeight="1" outlineLevel="2" x14ac:dyDescent="0.2">
      <c r="A5218" s="14" t="s">
        <v>10277</v>
      </c>
      <c r="B5218" s="15" t="s">
        <v>10278</v>
      </c>
      <c r="C5218" s="16">
        <f>588.08/(1+B2)</f>
        <v>588.08000000000004</v>
      </c>
      <c r="D5218" s="17" t="s">
        <v>11</v>
      </c>
      <c r="E5218" s="17"/>
      <c r="F5218" s="18"/>
      <c r="G5218" s="36" t="str">
        <f>IF(ISNUMBER(F5218),C5218*F5218,"")</f>
        <v/>
      </c>
    </row>
    <row r="5219" spans="1:7" ht="24" customHeight="1" outlineLevel="2" x14ac:dyDescent="0.2">
      <c r="A5219" s="14" t="s">
        <v>10279</v>
      </c>
      <c r="B5219" s="15" t="s">
        <v>10280</v>
      </c>
      <c r="C5219" s="16">
        <f>404.13/(1+B2)</f>
        <v>404.13</v>
      </c>
      <c r="D5219" s="17" t="s">
        <v>11</v>
      </c>
      <c r="E5219" s="17"/>
      <c r="F5219" s="18"/>
      <c r="G5219" s="36" t="str">
        <f>IF(ISNUMBER(F5219),C5219*F5219,"")</f>
        <v/>
      </c>
    </row>
    <row r="5220" spans="1:7" ht="12" customHeight="1" outlineLevel="2" x14ac:dyDescent="0.2">
      <c r="A5220" s="14" t="s">
        <v>10281</v>
      </c>
      <c r="B5220" s="15" t="s">
        <v>10282</v>
      </c>
      <c r="C5220" s="16">
        <f>115.34/(1+B2)</f>
        <v>115.34</v>
      </c>
      <c r="D5220" s="17" t="s">
        <v>11</v>
      </c>
      <c r="E5220" s="17"/>
      <c r="F5220" s="18"/>
      <c r="G5220" s="36" t="str">
        <f>IF(ISNUMBER(F5220),C5220*F5220,"")</f>
        <v/>
      </c>
    </row>
    <row r="5221" spans="1:7" ht="12" customHeight="1" outlineLevel="2" x14ac:dyDescent="0.2">
      <c r="A5221" s="14" t="s">
        <v>10283</v>
      </c>
      <c r="B5221" s="15" t="s">
        <v>10284</v>
      </c>
      <c r="C5221" s="16">
        <f>84.99/(1+B2)</f>
        <v>84.99</v>
      </c>
      <c r="D5221" s="17" t="s">
        <v>11</v>
      </c>
      <c r="E5221" s="17" t="s">
        <v>11</v>
      </c>
      <c r="F5221" s="18"/>
      <c r="G5221" s="36" t="str">
        <f>IF(ISNUMBER(F5221),C5221*F5221,"")</f>
        <v/>
      </c>
    </row>
    <row r="5222" spans="1:7" ht="12" customHeight="1" outlineLevel="2" x14ac:dyDescent="0.2">
      <c r="A5222" s="14" t="s">
        <v>10285</v>
      </c>
      <c r="B5222" s="15" t="s">
        <v>10286</v>
      </c>
      <c r="C5222" s="16">
        <f>12.93/(1+B2)</f>
        <v>12.93</v>
      </c>
      <c r="D5222" s="17" t="s">
        <v>53</v>
      </c>
      <c r="E5222" s="17" t="s">
        <v>53</v>
      </c>
      <c r="F5222" s="18"/>
      <c r="G5222" s="36" t="str">
        <f>IF(ISNUMBER(F5222),C5222*F5222,"")</f>
        <v/>
      </c>
    </row>
    <row r="5223" spans="1:7" ht="12" customHeight="1" outlineLevel="2" x14ac:dyDescent="0.2">
      <c r="A5223" s="14" t="s">
        <v>10287</v>
      </c>
      <c r="B5223" s="15" t="s">
        <v>10288</v>
      </c>
      <c r="C5223" s="16">
        <f>18.83/(1+B2)</f>
        <v>18.829999999999998</v>
      </c>
      <c r="D5223" s="17"/>
      <c r="E5223" s="17" t="s">
        <v>106</v>
      </c>
      <c r="F5223" s="18"/>
      <c r="G5223" s="36" t="str">
        <f>IF(ISNUMBER(F5223),C5223*F5223,"")</f>
        <v/>
      </c>
    </row>
    <row r="5224" spans="1:7" ht="12" customHeight="1" outlineLevel="2" x14ac:dyDescent="0.2">
      <c r="A5224" s="14" t="s">
        <v>10289</v>
      </c>
      <c r="B5224" s="15" t="s">
        <v>10290</v>
      </c>
      <c r="C5224" s="16">
        <f>26.61/(1+B2)</f>
        <v>26.61</v>
      </c>
      <c r="D5224" s="17" t="s">
        <v>11</v>
      </c>
      <c r="E5224" s="17" t="s">
        <v>14</v>
      </c>
      <c r="F5224" s="18"/>
      <c r="G5224" s="36" t="str">
        <f>IF(ISNUMBER(F5224),C5224*F5224,"")</f>
        <v/>
      </c>
    </row>
    <row r="5225" spans="1:7" ht="12" customHeight="1" outlineLevel="2" x14ac:dyDescent="0.2">
      <c r="A5225" s="14" t="s">
        <v>10291</v>
      </c>
      <c r="B5225" s="15" t="s">
        <v>10292</v>
      </c>
      <c r="C5225" s="16">
        <f>37.66/(1+B2)</f>
        <v>37.659999999999997</v>
      </c>
      <c r="D5225" s="17"/>
      <c r="E5225" s="17" t="s">
        <v>53</v>
      </c>
      <c r="F5225" s="18"/>
      <c r="G5225" s="36" t="str">
        <f>IF(ISNUMBER(F5225),C5225*F5225,"")</f>
        <v/>
      </c>
    </row>
    <row r="5226" spans="1:7" ht="12" customHeight="1" outlineLevel="2" x14ac:dyDescent="0.2">
      <c r="A5226" s="14" t="s">
        <v>10293</v>
      </c>
      <c r="B5226" s="15" t="s">
        <v>10294</v>
      </c>
      <c r="C5226" s="16">
        <f>110.48/(1+B2)</f>
        <v>110.48</v>
      </c>
      <c r="D5226" s="17" t="s">
        <v>11</v>
      </c>
      <c r="E5226" s="17" t="s">
        <v>14</v>
      </c>
      <c r="F5226" s="18"/>
      <c r="G5226" s="36" t="str">
        <f>IF(ISNUMBER(F5226),C5226*F5226,"")</f>
        <v/>
      </c>
    </row>
    <row r="5227" spans="1:7" ht="12" customHeight="1" outlineLevel="2" x14ac:dyDescent="0.2">
      <c r="A5227" s="14" t="s">
        <v>10295</v>
      </c>
      <c r="B5227" s="15" t="s">
        <v>10296</v>
      </c>
      <c r="C5227" s="16">
        <f>157.39/(1+B2)</f>
        <v>157.38999999999999</v>
      </c>
      <c r="D5227" s="17" t="s">
        <v>11</v>
      </c>
      <c r="E5227" s="17" t="s">
        <v>14</v>
      </c>
      <c r="F5227" s="18"/>
      <c r="G5227" s="36" t="str">
        <f>IF(ISNUMBER(F5227),C5227*F5227,"")</f>
        <v/>
      </c>
    </row>
    <row r="5228" spans="1:7" ht="12" customHeight="1" outlineLevel="2" x14ac:dyDescent="0.2">
      <c r="A5228" s="14" t="s">
        <v>10297</v>
      </c>
      <c r="B5228" s="15" t="s">
        <v>10298</v>
      </c>
      <c r="C5228" s="16">
        <f>9.68/(1+B2)</f>
        <v>9.68</v>
      </c>
      <c r="D5228" s="17"/>
      <c r="E5228" s="17" t="s">
        <v>53</v>
      </c>
      <c r="F5228" s="18"/>
      <c r="G5228" s="36" t="str">
        <f>IF(ISNUMBER(F5228),C5228*F5228,"")</f>
        <v/>
      </c>
    </row>
    <row r="5229" spans="1:7" ht="12" customHeight="1" outlineLevel="2" x14ac:dyDescent="0.2">
      <c r="A5229" s="14" t="s">
        <v>10299</v>
      </c>
      <c r="B5229" s="15" t="s">
        <v>10300</v>
      </c>
      <c r="C5229" s="16">
        <f>12.93/(1+B2)</f>
        <v>12.93</v>
      </c>
      <c r="D5229" s="17" t="s">
        <v>14</v>
      </c>
      <c r="E5229" s="17" t="s">
        <v>106</v>
      </c>
      <c r="F5229" s="18"/>
      <c r="G5229" s="36" t="str">
        <f>IF(ISNUMBER(F5229),C5229*F5229,"")</f>
        <v/>
      </c>
    </row>
    <row r="5230" spans="1:7" ht="12" customHeight="1" outlineLevel="2" x14ac:dyDescent="0.2">
      <c r="A5230" s="14" t="s">
        <v>10301</v>
      </c>
      <c r="B5230" s="15" t="s">
        <v>10302</v>
      </c>
      <c r="C5230" s="16">
        <f>18.83/(1+B2)</f>
        <v>18.829999999999998</v>
      </c>
      <c r="D5230" s="17" t="s">
        <v>14</v>
      </c>
      <c r="E5230" s="17"/>
      <c r="F5230" s="18"/>
      <c r="G5230" s="36" t="str">
        <f>IF(ISNUMBER(F5230),C5230*F5230,"")</f>
        <v/>
      </c>
    </row>
    <row r="5231" spans="1:7" ht="12" customHeight="1" outlineLevel="2" x14ac:dyDescent="0.2">
      <c r="A5231" s="14" t="s">
        <v>10303</v>
      </c>
      <c r="B5231" s="15" t="s">
        <v>10304</v>
      </c>
      <c r="C5231" s="16">
        <f>22.13/(1+B2)</f>
        <v>22.13</v>
      </c>
      <c r="D5231" s="17" t="s">
        <v>11</v>
      </c>
      <c r="E5231" s="17"/>
      <c r="F5231" s="18"/>
      <c r="G5231" s="36" t="str">
        <f>IF(ISNUMBER(F5231),C5231*F5231,"")</f>
        <v/>
      </c>
    </row>
    <row r="5232" spans="1:7" ht="12" customHeight="1" outlineLevel="2" x14ac:dyDescent="0.2">
      <c r="A5232" s="14" t="s">
        <v>10305</v>
      </c>
      <c r="B5232" s="15" t="s">
        <v>10306</v>
      </c>
      <c r="C5232" s="16">
        <f>26.61/(1+B2)</f>
        <v>26.61</v>
      </c>
      <c r="D5232" s="17" t="s">
        <v>53</v>
      </c>
      <c r="E5232" s="17" t="s">
        <v>11</v>
      </c>
      <c r="F5232" s="18"/>
      <c r="G5232" s="36" t="str">
        <f>IF(ISNUMBER(F5232),C5232*F5232,"")</f>
        <v/>
      </c>
    </row>
    <row r="5233" spans="1:7" ht="12" customHeight="1" outlineLevel="2" x14ac:dyDescent="0.2">
      <c r="A5233" s="14" t="s">
        <v>10307</v>
      </c>
      <c r="B5233" s="15" t="s">
        <v>10308</v>
      </c>
      <c r="C5233" s="16">
        <f>37.66/(1+B2)</f>
        <v>37.659999999999997</v>
      </c>
      <c r="D5233" s="17"/>
      <c r="E5233" s="17" t="s">
        <v>53</v>
      </c>
      <c r="F5233" s="18"/>
      <c r="G5233" s="36" t="str">
        <f>IF(ISNUMBER(F5233),C5233*F5233,"")</f>
        <v/>
      </c>
    </row>
    <row r="5234" spans="1:7" ht="12" customHeight="1" outlineLevel="2" x14ac:dyDescent="0.2">
      <c r="A5234" s="14" t="s">
        <v>10309</v>
      </c>
      <c r="B5234" s="15" t="s">
        <v>10310</v>
      </c>
      <c r="C5234" s="16">
        <f>46.58/(1+B2)</f>
        <v>46.58</v>
      </c>
      <c r="D5234" s="17" t="s">
        <v>14</v>
      </c>
      <c r="E5234" s="17" t="s">
        <v>53</v>
      </c>
      <c r="F5234" s="18"/>
      <c r="G5234" s="36" t="str">
        <f>IF(ISNUMBER(F5234),C5234*F5234,"")</f>
        <v/>
      </c>
    </row>
    <row r="5235" spans="1:7" ht="12" customHeight="1" outlineLevel="2" x14ac:dyDescent="0.2">
      <c r="A5235" s="14" t="s">
        <v>10311</v>
      </c>
      <c r="B5235" s="15" t="s">
        <v>10312</v>
      </c>
      <c r="C5235" s="16">
        <f>110.48/(1+B2)</f>
        <v>110.48</v>
      </c>
      <c r="D5235" s="17" t="s">
        <v>53</v>
      </c>
      <c r="E5235" s="17"/>
      <c r="F5235" s="18"/>
      <c r="G5235" s="36" t="str">
        <f>IF(ISNUMBER(F5235),C5235*F5235,"")</f>
        <v/>
      </c>
    </row>
    <row r="5236" spans="1:7" ht="12" customHeight="1" outlineLevel="2" x14ac:dyDescent="0.2">
      <c r="A5236" s="14" t="s">
        <v>10313</v>
      </c>
      <c r="B5236" s="15" t="s">
        <v>10314</v>
      </c>
      <c r="C5236" s="16">
        <f>157.43/(1+B2)</f>
        <v>157.43</v>
      </c>
      <c r="D5236" s="17" t="s">
        <v>11</v>
      </c>
      <c r="E5236" s="17"/>
      <c r="F5236" s="18"/>
      <c r="G5236" s="36" t="str">
        <f>IF(ISNUMBER(F5236),C5236*F5236,"")</f>
        <v/>
      </c>
    </row>
    <row r="5237" spans="1:7" ht="12" customHeight="1" outlineLevel="2" x14ac:dyDescent="0.2">
      <c r="A5237" s="14" t="s">
        <v>10315</v>
      </c>
      <c r="B5237" s="15" t="s">
        <v>10316</v>
      </c>
      <c r="C5237" s="16">
        <f>9.68/(1+B2)</f>
        <v>9.68</v>
      </c>
      <c r="D5237" s="17" t="s">
        <v>11</v>
      </c>
      <c r="E5237" s="17"/>
      <c r="F5237" s="18"/>
      <c r="G5237" s="36" t="str">
        <f>IF(ISNUMBER(F5237),C5237*F5237,"")</f>
        <v/>
      </c>
    </row>
    <row r="5238" spans="1:7" ht="12" customHeight="1" outlineLevel="2" x14ac:dyDescent="0.2">
      <c r="A5238" s="14" t="s">
        <v>10317</v>
      </c>
      <c r="B5238" s="15" t="s">
        <v>10318</v>
      </c>
      <c r="C5238" s="16">
        <f>12.93/(1+B2)</f>
        <v>12.93</v>
      </c>
      <c r="D5238" s="17" t="s">
        <v>11</v>
      </c>
      <c r="E5238" s="17" t="s">
        <v>53</v>
      </c>
      <c r="F5238" s="18"/>
      <c r="G5238" s="36" t="str">
        <f>IF(ISNUMBER(F5238),C5238*F5238,"")</f>
        <v/>
      </c>
    </row>
    <row r="5239" spans="1:7" ht="12" customHeight="1" outlineLevel="2" x14ac:dyDescent="0.2">
      <c r="A5239" s="14" t="s">
        <v>10319</v>
      </c>
      <c r="B5239" s="15" t="s">
        <v>10320</v>
      </c>
      <c r="C5239" s="16">
        <f>18.83/(1+B2)</f>
        <v>18.829999999999998</v>
      </c>
      <c r="D5239" s="17" t="s">
        <v>11</v>
      </c>
      <c r="E5239" s="17" t="s">
        <v>53</v>
      </c>
      <c r="F5239" s="18"/>
      <c r="G5239" s="36" t="str">
        <f>IF(ISNUMBER(F5239),C5239*F5239,"")</f>
        <v/>
      </c>
    </row>
    <row r="5240" spans="1:7" ht="12" customHeight="1" outlineLevel="2" x14ac:dyDescent="0.2">
      <c r="A5240" s="14" t="s">
        <v>10321</v>
      </c>
      <c r="B5240" s="15" t="s">
        <v>10322</v>
      </c>
      <c r="C5240" s="16">
        <f>26.61/(1+B2)</f>
        <v>26.61</v>
      </c>
      <c r="D5240" s="17"/>
      <c r="E5240" s="17" t="s">
        <v>53</v>
      </c>
      <c r="F5240" s="18"/>
      <c r="G5240" s="36" t="str">
        <f>IF(ISNUMBER(F5240),C5240*F5240,"")</f>
        <v/>
      </c>
    </row>
    <row r="5241" spans="1:7" ht="12" customHeight="1" outlineLevel="2" x14ac:dyDescent="0.2">
      <c r="A5241" s="14" t="s">
        <v>10323</v>
      </c>
      <c r="B5241" s="15" t="s">
        <v>10324</v>
      </c>
      <c r="C5241" s="16">
        <f>37.66/(1+B2)</f>
        <v>37.659999999999997</v>
      </c>
      <c r="D5241" s="17" t="s">
        <v>11</v>
      </c>
      <c r="E5241" s="17"/>
      <c r="F5241" s="18"/>
      <c r="G5241" s="36" t="str">
        <f>IF(ISNUMBER(F5241),C5241*F5241,"")</f>
        <v/>
      </c>
    </row>
    <row r="5242" spans="1:7" ht="12" customHeight="1" outlineLevel="2" x14ac:dyDescent="0.2">
      <c r="A5242" s="14" t="s">
        <v>10325</v>
      </c>
      <c r="B5242" s="15" t="s">
        <v>10326</v>
      </c>
      <c r="C5242" s="16">
        <f>46.58/(1+B2)</f>
        <v>46.58</v>
      </c>
      <c r="D5242" s="17"/>
      <c r="E5242" s="17" t="s">
        <v>53</v>
      </c>
      <c r="F5242" s="18"/>
      <c r="G5242" s="36" t="str">
        <f>IF(ISNUMBER(F5242),C5242*F5242,"")</f>
        <v/>
      </c>
    </row>
    <row r="5243" spans="1:7" ht="12" customHeight="1" outlineLevel="2" x14ac:dyDescent="0.2">
      <c r="A5243" s="14" t="s">
        <v>10327</v>
      </c>
      <c r="B5243" s="15" t="s">
        <v>10328</v>
      </c>
      <c r="C5243" s="16">
        <f>110.48/(1+B2)</f>
        <v>110.48</v>
      </c>
      <c r="D5243" s="17" t="s">
        <v>11</v>
      </c>
      <c r="E5243" s="17" t="s">
        <v>53</v>
      </c>
      <c r="F5243" s="18"/>
      <c r="G5243" s="36" t="str">
        <f>IF(ISNUMBER(F5243),C5243*F5243,"")</f>
        <v/>
      </c>
    </row>
    <row r="5244" spans="1:7" ht="12" customHeight="1" outlineLevel="2" x14ac:dyDescent="0.2">
      <c r="A5244" s="14" t="s">
        <v>10329</v>
      </c>
      <c r="B5244" s="15" t="s">
        <v>10330</v>
      </c>
      <c r="C5244" s="16">
        <f>157.39/(1+B2)</f>
        <v>157.38999999999999</v>
      </c>
      <c r="D5244" s="17" t="s">
        <v>53</v>
      </c>
      <c r="E5244" s="17"/>
      <c r="F5244" s="18"/>
      <c r="G5244" s="36" t="str">
        <f>IF(ISNUMBER(F5244),C5244*F5244,"")</f>
        <v/>
      </c>
    </row>
    <row r="5245" spans="1:7" ht="12" customHeight="1" outlineLevel="2" x14ac:dyDescent="0.2">
      <c r="A5245" s="14" t="s">
        <v>10331</v>
      </c>
      <c r="B5245" s="15" t="s">
        <v>10332</v>
      </c>
      <c r="C5245" s="16">
        <f>9.68/(1+B2)</f>
        <v>9.68</v>
      </c>
      <c r="D5245" s="17" t="s">
        <v>11</v>
      </c>
      <c r="E5245" s="17"/>
      <c r="F5245" s="18"/>
      <c r="G5245" s="36" t="str">
        <f>IF(ISNUMBER(F5245),C5245*F5245,"")</f>
        <v/>
      </c>
    </row>
    <row r="5246" spans="1:7" s="1" customFormat="1" ht="15.95" customHeight="1" outlineLevel="1" x14ac:dyDescent="0.25">
      <c r="A5246" s="11"/>
      <c r="B5246" s="12" t="s">
        <v>10333</v>
      </c>
      <c r="C5246" s="13"/>
      <c r="D5246" s="13"/>
      <c r="E5246" s="13"/>
      <c r="F5246" s="13"/>
      <c r="G5246" s="35"/>
    </row>
    <row r="5247" spans="1:7" ht="12" customHeight="1" outlineLevel="2" x14ac:dyDescent="0.2">
      <c r="A5247" s="14" t="s">
        <v>10334</v>
      </c>
      <c r="B5247" s="15" t="s">
        <v>10335</v>
      </c>
      <c r="C5247" s="16">
        <f>118.04/(1+B2)</f>
        <v>118.04</v>
      </c>
      <c r="D5247" s="17" t="s">
        <v>11</v>
      </c>
      <c r="E5247" s="17"/>
      <c r="F5247" s="18"/>
      <c r="G5247" s="36" t="str">
        <f>IF(ISNUMBER(F5247),C5247*F5247,"")</f>
        <v/>
      </c>
    </row>
    <row r="5248" spans="1:7" ht="12" customHeight="1" outlineLevel="2" x14ac:dyDescent="0.2">
      <c r="A5248" s="14" t="s">
        <v>10336</v>
      </c>
      <c r="B5248" s="15" t="s">
        <v>10337</v>
      </c>
      <c r="C5248" s="16">
        <f>88.96/(1+B2)</f>
        <v>88.96</v>
      </c>
      <c r="D5248" s="17" t="s">
        <v>11</v>
      </c>
      <c r="E5248" s="17"/>
      <c r="F5248" s="18"/>
      <c r="G5248" s="36" t="str">
        <f>IF(ISNUMBER(F5248),C5248*F5248,"")</f>
        <v/>
      </c>
    </row>
    <row r="5249" spans="1:7" ht="12" customHeight="1" outlineLevel="2" x14ac:dyDescent="0.2">
      <c r="A5249" s="14" t="s">
        <v>10338</v>
      </c>
      <c r="B5249" s="15" t="s">
        <v>10339</v>
      </c>
      <c r="C5249" s="16">
        <f>88.96/(1+B2)</f>
        <v>88.96</v>
      </c>
      <c r="D5249" s="17" t="s">
        <v>11</v>
      </c>
      <c r="E5249" s="17"/>
      <c r="F5249" s="18"/>
      <c r="G5249" s="36" t="str">
        <f>IF(ISNUMBER(F5249),C5249*F5249,"")</f>
        <v/>
      </c>
    </row>
    <row r="5250" spans="1:7" ht="12" customHeight="1" outlineLevel="2" x14ac:dyDescent="0.2">
      <c r="A5250" s="14" t="s">
        <v>10340</v>
      </c>
      <c r="B5250" s="15" t="s">
        <v>10341</v>
      </c>
      <c r="C5250" s="16">
        <f>85.48/(1+B2)</f>
        <v>85.48</v>
      </c>
      <c r="D5250" s="17" t="s">
        <v>53</v>
      </c>
      <c r="E5250" s="17"/>
      <c r="F5250" s="18"/>
      <c r="G5250" s="36" t="str">
        <f>IF(ISNUMBER(F5250),C5250*F5250,"")</f>
        <v/>
      </c>
    </row>
    <row r="5251" spans="1:7" ht="12" customHeight="1" outlineLevel="2" x14ac:dyDescent="0.2">
      <c r="A5251" s="14" t="s">
        <v>10342</v>
      </c>
      <c r="B5251" s="15" t="s">
        <v>10343</v>
      </c>
      <c r="C5251" s="16">
        <f>64.1/(1+B2)</f>
        <v>64.099999999999994</v>
      </c>
      <c r="D5251" s="17" t="s">
        <v>11</v>
      </c>
      <c r="E5251" s="17"/>
      <c r="F5251" s="18"/>
      <c r="G5251" s="36" t="str">
        <f>IF(ISNUMBER(F5251),C5251*F5251,"")</f>
        <v/>
      </c>
    </row>
    <row r="5252" spans="1:7" ht="12" customHeight="1" outlineLevel="2" x14ac:dyDescent="0.2">
      <c r="A5252" s="14" t="s">
        <v>10344</v>
      </c>
      <c r="B5252" s="15" t="s">
        <v>10345</v>
      </c>
      <c r="C5252" s="16">
        <f>87.43/(1+B2)</f>
        <v>87.43</v>
      </c>
      <c r="D5252" s="17" t="s">
        <v>11</v>
      </c>
      <c r="E5252" s="17"/>
      <c r="F5252" s="18"/>
      <c r="G5252" s="36" t="str">
        <f>IF(ISNUMBER(F5252),C5252*F5252,"")</f>
        <v/>
      </c>
    </row>
    <row r="5253" spans="1:7" ht="12" customHeight="1" outlineLevel="2" x14ac:dyDescent="0.2">
      <c r="A5253" s="14" t="s">
        <v>10346</v>
      </c>
      <c r="B5253" s="15" t="s">
        <v>10347</v>
      </c>
      <c r="C5253" s="16">
        <f>118.17/(1+B2)</f>
        <v>118.17</v>
      </c>
      <c r="D5253" s="17" t="s">
        <v>11</v>
      </c>
      <c r="E5253" s="17"/>
      <c r="F5253" s="18"/>
      <c r="G5253" s="36" t="str">
        <f>IF(ISNUMBER(F5253),C5253*F5253,"")</f>
        <v/>
      </c>
    </row>
    <row r="5254" spans="1:7" ht="12" customHeight="1" outlineLevel="2" x14ac:dyDescent="0.2">
      <c r="A5254" s="14" t="s">
        <v>10348</v>
      </c>
      <c r="B5254" s="15" t="s">
        <v>10349</v>
      </c>
      <c r="C5254" s="16">
        <f>17.21/(1+B2)</f>
        <v>17.21</v>
      </c>
      <c r="D5254" s="17" t="s">
        <v>14</v>
      </c>
      <c r="E5254" s="17"/>
      <c r="F5254" s="18"/>
      <c r="G5254" s="36" t="str">
        <f>IF(ISNUMBER(F5254),C5254*F5254,"")</f>
        <v/>
      </c>
    </row>
    <row r="5255" spans="1:7" ht="12" customHeight="1" outlineLevel="2" x14ac:dyDescent="0.2">
      <c r="A5255" s="14" t="s">
        <v>10350</v>
      </c>
      <c r="B5255" s="15" t="s">
        <v>10351</v>
      </c>
      <c r="C5255" s="16">
        <f>2.04/(1+B2)</f>
        <v>2.04</v>
      </c>
      <c r="D5255" s="17" t="s">
        <v>11</v>
      </c>
      <c r="E5255" s="17"/>
      <c r="F5255" s="18"/>
      <c r="G5255" s="36" t="str">
        <f>IF(ISNUMBER(F5255),C5255*F5255,"")</f>
        <v/>
      </c>
    </row>
    <row r="5256" spans="1:7" ht="12" customHeight="1" outlineLevel="2" x14ac:dyDescent="0.2">
      <c r="A5256" s="14" t="s">
        <v>10352</v>
      </c>
      <c r="B5256" s="15" t="s">
        <v>10353</v>
      </c>
      <c r="C5256" s="16">
        <f>7.18/(1+B2)</f>
        <v>7.18</v>
      </c>
      <c r="D5256" s="17"/>
      <c r="E5256" s="17" t="s">
        <v>106</v>
      </c>
      <c r="F5256" s="18"/>
      <c r="G5256" s="36" t="str">
        <f>IF(ISNUMBER(F5256),C5256*F5256,"")</f>
        <v/>
      </c>
    </row>
    <row r="5257" spans="1:7" ht="12" customHeight="1" outlineLevel="2" x14ac:dyDescent="0.2">
      <c r="A5257" s="14" t="s">
        <v>10354</v>
      </c>
      <c r="B5257" s="15" t="s">
        <v>10355</v>
      </c>
      <c r="C5257" s="16">
        <f>3.69/(1+B2)</f>
        <v>3.69</v>
      </c>
      <c r="D5257" s="17"/>
      <c r="E5257" s="17" t="s">
        <v>106</v>
      </c>
      <c r="F5257" s="18"/>
      <c r="G5257" s="36" t="str">
        <f>IF(ISNUMBER(F5257),C5257*F5257,"")</f>
        <v/>
      </c>
    </row>
    <row r="5258" spans="1:7" ht="12" customHeight="1" outlineLevel="2" x14ac:dyDescent="0.2">
      <c r="A5258" s="14" t="s">
        <v>10356</v>
      </c>
      <c r="B5258" s="15" t="s">
        <v>10357</v>
      </c>
      <c r="C5258" s="16">
        <f>8.65/(1+B2)</f>
        <v>8.65</v>
      </c>
      <c r="D5258" s="17" t="s">
        <v>11</v>
      </c>
      <c r="E5258" s="17"/>
      <c r="F5258" s="18"/>
      <c r="G5258" s="36" t="str">
        <f>IF(ISNUMBER(F5258),C5258*F5258,"")</f>
        <v/>
      </c>
    </row>
    <row r="5259" spans="1:7" ht="12" customHeight="1" outlineLevel="2" x14ac:dyDescent="0.2">
      <c r="A5259" s="14" t="s">
        <v>10358</v>
      </c>
      <c r="B5259" s="15" t="s">
        <v>10359</v>
      </c>
      <c r="C5259" s="16">
        <f>5.75/(1+B2)</f>
        <v>5.75</v>
      </c>
      <c r="D5259" s="17"/>
      <c r="E5259" s="17" t="s">
        <v>106</v>
      </c>
      <c r="F5259" s="18"/>
      <c r="G5259" s="36" t="str">
        <f>IF(ISNUMBER(F5259),C5259*F5259,"")</f>
        <v/>
      </c>
    </row>
    <row r="5260" spans="1:7" ht="12" customHeight="1" outlineLevel="2" x14ac:dyDescent="0.2">
      <c r="A5260" s="14" t="s">
        <v>10360</v>
      </c>
      <c r="B5260" s="15" t="s">
        <v>10361</v>
      </c>
      <c r="C5260" s="16">
        <f>11.73/(1+B2)</f>
        <v>11.73</v>
      </c>
      <c r="D5260" s="17" t="s">
        <v>11</v>
      </c>
      <c r="E5260" s="17" t="s">
        <v>53</v>
      </c>
      <c r="F5260" s="18"/>
      <c r="G5260" s="36" t="str">
        <f>IF(ISNUMBER(F5260),C5260*F5260,"")</f>
        <v/>
      </c>
    </row>
    <row r="5261" spans="1:7" ht="12" customHeight="1" outlineLevel="2" x14ac:dyDescent="0.2">
      <c r="A5261" s="14" t="s">
        <v>10362</v>
      </c>
      <c r="B5261" s="15" t="s">
        <v>10363</v>
      </c>
      <c r="C5261" s="16">
        <f>8.35/(1+B2)</f>
        <v>8.35</v>
      </c>
      <c r="D5261" s="17" t="s">
        <v>11</v>
      </c>
      <c r="E5261" s="17" t="s">
        <v>106</v>
      </c>
      <c r="F5261" s="18"/>
      <c r="G5261" s="36" t="str">
        <f>IF(ISNUMBER(F5261),C5261*F5261,"")</f>
        <v/>
      </c>
    </row>
    <row r="5262" spans="1:7" ht="12" customHeight="1" outlineLevel="2" x14ac:dyDescent="0.2">
      <c r="A5262" s="14" t="s">
        <v>10364</v>
      </c>
      <c r="B5262" s="15" t="s">
        <v>10365</v>
      </c>
      <c r="C5262" s="16">
        <f>9.94/(1+B2)</f>
        <v>9.94</v>
      </c>
      <c r="D5262" s="17"/>
      <c r="E5262" s="17" t="s">
        <v>106</v>
      </c>
      <c r="F5262" s="18"/>
      <c r="G5262" s="36" t="str">
        <f>IF(ISNUMBER(F5262),C5262*F5262,"")</f>
        <v/>
      </c>
    </row>
    <row r="5263" spans="1:7" ht="12" customHeight="1" outlineLevel="2" x14ac:dyDescent="0.2">
      <c r="A5263" s="14" t="s">
        <v>10366</v>
      </c>
      <c r="B5263" s="15" t="s">
        <v>10367</v>
      </c>
      <c r="C5263" s="16">
        <f>14/(1+B2)</f>
        <v>14</v>
      </c>
      <c r="D5263" s="17" t="s">
        <v>11</v>
      </c>
      <c r="E5263" s="17" t="s">
        <v>11</v>
      </c>
      <c r="F5263" s="18"/>
      <c r="G5263" s="36" t="str">
        <f>IF(ISNUMBER(F5263),C5263*F5263,"")</f>
        <v/>
      </c>
    </row>
    <row r="5264" spans="1:7" ht="12" customHeight="1" outlineLevel="2" x14ac:dyDescent="0.2">
      <c r="A5264" s="14" t="s">
        <v>10368</v>
      </c>
      <c r="B5264" s="15" t="s">
        <v>10369</v>
      </c>
      <c r="C5264" s="16">
        <f>2.86/(1+B2)</f>
        <v>2.86</v>
      </c>
      <c r="D5264" s="17" t="s">
        <v>11</v>
      </c>
      <c r="E5264" s="17"/>
      <c r="F5264" s="18"/>
      <c r="G5264" s="36" t="str">
        <f>IF(ISNUMBER(F5264),C5264*F5264,"")</f>
        <v/>
      </c>
    </row>
    <row r="5265" spans="1:7" ht="12" customHeight="1" outlineLevel="2" x14ac:dyDescent="0.2">
      <c r="A5265" s="14" t="s">
        <v>10370</v>
      </c>
      <c r="B5265" s="15" t="s">
        <v>10371</v>
      </c>
      <c r="C5265" s="16">
        <f>57.56/(1+B2)</f>
        <v>57.56</v>
      </c>
      <c r="D5265" s="17" t="s">
        <v>11</v>
      </c>
      <c r="E5265" s="17"/>
      <c r="F5265" s="18"/>
      <c r="G5265" s="36" t="str">
        <f>IF(ISNUMBER(F5265),C5265*F5265,"")</f>
        <v/>
      </c>
    </row>
    <row r="5266" spans="1:7" ht="12" customHeight="1" outlineLevel="2" x14ac:dyDescent="0.2">
      <c r="A5266" s="14" t="s">
        <v>10372</v>
      </c>
      <c r="B5266" s="15" t="s">
        <v>10373</v>
      </c>
      <c r="C5266" s="16">
        <f>28.08/(1+B2)</f>
        <v>28.08</v>
      </c>
      <c r="D5266" s="17" t="s">
        <v>11</v>
      </c>
      <c r="E5266" s="17"/>
      <c r="F5266" s="18"/>
      <c r="G5266" s="36" t="str">
        <f>IF(ISNUMBER(F5266),C5266*F5266,"")</f>
        <v/>
      </c>
    </row>
    <row r="5267" spans="1:7" ht="12" customHeight="1" outlineLevel="2" x14ac:dyDescent="0.2">
      <c r="A5267" s="14" t="s">
        <v>10374</v>
      </c>
      <c r="B5267" s="15" t="s">
        <v>10375</v>
      </c>
      <c r="C5267" s="16">
        <f>32.88/(1+B2)</f>
        <v>32.880000000000003</v>
      </c>
      <c r="D5267" s="17" t="s">
        <v>11</v>
      </c>
      <c r="E5267" s="17"/>
      <c r="F5267" s="18"/>
      <c r="G5267" s="36" t="str">
        <f>IF(ISNUMBER(F5267),C5267*F5267,"")</f>
        <v/>
      </c>
    </row>
    <row r="5268" spans="1:7" ht="12" customHeight="1" outlineLevel="2" x14ac:dyDescent="0.2">
      <c r="A5268" s="14" t="s">
        <v>10376</v>
      </c>
      <c r="B5268" s="15" t="s">
        <v>10377</v>
      </c>
      <c r="C5268" s="16">
        <f>32.76/(1+B2)</f>
        <v>32.76</v>
      </c>
      <c r="D5268" s="17" t="s">
        <v>11</v>
      </c>
      <c r="E5268" s="17"/>
      <c r="F5268" s="18"/>
      <c r="G5268" s="36" t="str">
        <f>IF(ISNUMBER(F5268),C5268*F5268,"")</f>
        <v/>
      </c>
    </row>
    <row r="5269" spans="1:7" s="1" customFormat="1" ht="15.95" customHeight="1" outlineLevel="1" x14ac:dyDescent="0.25">
      <c r="A5269" s="11"/>
      <c r="B5269" s="12" t="s">
        <v>10378</v>
      </c>
      <c r="C5269" s="13"/>
      <c r="D5269" s="13"/>
      <c r="E5269" s="13"/>
      <c r="F5269" s="13"/>
      <c r="G5269" s="35"/>
    </row>
    <row r="5270" spans="1:7" ht="12" customHeight="1" outlineLevel="2" x14ac:dyDescent="0.2">
      <c r="A5270" s="14" t="s">
        <v>10379</v>
      </c>
      <c r="B5270" s="15" t="s">
        <v>10380</v>
      </c>
      <c r="C5270" s="16">
        <f>209.06/(1+B2)</f>
        <v>209.06</v>
      </c>
      <c r="D5270" s="17" t="s">
        <v>14</v>
      </c>
      <c r="E5270" s="17"/>
      <c r="F5270" s="18"/>
      <c r="G5270" s="36" t="str">
        <f>IF(ISNUMBER(F5270),C5270*F5270,"")</f>
        <v/>
      </c>
    </row>
    <row r="5271" spans="1:7" ht="12" customHeight="1" outlineLevel="2" x14ac:dyDescent="0.2">
      <c r="A5271" s="14" t="s">
        <v>10381</v>
      </c>
      <c r="B5271" s="15" t="s">
        <v>10382</v>
      </c>
      <c r="C5271" s="16">
        <f>291.38/(1+B2)</f>
        <v>291.38</v>
      </c>
      <c r="D5271" s="17" t="s">
        <v>11</v>
      </c>
      <c r="E5271" s="17" t="s">
        <v>53</v>
      </c>
      <c r="F5271" s="18"/>
      <c r="G5271" s="36" t="str">
        <f>IF(ISNUMBER(F5271),C5271*F5271,"")</f>
        <v/>
      </c>
    </row>
    <row r="5272" spans="1:7" ht="12" customHeight="1" outlineLevel="2" x14ac:dyDescent="0.2">
      <c r="A5272" s="14" t="s">
        <v>10383</v>
      </c>
      <c r="B5272" s="15" t="s">
        <v>10384</v>
      </c>
      <c r="C5272" s="16">
        <f>209.06/(1+B2)</f>
        <v>209.06</v>
      </c>
      <c r="D5272" s="17" t="s">
        <v>14</v>
      </c>
      <c r="E5272" s="17"/>
      <c r="F5272" s="18"/>
      <c r="G5272" s="36" t="str">
        <f>IF(ISNUMBER(F5272),C5272*F5272,"")</f>
        <v/>
      </c>
    </row>
    <row r="5273" spans="1:7" ht="12" customHeight="1" outlineLevel="2" x14ac:dyDescent="0.2">
      <c r="A5273" s="14" t="s">
        <v>10385</v>
      </c>
      <c r="B5273" s="15" t="s">
        <v>10386</v>
      </c>
      <c r="C5273" s="16">
        <f>232.25/(1+B2)</f>
        <v>232.25</v>
      </c>
      <c r="D5273" s="17" t="s">
        <v>11</v>
      </c>
      <c r="E5273" s="17"/>
      <c r="F5273" s="18"/>
      <c r="G5273" s="36" t="str">
        <f>IF(ISNUMBER(F5273),C5273*F5273,"")</f>
        <v/>
      </c>
    </row>
    <row r="5274" spans="1:7" ht="12" customHeight="1" outlineLevel="2" x14ac:dyDescent="0.2">
      <c r="A5274" s="14" t="s">
        <v>10387</v>
      </c>
      <c r="B5274" s="15" t="s">
        <v>10388</v>
      </c>
      <c r="C5274" s="16">
        <f>253.43/(1+B2)</f>
        <v>253.43</v>
      </c>
      <c r="D5274" s="17" t="s">
        <v>11</v>
      </c>
      <c r="E5274" s="17"/>
      <c r="F5274" s="18"/>
      <c r="G5274" s="36" t="str">
        <f>IF(ISNUMBER(F5274),C5274*F5274,"")</f>
        <v/>
      </c>
    </row>
    <row r="5275" spans="1:7" ht="12" customHeight="1" outlineLevel="2" x14ac:dyDescent="0.2">
      <c r="A5275" s="14" t="s">
        <v>10389</v>
      </c>
      <c r="B5275" s="15" t="s">
        <v>10390</v>
      </c>
      <c r="C5275" s="16">
        <f>313.85/(1+B2)</f>
        <v>313.85000000000002</v>
      </c>
      <c r="D5275" s="17" t="s">
        <v>11</v>
      </c>
      <c r="E5275" s="17"/>
      <c r="F5275" s="18"/>
      <c r="G5275" s="36" t="str">
        <f>IF(ISNUMBER(F5275),C5275*F5275,"")</f>
        <v/>
      </c>
    </row>
    <row r="5276" spans="1:7" ht="12" customHeight="1" outlineLevel="2" x14ac:dyDescent="0.2">
      <c r="A5276" s="14" t="s">
        <v>10391</v>
      </c>
      <c r="B5276" s="15" t="s">
        <v>10392</v>
      </c>
      <c r="C5276" s="16">
        <f>313.85/(1+B2)</f>
        <v>313.85000000000002</v>
      </c>
      <c r="D5276" s="17" t="s">
        <v>11</v>
      </c>
      <c r="E5276" s="17" t="s">
        <v>11</v>
      </c>
      <c r="F5276" s="18"/>
      <c r="G5276" s="36" t="str">
        <f>IF(ISNUMBER(F5276),C5276*F5276,"")</f>
        <v/>
      </c>
    </row>
    <row r="5277" spans="1:7" ht="12" customHeight="1" outlineLevel="2" x14ac:dyDescent="0.2">
      <c r="A5277" s="14" t="s">
        <v>10393</v>
      </c>
      <c r="B5277" s="15" t="s">
        <v>10394</v>
      </c>
      <c r="C5277" s="16">
        <f>22.95/(1+B2)</f>
        <v>22.95</v>
      </c>
      <c r="D5277" s="17" t="s">
        <v>53</v>
      </c>
      <c r="E5277" s="17"/>
      <c r="F5277" s="18"/>
      <c r="G5277" s="36" t="str">
        <f>IF(ISNUMBER(F5277),C5277*F5277,"")</f>
        <v/>
      </c>
    </row>
    <row r="5278" spans="1:7" ht="12" customHeight="1" outlineLevel="2" x14ac:dyDescent="0.2">
      <c r="A5278" s="14" t="s">
        <v>10395</v>
      </c>
      <c r="B5278" s="15" t="s">
        <v>10396</v>
      </c>
      <c r="C5278" s="16">
        <f>45.19/(1+B2)</f>
        <v>45.19</v>
      </c>
      <c r="D5278" s="17" t="s">
        <v>11</v>
      </c>
      <c r="E5278" s="17"/>
      <c r="F5278" s="18"/>
      <c r="G5278" s="36" t="str">
        <f>IF(ISNUMBER(F5278),C5278*F5278,"")</f>
        <v/>
      </c>
    </row>
    <row r="5279" spans="1:7" ht="12" customHeight="1" outlineLevel="2" x14ac:dyDescent="0.2">
      <c r="A5279" s="14" t="s">
        <v>10397</v>
      </c>
      <c r="B5279" s="15" t="s">
        <v>10398</v>
      </c>
      <c r="C5279" s="16">
        <f>24.38/(1+B2)</f>
        <v>24.38</v>
      </c>
      <c r="D5279" s="17" t="s">
        <v>11</v>
      </c>
      <c r="E5279" s="17" t="s">
        <v>11</v>
      </c>
      <c r="F5279" s="18"/>
      <c r="G5279" s="36" t="str">
        <f>IF(ISNUMBER(F5279),C5279*F5279,"")</f>
        <v/>
      </c>
    </row>
    <row r="5280" spans="1:7" ht="12" customHeight="1" outlineLevel="2" x14ac:dyDescent="0.2">
      <c r="A5280" s="14" t="s">
        <v>10399</v>
      </c>
      <c r="B5280" s="15" t="s">
        <v>10400</v>
      </c>
      <c r="C5280" s="16">
        <f>22.5/(1+B2)</f>
        <v>22.5</v>
      </c>
      <c r="D5280" s="17" t="s">
        <v>11</v>
      </c>
      <c r="E5280" s="17" t="s">
        <v>14</v>
      </c>
      <c r="F5280" s="18"/>
      <c r="G5280" s="36" t="str">
        <f>IF(ISNUMBER(F5280),C5280*F5280,"")</f>
        <v/>
      </c>
    </row>
    <row r="5281" spans="1:7" ht="12" customHeight="1" outlineLevel="2" x14ac:dyDescent="0.2">
      <c r="A5281" s="14" t="s">
        <v>10401</v>
      </c>
      <c r="B5281" s="15" t="s">
        <v>10402</v>
      </c>
      <c r="C5281" s="16">
        <f>21.61/(1+B2)</f>
        <v>21.61</v>
      </c>
      <c r="D5281" s="17" t="s">
        <v>53</v>
      </c>
      <c r="E5281" s="17"/>
      <c r="F5281" s="18"/>
      <c r="G5281" s="36" t="str">
        <f>IF(ISNUMBER(F5281),C5281*F5281,"")</f>
        <v/>
      </c>
    </row>
    <row r="5282" spans="1:7" ht="12" customHeight="1" outlineLevel="2" x14ac:dyDescent="0.2">
      <c r="A5282" s="14" t="s">
        <v>10403</v>
      </c>
      <c r="B5282" s="15" t="s">
        <v>10404</v>
      </c>
      <c r="C5282" s="16">
        <f>21.61/(1+B2)</f>
        <v>21.61</v>
      </c>
      <c r="D5282" s="17" t="s">
        <v>11</v>
      </c>
      <c r="E5282" s="17"/>
      <c r="F5282" s="18"/>
      <c r="G5282" s="36" t="str">
        <f>IF(ISNUMBER(F5282),C5282*F5282,"")</f>
        <v/>
      </c>
    </row>
    <row r="5283" spans="1:7" ht="12" customHeight="1" outlineLevel="2" x14ac:dyDescent="0.2">
      <c r="A5283" s="14" t="s">
        <v>10405</v>
      </c>
      <c r="B5283" s="15" t="s">
        <v>10406</v>
      </c>
      <c r="C5283" s="16">
        <f>25.91/(1+B2)</f>
        <v>25.91</v>
      </c>
      <c r="D5283" s="17" t="s">
        <v>11</v>
      </c>
      <c r="E5283" s="17"/>
      <c r="F5283" s="18"/>
      <c r="G5283" s="36" t="str">
        <f>IF(ISNUMBER(F5283),C5283*F5283,"")</f>
        <v/>
      </c>
    </row>
    <row r="5284" spans="1:7" ht="12" customHeight="1" outlineLevel="2" x14ac:dyDescent="0.2">
      <c r="A5284" s="14" t="s">
        <v>10407</v>
      </c>
      <c r="B5284" s="15" t="s">
        <v>10408</v>
      </c>
      <c r="C5284" s="16">
        <f>36.85/(1+B2)</f>
        <v>36.85</v>
      </c>
      <c r="D5284" s="17"/>
      <c r="E5284" s="17" t="s">
        <v>14</v>
      </c>
      <c r="F5284" s="18"/>
      <c r="G5284" s="36" t="str">
        <f>IF(ISNUMBER(F5284),C5284*F5284,"")</f>
        <v/>
      </c>
    </row>
    <row r="5285" spans="1:7" ht="12" customHeight="1" outlineLevel="2" x14ac:dyDescent="0.2">
      <c r="A5285" s="14" t="s">
        <v>10409</v>
      </c>
      <c r="B5285" s="15" t="s">
        <v>10410</v>
      </c>
      <c r="C5285" s="16">
        <f>36.85/(1+B2)</f>
        <v>36.85</v>
      </c>
      <c r="D5285" s="17"/>
      <c r="E5285" s="17" t="s">
        <v>53</v>
      </c>
      <c r="F5285" s="18"/>
      <c r="G5285" s="36" t="str">
        <f>IF(ISNUMBER(F5285),C5285*F5285,"")</f>
        <v/>
      </c>
    </row>
    <row r="5286" spans="1:7" ht="12" customHeight="1" outlineLevel="2" x14ac:dyDescent="0.2">
      <c r="A5286" s="14" t="s">
        <v>10411</v>
      </c>
      <c r="B5286" s="15" t="s">
        <v>10412</v>
      </c>
      <c r="C5286" s="16">
        <f>36.85/(1+B2)</f>
        <v>36.85</v>
      </c>
      <c r="D5286" s="17"/>
      <c r="E5286" s="17" t="s">
        <v>11</v>
      </c>
      <c r="F5286" s="18"/>
      <c r="G5286" s="36" t="str">
        <f>IF(ISNUMBER(F5286),C5286*F5286,"")</f>
        <v/>
      </c>
    </row>
    <row r="5287" spans="1:7" ht="12" customHeight="1" outlineLevel="2" x14ac:dyDescent="0.2">
      <c r="A5287" s="14" t="s">
        <v>10413</v>
      </c>
      <c r="B5287" s="15" t="s">
        <v>10414</v>
      </c>
      <c r="C5287" s="16">
        <f>63.34/(1+B2)</f>
        <v>63.34</v>
      </c>
      <c r="D5287" s="17" t="s">
        <v>14</v>
      </c>
      <c r="E5287" s="17"/>
      <c r="F5287" s="18"/>
      <c r="G5287" s="36" t="str">
        <f>IF(ISNUMBER(F5287),C5287*F5287,"")</f>
        <v/>
      </c>
    </row>
    <row r="5288" spans="1:7" ht="12" customHeight="1" outlineLevel="2" x14ac:dyDescent="0.2">
      <c r="A5288" s="14" t="s">
        <v>10415</v>
      </c>
      <c r="B5288" s="15" t="s">
        <v>10416</v>
      </c>
      <c r="C5288" s="16">
        <f>52.79/(1+B2)</f>
        <v>52.79</v>
      </c>
      <c r="D5288" s="17" t="s">
        <v>11</v>
      </c>
      <c r="E5288" s="17"/>
      <c r="F5288" s="18"/>
      <c r="G5288" s="36" t="str">
        <f>IF(ISNUMBER(F5288),C5288*F5288,"")</f>
        <v/>
      </c>
    </row>
    <row r="5289" spans="1:7" ht="12" customHeight="1" outlineLevel="2" x14ac:dyDescent="0.2">
      <c r="A5289" s="14" t="s">
        <v>10417</v>
      </c>
      <c r="B5289" s="15" t="s">
        <v>10418</v>
      </c>
      <c r="C5289" s="16">
        <f>63.34/(1+B2)</f>
        <v>63.34</v>
      </c>
      <c r="D5289" s="17" t="s">
        <v>14</v>
      </c>
      <c r="E5289" s="17"/>
      <c r="F5289" s="18"/>
      <c r="G5289" s="36" t="str">
        <f>IF(ISNUMBER(F5289),C5289*F5289,"")</f>
        <v/>
      </c>
    </row>
    <row r="5290" spans="1:7" ht="12" customHeight="1" outlineLevel="2" x14ac:dyDescent="0.2">
      <c r="A5290" s="14" t="s">
        <v>10419</v>
      </c>
      <c r="B5290" s="15" t="s">
        <v>10420</v>
      </c>
      <c r="C5290" s="16">
        <f>52.79/(1+B2)</f>
        <v>52.79</v>
      </c>
      <c r="D5290" s="17" t="s">
        <v>11</v>
      </c>
      <c r="E5290" s="17"/>
      <c r="F5290" s="18"/>
      <c r="G5290" s="36" t="str">
        <f>IF(ISNUMBER(F5290),C5290*F5290,"")</f>
        <v/>
      </c>
    </row>
    <row r="5291" spans="1:7" ht="12" customHeight="1" outlineLevel="2" x14ac:dyDescent="0.2">
      <c r="A5291" s="14" t="s">
        <v>10421</v>
      </c>
      <c r="B5291" s="15" t="s">
        <v>10422</v>
      </c>
      <c r="C5291" s="16">
        <f>81.08/(1+B2)</f>
        <v>81.08</v>
      </c>
      <c r="D5291" s="17" t="s">
        <v>11</v>
      </c>
      <c r="E5291" s="17"/>
      <c r="F5291" s="18"/>
      <c r="G5291" s="36" t="str">
        <f>IF(ISNUMBER(F5291),C5291*F5291,"")</f>
        <v/>
      </c>
    </row>
    <row r="5292" spans="1:7" ht="12" customHeight="1" outlineLevel="2" x14ac:dyDescent="0.2">
      <c r="A5292" s="14" t="s">
        <v>10423</v>
      </c>
      <c r="B5292" s="15" t="s">
        <v>10424</v>
      </c>
      <c r="C5292" s="16">
        <f>81.08/(1+B2)</f>
        <v>81.08</v>
      </c>
      <c r="D5292" s="17" t="s">
        <v>14</v>
      </c>
      <c r="E5292" s="17"/>
      <c r="F5292" s="18"/>
      <c r="G5292" s="36" t="str">
        <f>IF(ISNUMBER(F5292),C5292*F5292,"")</f>
        <v/>
      </c>
    </row>
    <row r="5293" spans="1:7" ht="12" customHeight="1" outlineLevel="2" x14ac:dyDescent="0.2">
      <c r="A5293" s="14" t="s">
        <v>10425</v>
      </c>
      <c r="B5293" s="15" t="s">
        <v>10426</v>
      </c>
      <c r="C5293" s="16">
        <f>29.05/(1+B2)</f>
        <v>29.05</v>
      </c>
      <c r="D5293" s="17" t="s">
        <v>11</v>
      </c>
      <c r="E5293" s="17"/>
      <c r="F5293" s="18"/>
      <c r="G5293" s="36" t="str">
        <f>IF(ISNUMBER(F5293),C5293*F5293,"")</f>
        <v/>
      </c>
    </row>
    <row r="5294" spans="1:7" ht="12" customHeight="1" outlineLevel="2" x14ac:dyDescent="0.2">
      <c r="A5294" s="14" t="s">
        <v>10427</v>
      </c>
      <c r="B5294" s="15" t="s">
        <v>10428</v>
      </c>
      <c r="C5294" s="16">
        <f>28.66/(1+B2)</f>
        <v>28.66</v>
      </c>
      <c r="D5294" s="17" t="s">
        <v>11</v>
      </c>
      <c r="E5294" s="17" t="s">
        <v>11</v>
      </c>
      <c r="F5294" s="18"/>
      <c r="G5294" s="36" t="str">
        <f>IF(ISNUMBER(F5294),C5294*F5294,"")</f>
        <v/>
      </c>
    </row>
    <row r="5295" spans="1:7" ht="12" customHeight="1" outlineLevel="2" x14ac:dyDescent="0.2">
      <c r="A5295" s="14" t="s">
        <v>10429</v>
      </c>
      <c r="B5295" s="15" t="s">
        <v>10430</v>
      </c>
      <c r="C5295" s="16">
        <f>28.66/(1+B2)</f>
        <v>28.66</v>
      </c>
      <c r="D5295" s="17" t="s">
        <v>11</v>
      </c>
      <c r="E5295" s="17"/>
      <c r="F5295" s="18"/>
      <c r="G5295" s="36" t="str">
        <f>IF(ISNUMBER(F5295),C5295*F5295,"")</f>
        <v/>
      </c>
    </row>
    <row r="5296" spans="1:7" ht="12" customHeight="1" outlineLevel="2" x14ac:dyDescent="0.2">
      <c r="A5296" s="14" t="s">
        <v>10431</v>
      </c>
      <c r="B5296" s="15" t="s">
        <v>10432</v>
      </c>
      <c r="C5296" s="16">
        <f>85.35/(1+B2)</f>
        <v>85.35</v>
      </c>
      <c r="D5296" s="17" t="s">
        <v>11</v>
      </c>
      <c r="E5296" s="17"/>
      <c r="F5296" s="18"/>
      <c r="G5296" s="36" t="str">
        <f>IF(ISNUMBER(F5296),C5296*F5296,"")</f>
        <v/>
      </c>
    </row>
    <row r="5297" spans="1:7" ht="12" customHeight="1" outlineLevel="2" x14ac:dyDescent="0.2">
      <c r="A5297" s="14" t="s">
        <v>10433</v>
      </c>
      <c r="B5297" s="15" t="s">
        <v>10434</v>
      </c>
      <c r="C5297" s="16">
        <f>85.35/(1+B2)</f>
        <v>85.35</v>
      </c>
      <c r="D5297" s="17" t="s">
        <v>11</v>
      </c>
      <c r="E5297" s="17"/>
      <c r="F5297" s="18"/>
      <c r="G5297" s="36" t="str">
        <f>IF(ISNUMBER(F5297),C5297*F5297,"")</f>
        <v/>
      </c>
    </row>
    <row r="5298" spans="1:7" ht="12" customHeight="1" outlineLevel="2" x14ac:dyDescent="0.2">
      <c r="A5298" s="14" t="s">
        <v>10435</v>
      </c>
      <c r="B5298" s="15" t="s">
        <v>10436</v>
      </c>
      <c r="C5298" s="16">
        <f>85.35/(1+B2)</f>
        <v>85.35</v>
      </c>
      <c r="D5298" s="17" t="s">
        <v>11</v>
      </c>
      <c r="E5298" s="17"/>
      <c r="F5298" s="18"/>
      <c r="G5298" s="36" t="str">
        <f>IF(ISNUMBER(F5298),C5298*F5298,"")</f>
        <v/>
      </c>
    </row>
    <row r="5299" spans="1:7" ht="12" customHeight="1" outlineLevel="2" x14ac:dyDescent="0.2">
      <c r="A5299" s="14" t="s">
        <v>10437</v>
      </c>
      <c r="B5299" s="15" t="s">
        <v>10438</v>
      </c>
      <c r="C5299" s="16">
        <f>62.4/(1+B2)</f>
        <v>62.4</v>
      </c>
      <c r="D5299" s="17" t="s">
        <v>11</v>
      </c>
      <c r="E5299" s="17"/>
      <c r="F5299" s="18"/>
      <c r="G5299" s="36" t="str">
        <f>IF(ISNUMBER(F5299),C5299*F5299,"")</f>
        <v/>
      </c>
    </row>
    <row r="5300" spans="1:7" ht="12" customHeight="1" outlineLevel="2" x14ac:dyDescent="0.2">
      <c r="A5300" s="14" t="s">
        <v>10439</v>
      </c>
      <c r="B5300" s="15" t="s">
        <v>10440</v>
      </c>
      <c r="C5300" s="16">
        <f>47.33/(1+B2)</f>
        <v>47.33</v>
      </c>
      <c r="D5300" s="17"/>
      <c r="E5300" s="17" t="s">
        <v>11</v>
      </c>
      <c r="F5300" s="18"/>
      <c r="G5300" s="36" t="str">
        <f>IF(ISNUMBER(F5300),C5300*F5300,"")</f>
        <v/>
      </c>
    </row>
    <row r="5301" spans="1:7" ht="12" customHeight="1" outlineLevel="2" x14ac:dyDescent="0.2">
      <c r="A5301" s="14" t="s">
        <v>10441</v>
      </c>
      <c r="B5301" s="15" t="s">
        <v>10442</v>
      </c>
      <c r="C5301" s="16">
        <f>73.13/(1+B2)</f>
        <v>73.13</v>
      </c>
      <c r="D5301" s="17" t="s">
        <v>11</v>
      </c>
      <c r="E5301" s="17"/>
      <c r="F5301" s="18"/>
      <c r="G5301" s="36" t="str">
        <f>IF(ISNUMBER(F5301),C5301*F5301,"")</f>
        <v/>
      </c>
    </row>
    <row r="5302" spans="1:7" ht="12" customHeight="1" outlineLevel="2" x14ac:dyDescent="0.2">
      <c r="A5302" s="14" t="s">
        <v>10443</v>
      </c>
      <c r="B5302" s="15" t="s">
        <v>10444</v>
      </c>
      <c r="C5302" s="16">
        <f>73.13/(1+B2)</f>
        <v>73.13</v>
      </c>
      <c r="D5302" s="17" t="s">
        <v>11</v>
      </c>
      <c r="E5302" s="17"/>
      <c r="F5302" s="18"/>
      <c r="G5302" s="36" t="str">
        <f>IF(ISNUMBER(F5302),C5302*F5302,"")</f>
        <v/>
      </c>
    </row>
    <row r="5303" spans="1:7" ht="12" customHeight="1" outlineLevel="2" x14ac:dyDescent="0.2">
      <c r="A5303" s="14" t="s">
        <v>10445</v>
      </c>
      <c r="B5303" s="15" t="s">
        <v>10446</v>
      </c>
      <c r="C5303" s="16">
        <f>73.13/(1+B2)</f>
        <v>73.13</v>
      </c>
      <c r="D5303" s="17" t="s">
        <v>11</v>
      </c>
      <c r="E5303" s="17"/>
      <c r="F5303" s="18"/>
      <c r="G5303" s="36" t="str">
        <f>IF(ISNUMBER(F5303),C5303*F5303,"")</f>
        <v/>
      </c>
    </row>
    <row r="5304" spans="1:7" ht="12" customHeight="1" outlineLevel="2" x14ac:dyDescent="0.2">
      <c r="A5304" s="14" t="s">
        <v>10447</v>
      </c>
      <c r="B5304" s="15" t="s">
        <v>10448</v>
      </c>
      <c r="C5304" s="16">
        <f>73.13/(1+B2)</f>
        <v>73.13</v>
      </c>
      <c r="D5304" s="17" t="s">
        <v>11</v>
      </c>
      <c r="E5304" s="17"/>
      <c r="F5304" s="18"/>
      <c r="G5304" s="36" t="str">
        <f>IF(ISNUMBER(F5304),C5304*F5304,"")</f>
        <v/>
      </c>
    </row>
    <row r="5305" spans="1:7" ht="12" customHeight="1" outlineLevel="2" x14ac:dyDescent="0.2">
      <c r="A5305" s="14" t="s">
        <v>10449</v>
      </c>
      <c r="B5305" s="15" t="s">
        <v>10450</v>
      </c>
      <c r="C5305" s="16">
        <f>44.06/(1+B2)</f>
        <v>44.06</v>
      </c>
      <c r="D5305" s="17" t="s">
        <v>11</v>
      </c>
      <c r="E5305" s="17"/>
      <c r="F5305" s="18"/>
      <c r="G5305" s="36" t="str">
        <f>IF(ISNUMBER(F5305),C5305*F5305,"")</f>
        <v/>
      </c>
    </row>
    <row r="5306" spans="1:7" ht="12" customHeight="1" outlineLevel="2" x14ac:dyDescent="0.2">
      <c r="A5306" s="14" t="s">
        <v>10451</v>
      </c>
      <c r="B5306" s="15" t="s">
        <v>10452</v>
      </c>
      <c r="C5306" s="16">
        <f>52.88/(1+B2)</f>
        <v>52.88</v>
      </c>
      <c r="D5306" s="17" t="s">
        <v>14</v>
      </c>
      <c r="E5306" s="17" t="s">
        <v>53</v>
      </c>
      <c r="F5306" s="18"/>
      <c r="G5306" s="36" t="str">
        <f>IF(ISNUMBER(F5306),C5306*F5306,"")</f>
        <v/>
      </c>
    </row>
    <row r="5307" spans="1:7" ht="12" customHeight="1" outlineLevel="2" x14ac:dyDescent="0.2">
      <c r="A5307" s="14" t="s">
        <v>10453</v>
      </c>
      <c r="B5307" s="15" t="s">
        <v>10454</v>
      </c>
      <c r="C5307" s="16">
        <f>44.06/(1+B2)</f>
        <v>44.06</v>
      </c>
      <c r="D5307" s="17" t="s">
        <v>11</v>
      </c>
      <c r="E5307" s="17" t="s">
        <v>11</v>
      </c>
      <c r="F5307" s="18"/>
      <c r="G5307" s="36" t="str">
        <f>IF(ISNUMBER(F5307),C5307*F5307,"")</f>
        <v/>
      </c>
    </row>
    <row r="5308" spans="1:7" ht="12" customHeight="1" outlineLevel="2" x14ac:dyDescent="0.2">
      <c r="A5308" s="14" t="s">
        <v>10455</v>
      </c>
      <c r="B5308" s="15" t="s">
        <v>10456</v>
      </c>
      <c r="C5308" s="16">
        <f>49.6/(1+B2)</f>
        <v>49.6</v>
      </c>
      <c r="D5308" s="17" t="s">
        <v>11</v>
      </c>
      <c r="E5308" s="17"/>
      <c r="F5308" s="18"/>
      <c r="G5308" s="36" t="str">
        <f>IF(ISNUMBER(F5308),C5308*F5308,"")</f>
        <v/>
      </c>
    </row>
    <row r="5309" spans="1:7" ht="12" customHeight="1" outlineLevel="2" x14ac:dyDescent="0.2">
      <c r="A5309" s="14" t="s">
        <v>10457</v>
      </c>
      <c r="B5309" s="15" t="s">
        <v>10458</v>
      </c>
      <c r="C5309" s="16">
        <f>49.6/(1+B2)</f>
        <v>49.6</v>
      </c>
      <c r="D5309" s="17" t="s">
        <v>11</v>
      </c>
      <c r="E5309" s="17"/>
      <c r="F5309" s="18"/>
      <c r="G5309" s="36" t="str">
        <f>IF(ISNUMBER(F5309),C5309*F5309,"")</f>
        <v/>
      </c>
    </row>
    <row r="5310" spans="1:7" ht="12" customHeight="1" outlineLevel="2" x14ac:dyDescent="0.2">
      <c r="A5310" s="14" t="s">
        <v>10459</v>
      </c>
      <c r="B5310" s="15" t="s">
        <v>10460</v>
      </c>
      <c r="C5310" s="16">
        <f>28.04/(1+B2)</f>
        <v>28.04</v>
      </c>
      <c r="D5310" s="17" t="s">
        <v>11</v>
      </c>
      <c r="E5310" s="17" t="s">
        <v>11</v>
      </c>
      <c r="F5310" s="18"/>
      <c r="G5310" s="36" t="str">
        <f>IF(ISNUMBER(F5310),C5310*F5310,"")</f>
        <v/>
      </c>
    </row>
    <row r="5311" spans="1:7" ht="12" customHeight="1" outlineLevel="2" x14ac:dyDescent="0.2">
      <c r="A5311" s="14" t="s">
        <v>10461</v>
      </c>
      <c r="B5311" s="15" t="s">
        <v>10462</v>
      </c>
      <c r="C5311" s="16">
        <f>28.04/(1+B2)</f>
        <v>28.04</v>
      </c>
      <c r="D5311" s="17" t="s">
        <v>11</v>
      </c>
      <c r="E5311" s="17"/>
      <c r="F5311" s="18"/>
      <c r="G5311" s="36" t="str">
        <f>IF(ISNUMBER(F5311),C5311*F5311,"")</f>
        <v/>
      </c>
    </row>
    <row r="5312" spans="1:7" ht="12" customHeight="1" outlineLevel="2" x14ac:dyDescent="0.2">
      <c r="A5312" s="14" t="s">
        <v>10463</v>
      </c>
      <c r="B5312" s="15" t="s">
        <v>10464</v>
      </c>
      <c r="C5312" s="16">
        <f>24.19/(1+B2)</f>
        <v>24.19</v>
      </c>
      <c r="D5312" s="17" t="s">
        <v>14</v>
      </c>
      <c r="E5312" s="17"/>
      <c r="F5312" s="18"/>
      <c r="G5312" s="36" t="str">
        <f>IF(ISNUMBER(F5312),C5312*F5312,"")</f>
        <v/>
      </c>
    </row>
    <row r="5313" spans="1:7" ht="12" customHeight="1" outlineLevel="2" x14ac:dyDescent="0.2">
      <c r="A5313" s="14" t="s">
        <v>10465</v>
      </c>
      <c r="B5313" s="15" t="s">
        <v>10466</v>
      </c>
      <c r="C5313" s="16">
        <f>77.76/(1+B2)</f>
        <v>77.760000000000005</v>
      </c>
      <c r="D5313" s="17" t="s">
        <v>106</v>
      </c>
      <c r="E5313" s="17"/>
      <c r="F5313" s="18"/>
      <c r="G5313" s="36" t="str">
        <f>IF(ISNUMBER(F5313),C5313*F5313,"")</f>
        <v/>
      </c>
    </row>
    <row r="5314" spans="1:7" ht="12" customHeight="1" outlineLevel="2" x14ac:dyDescent="0.2">
      <c r="A5314" s="14" t="s">
        <v>10467</v>
      </c>
      <c r="B5314" s="15" t="s">
        <v>10468</v>
      </c>
      <c r="C5314" s="16">
        <f>117.68/(1+B2)</f>
        <v>117.68</v>
      </c>
      <c r="D5314" s="17" t="s">
        <v>11</v>
      </c>
      <c r="E5314" s="17"/>
      <c r="F5314" s="18"/>
      <c r="G5314" s="36" t="str">
        <f>IF(ISNUMBER(F5314),C5314*F5314,"")</f>
        <v/>
      </c>
    </row>
    <row r="5315" spans="1:7" ht="12" customHeight="1" outlineLevel="2" x14ac:dyDescent="0.2">
      <c r="A5315" s="14" t="s">
        <v>10469</v>
      </c>
      <c r="B5315" s="15" t="s">
        <v>10470</v>
      </c>
      <c r="C5315" s="16">
        <f>111.64/(1+B2)</f>
        <v>111.64</v>
      </c>
      <c r="D5315" s="17" t="s">
        <v>11</v>
      </c>
      <c r="E5315" s="17"/>
      <c r="F5315" s="18"/>
      <c r="G5315" s="36" t="str">
        <f>IF(ISNUMBER(F5315),C5315*F5315,"")</f>
        <v/>
      </c>
    </row>
    <row r="5316" spans="1:7" ht="12" customHeight="1" outlineLevel="2" x14ac:dyDescent="0.2">
      <c r="A5316" s="14" t="s">
        <v>10471</v>
      </c>
      <c r="B5316" s="15" t="s">
        <v>10472</v>
      </c>
      <c r="C5316" s="16">
        <f>61.2/(1+B2)</f>
        <v>61.2</v>
      </c>
      <c r="D5316" s="17" t="s">
        <v>11</v>
      </c>
      <c r="E5316" s="17"/>
      <c r="F5316" s="18"/>
      <c r="G5316" s="36" t="str">
        <f>IF(ISNUMBER(F5316),C5316*F5316,"")</f>
        <v/>
      </c>
    </row>
    <row r="5317" spans="1:7" ht="12" customHeight="1" outlineLevel="2" x14ac:dyDescent="0.2">
      <c r="A5317" s="14" t="s">
        <v>10473</v>
      </c>
      <c r="B5317" s="15" t="s">
        <v>10474</v>
      </c>
      <c r="C5317" s="16">
        <f>50.36/(1+B2)</f>
        <v>50.36</v>
      </c>
      <c r="D5317" s="17"/>
      <c r="E5317" s="17" t="s">
        <v>11</v>
      </c>
      <c r="F5317" s="18"/>
      <c r="G5317" s="36" t="str">
        <f>IF(ISNUMBER(F5317),C5317*F5317,"")</f>
        <v/>
      </c>
    </row>
    <row r="5318" spans="1:7" ht="12" customHeight="1" outlineLevel="2" x14ac:dyDescent="0.2">
      <c r="A5318" s="14" t="s">
        <v>10475</v>
      </c>
      <c r="B5318" s="15" t="s">
        <v>10476</v>
      </c>
      <c r="C5318" s="16">
        <f>51.88/(1+B2)</f>
        <v>51.88</v>
      </c>
      <c r="D5318" s="17" t="s">
        <v>11</v>
      </c>
      <c r="E5318" s="17" t="s">
        <v>11</v>
      </c>
      <c r="F5318" s="18"/>
      <c r="G5318" s="36" t="str">
        <f>IF(ISNUMBER(F5318),C5318*F5318,"")</f>
        <v/>
      </c>
    </row>
    <row r="5319" spans="1:7" ht="12" customHeight="1" outlineLevel="2" x14ac:dyDescent="0.2">
      <c r="A5319" s="14" t="s">
        <v>10477</v>
      </c>
      <c r="B5319" s="15" t="s">
        <v>10478</v>
      </c>
      <c r="C5319" s="16">
        <f>50.36/(1+B2)</f>
        <v>50.36</v>
      </c>
      <c r="D5319" s="17" t="s">
        <v>11</v>
      </c>
      <c r="E5319" s="17"/>
      <c r="F5319" s="18"/>
      <c r="G5319" s="36" t="str">
        <f>IF(ISNUMBER(F5319),C5319*F5319,"")</f>
        <v/>
      </c>
    </row>
    <row r="5320" spans="1:7" ht="12" customHeight="1" outlineLevel="2" x14ac:dyDescent="0.2">
      <c r="A5320" s="14" t="s">
        <v>10479</v>
      </c>
      <c r="B5320" s="15" t="s">
        <v>10480</v>
      </c>
      <c r="C5320" s="16">
        <f>85.84/(1+B2)</f>
        <v>85.84</v>
      </c>
      <c r="D5320" s="17" t="s">
        <v>11</v>
      </c>
      <c r="E5320" s="17"/>
      <c r="F5320" s="18"/>
      <c r="G5320" s="36" t="str">
        <f>IF(ISNUMBER(F5320),C5320*F5320,"")</f>
        <v/>
      </c>
    </row>
    <row r="5321" spans="1:7" ht="12" customHeight="1" outlineLevel="2" x14ac:dyDescent="0.2">
      <c r="A5321" s="14" t="s">
        <v>10481</v>
      </c>
      <c r="B5321" s="15" t="s">
        <v>10482</v>
      </c>
      <c r="C5321" s="16">
        <f>51.56/(1+B2)</f>
        <v>51.56</v>
      </c>
      <c r="D5321" s="17" t="s">
        <v>11</v>
      </c>
      <c r="E5321" s="17"/>
      <c r="F5321" s="18"/>
      <c r="G5321" s="36" t="str">
        <f>IF(ISNUMBER(F5321),C5321*F5321,"")</f>
        <v/>
      </c>
    </row>
    <row r="5322" spans="1:7" ht="12" customHeight="1" outlineLevel="2" x14ac:dyDescent="0.2">
      <c r="A5322" s="14" t="s">
        <v>10483</v>
      </c>
      <c r="B5322" s="15" t="s">
        <v>10484</v>
      </c>
      <c r="C5322" s="16">
        <f>51.56/(1+B2)</f>
        <v>51.56</v>
      </c>
      <c r="D5322" s="17" t="s">
        <v>11</v>
      </c>
      <c r="E5322" s="17"/>
      <c r="F5322" s="18"/>
      <c r="G5322" s="36" t="str">
        <f>IF(ISNUMBER(F5322),C5322*F5322,"")</f>
        <v/>
      </c>
    </row>
    <row r="5323" spans="1:7" ht="12" customHeight="1" outlineLevel="2" x14ac:dyDescent="0.2">
      <c r="A5323" s="14" t="s">
        <v>10485</v>
      </c>
      <c r="B5323" s="15" t="s">
        <v>10486</v>
      </c>
      <c r="C5323" s="16">
        <f>65.66/(1+B2)</f>
        <v>65.66</v>
      </c>
      <c r="D5323" s="17" t="s">
        <v>11</v>
      </c>
      <c r="E5323" s="17"/>
      <c r="F5323" s="18"/>
      <c r="G5323" s="36" t="str">
        <f>IF(ISNUMBER(F5323),C5323*F5323,"")</f>
        <v/>
      </c>
    </row>
    <row r="5324" spans="1:7" ht="12" customHeight="1" outlineLevel="2" x14ac:dyDescent="0.2">
      <c r="A5324" s="14" t="s">
        <v>10487</v>
      </c>
      <c r="B5324" s="15" t="s">
        <v>10488</v>
      </c>
      <c r="C5324" s="16">
        <f>31.34/(1+B2)</f>
        <v>31.34</v>
      </c>
      <c r="D5324" s="17" t="s">
        <v>11</v>
      </c>
      <c r="E5324" s="17"/>
      <c r="F5324" s="18"/>
      <c r="G5324" s="36" t="str">
        <f>IF(ISNUMBER(F5324),C5324*F5324,"")</f>
        <v/>
      </c>
    </row>
    <row r="5325" spans="1:7" ht="12" customHeight="1" outlineLevel="2" x14ac:dyDescent="0.2">
      <c r="A5325" s="14" t="s">
        <v>10489</v>
      </c>
      <c r="B5325" s="15" t="s">
        <v>10490</v>
      </c>
      <c r="C5325" s="16">
        <f>95.55/(1+B2)</f>
        <v>95.55</v>
      </c>
      <c r="D5325" s="17" t="s">
        <v>11</v>
      </c>
      <c r="E5325" s="17"/>
      <c r="F5325" s="18"/>
      <c r="G5325" s="36" t="str">
        <f>IF(ISNUMBER(F5325),C5325*F5325,"")</f>
        <v/>
      </c>
    </row>
    <row r="5326" spans="1:7" ht="12" customHeight="1" outlineLevel="2" x14ac:dyDescent="0.2">
      <c r="A5326" s="14" t="s">
        <v>10491</v>
      </c>
      <c r="B5326" s="15" t="s">
        <v>10492</v>
      </c>
      <c r="C5326" s="16">
        <f>157.04/(1+B2)</f>
        <v>157.04</v>
      </c>
      <c r="D5326" s="17" t="s">
        <v>11</v>
      </c>
      <c r="E5326" s="17"/>
      <c r="F5326" s="18"/>
      <c r="G5326" s="36" t="str">
        <f>IF(ISNUMBER(F5326),C5326*F5326,"")</f>
        <v/>
      </c>
    </row>
    <row r="5327" spans="1:7" s="1" customFormat="1" ht="15.95" customHeight="1" outlineLevel="1" x14ac:dyDescent="0.25">
      <c r="A5327" s="11"/>
      <c r="B5327" s="12" t="s">
        <v>10493</v>
      </c>
      <c r="C5327" s="13"/>
      <c r="D5327" s="13"/>
      <c r="E5327" s="13"/>
      <c r="F5327" s="13"/>
      <c r="G5327" s="35"/>
    </row>
    <row r="5328" spans="1:7" ht="12" customHeight="1" outlineLevel="2" x14ac:dyDescent="0.2">
      <c r="A5328" s="14" t="s">
        <v>10494</v>
      </c>
      <c r="B5328" s="15" t="s">
        <v>10495</v>
      </c>
      <c r="C5328" s="16">
        <f>300.38/(1+B2)</f>
        <v>300.38</v>
      </c>
      <c r="D5328" s="17" t="s">
        <v>11</v>
      </c>
      <c r="E5328" s="17"/>
      <c r="F5328" s="18"/>
      <c r="G5328" s="36" t="str">
        <f>IF(ISNUMBER(F5328),C5328*F5328,"")</f>
        <v/>
      </c>
    </row>
    <row r="5329" spans="1:7" ht="12" customHeight="1" outlineLevel="2" x14ac:dyDescent="0.2">
      <c r="A5329" s="14" t="s">
        <v>10496</v>
      </c>
      <c r="B5329" s="15" t="s">
        <v>10497</v>
      </c>
      <c r="C5329" s="16">
        <f>257.51/(1+B2)</f>
        <v>257.51</v>
      </c>
      <c r="D5329" s="17" t="s">
        <v>11</v>
      </c>
      <c r="E5329" s="17" t="s">
        <v>11</v>
      </c>
      <c r="F5329" s="18"/>
      <c r="G5329" s="36" t="str">
        <f>IF(ISNUMBER(F5329),C5329*F5329,"")</f>
        <v/>
      </c>
    </row>
    <row r="5330" spans="1:7" ht="12" customHeight="1" outlineLevel="2" x14ac:dyDescent="0.2">
      <c r="A5330" s="14" t="s">
        <v>10498</v>
      </c>
      <c r="B5330" s="15" t="s">
        <v>10499</v>
      </c>
      <c r="C5330" s="16">
        <f>56.13/(1+B2)</f>
        <v>56.13</v>
      </c>
      <c r="D5330" s="17" t="s">
        <v>11</v>
      </c>
      <c r="E5330" s="17"/>
      <c r="F5330" s="18"/>
      <c r="G5330" s="36" t="str">
        <f>IF(ISNUMBER(F5330),C5330*F5330,"")</f>
        <v/>
      </c>
    </row>
    <row r="5331" spans="1:7" ht="12" customHeight="1" outlineLevel="2" x14ac:dyDescent="0.2">
      <c r="A5331" s="14" t="s">
        <v>10500</v>
      </c>
      <c r="B5331" s="15" t="s">
        <v>10501</v>
      </c>
      <c r="C5331" s="16">
        <f>13.74/(1+B2)</f>
        <v>13.74</v>
      </c>
      <c r="D5331" s="17" t="s">
        <v>11</v>
      </c>
      <c r="E5331" s="17"/>
      <c r="F5331" s="18"/>
      <c r="G5331" s="36" t="str">
        <f>IF(ISNUMBER(F5331),C5331*F5331,"")</f>
        <v/>
      </c>
    </row>
    <row r="5332" spans="1:7" ht="12" customHeight="1" outlineLevel="2" x14ac:dyDescent="0.2">
      <c r="A5332" s="14" t="s">
        <v>10502</v>
      </c>
      <c r="B5332" s="15" t="s">
        <v>10503</v>
      </c>
      <c r="C5332" s="16">
        <f>57.06/(1+B2)</f>
        <v>57.06</v>
      </c>
      <c r="D5332" s="17" t="s">
        <v>11</v>
      </c>
      <c r="E5332" s="17"/>
      <c r="F5332" s="18"/>
      <c r="G5332" s="36" t="str">
        <f>IF(ISNUMBER(F5332),C5332*F5332,"")</f>
        <v/>
      </c>
    </row>
    <row r="5333" spans="1:7" ht="12" customHeight="1" outlineLevel="2" x14ac:dyDescent="0.2">
      <c r="A5333" s="14" t="s">
        <v>10504</v>
      </c>
      <c r="B5333" s="15" t="s">
        <v>10505</v>
      </c>
      <c r="C5333" s="16">
        <f>119.25/(1+B2)</f>
        <v>119.25</v>
      </c>
      <c r="D5333" s="17" t="s">
        <v>11</v>
      </c>
      <c r="E5333" s="17" t="s">
        <v>11</v>
      </c>
      <c r="F5333" s="18"/>
      <c r="G5333" s="36" t="str">
        <f>IF(ISNUMBER(F5333),C5333*F5333,"")</f>
        <v/>
      </c>
    </row>
    <row r="5334" spans="1:7" ht="12" customHeight="1" outlineLevel="2" x14ac:dyDescent="0.2">
      <c r="A5334" s="14" t="s">
        <v>10506</v>
      </c>
      <c r="B5334" s="15" t="s">
        <v>10507</v>
      </c>
      <c r="C5334" s="16">
        <f>119.25/(1+B2)</f>
        <v>119.25</v>
      </c>
      <c r="D5334" s="17" t="s">
        <v>11</v>
      </c>
      <c r="E5334" s="17" t="s">
        <v>11</v>
      </c>
      <c r="F5334" s="18"/>
      <c r="G5334" s="36" t="str">
        <f>IF(ISNUMBER(F5334),C5334*F5334,"")</f>
        <v/>
      </c>
    </row>
    <row r="5335" spans="1:7" ht="12" customHeight="1" outlineLevel="2" x14ac:dyDescent="0.2">
      <c r="A5335" s="14" t="s">
        <v>10508</v>
      </c>
      <c r="B5335" s="15" t="s">
        <v>10509</v>
      </c>
      <c r="C5335" s="16">
        <f>119.25/(1+B2)</f>
        <v>119.25</v>
      </c>
      <c r="D5335" s="17" t="s">
        <v>11</v>
      </c>
      <c r="E5335" s="17"/>
      <c r="F5335" s="18"/>
      <c r="G5335" s="36" t="str">
        <f>IF(ISNUMBER(F5335),C5335*F5335,"")</f>
        <v/>
      </c>
    </row>
    <row r="5336" spans="1:7" ht="12" customHeight="1" outlineLevel="2" x14ac:dyDescent="0.2">
      <c r="A5336" s="14" t="s">
        <v>10510</v>
      </c>
      <c r="B5336" s="15" t="s">
        <v>10511</v>
      </c>
      <c r="C5336" s="16">
        <f>141.75/(1+B2)</f>
        <v>141.75</v>
      </c>
      <c r="D5336" s="17" t="s">
        <v>11</v>
      </c>
      <c r="E5336" s="17" t="s">
        <v>11</v>
      </c>
      <c r="F5336" s="18"/>
      <c r="G5336" s="36" t="str">
        <f>IF(ISNUMBER(F5336),C5336*F5336,"")</f>
        <v/>
      </c>
    </row>
    <row r="5337" spans="1:7" ht="12" customHeight="1" outlineLevel="2" x14ac:dyDescent="0.2">
      <c r="A5337" s="14" t="s">
        <v>10512</v>
      </c>
      <c r="B5337" s="15" t="s">
        <v>10513</v>
      </c>
      <c r="C5337" s="16">
        <f>141.75/(1+B2)</f>
        <v>141.75</v>
      </c>
      <c r="D5337" s="17" t="s">
        <v>11</v>
      </c>
      <c r="E5337" s="17" t="s">
        <v>11</v>
      </c>
      <c r="F5337" s="18"/>
      <c r="G5337" s="36" t="str">
        <f>IF(ISNUMBER(F5337),C5337*F5337,"")</f>
        <v/>
      </c>
    </row>
    <row r="5338" spans="1:7" ht="12" customHeight="1" outlineLevel="2" x14ac:dyDescent="0.2">
      <c r="A5338" s="14" t="s">
        <v>10514</v>
      </c>
      <c r="B5338" s="15" t="s">
        <v>10515</v>
      </c>
      <c r="C5338" s="16">
        <f>141.75/(1+B2)</f>
        <v>141.75</v>
      </c>
      <c r="D5338" s="17" t="s">
        <v>11</v>
      </c>
      <c r="E5338" s="17" t="s">
        <v>11</v>
      </c>
      <c r="F5338" s="18"/>
      <c r="G5338" s="36" t="str">
        <f>IF(ISNUMBER(F5338),C5338*F5338,"")</f>
        <v/>
      </c>
    </row>
    <row r="5339" spans="1:7" ht="12" customHeight="1" outlineLevel="2" x14ac:dyDescent="0.2">
      <c r="A5339" s="14" t="s">
        <v>10516</v>
      </c>
      <c r="B5339" s="15" t="s">
        <v>10517</v>
      </c>
      <c r="C5339" s="16">
        <f>168.75/(1+B2)</f>
        <v>168.75</v>
      </c>
      <c r="D5339" s="17" t="s">
        <v>11</v>
      </c>
      <c r="E5339" s="17" t="s">
        <v>11</v>
      </c>
      <c r="F5339" s="18"/>
      <c r="G5339" s="36" t="str">
        <f>IF(ISNUMBER(F5339),C5339*F5339,"")</f>
        <v/>
      </c>
    </row>
    <row r="5340" spans="1:7" ht="12" customHeight="1" outlineLevel="2" x14ac:dyDescent="0.2">
      <c r="A5340" s="14" t="s">
        <v>10518</v>
      </c>
      <c r="B5340" s="15" t="s">
        <v>10519</v>
      </c>
      <c r="C5340" s="16">
        <f>168.75/(1+B2)</f>
        <v>168.75</v>
      </c>
      <c r="D5340" s="17" t="s">
        <v>11</v>
      </c>
      <c r="E5340" s="17" t="s">
        <v>11</v>
      </c>
      <c r="F5340" s="18"/>
      <c r="G5340" s="36" t="str">
        <f>IF(ISNUMBER(F5340),C5340*F5340,"")</f>
        <v/>
      </c>
    </row>
    <row r="5341" spans="1:7" ht="12" customHeight="1" outlineLevel="2" x14ac:dyDescent="0.2">
      <c r="A5341" s="14" t="s">
        <v>10520</v>
      </c>
      <c r="B5341" s="15" t="s">
        <v>10521</v>
      </c>
      <c r="C5341" s="16">
        <f>45.34/(1+B2)</f>
        <v>45.34</v>
      </c>
      <c r="D5341" s="17" t="s">
        <v>11</v>
      </c>
      <c r="E5341" s="17" t="s">
        <v>53</v>
      </c>
      <c r="F5341" s="18"/>
      <c r="G5341" s="36" t="str">
        <f>IF(ISNUMBER(F5341),C5341*F5341,"")</f>
        <v/>
      </c>
    </row>
    <row r="5342" spans="1:7" s="1" customFormat="1" ht="15.95" customHeight="1" outlineLevel="1" x14ac:dyDescent="0.25">
      <c r="A5342" s="11"/>
      <c r="B5342" s="12" t="s">
        <v>10522</v>
      </c>
      <c r="C5342" s="13"/>
      <c r="D5342" s="13"/>
      <c r="E5342" s="13"/>
      <c r="F5342" s="13"/>
      <c r="G5342" s="35"/>
    </row>
    <row r="5343" spans="1:7" ht="12" customHeight="1" outlineLevel="2" x14ac:dyDescent="0.2">
      <c r="A5343" s="14" t="s">
        <v>10523</v>
      </c>
      <c r="B5343" s="15" t="s">
        <v>10524</v>
      </c>
      <c r="C5343" s="16">
        <f>23.87/(1+B2)</f>
        <v>23.87</v>
      </c>
      <c r="D5343" s="17" t="s">
        <v>11</v>
      </c>
      <c r="E5343" s="17"/>
      <c r="F5343" s="18"/>
      <c r="G5343" s="36" t="str">
        <f>IF(ISNUMBER(F5343),C5343*F5343,"")</f>
        <v/>
      </c>
    </row>
    <row r="5344" spans="1:7" ht="12" customHeight="1" outlineLevel="2" x14ac:dyDescent="0.2">
      <c r="A5344" s="14" t="s">
        <v>10525</v>
      </c>
      <c r="B5344" s="15" t="s">
        <v>10526</v>
      </c>
      <c r="C5344" s="16">
        <f>32.76/(1+B2)</f>
        <v>32.76</v>
      </c>
      <c r="D5344" s="17" t="s">
        <v>11</v>
      </c>
      <c r="E5344" s="17"/>
      <c r="F5344" s="18"/>
      <c r="G5344" s="36" t="str">
        <f>IF(ISNUMBER(F5344),C5344*F5344,"")</f>
        <v/>
      </c>
    </row>
    <row r="5345" spans="1:7" ht="12" customHeight="1" outlineLevel="2" x14ac:dyDescent="0.2">
      <c r="A5345" s="14" t="s">
        <v>10527</v>
      </c>
      <c r="B5345" s="15" t="s">
        <v>10528</v>
      </c>
      <c r="C5345" s="16">
        <f>32.76/(1+B2)</f>
        <v>32.76</v>
      </c>
      <c r="D5345" s="17" t="s">
        <v>11</v>
      </c>
      <c r="E5345" s="17"/>
      <c r="F5345" s="18"/>
      <c r="G5345" s="36" t="str">
        <f>IF(ISNUMBER(F5345),C5345*F5345,"")</f>
        <v/>
      </c>
    </row>
    <row r="5346" spans="1:7" ht="12" customHeight="1" outlineLevel="2" x14ac:dyDescent="0.2">
      <c r="A5346" s="14" t="s">
        <v>10529</v>
      </c>
      <c r="B5346" s="15" t="s">
        <v>10530</v>
      </c>
      <c r="C5346" s="16">
        <f>13.91/(1+B2)</f>
        <v>13.91</v>
      </c>
      <c r="D5346" s="17"/>
      <c r="E5346" s="17" t="s">
        <v>53</v>
      </c>
      <c r="F5346" s="18"/>
      <c r="G5346" s="36" t="str">
        <f>IF(ISNUMBER(F5346),C5346*F5346,"")</f>
        <v/>
      </c>
    </row>
    <row r="5347" spans="1:7" ht="12" customHeight="1" outlineLevel="2" x14ac:dyDescent="0.2">
      <c r="A5347" s="14" t="s">
        <v>10531</v>
      </c>
      <c r="B5347" s="15" t="s">
        <v>10532</v>
      </c>
      <c r="C5347" s="16">
        <f>13.91/(1+B2)</f>
        <v>13.91</v>
      </c>
      <c r="D5347" s="17"/>
      <c r="E5347" s="17" t="s">
        <v>53</v>
      </c>
      <c r="F5347" s="18"/>
      <c r="G5347" s="36" t="str">
        <f>IF(ISNUMBER(F5347),C5347*F5347,"")</f>
        <v/>
      </c>
    </row>
    <row r="5348" spans="1:7" ht="12" customHeight="1" outlineLevel="2" x14ac:dyDescent="0.2">
      <c r="A5348" s="14" t="s">
        <v>10533</v>
      </c>
      <c r="B5348" s="15" t="s">
        <v>10534</v>
      </c>
      <c r="C5348" s="16">
        <f>13.91/(1+B2)</f>
        <v>13.91</v>
      </c>
      <c r="D5348" s="17" t="s">
        <v>11</v>
      </c>
      <c r="E5348" s="17" t="s">
        <v>53</v>
      </c>
      <c r="F5348" s="18"/>
      <c r="G5348" s="36" t="str">
        <f>IF(ISNUMBER(F5348),C5348*F5348,"")</f>
        <v/>
      </c>
    </row>
    <row r="5349" spans="1:7" ht="12" customHeight="1" outlineLevel="2" x14ac:dyDescent="0.2">
      <c r="A5349" s="14" t="s">
        <v>10535</v>
      </c>
      <c r="B5349" s="15" t="s">
        <v>10536</v>
      </c>
      <c r="C5349" s="16">
        <f>13.91/(1+B2)</f>
        <v>13.91</v>
      </c>
      <c r="D5349" s="17" t="s">
        <v>11</v>
      </c>
      <c r="E5349" s="17"/>
      <c r="F5349" s="18"/>
      <c r="G5349" s="36" t="str">
        <f>IF(ISNUMBER(F5349),C5349*F5349,"")</f>
        <v/>
      </c>
    </row>
    <row r="5350" spans="1:7" ht="12" customHeight="1" outlineLevel="2" x14ac:dyDescent="0.2">
      <c r="A5350" s="14" t="s">
        <v>10537</v>
      </c>
      <c r="B5350" s="15" t="s">
        <v>10538</v>
      </c>
      <c r="C5350" s="16">
        <f>13.91/(1+B2)</f>
        <v>13.91</v>
      </c>
      <c r="D5350" s="17" t="s">
        <v>14</v>
      </c>
      <c r="E5350" s="17"/>
      <c r="F5350" s="18"/>
      <c r="G5350" s="36" t="str">
        <f>IF(ISNUMBER(F5350),C5350*F5350,"")</f>
        <v/>
      </c>
    </row>
    <row r="5351" spans="1:7" ht="12" customHeight="1" outlineLevel="2" x14ac:dyDescent="0.2">
      <c r="A5351" s="14" t="s">
        <v>10539</v>
      </c>
      <c r="B5351" s="15" t="s">
        <v>10540</v>
      </c>
      <c r="C5351" s="16">
        <f>13.91/(1+B2)</f>
        <v>13.91</v>
      </c>
      <c r="D5351" s="17" t="s">
        <v>11</v>
      </c>
      <c r="E5351" s="17" t="s">
        <v>53</v>
      </c>
      <c r="F5351" s="18"/>
      <c r="G5351" s="36" t="str">
        <f>IF(ISNUMBER(F5351),C5351*F5351,"")</f>
        <v/>
      </c>
    </row>
    <row r="5352" spans="1:7" ht="12" customHeight="1" outlineLevel="2" x14ac:dyDescent="0.2">
      <c r="A5352" s="14" t="s">
        <v>10541</v>
      </c>
      <c r="B5352" s="15" t="s">
        <v>10542</v>
      </c>
      <c r="C5352" s="16">
        <f>57.33/(1+B2)</f>
        <v>57.33</v>
      </c>
      <c r="D5352" s="17" t="s">
        <v>14</v>
      </c>
      <c r="E5352" s="17"/>
      <c r="F5352" s="18"/>
      <c r="G5352" s="36" t="str">
        <f>IF(ISNUMBER(F5352),C5352*F5352,"")</f>
        <v/>
      </c>
    </row>
    <row r="5353" spans="1:7" ht="12" customHeight="1" outlineLevel="2" x14ac:dyDescent="0.2">
      <c r="A5353" s="14" t="s">
        <v>10543</v>
      </c>
      <c r="B5353" s="15" t="s">
        <v>10544</v>
      </c>
      <c r="C5353" s="16">
        <f>57.33/(1+B2)</f>
        <v>57.33</v>
      </c>
      <c r="D5353" s="17" t="s">
        <v>11</v>
      </c>
      <c r="E5353" s="17"/>
      <c r="F5353" s="18"/>
      <c r="G5353" s="36" t="str">
        <f>IF(ISNUMBER(F5353),C5353*F5353,"")</f>
        <v/>
      </c>
    </row>
    <row r="5354" spans="1:7" ht="12" customHeight="1" outlineLevel="2" x14ac:dyDescent="0.2">
      <c r="A5354" s="14" t="s">
        <v>10545</v>
      </c>
      <c r="B5354" s="15" t="s">
        <v>10546</v>
      </c>
      <c r="C5354" s="16">
        <f>57.33/(1+B2)</f>
        <v>57.33</v>
      </c>
      <c r="D5354" s="17" t="s">
        <v>11</v>
      </c>
      <c r="E5354" s="17" t="s">
        <v>11</v>
      </c>
      <c r="F5354" s="18"/>
      <c r="G5354" s="36" t="str">
        <f>IF(ISNUMBER(F5354),C5354*F5354,"")</f>
        <v/>
      </c>
    </row>
    <row r="5355" spans="1:7" ht="12" customHeight="1" outlineLevel="2" x14ac:dyDescent="0.2">
      <c r="A5355" s="14" t="s">
        <v>10547</v>
      </c>
      <c r="B5355" s="15" t="s">
        <v>10548</v>
      </c>
      <c r="C5355" s="16">
        <f>57.33/(1+B2)</f>
        <v>57.33</v>
      </c>
      <c r="D5355" s="17" t="s">
        <v>11</v>
      </c>
      <c r="E5355" s="17"/>
      <c r="F5355" s="18"/>
      <c r="G5355" s="36" t="str">
        <f>IF(ISNUMBER(F5355),C5355*F5355,"")</f>
        <v/>
      </c>
    </row>
    <row r="5356" spans="1:7" ht="12" customHeight="1" outlineLevel="2" x14ac:dyDescent="0.2">
      <c r="A5356" s="14" t="s">
        <v>10549</v>
      </c>
      <c r="B5356" s="15" t="s">
        <v>10550</v>
      </c>
      <c r="C5356" s="16">
        <f>57.33/(1+B2)</f>
        <v>57.33</v>
      </c>
      <c r="D5356" s="17" t="s">
        <v>106</v>
      </c>
      <c r="E5356" s="17"/>
      <c r="F5356" s="18"/>
      <c r="G5356" s="36" t="str">
        <f>IF(ISNUMBER(F5356),C5356*F5356,"")</f>
        <v/>
      </c>
    </row>
    <row r="5357" spans="1:7" ht="12" customHeight="1" outlineLevel="2" x14ac:dyDescent="0.2">
      <c r="A5357" s="14" t="s">
        <v>10551</v>
      </c>
      <c r="B5357" s="15" t="s">
        <v>10552</v>
      </c>
      <c r="C5357" s="16">
        <f>57.33/(1+B2)</f>
        <v>57.33</v>
      </c>
      <c r="D5357" s="17" t="s">
        <v>14</v>
      </c>
      <c r="E5357" s="17" t="s">
        <v>11</v>
      </c>
      <c r="F5357" s="18"/>
      <c r="G5357" s="36" t="str">
        <f>IF(ISNUMBER(F5357),C5357*F5357,"")</f>
        <v/>
      </c>
    </row>
    <row r="5358" spans="1:7" ht="12" customHeight="1" outlineLevel="2" x14ac:dyDescent="0.2">
      <c r="A5358" s="14" t="s">
        <v>10553</v>
      </c>
      <c r="B5358" s="15" t="s">
        <v>10554</v>
      </c>
      <c r="C5358" s="16">
        <f>57.33/(1+B2)</f>
        <v>57.33</v>
      </c>
      <c r="D5358" s="17" t="s">
        <v>11</v>
      </c>
      <c r="E5358" s="17"/>
      <c r="F5358" s="18"/>
      <c r="G5358" s="36" t="str">
        <f>IF(ISNUMBER(F5358),C5358*F5358,"")</f>
        <v/>
      </c>
    </row>
    <row r="5359" spans="1:7" ht="12" customHeight="1" outlineLevel="2" x14ac:dyDescent="0.2">
      <c r="A5359" s="14" t="s">
        <v>10555</v>
      </c>
      <c r="B5359" s="15" t="s">
        <v>10556</v>
      </c>
      <c r="C5359" s="16">
        <f>57.33/(1+B2)</f>
        <v>57.33</v>
      </c>
      <c r="D5359" s="17"/>
      <c r="E5359" s="17" t="s">
        <v>11</v>
      </c>
      <c r="F5359" s="18"/>
      <c r="G5359" s="36" t="str">
        <f>IF(ISNUMBER(F5359),C5359*F5359,"")</f>
        <v/>
      </c>
    </row>
    <row r="5360" spans="1:7" ht="12" customHeight="1" outlineLevel="2" x14ac:dyDescent="0.2">
      <c r="A5360" s="14" t="s">
        <v>10557</v>
      </c>
      <c r="B5360" s="15" t="s">
        <v>10558</v>
      </c>
      <c r="C5360" s="16">
        <f>64.15/(1+B2)</f>
        <v>64.150000000000006</v>
      </c>
      <c r="D5360" s="17" t="s">
        <v>53</v>
      </c>
      <c r="E5360" s="17"/>
      <c r="F5360" s="18"/>
      <c r="G5360" s="36" t="str">
        <f>IF(ISNUMBER(F5360),C5360*F5360,"")</f>
        <v/>
      </c>
    </row>
    <row r="5361" spans="1:7" ht="12" customHeight="1" outlineLevel="2" x14ac:dyDescent="0.2">
      <c r="A5361" s="14" t="s">
        <v>10559</v>
      </c>
      <c r="B5361" s="15" t="s">
        <v>10560</v>
      </c>
      <c r="C5361" s="16">
        <f>64.15/(1+B2)</f>
        <v>64.150000000000006</v>
      </c>
      <c r="D5361" s="17" t="s">
        <v>106</v>
      </c>
      <c r="E5361" s="17"/>
      <c r="F5361" s="18"/>
      <c r="G5361" s="36" t="str">
        <f>IF(ISNUMBER(F5361),C5361*F5361,"")</f>
        <v/>
      </c>
    </row>
    <row r="5362" spans="1:7" ht="12" customHeight="1" outlineLevel="2" x14ac:dyDescent="0.2">
      <c r="A5362" s="14" t="s">
        <v>10561</v>
      </c>
      <c r="B5362" s="15" t="s">
        <v>10562</v>
      </c>
      <c r="C5362" s="16">
        <f>64.15/(1+B2)</f>
        <v>64.150000000000006</v>
      </c>
      <c r="D5362" s="17" t="s">
        <v>11</v>
      </c>
      <c r="E5362" s="17"/>
      <c r="F5362" s="18"/>
      <c r="G5362" s="36" t="str">
        <f>IF(ISNUMBER(F5362),C5362*F5362,"")</f>
        <v/>
      </c>
    </row>
    <row r="5363" spans="1:7" ht="12" customHeight="1" outlineLevel="2" x14ac:dyDescent="0.2">
      <c r="A5363" s="14" t="s">
        <v>10563</v>
      </c>
      <c r="B5363" s="15" t="s">
        <v>10564</v>
      </c>
      <c r="C5363" s="16">
        <f>64.15/(1+B2)</f>
        <v>64.150000000000006</v>
      </c>
      <c r="D5363" s="17" t="s">
        <v>11</v>
      </c>
      <c r="E5363" s="17" t="s">
        <v>11</v>
      </c>
      <c r="F5363" s="18"/>
      <c r="G5363" s="36" t="str">
        <f>IF(ISNUMBER(F5363),C5363*F5363,"")</f>
        <v/>
      </c>
    </row>
    <row r="5364" spans="1:7" ht="12" customHeight="1" outlineLevel="2" x14ac:dyDescent="0.2">
      <c r="A5364" s="14" t="s">
        <v>10565</v>
      </c>
      <c r="B5364" s="15" t="s">
        <v>10566</v>
      </c>
      <c r="C5364" s="16">
        <f>64.15/(1+B2)</f>
        <v>64.150000000000006</v>
      </c>
      <c r="D5364" s="17" t="s">
        <v>106</v>
      </c>
      <c r="E5364" s="17"/>
      <c r="F5364" s="18"/>
      <c r="G5364" s="36" t="str">
        <f>IF(ISNUMBER(F5364),C5364*F5364,"")</f>
        <v/>
      </c>
    </row>
    <row r="5365" spans="1:7" ht="12" customHeight="1" outlineLevel="2" x14ac:dyDescent="0.2">
      <c r="A5365" s="14" t="s">
        <v>10567</v>
      </c>
      <c r="B5365" s="15" t="s">
        <v>10568</v>
      </c>
      <c r="C5365" s="16">
        <f>64.15/(1+B2)</f>
        <v>64.150000000000006</v>
      </c>
      <c r="D5365" s="17" t="s">
        <v>106</v>
      </c>
      <c r="E5365" s="17"/>
      <c r="F5365" s="18"/>
      <c r="G5365" s="36" t="str">
        <f>IF(ISNUMBER(F5365),C5365*F5365,"")</f>
        <v/>
      </c>
    </row>
    <row r="5366" spans="1:7" ht="12" customHeight="1" outlineLevel="2" x14ac:dyDescent="0.2">
      <c r="A5366" s="14" t="s">
        <v>10569</v>
      </c>
      <c r="B5366" s="15" t="s">
        <v>10570</v>
      </c>
      <c r="C5366" s="16">
        <f>64.15/(1+B2)</f>
        <v>64.150000000000006</v>
      </c>
      <c r="D5366" s="17"/>
      <c r="E5366" s="17" t="s">
        <v>14</v>
      </c>
      <c r="F5366" s="18"/>
      <c r="G5366" s="36" t="str">
        <f>IF(ISNUMBER(F5366),C5366*F5366,"")</f>
        <v/>
      </c>
    </row>
    <row r="5367" spans="1:7" ht="12" customHeight="1" outlineLevel="2" x14ac:dyDescent="0.2">
      <c r="A5367" s="14" t="s">
        <v>10571</v>
      </c>
      <c r="B5367" s="15" t="s">
        <v>10572</v>
      </c>
      <c r="C5367" s="16">
        <f>79.18/(1+B2)</f>
        <v>79.180000000000007</v>
      </c>
      <c r="D5367" s="17" t="s">
        <v>14</v>
      </c>
      <c r="E5367" s="17"/>
      <c r="F5367" s="18"/>
      <c r="G5367" s="36" t="str">
        <f>IF(ISNUMBER(F5367),C5367*F5367,"")</f>
        <v/>
      </c>
    </row>
    <row r="5368" spans="1:7" ht="12" customHeight="1" outlineLevel="2" x14ac:dyDescent="0.2">
      <c r="A5368" s="14" t="s">
        <v>10573</v>
      </c>
      <c r="B5368" s="15" t="s">
        <v>10574</v>
      </c>
      <c r="C5368" s="16">
        <f>79.18/(1+B2)</f>
        <v>79.180000000000007</v>
      </c>
      <c r="D5368" s="17" t="s">
        <v>53</v>
      </c>
      <c r="E5368" s="17"/>
      <c r="F5368" s="18"/>
      <c r="G5368" s="36" t="str">
        <f>IF(ISNUMBER(F5368),C5368*F5368,"")</f>
        <v/>
      </c>
    </row>
    <row r="5369" spans="1:7" ht="12" customHeight="1" outlineLevel="2" x14ac:dyDescent="0.2">
      <c r="A5369" s="14" t="s">
        <v>10575</v>
      </c>
      <c r="B5369" s="15" t="s">
        <v>10576</v>
      </c>
      <c r="C5369" s="16">
        <f>79.18/(1+B2)</f>
        <v>79.180000000000007</v>
      </c>
      <c r="D5369" s="17" t="s">
        <v>11</v>
      </c>
      <c r="E5369" s="17"/>
      <c r="F5369" s="18"/>
      <c r="G5369" s="36" t="str">
        <f>IF(ISNUMBER(F5369),C5369*F5369,"")</f>
        <v/>
      </c>
    </row>
    <row r="5370" spans="1:7" ht="12" customHeight="1" outlineLevel="2" x14ac:dyDescent="0.2">
      <c r="A5370" s="14" t="s">
        <v>10577</v>
      </c>
      <c r="B5370" s="15" t="s">
        <v>10578</v>
      </c>
      <c r="C5370" s="16">
        <f>79.18/(1+B2)</f>
        <v>79.180000000000007</v>
      </c>
      <c r="D5370" s="17" t="s">
        <v>14</v>
      </c>
      <c r="E5370" s="17"/>
      <c r="F5370" s="18"/>
      <c r="G5370" s="36" t="str">
        <f>IF(ISNUMBER(F5370),C5370*F5370,"")</f>
        <v/>
      </c>
    </row>
    <row r="5371" spans="1:7" ht="12" customHeight="1" outlineLevel="2" x14ac:dyDescent="0.2">
      <c r="A5371" s="14" t="s">
        <v>10579</v>
      </c>
      <c r="B5371" s="15" t="s">
        <v>10580</v>
      </c>
      <c r="C5371" s="16">
        <f>79.18/(1+B2)</f>
        <v>79.180000000000007</v>
      </c>
      <c r="D5371" s="17" t="s">
        <v>53</v>
      </c>
      <c r="E5371" s="17"/>
      <c r="F5371" s="18"/>
      <c r="G5371" s="36" t="str">
        <f>IF(ISNUMBER(F5371),C5371*F5371,"")</f>
        <v/>
      </c>
    </row>
    <row r="5372" spans="1:7" ht="12" customHeight="1" outlineLevel="2" x14ac:dyDescent="0.2">
      <c r="A5372" s="14" t="s">
        <v>10581</v>
      </c>
      <c r="B5372" s="15" t="s">
        <v>10582</v>
      </c>
      <c r="C5372" s="16">
        <f>79.18/(1+B2)</f>
        <v>79.180000000000007</v>
      </c>
      <c r="D5372" s="17" t="s">
        <v>11</v>
      </c>
      <c r="E5372" s="17"/>
      <c r="F5372" s="18"/>
      <c r="G5372" s="36" t="str">
        <f>IF(ISNUMBER(F5372),C5372*F5372,"")</f>
        <v/>
      </c>
    </row>
    <row r="5373" spans="1:7" ht="12" customHeight="1" outlineLevel="2" x14ac:dyDescent="0.2">
      <c r="A5373" s="14" t="s">
        <v>10583</v>
      </c>
      <c r="B5373" s="15" t="s">
        <v>10584</v>
      </c>
      <c r="C5373" s="16">
        <f>79.18/(1+B2)</f>
        <v>79.180000000000007</v>
      </c>
      <c r="D5373" s="17" t="s">
        <v>14</v>
      </c>
      <c r="E5373" s="17"/>
      <c r="F5373" s="18"/>
      <c r="G5373" s="36" t="str">
        <f>IF(ISNUMBER(F5373),C5373*F5373,"")</f>
        <v/>
      </c>
    </row>
    <row r="5374" spans="1:7" ht="12" customHeight="1" outlineLevel="2" x14ac:dyDescent="0.2">
      <c r="A5374" s="14" t="s">
        <v>10585</v>
      </c>
      <c r="B5374" s="15" t="s">
        <v>10586</v>
      </c>
      <c r="C5374" s="16">
        <f>79.18/(1+B2)</f>
        <v>79.180000000000007</v>
      </c>
      <c r="D5374" s="17" t="s">
        <v>53</v>
      </c>
      <c r="E5374" s="17"/>
      <c r="F5374" s="18"/>
      <c r="G5374" s="36" t="str">
        <f>IF(ISNUMBER(F5374),C5374*F5374,"")</f>
        <v/>
      </c>
    </row>
    <row r="5375" spans="1:7" s="1" customFormat="1" ht="15.95" customHeight="1" outlineLevel="1" x14ac:dyDescent="0.25">
      <c r="A5375" s="11"/>
      <c r="B5375" s="12" t="s">
        <v>10587</v>
      </c>
      <c r="C5375" s="13"/>
      <c r="D5375" s="13"/>
      <c r="E5375" s="13"/>
      <c r="F5375" s="13"/>
      <c r="G5375" s="35"/>
    </row>
    <row r="5376" spans="1:7" ht="12" customHeight="1" outlineLevel="2" x14ac:dyDescent="0.2">
      <c r="A5376" s="14" t="s">
        <v>10588</v>
      </c>
      <c r="B5376" s="15" t="s">
        <v>10589</v>
      </c>
      <c r="C5376" s="16">
        <f>20.6/(1+B2)</f>
        <v>20.6</v>
      </c>
      <c r="D5376" s="17" t="s">
        <v>11</v>
      </c>
      <c r="E5376" s="17"/>
      <c r="F5376" s="18"/>
      <c r="G5376" s="36" t="str">
        <f>IF(ISNUMBER(F5376),C5376*F5376,"")</f>
        <v/>
      </c>
    </row>
    <row r="5377" spans="1:7" ht="12" customHeight="1" outlineLevel="2" x14ac:dyDescent="0.2">
      <c r="A5377" s="14" t="s">
        <v>10590</v>
      </c>
      <c r="B5377" s="15" t="s">
        <v>10591</v>
      </c>
      <c r="C5377" s="16">
        <f>38.15/(1+B2)</f>
        <v>38.15</v>
      </c>
      <c r="D5377" s="17" t="s">
        <v>11</v>
      </c>
      <c r="E5377" s="17"/>
      <c r="F5377" s="18"/>
      <c r="G5377" s="36" t="str">
        <f>IF(ISNUMBER(F5377),C5377*F5377,"")</f>
        <v/>
      </c>
    </row>
    <row r="5378" spans="1:7" ht="12" customHeight="1" outlineLevel="2" x14ac:dyDescent="0.2">
      <c r="A5378" s="14" t="s">
        <v>10592</v>
      </c>
      <c r="B5378" s="15" t="s">
        <v>10593</v>
      </c>
      <c r="C5378" s="16">
        <f>19.84/(1+B2)</f>
        <v>19.84</v>
      </c>
      <c r="D5378" s="17" t="s">
        <v>11</v>
      </c>
      <c r="E5378" s="17"/>
      <c r="F5378" s="18"/>
      <c r="G5378" s="36" t="str">
        <f>IF(ISNUMBER(F5378),C5378*F5378,"")</f>
        <v/>
      </c>
    </row>
    <row r="5379" spans="1:7" ht="12" customHeight="1" outlineLevel="2" x14ac:dyDescent="0.2">
      <c r="A5379" s="14" t="s">
        <v>10594</v>
      </c>
      <c r="B5379" s="15" t="s">
        <v>10595</v>
      </c>
      <c r="C5379" s="16">
        <f>42.75/(1+B2)</f>
        <v>42.75</v>
      </c>
      <c r="D5379" s="17" t="s">
        <v>11</v>
      </c>
      <c r="E5379" s="17" t="s">
        <v>106</v>
      </c>
      <c r="F5379" s="18"/>
      <c r="G5379" s="36" t="str">
        <f>IF(ISNUMBER(F5379),C5379*F5379,"")</f>
        <v/>
      </c>
    </row>
    <row r="5380" spans="1:7" ht="12" customHeight="1" outlineLevel="2" x14ac:dyDescent="0.2">
      <c r="A5380" s="14" t="s">
        <v>10596</v>
      </c>
      <c r="B5380" s="15" t="s">
        <v>10597</v>
      </c>
      <c r="C5380" s="16">
        <f>42.75/(1+B2)</f>
        <v>42.75</v>
      </c>
      <c r="D5380" s="17" t="s">
        <v>11</v>
      </c>
      <c r="E5380" s="17" t="s">
        <v>106</v>
      </c>
      <c r="F5380" s="18"/>
      <c r="G5380" s="36" t="str">
        <f>IF(ISNUMBER(F5380),C5380*F5380,"")</f>
        <v/>
      </c>
    </row>
    <row r="5381" spans="1:7" ht="12" customHeight="1" outlineLevel="2" x14ac:dyDescent="0.2">
      <c r="A5381" s="14" t="s">
        <v>10598</v>
      </c>
      <c r="B5381" s="15" t="s">
        <v>10599</v>
      </c>
      <c r="C5381" s="16">
        <f>42.75/(1+B2)</f>
        <v>42.75</v>
      </c>
      <c r="D5381" s="17" t="s">
        <v>11</v>
      </c>
      <c r="E5381" s="17" t="s">
        <v>106</v>
      </c>
      <c r="F5381" s="18"/>
      <c r="G5381" s="36" t="str">
        <f>IF(ISNUMBER(F5381),C5381*F5381,"")</f>
        <v/>
      </c>
    </row>
    <row r="5382" spans="1:7" ht="12" customHeight="1" outlineLevel="2" x14ac:dyDescent="0.2">
      <c r="A5382" s="14" t="s">
        <v>10600</v>
      </c>
      <c r="B5382" s="15" t="s">
        <v>10601</v>
      </c>
      <c r="C5382" s="16">
        <f>42.75/(1+B2)</f>
        <v>42.75</v>
      </c>
      <c r="D5382" s="17" t="s">
        <v>11</v>
      </c>
      <c r="E5382" s="17" t="s">
        <v>106</v>
      </c>
      <c r="F5382" s="18"/>
      <c r="G5382" s="36" t="str">
        <f>IF(ISNUMBER(F5382),C5382*F5382,"")</f>
        <v/>
      </c>
    </row>
    <row r="5383" spans="1:7" ht="12" customHeight="1" outlineLevel="2" x14ac:dyDescent="0.2">
      <c r="A5383" s="14" t="s">
        <v>10602</v>
      </c>
      <c r="B5383" s="15" t="s">
        <v>10603</v>
      </c>
      <c r="C5383" s="16">
        <f>35.33/(1+B2)</f>
        <v>35.33</v>
      </c>
      <c r="D5383" s="17" t="s">
        <v>11</v>
      </c>
      <c r="E5383" s="17" t="s">
        <v>106</v>
      </c>
      <c r="F5383" s="18"/>
      <c r="G5383" s="36" t="str">
        <f>IF(ISNUMBER(F5383),C5383*F5383,"")</f>
        <v/>
      </c>
    </row>
    <row r="5384" spans="1:7" ht="12" customHeight="1" outlineLevel="2" x14ac:dyDescent="0.2">
      <c r="A5384" s="14" t="s">
        <v>10604</v>
      </c>
      <c r="B5384" s="15" t="s">
        <v>10605</v>
      </c>
      <c r="C5384" s="16">
        <f>25.19/(1+B2)</f>
        <v>25.19</v>
      </c>
      <c r="D5384" s="17" t="s">
        <v>11</v>
      </c>
      <c r="E5384" s="17"/>
      <c r="F5384" s="18"/>
      <c r="G5384" s="36" t="str">
        <f>IF(ISNUMBER(F5384),C5384*F5384,"")</f>
        <v/>
      </c>
    </row>
    <row r="5385" spans="1:7" ht="12" customHeight="1" outlineLevel="2" x14ac:dyDescent="0.2">
      <c r="A5385" s="14" t="s">
        <v>10606</v>
      </c>
      <c r="B5385" s="15" t="s">
        <v>10607</v>
      </c>
      <c r="C5385" s="16">
        <f>41.96/(1+B2)</f>
        <v>41.96</v>
      </c>
      <c r="D5385" s="17" t="s">
        <v>11</v>
      </c>
      <c r="E5385" s="17"/>
      <c r="F5385" s="18"/>
      <c r="G5385" s="36" t="str">
        <f>IF(ISNUMBER(F5385),C5385*F5385,"")</f>
        <v/>
      </c>
    </row>
    <row r="5386" spans="1:7" ht="12" customHeight="1" outlineLevel="2" x14ac:dyDescent="0.2">
      <c r="A5386" s="14" t="s">
        <v>10608</v>
      </c>
      <c r="B5386" s="15" t="s">
        <v>10609</v>
      </c>
      <c r="C5386" s="16">
        <f>62.83/(1+B2)</f>
        <v>62.83</v>
      </c>
      <c r="D5386" s="17" t="s">
        <v>14</v>
      </c>
      <c r="E5386" s="17"/>
      <c r="F5386" s="18"/>
      <c r="G5386" s="36" t="str">
        <f>IF(ISNUMBER(F5386),C5386*F5386,"")</f>
        <v/>
      </c>
    </row>
    <row r="5387" spans="1:7" ht="12" customHeight="1" outlineLevel="2" x14ac:dyDescent="0.2">
      <c r="A5387" s="14" t="s">
        <v>10610</v>
      </c>
      <c r="B5387" s="15" t="s">
        <v>10611</v>
      </c>
      <c r="C5387" s="16">
        <f>53.51/(1+B2)</f>
        <v>53.51</v>
      </c>
      <c r="D5387" s="17" t="s">
        <v>14</v>
      </c>
      <c r="E5387" s="17"/>
      <c r="F5387" s="18"/>
      <c r="G5387" s="36" t="str">
        <f>IF(ISNUMBER(F5387),C5387*F5387,"")</f>
        <v/>
      </c>
    </row>
    <row r="5388" spans="1:7" ht="12" customHeight="1" outlineLevel="2" x14ac:dyDescent="0.2">
      <c r="A5388" s="14" t="s">
        <v>10612</v>
      </c>
      <c r="B5388" s="15" t="s">
        <v>10613</v>
      </c>
      <c r="C5388" s="16">
        <f>96.91/(1+B2)</f>
        <v>96.91</v>
      </c>
      <c r="D5388" s="17" t="s">
        <v>14</v>
      </c>
      <c r="E5388" s="17"/>
      <c r="F5388" s="18"/>
      <c r="G5388" s="36" t="str">
        <f>IF(ISNUMBER(F5388),C5388*F5388,"")</f>
        <v/>
      </c>
    </row>
    <row r="5389" spans="1:7" ht="12" customHeight="1" outlineLevel="2" x14ac:dyDescent="0.2">
      <c r="A5389" s="14" t="s">
        <v>10614</v>
      </c>
      <c r="B5389" s="15" t="s">
        <v>10615</v>
      </c>
      <c r="C5389" s="16">
        <f>167.79/(1+B2)</f>
        <v>167.79</v>
      </c>
      <c r="D5389" s="17" t="s">
        <v>53</v>
      </c>
      <c r="E5389" s="17"/>
      <c r="F5389" s="18"/>
      <c r="G5389" s="36" t="str">
        <f>IF(ISNUMBER(F5389),C5389*F5389,"")</f>
        <v/>
      </c>
    </row>
    <row r="5390" spans="1:7" ht="12" customHeight="1" outlineLevel="2" x14ac:dyDescent="0.2">
      <c r="A5390" s="14" t="s">
        <v>10616</v>
      </c>
      <c r="B5390" s="15" t="s">
        <v>10617</v>
      </c>
      <c r="C5390" s="16">
        <f>36.85/(1+B2)</f>
        <v>36.85</v>
      </c>
      <c r="D5390" s="17" t="s">
        <v>53</v>
      </c>
      <c r="E5390" s="17"/>
      <c r="F5390" s="18"/>
      <c r="G5390" s="36" t="str">
        <f>IF(ISNUMBER(F5390),C5390*F5390,"")</f>
        <v/>
      </c>
    </row>
    <row r="5391" spans="1:7" ht="12" customHeight="1" outlineLevel="2" x14ac:dyDescent="0.2">
      <c r="A5391" s="14" t="s">
        <v>10618</v>
      </c>
      <c r="B5391" s="15" t="s">
        <v>10619</v>
      </c>
      <c r="C5391" s="16">
        <f>95.55/(1+B2)</f>
        <v>95.55</v>
      </c>
      <c r="D5391" s="17" t="s">
        <v>11</v>
      </c>
      <c r="E5391" s="17"/>
      <c r="F5391" s="18"/>
      <c r="G5391" s="36" t="str">
        <f>IF(ISNUMBER(F5391),C5391*F5391,"")</f>
        <v/>
      </c>
    </row>
    <row r="5392" spans="1:7" ht="12" customHeight="1" outlineLevel="2" x14ac:dyDescent="0.2">
      <c r="A5392" s="14" t="s">
        <v>10620</v>
      </c>
      <c r="B5392" s="15" t="s">
        <v>10621</v>
      </c>
      <c r="C5392" s="16">
        <f>11.66/(1+B2)</f>
        <v>11.66</v>
      </c>
      <c r="D5392" s="17" t="s">
        <v>11</v>
      </c>
      <c r="E5392" s="17"/>
      <c r="F5392" s="18"/>
      <c r="G5392" s="36" t="str">
        <f>IF(ISNUMBER(F5392),C5392*F5392,"")</f>
        <v/>
      </c>
    </row>
    <row r="5393" spans="1:7" s="1" customFormat="1" ht="15.95" customHeight="1" outlineLevel="1" x14ac:dyDescent="0.25">
      <c r="A5393" s="11"/>
      <c r="B5393" s="12" t="s">
        <v>10622</v>
      </c>
      <c r="C5393" s="13"/>
      <c r="D5393" s="13"/>
      <c r="E5393" s="13"/>
      <c r="F5393" s="13"/>
      <c r="G5393" s="35"/>
    </row>
    <row r="5394" spans="1:7" ht="12" customHeight="1" outlineLevel="2" x14ac:dyDescent="0.2">
      <c r="A5394" s="14" t="s">
        <v>10623</v>
      </c>
      <c r="B5394" s="15" t="s">
        <v>10624</v>
      </c>
      <c r="C5394" s="16">
        <f>32.5/(1+B2)</f>
        <v>32.5</v>
      </c>
      <c r="D5394" s="17" t="s">
        <v>11</v>
      </c>
      <c r="E5394" s="17"/>
      <c r="F5394" s="18"/>
      <c r="G5394" s="36" t="str">
        <f>IF(ISNUMBER(F5394),C5394*F5394,"")</f>
        <v/>
      </c>
    </row>
    <row r="5395" spans="1:7" ht="12" customHeight="1" outlineLevel="2" x14ac:dyDescent="0.2">
      <c r="A5395" s="14" t="s">
        <v>10625</v>
      </c>
      <c r="B5395" s="15" t="s">
        <v>10626</v>
      </c>
      <c r="C5395" s="16">
        <f>67.05/(1+B2)</f>
        <v>67.05</v>
      </c>
      <c r="D5395" s="17" t="s">
        <v>11</v>
      </c>
      <c r="E5395" s="17" t="s">
        <v>11</v>
      </c>
      <c r="F5395" s="18"/>
      <c r="G5395" s="36" t="str">
        <f>IF(ISNUMBER(F5395),C5395*F5395,"")</f>
        <v/>
      </c>
    </row>
    <row r="5396" spans="1:7" ht="12" customHeight="1" outlineLevel="2" x14ac:dyDescent="0.2">
      <c r="A5396" s="14" t="s">
        <v>10627</v>
      </c>
      <c r="B5396" s="15" t="s">
        <v>10628</v>
      </c>
      <c r="C5396" s="16">
        <f>42.54/(1+B2)</f>
        <v>42.54</v>
      </c>
      <c r="D5396" s="17" t="s">
        <v>11</v>
      </c>
      <c r="E5396" s="17"/>
      <c r="F5396" s="18"/>
      <c r="G5396" s="36" t="str">
        <f>IF(ISNUMBER(F5396),C5396*F5396,"")</f>
        <v/>
      </c>
    </row>
    <row r="5397" spans="1:7" ht="12" customHeight="1" outlineLevel="2" x14ac:dyDescent="0.2">
      <c r="A5397" s="14" t="s">
        <v>10629</v>
      </c>
      <c r="B5397" s="15" t="s">
        <v>10630</v>
      </c>
      <c r="C5397" s="16">
        <f>37.79/(1+B2)</f>
        <v>37.79</v>
      </c>
      <c r="D5397" s="17" t="s">
        <v>11</v>
      </c>
      <c r="E5397" s="17"/>
      <c r="F5397" s="18"/>
      <c r="G5397" s="36" t="str">
        <f>IF(ISNUMBER(F5397),C5397*F5397,"")</f>
        <v/>
      </c>
    </row>
    <row r="5398" spans="1:7" ht="12" customHeight="1" outlineLevel="2" x14ac:dyDescent="0.2">
      <c r="A5398" s="14" t="s">
        <v>10631</v>
      </c>
      <c r="B5398" s="15" t="s">
        <v>10632</v>
      </c>
      <c r="C5398" s="16">
        <f>124.99/(1+B2)</f>
        <v>124.99</v>
      </c>
      <c r="D5398" s="17" t="s">
        <v>11</v>
      </c>
      <c r="E5398" s="17" t="s">
        <v>14</v>
      </c>
      <c r="F5398" s="18"/>
      <c r="G5398" s="36" t="str">
        <f>IF(ISNUMBER(F5398),C5398*F5398,"")</f>
        <v/>
      </c>
    </row>
    <row r="5399" spans="1:7" ht="24" customHeight="1" outlineLevel="2" x14ac:dyDescent="0.2">
      <c r="A5399" s="14" t="s">
        <v>10633</v>
      </c>
      <c r="B5399" s="15" t="s">
        <v>10634</v>
      </c>
      <c r="C5399" s="16">
        <f>110.25/(1+B2)</f>
        <v>110.25</v>
      </c>
      <c r="D5399" s="17" t="s">
        <v>11</v>
      </c>
      <c r="E5399" s="17" t="s">
        <v>11</v>
      </c>
      <c r="F5399" s="18"/>
      <c r="G5399" s="36" t="str">
        <f>IF(ISNUMBER(F5399),C5399*F5399,"")</f>
        <v/>
      </c>
    </row>
    <row r="5400" spans="1:7" ht="12" customHeight="1" outlineLevel="2" x14ac:dyDescent="0.2">
      <c r="A5400" s="14" t="s">
        <v>10635</v>
      </c>
      <c r="B5400" s="15" t="s">
        <v>10636</v>
      </c>
      <c r="C5400" s="16">
        <f>26.96/(1+B2)</f>
        <v>26.96</v>
      </c>
      <c r="D5400" s="17" t="s">
        <v>11</v>
      </c>
      <c r="E5400" s="17"/>
      <c r="F5400" s="18"/>
      <c r="G5400" s="36" t="str">
        <f>IF(ISNUMBER(F5400),C5400*F5400,"")</f>
        <v/>
      </c>
    </row>
    <row r="5401" spans="1:7" ht="12" customHeight="1" outlineLevel="2" x14ac:dyDescent="0.2">
      <c r="A5401" s="14" t="s">
        <v>10637</v>
      </c>
      <c r="B5401" s="15" t="s">
        <v>10638</v>
      </c>
      <c r="C5401" s="16">
        <f>34.43/(1+B2)</f>
        <v>34.43</v>
      </c>
      <c r="D5401" s="17" t="s">
        <v>11</v>
      </c>
      <c r="E5401" s="17" t="s">
        <v>53</v>
      </c>
      <c r="F5401" s="18"/>
      <c r="G5401" s="36" t="str">
        <f>IF(ISNUMBER(F5401),C5401*F5401,"")</f>
        <v/>
      </c>
    </row>
    <row r="5402" spans="1:7" ht="12" customHeight="1" outlineLevel="2" x14ac:dyDescent="0.2">
      <c r="A5402" s="14" t="s">
        <v>10639</v>
      </c>
      <c r="B5402" s="15" t="s">
        <v>10640</v>
      </c>
      <c r="C5402" s="16">
        <f>39.83/(1+B2)</f>
        <v>39.83</v>
      </c>
      <c r="D5402" s="17" t="s">
        <v>14</v>
      </c>
      <c r="E5402" s="17" t="s">
        <v>53</v>
      </c>
      <c r="F5402" s="18"/>
      <c r="G5402" s="36" t="str">
        <f>IF(ISNUMBER(F5402),C5402*F5402,"")</f>
        <v/>
      </c>
    </row>
    <row r="5403" spans="1:7" ht="12" customHeight="1" outlineLevel="2" x14ac:dyDescent="0.2">
      <c r="A5403" s="14" t="s">
        <v>10641</v>
      </c>
      <c r="B5403" s="15" t="s">
        <v>10642</v>
      </c>
      <c r="C5403" s="16">
        <f>70.31/(1+B2)</f>
        <v>70.31</v>
      </c>
      <c r="D5403" s="17" t="s">
        <v>11</v>
      </c>
      <c r="E5403" s="17"/>
      <c r="F5403" s="18"/>
      <c r="G5403" s="36" t="str">
        <f>IF(ISNUMBER(F5403),C5403*F5403,"")</f>
        <v/>
      </c>
    </row>
    <row r="5404" spans="1:7" ht="12" customHeight="1" outlineLevel="2" x14ac:dyDescent="0.2">
      <c r="A5404" s="14" t="s">
        <v>10643</v>
      </c>
      <c r="B5404" s="15" t="s">
        <v>10644</v>
      </c>
      <c r="C5404" s="16">
        <f>90.56/(1+B2)</f>
        <v>90.56</v>
      </c>
      <c r="D5404" s="17" t="s">
        <v>14</v>
      </c>
      <c r="E5404" s="17"/>
      <c r="F5404" s="18"/>
      <c r="G5404" s="36" t="str">
        <f>IF(ISNUMBER(F5404),C5404*F5404,"")</f>
        <v/>
      </c>
    </row>
    <row r="5405" spans="1:7" ht="12" customHeight="1" outlineLevel="2" x14ac:dyDescent="0.2">
      <c r="A5405" s="14" t="s">
        <v>10645</v>
      </c>
      <c r="B5405" s="15" t="s">
        <v>10646</v>
      </c>
      <c r="C5405" s="16">
        <f>68.29/(1+B2)</f>
        <v>68.290000000000006</v>
      </c>
      <c r="D5405" s="17" t="s">
        <v>11</v>
      </c>
      <c r="E5405" s="17"/>
      <c r="F5405" s="18"/>
      <c r="G5405" s="36" t="str">
        <f>IF(ISNUMBER(F5405),C5405*F5405,"")</f>
        <v/>
      </c>
    </row>
    <row r="5406" spans="1:7" ht="12" customHeight="1" outlineLevel="2" x14ac:dyDescent="0.2">
      <c r="A5406" s="14" t="s">
        <v>10647</v>
      </c>
      <c r="B5406" s="15" t="s">
        <v>10648</v>
      </c>
      <c r="C5406" s="16">
        <f>116.25/(1+B2)</f>
        <v>116.25</v>
      </c>
      <c r="D5406" s="17" t="s">
        <v>11</v>
      </c>
      <c r="E5406" s="17"/>
      <c r="F5406" s="18"/>
      <c r="G5406" s="36" t="str">
        <f>IF(ISNUMBER(F5406),C5406*F5406,"")</f>
        <v/>
      </c>
    </row>
    <row r="5407" spans="1:7" ht="12" customHeight="1" outlineLevel="2" x14ac:dyDescent="0.2">
      <c r="A5407" s="14" t="s">
        <v>10649</v>
      </c>
      <c r="B5407" s="15" t="s">
        <v>10650</v>
      </c>
      <c r="C5407" s="16">
        <f>182.16/(1+B2)</f>
        <v>182.16</v>
      </c>
      <c r="D5407" s="17" t="s">
        <v>11</v>
      </c>
      <c r="E5407" s="17"/>
      <c r="F5407" s="18"/>
      <c r="G5407" s="36" t="str">
        <f>IF(ISNUMBER(F5407),C5407*F5407,"")</f>
        <v/>
      </c>
    </row>
    <row r="5408" spans="1:7" ht="24" customHeight="1" outlineLevel="2" x14ac:dyDescent="0.2">
      <c r="A5408" s="14" t="s">
        <v>10651</v>
      </c>
      <c r="B5408" s="15" t="s">
        <v>10652</v>
      </c>
      <c r="C5408" s="16">
        <f>99.65/(1+B2)</f>
        <v>99.65</v>
      </c>
      <c r="D5408" s="17" t="s">
        <v>11</v>
      </c>
      <c r="E5408" s="17"/>
      <c r="F5408" s="18"/>
      <c r="G5408" s="36" t="str">
        <f>IF(ISNUMBER(F5408),C5408*F5408,"")</f>
        <v/>
      </c>
    </row>
    <row r="5409" spans="1:7" ht="12" customHeight="1" outlineLevel="2" x14ac:dyDescent="0.2">
      <c r="A5409" s="14" t="s">
        <v>10653</v>
      </c>
      <c r="B5409" s="15" t="s">
        <v>10654</v>
      </c>
      <c r="C5409" s="16">
        <f>117.68/(1+B2)</f>
        <v>117.68</v>
      </c>
      <c r="D5409" s="17" t="s">
        <v>11</v>
      </c>
      <c r="E5409" s="17"/>
      <c r="F5409" s="18"/>
      <c r="G5409" s="36" t="str">
        <f>IF(ISNUMBER(F5409),C5409*F5409,"")</f>
        <v/>
      </c>
    </row>
    <row r="5410" spans="1:7" ht="12" customHeight="1" outlineLevel="2" x14ac:dyDescent="0.2">
      <c r="A5410" s="14" t="s">
        <v>10655</v>
      </c>
      <c r="B5410" s="15" t="s">
        <v>10656</v>
      </c>
      <c r="C5410" s="16">
        <f>139.5/(1+B2)</f>
        <v>139.5</v>
      </c>
      <c r="D5410" s="17" t="s">
        <v>11</v>
      </c>
      <c r="E5410" s="17"/>
      <c r="F5410" s="18"/>
      <c r="G5410" s="36" t="str">
        <f>IF(ISNUMBER(F5410),C5410*F5410,"")</f>
        <v/>
      </c>
    </row>
    <row r="5411" spans="1:7" ht="12" customHeight="1" outlineLevel="2" x14ac:dyDescent="0.2">
      <c r="A5411" s="14" t="s">
        <v>10657</v>
      </c>
      <c r="B5411" s="15" t="s">
        <v>10658</v>
      </c>
      <c r="C5411" s="16">
        <f>117.34/(1+B2)</f>
        <v>117.34</v>
      </c>
      <c r="D5411" s="17" t="s">
        <v>11</v>
      </c>
      <c r="E5411" s="17"/>
      <c r="F5411" s="18"/>
      <c r="G5411" s="36" t="str">
        <f>IF(ISNUMBER(F5411),C5411*F5411,"")</f>
        <v/>
      </c>
    </row>
    <row r="5412" spans="1:7" ht="12" customHeight="1" outlineLevel="2" x14ac:dyDescent="0.2">
      <c r="A5412" s="14" t="s">
        <v>10659</v>
      </c>
      <c r="B5412" s="15" t="s">
        <v>10660</v>
      </c>
      <c r="C5412" s="16">
        <f>60/(1+B2)</f>
        <v>60</v>
      </c>
      <c r="D5412" s="17" t="s">
        <v>11</v>
      </c>
      <c r="E5412" s="17"/>
      <c r="F5412" s="18"/>
      <c r="G5412" s="36" t="str">
        <f>IF(ISNUMBER(F5412),C5412*F5412,"")</f>
        <v/>
      </c>
    </row>
    <row r="5413" spans="1:7" ht="12" customHeight="1" outlineLevel="2" x14ac:dyDescent="0.2">
      <c r="A5413" s="14" t="s">
        <v>10661</v>
      </c>
      <c r="B5413" s="15" t="s">
        <v>10662</v>
      </c>
      <c r="C5413" s="16">
        <f>93.85/(1+B2)</f>
        <v>93.85</v>
      </c>
      <c r="D5413" s="17" t="s">
        <v>11</v>
      </c>
      <c r="E5413" s="17" t="s">
        <v>14</v>
      </c>
      <c r="F5413" s="18"/>
      <c r="G5413" s="36" t="str">
        <f>IF(ISNUMBER(F5413),C5413*F5413,"")</f>
        <v/>
      </c>
    </row>
    <row r="5414" spans="1:7" ht="12" customHeight="1" outlineLevel="2" x14ac:dyDescent="0.2">
      <c r="A5414" s="14" t="s">
        <v>10663</v>
      </c>
      <c r="B5414" s="15" t="s">
        <v>10664</v>
      </c>
      <c r="C5414" s="16">
        <f>156.56/(1+B2)</f>
        <v>156.56</v>
      </c>
      <c r="D5414" s="17" t="s">
        <v>11</v>
      </c>
      <c r="E5414" s="17"/>
      <c r="F5414" s="18"/>
      <c r="G5414" s="36" t="str">
        <f>IF(ISNUMBER(F5414),C5414*F5414,"")</f>
        <v/>
      </c>
    </row>
    <row r="5415" spans="1:7" ht="12" customHeight="1" outlineLevel="2" x14ac:dyDescent="0.2">
      <c r="A5415" s="14" t="s">
        <v>10665</v>
      </c>
      <c r="B5415" s="15" t="s">
        <v>10666</v>
      </c>
      <c r="C5415" s="16">
        <f>225.94/(1+B2)</f>
        <v>225.94</v>
      </c>
      <c r="D5415" s="17" t="s">
        <v>11</v>
      </c>
      <c r="E5415" s="17" t="s">
        <v>53</v>
      </c>
      <c r="F5415" s="18"/>
      <c r="G5415" s="36" t="str">
        <f>IF(ISNUMBER(F5415),C5415*F5415,"")</f>
        <v/>
      </c>
    </row>
    <row r="5416" spans="1:7" ht="12" customHeight="1" outlineLevel="2" x14ac:dyDescent="0.2">
      <c r="A5416" s="14" t="s">
        <v>10667</v>
      </c>
      <c r="B5416" s="15" t="s">
        <v>10668</v>
      </c>
      <c r="C5416" s="16">
        <f>90.56/(1+B2)</f>
        <v>90.56</v>
      </c>
      <c r="D5416" s="17" t="s">
        <v>14</v>
      </c>
      <c r="E5416" s="17"/>
      <c r="F5416" s="18"/>
      <c r="G5416" s="36" t="str">
        <f>IF(ISNUMBER(F5416),C5416*F5416,"")</f>
        <v/>
      </c>
    </row>
    <row r="5417" spans="1:7" ht="12" customHeight="1" outlineLevel="2" x14ac:dyDescent="0.2">
      <c r="A5417" s="14" t="s">
        <v>10669</v>
      </c>
      <c r="B5417" s="15" t="s">
        <v>10670</v>
      </c>
      <c r="C5417" s="16">
        <f>126.26/(1+B2)</f>
        <v>126.26</v>
      </c>
      <c r="D5417" s="17" t="s">
        <v>11</v>
      </c>
      <c r="E5417" s="17"/>
      <c r="F5417" s="18"/>
      <c r="G5417" s="36" t="str">
        <f>IF(ISNUMBER(F5417),C5417*F5417,"")</f>
        <v/>
      </c>
    </row>
    <row r="5418" spans="1:7" ht="12" customHeight="1" outlineLevel="2" x14ac:dyDescent="0.2">
      <c r="A5418" s="14" t="s">
        <v>10671</v>
      </c>
      <c r="B5418" s="15" t="s">
        <v>10672</v>
      </c>
      <c r="C5418" s="16">
        <f>41.55/(1+B2)</f>
        <v>41.55</v>
      </c>
      <c r="D5418" s="17" t="s">
        <v>14</v>
      </c>
      <c r="E5418" s="17" t="s">
        <v>11</v>
      </c>
      <c r="F5418" s="18"/>
      <c r="G5418" s="36" t="str">
        <f>IF(ISNUMBER(F5418),C5418*F5418,"")</f>
        <v/>
      </c>
    </row>
    <row r="5419" spans="1:7" ht="12" customHeight="1" outlineLevel="2" x14ac:dyDescent="0.2">
      <c r="A5419" s="14" t="s">
        <v>10673</v>
      </c>
      <c r="B5419" s="15" t="s">
        <v>10674</v>
      </c>
      <c r="C5419" s="16">
        <f>8.54/(1+B2)</f>
        <v>8.5399999999999991</v>
      </c>
      <c r="D5419" s="17" t="s">
        <v>14</v>
      </c>
      <c r="E5419" s="17" t="s">
        <v>11</v>
      </c>
      <c r="F5419" s="18"/>
      <c r="G5419" s="36" t="str">
        <f>IF(ISNUMBER(F5419),C5419*F5419,"")</f>
        <v/>
      </c>
    </row>
    <row r="5420" spans="1:7" ht="12" customHeight="1" outlineLevel="2" x14ac:dyDescent="0.2">
      <c r="A5420" s="14" t="s">
        <v>10675</v>
      </c>
      <c r="B5420" s="15" t="s">
        <v>10676</v>
      </c>
      <c r="C5420" s="16">
        <f>11.38/(1+B2)</f>
        <v>11.38</v>
      </c>
      <c r="D5420" s="17" t="s">
        <v>11</v>
      </c>
      <c r="E5420" s="17"/>
      <c r="F5420" s="18"/>
      <c r="G5420" s="36" t="str">
        <f>IF(ISNUMBER(F5420),C5420*F5420,"")</f>
        <v/>
      </c>
    </row>
    <row r="5421" spans="1:7" s="1" customFormat="1" ht="15.95" customHeight="1" outlineLevel="1" x14ac:dyDescent="0.25">
      <c r="A5421" s="11"/>
      <c r="B5421" s="12" t="s">
        <v>10677</v>
      </c>
      <c r="C5421" s="13"/>
      <c r="D5421" s="13"/>
      <c r="E5421" s="13"/>
      <c r="F5421" s="13"/>
      <c r="G5421" s="35"/>
    </row>
    <row r="5422" spans="1:7" ht="12" customHeight="1" outlineLevel="2" x14ac:dyDescent="0.2">
      <c r="A5422" s="14" t="s">
        <v>10678</v>
      </c>
      <c r="B5422" s="15" t="s">
        <v>10679</v>
      </c>
      <c r="C5422" s="16">
        <f>98.82/(1+B2)</f>
        <v>98.82</v>
      </c>
      <c r="D5422" s="17" t="s">
        <v>11</v>
      </c>
      <c r="E5422" s="17"/>
      <c r="F5422" s="18"/>
      <c r="G5422" s="36" t="str">
        <f>IF(ISNUMBER(F5422),C5422*F5422,"")</f>
        <v/>
      </c>
    </row>
    <row r="5423" spans="1:7" ht="12" customHeight="1" outlineLevel="2" x14ac:dyDescent="0.2">
      <c r="A5423" s="14" t="s">
        <v>10680</v>
      </c>
      <c r="B5423" s="15" t="s">
        <v>10681</v>
      </c>
      <c r="C5423" s="16">
        <f>98.82/(1+B2)</f>
        <v>98.82</v>
      </c>
      <c r="D5423" s="17" t="s">
        <v>11</v>
      </c>
      <c r="E5423" s="17"/>
      <c r="F5423" s="18"/>
      <c r="G5423" s="36" t="str">
        <f>IF(ISNUMBER(F5423),C5423*F5423,"")</f>
        <v/>
      </c>
    </row>
    <row r="5424" spans="1:7" ht="12" customHeight="1" outlineLevel="2" x14ac:dyDescent="0.2">
      <c r="A5424" s="14" t="s">
        <v>10682</v>
      </c>
      <c r="B5424" s="15" t="s">
        <v>10683</v>
      </c>
      <c r="C5424" s="16">
        <f>98.82/(1+B2)</f>
        <v>98.82</v>
      </c>
      <c r="D5424" s="17" t="s">
        <v>11</v>
      </c>
      <c r="E5424" s="17"/>
      <c r="F5424" s="18"/>
      <c r="G5424" s="36" t="str">
        <f>IF(ISNUMBER(F5424),C5424*F5424,"")</f>
        <v/>
      </c>
    </row>
    <row r="5425" spans="1:7" ht="12" customHeight="1" outlineLevel="2" x14ac:dyDescent="0.2">
      <c r="A5425" s="14" t="s">
        <v>10684</v>
      </c>
      <c r="B5425" s="15" t="s">
        <v>10685</v>
      </c>
      <c r="C5425" s="16">
        <f>103.27/(1+B2)</f>
        <v>103.27</v>
      </c>
      <c r="D5425" s="17" t="s">
        <v>11</v>
      </c>
      <c r="E5425" s="17"/>
      <c r="F5425" s="18"/>
      <c r="G5425" s="36" t="str">
        <f>IF(ISNUMBER(F5425),C5425*F5425,"")</f>
        <v/>
      </c>
    </row>
    <row r="5426" spans="1:7" ht="12" customHeight="1" outlineLevel="2" x14ac:dyDescent="0.2">
      <c r="A5426" s="14" t="s">
        <v>10686</v>
      </c>
      <c r="B5426" s="15" t="s">
        <v>10687</v>
      </c>
      <c r="C5426" s="16">
        <f>103.27/(1+B2)</f>
        <v>103.27</v>
      </c>
      <c r="D5426" s="17" t="s">
        <v>11</v>
      </c>
      <c r="E5426" s="17"/>
      <c r="F5426" s="18"/>
      <c r="G5426" s="36" t="str">
        <f>IF(ISNUMBER(F5426),C5426*F5426,"")</f>
        <v/>
      </c>
    </row>
    <row r="5427" spans="1:7" ht="12" customHeight="1" outlineLevel="2" x14ac:dyDescent="0.2">
      <c r="A5427" s="14" t="s">
        <v>10688</v>
      </c>
      <c r="B5427" s="15" t="s">
        <v>10689</v>
      </c>
      <c r="C5427" s="16">
        <f>103.27/(1+B2)</f>
        <v>103.27</v>
      </c>
      <c r="D5427" s="17" t="s">
        <v>11</v>
      </c>
      <c r="E5427" s="17"/>
      <c r="F5427" s="18"/>
      <c r="G5427" s="36" t="str">
        <f>IF(ISNUMBER(F5427),C5427*F5427,"")</f>
        <v/>
      </c>
    </row>
    <row r="5428" spans="1:7" ht="12" customHeight="1" outlineLevel="2" x14ac:dyDescent="0.2">
      <c r="A5428" s="14" t="s">
        <v>10690</v>
      </c>
      <c r="B5428" s="15" t="s">
        <v>10691</v>
      </c>
      <c r="C5428" s="16">
        <f>98.82/(1+B2)</f>
        <v>98.82</v>
      </c>
      <c r="D5428" s="17" t="s">
        <v>11</v>
      </c>
      <c r="E5428" s="17"/>
      <c r="F5428" s="18"/>
      <c r="G5428" s="36" t="str">
        <f>IF(ISNUMBER(F5428),C5428*F5428,"")</f>
        <v/>
      </c>
    </row>
    <row r="5429" spans="1:7" ht="12" customHeight="1" outlineLevel="2" x14ac:dyDescent="0.2">
      <c r="A5429" s="14" t="s">
        <v>10692</v>
      </c>
      <c r="B5429" s="15" t="s">
        <v>10693</v>
      </c>
      <c r="C5429" s="16">
        <f>98.82/(1+B2)</f>
        <v>98.82</v>
      </c>
      <c r="D5429" s="17" t="s">
        <v>11</v>
      </c>
      <c r="E5429" s="17"/>
      <c r="F5429" s="18"/>
      <c r="G5429" s="36" t="str">
        <f>IF(ISNUMBER(F5429),C5429*F5429,"")</f>
        <v/>
      </c>
    </row>
    <row r="5430" spans="1:7" ht="12" customHeight="1" outlineLevel="2" x14ac:dyDescent="0.2">
      <c r="A5430" s="14" t="s">
        <v>10694</v>
      </c>
      <c r="B5430" s="15" t="s">
        <v>10695</v>
      </c>
      <c r="C5430" s="16">
        <f>106.14/(1+B2)</f>
        <v>106.14</v>
      </c>
      <c r="D5430" s="17" t="s">
        <v>11</v>
      </c>
      <c r="E5430" s="17"/>
      <c r="F5430" s="18"/>
      <c r="G5430" s="36" t="str">
        <f>IF(ISNUMBER(F5430),C5430*F5430,"")</f>
        <v/>
      </c>
    </row>
    <row r="5431" spans="1:7" ht="12" customHeight="1" outlineLevel="2" x14ac:dyDescent="0.2">
      <c r="A5431" s="14" t="s">
        <v>10696</v>
      </c>
      <c r="B5431" s="15" t="s">
        <v>10697</v>
      </c>
      <c r="C5431" s="16">
        <f>106.14/(1+B2)</f>
        <v>106.14</v>
      </c>
      <c r="D5431" s="17" t="s">
        <v>11</v>
      </c>
      <c r="E5431" s="17"/>
      <c r="F5431" s="18"/>
      <c r="G5431" s="36" t="str">
        <f>IF(ISNUMBER(F5431),C5431*F5431,"")</f>
        <v/>
      </c>
    </row>
    <row r="5432" spans="1:7" ht="12" customHeight="1" outlineLevel="2" x14ac:dyDescent="0.2">
      <c r="A5432" s="14" t="s">
        <v>10698</v>
      </c>
      <c r="B5432" s="15" t="s">
        <v>10699</v>
      </c>
      <c r="C5432" s="16">
        <f>106.14/(1+B2)</f>
        <v>106.14</v>
      </c>
      <c r="D5432" s="17" t="s">
        <v>11</v>
      </c>
      <c r="E5432" s="17"/>
      <c r="F5432" s="18"/>
      <c r="G5432" s="36" t="str">
        <f>IF(ISNUMBER(F5432),C5432*F5432,"")</f>
        <v/>
      </c>
    </row>
    <row r="5433" spans="1:7" ht="12" customHeight="1" outlineLevel="2" x14ac:dyDescent="0.2">
      <c r="A5433" s="14" t="s">
        <v>10700</v>
      </c>
      <c r="B5433" s="15" t="s">
        <v>10701</v>
      </c>
      <c r="C5433" s="16">
        <f>113.19/(1+B2)</f>
        <v>113.19</v>
      </c>
      <c r="D5433" s="17" t="s">
        <v>11</v>
      </c>
      <c r="E5433" s="17"/>
      <c r="F5433" s="18"/>
      <c r="G5433" s="36" t="str">
        <f>IF(ISNUMBER(F5433),C5433*F5433,"")</f>
        <v/>
      </c>
    </row>
    <row r="5434" spans="1:7" ht="12" customHeight="1" outlineLevel="2" x14ac:dyDescent="0.2">
      <c r="A5434" s="14" t="s">
        <v>10702</v>
      </c>
      <c r="B5434" s="15" t="s">
        <v>10703</v>
      </c>
      <c r="C5434" s="16">
        <f>106.14/(1+B2)</f>
        <v>106.14</v>
      </c>
      <c r="D5434" s="17" t="s">
        <v>11</v>
      </c>
      <c r="E5434" s="17"/>
      <c r="F5434" s="18"/>
      <c r="G5434" s="36" t="str">
        <f>IF(ISNUMBER(F5434),C5434*F5434,"")</f>
        <v/>
      </c>
    </row>
    <row r="5435" spans="1:7" ht="12" customHeight="1" outlineLevel="2" x14ac:dyDescent="0.2">
      <c r="A5435" s="14" t="s">
        <v>10704</v>
      </c>
      <c r="B5435" s="15" t="s">
        <v>10705</v>
      </c>
      <c r="C5435" s="16">
        <f>106.14/(1+B2)</f>
        <v>106.14</v>
      </c>
      <c r="D5435" s="17" t="s">
        <v>11</v>
      </c>
      <c r="E5435" s="17"/>
      <c r="F5435" s="18"/>
      <c r="G5435" s="36" t="str">
        <f>IF(ISNUMBER(F5435),C5435*F5435,"")</f>
        <v/>
      </c>
    </row>
    <row r="5436" spans="1:7" ht="12" customHeight="1" outlineLevel="2" x14ac:dyDescent="0.2">
      <c r="A5436" s="14" t="s">
        <v>10706</v>
      </c>
      <c r="B5436" s="15" t="s">
        <v>10707</v>
      </c>
      <c r="C5436" s="16">
        <f>129.97/(1+B2)</f>
        <v>129.97</v>
      </c>
      <c r="D5436" s="17" t="s">
        <v>11</v>
      </c>
      <c r="E5436" s="17"/>
      <c r="F5436" s="18"/>
      <c r="G5436" s="36" t="str">
        <f>IF(ISNUMBER(F5436),C5436*F5436,"")</f>
        <v/>
      </c>
    </row>
    <row r="5437" spans="1:7" ht="12" customHeight="1" outlineLevel="2" x14ac:dyDescent="0.2">
      <c r="A5437" s="14" t="s">
        <v>10708</v>
      </c>
      <c r="B5437" s="15" t="s">
        <v>10709</v>
      </c>
      <c r="C5437" s="16">
        <f>72.12/(1+B2)</f>
        <v>72.12</v>
      </c>
      <c r="D5437" s="17" t="s">
        <v>11</v>
      </c>
      <c r="E5437" s="17"/>
      <c r="F5437" s="18"/>
      <c r="G5437" s="36" t="str">
        <f>IF(ISNUMBER(F5437),C5437*F5437,"")</f>
        <v/>
      </c>
    </row>
    <row r="5438" spans="1:7" ht="12" customHeight="1" outlineLevel="2" x14ac:dyDescent="0.2">
      <c r="A5438" s="14" t="s">
        <v>10710</v>
      </c>
      <c r="B5438" s="15" t="s">
        <v>10711</v>
      </c>
      <c r="C5438" s="16">
        <f>182.71/(1+B2)</f>
        <v>182.71</v>
      </c>
      <c r="D5438" s="17" t="s">
        <v>11</v>
      </c>
      <c r="E5438" s="17"/>
      <c r="F5438" s="18"/>
      <c r="G5438" s="36" t="str">
        <f>IF(ISNUMBER(F5438),C5438*F5438,"")</f>
        <v/>
      </c>
    </row>
    <row r="5439" spans="1:7" ht="12" customHeight="1" outlineLevel="2" x14ac:dyDescent="0.2">
      <c r="A5439" s="14" t="s">
        <v>10712</v>
      </c>
      <c r="B5439" s="15" t="s">
        <v>10713</v>
      </c>
      <c r="C5439" s="16">
        <f>182.71/(1+B2)</f>
        <v>182.71</v>
      </c>
      <c r="D5439" s="17" t="s">
        <v>11</v>
      </c>
      <c r="E5439" s="17"/>
      <c r="F5439" s="18"/>
      <c r="G5439" s="36" t="str">
        <f>IF(ISNUMBER(F5439),C5439*F5439,"")</f>
        <v/>
      </c>
    </row>
    <row r="5440" spans="1:7" ht="12" customHeight="1" outlineLevel="2" x14ac:dyDescent="0.2">
      <c r="A5440" s="14" t="s">
        <v>10714</v>
      </c>
      <c r="B5440" s="15" t="s">
        <v>10715</v>
      </c>
      <c r="C5440" s="16">
        <f>182.71/(1+B2)</f>
        <v>182.71</v>
      </c>
      <c r="D5440" s="17" t="s">
        <v>11</v>
      </c>
      <c r="E5440" s="17"/>
      <c r="F5440" s="18"/>
      <c r="G5440" s="36" t="str">
        <f>IF(ISNUMBER(F5440),C5440*F5440,"")</f>
        <v/>
      </c>
    </row>
    <row r="5441" spans="1:7" ht="12" customHeight="1" outlineLevel="2" x14ac:dyDescent="0.2">
      <c r="A5441" s="14" t="s">
        <v>10716</v>
      </c>
      <c r="B5441" s="15" t="s">
        <v>10717</v>
      </c>
      <c r="C5441" s="16">
        <f>110.03/(1+B2)</f>
        <v>110.03</v>
      </c>
      <c r="D5441" s="17" t="s">
        <v>11</v>
      </c>
      <c r="E5441" s="17"/>
      <c r="F5441" s="18"/>
      <c r="G5441" s="36" t="str">
        <f>IF(ISNUMBER(F5441),C5441*F5441,"")</f>
        <v/>
      </c>
    </row>
    <row r="5442" spans="1:7" ht="12" customHeight="1" outlineLevel="2" x14ac:dyDescent="0.2">
      <c r="A5442" s="14" t="s">
        <v>10718</v>
      </c>
      <c r="B5442" s="15" t="s">
        <v>10719</v>
      </c>
      <c r="C5442" s="16">
        <f>72.12/(1+B2)</f>
        <v>72.12</v>
      </c>
      <c r="D5442" s="17" t="s">
        <v>11</v>
      </c>
      <c r="E5442" s="17"/>
      <c r="F5442" s="18"/>
      <c r="G5442" s="36" t="str">
        <f>IF(ISNUMBER(F5442),C5442*F5442,"")</f>
        <v/>
      </c>
    </row>
    <row r="5443" spans="1:7" ht="12" customHeight="1" outlineLevel="2" x14ac:dyDescent="0.2">
      <c r="A5443" s="14" t="s">
        <v>10720</v>
      </c>
      <c r="B5443" s="15" t="s">
        <v>10721</v>
      </c>
      <c r="C5443" s="16">
        <f>72.12/(1+B2)</f>
        <v>72.12</v>
      </c>
      <c r="D5443" s="17" t="s">
        <v>11</v>
      </c>
      <c r="E5443" s="17"/>
      <c r="F5443" s="18"/>
      <c r="G5443" s="36" t="str">
        <f>IF(ISNUMBER(F5443),C5443*F5443,"")</f>
        <v/>
      </c>
    </row>
    <row r="5444" spans="1:7" ht="12" customHeight="1" outlineLevel="2" x14ac:dyDescent="0.2">
      <c r="A5444" s="14" t="s">
        <v>10722</v>
      </c>
      <c r="B5444" s="15" t="s">
        <v>10723</v>
      </c>
      <c r="C5444" s="16">
        <f>101.14/(1+B2)</f>
        <v>101.14</v>
      </c>
      <c r="D5444" s="17" t="s">
        <v>11</v>
      </c>
      <c r="E5444" s="17"/>
      <c r="F5444" s="18"/>
      <c r="G5444" s="36" t="str">
        <f>IF(ISNUMBER(F5444),C5444*F5444,"")</f>
        <v/>
      </c>
    </row>
    <row r="5445" spans="1:7" ht="12" customHeight="1" outlineLevel="2" x14ac:dyDescent="0.2">
      <c r="A5445" s="14" t="s">
        <v>10724</v>
      </c>
      <c r="B5445" s="15" t="s">
        <v>10725</v>
      </c>
      <c r="C5445" s="16">
        <f>101.14/(1+B2)</f>
        <v>101.14</v>
      </c>
      <c r="D5445" s="17" t="s">
        <v>11</v>
      </c>
      <c r="E5445" s="17"/>
      <c r="F5445" s="18"/>
      <c r="G5445" s="36" t="str">
        <f>IF(ISNUMBER(F5445),C5445*F5445,"")</f>
        <v/>
      </c>
    </row>
    <row r="5446" spans="1:7" ht="12" customHeight="1" outlineLevel="2" x14ac:dyDescent="0.2">
      <c r="A5446" s="14" t="s">
        <v>10726</v>
      </c>
      <c r="B5446" s="15" t="s">
        <v>10727</v>
      </c>
      <c r="C5446" s="16">
        <f>101.14/(1+B2)</f>
        <v>101.14</v>
      </c>
      <c r="D5446" s="17" t="s">
        <v>11</v>
      </c>
      <c r="E5446" s="17"/>
      <c r="F5446" s="18"/>
      <c r="G5446" s="36" t="str">
        <f>IF(ISNUMBER(F5446),C5446*F5446,"")</f>
        <v/>
      </c>
    </row>
    <row r="5447" spans="1:7" ht="12" customHeight="1" outlineLevel="2" x14ac:dyDescent="0.2">
      <c r="A5447" s="14" t="s">
        <v>10728</v>
      </c>
      <c r="B5447" s="15" t="s">
        <v>10729</v>
      </c>
      <c r="C5447" s="16">
        <f>101.14/(1+B2)</f>
        <v>101.14</v>
      </c>
      <c r="D5447" s="17" t="s">
        <v>11</v>
      </c>
      <c r="E5447" s="17"/>
      <c r="F5447" s="18"/>
      <c r="G5447" s="36" t="str">
        <f>IF(ISNUMBER(F5447),C5447*F5447,"")</f>
        <v/>
      </c>
    </row>
    <row r="5448" spans="1:7" ht="12" customHeight="1" outlineLevel="2" x14ac:dyDescent="0.2">
      <c r="A5448" s="14" t="s">
        <v>10730</v>
      </c>
      <c r="B5448" s="15" t="s">
        <v>10731</v>
      </c>
      <c r="C5448" s="16">
        <f>101.14/(1+B2)</f>
        <v>101.14</v>
      </c>
      <c r="D5448" s="17" t="s">
        <v>11</v>
      </c>
      <c r="E5448" s="17"/>
      <c r="F5448" s="18"/>
      <c r="G5448" s="36" t="str">
        <f>IF(ISNUMBER(F5448),C5448*F5448,"")</f>
        <v/>
      </c>
    </row>
    <row r="5449" spans="1:7" ht="12" customHeight="1" outlineLevel="2" x14ac:dyDescent="0.2">
      <c r="A5449" s="14" t="s">
        <v>10732</v>
      </c>
      <c r="B5449" s="15" t="s">
        <v>10733</v>
      </c>
      <c r="C5449" s="16">
        <f>101.14/(1+B2)</f>
        <v>101.14</v>
      </c>
      <c r="D5449" s="17" t="s">
        <v>11</v>
      </c>
      <c r="E5449" s="17"/>
      <c r="F5449" s="18"/>
      <c r="G5449" s="36" t="str">
        <f>IF(ISNUMBER(F5449),C5449*F5449,"")</f>
        <v/>
      </c>
    </row>
    <row r="5450" spans="1:7" ht="12" customHeight="1" outlineLevel="2" x14ac:dyDescent="0.2">
      <c r="A5450" s="14" t="s">
        <v>10734</v>
      </c>
      <c r="B5450" s="15" t="s">
        <v>10735</v>
      </c>
      <c r="C5450" s="16">
        <f>101.14/(1+B2)</f>
        <v>101.14</v>
      </c>
      <c r="D5450" s="17" t="s">
        <v>11</v>
      </c>
      <c r="E5450" s="17"/>
      <c r="F5450" s="18"/>
      <c r="G5450" s="36" t="str">
        <f>IF(ISNUMBER(F5450),C5450*F5450,"")</f>
        <v/>
      </c>
    </row>
    <row r="5451" spans="1:7" ht="12" customHeight="1" outlineLevel="2" x14ac:dyDescent="0.2">
      <c r="A5451" s="14" t="s">
        <v>10736</v>
      </c>
      <c r="B5451" s="15" t="s">
        <v>10737</v>
      </c>
      <c r="C5451" s="16">
        <f>86.67/(1+B2)</f>
        <v>86.67</v>
      </c>
      <c r="D5451" s="17" t="s">
        <v>11</v>
      </c>
      <c r="E5451" s="17"/>
      <c r="F5451" s="18"/>
      <c r="G5451" s="36" t="str">
        <f>IF(ISNUMBER(F5451),C5451*F5451,"")</f>
        <v/>
      </c>
    </row>
    <row r="5452" spans="1:7" ht="12" customHeight="1" outlineLevel="2" x14ac:dyDescent="0.2">
      <c r="A5452" s="14" t="s">
        <v>10738</v>
      </c>
      <c r="B5452" s="15" t="s">
        <v>10739</v>
      </c>
      <c r="C5452" s="16">
        <f>107.81/(1+B2)</f>
        <v>107.81</v>
      </c>
      <c r="D5452" s="17" t="s">
        <v>11</v>
      </c>
      <c r="E5452" s="17"/>
      <c r="F5452" s="18"/>
      <c r="G5452" s="36" t="str">
        <f>IF(ISNUMBER(F5452),C5452*F5452,"")</f>
        <v/>
      </c>
    </row>
    <row r="5453" spans="1:7" ht="12" customHeight="1" outlineLevel="2" x14ac:dyDescent="0.2">
      <c r="A5453" s="14" t="s">
        <v>10740</v>
      </c>
      <c r="B5453" s="15" t="s">
        <v>10741</v>
      </c>
      <c r="C5453" s="16">
        <f>107.81/(1+B2)</f>
        <v>107.81</v>
      </c>
      <c r="D5453" s="17" t="s">
        <v>11</v>
      </c>
      <c r="E5453" s="17"/>
      <c r="F5453" s="18"/>
      <c r="G5453" s="36" t="str">
        <f>IF(ISNUMBER(F5453),C5453*F5453,"")</f>
        <v/>
      </c>
    </row>
    <row r="5454" spans="1:7" ht="12" customHeight="1" outlineLevel="2" x14ac:dyDescent="0.2">
      <c r="A5454" s="14" t="s">
        <v>10742</v>
      </c>
      <c r="B5454" s="15" t="s">
        <v>10743</v>
      </c>
      <c r="C5454" s="16">
        <f>107.81/(1+B2)</f>
        <v>107.81</v>
      </c>
      <c r="D5454" s="17" t="s">
        <v>11</v>
      </c>
      <c r="E5454" s="17"/>
      <c r="F5454" s="18"/>
      <c r="G5454" s="36" t="str">
        <f>IF(ISNUMBER(F5454),C5454*F5454,"")</f>
        <v/>
      </c>
    </row>
    <row r="5455" spans="1:7" ht="12" customHeight="1" outlineLevel="2" x14ac:dyDescent="0.2">
      <c r="A5455" s="14" t="s">
        <v>10744</v>
      </c>
      <c r="B5455" s="15" t="s">
        <v>10745</v>
      </c>
      <c r="C5455" s="16">
        <f>107.81/(1+B2)</f>
        <v>107.81</v>
      </c>
      <c r="D5455" s="17" t="s">
        <v>11</v>
      </c>
      <c r="E5455" s="17"/>
      <c r="F5455" s="18"/>
      <c r="G5455" s="36" t="str">
        <f>IF(ISNUMBER(F5455),C5455*F5455,"")</f>
        <v/>
      </c>
    </row>
    <row r="5456" spans="1:7" ht="12" customHeight="1" outlineLevel="2" x14ac:dyDescent="0.2">
      <c r="A5456" s="14" t="s">
        <v>10746</v>
      </c>
      <c r="B5456" s="15" t="s">
        <v>10747</v>
      </c>
      <c r="C5456" s="16">
        <f>107.81/(1+B2)</f>
        <v>107.81</v>
      </c>
      <c r="D5456" s="17" t="s">
        <v>11</v>
      </c>
      <c r="E5456" s="17"/>
      <c r="F5456" s="18"/>
      <c r="G5456" s="36" t="str">
        <f>IF(ISNUMBER(F5456),C5456*F5456,"")</f>
        <v/>
      </c>
    </row>
    <row r="5457" spans="1:7" ht="12" customHeight="1" outlineLevel="2" x14ac:dyDescent="0.2">
      <c r="A5457" s="14" t="s">
        <v>10748</v>
      </c>
      <c r="B5457" s="15" t="s">
        <v>10749</v>
      </c>
      <c r="C5457" s="16">
        <f>102.16/(1+B2)</f>
        <v>102.16</v>
      </c>
      <c r="D5457" s="17" t="s">
        <v>11</v>
      </c>
      <c r="E5457" s="17"/>
      <c r="F5457" s="18"/>
      <c r="G5457" s="36" t="str">
        <f>IF(ISNUMBER(F5457),C5457*F5457,"")</f>
        <v/>
      </c>
    </row>
    <row r="5458" spans="1:7" ht="12" customHeight="1" outlineLevel="2" x14ac:dyDescent="0.2">
      <c r="A5458" s="14" t="s">
        <v>10750</v>
      </c>
      <c r="B5458" s="15" t="s">
        <v>10751</v>
      </c>
      <c r="C5458" s="16">
        <f>124.4/(1+B2)</f>
        <v>124.4</v>
      </c>
      <c r="D5458" s="17" t="s">
        <v>11</v>
      </c>
      <c r="E5458" s="17"/>
      <c r="F5458" s="18"/>
      <c r="G5458" s="36" t="str">
        <f>IF(ISNUMBER(F5458),C5458*F5458,"")</f>
        <v/>
      </c>
    </row>
    <row r="5459" spans="1:7" ht="12" customHeight="1" outlineLevel="2" x14ac:dyDescent="0.2">
      <c r="A5459" s="14" t="s">
        <v>10752</v>
      </c>
      <c r="B5459" s="15" t="s">
        <v>10753</v>
      </c>
      <c r="C5459" s="16">
        <f>124.4/(1+B2)</f>
        <v>124.4</v>
      </c>
      <c r="D5459" s="17" t="s">
        <v>11</v>
      </c>
      <c r="E5459" s="17"/>
      <c r="F5459" s="18"/>
      <c r="G5459" s="36" t="str">
        <f>IF(ISNUMBER(F5459),C5459*F5459,"")</f>
        <v/>
      </c>
    </row>
    <row r="5460" spans="1:7" ht="12" customHeight="1" outlineLevel="2" x14ac:dyDescent="0.2">
      <c r="A5460" s="14" t="s">
        <v>10754</v>
      </c>
      <c r="B5460" s="15" t="s">
        <v>10755</v>
      </c>
      <c r="C5460" s="16">
        <f>124.4/(1+B2)</f>
        <v>124.4</v>
      </c>
      <c r="D5460" s="17" t="s">
        <v>11</v>
      </c>
      <c r="E5460" s="17"/>
      <c r="F5460" s="18"/>
      <c r="G5460" s="36" t="str">
        <f>IF(ISNUMBER(F5460),C5460*F5460,"")</f>
        <v/>
      </c>
    </row>
    <row r="5461" spans="1:7" ht="12" customHeight="1" outlineLevel="2" x14ac:dyDescent="0.2">
      <c r="A5461" s="14" t="s">
        <v>10756</v>
      </c>
      <c r="B5461" s="15" t="s">
        <v>10757</v>
      </c>
      <c r="C5461" s="16">
        <f>124.4/(1+B2)</f>
        <v>124.4</v>
      </c>
      <c r="D5461" s="17" t="s">
        <v>11</v>
      </c>
      <c r="E5461" s="17"/>
      <c r="F5461" s="18"/>
      <c r="G5461" s="36" t="str">
        <f>IF(ISNUMBER(F5461),C5461*F5461,"")</f>
        <v/>
      </c>
    </row>
    <row r="5462" spans="1:7" ht="12" customHeight="1" outlineLevel="2" x14ac:dyDescent="0.2">
      <c r="A5462" s="14" t="s">
        <v>10758</v>
      </c>
      <c r="B5462" s="15" t="s">
        <v>10759</v>
      </c>
      <c r="C5462" s="16">
        <f>124.4/(1+B2)</f>
        <v>124.4</v>
      </c>
      <c r="D5462" s="17" t="s">
        <v>11</v>
      </c>
      <c r="E5462" s="17"/>
      <c r="F5462" s="18"/>
      <c r="G5462" s="36" t="str">
        <f>IF(ISNUMBER(F5462),C5462*F5462,"")</f>
        <v/>
      </c>
    </row>
    <row r="5463" spans="1:7" ht="12" customHeight="1" outlineLevel="2" x14ac:dyDescent="0.2">
      <c r="A5463" s="14" t="s">
        <v>10760</v>
      </c>
      <c r="B5463" s="15" t="s">
        <v>10761</v>
      </c>
      <c r="C5463" s="16">
        <f>124.4/(1+B2)</f>
        <v>124.4</v>
      </c>
      <c r="D5463" s="17" t="s">
        <v>11</v>
      </c>
      <c r="E5463" s="17"/>
      <c r="F5463" s="18"/>
      <c r="G5463" s="36" t="str">
        <f>IF(ISNUMBER(F5463),C5463*F5463,"")</f>
        <v/>
      </c>
    </row>
    <row r="5464" spans="1:7" ht="12" customHeight="1" outlineLevel="2" x14ac:dyDescent="0.2">
      <c r="A5464" s="14" t="s">
        <v>10762</v>
      </c>
      <c r="B5464" s="15" t="s">
        <v>10763</v>
      </c>
      <c r="C5464" s="16">
        <f>107.81/(1+B2)</f>
        <v>107.81</v>
      </c>
      <c r="D5464" s="17" t="s">
        <v>11</v>
      </c>
      <c r="E5464" s="17"/>
      <c r="F5464" s="18"/>
      <c r="G5464" s="36" t="str">
        <f>IF(ISNUMBER(F5464),C5464*F5464,"")</f>
        <v/>
      </c>
    </row>
    <row r="5465" spans="1:7" ht="12" customHeight="1" outlineLevel="2" x14ac:dyDescent="0.2">
      <c r="A5465" s="14" t="s">
        <v>10764</v>
      </c>
      <c r="B5465" s="15" t="s">
        <v>10765</v>
      </c>
      <c r="C5465" s="16">
        <f>107.81/(1+B2)</f>
        <v>107.81</v>
      </c>
      <c r="D5465" s="17" t="s">
        <v>11</v>
      </c>
      <c r="E5465" s="17"/>
      <c r="F5465" s="18"/>
      <c r="G5465" s="36" t="str">
        <f>IF(ISNUMBER(F5465),C5465*F5465,"")</f>
        <v/>
      </c>
    </row>
    <row r="5466" spans="1:7" ht="12" customHeight="1" outlineLevel="2" x14ac:dyDescent="0.2">
      <c r="A5466" s="14" t="s">
        <v>10766</v>
      </c>
      <c r="B5466" s="15" t="s">
        <v>10767</v>
      </c>
      <c r="C5466" s="16">
        <f>117.73/(1+B2)</f>
        <v>117.73</v>
      </c>
      <c r="D5466" s="17" t="s">
        <v>11</v>
      </c>
      <c r="E5466" s="17"/>
      <c r="F5466" s="18"/>
      <c r="G5466" s="36" t="str">
        <f>IF(ISNUMBER(F5466),C5466*F5466,"")</f>
        <v/>
      </c>
    </row>
    <row r="5467" spans="1:7" ht="12" customHeight="1" outlineLevel="2" x14ac:dyDescent="0.2">
      <c r="A5467" s="14" t="s">
        <v>10768</v>
      </c>
      <c r="B5467" s="15" t="s">
        <v>10769</v>
      </c>
      <c r="C5467" s="16">
        <f>117.73/(1+B2)</f>
        <v>117.73</v>
      </c>
      <c r="D5467" s="17" t="s">
        <v>11</v>
      </c>
      <c r="E5467" s="17"/>
      <c r="F5467" s="18"/>
      <c r="G5467" s="36" t="str">
        <f>IF(ISNUMBER(F5467),C5467*F5467,"")</f>
        <v/>
      </c>
    </row>
    <row r="5468" spans="1:7" ht="12" customHeight="1" outlineLevel="2" x14ac:dyDescent="0.2">
      <c r="A5468" s="14" t="s">
        <v>10770</v>
      </c>
      <c r="B5468" s="15" t="s">
        <v>10771</v>
      </c>
      <c r="C5468" s="16">
        <f>117.73/(1+B2)</f>
        <v>117.73</v>
      </c>
      <c r="D5468" s="17" t="s">
        <v>11</v>
      </c>
      <c r="E5468" s="17"/>
      <c r="F5468" s="18"/>
      <c r="G5468" s="36" t="str">
        <f>IF(ISNUMBER(F5468),C5468*F5468,"")</f>
        <v/>
      </c>
    </row>
    <row r="5469" spans="1:7" ht="12" customHeight="1" outlineLevel="2" x14ac:dyDescent="0.2">
      <c r="A5469" s="14" t="s">
        <v>10772</v>
      </c>
      <c r="B5469" s="15" t="s">
        <v>10773</v>
      </c>
      <c r="C5469" s="16">
        <f>117.73/(1+B2)</f>
        <v>117.73</v>
      </c>
      <c r="D5469" s="17" t="s">
        <v>11</v>
      </c>
      <c r="E5469" s="17"/>
      <c r="F5469" s="18"/>
      <c r="G5469" s="36" t="str">
        <f>IF(ISNUMBER(F5469),C5469*F5469,"")</f>
        <v/>
      </c>
    </row>
    <row r="5470" spans="1:7" s="1" customFormat="1" ht="15.95" customHeight="1" x14ac:dyDescent="0.25">
      <c r="A5470" s="8"/>
      <c r="B5470" s="9" t="s">
        <v>10774</v>
      </c>
      <c r="C5470" s="10"/>
      <c r="D5470" s="10"/>
      <c r="E5470" s="10"/>
      <c r="F5470" s="10"/>
      <c r="G5470" s="34"/>
    </row>
    <row r="5471" spans="1:7" s="1" customFormat="1" ht="15.95" customHeight="1" outlineLevel="1" x14ac:dyDescent="0.25">
      <c r="A5471" s="11"/>
      <c r="B5471" s="12" t="s">
        <v>10775</v>
      </c>
      <c r="C5471" s="13"/>
      <c r="D5471" s="13"/>
      <c r="E5471" s="13"/>
      <c r="F5471" s="13"/>
      <c r="G5471" s="35"/>
    </row>
    <row r="5472" spans="1:7" ht="24" customHeight="1" outlineLevel="2" x14ac:dyDescent="0.2">
      <c r="A5472" s="14" t="s">
        <v>10776</v>
      </c>
      <c r="B5472" s="15" t="s">
        <v>10777</v>
      </c>
      <c r="C5472" s="16">
        <f>8.22/(1+B2)</f>
        <v>8.2200000000000006</v>
      </c>
      <c r="D5472" s="17" t="s">
        <v>11</v>
      </c>
      <c r="E5472" s="17"/>
      <c r="F5472" s="18"/>
      <c r="G5472" s="36" t="str">
        <f>IF(ISNUMBER(F5472),C5472*F5472,"")</f>
        <v/>
      </c>
    </row>
    <row r="5473" spans="1:7" ht="24" customHeight="1" outlineLevel="2" x14ac:dyDescent="0.2">
      <c r="A5473" s="14" t="s">
        <v>10778</v>
      </c>
      <c r="B5473" s="15" t="s">
        <v>10779</v>
      </c>
      <c r="C5473" s="16">
        <f>8.22/(1+B2)</f>
        <v>8.2200000000000006</v>
      </c>
      <c r="D5473" s="17" t="s">
        <v>11</v>
      </c>
      <c r="E5473" s="17"/>
      <c r="F5473" s="18"/>
      <c r="G5473" s="36" t="str">
        <f>IF(ISNUMBER(F5473),C5473*F5473,"")</f>
        <v/>
      </c>
    </row>
    <row r="5474" spans="1:7" ht="12" customHeight="1" outlineLevel="2" x14ac:dyDescent="0.2">
      <c r="A5474" s="14" t="s">
        <v>10780</v>
      </c>
      <c r="B5474" s="15" t="s">
        <v>10781</v>
      </c>
      <c r="C5474" s="16">
        <f>7.14/(1+B2)</f>
        <v>7.14</v>
      </c>
      <c r="D5474" s="17" t="s">
        <v>11</v>
      </c>
      <c r="E5474" s="17"/>
      <c r="F5474" s="18"/>
      <c r="G5474" s="36" t="str">
        <f>IF(ISNUMBER(F5474),C5474*F5474,"")</f>
        <v/>
      </c>
    </row>
    <row r="5475" spans="1:7" ht="24" customHeight="1" outlineLevel="2" x14ac:dyDescent="0.2">
      <c r="A5475" s="14" t="s">
        <v>10782</v>
      </c>
      <c r="B5475" s="15" t="s">
        <v>10783</v>
      </c>
      <c r="C5475" s="16">
        <f>8.22/(1+B2)</f>
        <v>8.2200000000000006</v>
      </c>
      <c r="D5475" s="17" t="s">
        <v>11</v>
      </c>
      <c r="E5475" s="17"/>
      <c r="F5475" s="18"/>
      <c r="G5475" s="36" t="str">
        <f>IF(ISNUMBER(F5475),C5475*F5475,"")</f>
        <v/>
      </c>
    </row>
    <row r="5476" spans="1:7" ht="12" customHeight="1" outlineLevel="2" x14ac:dyDescent="0.2">
      <c r="A5476" s="14" t="s">
        <v>10784</v>
      </c>
      <c r="B5476" s="15" t="s">
        <v>10785</v>
      </c>
      <c r="C5476" s="16">
        <f>7.86/(1+B2)</f>
        <v>7.86</v>
      </c>
      <c r="D5476" s="17" t="s">
        <v>11</v>
      </c>
      <c r="E5476" s="17" t="s">
        <v>11</v>
      </c>
      <c r="F5476" s="18"/>
      <c r="G5476" s="36" t="str">
        <f>IF(ISNUMBER(F5476),C5476*F5476,"")</f>
        <v/>
      </c>
    </row>
    <row r="5477" spans="1:7" ht="24" customHeight="1" outlineLevel="2" x14ac:dyDescent="0.2">
      <c r="A5477" s="14" t="s">
        <v>10786</v>
      </c>
      <c r="B5477" s="15" t="s">
        <v>10787</v>
      </c>
      <c r="C5477" s="16">
        <f>8.64/(1+B2)</f>
        <v>8.64</v>
      </c>
      <c r="D5477" s="17" t="s">
        <v>11</v>
      </c>
      <c r="E5477" s="17" t="s">
        <v>14</v>
      </c>
      <c r="F5477" s="18"/>
      <c r="G5477" s="36" t="str">
        <f>IF(ISNUMBER(F5477),C5477*F5477,"")</f>
        <v/>
      </c>
    </row>
    <row r="5478" spans="1:7" ht="12" customHeight="1" outlineLevel="2" x14ac:dyDescent="0.2">
      <c r="A5478" s="14" t="s">
        <v>10788</v>
      </c>
      <c r="B5478" s="15" t="s">
        <v>10789</v>
      </c>
      <c r="C5478" s="16">
        <f>8.64/(1+B2)</f>
        <v>8.64</v>
      </c>
      <c r="D5478" s="17" t="s">
        <v>11</v>
      </c>
      <c r="E5478" s="17" t="s">
        <v>53</v>
      </c>
      <c r="F5478" s="18"/>
      <c r="G5478" s="36" t="str">
        <f>IF(ISNUMBER(F5478),C5478*F5478,"")</f>
        <v/>
      </c>
    </row>
    <row r="5479" spans="1:7" ht="12" customHeight="1" outlineLevel="2" x14ac:dyDescent="0.2">
      <c r="A5479" s="14" t="s">
        <v>10790</v>
      </c>
      <c r="B5479" s="15" t="s">
        <v>10791</v>
      </c>
      <c r="C5479" s="16">
        <f>10.13/(1+B2)</f>
        <v>10.130000000000001</v>
      </c>
      <c r="D5479" s="17" t="s">
        <v>11</v>
      </c>
      <c r="E5479" s="17"/>
      <c r="F5479" s="18"/>
      <c r="G5479" s="36" t="str">
        <f>IF(ISNUMBER(F5479),C5479*F5479,"")</f>
        <v/>
      </c>
    </row>
    <row r="5480" spans="1:7" ht="24" customHeight="1" outlineLevel="2" x14ac:dyDescent="0.2">
      <c r="A5480" s="14" t="s">
        <v>10792</v>
      </c>
      <c r="B5480" s="15" t="s">
        <v>10793</v>
      </c>
      <c r="C5480" s="16">
        <f>10.21/(1+B2)</f>
        <v>10.210000000000001</v>
      </c>
      <c r="D5480" s="17" t="s">
        <v>14</v>
      </c>
      <c r="E5480" s="17"/>
      <c r="F5480" s="18"/>
      <c r="G5480" s="36" t="str">
        <f>IF(ISNUMBER(F5480),C5480*F5480,"")</f>
        <v/>
      </c>
    </row>
    <row r="5481" spans="1:7" ht="24" customHeight="1" outlineLevel="2" x14ac:dyDescent="0.2">
      <c r="A5481" s="14" t="s">
        <v>10794</v>
      </c>
      <c r="B5481" s="15" t="s">
        <v>10795</v>
      </c>
      <c r="C5481" s="16">
        <f>10.21/(1+B2)</f>
        <v>10.210000000000001</v>
      </c>
      <c r="D5481" s="17" t="s">
        <v>11</v>
      </c>
      <c r="E5481" s="17"/>
      <c r="F5481" s="18"/>
      <c r="G5481" s="36" t="str">
        <f>IF(ISNUMBER(F5481),C5481*F5481,"")</f>
        <v/>
      </c>
    </row>
    <row r="5482" spans="1:7" ht="24" customHeight="1" outlineLevel="2" x14ac:dyDescent="0.2">
      <c r="A5482" s="14" t="s">
        <v>10796</v>
      </c>
      <c r="B5482" s="15" t="s">
        <v>10797</v>
      </c>
      <c r="C5482" s="16">
        <f>10.28/(1+B2)</f>
        <v>10.28</v>
      </c>
      <c r="D5482" s="17" t="s">
        <v>11</v>
      </c>
      <c r="E5482" s="17" t="s">
        <v>11</v>
      </c>
      <c r="F5482" s="18"/>
      <c r="G5482" s="36" t="str">
        <f>IF(ISNUMBER(F5482),C5482*F5482,"")</f>
        <v/>
      </c>
    </row>
    <row r="5483" spans="1:7" ht="24" customHeight="1" outlineLevel="2" x14ac:dyDescent="0.2">
      <c r="A5483" s="14" t="s">
        <v>10798</v>
      </c>
      <c r="B5483" s="15" t="s">
        <v>10799</v>
      </c>
      <c r="C5483" s="16">
        <f>10.28/(1+B2)</f>
        <v>10.28</v>
      </c>
      <c r="D5483" s="17" t="s">
        <v>11</v>
      </c>
      <c r="E5483" s="17"/>
      <c r="F5483" s="18"/>
      <c r="G5483" s="36" t="str">
        <f>IF(ISNUMBER(F5483),C5483*F5483,"")</f>
        <v/>
      </c>
    </row>
    <row r="5484" spans="1:7" ht="12" customHeight="1" outlineLevel="2" x14ac:dyDescent="0.2">
      <c r="A5484" s="14" t="s">
        <v>10800</v>
      </c>
      <c r="B5484" s="15" t="s">
        <v>10801</v>
      </c>
      <c r="C5484" s="16">
        <f>10.55/(1+B2)</f>
        <v>10.55</v>
      </c>
      <c r="D5484" s="17" t="s">
        <v>11</v>
      </c>
      <c r="E5484" s="17"/>
      <c r="F5484" s="18"/>
      <c r="G5484" s="36" t="str">
        <f>IF(ISNUMBER(F5484),C5484*F5484,"")</f>
        <v/>
      </c>
    </row>
    <row r="5485" spans="1:7" ht="12" customHeight="1" outlineLevel="2" x14ac:dyDescent="0.2">
      <c r="A5485" s="14" t="s">
        <v>10802</v>
      </c>
      <c r="B5485" s="15" t="s">
        <v>10803</v>
      </c>
      <c r="C5485" s="16">
        <f>19.1/(1+B2)</f>
        <v>19.100000000000001</v>
      </c>
      <c r="D5485" s="17" t="s">
        <v>14</v>
      </c>
      <c r="E5485" s="17"/>
      <c r="F5485" s="18"/>
      <c r="G5485" s="36" t="str">
        <f>IF(ISNUMBER(F5485),C5485*F5485,"")</f>
        <v/>
      </c>
    </row>
    <row r="5486" spans="1:7" ht="24" customHeight="1" outlineLevel="2" x14ac:dyDescent="0.2">
      <c r="A5486" s="14" t="s">
        <v>10804</v>
      </c>
      <c r="B5486" s="15" t="s">
        <v>10805</v>
      </c>
      <c r="C5486" s="16">
        <f>19.88/(1+B2)</f>
        <v>19.88</v>
      </c>
      <c r="D5486" s="17" t="s">
        <v>11</v>
      </c>
      <c r="E5486" s="17"/>
      <c r="F5486" s="18"/>
      <c r="G5486" s="36" t="str">
        <f>IF(ISNUMBER(F5486),C5486*F5486,"")</f>
        <v/>
      </c>
    </row>
    <row r="5487" spans="1:7" ht="24" customHeight="1" outlineLevel="2" x14ac:dyDescent="0.2">
      <c r="A5487" s="14" t="s">
        <v>10806</v>
      </c>
      <c r="B5487" s="15" t="s">
        <v>10807</v>
      </c>
      <c r="C5487" s="16">
        <f>17.51/(1+B2)</f>
        <v>17.510000000000002</v>
      </c>
      <c r="D5487" s="17" t="s">
        <v>14</v>
      </c>
      <c r="E5487" s="17"/>
      <c r="F5487" s="18"/>
      <c r="G5487" s="36" t="str">
        <f>IF(ISNUMBER(F5487),C5487*F5487,"")</f>
        <v/>
      </c>
    </row>
    <row r="5488" spans="1:7" ht="24" customHeight="1" outlineLevel="2" x14ac:dyDescent="0.2">
      <c r="A5488" s="14" t="s">
        <v>10808</v>
      </c>
      <c r="B5488" s="15" t="s">
        <v>10809</v>
      </c>
      <c r="C5488" s="16">
        <f>16.43/(1+B2)</f>
        <v>16.43</v>
      </c>
      <c r="D5488" s="17" t="s">
        <v>14</v>
      </c>
      <c r="E5488" s="17"/>
      <c r="F5488" s="18"/>
      <c r="G5488" s="36" t="str">
        <f>IF(ISNUMBER(F5488),C5488*F5488,"")</f>
        <v/>
      </c>
    </row>
    <row r="5489" spans="1:7" ht="24" customHeight="1" outlineLevel="2" x14ac:dyDescent="0.2">
      <c r="A5489" s="14" t="s">
        <v>10810</v>
      </c>
      <c r="B5489" s="15" t="s">
        <v>10811</v>
      </c>
      <c r="C5489" s="16">
        <f>42.64/(1+B2)</f>
        <v>42.64</v>
      </c>
      <c r="D5489" s="17" t="s">
        <v>11</v>
      </c>
      <c r="E5489" s="17"/>
      <c r="F5489" s="18"/>
      <c r="G5489" s="36" t="str">
        <f>IF(ISNUMBER(F5489),C5489*F5489,"")</f>
        <v/>
      </c>
    </row>
    <row r="5490" spans="1:7" ht="24" customHeight="1" outlineLevel="2" x14ac:dyDescent="0.2">
      <c r="A5490" s="14" t="s">
        <v>10812</v>
      </c>
      <c r="B5490" s="15" t="s">
        <v>10813</v>
      </c>
      <c r="C5490" s="16">
        <f>38.18/(1+B2)</f>
        <v>38.18</v>
      </c>
      <c r="D5490" s="17" t="s">
        <v>11</v>
      </c>
      <c r="E5490" s="17"/>
      <c r="F5490" s="18"/>
      <c r="G5490" s="36" t="str">
        <f>IF(ISNUMBER(F5490),C5490*F5490,"")</f>
        <v/>
      </c>
    </row>
    <row r="5491" spans="1:7" ht="24" customHeight="1" outlineLevel="2" x14ac:dyDescent="0.2">
      <c r="A5491" s="14" t="s">
        <v>10814</v>
      </c>
      <c r="B5491" s="15" t="s">
        <v>10815</v>
      </c>
      <c r="C5491" s="16">
        <f>68.02/(1+B2)</f>
        <v>68.02</v>
      </c>
      <c r="D5491" s="17" t="s">
        <v>11</v>
      </c>
      <c r="E5491" s="17"/>
      <c r="F5491" s="18"/>
      <c r="G5491" s="36" t="str">
        <f>IF(ISNUMBER(F5491),C5491*F5491,"")</f>
        <v/>
      </c>
    </row>
    <row r="5492" spans="1:7" ht="24" customHeight="1" outlineLevel="2" x14ac:dyDescent="0.2">
      <c r="A5492" s="14" t="s">
        <v>10816</v>
      </c>
      <c r="B5492" s="15" t="s">
        <v>10817</v>
      </c>
      <c r="C5492" s="16">
        <f>50.65/(1+B2)</f>
        <v>50.65</v>
      </c>
      <c r="D5492" s="17" t="s">
        <v>11</v>
      </c>
      <c r="E5492" s="17"/>
      <c r="F5492" s="18"/>
      <c r="G5492" s="36" t="str">
        <f>IF(ISNUMBER(F5492),C5492*F5492,"")</f>
        <v/>
      </c>
    </row>
    <row r="5493" spans="1:7" ht="12" customHeight="1" outlineLevel="2" x14ac:dyDescent="0.2">
      <c r="A5493" s="14" t="s">
        <v>10818</v>
      </c>
      <c r="B5493" s="15" t="s">
        <v>10819</v>
      </c>
      <c r="C5493" s="16">
        <f>27.86/(1+B2)</f>
        <v>27.86</v>
      </c>
      <c r="D5493" s="17" t="s">
        <v>11</v>
      </c>
      <c r="E5493" s="17"/>
      <c r="F5493" s="18"/>
      <c r="G5493" s="36" t="str">
        <f>IF(ISNUMBER(F5493),C5493*F5493,"")</f>
        <v/>
      </c>
    </row>
    <row r="5494" spans="1:7" ht="12" customHeight="1" outlineLevel="2" x14ac:dyDescent="0.2">
      <c r="A5494" s="14" t="s">
        <v>10820</v>
      </c>
      <c r="B5494" s="15" t="s">
        <v>10821</v>
      </c>
      <c r="C5494" s="16">
        <f>25.28/(1+B2)</f>
        <v>25.28</v>
      </c>
      <c r="D5494" s="17" t="s">
        <v>11</v>
      </c>
      <c r="E5494" s="17"/>
      <c r="F5494" s="18"/>
      <c r="G5494" s="36" t="str">
        <f>IF(ISNUMBER(F5494),C5494*F5494,"")</f>
        <v/>
      </c>
    </row>
    <row r="5495" spans="1:7" ht="12" customHeight="1" outlineLevel="2" x14ac:dyDescent="0.2">
      <c r="A5495" s="14" t="s">
        <v>10822</v>
      </c>
      <c r="B5495" s="15" t="s">
        <v>10823</v>
      </c>
      <c r="C5495" s="16">
        <f>27.86/(1+B2)</f>
        <v>27.86</v>
      </c>
      <c r="D5495" s="17" t="s">
        <v>11</v>
      </c>
      <c r="E5495" s="17"/>
      <c r="F5495" s="18"/>
      <c r="G5495" s="36" t="str">
        <f>IF(ISNUMBER(F5495),C5495*F5495,"")</f>
        <v/>
      </c>
    </row>
    <row r="5496" spans="1:7" ht="24" customHeight="1" outlineLevel="2" x14ac:dyDescent="0.2">
      <c r="A5496" s="14" t="s">
        <v>10824</v>
      </c>
      <c r="B5496" s="15" t="s">
        <v>10825</v>
      </c>
      <c r="C5496" s="16">
        <f>48.88/(1+B2)</f>
        <v>48.88</v>
      </c>
      <c r="D5496" s="17" t="s">
        <v>14</v>
      </c>
      <c r="E5496" s="17"/>
      <c r="F5496" s="18"/>
      <c r="G5496" s="36" t="str">
        <f>IF(ISNUMBER(F5496),C5496*F5496,"")</f>
        <v/>
      </c>
    </row>
    <row r="5497" spans="1:7" ht="24" customHeight="1" outlineLevel="2" x14ac:dyDescent="0.2">
      <c r="A5497" s="14" t="s">
        <v>10826</v>
      </c>
      <c r="B5497" s="15" t="s">
        <v>10827</v>
      </c>
      <c r="C5497" s="16">
        <f>44.95/(1+B2)</f>
        <v>44.95</v>
      </c>
      <c r="D5497" s="17" t="s">
        <v>14</v>
      </c>
      <c r="E5497" s="17"/>
      <c r="F5497" s="18"/>
      <c r="G5497" s="36" t="str">
        <f>IF(ISNUMBER(F5497),C5497*F5497,"")</f>
        <v/>
      </c>
    </row>
    <row r="5498" spans="1:7" s="1" customFormat="1" ht="15.95" customHeight="1" outlineLevel="1" x14ac:dyDescent="0.25">
      <c r="A5498" s="11"/>
      <c r="B5498" s="12" t="s">
        <v>10828</v>
      </c>
      <c r="C5498" s="13"/>
      <c r="D5498" s="13"/>
      <c r="E5498" s="13"/>
      <c r="F5498" s="13"/>
      <c r="G5498" s="35"/>
    </row>
    <row r="5499" spans="1:7" ht="12" customHeight="1" outlineLevel="2" x14ac:dyDescent="0.2">
      <c r="A5499" s="14" t="s">
        <v>10829</v>
      </c>
      <c r="B5499" s="15" t="s">
        <v>10830</v>
      </c>
      <c r="C5499" s="16">
        <f>48.44/(1+B2)</f>
        <v>48.44</v>
      </c>
      <c r="D5499" s="17" t="s">
        <v>11</v>
      </c>
      <c r="E5499" s="17"/>
      <c r="F5499" s="18"/>
      <c r="G5499" s="36" t="str">
        <f>IF(ISNUMBER(F5499),C5499*F5499,"")</f>
        <v/>
      </c>
    </row>
    <row r="5500" spans="1:7" ht="12" customHeight="1" outlineLevel="2" x14ac:dyDescent="0.2">
      <c r="A5500" s="14" t="s">
        <v>10831</v>
      </c>
      <c r="B5500" s="15" t="s">
        <v>10832</v>
      </c>
      <c r="C5500" s="16">
        <f>146.12/(1+B2)</f>
        <v>146.12</v>
      </c>
      <c r="D5500" s="17" t="s">
        <v>14</v>
      </c>
      <c r="E5500" s="17"/>
      <c r="F5500" s="18"/>
      <c r="G5500" s="36" t="str">
        <f>IF(ISNUMBER(F5500),C5500*F5500,"")</f>
        <v/>
      </c>
    </row>
    <row r="5501" spans="1:7" ht="12" customHeight="1" outlineLevel="2" x14ac:dyDescent="0.2">
      <c r="A5501" s="14" t="s">
        <v>10833</v>
      </c>
      <c r="B5501" s="15" t="s">
        <v>10834</v>
      </c>
      <c r="C5501" s="16">
        <f>275.88/(1+B2)</f>
        <v>275.88</v>
      </c>
      <c r="D5501" s="17" t="s">
        <v>11</v>
      </c>
      <c r="E5501" s="17" t="s">
        <v>11</v>
      </c>
      <c r="F5501" s="18"/>
      <c r="G5501" s="36" t="str">
        <f>IF(ISNUMBER(F5501),C5501*F5501,"")</f>
        <v/>
      </c>
    </row>
    <row r="5502" spans="1:7" ht="12" customHeight="1" outlineLevel="2" x14ac:dyDescent="0.2">
      <c r="A5502" s="14" t="s">
        <v>10835</v>
      </c>
      <c r="B5502" s="15" t="s">
        <v>10836</v>
      </c>
      <c r="C5502" s="16">
        <f>388.74/(1+B2)</f>
        <v>388.74</v>
      </c>
      <c r="D5502" s="17" t="s">
        <v>11</v>
      </c>
      <c r="E5502" s="17" t="s">
        <v>11</v>
      </c>
      <c r="F5502" s="18"/>
      <c r="G5502" s="36" t="str">
        <f>IF(ISNUMBER(F5502),C5502*F5502,"")</f>
        <v/>
      </c>
    </row>
    <row r="5503" spans="1:7" ht="12" customHeight="1" outlineLevel="2" x14ac:dyDescent="0.2">
      <c r="A5503" s="14" t="s">
        <v>10837</v>
      </c>
      <c r="B5503" s="15" t="s">
        <v>10838</v>
      </c>
      <c r="C5503" s="16">
        <f>190.05/(1+B2)</f>
        <v>190.05</v>
      </c>
      <c r="D5503" s="17" t="s">
        <v>11</v>
      </c>
      <c r="E5503" s="17" t="s">
        <v>11</v>
      </c>
      <c r="F5503" s="18"/>
      <c r="G5503" s="36" t="str">
        <f>IF(ISNUMBER(F5503),C5503*F5503,"")</f>
        <v/>
      </c>
    </row>
    <row r="5504" spans="1:7" ht="12" customHeight="1" outlineLevel="2" x14ac:dyDescent="0.2">
      <c r="A5504" s="14" t="s">
        <v>10839</v>
      </c>
      <c r="B5504" s="15" t="s">
        <v>10840</v>
      </c>
      <c r="C5504" s="16">
        <f>46.34/(1+B2)</f>
        <v>46.34</v>
      </c>
      <c r="D5504" s="17" t="s">
        <v>14</v>
      </c>
      <c r="E5504" s="17" t="s">
        <v>11</v>
      </c>
      <c r="F5504" s="18"/>
      <c r="G5504" s="36" t="str">
        <f>IF(ISNUMBER(F5504),C5504*F5504,"")</f>
        <v/>
      </c>
    </row>
    <row r="5505" spans="1:7" ht="12" customHeight="1" outlineLevel="2" x14ac:dyDescent="0.2">
      <c r="A5505" s="14" t="s">
        <v>10841</v>
      </c>
      <c r="B5505" s="15" t="s">
        <v>10842</v>
      </c>
      <c r="C5505" s="16">
        <f>54.46/(1+B2)</f>
        <v>54.46</v>
      </c>
      <c r="D5505" s="17" t="s">
        <v>14</v>
      </c>
      <c r="E5505" s="17" t="s">
        <v>11</v>
      </c>
      <c r="F5505" s="18"/>
      <c r="G5505" s="36" t="str">
        <f>IF(ISNUMBER(F5505),C5505*F5505,"")</f>
        <v/>
      </c>
    </row>
    <row r="5506" spans="1:7" ht="12" customHeight="1" outlineLevel="2" x14ac:dyDescent="0.2">
      <c r="A5506" s="14" t="s">
        <v>10843</v>
      </c>
      <c r="B5506" s="15" t="s">
        <v>10844</v>
      </c>
      <c r="C5506" s="16">
        <f>106.91/(1+B2)</f>
        <v>106.91</v>
      </c>
      <c r="D5506" s="17" t="s">
        <v>11</v>
      </c>
      <c r="E5506" s="17" t="s">
        <v>14</v>
      </c>
      <c r="F5506" s="18"/>
      <c r="G5506" s="36" t="str">
        <f>IF(ISNUMBER(F5506),C5506*F5506,"")</f>
        <v/>
      </c>
    </row>
    <row r="5507" spans="1:7" ht="12" customHeight="1" outlineLevel="2" x14ac:dyDescent="0.2">
      <c r="A5507" s="14" t="s">
        <v>10845</v>
      </c>
      <c r="B5507" s="15" t="s">
        <v>10846</v>
      </c>
      <c r="C5507" s="16">
        <f>111.25/(1+B2)</f>
        <v>111.25</v>
      </c>
      <c r="D5507" s="17" t="s">
        <v>11</v>
      </c>
      <c r="E5507" s="17"/>
      <c r="F5507" s="18"/>
      <c r="G5507" s="36" t="str">
        <f>IF(ISNUMBER(F5507),C5507*F5507,"")</f>
        <v/>
      </c>
    </row>
    <row r="5508" spans="1:7" ht="12" customHeight="1" outlineLevel="2" x14ac:dyDescent="0.2">
      <c r="A5508" s="14" t="s">
        <v>10847</v>
      </c>
      <c r="B5508" s="15" t="s">
        <v>10848</v>
      </c>
      <c r="C5508" s="16">
        <f>54.11/(1+B2)</f>
        <v>54.11</v>
      </c>
      <c r="D5508" s="17" t="s">
        <v>14</v>
      </c>
      <c r="E5508" s="17"/>
      <c r="F5508" s="18"/>
      <c r="G5508" s="36" t="str">
        <f>IF(ISNUMBER(F5508),C5508*F5508,"")</f>
        <v/>
      </c>
    </row>
    <row r="5509" spans="1:7" ht="12" customHeight="1" outlineLevel="2" x14ac:dyDescent="0.2">
      <c r="A5509" s="14" t="s">
        <v>10849</v>
      </c>
      <c r="B5509" s="15" t="s">
        <v>10850</v>
      </c>
      <c r="C5509" s="16">
        <f>83.82/(1+B2)</f>
        <v>83.82</v>
      </c>
      <c r="D5509" s="17" t="s">
        <v>14</v>
      </c>
      <c r="E5509" s="17"/>
      <c r="F5509" s="18"/>
      <c r="G5509" s="36" t="str">
        <f>IF(ISNUMBER(F5509),C5509*F5509,"")</f>
        <v/>
      </c>
    </row>
    <row r="5510" spans="1:7" ht="12" customHeight="1" outlineLevel="2" x14ac:dyDescent="0.2">
      <c r="A5510" s="14" t="s">
        <v>10851</v>
      </c>
      <c r="B5510" s="15" t="s">
        <v>10852</v>
      </c>
      <c r="C5510" s="16">
        <f>82.22/(1+B2)</f>
        <v>82.22</v>
      </c>
      <c r="D5510" s="17" t="s">
        <v>14</v>
      </c>
      <c r="E5510" s="17" t="s">
        <v>14</v>
      </c>
      <c r="F5510" s="18"/>
      <c r="G5510" s="36" t="str">
        <f>IF(ISNUMBER(F5510),C5510*F5510,"")</f>
        <v/>
      </c>
    </row>
    <row r="5511" spans="1:7" ht="12" customHeight="1" outlineLevel="2" x14ac:dyDescent="0.2">
      <c r="A5511" s="14" t="s">
        <v>10853</v>
      </c>
      <c r="B5511" s="15" t="s">
        <v>10854</v>
      </c>
      <c r="C5511" s="16">
        <f>146.25/(1+B2)</f>
        <v>146.25</v>
      </c>
      <c r="D5511" s="17" t="s">
        <v>11</v>
      </c>
      <c r="E5511" s="17"/>
      <c r="F5511" s="18"/>
      <c r="G5511" s="36" t="str">
        <f>IF(ISNUMBER(F5511),C5511*F5511,"")</f>
        <v/>
      </c>
    </row>
    <row r="5512" spans="1:7" ht="12" customHeight="1" outlineLevel="2" x14ac:dyDescent="0.2">
      <c r="A5512" s="14" t="s">
        <v>10855</v>
      </c>
      <c r="B5512" s="15" t="s">
        <v>10856</v>
      </c>
      <c r="C5512" s="16">
        <f>20.96/(1+B2)</f>
        <v>20.96</v>
      </c>
      <c r="D5512" s="17" t="s">
        <v>11</v>
      </c>
      <c r="E5512" s="17" t="s">
        <v>53</v>
      </c>
      <c r="F5512" s="18"/>
      <c r="G5512" s="36" t="str">
        <f>IF(ISNUMBER(F5512),C5512*F5512,"")</f>
        <v/>
      </c>
    </row>
    <row r="5513" spans="1:7" ht="12" customHeight="1" outlineLevel="2" x14ac:dyDescent="0.2">
      <c r="A5513" s="14" t="s">
        <v>10857</v>
      </c>
      <c r="B5513" s="15" t="s">
        <v>10858</v>
      </c>
      <c r="C5513" s="16">
        <f>18.98/(1+B2)</f>
        <v>18.98</v>
      </c>
      <c r="D5513" s="17" t="s">
        <v>53</v>
      </c>
      <c r="E5513" s="17" t="s">
        <v>53</v>
      </c>
      <c r="F5513" s="18"/>
      <c r="G5513" s="36" t="str">
        <f>IF(ISNUMBER(F5513),C5513*F5513,"")</f>
        <v/>
      </c>
    </row>
    <row r="5514" spans="1:7" ht="12" customHeight="1" outlineLevel="2" x14ac:dyDescent="0.2">
      <c r="A5514" s="14" t="s">
        <v>10859</v>
      </c>
      <c r="B5514" s="15" t="s">
        <v>10860</v>
      </c>
      <c r="C5514" s="16">
        <f>33.81/(1+B2)</f>
        <v>33.81</v>
      </c>
      <c r="D5514" s="17" t="s">
        <v>14</v>
      </c>
      <c r="E5514" s="17"/>
      <c r="F5514" s="18"/>
      <c r="G5514" s="36" t="str">
        <f>IF(ISNUMBER(F5514),C5514*F5514,"")</f>
        <v/>
      </c>
    </row>
    <row r="5515" spans="1:7" s="1" customFormat="1" ht="15.95" customHeight="1" outlineLevel="1" x14ac:dyDescent="0.25">
      <c r="A5515" s="11"/>
      <c r="B5515" s="12" t="s">
        <v>10861</v>
      </c>
      <c r="C5515" s="13"/>
      <c r="D5515" s="13"/>
      <c r="E5515" s="13"/>
      <c r="F5515" s="13"/>
      <c r="G5515" s="35"/>
    </row>
    <row r="5516" spans="1:7" ht="12" customHeight="1" outlineLevel="2" x14ac:dyDescent="0.2">
      <c r="A5516" s="14" t="s">
        <v>10862</v>
      </c>
      <c r="B5516" s="15" t="s">
        <v>10863</v>
      </c>
      <c r="C5516" s="16">
        <f>330.42/(1+B2)</f>
        <v>330.42</v>
      </c>
      <c r="D5516" s="17" t="s">
        <v>11</v>
      </c>
      <c r="E5516" s="17"/>
      <c r="F5516" s="18"/>
      <c r="G5516" s="36" t="str">
        <f>IF(ISNUMBER(F5516),C5516*F5516,"")</f>
        <v/>
      </c>
    </row>
    <row r="5517" spans="1:7" ht="12" customHeight="1" outlineLevel="2" x14ac:dyDescent="0.2">
      <c r="A5517" s="14" t="s">
        <v>10864</v>
      </c>
      <c r="B5517" s="15" t="s">
        <v>10865</v>
      </c>
      <c r="C5517" s="16">
        <f>123.8/(1+B2)</f>
        <v>123.8</v>
      </c>
      <c r="D5517" s="17" t="s">
        <v>11</v>
      </c>
      <c r="E5517" s="17"/>
      <c r="F5517" s="18"/>
      <c r="G5517" s="36" t="str">
        <f>IF(ISNUMBER(F5517),C5517*F5517,"")</f>
        <v/>
      </c>
    </row>
    <row r="5518" spans="1:7" ht="24" customHeight="1" outlineLevel="2" x14ac:dyDescent="0.2">
      <c r="A5518" s="14" t="s">
        <v>10866</v>
      </c>
      <c r="B5518" s="15" t="s">
        <v>10867</v>
      </c>
      <c r="C5518" s="19">
        <f>2774.26/(1+B2)</f>
        <v>2774.26</v>
      </c>
      <c r="D5518" s="17" t="s">
        <v>11</v>
      </c>
      <c r="E5518" s="17"/>
      <c r="F5518" s="18"/>
      <c r="G5518" s="36" t="str">
        <f>IF(ISNUMBER(F5518),C5518*F5518,"")</f>
        <v/>
      </c>
    </row>
    <row r="5519" spans="1:7" ht="12" customHeight="1" outlineLevel="2" x14ac:dyDescent="0.2">
      <c r="A5519" s="14" t="s">
        <v>10868</v>
      </c>
      <c r="B5519" s="15" t="s">
        <v>10869</v>
      </c>
      <c r="C5519" s="16">
        <f>290.26/(1+B2)</f>
        <v>290.26</v>
      </c>
      <c r="D5519" s="17" t="s">
        <v>11</v>
      </c>
      <c r="E5519" s="17"/>
      <c r="F5519" s="18"/>
      <c r="G5519" s="36" t="str">
        <f>IF(ISNUMBER(F5519),C5519*F5519,"")</f>
        <v/>
      </c>
    </row>
    <row r="5520" spans="1:7" ht="12" customHeight="1" outlineLevel="2" x14ac:dyDescent="0.2">
      <c r="A5520" s="14" t="s">
        <v>10870</v>
      </c>
      <c r="B5520" s="15" t="s">
        <v>10871</v>
      </c>
      <c r="C5520" s="16">
        <f>187.57/(1+B2)</f>
        <v>187.57</v>
      </c>
      <c r="D5520" s="17" t="s">
        <v>11</v>
      </c>
      <c r="E5520" s="17"/>
      <c r="F5520" s="18"/>
      <c r="G5520" s="36" t="str">
        <f>IF(ISNUMBER(F5520),C5520*F5520,"")</f>
        <v/>
      </c>
    </row>
    <row r="5521" spans="1:7" ht="12" customHeight="1" outlineLevel="2" x14ac:dyDescent="0.2">
      <c r="A5521" s="14" t="s">
        <v>10872</v>
      </c>
      <c r="B5521" s="15" t="s">
        <v>10873</v>
      </c>
      <c r="C5521" s="16">
        <f>289.37/(1+B2)</f>
        <v>289.37</v>
      </c>
      <c r="D5521" s="17" t="s">
        <v>11</v>
      </c>
      <c r="E5521" s="17"/>
      <c r="F5521" s="18"/>
      <c r="G5521" s="36" t="str">
        <f>IF(ISNUMBER(F5521),C5521*F5521,"")</f>
        <v/>
      </c>
    </row>
    <row r="5522" spans="1:7" ht="12" customHeight="1" outlineLevel="2" x14ac:dyDescent="0.2">
      <c r="A5522" s="14" t="s">
        <v>10874</v>
      </c>
      <c r="B5522" s="15" t="s">
        <v>10875</v>
      </c>
      <c r="C5522" s="16">
        <f>172.35/(1+B2)</f>
        <v>172.35</v>
      </c>
      <c r="D5522" s="17" t="s">
        <v>11</v>
      </c>
      <c r="E5522" s="17"/>
      <c r="F5522" s="18"/>
      <c r="G5522" s="36" t="str">
        <f>IF(ISNUMBER(F5522),C5522*F5522,"")</f>
        <v/>
      </c>
    </row>
    <row r="5523" spans="1:7" ht="12" customHeight="1" outlineLevel="2" x14ac:dyDescent="0.2">
      <c r="A5523" s="14" t="s">
        <v>10876</v>
      </c>
      <c r="B5523" s="15" t="s">
        <v>10877</v>
      </c>
      <c r="C5523" s="16">
        <f>280.29/(1+B2)</f>
        <v>280.29000000000002</v>
      </c>
      <c r="D5523" s="17" t="s">
        <v>11</v>
      </c>
      <c r="E5523" s="17"/>
      <c r="F5523" s="18"/>
      <c r="G5523" s="36" t="str">
        <f>IF(ISNUMBER(F5523),C5523*F5523,"")</f>
        <v/>
      </c>
    </row>
    <row r="5524" spans="1:7" ht="12" customHeight="1" outlineLevel="2" x14ac:dyDescent="0.2">
      <c r="A5524" s="14" t="s">
        <v>10878</v>
      </c>
      <c r="B5524" s="15" t="s">
        <v>10879</v>
      </c>
      <c r="C5524" s="16">
        <f>869.23/(1+B2)</f>
        <v>869.23</v>
      </c>
      <c r="D5524" s="17" t="s">
        <v>11</v>
      </c>
      <c r="E5524" s="17" t="s">
        <v>11</v>
      </c>
      <c r="F5524" s="18"/>
      <c r="G5524" s="36" t="str">
        <f>IF(ISNUMBER(F5524),C5524*F5524,"")</f>
        <v/>
      </c>
    </row>
    <row r="5525" spans="1:7" ht="24" customHeight="1" outlineLevel="2" x14ac:dyDescent="0.2">
      <c r="A5525" s="14" t="s">
        <v>10880</v>
      </c>
      <c r="B5525" s="15" t="s">
        <v>10881</v>
      </c>
      <c r="C5525" s="16">
        <f>879.53/(1+B2)</f>
        <v>879.53</v>
      </c>
      <c r="D5525" s="17" t="s">
        <v>11</v>
      </c>
      <c r="E5525" s="17"/>
      <c r="F5525" s="18"/>
      <c r="G5525" s="36" t="str">
        <f>IF(ISNUMBER(F5525),C5525*F5525,"")</f>
        <v/>
      </c>
    </row>
    <row r="5526" spans="1:7" ht="24" customHeight="1" outlineLevel="2" x14ac:dyDescent="0.2">
      <c r="A5526" s="14" t="s">
        <v>10882</v>
      </c>
      <c r="B5526" s="15" t="s">
        <v>10883</v>
      </c>
      <c r="C5526" s="16">
        <f>331.73/(1+B2)</f>
        <v>331.73</v>
      </c>
      <c r="D5526" s="17" t="s">
        <v>11</v>
      </c>
      <c r="E5526" s="17" t="s">
        <v>11</v>
      </c>
      <c r="F5526" s="18"/>
      <c r="G5526" s="36" t="str">
        <f>IF(ISNUMBER(F5526),C5526*F5526,"")</f>
        <v/>
      </c>
    </row>
    <row r="5527" spans="1:7" ht="24" customHeight="1" outlineLevel="2" x14ac:dyDescent="0.2">
      <c r="A5527" s="14" t="s">
        <v>10884</v>
      </c>
      <c r="B5527" s="15" t="s">
        <v>10885</v>
      </c>
      <c r="C5527" s="16">
        <f>365.41/(1+B2)</f>
        <v>365.41</v>
      </c>
      <c r="D5527" s="17" t="s">
        <v>11</v>
      </c>
      <c r="E5527" s="17"/>
      <c r="F5527" s="18"/>
      <c r="G5527" s="36" t="str">
        <f>IF(ISNUMBER(F5527),C5527*F5527,"")</f>
        <v/>
      </c>
    </row>
    <row r="5528" spans="1:7" ht="24" customHeight="1" outlineLevel="2" x14ac:dyDescent="0.2">
      <c r="A5528" s="14" t="s">
        <v>10886</v>
      </c>
      <c r="B5528" s="15" t="s">
        <v>10887</v>
      </c>
      <c r="C5528" s="16">
        <f>341.44/(1+B2)</f>
        <v>341.44</v>
      </c>
      <c r="D5528" s="17" t="s">
        <v>11</v>
      </c>
      <c r="E5528" s="17" t="s">
        <v>11</v>
      </c>
      <c r="F5528" s="18"/>
      <c r="G5528" s="36" t="str">
        <f>IF(ISNUMBER(F5528),C5528*F5528,"")</f>
        <v/>
      </c>
    </row>
    <row r="5529" spans="1:7" ht="12" customHeight="1" outlineLevel="2" x14ac:dyDescent="0.2">
      <c r="A5529" s="14" t="s">
        <v>10888</v>
      </c>
      <c r="B5529" s="15" t="s">
        <v>10889</v>
      </c>
      <c r="C5529" s="16">
        <f>907.82/(1+B2)</f>
        <v>907.82</v>
      </c>
      <c r="D5529" s="17" t="s">
        <v>11</v>
      </c>
      <c r="E5529" s="17" t="s">
        <v>11</v>
      </c>
      <c r="F5529" s="18"/>
      <c r="G5529" s="36" t="str">
        <f>IF(ISNUMBER(F5529),C5529*F5529,"")</f>
        <v/>
      </c>
    </row>
    <row r="5530" spans="1:7" ht="12" customHeight="1" outlineLevel="2" x14ac:dyDescent="0.2">
      <c r="A5530" s="14" t="s">
        <v>10890</v>
      </c>
      <c r="B5530" s="15" t="s">
        <v>10891</v>
      </c>
      <c r="C5530" s="16">
        <f>970.63/(1+B2)</f>
        <v>970.63</v>
      </c>
      <c r="D5530" s="17" t="s">
        <v>11</v>
      </c>
      <c r="E5530" s="17"/>
      <c r="F5530" s="18"/>
      <c r="G5530" s="36" t="str">
        <f>IF(ISNUMBER(F5530),C5530*F5530,"")</f>
        <v/>
      </c>
    </row>
    <row r="5531" spans="1:7" ht="24" customHeight="1" outlineLevel="2" x14ac:dyDescent="0.2">
      <c r="A5531" s="14" t="s">
        <v>10892</v>
      </c>
      <c r="B5531" s="15" t="s">
        <v>10893</v>
      </c>
      <c r="C5531" s="16">
        <f>138.55/(1+B2)</f>
        <v>138.55000000000001</v>
      </c>
      <c r="D5531" s="17" t="s">
        <v>11</v>
      </c>
      <c r="E5531" s="17" t="s">
        <v>11</v>
      </c>
      <c r="F5531" s="18"/>
      <c r="G5531" s="36" t="str">
        <f>IF(ISNUMBER(F5531),C5531*F5531,"")</f>
        <v/>
      </c>
    </row>
    <row r="5532" spans="1:7" ht="24" customHeight="1" outlineLevel="2" x14ac:dyDescent="0.2">
      <c r="A5532" s="14" t="s">
        <v>10894</v>
      </c>
      <c r="B5532" s="15" t="s">
        <v>10895</v>
      </c>
      <c r="C5532" s="16">
        <f>64.86/(1+B2)</f>
        <v>64.86</v>
      </c>
      <c r="D5532" s="17" t="s">
        <v>11</v>
      </c>
      <c r="E5532" s="17"/>
      <c r="F5532" s="18"/>
      <c r="G5532" s="36" t="str">
        <f>IF(ISNUMBER(F5532),C5532*F5532,"")</f>
        <v/>
      </c>
    </row>
    <row r="5533" spans="1:7" ht="12" customHeight="1" outlineLevel="2" x14ac:dyDescent="0.2">
      <c r="A5533" s="14" t="s">
        <v>10896</v>
      </c>
      <c r="B5533" s="15" t="s">
        <v>10897</v>
      </c>
      <c r="C5533" s="16">
        <f>78.79/(1+B2)</f>
        <v>78.790000000000006</v>
      </c>
      <c r="D5533" s="17" t="s">
        <v>14</v>
      </c>
      <c r="E5533" s="17" t="s">
        <v>14</v>
      </c>
      <c r="F5533" s="18"/>
      <c r="G5533" s="36" t="str">
        <f>IF(ISNUMBER(F5533),C5533*F5533,"")</f>
        <v/>
      </c>
    </row>
    <row r="5534" spans="1:7" ht="12" customHeight="1" outlineLevel="2" x14ac:dyDescent="0.2">
      <c r="A5534" s="14" t="s">
        <v>10898</v>
      </c>
      <c r="B5534" s="15" t="s">
        <v>10899</v>
      </c>
      <c r="C5534" s="16">
        <f>91.76/(1+B2)</f>
        <v>91.76</v>
      </c>
      <c r="D5534" s="17" t="s">
        <v>11</v>
      </c>
      <c r="E5534" s="17" t="s">
        <v>14</v>
      </c>
      <c r="F5534" s="18"/>
      <c r="G5534" s="36" t="str">
        <f>IF(ISNUMBER(F5534),C5534*F5534,"")</f>
        <v/>
      </c>
    </row>
    <row r="5535" spans="1:7" ht="12" customHeight="1" outlineLevel="2" x14ac:dyDescent="0.2">
      <c r="A5535" s="14" t="s">
        <v>10900</v>
      </c>
      <c r="B5535" s="15" t="s">
        <v>10901</v>
      </c>
      <c r="C5535" s="16">
        <f>105.97/(1+B2)</f>
        <v>105.97</v>
      </c>
      <c r="D5535" s="17" t="s">
        <v>11</v>
      </c>
      <c r="E5535" s="17" t="s">
        <v>11</v>
      </c>
      <c r="F5535" s="18"/>
      <c r="G5535" s="36" t="str">
        <f>IF(ISNUMBER(F5535),C5535*F5535,"")</f>
        <v/>
      </c>
    </row>
    <row r="5536" spans="1:7" ht="12" customHeight="1" outlineLevel="2" x14ac:dyDescent="0.2">
      <c r="A5536" s="14" t="s">
        <v>10902</v>
      </c>
      <c r="B5536" s="15" t="s">
        <v>10903</v>
      </c>
      <c r="C5536" s="16">
        <f>65.3/(1+B2)</f>
        <v>65.3</v>
      </c>
      <c r="D5536" s="17" t="s">
        <v>11</v>
      </c>
      <c r="E5536" s="17" t="s">
        <v>14</v>
      </c>
      <c r="F5536" s="18"/>
      <c r="G5536" s="36" t="str">
        <f>IF(ISNUMBER(F5536),C5536*F5536,"")</f>
        <v/>
      </c>
    </row>
    <row r="5537" spans="1:7" ht="12" customHeight="1" outlineLevel="2" x14ac:dyDescent="0.2">
      <c r="A5537" s="14" t="s">
        <v>10904</v>
      </c>
      <c r="B5537" s="15" t="s">
        <v>10905</v>
      </c>
      <c r="C5537" s="16">
        <f>70.8/(1+B2)</f>
        <v>70.8</v>
      </c>
      <c r="D5537" s="17" t="s">
        <v>11</v>
      </c>
      <c r="E5537" s="17" t="s">
        <v>53</v>
      </c>
      <c r="F5537" s="18"/>
      <c r="G5537" s="36" t="str">
        <f>IF(ISNUMBER(F5537),C5537*F5537,"")</f>
        <v/>
      </c>
    </row>
    <row r="5538" spans="1:7" ht="12" customHeight="1" outlineLevel="2" x14ac:dyDescent="0.2">
      <c r="A5538" s="14" t="s">
        <v>10906</v>
      </c>
      <c r="B5538" s="15" t="s">
        <v>10907</v>
      </c>
      <c r="C5538" s="16">
        <f>72.19/(1+B2)</f>
        <v>72.19</v>
      </c>
      <c r="D5538" s="17" t="s">
        <v>11</v>
      </c>
      <c r="E5538" s="17"/>
      <c r="F5538" s="18"/>
      <c r="G5538" s="36" t="str">
        <f>IF(ISNUMBER(F5538),C5538*F5538,"")</f>
        <v/>
      </c>
    </row>
    <row r="5539" spans="1:7" s="1" customFormat="1" ht="15.95" customHeight="1" outlineLevel="1" x14ac:dyDescent="0.25">
      <c r="A5539" s="11"/>
      <c r="B5539" s="12" t="s">
        <v>10908</v>
      </c>
      <c r="C5539" s="13"/>
      <c r="D5539" s="13"/>
      <c r="E5539" s="13"/>
      <c r="F5539" s="13"/>
      <c r="G5539" s="35"/>
    </row>
    <row r="5540" spans="1:7" ht="12" customHeight="1" outlineLevel="2" x14ac:dyDescent="0.2">
      <c r="A5540" s="14" t="s">
        <v>10909</v>
      </c>
      <c r="B5540" s="15" t="s">
        <v>10910</v>
      </c>
      <c r="C5540" s="16">
        <f>12.31/(1+B2)</f>
        <v>12.31</v>
      </c>
      <c r="D5540" s="17" t="s">
        <v>11</v>
      </c>
      <c r="E5540" s="17"/>
      <c r="F5540" s="18"/>
      <c r="G5540" s="36" t="str">
        <f>IF(ISNUMBER(F5540),C5540*F5540,"")</f>
        <v/>
      </c>
    </row>
    <row r="5541" spans="1:7" ht="12" customHeight="1" outlineLevel="2" x14ac:dyDescent="0.2">
      <c r="A5541" s="14" t="s">
        <v>10911</v>
      </c>
      <c r="B5541" s="15" t="s">
        <v>10912</v>
      </c>
      <c r="C5541" s="16">
        <f>8.55/(1+B2)</f>
        <v>8.5500000000000007</v>
      </c>
      <c r="D5541" s="17" t="s">
        <v>11</v>
      </c>
      <c r="E5541" s="17"/>
      <c r="F5541" s="18"/>
      <c r="G5541" s="36" t="str">
        <f>IF(ISNUMBER(F5541),C5541*F5541,"")</f>
        <v/>
      </c>
    </row>
    <row r="5542" spans="1:7" ht="12" customHeight="1" outlineLevel="2" x14ac:dyDescent="0.2">
      <c r="A5542" s="14" t="s">
        <v>10913</v>
      </c>
      <c r="B5542" s="15" t="s">
        <v>10914</v>
      </c>
      <c r="C5542" s="16">
        <f>99.86/(1+B2)</f>
        <v>99.86</v>
      </c>
      <c r="D5542" s="17" t="s">
        <v>11</v>
      </c>
      <c r="E5542" s="17"/>
      <c r="F5542" s="18"/>
      <c r="G5542" s="36" t="str">
        <f>IF(ISNUMBER(F5542),C5542*F5542,"")</f>
        <v/>
      </c>
    </row>
    <row r="5543" spans="1:7" ht="12" customHeight="1" outlineLevel="2" x14ac:dyDescent="0.2">
      <c r="A5543" s="14" t="s">
        <v>10915</v>
      </c>
      <c r="B5543" s="15" t="s">
        <v>10916</v>
      </c>
      <c r="C5543" s="16">
        <f>5.77/(1+B2)</f>
        <v>5.77</v>
      </c>
      <c r="D5543" s="17" t="s">
        <v>11</v>
      </c>
      <c r="E5543" s="17"/>
      <c r="F5543" s="18"/>
      <c r="G5543" s="36" t="str">
        <f>IF(ISNUMBER(F5543),C5543*F5543,"")</f>
        <v/>
      </c>
    </row>
    <row r="5544" spans="1:7" ht="12" customHeight="1" outlineLevel="2" x14ac:dyDescent="0.2">
      <c r="A5544" s="14" t="s">
        <v>10917</v>
      </c>
      <c r="B5544" s="15" t="s">
        <v>10918</v>
      </c>
      <c r="C5544" s="16">
        <f>9.89/(1+B2)</f>
        <v>9.89</v>
      </c>
      <c r="D5544" s="17" t="s">
        <v>11</v>
      </c>
      <c r="E5544" s="17"/>
      <c r="F5544" s="18"/>
      <c r="G5544" s="36" t="str">
        <f>IF(ISNUMBER(F5544),C5544*F5544,"")</f>
        <v/>
      </c>
    </row>
    <row r="5545" spans="1:7" ht="12" customHeight="1" outlineLevel="2" x14ac:dyDescent="0.2">
      <c r="A5545" s="14" t="s">
        <v>10919</v>
      </c>
      <c r="B5545" s="15" t="s">
        <v>10920</v>
      </c>
      <c r="C5545" s="16">
        <f>47.96/(1+B2)</f>
        <v>47.96</v>
      </c>
      <c r="D5545" s="17" t="s">
        <v>11</v>
      </c>
      <c r="E5545" s="17"/>
      <c r="F5545" s="18"/>
      <c r="G5545" s="36" t="str">
        <f>IF(ISNUMBER(F5545),C5545*F5545,"")</f>
        <v/>
      </c>
    </row>
    <row r="5546" spans="1:7" ht="12" customHeight="1" outlineLevel="2" x14ac:dyDescent="0.2">
      <c r="A5546" s="14" t="s">
        <v>10921</v>
      </c>
      <c r="B5546" s="15" t="s">
        <v>10922</v>
      </c>
      <c r="C5546" s="16">
        <f>97.54/(1+B2)</f>
        <v>97.54</v>
      </c>
      <c r="D5546" s="17" t="s">
        <v>11</v>
      </c>
      <c r="E5546" s="17"/>
      <c r="F5546" s="18"/>
      <c r="G5546" s="36" t="str">
        <f>IF(ISNUMBER(F5546),C5546*F5546,"")</f>
        <v/>
      </c>
    </row>
    <row r="5547" spans="1:7" ht="12" customHeight="1" outlineLevel="2" x14ac:dyDescent="0.2">
      <c r="A5547" s="14" t="s">
        <v>10923</v>
      </c>
      <c r="B5547" s="15" t="s">
        <v>10924</v>
      </c>
      <c r="C5547" s="16">
        <f>41.11/(1+B2)</f>
        <v>41.11</v>
      </c>
      <c r="D5547" s="17" t="s">
        <v>14</v>
      </c>
      <c r="E5547" s="17"/>
      <c r="F5547" s="18"/>
      <c r="G5547" s="36" t="str">
        <f>IF(ISNUMBER(F5547),C5547*F5547,"")</f>
        <v/>
      </c>
    </row>
    <row r="5548" spans="1:7" ht="12" customHeight="1" outlineLevel="2" x14ac:dyDescent="0.2">
      <c r="A5548" s="14" t="s">
        <v>10925</v>
      </c>
      <c r="B5548" s="15" t="s">
        <v>10926</v>
      </c>
      <c r="C5548" s="16">
        <f>19.81/(1+B2)</f>
        <v>19.809999999999999</v>
      </c>
      <c r="D5548" s="17" t="s">
        <v>11</v>
      </c>
      <c r="E5548" s="17"/>
      <c r="F5548" s="18"/>
      <c r="G5548" s="36" t="str">
        <f>IF(ISNUMBER(F5548),C5548*F5548,"")</f>
        <v/>
      </c>
    </row>
    <row r="5549" spans="1:7" ht="12" customHeight="1" outlineLevel="2" x14ac:dyDescent="0.2">
      <c r="A5549" s="14" t="s">
        <v>10927</v>
      </c>
      <c r="B5549" s="15" t="s">
        <v>10928</v>
      </c>
      <c r="C5549" s="16">
        <f>71.64/(1+B2)</f>
        <v>71.64</v>
      </c>
      <c r="D5549" s="17" t="s">
        <v>11</v>
      </c>
      <c r="E5549" s="17"/>
      <c r="F5549" s="18"/>
      <c r="G5549" s="36" t="str">
        <f>IF(ISNUMBER(F5549),C5549*F5549,"")</f>
        <v/>
      </c>
    </row>
    <row r="5550" spans="1:7" ht="12" customHeight="1" outlineLevel="2" x14ac:dyDescent="0.2">
      <c r="A5550" s="14" t="s">
        <v>10929</v>
      </c>
      <c r="B5550" s="15" t="s">
        <v>10930</v>
      </c>
      <c r="C5550" s="16">
        <f>66.96/(1+B2)</f>
        <v>66.959999999999994</v>
      </c>
      <c r="D5550" s="17" t="s">
        <v>53</v>
      </c>
      <c r="E5550" s="17"/>
      <c r="F5550" s="18"/>
      <c r="G5550" s="36" t="str">
        <f>IF(ISNUMBER(F5550),C5550*F5550,"")</f>
        <v/>
      </c>
    </row>
    <row r="5551" spans="1:7" ht="12" customHeight="1" outlineLevel="2" x14ac:dyDescent="0.2">
      <c r="A5551" s="14" t="s">
        <v>10931</v>
      </c>
      <c r="B5551" s="15" t="s">
        <v>10932</v>
      </c>
      <c r="C5551" s="16">
        <f>79.48/(1+B2)</f>
        <v>79.48</v>
      </c>
      <c r="D5551" s="17" t="s">
        <v>11</v>
      </c>
      <c r="E5551" s="17"/>
      <c r="F5551" s="18"/>
      <c r="G5551" s="36" t="str">
        <f>IF(ISNUMBER(F5551),C5551*F5551,"")</f>
        <v/>
      </c>
    </row>
    <row r="5552" spans="1:7" ht="24" customHeight="1" outlineLevel="2" x14ac:dyDescent="0.2">
      <c r="A5552" s="14" t="s">
        <v>10933</v>
      </c>
      <c r="B5552" s="15" t="s">
        <v>10934</v>
      </c>
      <c r="C5552" s="16">
        <f>46.33/(1+B2)</f>
        <v>46.33</v>
      </c>
      <c r="D5552" s="17" t="s">
        <v>11</v>
      </c>
      <c r="E5552" s="17"/>
      <c r="F5552" s="18"/>
      <c r="G5552" s="36" t="str">
        <f>IF(ISNUMBER(F5552),C5552*F5552,"")</f>
        <v/>
      </c>
    </row>
    <row r="5553" spans="1:7" ht="12" customHeight="1" outlineLevel="2" x14ac:dyDescent="0.2">
      <c r="A5553" s="14" t="s">
        <v>10935</v>
      </c>
      <c r="B5553" s="15" t="s">
        <v>10936</v>
      </c>
      <c r="C5553" s="16">
        <f>276/(1+B2)</f>
        <v>276</v>
      </c>
      <c r="D5553" s="17" t="s">
        <v>11</v>
      </c>
      <c r="E5553" s="17"/>
      <c r="F5553" s="18"/>
      <c r="G5553" s="36" t="str">
        <f>IF(ISNUMBER(F5553),C5553*F5553,"")</f>
        <v/>
      </c>
    </row>
    <row r="5554" spans="1:7" ht="12" customHeight="1" outlineLevel="2" x14ac:dyDescent="0.2">
      <c r="A5554" s="14" t="s">
        <v>10937</v>
      </c>
      <c r="B5554" s="15" t="s">
        <v>10938</v>
      </c>
      <c r="C5554" s="16">
        <f>192/(1+B2)</f>
        <v>192</v>
      </c>
      <c r="D5554" s="17" t="s">
        <v>11</v>
      </c>
      <c r="E5554" s="17"/>
      <c r="F5554" s="18"/>
      <c r="G5554" s="36" t="str">
        <f>IF(ISNUMBER(F5554),C5554*F5554,"")</f>
        <v/>
      </c>
    </row>
    <row r="5555" spans="1:7" ht="12" customHeight="1" outlineLevel="2" x14ac:dyDescent="0.2">
      <c r="A5555" s="14" t="s">
        <v>10939</v>
      </c>
      <c r="B5555" s="15" t="s">
        <v>10940</v>
      </c>
      <c r="C5555" s="16">
        <f>11.7/(1+B2)</f>
        <v>11.7</v>
      </c>
      <c r="D5555" s="17" t="s">
        <v>53</v>
      </c>
      <c r="E5555" s="17"/>
      <c r="F5555" s="18"/>
      <c r="G5555" s="36" t="str">
        <f>IF(ISNUMBER(F5555),C5555*F5555,"")</f>
        <v/>
      </c>
    </row>
    <row r="5556" spans="1:7" ht="24" customHeight="1" outlineLevel="2" x14ac:dyDescent="0.2">
      <c r="A5556" s="14" t="s">
        <v>10941</v>
      </c>
      <c r="B5556" s="15" t="s">
        <v>10942</v>
      </c>
      <c r="C5556" s="16">
        <f>24/(1+B2)</f>
        <v>24</v>
      </c>
      <c r="D5556" s="17" t="s">
        <v>11</v>
      </c>
      <c r="E5556" s="17" t="s">
        <v>11</v>
      </c>
      <c r="F5556" s="18"/>
      <c r="G5556" s="36" t="str">
        <f>IF(ISNUMBER(F5556),C5556*F5556,"")</f>
        <v/>
      </c>
    </row>
    <row r="5557" spans="1:7" ht="12" customHeight="1" outlineLevel="2" x14ac:dyDescent="0.2">
      <c r="A5557" s="14" t="s">
        <v>10943</v>
      </c>
      <c r="B5557" s="15" t="s">
        <v>10944</v>
      </c>
      <c r="C5557" s="16">
        <f>14.39/(1+B2)</f>
        <v>14.39</v>
      </c>
      <c r="D5557" s="17" t="s">
        <v>11</v>
      </c>
      <c r="E5557" s="17" t="s">
        <v>53</v>
      </c>
      <c r="F5557" s="18"/>
      <c r="G5557" s="36" t="str">
        <f>IF(ISNUMBER(F5557),C5557*F5557,"")</f>
        <v/>
      </c>
    </row>
    <row r="5558" spans="1:7" ht="12" customHeight="1" outlineLevel="2" x14ac:dyDescent="0.2">
      <c r="A5558" s="14" t="s">
        <v>10945</v>
      </c>
      <c r="B5558" s="15" t="s">
        <v>10946</v>
      </c>
      <c r="C5558" s="16">
        <f>16.9/(1+B2)</f>
        <v>16.899999999999999</v>
      </c>
      <c r="D5558" s="17" t="s">
        <v>11</v>
      </c>
      <c r="E5558" s="17" t="s">
        <v>53</v>
      </c>
      <c r="F5558" s="18"/>
      <c r="G5558" s="36" t="str">
        <f>IF(ISNUMBER(F5558),C5558*F5558,"")</f>
        <v/>
      </c>
    </row>
    <row r="5559" spans="1:7" ht="12" customHeight="1" outlineLevel="2" x14ac:dyDescent="0.2">
      <c r="A5559" s="14" t="s">
        <v>10947</v>
      </c>
      <c r="B5559" s="15" t="s">
        <v>10948</v>
      </c>
      <c r="C5559" s="16">
        <f>228/(1+B2)</f>
        <v>228</v>
      </c>
      <c r="D5559" s="17" t="s">
        <v>11</v>
      </c>
      <c r="E5559" s="17"/>
      <c r="F5559" s="18"/>
      <c r="G5559" s="36" t="str">
        <f>IF(ISNUMBER(F5559),C5559*F5559,"")</f>
        <v/>
      </c>
    </row>
    <row r="5560" spans="1:7" ht="12" customHeight="1" outlineLevel="2" x14ac:dyDescent="0.2">
      <c r="A5560" s="14" t="s">
        <v>10949</v>
      </c>
      <c r="B5560" s="15" t="s">
        <v>10950</v>
      </c>
      <c r="C5560" s="16">
        <f>486.63/(1+B2)</f>
        <v>486.63</v>
      </c>
      <c r="D5560" s="17" t="s">
        <v>11</v>
      </c>
      <c r="E5560" s="17" t="s">
        <v>11</v>
      </c>
      <c r="F5560" s="18"/>
      <c r="G5560" s="36" t="str">
        <f>IF(ISNUMBER(F5560),C5560*F5560,"")</f>
        <v/>
      </c>
    </row>
    <row r="5561" spans="1:7" ht="12" customHeight="1" outlineLevel="2" x14ac:dyDescent="0.2">
      <c r="A5561" s="14" t="s">
        <v>10951</v>
      </c>
      <c r="B5561" s="15" t="s">
        <v>10952</v>
      </c>
      <c r="C5561" s="16">
        <f>132/(1+B2)</f>
        <v>132</v>
      </c>
      <c r="D5561" s="17" t="s">
        <v>11</v>
      </c>
      <c r="E5561" s="17"/>
      <c r="F5561" s="18"/>
      <c r="G5561" s="36" t="str">
        <f>IF(ISNUMBER(F5561),C5561*F5561,"")</f>
        <v/>
      </c>
    </row>
    <row r="5562" spans="1:7" ht="12" customHeight="1" outlineLevel="2" x14ac:dyDescent="0.2">
      <c r="A5562" s="14" t="s">
        <v>10953</v>
      </c>
      <c r="B5562" s="15" t="s">
        <v>10954</v>
      </c>
      <c r="C5562" s="16">
        <f>573.3/(1+B2)</f>
        <v>573.29999999999995</v>
      </c>
      <c r="D5562" s="17" t="s">
        <v>14</v>
      </c>
      <c r="E5562" s="17" t="s">
        <v>11</v>
      </c>
      <c r="F5562" s="18"/>
      <c r="G5562" s="36" t="str">
        <f>IF(ISNUMBER(F5562),C5562*F5562,"")</f>
        <v/>
      </c>
    </row>
    <row r="5563" spans="1:7" s="1" customFormat="1" ht="15.95" customHeight="1" outlineLevel="1" x14ac:dyDescent="0.25">
      <c r="A5563" s="11"/>
      <c r="B5563" s="12" t="s">
        <v>10955</v>
      </c>
      <c r="C5563" s="13"/>
      <c r="D5563" s="13"/>
      <c r="E5563" s="13"/>
      <c r="F5563" s="13"/>
      <c r="G5563" s="35"/>
    </row>
    <row r="5564" spans="1:7" ht="12" customHeight="1" outlineLevel="2" x14ac:dyDescent="0.2">
      <c r="A5564" s="14" t="s">
        <v>10956</v>
      </c>
      <c r="B5564" s="15" t="s">
        <v>10957</v>
      </c>
      <c r="C5564" s="16">
        <f>413.82/(1+B2)</f>
        <v>413.82</v>
      </c>
      <c r="D5564" s="17" t="s">
        <v>11</v>
      </c>
      <c r="E5564" s="17" t="s">
        <v>14</v>
      </c>
      <c r="F5564" s="18"/>
      <c r="G5564" s="36" t="str">
        <f>IF(ISNUMBER(F5564),C5564*F5564,"")</f>
        <v/>
      </c>
    </row>
    <row r="5565" spans="1:7" ht="12" customHeight="1" outlineLevel="2" x14ac:dyDescent="0.2">
      <c r="A5565" s="14" t="s">
        <v>10958</v>
      </c>
      <c r="B5565" s="15" t="s">
        <v>10959</v>
      </c>
      <c r="C5565" s="16">
        <f>45.14/(1+B2)</f>
        <v>45.14</v>
      </c>
      <c r="D5565" s="17" t="s">
        <v>11</v>
      </c>
      <c r="E5565" s="17" t="s">
        <v>106</v>
      </c>
      <c r="F5565" s="18"/>
      <c r="G5565" s="36" t="str">
        <f>IF(ISNUMBER(F5565),C5565*F5565,"")</f>
        <v/>
      </c>
    </row>
    <row r="5566" spans="1:7" ht="12" customHeight="1" outlineLevel="2" x14ac:dyDescent="0.2">
      <c r="A5566" s="14" t="s">
        <v>10960</v>
      </c>
      <c r="B5566" s="15" t="s">
        <v>10961</v>
      </c>
      <c r="C5566" s="16">
        <f>620.73/(1+B2)</f>
        <v>620.73</v>
      </c>
      <c r="D5566" s="17" t="s">
        <v>11</v>
      </c>
      <c r="E5566" s="17" t="s">
        <v>11</v>
      </c>
      <c r="F5566" s="18"/>
      <c r="G5566" s="36" t="str">
        <f>IF(ISNUMBER(F5566),C5566*F5566,"")</f>
        <v/>
      </c>
    </row>
    <row r="5567" spans="1:7" ht="12" customHeight="1" outlineLevel="2" x14ac:dyDescent="0.2">
      <c r="A5567" s="14" t="s">
        <v>10962</v>
      </c>
      <c r="B5567" s="15" t="s">
        <v>10963</v>
      </c>
      <c r="C5567" s="16">
        <f>90.42/(1+B2)</f>
        <v>90.42</v>
      </c>
      <c r="D5567" s="17" t="s">
        <v>11</v>
      </c>
      <c r="E5567" s="17" t="s">
        <v>106</v>
      </c>
      <c r="F5567" s="18"/>
      <c r="G5567" s="36" t="str">
        <f>IF(ISNUMBER(F5567),C5567*F5567,"")</f>
        <v/>
      </c>
    </row>
    <row r="5568" spans="1:7" ht="12" customHeight="1" outlineLevel="2" x14ac:dyDescent="0.2">
      <c r="A5568" s="14" t="s">
        <v>10964</v>
      </c>
      <c r="B5568" s="15" t="s">
        <v>10965</v>
      </c>
      <c r="C5568" s="16">
        <f>131.67/(1+B2)</f>
        <v>131.66999999999999</v>
      </c>
      <c r="D5568" s="17" t="s">
        <v>11</v>
      </c>
      <c r="E5568" s="17" t="s">
        <v>53</v>
      </c>
      <c r="F5568" s="18"/>
      <c r="G5568" s="36" t="str">
        <f>IF(ISNUMBER(F5568),C5568*F5568,"")</f>
        <v/>
      </c>
    </row>
    <row r="5569" spans="1:7" ht="12" customHeight="1" outlineLevel="2" x14ac:dyDescent="0.2">
      <c r="A5569" s="14" t="s">
        <v>10966</v>
      </c>
      <c r="B5569" s="15" t="s">
        <v>10967</v>
      </c>
      <c r="C5569" s="16">
        <f>289.67/(1+B2)</f>
        <v>289.67</v>
      </c>
      <c r="D5569" s="17" t="s">
        <v>11</v>
      </c>
      <c r="E5569" s="17" t="s">
        <v>53</v>
      </c>
      <c r="F5569" s="18"/>
      <c r="G5569" s="36" t="str">
        <f>IF(ISNUMBER(F5569),C5569*F5569,"")</f>
        <v/>
      </c>
    </row>
    <row r="5570" spans="1:7" ht="12" customHeight="1" outlineLevel="2" x14ac:dyDescent="0.2">
      <c r="A5570" s="14" t="s">
        <v>10968</v>
      </c>
      <c r="B5570" s="15" t="s">
        <v>10969</v>
      </c>
      <c r="C5570" s="16">
        <f>413.82/(1+B2)</f>
        <v>413.82</v>
      </c>
      <c r="D5570" s="17" t="s">
        <v>11</v>
      </c>
      <c r="E5570" s="17" t="s">
        <v>14</v>
      </c>
      <c r="F5570" s="18"/>
      <c r="G5570" s="36" t="str">
        <f>IF(ISNUMBER(F5570),C5570*F5570,"")</f>
        <v/>
      </c>
    </row>
    <row r="5571" spans="1:7" ht="12" customHeight="1" outlineLevel="2" x14ac:dyDescent="0.2">
      <c r="A5571" s="14" t="s">
        <v>10970</v>
      </c>
      <c r="B5571" s="15" t="s">
        <v>10971</v>
      </c>
      <c r="C5571" s="16">
        <f>45.14/(1+B2)</f>
        <v>45.14</v>
      </c>
      <c r="D5571" s="17" t="s">
        <v>11</v>
      </c>
      <c r="E5571" s="17" t="s">
        <v>106</v>
      </c>
      <c r="F5571" s="18"/>
      <c r="G5571" s="36" t="str">
        <f>IF(ISNUMBER(F5571),C5571*F5571,"")</f>
        <v/>
      </c>
    </row>
    <row r="5572" spans="1:7" ht="12" customHeight="1" outlineLevel="2" x14ac:dyDescent="0.2">
      <c r="A5572" s="14" t="s">
        <v>10972</v>
      </c>
      <c r="B5572" s="15" t="s">
        <v>10973</v>
      </c>
      <c r="C5572" s="16">
        <f>620.73/(1+B2)</f>
        <v>620.73</v>
      </c>
      <c r="D5572" s="17" t="s">
        <v>11</v>
      </c>
      <c r="E5572" s="17" t="s">
        <v>11</v>
      </c>
      <c r="F5572" s="18"/>
      <c r="G5572" s="36" t="str">
        <f>IF(ISNUMBER(F5572),C5572*F5572,"")</f>
        <v/>
      </c>
    </row>
    <row r="5573" spans="1:7" ht="12" customHeight="1" outlineLevel="2" x14ac:dyDescent="0.2">
      <c r="A5573" s="14" t="s">
        <v>10974</v>
      </c>
      <c r="B5573" s="15" t="s">
        <v>10975</v>
      </c>
      <c r="C5573" s="16">
        <f>90.42/(1+B2)</f>
        <v>90.42</v>
      </c>
      <c r="D5573" s="17" t="s">
        <v>11</v>
      </c>
      <c r="E5573" s="17" t="s">
        <v>106</v>
      </c>
      <c r="F5573" s="18"/>
      <c r="G5573" s="36" t="str">
        <f>IF(ISNUMBER(F5573),C5573*F5573,"")</f>
        <v/>
      </c>
    </row>
    <row r="5574" spans="1:7" ht="12" customHeight="1" outlineLevel="2" x14ac:dyDescent="0.2">
      <c r="A5574" s="14" t="s">
        <v>10976</v>
      </c>
      <c r="B5574" s="15" t="s">
        <v>10977</v>
      </c>
      <c r="C5574" s="16">
        <f>213.18/(1+B2)</f>
        <v>213.18</v>
      </c>
      <c r="D5574" s="17" t="s">
        <v>11</v>
      </c>
      <c r="E5574" s="17" t="s">
        <v>53</v>
      </c>
      <c r="F5574" s="18"/>
      <c r="G5574" s="36" t="str">
        <f>IF(ISNUMBER(F5574),C5574*F5574,"")</f>
        <v/>
      </c>
    </row>
    <row r="5575" spans="1:7" ht="12" customHeight="1" outlineLevel="2" x14ac:dyDescent="0.2">
      <c r="A5575" s="14" t="s">
        <v>10978</v>
      </c>
      <c r="B5575" s="15" t="s">
        <v>10979</v>
      </c>
      <c r="C5575" s="16">
        <f>62.08/(1+B2)</f>
        <v>62.08</v>
      </c>
      <c r="D5575" s="17" t="s">
        <v>11</v>
      </c>
      <c r="E5575" s="17" t="s">
        <v>106</v>
      </c>
      <c r="F5575" s="18"/>
      <c r="G5575" s="36" t="str">
        <f>IF(ISNUMBER(F5575),C5575*F5575,"")</f>
        <v/>
      </c>
    </row>
    <row r="5576" spans="1:7" ht="12" customHeight="1" outlineLevel="2" x14ac:dyDescent="0.2">
      <c r="A5576" s="14" t="s">
        <v>10980</v>
      </c>
      <c r="B5576" s="15" t="s">
        <v>10981</v>
      </c>
      <c r="C5576" s="16">
        <f>852.72/(1+B2)</f>
        <v>852.72</v>
      </c>
      <c r="D5576" s="17" t="s">
        <v>11</v>
      </c>
      <c r="E5576" s="17" t="s">
        <v>11</v>
      </c>
      <c r="F5576" s="18"/>
      <c r="G5576" s="36" t="str">
        <f>IF(ISNUMBER(F5576),C5576*F5576,"")</f>
        <v/>
      </c>
    </row>
    <row r="5577" spans="1:7" ht="12" customHeight="1" outlineLevel="2" x14ac:dyDescent="0.2">
      <c r="A5577" s="14" t="s">
        <v>10982</v>
      </c>
      <c r="B5577" s="15" t="s">
        <v>10983</v>
      </c>
      <c r="C5577" s="16">
        <f>124.15/(1+B2)</f>
        <v>124.15</v>
      </c>
      <c r="D5577" s="17" t="s">
        <v>11</v>
      </c>
      <c r="E5577" s="17" t="s">
        <v>106</v>
      </c>
      <c r="F5577" s="18"/>
      <c r="G5577" s="36" t="str">
        <f>IF(ISNUMBER(F5577),C5577*F5577,"")</f>
        <v/>
      </c>
    </row>
    <row r="5578" spans="1:7" ht="12" customHeight="1" outlineLevel="2" x14ac:dyDescent="0.2">
      <c r="A5578" s="14" t="s">
        <v>10984</v>
      </c>
      <c r="B5578" s="15" t="s">
        <v>10985</v>
      </c>
      <c r="C5578" s="16">
        <f>297.2/(1+B2)</f>
        <v>297.2</v>
      </c>
      <c r="D5578" s="17" t="s">
        <v>11</v>
      </c>
      <c r="E5578" s="17" t="s">
        <v>14</v>
      </c>
      <c r="F5578" s="18"/>
      <c r="G5578" s="36" t="str">
        <f>IF(ISNUMBER(F5578),C5578*F5578,"")</f>
        <v/>
      </c>
    </row>
    <row r="5579" spans="1:7" ht="12" customHeight="1" outlineLevel="2" x14ac:dyDescent="0.2">
      <c r="A5579" s="14" t="s">
        <v>10986</v>
      </c>
      <c r="B5579" s="15" t="s">
        <v>10987</v>
      </c>
      <c r="C5579" s="16">
        <f>62.08/(1+B2)</f>
        <v>62.08</v>
      </c>
      <c r="D5579" s="17" t="s">
        <v>11</v>
      </c>
      <c r="E5579" s="17" t="s">
        <v>106</v>
      </c>
      <c r="F5579" s="18"/>
      <c r="G5579" s="36" t="str">
        <f>IF(ISNUMBER(F5579),C5579*F5579,"")</f>
        <v/>
      </c>
    </row>
    <row r="5580" spans="1:7" ht="12" customHeight="1" outlineLevel="2" x14ac:dyDescent="0.2">
      <c r="A5580" s="14" t="s">
        <v>10988</v>
      </c>
      <c r="B5580" s="15" t="s">
        <v>10989</v>
      </c>
      <c r="C5580" s="16">
        <f>174.31/(1+B2)</f>
        <v>174.31</v>
      </c>
      <c r="D5580" s="17" t="s">
        <v>11</v>
      </c>
      <c r="E5580" s="17" t="s">
        <v>53</v>
      </c>
      <c r="F5580" s="18"/>
      <c r="G5580" s="36" t="str">
        <f>IF(ISNUMBER(F5580),C5580*F5580,"")</f>
        <v/>
      </c>
    </row>
    <row r="5581" spans="1:7" ht="12" customHeight="1" outlineLevel="2" x14ac:dyDescent="0.2">
      <c r="A5581" s="14" t="s">
        <v>10990</v>
      </c>
      <c r="B5581" s="15" t="s">
        <v>10991</v>
      </c>
      <c r="C5581" s="16">
        <f>413.82/(1+B2)</f>
        <v>413.82</v>
      </c>
      <c r="D5581" s="17" t="s">
        <v>11</v>
      </c>
      <c r="E5581" s="17" t="s">
        <v>11</v>
      </c>
      <c r="F5581" s="18"/>
      <c r="G5581" s="36" t="str">
        <f>IF(ISNUMBER(F5581),C5581*F5581,"")</f>
        <v/>
      </c>
    </row>
    <row r="5582" spans="1:7" ht="12" customHeight="1" outlineLevel="2" x14ac:dyDescent="0.2">
      <c r="A5582" s="14" t="s">
        <v>10992</v>
      </c>
      <c r="B5582" s="15" t="s">
        <v>10993</v>
      </c>
      <c r="C5582" s="16">
        <f>43.89/(1+B2)</f>
        <v>43.89</v>
      </c>
      <c r="D5582" s="17" t="s">
        <v>11</v>
      </c>
      <c r="E5582" s="17" t="s">
        <v>106</v>
      </c>
      <c r="F5582" s="18"/>
      <c r="G5582" s="36" t="str">
        <f>IF(ISNUMBER(F5582),C5582*F5582,"")</f>
        <v/>
      </c>
    </row>
    <row r="5583" spans="1:7" ht="12" customHeight="1" outlineLevel="2" x14ac:dyDescent="0.2">
      <c r="A5583" s="14" t="s">
        <v>10994</v>
      </c>
      <c r="B5583" s="15" t="s">
        <v>10995</v>
      </c>
      <c r="C5583" s="16">
        <f>66.46/(1+B2)</f>
        <v>66.459999999999994</v>
      </c>
      <c r="D5583" s="17" t="s">
        <v>11</v>
      </c>
      <c r="E5583" s="17" t="s">
        <v>106</v>
      </c>
      <c r="F5583" s="18"/>
      <c r="G5583" s="36" t="str">
        <f>IF(ISNUMBER(F5583),C5583*F5583,"")</f>
        <v/>
      </c>
    </row>
    <row r="5584" spans="1:7" ht="12" customHeight="1" outlineLevel="2" x14ac:dyDescent="0.2">
      <c r="A5584" s="14" t="s">
        <v>10996</v>
      </c>
      <c r="B5584" s="15" t="s">
        <v>10997</v>
      </c>
      <c r="C5584" s="16">
        <f>413.82/(1+B2)</f>
        <v>413.82</v>
      </c>
      <c r="D5584" s="17" t="s">
        <v>11</v>
      </c>
      <c r="E5584" s="17"/>
      <c r="F5584" s="18"/>
      <c r="G5584" s="36" t="str">
        <f>IF(ISNUMBER(F5584),C5584*F5584,"")</f>
        <v/>
      </c>
    </row>
    <row r="5585" spans="1:7" ht="12" customHeight="1" outlineLevel="2" x14ac:dyDescent="0.2">
      <c r="A5585" s="14" t="s">
        <v>10998</v>
      </c>
      <c r="B5585" s="15" t="s">
        <v>10999</v>
      </c>
      <c r="C5585" s="16">
        <f>43.89/(1+B2)</f>
        <v>43.89</v>
      </c>
      <c r="D5585" s="17" t="s">
        <v>11</v>
      </c>
      <c r="E5585" s="17" t="s">
        <v>106</v>
      </c>
      <c r="F5585" s="18"/>
      <c r="G5585" s="36" t="str">
        <f>IF(ISNUMBER(F5585),C5585*F5585,"")</f>
        <v/>
      </c>
    </row>
    <row r="5586" spans="1:7" ht="12" customHeight="1" outlineLevel="2" x14ac:dyDescent="0.2">
      <c r="A5586" s="14" t="s">
        <v>11000</v>
      </c>
      <c r="B5586" s="15" t="s">
        <v>11001</v>
      </c>
      <c r="C5586" s="16">
        <f>89.03/(1+B2)</f>
        <v>89.03</v>
      </c>
      <c r="D5586" s="17" t="s">
        <v>11</v>
      </c>
      <c r="E5586" s="17" t="s">
        <v>106</v>
      </c>
      <c r="F5586" s="18"/>
      <c r="G5586" s="36" t="str">
        <f>IF(ISNUMBER(F5586),C5586*F5586,"")</f>
        <v/>
      </c>
    </row>
    <row r="5587" spans="1:7" ht="12" customHeight="1" outlineLevel="2" x14ac:dyDescent="0.2">
      <c r="A5587" s="14" t="s">
        <v>11002</v>
      </c>
      <c r="B5587" s="15" t="s">
        <v>11003</v>
      </c>
      <c r="C5587" s="16">
        <f>413.82/(1+B2)</f>
        <v>413.82</v>
      </c>
      <c r="D5587" s="17" t="s">
        <v>11</v>
      </c>
      <c r="E5587" s="17" t="s">
        <v>53</v>
      </c>
      <c r="F5587" s="18"/>
      <c r="G5587" s="36" t="str">
        <f>IF(ISNUMBER(F5587),C5587*F5587,"")</f>
        <v/>
      </c>
    </row>
    <row r="5588" spans="1:7" ht="12" customHeight="1" outlineLevel="2" x14ac:dyDescent="0.2">
      <c r="A5588" s="14" t="s">
        <v>11004</v>
      </c>
      <c r="B5588" s="15" t="s">
        <v>11005</v>
      </c>
      <c r="C5588" s="16">
        <f>45.14/(1+B2)</f>
        <v>45.14</v>
      </c>
      <c r="D5588" s="17" t="s">
        <v>11</v>
      </c>
      <c r="E5588" s="17" t="s">
        <v>106</v>
      </c>
      <c r="F5588" s="18"/>
      <c r="G5588" s="36" t="str">
        <f>IF(ISNUMBER(F5588),C5588*F5588,"")</f>
        <v/>
      </c>
    </row>
    <row r="5589" spans="1:7" ht="12" customHeight="1" outlineLevel="2" x14ac:dyDescent="0.2">
      <c r="A5589" s="14" t="s">
        <v>11006</v>
      </c>
      <c r="B5589" s="15" t="s">
        <v>11007</v>
      </c>
      <c r="C5589" s="16">
        <f>90.92/(1+B2)</f>
        <v>90.92</v>
      </c>
      <c r="D5589" s="17" t="s">
        <v>11</v>
      </c>
      <c r="E5589" s="17" t="s">
        <v>53</v>
      </c>
      <c r="F5589" s="18"/>
      <c r="G5589" s="36" t="str">
        <f>IF(ISNUMBER(F5589),C5589*F5589,"")</f>
        <v/>
      </c>
    </row>
    <row r="5590" spans="1:7" ht="12" customHeight="1" outlineLevel="2" x14ac:dyDescent="0.2">
      <c r="A5590" s="14" t="s">
        <v>11008</v>
      </c>
      <c r="B5590" s="15" t="s">
        <v>11009</v>
      </c>
      <c r="C5590" s="16">
        <f>52.05/(1+B2)</f>
        <v>52.05</v>
      </c>
      <c r="D5590" s="17" t="s">
        <v>11</v>
      </c>
      <c r="E5590" s="17" t="s">
        <v>14</v>
      </c>
      <c r="F5590" s="18"/>
      <c r="G5590" s="36" t="str">
        <f>IF(ISNUMBER(F5590),C5590*F5590,"")</f>
        <v/>
      </c>
    </row>
    <row r="5591" spans="1:7" ht="12" customHeight="1" outlineLevel="2" x14ac:dyDescent="0.2">
      <c r="A5591" s="14" t="s">
        <v>11010</v>
      </c>
      <c r="B5591" s="15" t="s">
        <v>11011</v>
      </c>
      <c r="C5591" s="16">
        <f>103.46/(1+B2)</f>
        <v>103.46</v>
      </c>
      <c r="D5591" s="17" t="s">
        <v>11</v>
      </c>
      <c r="E5591" s="17" t="s">
        <v>53</v>
      </c>
      <c r="F5591" s="18"/>
      <c r="G5591" s="36" t="str">
        <f>IF(ISNUMBER(F5591),C5591*F5591,"")</f>
        <v/>
      </c>
    </row>
    <row r="5592" spans="1:7" s="1" customFormat="1" ht="15.95" customHeight="1" outlineLevel="1" x14ac:dyDescent="0.25">
      <c r="A5592" s="11"/>
      <c r="B5592" s="12" t="s">
        <v>11012</v>
      </c>
      <c r="C5592" s="13"/>
      <c r="D5592" s="13"/>
      <c r="E5592" s="13"/>
      <c r="F5592" s="13"/>
      <c r="G5592" s="35"/>
    </row>
    <row r="5593" spans="1:7" ht="12" customHeight="1" outlineLevel="2" x14ac:dyDescent="0.2">
      <c r="A5593" s="14" t="s">
        <v>11013</v>
      </c>
      <c r="B5593" s="15" t="s">
        <v>11014</v>
      </c>
      <c r="C5593" s="16">
        <f>17.24/(1+B2)</f>
        <v>17.239999999999998</v>
      </c>
      <c r="D5593" s="17" t="s">
        <v>11</v>
      </c>
      <c r="E5593" s="17" t="s">
        <v>53</v>
      </c>
      <c r="F5593" s="18"/>
      <c r="G5593" s="36" t="str">
        <f>IF(ISNUMBER(F5593),C5593*F5593,"")</f>
        <v/>
      </c>
    </row>
    <row r="5594" spans="1:7" ht="12" customHeight="1" outlineLevel="2" x14ac:dyDescent="0.2">
      <c r="A5594" s="14" t="s">
        <v>11015</v>
      </c>
      <c r="B5594" s="15" t="s">
        <v>11016</v>
      </c>
      <c r="C5594" s="16">
        <f>46.36/(1+B2)</f>
        <v>46.36</v>
      </c>
      <c r="D5594" s="17" t="s">
        <v>14</v>
      </c>
      <c r="E5594" s="17"/>
      <c r="F5594" s="18"/>
      <c r="G5594" s="36" t="str">
        <f>IF(ISNUMBER(F5594),C5594*F5594,"")</f>
        <v/>
      </c>
    </row>
    <row r="5595" spans="1:7" ht="12" customHeight="1" outlineLevel="2" x14ac:dyDescent="0.2">
      <c r="A5595" s="14" t="s">
        <v>11017</v>
      </c>
      <c r="B5595" s="15" t="s">
        <v>11018</v>
      </c>
      <c r="C5595" s="16">
        <f>271.57/(1+B2)</f>
        <v>271.57</v>
      </c>
      <c r="D5595" s="17" t="s">
        <v>11</v>
      </c>
      <c r="E5595" s="17" t="s">
        <v>11</v>
      </c>
      <c r="F5595" s="18"/>
      <c r="G5595" s="36" t="str">
        <f>IF(ISNUMBER(F5595),C5595*F5595,"")</f>
        <v/>
      </c>
    </row>
    <row r="5596" spans="1:7" ht="12" customHeight="1" outlineLevel="2" x14ac:dyDescent="0.2">
      <c r="A5596" s="14" t="s">
        <v>11019</v>
      </c>
      <c r="B5596" s="15" t="s">
        <v>11020</v>
      </c>
      <c r="C5596" s="16">
        <f>522.49/(1+B2)</f>
        <v>522.49</v>
      </c>
      <c r="D5596" s="17" t="s">
        <v>11</v>
      </c>
      <c r="E5596" s="17"/>
      <c r="F5596" s="18"/>
      <c r="G5596" s="36" t="str">
        <f>IF(ISNUMBER(F5596),C5596*F5596,"")</f>
        <v/>
      </c>
    </row>
    <row r="5597" spans="1:7" ht="12" customHeight="1" outlineLevel="2" x14ac:dyDescent="0.2">
      <c r="A5597" s="14" t="s">
        <v>11021</v>
      </c>
      <c r="B5597" s="15" t="s">
        <v>11022</v>
      </c>
      <c r="C5597" s="16">
        <f>143.73/(1+B2)</f>
        <v>143.72999999999999</v>
      </c>
      <c r="D5597" s="17" t="s">
        <v>14</v>
      </c>
      <c r="E5597" s="17"/>
      <c r="F5597" s="18"/>
      <c r="G5597" s="36" t="str">
        <f>IF(ISNUMBER(F5597),C5597*F5597,"")</f>
        <v/>
      </c>
    </row>
    <row r="5598" spans="1:7" ht="12" customHeight="1" outlineLevel="2" x14ac:dyDescent="0.2">
      <c r="A5598" s="14" t="s">
        <v>11023</v>
      </c>
      <c r="B5598" s="15" t="s">
        <v>11024</v>
      </c>
      <c r="C5598" s="16">
        <f>134.68/(1+B2)</f>
        <v>134.68</v>
      </c>
      <c r="D5598" s="17" t="s">
        <v>11</v>
      </c>
      <c r="E5598" s="17"/>
      <c r="F5598" s="18"/>
      <c r="G5598" s="36" t="str">
        <f>IF(ISNUMBER(F5598),C5598*F5598,"")</f>
        <v/>
      </c>
    </row>
    <row r="5599" spans="1:7" ht="12" customHeight="1" outlineLevel="2" x14ac:dyDescent="0.2">
      <c r="A5599" s="14" t="s">
        <v>11025</v>
      </c>
      <c r="B5599" s="15" t="s">
        <v>11026</v>
      </c>
      <c r="C5599" s="16">
        <f>82.74/(1+B2)</f>
        <v>82.74</v>
      </c>
      <c r="D5599" s="17" t="s">
        <v>11</v>
      </c>
      <c r="E5599" s="17" t="s">
        <v>53</v>
      </c>
      <c r="F5599" s="18"/>
      <c r="G5599" s="36" t="str">
        <f>IF(ISNUMBER(F5599),C5599*F5599,"")</f>
        <v/>
      </c>
    </row>
    <row r="5600" spans="1:7" ht="12" customHeight="1" outlineLevel="2" x14ac:dyDescent="0.2">
      <c r="A5600" s="14" t="s">
        <v>11027</v>
      </c>
      <c r="B5600" s="15" t="s">
        <v>11028</v>
      </c>
      <c r="C5600" s="16">
        <f>44.53/(1+B2)</f>
        <v>44.53</v>
      </c>
      <c r="D5600" s="17" t="s">
        <v>14</v>
      </c>
      <c r="E5600" s="17" t="s">
        <v>11</v>
      </c>
      <c r="F5600" s="18"/>
      <c r="G5600" s="36" t="str">
        <f>IF(ISNUMBER(F5600),C5600*F5600,"")</f>
        <v/>
      </c>
    </row>
    <row r="5601" spans="1:7" ht="12" customHeight="1" outlineLevel="2" x14ac:dyDescent="0.2">
      <c r="A5601" s="14" t="s">
        <v>11029</v>
      </c>
      <c r="B5601" s="15" t="s">
        <v>11030</v>
      </c>
      <c r="C5601" s="16">
        <f>18.49/(1+B2)</f>
        <v>18.489999999999998</v>
      </c>
      <c r="D5601" s="17" t="s">
        <v>11</v>
      </c>
      <c r="E5601" s="17"/>
      <c r="F5601" s="18"/>
      <c r="G5601" s="36" t="str">
        <f>IF(ISNUMBER(F5601),C5601*F5601,"")</f>
        <v/>
      </c>
    </row>
    <row r="5602" spans="1:7" ht="12" customHeight="1" outlineLevel="2" x14ac:dyDescent="0.2">
      <c r="A5602" s="14" t="s">
        <v>11031</v>
      </c>
      <c r="B5602" s="15" t="s">
        <v>11032</v>
      </c>
      <c r="C5602" s="16">
        <f>42.61/(1+B2)</f>
        <v>42.61</v>
      </c>
      <c r="D5602" s="17" t="s">
        <v>14</v>
      </c>
      <c r="E5602" s="17"/>
      <c r="F5602" s="18"/>
      <c r="G5602" s="36" t="str">
        <f>IF(ISNUMBER(F5602),C5602*F5602,"")</f>
        <v/>
      </c>
    </row>
    <row r="5603" spans="1:7" ht="12" customHeight="1" outlineLevel="2" x14ac:dyDescent="0.2">
      <c r="A5603" s="14" t="s">
        <v>11033</v>
      </c>
      <c r="B5603" s="15" t="s">
        <v>11034</v>
      </c>
      <c r="C5603" s="16">
        <f>40.91/(1+B2)</f>
        <v>40.909999999999997</v>
      </c>
      <c r="D5603" s="17" t="s">
        <v>53</v>
      </c>
      <c r="E5603" s="17"/>
      <c r="F5603" s="18"/>
      <c r="G5603" s="36" t="str">
        <f>IF(ISNUMBER(F5603),C5603*F5603,"")</f>
        <v/>
      </c>
    </row>
    <row r="5604" spans="1:7" ht="12" customHeight="1" outlineLevel="2" x14ac:dyDescent="0.2">
      <c r="A5604" s="14" t="s">
        <v>11035</v>
      </c>
      <c r="B5604" s="15" t="s">
        <v>11036</v>
      </c>
      <c r="C5604" s="16">
        <f>48.9/(1+B2)</f>
        <v>48.9</v>
      </c>
      <c r="D5604" s="17" t="s">
        <v>14</v>
      </c>
      <c r="E5604" s="17" t="s">
        <v>53</v>
      </c>
      <c r="F5604" s="18"/>
      <c r="G5604" s="36" t="str">
        <f>IF(ISNUMBER(F5604),C5604*F5604,"")</f>
        <v/>
      </c>
    </row>
    <row r="5605" spans="1:7" ht="12" customHeight="1" outlineLevel="2" x14ac:dyDescent="0.2">
      <c r="A5605" s="14" t="s">
        <v>11037</v>
      </c>
      <c r="B5605" s="15" t="s">
        <v>11038</v>
      </c>
      <c r="C5605" s="16">
        <f>65.83/(1+B2)</f>
        <v>65.83</v>
      </c>
      <c r="D5605" s="17" t="s">
        <v>14</v>
      </c>
      <c r="E5605" s="17"/>
      <c r="F5605" s="18"/>
      <c r="G5605" s="36" t="str">
        <f>IF(ISNUMBER(F5605),C5605*F5605,"")</f>
        <v/>
      </c>
    </row>
    <row r="5606" spans="1:7" ht="12" customHeight="1" outlineLevel="2" x14ac:dyDescent="0.2">
      <c r="A5606" s="14" t="s">
        <v>11039</v>
      </c>
      <c r="B5606" s="15" t="s">
        <v>11040</v>
      </c>
      <c r="C5606" s="16">
        <f>104.84/(1+B2)</f>
        <v>104.84</v>
      </c>
      <c r="D5606" s="17" t="s">
        <v>11</v>
      </c>
      <c r="E5606" s="17" t="s">
        <v>53</v>
      </c>
      <c r="F5606" s="18"/>
      <c r="G5606" s="36" t="str">
        <f>IF(ISNUMBER(F5606),C5606*F5606,"")</f>
        <v/>
      </c>
    </row>
    <row r="5607" spans="1:7" ht="12" customHeight="1" outlineLevel="2" x14ac:dyDescent="0.2">
      <c r="A5607" s="14" t="s">
        <v>11041</v>
      </c>
      <c r="B5607" s="15" t="s">
        <v>11042</v>
      </c>
      <c r="C5607" s="16">
        <f>60.06/(1+B2)</f>
        <v>60.06</v>
      </c>
      <c r="D5607" s="17" t="s">
        <v>11</v>
      </c>
      <c r="E5607" s="17"/>
      <c r="F5607" s="18"/>
      <c r="G5607" s="36" t="str">
        <f>IF(ISNUMBER(F5607),C5607*F5607,"")</f>
        <v/>
      </c>
    </row>
    <row r="5608" spans="1:7" ht="12" customHeight="1" outlineLevel="2" x14ac:dyDescent="0.2">
      <c r="A5608" s="14" t="s">
        <v>11043</v>
      </c>
      <c r="B5608" s="15" t="s">
        <v>11044</v>
      </c>
      <c r="C5608" s="16">
        <f>147.35/(1+B2)</f>
        <v>147.35</v>
      </c>
      <c r="D5608" s="17" t="s">
        <v>14</v>
      </c>
      <c r="E5608" s="17"/>
      <c r="F5608" s="18"/>
      <c r="G5608" s="36" t="str">
        <f>IF(ISNUMBER(F5608),C5608*F5608,"")</f>
        <v/>
      </c>
    </row>
    <row r="5609" spans="1:7" ht="12" customHeight="1" outlineLevel="2" x14ac:dyDescent="0.2">
      <c r="A5609" s="14" t="s">
        <v>11045</v>
      </c>
      <c r="B5609" s="15" t="s">
        <v>11046</v>
      </c>
      <c r="C5609" s="16">
        <f>29.1/(1+B2)</f>
        <v>29.1</v>
      </c>
      <c r="D5609" s="17" t="s">
        <v>14</v>
      </c>
      <c r="E5609" s="17"/>
      <c r="F5609" s="18"/>
      <c r="G5609" s="36" t="str">
        <f>IF(ISNUMBER(F5609),C5609*F5609,"")</f>
        <v/>
      </c>
    </row>
    <row r="5610" spans="1:7" ht="12" customHeight="1" outlineLevel="2" x14ac:dyDescent="0.2">
      <c r="A5610" s="14" t="s">
        <v>11047</v>
      </c>
      <c r="B5610" s="15" t="s">
        <v>11048</v>
      </c>
      <c r="C5610" s="16">
        <f>71.71/(1+B2)</f>
        <v>71.709999999999994</v>
      </c>
      <c r="D5610" s="17" t="s">
        <v>11</v>
      </c>
      <c r="E5610" s="17" t="s">
        <v>11</v>
      </c>
      <c r="F5610" s="18"/>
      <c r="G5610" s="36" t="str">
        <f>IF(ISNUMBER(F5610),C5610*F5610,"")</f>
        <v/>
      </c>
    </row>
    <row r="5611" spans="1:7" ht="12" customHeight="1" outlineLevel="2" x14ac:dyDescent="0.2">
      <c r="A5611" s="14" t="s">
        <v>11049</v>
      </c>
      <c r="B5611" s="15" t="s">
        <v>11050</v>
      </c>
      <c r="C5611" s="16">
        <f>167.87/(1+B2)</f>
        <v>167.87</v>
      </c>
      <c r="D5611" s="17" t="s">
        <v>11</v>
      </c>
      <c r="E5611" s="17" t="s">
        <v>53</v>
      </c>
      <c r="F5611" s="18"/>
      <c r="G5611" s="36" t="str">
        <f>IF(ISNUMBER(F5611),C5611*F5611,"")</f>
        <v/>
      </c>
    </row>
    <row r="5612" spans="1:7" ht="12" customHeight="1" outlineLevel="2" x14ac:dyDescent="0.2">
      <c r="A5612" s="14" t="s">
        <v>11051</v>
      </c>
      <c r="B5612" s="15" t="s">
        <v>11052</v>
      </c>
      <c r="C5612" s="16">
        <f>33.81/(1+B2)</f>
        <v>33.81</v>
      </c>
      <c r="D5612" s="17" t="s">
        <v>53</v>
      </c>
      <c r="E5612" s="17"/>
      <c r="F5612" s="18"/>
      <c r="G5612" s="36" t="str">
        <f>IF(ISNUMBER(F5612),C5612*F5612,"")</f>
        <v/>
      </c>
    </row>
    <row r="5613" spans="1:7" ht="12" customHeight="1" outlineLevel="2" x14ac:dyDescent="0.2">
      <c r="A5613" s="14" t="s">
        <v>11053</v>
      </c>
      <c r="B5613" s="15" t="s">
        <v>11054</v>
      </c>
      <c r="C5613" s="16">
        <f>42.87/(1+B2)</f>
        <v>42.87</v>
      </c>
      <c r="D5613" s="17" t="s">
        <v>11</v>
      </c>
      <c r="E5613" s="17"/>
      <c r="F5613" s="18"/>
      <c r="G5613" s="36" t="str">
        <f>IF(ISNUMBER(F5613),C5613*F5613,"")</f>
        <v/>
      </c>
    </row>
    <row r="5614" spans="1:7" ht="12" customHeight="1" outlineLevel="2" x14ac:dyDescent="0.2">
      <c r="A5614" s="14" t="s">
        <v>11055</v>
      </c>
      <c r="B5614" s="15" t="s">
        <v>11056</v>
      </c>
      <c r="C5614" s="16">
        <f>32.98/(1+B2)</f>
        <v>32.979999999999997</v>
      </c>
      <c r="D5614" s="17" t="s">
        <v>11</v>
      </c>
      <c r="E5614" s="17"/>
      <c r="F5614" s="18"/>
      <c r="G5614" s="36" t="str">
        <f>IF(ISNUMBER(F5614),C5614*F5614,"")</f>
        <v/>
      </c>
    </row>
    <row r="5615" spans="1:7" ht="12" customHeight="1" outlineLevel="2" x14ac:dyDescent="0.2">
      <c r="A5615" s="14" t="s">
        <v>11057</v>
      </c>
      <c r="B5615" s="15" t="s">
        <v>11058</v>
      </c>
      <c r="C5615" s="16">
        <f>53.03/(1+B2)</f>
        <v>53.03</v>
      </c>
      <c r="D5615" s="17" t="s">
        <v>11</v>
      </c>
      <c r="E5615" s="17" t="s">
        <v>53</v>
      </c>
      <c r="F5615" s="18"/>
      <c r="G5615" s="36" t="str">
        <f>IF(ISNUMBER(F5615),C5615*F5615,"")</f>
        <v/>
      </c>
    </row>
    <row r="5616" spans="1:7" ht="12" customHeight="1" outlineLevel="2" x14ac:dyDescent="0.2">
      <c r="A5616" s="14" t="s">
        <v>11059</v>
      </c>
      <c r="B5616" s="15" t="s">
        <v>11060</v>
      </c>
      <c r="C5616" s="16">
        <f>67.22/(1+B2)</f>
        <v>67.22</v>
      </c>
      <c r="D5616" s="17" t="s">
        <v>11</v>
      </c>
      <c r="E5616" s="17"/>
      <c r="F5616" s="18"/>
      <c r="G5616" s="36" t="str">
        <f>IF(ISNUMBER(F5616),C5616*F5616,"")</f>
        <v/>
      </c>
    </row>
    <row r="5617" spans="1:7" ht="24" customHeight="1" outlineLevel="2" x14ac:dyDescent="0.2">
      <c r="A5617" s="14" t="s">
        <v>11061</v>
      </c>
      <c r="B5617" s="15" t="s">
        <v>11062</v>
      </c>
      <c r="C5617" s="16">
        <f>31.49/(1+B2)</f>
        <v>31.49</v>
      </c>
      <c r="D5617" s="17" t="s">
        <v>14</v>
      </c>
      <c r="E5617" s="17" t="s">
        <v>11</v>
      </c>
      <c r="F5617" s="18"/>
      <c r="G5617" s="36" t="str">
        <f>IF(ISNUMBER(F5617),C5617*F5617,"")</f>
        <v/>
      </c>
    </row>
    <row r="5618" spans="1:7" ht="24" customHeight="1" outlineLevel="2" x14ac:dyDescent="0.2">
      <c r="A5618" s="14" t="s">
        <v>11063</v>
      </c>
      <c r="B5618" s="15" t="s">
        <v>11064</v>
      </c>
      <c r="C5618" s="16">
        <f>34.72/(1+B2)</f>
        <v>34.72</v>
      </c>
      <c r="D5618" s="17" t="s">
        <v>53</v>
      </c>
      <c r="E5618" s="17"/>
      <c r="F5618" s="18"/>
      <c r="G5618" s="36" t="str">
        <f>IF(ISNUMBER(F5618),C5618*F5618,"")</f>
        <v/>
      </c>
    </row>
    <row r="5619" spans="1:7" ht="12" customHeight="1" outlineLevel="2" x14ac:dyDescent="0.2">
      <c r="A5619" s="14" t="s">
        <v>11065</v>
      </c>
      <c r="B5619" s="15" t="s">
        <v>11066</v>
      </c>
      <c r="C5619" s="16">
        <f>21.6/(1+B2)</f>
        <v>21.6</v>
      </c>
      <c r="D5619" s="17" t="s">
        <v>11</v>
      </c>
      <c r="E5619" s="17"/>
      <c r="F5619" s="18"/>
      <c r="G5619" s="36" t="str">
        <f>IF(ISNUMBER(F5619),C5619*F5619,"")</f>
        <v/>
      </c>
    </row>
    <row r="5620" spans="1:7" ht="24" customHeight="1" outlineLevel="2" x14ac:dyDescent="0.2">
      <c r="A5620" s="14" t="s">
        <v>11067</v>
      </c>
      <c r="B5620" s="15" t="s">
        <v>11068</v>
      </c>
      <c r="C5620" s="16">
        <f>42.02/(1+B2)</f>
        <v>42.02</v>
      </c>
      <c r="D5620" s="17" t="s">
        <v>11</v>
      </c>
      <c r="E5620" s="17"/>
      <c r="F5620" s="18"/>
      <c r="G5620" s="36" t="str">
        <f>IF(ISNUMBER(F5620),C5620*F5620,"")</f>
        <v/>
      </c>
    </row>
    <row r="5621" spans="1:7" ht="12" customHeight="1" outlineLevel="2" x14ac:dyDescent="0.2">
      <c r="A5621" s="14" t="s">
        <v>11069</v>
      </c>
      <c r="B5621" s="15" t="s">
        <v>11070</v>
      </c>
      <c r="C5621" s="16">
        <f>47.74/(1+B2)</f>
        <v>47.74</v>
      </c>
      <c r="D5621" s="17" t="s">
        <v>11</v>
      </c>
      <c r="E5621" s="17"/>
      <c r="F5621" s="18"/>
      <c r="G5621" s="36" t="str">
        <f>IF(ISNUMBER(F5621),C5621*F5621,"")</f>
        <v/>
      </c>
    </row>
    <row r="5622" spans="1:7" ht="12" customHeight="1" outlineLevel="2" x14ac:dyDescent="0.2">
      <c r="A5622" s="14" t="s">
        <v>11071</v>
      </c>
      <c r="B5622" s="15" t="s">
        <v>11072</v>
      </c>
      <c r="C5622" s="16">
        <f>55.41/(1+B2)</f>
        <v>55.41</v>
      </c>
      <c r="D5622" s="17" t="s">
        <v>14</v>
      </c>
      <c r="E5622" s="17"/>
      <c r="F5622" s="18"/>
      <c r="G5622" s="36" t="str">
        <f>IF(ISNUMBER(F5622),C5622*F5622,"")</f>
        <v/>
      </c>
    </row>
    <row r="5623" spans="1:7" ht="12" customHeight="1" outlineLevel="2" x14ac:dyDescent="0.2">
      <c r="A5623" s="14" t="s">
        <v>11073</v>
      </c>
      <c r="B5623" s="15" t="s">
        <v>11074</v>
      </c>
      <c r="C5623" s="16">
        <f>32.73/(1+B2)</f>
        <v>32.729999999999997</v>
      </c>
      <c r="D5623" s="17" t="s">
        <v>11</v>
      </c>
      <c r="E5623" s="17"/>
      <c r="F5623" s="18"/>
      <c r="G5623" s="36" t="str">
        <f>IF(ISNUMBER(F5623),C5623*F5623,"")</f>
        <v/>
      </c>
    </row>
    <row r="5624" spans="1:7" ht="12" customHeight="1" outlineLevel="2" x14ac:dyDescent="0.2">
      <c r="A5624" s="14" t="s">
        <v>11075</v>
      </c>
      <c r="B5624" s="15" t="s">
        <v>11076</v>
      </c>
      <c r="C5624" s="16">
        <f>0.3/(1+B2)</f>
        <v>0.3</v>
      </c>
      <c r="D5624" s="17" t="s">
        <v>106</v>
      </c>
      <c r="E5624" s="17"/>
      <c r="F5624" s="18"/>
      <c r="G5624" s="36" t="str">
        <f>IF(ISNUMBER(F5624),C5624*F5624,"")</f>
        <v/>
      </c>
    </row>
    <row r="5625" spans="1:7" ht="12" customHeight="1" outlineLevel="2" x14ac:dyDescent="0.2">
      <c r="A5625" s="14" t="s">
        <v>11077</v>
      </c>
      <c r="B5625" s="15" t="s">
        <v>11078</v>
      </c>
      <c r="C5625" s="16">
        <f>0.33/(1+B2)</f>
        <v>0.33</v>
      </c>
      <c r="D5625" s="17" t="s">
        <v>53</v>
      </c>
      <c r="E5625" s="17" t="s">
        <v>106</v>
      </c>
      <c r="F5625" s="18"/>
      <c r="G5625" s="36" t="str">
        <f>IF(ISNUMBER(F5625),C5625*F5625,"")</f>
        <v/>
      </c>
    </row>
    <row r="5626" spans="1:7" ht="12" customHeight="1" outlineLevel="2" x14ac:dyDescent="0.2">
      <c r="A5626" s="14" t="s">
        <v>11079</v>
      </c>
      <c r="B5626" s="15" t="s">
        <v>11080</v>
      </c>
      <c r="C5626" s="16">
        <f>0.38/(1+B2)</f>
        <v>0.38</v>
      </c>
      <c r="D5626" s="17" t="s">
        <v>106</v>
      </c>
      <c r="E5626" s="17"/>
      <c r="F5626" s="18"/>
      <c r="G5626" s="36" t="str">
        <f>IF(ISNUMBER(F5626),C5626*F5626,"")</f>
        <v/>
      </c>
    </row>
    <row r="5627" spans="1:7" ht="12" customHeight="1" outlineLevel="2" x14ac:dyDescent="0.2">
      <c r="A5627" s="14" t="s">
        <v>11081</v>
      </c>
      <c r="B5627" s="15" t="s">
        <v>11082</v>
      </c>
      <c r="C5627" s="16">
        <f>68.52/(1+B2)</f>
        <v>68.52</v>
      </c>
      <c r="D5627" s="17" t="s">
        <v>14</v>
      </c>
      <c r="E5627" s="17"/>
      <c r="F5627" s="18"/>
      <c r="G5627" s="36" t="str">
        <f>IF(ISNUMBER(F5627),C5627*F5627,"")</f>
        <v/>
      </c>
    </row>
    <row r="5628" spans="1:7" ht="12" customHeight="1" outlineLevel="2" x14ac:dyDescent="0.2">
      <c r="A5628" s="14" t="s">
        <v>11083</v>
      </c>
      <c r="B5628" s="15" t="s">
        <v>11084</v>
      </c>
      <c r="C5628" s="16">
        <f>113.74/(1+B2)</f>
        <v>113.74</v>
      </c>
      <c r="D5628" s="17" t="s">
        <v>11</v>
      </c>
      <c r="E5628" s="17"/>
      <c r="F5628" s="18"/>
      <c r="G5628" s="36" t="str">
        <f>IF(ISNUMBER(F5628),C5628*F5628,"")</f>
        <v/>
      </c>
    </row>
    <row r="5629" spans="1:7" ht="12" customHeight="1" outlineLevel="2" x14ac:dyDescent="0.2">
      <c r="A5629" s="14" t="s">
        <v>11085</v>
      </c>
      <c r="B5629" s="15" t="s">
        <v>11086</v>
      </c>
      <c r="C5629" s="16">
        <f>68.95/(1+B2)</f>
        <v>68.95</v>
      </c>
      <c r="D5629" s="17" t="s">
        <v>11</v>
      </c>
      <c r="E5629" s="17"/>
      <c r="F5629" s="18"/>
      <c r="G5629" s="36" t="str">
        <f>IF(ISNUMBER(F5629),C5629*F5629,"")</f>
        <v/>
      </c>
    </row>
    <row r="5630" spans="1:7" ht="12" customHeight="1" outlineLevel="2" x14ac:dyDescent="0.2">
      <c r="A5630" s="14" t="s">
        <v>11087</v>
      </c>
      <c r="B5630" s="15" t="s">
        <v>11088</v>
      </c>
      <c r="C5630" s="16">
        <f>55.63/(1+B2)</f>
        <v>55.63</v>
      </c>
      <c r="D5630" s="17" t="s">
        <v>11</v>
      </c>
      <c r="E5630" s="17" t="s">
        <v>53</v>
      </c>
      <c r="F5630" s="18"/>
      <c r="G5630" s="36" t="str">
        <f>IF(ISNUMBER(F5630),C5630*F5630,"")</f>
        <v/>
      </c>
    </row>
    <row r="5631" spans="1:7" ht="12" customHeight="1" outlineLevel="2" x14ac:dyDescent="0.2">
      <c r="A5631" s="14" t="s">
        <v>11089</v>
      </c>
      <c r="B5631" s="15" t="s">
        <v>11090</v>
      </c>
      <c r="C5631" s="16">
        <f>72.54/(1+B2)</f>
        <v>72.540000000000006</v>
      </c>
      <c r="D5631" s="17" t="s">
        <v>11</v>
      </c>
      <c r="E5631" s="17" t="s">
        <v>53</v>
      </c>
      <c r="F5631" s="18"/>
      <c r="G5631" s="36" t="str">
        <f>IF(ISNUMBER(F5631),C5631*F5631,"")</f>
        <v/>
      </c>
    </row>
    <row r="5632" spans="1:7" ht="12" customHeight="1" outlineLevel="2" x14ac:dyDescent="0.2">
      <c r="A5632" s="14" t="s">
        <v>11091</v>
      </c>
      <c r="B5632" s="15" t="s">
        <v>11092</v>
      </c>
      <c r="C5632" s="16">
        <f>46.28/(1+B2)</f>
        <v>46.28</v>
      </c>
      <c r="D5632" s="17" t="s">
        <v>53</v>
      </c>
      <c r="E5632" s="17"/>
      <c r="F5632" s="18"/>
      <c r="G5632" s="36" t="str">
        <f>IF(ISNUMBER(F5632),C5632*F5632,"")</f>
        <v/>
      </c>
    </row>
    <row r="5633" spans="1:7" ht="12" customHeight="1" outlineLevel="2" x14ac:dyDescent="0.2">
      <c r="A5633" s="14" t="s">
        <v>11093</v>
      </c>
      <c r="B5633" s="15" t="s">
        <v>11094</v>
      </c>
      <c r="C5633" s="16">
        <f>24.6/(1+B2)</f>
        <v>24.6</v>
      </c>
      <c r="D5633" s="17" t="s">
        <v>14</v>
      </c>
      <c r="E5633" s="17"/>
      <c r="F5633" s="18"/>
      <c r="G5633" s="36" t="str">
        <f>IF(ISNUMBER(F5633),C5633*F5633,"")</f>
        <v/>
      </c>
    </row>
    <row r="5634" spans="1:7" ht="12" customHeight="1" outlineLevel="2" x14ac:dyDescent="0.2">
      <c r="A5634" s="14" t="s">
        <v>11095</v>
      </c>
      <c r="B5634" s="15" t="s">
        <v>11096</v>
      </c>
      <c r="C5634" s="16">
        <f>53.46/(1+B2)</f>
        <v>53.46</v>
      </c>
      <c r="D5634" s="17" t="s">
        <v>53</v>
      </c>
      <c r="E5634" s="17"/>
      <c r="F5634" s="18"/>
      <c r="G5634" s="36" t="str">
        <f>IF(ISNUMBER(F5634),C5634*F5634,"")</f>
        <v/>
      </c>
    </row>
    <row r="5635" spans="1:7" ht="12" customHeight="1" outlineLevel="2" x14ac:dyDescent="0.2">
      <c r="A5635" s="14" t="s">
        <v>11097</v>
      </c>
      <c r="B5635" s="15" t="s">
        <v>11098</v>
      </c>
      <c r="C5635" s="16">
        <f>29.91/(1+B2)</f>
        <v>29.91</v>
      </c>
      <c r="D5635" s="17" t="s">
        <v>11</v>
      </c>
      <c r="E5635" s="17" t="s">
        <v>53</v>
      </c>
      <c r="F5635" s="18"/>
      <c r="G5635" s="36" t="str">
        <f>IF(ISNUMBER(F5635),C5635*F5635,"")</f>
        <v/>
      </c>
    </row>
    <row r="5636" spans="1:7" ht="12" customHeight="1" outlineLevel="2" x14ac:dyDescent="0.2">
      <c r="A5636" s="14" t="s">
        <v>11099</v>
      </c>
      <c r="B5636" s="15" t="s">
        <v>11100</v>
      </c>
      <c r="C5636" s="16">
        <f>196.51/(1+B2)</f>
        <v>196.51</v>
      </c>
      <c r="D5636" s="17" t="s">
        <v>11</v>
      </c>
      <c r="E5636" s="17"/>
      <c r="F5636" s="18"/>
      <c r="G5636" s="36" t="str">
        <f>IF(ISNUMBER(F5636),C5636*F5636,"")</f>
        <v/>
      </c>
    </row>
    <row r="5637" spans="1:7" ht="12" customHeight="1" outlineLevel="2" x14ac:dyDescent="0.2">
      <c r="A5637" s="14" t="s">
        <v>11101</v>
      </c>
      <c r="B5637" s="15" t="s">
        <v>11102</v>
      </c>
      <c r="C5637" s="16">
        <f>26.95/(1+B2)</f>
        <v>26.95</v>
      </c>
      <c r="D5637" s="17" t="s">
        <v>11</v>
      </c>
      <c r="E5637" s="17" t="s">
        <v>53</v>
      </c>
      <c r="F5637" s="18"/>
      <c r="G5637" s="36" t="str">
        <f>IF(ISNUMBER(F5637),C5637*F5637,"")</f>
        <v/>
      </c>
    </row>
    <row r="5638" spans="1:7" ht="24" customHeight="1" outlineLevel="2" x14ac:dyDescent="0.2">
      <c r="A5638" s="14" t="s">
        <v>11103</v>
      </c>
      <c r="B5638" s="15" t="s">
        <v>11104</v>
      </c>
      <c r="C5638" s="16">
        <f>48.47/(1+B2)</f>
        <v>48.47</v>
      </c>
      <c r="D5638" s="17" t="s">
        <v>11</v>
      </c>
      <c r="E5638" s="17"/>
      <c r="F5638" s="18"/>
      <c r="G5638" s="36" t="str">
        <f>IF(ISNUMBER(F5638),C5638*F5638,"")</f>
        <v/>
      </c>
    </row>
    <row r="5639" spans="1:7" ht="24" customHeight="1" outlineLevel="2" x14ac:dyDescent="0.2">
      <c r="A5639" s="14" t="s">
        <v>11105</v>
      </c>
      <c r="B5639" s="15" t="s">
        <v>11106</v>
      </c>
      <c r="C5639" s="16">
        <f>48.64/(1+B2)</f>
        <v>48.64</v>
      </c>
      <c r="D5639" s="17" t="s">
        <v>53</v>
      </c>
      <c r="E5639" s="17"/>
      <c r="F5639" s="18"/>
      <c r="G5639" s="36" t="str">
        <f>IF(ISNUMBER(F5639),C5639*F5639,"")</f>
        <v/>
      </c>
    </row>
    <row r="5640" spans="1:7" ht="12" customHeight="1" outlineLevel="2" x14ac:dyDescent="0.2">
      <c r="A5640" s="14" t="s">
        <v>11107</v>
      </c>
      <c r="B5640" s="15" t="s">
        <v>11108</v>
      </c>
      <c r="C5640" s="16">
        <f>427.46/(1+B2)</f>
        <v>427.46</v>
      </c>
      <c r="D5640" s="17" t="s">
        <v>11</v>
      </c>
      <c r="E5640" s="17"/>
      <c r="F5640" s="18"/>
      <c r="G5640" s="36" t="str">
        <f>IF(ISNUMBER(F5640),C5640*F5640,"")</f>
        <v/>
      </c>
    </row>
    <row r="5641" spans="1:7" ht="12" customHeight="1" outlineLevel="2" x14ac:dyDescent="0.2">
      <c r="A5641" s="14" t="s">
        <v>11109</v>
      </c>
      <c r="B5641" s="15" t="s">
        <v>11110</v>
      </c>
      <c r="C5641" s="16">
        <f>464.4/(1+B2)</f>
        <v>464.4</v>
      </c>
      <c r="D5641" s="17"/>
      <c r="E5641" s="17" t="s">
        <v>106</v>
      </c>
      <c r="F5641" s="18"/>
      <c r="G5641" s="36" t="str">
        <f>IF(ISNUMBER(F5641),C5641*F5641,"")</f>
        <v/>
      </c>
    </row>
    <row r="5642" spans="1:7" ht="12" customHeight="1" outlineLevel="2" x14ac:dyDescent="0.2">
      <c r="A5642" s="14" t="s">
        <v>11111</v>
      </c>
      <c r="B5642" s="15" t="s">
        <v>11112</v>
      </c>
      <c r="C5642" s="16">
        <f>464.4/(1+B2)</f>
        <v>464.4</v>
      </c>
      <c r="D5642" s="17" t="s">
        <v>11</v>
      </c>
      <c r="E5642" s="17" t="s">
        <v>106</v>
      </c>
      <c r="F5642" s="18"/>
      <c r="G5642" s="36" t="str">
        <f>IF(ISNUMBER(F5642),C5642*F5642,"")</f>
        <v/>
      </c>
    </row>
    <row r="5643" spans="1:7" ht="12" customHeight="1" outlineLevel="2" x14ac:dyDescent="0.2">
      <c r="A5643" s="14" t="s">
        <v>11113</v>
      </c>
      <c r="B5643" s="15" t="s">
        <v>11114</v>
      </c>
      <c r="C5643" s="16">
        <f>192.98/(1+B2)</f>
        <v>192.98</v>
      </c>
      <c r="D5643" s="17" t="s">
        <v>14</v>
      </c>
      <c r="E5643" s="17"/>
      <c r="F5643" s="18"/>
      <c r="G5643" s="36" t="str">
        <f>IF(ISNUMBER(F5643),C5643*F5643,"")</f>
        <v/>
      </c>
    </row>
    <row r="5644" spans="1:7" ht="12" customHeight="1" outlineLevel="2" x14ac:dyDescent="0.2">
      <c r="A5644" s="14" t="s">
        <v>11115</v>
      </c>
      <c r="B5644" s="15" t="s">
        <v>11116</v>
      </c>
      <c r="C5644" s="16">
        <f>130.27/(1+B2)</f>
        <v>130.27000000000001</v>
      </c>
      <c r="D5644" s="17" t="s">
        <v>11</v>
      </c>
      <c r="E5644" s="17"/>
      <c r="F5644" s="18"/>
      <c r="G5644" s="36" t="str">
        <f>IF(ISNUMBER(F5644),C5644*F5644,"")</f>
        <v/>
      </c>
    </row>
    <row r="5645" spans="1:7" ht="12" customHeight="1" outlineLevel="2" x14ac:dyDescent="0.2">
      <c r="A5645" s="14" t="s">
        <v>11117</v>
      </c>
      <c r="B5645" s="15" t="s">
        <v>11118</v>
      </c>
      <c r="C5645" s="16">
        <f>35.24/(1+B2)</f>
        <v>35.24</v>
      </c>
      <c r="D5645" s="17" t="s">
        <v>11</v>
      </c>
      <c r="E5645" s="17" t="s">
        <v>53</v>
      </c>
      <c r="F5645" s="18"/>
      <c r="G5645" s="36" t="str">
        <f>IF(ISNUMBER(F5645),C5645*F5645,"")</f>
        <v/>
      </c>
    </row>
    <row r="5646" spans="1:7" ht="12" customHeight="1" outlineLevel="2" x14ac:dyDescent="0.2">
      <c r="A5646" s="14" t="s">
        <v>11119</v>
      </c>
      <c r="B5646" s="15" t="s">
        <v>11120</v>
      </c>
      <c r="C5646" s="16">
        <f>34.53/(1+B2)</f>
        <v>34.53</v>
      </c>
      <c r="D5646" s="17" t="s">
        <v>11</v>
      </c>
      <c r="E5646" s="17" t="s">
        <v>53</v>
      </c>
      <c r="F5646" s="18"/>
      <c r="G5646" s="36" t="str">
        <f>IF(ISNUMBER(F5646),C5646*F5646,"")</f>
        <v/>
      </c>
    </row>
    <row r="5647" spans="1:7" ht="12" customHeight="1" outlineLevel="2" x14ac:dyDescent="0.2">
      <c r="A5647" s="14" t="s">
        <v>11121</v>
      </c>
      <c r="B5647" s="15" t="s">
        <v>11122</v>
      </c>
      <c r="C5647" s="16">
        <f>27.18/(1+B2)</f>
        <v>27.18</v>
      </c>
      <c r="D5647" s="17" t="s">
        <v>11</v>
      </c>
      <c r="E5647" s="17"/>
      <c r="F5647" s="18"/>
      <c r="G5647" s="36" t="str">
        <f>IF(ISNUMBER(F5647),C5647*F5647,"")</f>
        <v/>
      </c>
    </row>
    <row r="5648" spans="1:7" ht="12" customHeight="1" outlineLevel="2" x14ac:dyDescent="0.2">
      <c r="A5648" s="14" t="s">
        <v>11123</v>
      </c>
      <c r="B5648" s="15" t="s">
        <v>11124</v>
      </c>
      <c r="C5648" s="16">
        <f>55.91/(1+B2)</f>
        <v>55.91</v>
      </c>
      <c r="D5648" s="17" t="s">
        <v>53</v>
      </c>
      <c r="E5648" s="17"/>
      <c r="F5648" s="18"/>
      <c r="G5648" s="36" t="str">
        <f>IF(ISNUMBER(F5648),C5648*F5648,"")</f>
        <v/>
      </c>
    </row>
    <row r="5649" spans="1:7" ht="12" customHeight="1" outlineLevel="2" x14ac:dyDescent="0.2">
      <c r="A5649" s="14" t="s">
        <v>11125</v>
      </c>
      <c r="B5649" s="15" t="s">
        <v>11126</v>
      </c>
      <c r="C5649" s="16">
        <f>22.69/(1+B2)</f>
        <v>22.69</v>
      </c>
      <c r="D5649" s="17" t="s">
        <v>14</v>
      </c>
      <c r="E5649" s="17"/>
      <c r="F5649" s="18"/>
      <c r="G5649" s="36" t="str">
        <f>IF(ISNUMBER(F5649),C5649*F5649,"")</f>
        <v/>
      </c>
    </row>
    <row r="5650" spans="1:7" ht="12" customHeight="1" outlineLevel="2" x14ac:dyDescent="0.2">
      <c r="A5650" s="14" t="s">
        <v>11127</v>
      </c>
      <c r="B5650" s="15" t="s">
        <v>11128</v>
      </c>
      <c r="C5650" s="16">
        <f>21.95/(1+B2)</f>
        <v>21.95</v>
      </c>
      <c r="D5650" s="17" t="s">
        <v>14</v>
      </c>
      <c r="E5650" s="17"/>
      <c r="F5650" s="18"/>
      <c r="G5650" s="36" t="str">
        <f>IF(ISNUMBER(F5650),C5650*F5650,"")</f>
        <v/>
      </c>
    </row>
    <row r="5651" spans="1:7" ht="12" customHeight="1" outlineLevel="2" x14ac:dyDescent="0.2">
      <c r="A5651" s="14" t="s">
        <v>11129</v>
      </c>
      <c r="B5651" s="15" t="s">
        <v>11130</v>
      </c>
      <c r="C5651" s="16">
        <f>105.06/(1+B2)</f>
        <v>105.06</v>
      </c>
      <c r="D5651" s="17" t="s">
        <v>11</v>
      </c>
      <c r="E5651" s="17" t="s">
        <v>11</v>
      </c>
      <c r="F5651" s="18"/>
      <c r="G5651" s="36" t="str">
        <f>IF(ISNUMBER(F5651),C5651*F5651,"")</f>
        <v/>
      </c>
    </row>
    <row r="5652" spans="1:7" ht="12" customHeight="1" outlineLevel="2" x14ac:dyDescent="0.2">
      <c r="A5652" s="14" t="s">
        <v>11131</v>
      </c>
      <c r="B5652" s="15" t="s">
        <v>11132</v>
      </c>
      <c r="C5652" s="16">
        <f>225.88/(1+B2)</f>
        <v>225.88</v>
      </c>
      <c r="D5652" s="17" t="s">
        <v>11</v>
      </c>
      <c r="E5652" s="17"/>
      <c r="F5652" s="18"/>
      <c r="G5652" s="36" t="str">
        <f>IF(ISNUMBER(F5652),C5652*F5652,"")</f>
        <v/>
      </c>
    </row>
    <row r="5653" spans="1:7" ht="12" customHeight="1" outlineLevel="2" x14ac:dyDescent="0.2">
      <c r="A5653" s="14" t="s">
        <v>11133</v>
      </c>
      <c r="B5653" s="15" t="s">
        <v>11134</v>
      </c>
      <c r="C5653" s="16">
        <f>150.37/(1+B2)</f>
        <v>150.37</v>
      </c>
      <c r="D5653" s="17" t="s">
        <v>11</v>
      </c>
      <c r="E5653" s="17" t="s">
        <v>11</v>
      </c>
      <c r="F5653" s="18"/>
      <c r="G5653" s="36" t="str">
        <f>IF(ISNUMBER(F5653),C5653*F5653,"")</f>
        <v/>
      </c>
    </row>
    <row r="5654" spans="1:7" ht="12" customHeight="1" outlineLevel="2" x14ac:dyDescent="0.2">
      <c r="A5654" s="14" t="s">
        <v>11135</v>
      </c>
      <c r="B5654" s="15" t="s">
        <v>11136</v>
      </c>
      <c r="C5654" s="16">
        <f>100.19/(1+B2)</f>
        <v>100.19</v>
      </c>
      <c r="D5654" s="17" t="s">
        <v>11</v>
      </c>
      <c r="E5654" s="17" t="s">
        <v>11</v>
      </c>
      <c r="F5654" s="18"/>
      <c r="G5654" s="36" t="str">
        <f>IF(ISNUMBER(F5654),C5654*F5654,"")</f>
        <v/>
      </c>
    </row>
    <row r="5655" spans="1:7" ht="12" customHeight="1" outlineLevel="2" x14ac:dyDescent="0.2">
      <c r="A5655" s="14" t="s">
        <v>11137</v>
      </c>
      <c r="B5655" s="15" t="s">
        <v>11138</v>
      </c>
      <c r="C5655" s="16">
        <f>73.08/(1+B2)</f>
        <v>73.08</v>
      </c>
      <c r="D5655" s="17" t="s">
        <v>14</v>
      </c>
      <c r="E5655" s="17"/>
      <c r="F5655" s="18"/>
      <c r="G5655" s="36" t="str">
        <f>IF(ISNUMBER(F5655),C5655*F5655,"")</f>
        <v/>
      </c>
    </row>
    <row r="5656" spans="1:7" ht="12" customHeight="1" outlineLevel="2" x14ac:dyDescent="0.2">
      <c r="A5656" s="14" t="s">
        <v>11139</v>
      </c>
      <c r="B5656" s="15" t="s">
        <v>11140</v>
      </c>
      <c r="C5656" s="16">
        <f>107.76/(1+B2)</f>
        <v>107.76</v>
      </c>
      <c r="D5656" s="17" t="s">
        <v>11</v>
      </c>
      <c r="E5656" s="17" t="s">
        <v>53</v>
      </c>
      <c r="F5656" s="18"/>
      <c r="G5656" s="36" t="str">
        <f>IF(ISNUMBER(F5656),C5656*F5656,"")</f>
        <v/>
      </c>
    </row>
    <row r="5657" spans="1:7" ht="12" customHeight="1" outlineLevel="2" x14ac:dyDescent="0.2">
      <c r="A5657" s="14" t="s">
        <v>11141</v>
      </c>
      <c r="B5657" s="15" t="s">
        <v>11142</v>
      </c>
      <c r="C5657" s="16">
        <f>195.48/(1+B2)</f>
        <v>195.48</v>
      </c>
      <c r="D5657" s="17" t="s">
        <v>14</v>
      </c>
      <c r="E5657" s="17"/>
      <c r="F5657" s="18"/>
      <c r="G5657" s="36" t="str">
        <f>IF(ISNUMBER(F5657),C5657*F5657,"")</f>
        <v/>
      </c>
    </row>
    <row r="5658" spans="1:7" ht="12" customHeight="1" outlineLevel="2" x14ac:dyDescent="0.2">
      <c r="A5658" s="14" t="s">
        <v>11143</v>
      </c>
      <c r="B5658" s="15" t="s">
        <v>11144</v>
      </c>
      <c r="C5658" s="16">
        <f>36.06/(1+B2)</f>
        <v>36.06</v>
      </c>
      <c r="D5658" s="17" t="s">
        <v>11</v>
      </c>
      <c r="E5658" s="17" t="s">
        <v>14</v>
      </c>
      <c r="F5658" s="18"/>
      <c r="G5658" s="36" t="str">
        <f>IF(ISNUMBER(F5658),C5658*F5658,"")</f>
        <v/>
      </c>
    </row>
    <row r="5659" spans="1:7" ht="12" customHeight="1" outlineLevel="2" x14ac:dyDescent="0.2">
      <c r="A5659" s="14" t="s">
        <v>11145</v>
      </c>
      <c r="B5659" s="15" t="s">
        <v>11146</v>
      </c>
      <c r="C5659" s="16">
        <f>67.69/(1+B2)</f>
        <v>67.69</v>
      </c>
      <c r="D5659" s="17" t="s">
        <v>11</v>
      </c>
      <c r="E5659" s="17" t="s">
        <v>14</v>
      </c>
      <c r="F5659" s="18"/>
      <c r="G5659" s="36" t="str">
        <f>IF(ISNUMBER(F5659),C5659*F5659,"")</f>
        <v/>
      </c>
    </row>
    <row r="5660" spans="1:7" ht="12" customHeight="1" outlineLevel="2" x14ac:dyDescent="0.2">
      <c r="A5660" s="14" t="s">
        <v>11147</v>
      </c>
      <c r="B5660" s="15" t="s">
        <v>11148</v>
      </c>
      <c r="C5660" s="16">
        <f>93.61/(1+B2)</f>
        <v>93.61</v>
      </c>
      <c r="D5660" s="17" t="s">
        <v>14</v>
      </c>
      <c r="E5660" s="17"/>
      <c r="F5660" s="18"/>
      <c r="G5660" s="36" t="str">
        <f>IF(ISNUMBER(F5660),C5660*F5660,"")</f>
        <v/>
      </c>
    </row>
    <row r="5661" spans="1:7" ht="12" customHeight="1" outlineLevel="2" x14ac:dyDescent="0.2">
      <c r="A5661" s="14" t="s">
        <v>11149</v>
      </c>
      <c r="B5661" s="15" t="s">
        <v>11150</v>
      </c>
      <c r="C5661" s="16">
        <f>172.3/(1+B2)</f>
        <v>172.3</v>
      </c>
      <c r="D5661" s="17" t="s">
        <v>11</v>
      </c>
      <c r="E5661" s="17"/>
      <c r="F5661" s="18"/>
      <c r="G5661" s="36" t="str">
        <f>IF(ISNUMBER(F5661),C5661*F5661,"")</f>
        <v/>
      </c>
    </row>
    <row r="5662" spans="1:7" ht="12" customHeight="1" outlineLevel="2" x14ac:dyDescent="0.2">
      <c r="A5662" s="14" t="s">
        <v>11151</v>
      </c>
      <c r="B5662" s="15" t="s">
        <v>11152</v>
      </c>
      <c r="C5662" s="16">
        <f>168.18/(1+B2)</f>
        <v>168.18</v>
      </c>
      <c r="D5662" s="17" t="s">
        <v>53</v>
      </c>
      <c r="E5662" s="17"/>
      <c r="F5662" s="18"/>
      <c r="G5662" s="36" t="str">
        <f>IF(ISNUMBER(F5662),C5662*F5662,"")</f>
        <v/>
      </c>
    </row>
    <row r="5663" spans="1:7" ht="12" customHeight="1" outlineLevel="2" x14ac:dyDescent="0.2">
      <c r="A5663" s="14" t="s">
        <v>11153</v>
      </c>
      <c r="B5663" s="15" t="s">
        <v>11154</v>
      </c>
      <c r="C5663" s="16">
        <f>92.6/(1+B2)</f>
        <v>92.6</v>
      </c>
      <c r="D5663" s="17" t="s">
        <v>11</v>
      </c>
      <c r="E5663" s="17"/>
      <c r="F5663" s="18"/>
      <c r="G5663" s="36" t="str">
        <f>IF(ISNUMBER(F5663),C5663*F5663,"")</f>
        <v/>
      </c>
    </row>
    <row r="5664" spans="1:7" ht="12" customHeight="1" outlineLevel="2" x14ac:dyDescent="0.2">
      <c r="A5664" s="14" t="s">
        <v>11155</v>
      </c>
      <c r="B5664" s="15" t="s">
        <v>11156</v>
      </c>
      <c r="C5664" s="16">
        <f>145.63/(1+B2)</f>
        <v>145.63</v>
      </c>
      <c r="D5664" s="17" t="s">
        <v>53</v>
      </c>
      <c r="E5664" s="17"/>
      <c r="F5664" s="18"/>
      <c r="G5664" s="36" t="str">
        <f>IF(ISNUMBER(F5664),C5664*F5664,"")</f>
        <v/>
      </c>
    </row>
    <row r="5665" spans="1:7" s="1" customFormat="1" ht="15.95" customHeight="1" outlineLevel="1" x14ac:dyDescent="0.25">
      <c r="A5665" s="11"/>
      <c r="B5665" s="12" t="s">
        <v>11157</v>
      </c>
      <c r="C5665" s="13"/>
      <c r="D5665" s="13"/>
      <c r="E5665" s="13"/>
      <c r="F5665" s="13"/>
      <c r="G5665" s="35"/>
    </row>
    <row r="5666" spans="1:7" ht="24" customHeight="1" outlineLevel="2" x14ac:dyDescent="0.2">
      <c r="A5666" s="14" t="s">
        <v>11158</v>
      </c>
      <c r="B5666" s="15" t="s">
        <v>11159</v>
      </c>
      <c r="C5666" s="19">
        <f>1225.73/(1+B2)</f>
        <v>1225.73</v>
      </c>
      <c r="D5666" s="17"/>
      <c r="E5666" s="17" t="s">
        <v>14</v>
      </c>
      <c r="F5666" s="18"/>
      <c r="G5666" s="36" t="str">
        <f>IF(ISNUMBER(F5666),C5666*F5666,"")</f>
        <v/>
      </c>
    </row>
    <row r="5667" spans="1:7" ht="24" customHeight="1" outlineLevel="2" x14ac:dyDescent="0.2">
      <c r="A5667" s="14" t="s">
        <v>11160</v>
      </c>
      <c r="B5667" s="15" t="s">
        <v>11161</v>
      </c>
      <c r="C5667" s="19">
        <f>1225.73/(1+B2)</f>
        <v>1225.73</v>
      </c>
      <c r="D5667" s="17"/>
      <c r="E5667" s="17" t="s">
        <v>14</v>
      </c>
      <c r="F5667" s="18"/>
      <c r="G5667" s="36" t="str">
        <f>IF(ISNUMBER(F5667),C5667*F5667,"")</f>
        <v/>
      </c>
    </row>
    <row r="5668" spans="1:7" ht="12" customHeight="1" outlineLevel="2" x14ac:dyDescent="0.2">
      <c r="A5668" s="14" t="s">
        <v>11162</v>
      </c>
      <c r="B5668" s="15" t="s">
        <v>11163</v>
      </c>
      <c r="C5668" s="16">
        <f>28.78/(1+B2)</f>
        <v>28.78</v>
      </c>
      <c r="D5668" s="17" t="s">
        <v>14</v>
      </c>
      <c r="E5668" s="17" t="s">
        <v>11</v>
      </c>
      <c r="F5668" s="18"/>
      <c r="G5668" s="36" t="str">
        <f>IF(ISNUMBER(F5668),C5668*F5668,"")</f>
        <v/>
      </c>
    </row>
    <row r="5669" spans="1:7" ht="12" customHeight="1" outlineLevel="2" x14ac:dyDescent="0.2">
      <c r="A5669" s="14" t="s">
        <v>11164</v>
      </c>
      <c r="B5669" s="15" t="s">
        <v>11165</v>
      </c>
      <c r="C5669" s="16">
        <f>22.34/(1+B2)</f>
        <v>22.34</v>
      </c>
      <c r="D5669" s="17" t="s">
        <v>14</v>
      </c>
      <c r="E5669" s="17"/>
      <c r="F5669" s="18"/>
      <c r="G5669" s="36" t="str">
        <f>IF(ISNUMBER(F5669),C5669*F5669,"")</f>
        <v/>
      </c>
    </row>
    <row r="5670" spans="1:7" ht="12" customHeight="1" outlineLevel="2" x14ac:dyDescent="0.2">
      <c r="A5670" s="14" t="s">
        <v>11166</v>
      </c>
      <c r="B5670" s="15" t="s">
        <v>11167</v>
      </c>
      <c r="C5670" s="16">
        <f>44.08/(1+B2)</f>
        <v>44.08</v>
      </c>
      <c r="D5670" s="17" t="s">
        <v>14</v>
      </c>
      <c r="E5670" s="17" t="s">
        <v>53</v>
      </c>
      <c r="F5670" s="18"/>
      <c r="G5670" s="36" t="str">
        <f>IF(ISNUMBER(F5670),C5670*F5670,"")</f>
        <v/>
      </c>
    </row>
    <row r="5671" spans="1:7" ht="12" customHeight="1" outlineLevel="2" x14ac:dyDescent="0.2">
      <c r="A5671" s="14" t="s">
        <v>11168</v>
      </c>
      <c r="B5671" s="15" t="s">
        <v>11169</v>
      </c>
      <c r="C5671" s="16">
        <f>30.37/(1+B2)</f>
        <v>30.37</v>
      </c>
      <c r="D5671" s="17" t="s">
        <v>14</v>
      </c>
      <c r="E5671" s="17" t="s">
        <v>53</v>
      </c>
      <c r="F5671" s="18"/>
      <c r="G5671" s="36" t="str">
        <f>IF(ISNUMBER(F5671),C5671*F5671,"")</f>
        <v/>
      </c>
    </row>
    <row r="5672" spans="1:7" ht="12" customHeight="1" outlineLevel="2" x14ac:dyDescent="0.2">
      <c r="A5672" s="14" t="s">
        <v>11170</v>
      </c>
      <c r="B5672" s="15" t="s">
        <v>11171</v>
      </c>
      <c r="C5672" s="16">
        <f>57.43/(1+B2)</f>
        <v>57.43</v>
      </c>
      <c r="D5672" s="17" t="s">
        <v>11</v>
      </c>
      <c r="E5672" s="17" t="s">
        <v>53</v>
      </c>
      <c r="F5672" s="18"/>
      <c r="G5672" s="36" t="str">
        <f>IF(ISNUMBER(F5672),C5672*F5672,"")</f>
        <v/>
      </c>
    </row>
    <row r="5673" spans="1:7" ht="12" customHeight="1" outlineLevel="2" x14ac:dyDescent="0.2">
      <c r="A5673" s="14" t="s">
        <v>11172</v>
      </c>
      <c r="B5673" s="15" t="s">
        <v>11173</v>
      </c>
      <c r="C5673" s="16">
        <f>34.66/(1+B2)</f>
        <v>34.659999999999997</v>
      </c>
      <c r="D5673" s="17" t="s">
        <v>11</v>
      </c>
      <c r="E5673" s="17" t="s">
        <v>53</v>
      </c>
      <c r="F5673" s="18"/>
      <c r="G5673" s="36" t="str">
        <f>IF(ISNUMBER(F5673),C5673*F5673,"")</f>
        <v/>
      </c>
    </row>
    <row r="5674" spans="1:7" ht="12" customHeight="1" outlineLevel="2" x14ac:dyDescent="0.2">
      <c r="A5674" s="14" t="s">
        <v>11174</v>
      </c>
      <c r="B5674" s="15" t="s">
        <v>11175</v>
      </c>
      <c r="C5674" s="16">
        <f>44.08/(1+B2)</f>
        <v>44.08</v>
      </c>
      <c r="D5674" s="17" t="s">
        <v>11</v>
      </c>
      <c r="E5674" s="17" t="s">
        <v>53</v>
      </c>
      <c r="F5674" s="18"/>
      <c r="G5674" s="36" t="str">
        <f>IF(ISNUMBER(F5674),C5674*F5674,"")</f>
        <v/>
      </c>
    </row>
    <row r="5675" spans="1:7" ht="12" customHeight="1" outlineLevel="2" x14ac:dyDescent="0.2">
      <c r="A5675" s="14" t="s">
        <v>11176</v>
      </c>
      <c r="B5675" s="15" t="s">
        <v>11177</v>
      </c>
      <c r="C5675" s="16">
        <f>94.33/(1+B2)</f>
        <v>94.33</v>
      </c>
      <c r="D5675" s="17" t="s">
        <v>11</v>
      </c>
      <c r="E5675" s="17" t="s">
        <v>53</v>
      </c>
      <c r="F5675" s="18"/>
      <c r="G5675" s="36" t="str">
        <f>IF(ISNUMBER(F5675),C5675*F5675,"")</f>
        <v/>
      </c>
    </row>
    <row r="5676" spans="1:7" ht="24" customHeight="1" outlineLevel="2" x14ac:dyDescent="0.2">
      <c r="A5676" s="14" t="s">
        <v>11178</v>
      </c>
      <c r="B5676" s="15" t="s">
        <v>11179</v>
      </c>
      <c r="C5676" s="16">
        <f>19.75/(1+B2)</f>
        <v>19.75</v>
      </c>
      <c r="D5676" s="17" t="s">
        <v>14</v>
      </c>
      <c r="E5676" s="17" t="s">
        <v>14</v>
      </c>
      <c r="F5676" s="18"/>
      <c r="G5676" s="36" t="str">
        <f>IF(ISNUMBER(F5676),C5676*F5676,"")</f>
        <v/>
      </c>
    </row>
    <row r="5677" spans="1:7" ht="24" customHeight="1" outlineLevel="2" x14ac:dyDescent="0.2">
      <c r="A5677" s="14" t="s">
        <v>11180</v>
      </c>
      <c r="B5677" s="15" t="s">
        <v>11181</v>
      </c>
      <c r="C5677" s="16">
        <f>85.28/(1+B2)</f>
        <v>85.28</v>
      </c>
      <c r="D5677" s="17" t="s">
        <v>11</v>
      </c>
      <c r="E5677" s="17" t="s">
        <v>106</v>
      </c>
      <c r="F5677" s="18"/>
      <c r="G5677" s="36" t="str">
        <f>IF(ISNUMBER(F5677),C5677*F5677,"")</f>
        <v/>
      </c>
    </row>
    <row r="5678" spans="1:7" ht="24" customHeight="1" outlineLevel="2" x14ac:dyDescent="0.2">
      <c r="A5678" s="14" t="s">
        <v>11182</v>
      </c>
      <c r="B5678" s="15" t="s">
        <v>11183</v>
      </c>
      <c r="C5678" s="16">
        <f>115.91/(1+B2)</f>
        <v>115.91</v>
      </c>
      <c r="D5678" s="17" t="s">
        <v>11</v>
      </c>
      <c r="E5678" s="17"/>
      <c r="F5678" s="18"/>
      <c r="G5678" s="36" t="str">
        <f>IF(ISNUMBER(F5678),C5678*F5678,"")</f>
        <v/>
      </c>
    </row>
    <row r="5679" spans="1:7" ht="12" customHeight="1" outlineLevel="2" x14ac:dyDescent="0.2">
      <c r="A5679" s="14" t="s">
        <v>11184</v>
      </c>
      <c r="B5679" s="15" t="s">
        <v>11185</v>
      </c>
      <c r="C5679" s="16">
        <f>80.71/(1+B2)</f>
        <v>80.709999999999994</v>
      </c>
      <c r="D5679" s="17" t="s">
        <v>11</v>
      </c>
      <c r="E5679" s="17"/>
      <c r="F5679" s="18"/>
      <c r="G5679" s="36" t="str">
        <f>IF(ISNUMBER(F5679),C5679*F5679,"")</f>
        <v/>
      </c>
    </row>
    <row r="5680" spans="1:7" s="1" customFormat="1" ht="15.95" customHeight="1" outlineLevel="1" x14ac:dyDescent="0.25">
      <c r="A5680" s="11"/>
      <c r="B5680" s="12" t="s">
        <v>11186</v>
      </c>
      <c r="C5680" s="13"/>
      <c r="D5680" s="13"/>
      <c r="E5680" s="13"/>
      <c r="F5680" s="13"/>
      <c r="G5680" s="35"/>
    </row>
    <row r="5681" spans="1:7" ht="12" customHeight="1" outlineLevel="2" x14ac:dyDescent="0.2">
      <c r="A5681" s="14" t="s">
        <v>11187</v>
      </c>
      <c r="B5681" s="15" t="s">
        <v>11188</v>
      </c>
      <c r="C5681" s="16">
        <f>248.34/(1+B2)</f>
        <v>248.34</v>
      </c>
      <c r="D5681" s="17" t="s">
        <v>11</v>
      </c>
      <c r="E5681" s="17"/>
      <c r="F5681" s="18"/>
      <c r="G5681" s="36" t="str">
        <f>IF(ISNUMBER(F5681),C5681*F5681,"")</f>
        <v/>
      </c>
    </row>
    <row r="5682" spans="1:7" ht="12" customHeight="1" outlineLevel="2" x14ac:dyDescent="0.2">
      <c r="A5682" s="14" t="s">
        <v>11189</v>
      </c>
      <c r="B5682" s="15" t="s">
        <v>11190</v>
      </c>
      <c r="C5682" s="16">
        <f>17.41/(1+B2)</f>
        <v>17.41</v>
      </c>
      <c r="D5682" s="17" t="s">
        <v>53</v>
      </c>
      <c r="E5682" s="17"/>
      <c r="F5682" s="18"/>
      <c r="G5682" s="36" t="str">
        <f>IF(ISNUMBER(F5682),C5682*F5682,"")</f>
        <v/>
      </c>
    </row>
    <row r="5683" spans="1:7" ht="12" customHeight="1" outlineLevel="2" x14ac:dyDescent="0.2">
      <c r="A5683" s="14" t="s">
        <v>11191</v>
      </c>
      <c r="B5683" s="15" t="s">
        <v>11192</v>
      </c>
      <c r="C5683" s="16">
        <f>9.43/(1+B2)</f>
        <v>9.43</v>
      </c>
      <c r="D5683" s="17" t="s">
        <v>106</v>
      </c>
      <c r="E5683" s="17"/>
      <c r="F5683" s="18"/>
      <c r="G5683" s="36" t="str">
        <f>IF(ISNUMBER(F5683),C5683*F5683,"")</f>
        <v/>
      </c>
    </row>
    <row r="5684" spans="1:7" ht="12" customHeight="1" outlineLevel="2" x14ac:dyDescent="0.2">
      <c r="A5684" s="14" t="s">
        <v>11193</v>
      </c>
      <c r="B5684" s="15" t="s">
        <v>11194</v>
      </c>
      <c r="C5684" s="16">
        <f>26.22/(1+B2)</f>
        <v>26.22</v>
      </c>
      <c r="D5684" s="17" t="s">
        <v>53</v>
      </c>
      <c r="E5684" s="17"/>
      <c r="F5684" s="18"/>
      <c r="G5684" s="36" t="str">
        <f>IF(ISNUMBER(F5684),C5684*F5684,"")</f>
        <v/>
      </c>
    </row>
    <row r="5685" spans="1:7" ht="12" customHeight="1" outlineLevel="2" x14ac:dyDescent="0.2">
      <c r="A5685" s="14" t="s">
        <v>11195</v>
      </c>
      <c r="B5685" s="15" t="s">
        <v>11196</v>
      </c>
      <c r="C5685" s="16">
        <f>30.92/(1+B2)</f>
        <v>30.92</v>
      </c>
      <c r="D5685" s="17" t="s">
        <v>53</v>
      </c>
      <c r="E5685" s="17"/>
      <c r="F5685" s="18"/>
      <c r="G5685" s="36" t="str">
        <f>IF(ISNUMBER(F5685),C5685*F5685,"")</f>
        <v/>
      </c>
    </row>
    <row r="5686" spans="1:7" ht="12" customHeight="1" outlineLevel="2" x14ac:dyDescent="0.2">
      <c r="A5686" s="14" t="s">
        <v>11197</v>
      </c>
      <c r="B5686" s="15" t="s">
        <v>11198</v>
      </c>
      <c r="C5686" s="16">
        <f>45.49/(1+B2)</f>
        <v>45.49</v>
      </c>
      <c r="D5686" s="17" t="s">
        <v>106</v>
      </c>
      <c r="E5686" s="17"/>
      <c r="F5686" s="18"/>
      <c r="G5686" s="36" t="str">
        <f>IF(ISNUMBER(F5686),C5686*F5686,"")</f>
        <v/>
      </c>
    </row>
    <row r="5687" spans="1:7" ht="12" customHeight="1" outlineLevel="2" x14ac:dyDescent="0.2">
      <c r="A5687" s="14" t="s">
        <v>11199</v>
      </c>
      <c r="B5687" s="15" t="s">
        <v>11200</v>
      </c>
      <c r="C5687" s="16">
        <f>16.78/(1+B2)</f>
        <v>16.78</v>
      </c>
      <c r="D5687" s="17" t="s">
        <v>53</v>
      </c>
      <c r="E5687" s="17"/>
      <c r="F5687" s="18"/>
      <c r="G5687" s="36" t="str">
        <f>IF(ISNUMBER(F5687),C5687*F5687,"")</f>
        <v/>
      </c>
    </row>
    <row r="5688" spans="1:7" ht="12" customHeight="1" outlineLevel="2" x14ac:dyDescent="0.2">
      <c r="A5688" s="14" t="s">
        <v>11201</v>
      </c>
      <c r="B5688" s="15" t="s">
        <v>11202</v>
      </c>
      <c r="C5688" s="16">
        <f>18.89/(1+B2)</f>
        <v>18.89</v>
      </c>
      <c r="D5688" s="17" t="s">
        <v>53</v>
      </c>
      <c r="E5688" s="17"/>
      <c r="F5688" s="18"/>
      <c r="G5688" s="36" t="str">
        <f>IF(ISNUMBER(F5688),C5688*F5688,"")</f>
        <v/>
      </c>
    </row>
    <row r="5689" spans="1:7" ht="12" customHeight="1" outlineLevel="2" x14ac:dyDescent="0.2">
      <c r="A5689" s="14" t="s">
        <v>11203</v>
      </c>
      <c r="B5689" s="15" t="s">
        <v>11204</v>
      </c>
      <c r="C5689" s="16">
        <f>24.98/(1+B2)</f>
        <v>24.98</v>
      </c>
      <c r="D5689" s="17" t="s">
        <v>106</v>
      </c>
      <c r="E5689" s="17"/>
      <c r="F5689" s="18"/>
      <c r="G5689" s="36" t="str">
        <f>IF(ISNUMBER(F5689),C5689*F5689,"")</f>
        <v/>
      </c>
    </row>
    <row r="5690" spans="1:7" ht="12" customHeight="1" outlineLevel="2" x14ac:dyDescent="0.2">
      <c r="A5690" s="14" t="s">
        <v>11205</v>
      </c>
      <c r="B5690" s="15" t="s">
        <v>11206</v>
      </c>
      <c r="C5690" s="16">
        <f>31.86/(1+B2)</f>
        <v>31.86</v>
      </c>
      <c r="D5690" s="17" t="s">
        <v>106</v>
      </c>
      <c r="E5690" s="17"/>
      <c r="F5690" s="18"/>
      <c r="G5690" s="36" t="str">
        <f>IF(ISNUMBER(F5690),C5690*F5690,"")</f>
        <v/>
      </c>
    </row>
    <row r="5691" spans="1:7" ht="12" customHeight="1" outlineLevel="2" x14ac:dyDescent="0.2">
      <c r="A5691" s="14" t="s">
        <v>11207</v>
      </c>
      <c r="B5691" s="15" t="s">
        <v>11208</v>
      </c>
      <c r="C5691" s="16">
        <f>95.62/(1+B2)</f>
        <v>95.62</v>
      </c>
      <c r="D5691" s="17" t="s">
        <v>53</v>
      </c>
      <c r="E5691" s="17"/>
      <c r="F5691" s="18"/>
      <c r="G5691" s="36" t="str">
        <f>IF(ISNUMBER(F5691),C5691*F5691,"")</f>
        <v/>
      </c>
    </row>
    <row r="5692" spans="1:7" ht="12" customHeight="1" outlineLevel="2" x14ac:dyDescent="0.2">
      <c r="A5692" s="14" t="s">
        <v>11209</v>
      </c>
      <c r="B5692" s="15" t="s">
        <v>11210</v>
      </c>
      <c r="C5692" s="16">
        <f>95.62/(1+B2)</f>
        <v>95.62</v>
      </c>
      <c r="D5692" s="17" t="s">
        <v>106</v>
      </c>
      <c r="E5692" s="17"/>
      <c r="F5692" s="18"/>
      <c r="G5692" s="36" t="str">
        <f>IF(ISNUMBER(F5692),C5692*F5692,"")</f>
        <v/>
      </c>
    </row>
    <row r="5693" spans="1:7" ht="12" customHeight="1" outlineLevel="2" x14ac:dyDescent="0.2">
      <c r="A5693" s="14" t="s">
        <v>11211</v>
      </c>
      <c r="B5693" s="15" t="s">
        <v>11212</v>
      </c>
      <c r="C5693" s="16">
        <f>103.52/(1+B2)</f>
        <v>103.52</v>
      </c>
      <c r="D5693" s="17" t="s">
        <v>53</v>
      </c>
      <c r="E5693" s="17"/>
      <c r="F5693" s="18"/>
      <c r="G5693" s="36" t="str">
        <f>IF(ISNUMBER(F5693),C5693*F5693,"")</f>
        <v/>
      </c>
    </row>
    <row r="5694" spans="1:7" ht="12" customHeight="1" outlineLevel="2" x14ac:dyDescent="0.2">
      <c r="A5694" s="14" t="s">
        <v>11213</v>
      </c>
      <c r="B5694" s="15" t="s">
        <v>11214</v>
      </c>
      <c r="C5694" s="16">
        <f>108.7/(1+B2)</f>
        <v>108.7</v>
      </c>
      <c r="D5694" s="17" t="s">
        <v>106</v>
      </c>
      <c r="E5694" s="17"/>
      <c r="F5694" s="18"/>
      <c r="G5694" s="36" t="str">
        <f>IF(ISNUMBER(F5694),C5694*F5694,"")</f>
        <v/>
      </c>
    </row>
    <row r="5695" spans="1:7" ht="12" customHeight="1" outlineLevel="2" x14ac:dyDescent="0.2">
      <c r="A5695" s="14" t="s">
        <v>11215</v>
      </c>
      <c r="B5695" s="15" t="s">
        <v>11216</v>
      </c>
      <c r="C5695" s="16">
        <f>111.59/(1+B2)</f>
        <v>111.59</v>
      </c>
      <c r="D5695" s="17" t="s">
        <v>106</v>
      </c>
      <c r="E5695" s="17"/>
      <c r="F5695" s="18"/>
      <c r="G5695" s="36" t="str">
        <f>IF(ISNUMBER(F5695),C5695*F5695,"")</f>
        <v/>
      </c>
    </row>
    <row r="5696" spans="1:7" ht="12" customHeight="1" outlineLevel="2" x14ac:dyDescent="0.2">
      <c r="A5696" s="14" t="s">
        <v>11217</v>
      </c>
      <c r="B5696" s="15" t="s">
        <v>11218</v>
      </c>
      <c r="C5696" s="16">
        <f>33.04/(1+B2)</f>
        <v>33.04</v>
      </c>
      <c r="D5696" s="17" t="s">
        <v>14</v>
      </c>
      <c r="E5696" s="17"/>
      <c r="F5696" s="18"/>
      <c r="G5696" s="36" t="str">
        <f>IF(ISNUMBER(F5696),C5696*F5696,"")</f>
        <v/>
      </c>
    </row>
    <row r="5697" spans="1:7" ht="12" customHeight="1" outlineLevel="2" x14ac:dyDescent="0.2">
      <c r="A5697" s="14" t="s">
        <v>11219</v>
      </c>
      <c r="B5697" s="15" t="s">
        <v>11220</v>
      </c>
      <c r="C5697" s="16">
        <f>37.12/(1+B2)</f>
        <v>37.119999999999997</v>
      </c>
      <c r="D5697" s="17" t="s">
        <v>106</v>
      </c>
      <c r="E5697" s="17"/>
      <c r="F5697" s="18"/>
      <c r="G5697" s="36" t="str">
        <f>IF(ISNUMBER(F5697),C5697*F5697,"")</f>
        <v/>
      </c>
    </row>
    <row r="5698" spans="1:7" ht="12" customHeight="1" outlineLevel="2" x14ac:dyDescent="0.2">
      <c r="A5698" s="14" t="s">
        <v>11221</v>
      </c>
      <c r="B5698" s="15" t="s">
        <v>11222</v>
      </c>
      <c r="C5698" s="16">
        <f>43.66/(1+B2)</f>
        <v>43.66</v>
      </c>
      <c r="D5698" s="17" t="s">
        <v>53</v>
      </c>
      <c r="E5698" s="17"/>
      <c r="F5698" s="18"/>
      <c r="G5698" s="36" t="str">
        <f>IF(ISNUMBER(F5698),C5698*F5698,"")</f>
        <v/>
      </c>
    </row>
    <row r="5699" spans="1:7" ht="12" customHeight="1" outlineLevel="2" x14ac:dyDescent="0.2">
      <c r="A5699" s="14" t="s">
        <v>11223</v>
      </c>
      <c r="B5699" s="15" t="s">
        <v>11224</v>
      </c>
      <c r="C5699" s="16">
        <f>45.84/(1+B2)</f>
        <v>45.84</v>
      </c>
      <c r="D5699" s="17" t="s">
        <v>106</v>
      </c>
      <c r="E5699" s="17"/>
      <c r="F5699" s="18"/>
      <c r="G5699" s="36" t="str">
        <f>IF(ISNUMBER(F5699),C5699*F5699,"")</f>
        <v/>
      </c>
    </row>
    <row r="5700" spans="1:7" ht="12" customHeight="1" outlineLevel="2" x14ac:dyDescent="0.2">
      <c r="A5700" s="14" t="s">
        <v>11225</v>
      </c>
      <c r="B5700" s="15" t="s">
        <v>11226</v>
      </c>
      <c r="C5700" s="16">
        <f>48.88/(1+B2)</f>
        <v>48.88</v>
      </c>
      <c r="D5700" s="17" t="s">
        <v>53</v>
      </c>
      <c r="E5700" s="17"/>
      <c r="F5700" s="18"/>
      <c r="G5700" s="36" t="str">
        <f>IF(ISNUMBER(F5700),C5700*F5700,"")</f>
        <v/>
      </c>
    </row>
    <row r="5701" spans="1:7" ht="12" customHeight="1" outlineLevel="2" x14ac:dyDescent="0.2">
      <c r="A5701" s="14" t="s">
        <v>11227</v>
      </c>
      <c r="B5701" s="15" t="s">
        <v>11228</v>
      </c>
      <c r="C5701" s="16">
        <f>48.04/(1+B2)</f>
        <v>48.04</v>
      </c>
      <c r="D5701" s="17" t="s">
        <v>106</v>
      </c>
      <c r="E5701" s="17"/>
      <c r="F5701" s="18"/>
      <c r="G5701" s="36" t="str">
        <f>IF(ISNUMBER(F5701),C5701*F5701,"")</f>
        <v/>
      </c>
    </row>
    <row r="5702" spans="1:7" ht="12" customHeight="1" outlineLevel="2" x14ac:dyDescent="0.2">
      <c r="A5702" s="14" t="s">
        <v>11229</v>
      </c>
      <c r="B5702" s="15" t="s">
        <v>11230</v>
      </c>
      <c r="C5702" s="16">
        <f>52.91/(1+B2)</f>
        <v>52.91</v>
      </c>
      <c r="D5702" s="17" t="s">
        <v>53</v>
      </c>
      <c r="E5702" s="17"/>
      <c r="F5702" s="18"/>
      <c r="G5702" s="36" t="str">
        <f>IF(ISNUMBER(F5702),C5702*F5702,"")</f>
        <v/>
      </c>
    </row>
    <row r="5703" spans="1:7" ht="12" customHeight="1" outlineLevel="2" x14ac:dyDescent="0.2">
      <c r="A5703" s="14" t="s">
        <v>11231</v>
      </c>
      <c r="B5703" s="15" t="s">
        <v>11232</v>
      </c>
      <c r="C5703" s="16">
        <f>45.92/(1+B2)</f>
        <v>45.92</v>
      </c>
      <c r="D5703" s="17" t="s">
        <v>11</v>
      </c>
      <c r="E5703" s="17"/>
      <c r="F5703" s="18"/>
      <c r="G5703" s="36" t="str">
        <f>IF(ISNUMBER(F5703),C5703*F5703,"")</f>
        <v/>
      </c>
    </row>
    <row r="5704" spans="1:7" ht="12" customHeight="1" outlineLevel="2" x14ac:dyDescent="0.2">
      <c r="A5704" s="14" t="s">
        <v>11233</v>
      </c>
      <c r="B5704" s="15" t="s">
        <v>11234</v>
      </c>
      <c r="C5704" s="16">
        <f>54.18/(1+B2)</f>
        <v>54.18</v>
      </c>
      <c r="D5704" s="17" t="s">
        <v>106</v>
      </c>
      <c r="E5704" s="17"/>
      <c r="F5704" s="18"/>
      <c r="G5704" s="36" t="str">
        <f>IF(ISNUMBER(F5704),C5704*F5704,"")</f>
        <v/>
      </c>
    </row>
    <row r="5705" spans="1:7" ht="12" customHeight="1" outlineLevel="2" x14ac:dyDescent="0.2">
      <c r="A5705" s="14" t="s">
        <v>11235</v>
      </c>
      <c r="B5705" s="15" t="s">
        <v>11236</v>
      </c>
      <c r="C5705" s="16">
        <f>58.46/(1+B2)</f>
        <v>58.46</v>
      </c>
      <c r="D5705" s="17" t="s">
        <v>106</v>
      </c>
      <c r="E5705" s="17"/>
      <c r="F5705" s="18"/>
      <c r="G5705" s="36" t="str">
        <f>IF(ISNUMBER(F5705),C5705*F5705,"")</f>
        <v/>
      </c>
    </row>
    <row r="5706" spans="1:7" ht="12" customHeight="1" outlineLevel="2" x14ac:dyDescent="0.2">
      <c r="A5706" s="14" t="s">
        <v>11237</v>
      </c>
      <c r="B5706" s="15" t="s">
        <v>11238</v>
      </c>
      <c r="C5706" s="16">
        <f>74.16/(1+B2)</f>
        <v>74.16</v>
      </c>
      <c r="D5706" s="17" t="s">
        <v>53</v>
      </c>
      <c r="E5706" s="17"/>
      <c r="F5706" s="18"/>
      <c r="G5706" s="36" t="str">
        <f>IF(ISNUMBER(F5706),C5706*F5706,"")</f>
        <v/>
      </c>
    </row>
    <row r="5707" spans="1:7" ht="12" customHeight="1" outlineLevel="2" x14ac:dyDescent="0.2">
      <c r="A5707" s="14" t="s">
        <v>11239</v>
      </c>
      <c r="B5707" s="15" t="s">
        <v>11240</v>
      </c>
      <c r="C5707" s="16">
        <f>75.23/(1+B2)</f>
        <v>75.23</v>
      </c>
      <c r="D5707" s="17" t="s">
        <v>14</v>
      </c>
      <c r="E5707" s="17"/>
      <c r="F5707" s="18"/>
      <c r="G5707" s="36" t="str">
        <f>IF(ISNUMBER(F5707),C5707*F5707,"")</f>
        <v/>
      </c>
    </row>
    <row r="5708" spans="1:7" ht="12" customHeight="1" outlineLevel="2" x14ac:dyDescent="0.2">
      <c r="A5708" s="14" t="s">
        <v>11241</v>
      </c>
      <c r="B5708" s="15" t="s">
        <v>11242</v>
      </c>
      <c r="C5708" s="16">
        <f>80.03/(1+B2)</f>
        <v>80.03</v>
      </c>
      <c r="D5708" s="17" t="s">
        <v>11</v>
      </c>
      <c r="E5708" s="17" t="s">
        <v>106</v>
      </c>
      <c r="F5708" s="18"/>
      <c r="G5708" s="36" t="str">
        <f>IF(ISNUMBER(F5708),C5708*F5708,"")</f>
        <v/>
      </c>
    </row>
    <row r="5709" spans="1:7" ht="12" customHeight="1" outlineLevel="2" x14ac:dyDescent="0.2">
      <c r="A5709" s="14" t="s">
        <v>11243</v>
      </c>
      <c r="B5709" s="15" t="s">
        <v>11244</v>
      </c>
      <c r="C5709" s="16">
        <f>413.87/(1+B2)</f>
        <v>413.87</v>
      </c>
      <c r="D5709" s="17" t="s">
        <v>11</v>
      </c>
      <c r="E5709" s="17"/>
      <c r="F5709" s="18"/>
      <c r="G5709" s="36" t="str">
        <f>IF(ISNUMBER(F5709),C5709*F5709,"")</f>
        <v/>
      </c>
    </row>
    <row r="5710" spans="1:7" ht="12" customHeight="1" outlineLevel="2" x14ac:dyDescent="0.2">
      <c r="A5710" s="14" t="s">
        <v>11245</v>
      </c>
      <c r="B5710" s="15" t="s">
        <v>11246</v>
      </c>
      <c r="C5710" s="16">
        <f>90.71/(1+B2)</f>
        <v>90.71</v>
      </c>
      <c r="D5710" s="17" t="s">
        <v>14</v>
      </c>
      <c r="E5710" s="17"/>
      <c r="F5710" s="18"/>
      <c r="G5710" s="36" t="str">
        <f>IF(ISNUMBER(F5710),C5710*F5710,"")</f>
        <v/>
      </c>
    </row>
    <row r="5711" spans="1:7" ht="12" customHeight="1" outlineLevel="2" x14ac:dyDescent="0.2">
      <c r="A5711" s="14" t="s">
        <v>11247</v>
      </c>
      <c r="B5711" s="15" t="s">
        <v>11248</v>
      </c>
      <c r="C5711" s="16">
        <f>154.37/(1+B2)</f>
        <v>154.37</v>
      </c>
      <c r="D5711" s="17" t="s">
        <v>14</v>
      </c>
      <c r="E5711" s="17"/>
      <c r="F5711" s="18"/>
      <c r="G5711" s="36" t="str">
        <f>IF(ISNUMBER(F5711),C5711*F5711,"")</f>
        <v/>
      </c>
    </row>
    <row r="5712" spans="1:7" ht="12" customHeight="1" outlineLevel="2" x14ac:dyDescent="0.2">
      <c r="A5712" s="14" t="s">
        <v>11249</v>
      </c>
      <c r="B5712" s="15" t="s">
        <v>11250</v>
      </c>
      <c r="C5712" s="16">
        <f>354.73/(1+B2)</f>
        <v>354.73</v>
      </c>
      <c r="D5712" s="17" t="s">
        <v>11</v>
      </c>
      <c r="E5712" s="17"/>
      <c r="F5712" s="18"/>
      <c r="G5712" s="36" t="str">
        <f>IF(ISNUMBER(F5712),C5712*F5712,"")</f>
        <v/>
      </c>
    </row>
    <row r="5713" spans="1:7" ht="12" customHeight="1" outlineLevel="2" x14ac:dyDescent="0.2">
      <c r="A5713" s="14" t="s">
        <v>11251</v>
      </c>
      <c r="B5713" s="15" t="s">
        <v>11252</v>
      </c>
      <c r="C5713" s="16">
        <f>142.78/(1+B2)</f>
        <v>142.78</v>
      </c>
      <c r="D5713" s="17" t="s">
        <v>11</v>
      </c>
      <c r="E5713" s="17"/>
      <c r="F5713" s="18"/>
      <c r="G5713" s="36" t="str">
        <f>IF(ISNUMBER(F5713),C5713*F5713,"")</f>
        <v/>
      </c>
    </row>
    <row r="5714" spans="1:7" ht="12" customHeight="1" outlineLevel="2" x14ac:dyDescent="0.2">
      <c r="A5714" s="14" t="s">
        <v>11253</v>
      </c>
      <c r="B5714" s="15" t="s">
        <v>11254</v>
      </c>
      <c r="C5714" s="16">
        <f>68.44/(1+B2)</f>
        <v>68.44</v>
      </c>
      <c r="D5714" s="17" t="s">
        <v>14</v>
      </c>
      <c r="E5714" s="17"/>
      <c r="F5714" s="18"/>
      <c r="G5714" s="36" t="str">
        <f>IF(ISNUMBER(F5714),C5714*F5714,"")</f>
        <v/>
      </c>
    </row>
    <row r="5715" spans="1:7" ht="12" customHeight="1" outlineLevel="2" x14ac:dyDescent="0.2">
      <c r="A5715" s="14" t="s">
        <v>11255</v>
      </c>
      <c r="B5715" s="15" t="s">
        <v>11256</v>
      </c>
      <c r="C5715" s="16">
        <f>101.63/(1+B2)</f>
        <v>101.63</v>
      </c>
      <c r="D5715" s="17" t="s">
        <v>11</v>
      </c>
      <c r="E5715" s="17"/>
      <c r="F5715" s="18"/>
      <c r="G5715" s="36" t="str">
        <f>IF(ISNUMBER(F5715),C5715*F5715,"")</f>
        <v/>
      </c>
    </row>
    <row r="5716" spans="1:7" ht="12" customHeight="1" outlineLevel="2" x14ac:dyDescent="0.2">
      <c r="A5716" s="14" t="s">
        <v>11257</v>
      </c>
      <c r="B5716" s="15" t="s">
        <v>11258</v>
      </c>
      <c r="C5716" s="16">
        <f>40.72/(1+B2)</f>
        <v>40.72</v>
      </c>
      <c r="D5716" s="17" t="s">
        <v>53</v>
      </c>
      <c r="E5716" s="17"/>
      <c r="F5716" s="18"/>
      <c r="G5716" s="36" t="str">
        <f>IF(ISNUMBER(F5716),C5716*F5716,"")</f>
        <v/>
      </c>
    </row>
    <row r="5717" spans="1:7" ht="12" customHeight="1" outlineLevel="2" x14ac:dyDescent="0.2">
      <c r="A5717" s="14" t="s">
        <v>11259</v>
      </c>
      <c r="B5717" s="15" t="s">
        <v>11260</v>
      </c>
      <c r="C5717" s="16">
        <f>55.72/(1+B2)</f>
        <v>55.72</v>
      </c>
      <c r="D5717" s="17" t="s">
        <v>11</v>
      </c>
      <c r="E5717" s="17"/>
      <c r="F5717" s="18"/>
      <c r="G5717" s="36" t="str">
        <f>IF(ISNUMBER(F5717),C5717*F5717,"")</f>
        <v/>
      </c>
    </row>
    <row r="5718" spans="1:7" ht="12" customHeight="1" outlineLevel="2" x14ac:dyDescent="0.2">
      <c r="A5718" s="14" t="s">
        <v>11261</v>
      </c>
      <c r="B5718" s="15" t="s">
        <v>11262</v>
      </c>
      <c r="C5718" s="16">
        <f>93.16/(1+B2)</f>
        <v>93.16</v>
      </c>
      <c r="D5718" s="17" t="s">
        <v>53</v>
      </c>
      <c r="E5718" s="17"/>
      <c r="F5718" s="18"/>
      <c r="G5718" s="36" t="str">
        <f>IF(ISNUMBER(F5718),C5718*F5718,"")</f>
        <v/>
      </c>
    </row>
    <row r="5719" spans="1:7" ht="12" customHeight="1" outlineLevel="2" x14ac:dyDescent="0.2">
      <c r="A5719" s="14" t="s">
        <v>11263</v>
      </c>
      <c r="B5719" s="15" t="s">
        <v>11264</v>
      </c>
      <c r="C5719" s="16">
        <f>53.14/(1+B2)</f>
        <v>53.14</v>
      </c>
      <c r="D5719" s="17" t="s">
        <v>53</v>
      </c>
      <c r="E5719" s="17"/>
      <c r="F5719" s="18"/>
      <c r="G5719" s="36" t="str">
        <f>IF(ISNUMBER(F5719),C5719*F5719,"")</f>
        <v/>
      </c>
    </row>
    <row r="5720" spans="1:7" ht="12" customHeight="1" outlineLevel="2" x14ac:dyDescent="0.2">
      <c r="A5720" s="14" t="s">
        <v>11265</v>
      </c>
      <c r="B5720" s="15" t="s">
        <v>11266</v>
      </c>
      <c r="C5720" s="16">
        <f>75.25/(1+B2)</f>
        <v>75.25</v>
      </c>
      <c r="D5720" s="17" t="s">
        <v>11</v>
      </c>
      <c r="E5720" s="17"/>
      <c r="F5720" s="18"/>
      <c r="G5720" s="36" t="str">
        <f>IF(ISNUMBER(F5720),C5720*F5720,"")</f>
        <v/>
      </c>
    </row>
    <row r="5721" spans="1:7" ht="12" customHeight="1" outlineLevel="2" x14ac:dyDescent="0.2">
      <c r="A5721" s="14" t="s">
        <v>11267</v>
      </c>
      <c r="B5721" s="15" t="s">
        <v>11268</v>
      </c>
      <c r="C5721" s="16">
        <f>54.33/(1+B2)</f>
        <v>54.33</v>
      </c>
      <c r="D5721" s="17" t="s">
        <v>11</v>
      </c>
      <c r="E5721" s="17"/>
      <c r="F5721" s="18"/>
      <c r="G5721" s="36" t="str">
        <f>IF(ISNUMBER(F5721),C5721*F5721,"")</f>
        <v/>
      </c>
    </row>
    <row r="5722" spans="1:7" ht="12" customHeight="1" outlineLevel="2" x14ac:dyDescent="0.2">
      <c r="A5722" s="14" t="s">
        <v>11269</v>
      </c>
      <c r="B5722" s="15" t="s">
        <v>11270</v>
      </c>
      <c r="C5722" s="16">
        <f>68.12/(1+B2)</f>
        <v>68.12</v>
      </c>
      <c r="D5722" s="17" t="s">
        <v>53</v>
      </c>
      <c r="E5722" s="17"/>
      <c r="F5722" s="18"/>
      <c r="G5722" s="36" t="str">
        <f>IF(ISNUMBER(F5722),C5722*F5722,"")</f>
        <v/>
      </c>
    </row>
    <row r="5723" spans="1:7" ht="12" customHeight="1" outlineLevel="2" x14ac:dyDescent="0.2">
      <c r="A5723" s="14" t="s">
        <v>11271</v>
      </c>
      <c r="B5723" s="15" t="s">
        <v>11272</v>
      </c>
      <c r="C5723" s="16">
        <f>68.12/(1+B2)</f>
        <v>68.12</v>
      </c>
      <c r="D5723" s="17" t="s">
        <v>53</v>
      </c>
      <c r="E5723" s="17"/>
      <c r="F5723" s="18"/>
      <c r="G5723" s="36" t="str">
        <f>IF(ISNUMBER(F5723),C5723*F5723,"")</f>
        <v/>
      </c>
    </row>
    <row r="5724" spans="1:7" ht="12" customHeight="1" outlineLevel="2" x14ac:dyDescent="0.2">
      <c r="A5724" s="14" t="s">
        <v>11273</v>
      </c>
      <c r="B5724" s="15" t="s">
        <v>11274</v>
      </c>
      <c r="C5724" s="16">
        <f>71.54/(1+B2)</f>
        <v>71.540000000000006</v>
      </c>
      <c r="D5724" s="17" t="s">
        <v>53</v>
      </c>
      <c r="E5724" s="17"/>
      <c r="F5724" s="18"/>
      <c r="G5724" s="36" t="str">
        <f>IF(ISNUMBER(F5724),C5724*F5724,"")</f>
        <v/>
      </c>
    </row>
    <row r="5725" spans="1:7" ht="12" customHeight="1" outlineLevel="2" x14ac:dyDescent="0.2">
      <c r="A5725" s="14" t="s">
        <v>11275</v>
      </c>
      <c r="B5725" s="15" t="s">
        <v>11276</v>
      </c>
      <c r="C5725" s="16">
        <f>68.12/(1+B2)</f>
        <v>68.12</v>
      </c>
      <c r="D5725" s="17" t="s">
        <v>53</v>
      </c>
      <c r="E5725" s="17"/>
      <c r="F5725" s="18"/>
      <c r="G5725" s="36" t="str">
        <f>IF(ISNUMBER(F5725),C5725*F5725,"")</f>
        <v/>
      </c>
    </row>
    <row r="5726" spans="1:7" ht="12" customHeight="1" outlineLevel="2" x14ac:dyDescent="0.2">
      <c r="A5726" s="14" t="s">
        <v>11277</v>
      </c>
      <c r="B5726" s="15" t="s">
        <v>11278</v>
      </c>
      <c r="C5726" s="16">
        <f>71.54/(1+B2)</f>
        <v>71.540000000000006</v>
      </c>
      <c r="D5726" s="17" t="s">
        <v>53</v>
      </c>
      <c r="E5726" s="17"/>
      <c r="F5726" s="18"/>
      <c r="G5726" s="36" t="str">
        <f>IF(ISNUMBER(F5726),C5726*F5726,"")</f>
        <v/>
      </c>
    </row>
    <row r="5727" spans="1:7" ht="12" customHeight="1" outlineLevel="2" x14ac:dyDescent="0.2">
      <c r="A5727" s="14" t="s">
        <v>11279</v>
      </c>
      <c r="B5727" s="15" t="s">
        <v>11280</v>
      </c>
      <c r="C5727" s="16">
        <f>68.12/(1+B2)</f>
        <v>68.12</v>
      </c>
      <c r="D5727" s="17" t="s">
        <v>53</v>
      </c>
      <c r="E5727" s="17"/>
      <c r="F5727" s="18"/>
      <c r="G5727" s="36" t="str">
        <f>IF(ISNUMBER(F5727),C5727*F5727,"")</f>
        <v/>
      </c>
    </row>
    <row r="5728" spans="1:7" ht="12" customHeight="1" outlineLevel="2" x14ac:dyDescent="0.2">
      <c r="A5728" s="14" t="s">
        <v>11281</v>
      </c>
      <c r="B5728" s="15" t="s">
        <v>11282</v>
      </c>
      <c r="C5728" s="16">
        <f>71.54/(1+B2)</f>
        <v>71.540000000000006</v>
      </c>
      <c r="D5728" s="17" t="s">
        <v>14</v>
      </c>
      <c r="E5728" s="17"/>
      <c r="F5728" s="18"/>
      <c r="G5728" s="36" t="str">
        <f>IF(ISNUMBER(F5728),C5728*F5728,"")</f>
        <v/>
      </c>
    </row>
    <row r="5729" spans="1:7" s="1" customFormat="1" ht="15.95" customHeight="1" outlineLevel="1" x14ac:dyDescent="0.25">
      <c r="A5729" s="11"/>
      <c r="B5729" s="12" t="s">
        <v>11283</v>
      </c>
      <c r="C5729" s="13"/>
      <c r="D5729" s="13"/>
      <c r="E5729" s="13"/>
      <c r="F5729" s="13"/>
      <c r="G5729" s="35"/>
    </row>
    <row r="5730" spans="1:7" ht="12" customHeight="1" outlineLevel="2" x14ac:dyDescent="0.2">
      <c r="A5730" s="14" t="s">
        <v>11284</v>
      </c>
      <c r="B5730" s="15" t="s">
        <v>11285</v>
      </c>
      <c r="C5730" s="16">
        <f>67.37/(1+B2)</f>
        <v>67.37</v>
      </c>
      <c r="D5730" s="17" t="s">
        <v>14</v>
      </c>
      <c r="E5730" s="17" t="s">
        <v>14</v>
      </c>
      <c r="F5730" s="18"/>
      <c r="G5730" s="36" t="str">
        <f>IF(ISNUMBER(F5730),C5730*F5730,"")</f>
        <v/>
      </c>
    </row>
    <row r="5731" spans="1:7" ht="12" customHeight="1" outlineLevel="2" x14ac:dyDescent="0.2">
      <c r="A5731" s="14" t="s">
        <v>11286</v>
      </c>
      <c r="B5731" s="15" t="s">
        <v>11287</v>
      </c>
      <c r="C5731" s="16">
        <f>74.86/(1+B2)</f>
        <v>74.86</v>
      </c>
      <c r="D5731" s="17" t="s">
        <v>11</v>
      </c>
      <c r="E5731" s="17" t="s">
        <v>14</v>
      </c>
      <c r="F5731" s="18"/>
      <c r="G5731" s="36" t="str">
        <f>IF(ISNUMBER(F5731),C5731*F5731,"")</f>
        <v/>
      </c>
    </row>
    <row r="5732" spans="1:7" ht="12" customHeight="1" outlineLevel="2" x14ac:dyDescent="0.2">
      <c r="A5732" s="14" t="s">
        <v>11288</v>
      </c>
      <c r="B5732" s="15" t="s">
        <v>11289</v>
      </c>
      <c r="C5732" s="16">
        <f>113.05/(1+B2)</f>
        <v>113.05</v>
      </c>
      <c r="D5732" s="17" t="s">
        <v>14</v>
      </c>
      <c r="E5732" s="17" t="s">
        <v>14</v>
      </c>
      <c r="F5732" s="18"/>
      <c r="G5732" s="36" t="str">
        <f>IF(ISNUMBER(F5732),C5732*F5732,"")</f>
        <v/>
      </c>
    </row>
    <row r="5733" spans="1:7" ht="12" customHeight="1" outlineLevel="2" x14ac:dyDescent="0.2">
      <c r="A5733" s="14" t="s">
        <v>11290</v>
      </c>
      <c r="B5733" s="15" t="s">
        <v>11291</v>
      </c>
      <c r="C5733" s="16">
        <f>81.24/(1+B2)</f>
        <v>81.239999999999995</v>
      </c>
      <c r="D5733" s="17" t="s">
        <v>11</v>
      </c>
      <c r="E5733" s="17"/>
      <c r="F5733" s="18"/>
      <c r="G5733" s="36" t="str">
        <f>IF(ISNUMBER(F5733),C5733*F5733,"")</f>
        <v/>
      </c>
    </row>
    <row r="5734" spans="1:7" ht="12" customHeight="1" outlineLevel="2" x14ac:dyDescent="0.2">
      <c r="A5734" s="14" t="s">
        <v>11292</v>
      </c>
      <c r="B5734" s="15" t="s">
        <v>11293</v>
      </c>
      <c r="C5734" s="16">
        <f>158.28/(1+B2)</f>
        <v>158.28</v>
      </c>
      <c r="D5734" s="17" t="s">
        <v>11</v>
      </c>
      <c r="E5734" s="17"/>
      <c r="F5734" s="18"/>
      <c r="G5734" s="36" t="str">
        <f>IF(ISNUMBER(F5734),C5734*F5734,"")</f>
        <v/>
      </c>
    </row>
    <row r="5735" spans="1:7" ht="12" customHeight="1" outlineLevel="2" x14ac:dyDescent="0.2">
      <c r="A5735" s="14" t="s">
        <v>11294</v>
      </c>
      <c r="B5735" s="15" t="s">
        <v>11295</v>
      </c>
      <c r="C5735" s="16">
        <f>224.11/(1+B2)</f>
        <v>224.11</v>
      </c>
      <c r="D5735" s="17" t="s">
        <v>11</v>
      </c>
      <c r="E5735" s="17"/>
      <c r="F5735" s="18"/>
      <c r="G5735" s="36" t="str">
        <f>IF(ISNUMBER(F5735),C5735*F5735,"")</f>
        <v/>
      </c>
    </row>
    <row r="5736" spans="1:7" ht="12" customHeight="1" outlineLevel="2" x14ac:dyDescent="0.2">
      <c r="A5736" s="14" t="s">
        <v>11296</v>
      </c>
      <c r="B5736" s="15" t="s">
        <v>11297</v>
      </c>
      <c r="C5736" s="16">
        <f>66.67/(1+B2)</f>
        <v>66.67</v>
      </c>
      <c r="D5736" s="17" t="s">
        <v>14</v>
      </c>
      <c r="E5736" s="17" t="s">
        <v>11</v>
      </c>
      <c r="F5736" s="18"/>
      <c r="G5736" s="36" t="str">
        <f>IF(ISNUMBER(F5736),C5736*F5736,"")</f>
        <v/>
      </c>
    </row>
    <row r="5737" spans="1:7" ht="12" customHeight="1" outlineLevel="2" x14ac:dyDescent="0.2">
      <c r="A5737" s="14" t="s">
        <v>11298</v>
      </c>
      <c r="B5737" s="15" t="s">
        <v>11299</v>
      </c>
      <c r="C5737" s="16">
        <f>99.7/(1+B2)</f>
        <v>99.7</v>
      </c>
      <c r="D5737" s="17" t="s">
        <v>11</v>
      </c>
      <c r="E5737" s="17" t="s">
        <v>11</v>
      </c>
      <c r="F5737" s="18"/>
      <c r="G5737" s="36" t="str">
        <f>IF(ISNUMBER(F5737),C5737*F5737,"")</f>
        <v/>
      </c>
    </row>
    <row r="5738" spans="1:7" ht="12" customHeight="1" outlineLevel="2" x14ac:dyDescent="0.2">
      <c r="A5738" s="14" t="s">
        <v>11300</v>
      </c>
      <c r="B5738" s="15" t="s">
        <v>11301</v>
      </c>
      <c r="C5738" s="16">
        <f>57.65/(1+B2)</f>
        <v>57.65</v>
      </c>
      <c r="D5738" s="17" t="s">
        <v>11</v>
      </c>
      <c r="E5738" s="17" t="s">
        <v>106</v>
      </c>
      <c r="F5738" s="18"/>
      <c r="G5738" s="36" t="str">
        <f>IF(ISNUMBER(F5738),C5738*F5738,"")</f>
        <v/>
      </c>
    </row>
    <row r="5739" spans="1:7" ht="12" customHeight="1" outlineLevel="2" x14ac:dyDescent="0.2">
      <c r="A5739" s="14" t="s">
        <v>11302</v>
      </c>
      <c r="B5739" s="15" t="s">
        <v>11303</v>
      </c>
      <c r="C5739" s="16">
        <f>119.9/(1+B2)</f>
        <v>119.9</v>
      </c>
      <c r="D5739" s="17" t="s">
        <v>11</v>
      </c>
      <c r="E5739" s="17" t="s">
        <v>11</v>
      </c>
      <c r="F5739" s="18"/>
      <c r="G5739" s="36" t="str">
        <f>IF(ISNUMBER(F5739),C5739*F5739,"")</f>
        <v/>
      </c>
    </row>
    <row r="5740" spans="1:7" ht="12" customHeight="1" outlineLevel="2" x14ac:dyDescent="0.2">
      <c r="A5740" s="14" t="s">
        <v>11304</v>
      </c>
      <c r="B5740" s="15" t="s">
        <v>11305</v>
      </c>
      <c r="C5740" s="16">
        <f>25.71/(1+B2)</f>
        <v>25.71</v>
      </c>
      <c r="D5740" s="17" t="s">
        <v>11</v>
      </c>
      <c r="E5740" s="17" t="s">
        <v>53</v>
      </c>
      <c r="F5740" s="18"/>
      <c r="G5740" s="36" t="str">
        <f>IF(ISNUMBER(F5740),C5740*F5740,"")</f>
        <v/>
      </c>
    </row>
    <row r="5741" spans="1:7" ht="12" customHeight="1" outlineLevel="2" x14ac:dyDescent="0.2">
      <c r="A5741" s="14" t="s">
        <v>11306</v>
      </c>
      <c r="B5741" s="15" t="s">
        <v>11307</v>
      </c>
      <c r="C5741" s="16">
        <f>30.1/(1+B2)</f>
        <v>30.1</v>
      </c>
      <c r="D5741" s="17" t="s">
        <v>11</v>
      </c>
      <c r="E5741" s="17" t="s">
        <v>53</v>
      </c>
      <c r="F5741" s="18"/>
      <c r="G5741" s="36" t="str">
        <f>IF(ISNUMBER(F5741),C5741*F5741,"")</f>
        <v/>
      </c>
    </row>
    <row r="5742" spans="1:7" ht="12" customHeight="1" outlineLevel="2" x14ac:dyDescent="0.2">
      <c r="A5742" s="14" t="s">
        <v>11308</v>
      </c>
      <c r="B5742" s="15" t="s">
        <v>11309</v>
      </c>
      <c r="C5742" s="16">
        <f>74.99/(1+B2)</f>
        <v>74.989999999999995</v>
      </c>
      <c r="D5742" s="17" t="s">
        <v>11</v>
      </c>
      <c r="E5742" s="17" t="s">
        <v>14</v>
      </c>
      <c r="F5742" s="18"/>
      <c r="G5742" s="36" t="str">
        <f>IF(ISNUMBER(F5742),C5742*F5742,"")</f>
        <v/>
      </c>
    </row>
    <row r="5743" spans="1:7" ht="12" customHeight="1" outlineLevel="2" x14ac:dyDescent="0.2">
      <c r="A5743" s="14" t="s">
        <v>11310</v>
      </c>
      <c r="B5743" s="15" t="s">
        <v>11311</v>
      </c>
      <c r="C5743" s="16">
        <f>23.46/(1+B2)</f>
        <v>23.46</v>
      </c>
      <c r="D5743" s="17" t="s">
        <v>11</v>
      </c>
      <c r="E5743" s="17" t="s">
        <v>106</v>
      </c>
      <c r="F5743" s="18"/>
      <c r="G5743" s="36" t="str">
        <f>IF(ISNUMBER(F5743),C5743*F5743,"")</f>
        <v/>
      </c>
    </row>
    <row r="5744" spans="1:7" ht="12" customHeight="1" outlineLevel="2" x14ac:dyDescent="0.2">
      <c r="A5744" s="14" t="s">
        <v>11312</v>
      </c>
      <c r="B5744" s="15" t="s">
        <v>11313</v>
      </c>
      <c r="C5744" s="16">
        <f>35.11/(1+B2)</f>
        <v>35.11</v>
      </c>
      <c r="D5744" s="17" t="s">
        <v>11</v>
      </c>
      <c r="E5744" s="17" t="s">
        <v>53</v>
      </c>
      <c r="F5744" s="18"/>
      <c r="G5744" s="36" t="str">
        <f>IF(ISNUMBER(F5744),C5744*F5744,"")</f>
        <v/>
      </c>
    </row>
    <row r="5745" spans="1:7" ht="12" customHeight="1" outlineLevel="2" x14ac:dyDescent="0.2">
      <c r="A5745" s="14" t="s">
        <v>11314</v>
      </c>
      <c r="B5745" s="15" t="s">
        <v>11315</v>
      </c>
      <c r="C5745" s="16">
        <f>43.14/(1+B2)</f>
        <v>43.14</v>
      </c>
      <c r="D5745" s="17" t="s">
        <v>11</v>
      </c>
      <c r="E5745" s="17" t="s">
        <v>106</v>
      </c>
      <c r="F5745" s="18"/>
      <c r="G5745" s="36" t="str">
        <f>IF(ISNUMBER(F5745),C5745*F5745,"")</f>
        <v/>
      </c>
    </row>
    <row r="5746" spans="1:7" ht="12" customHeight="1" outlineLevel="2" x14ac:dyDescent="0.2">
      <c r="A5746" s="14" t="s">
        <v>11316</v>
      </c>
      <c r="B5746" s="15" t="s">
        <v>11317</v>
      </c>
      <c r="C5746" s="16">
        <f>45.14/(1+B2)</f>
        <v>45.14</v>
      </c>
      <c r="D5746" s="17" t="s">
        <v>11</v>
      </c>
      <c r="E5746" s="17" t="s">
        <v>53</v>
      </c>
      <c r="F5746" s="18"/>
      <c r="G5746" s="36" t="str">
        <f>IF(ISNUMBER(F5746),C5746*F5746,"")</f>
        <v/>
      </c>
    </row>
    <row r="5747" spans="1:7" ht="12" customHeight="1" outlineLevel="2" x14ac:dyDescent="0.2">
      <c r="A5747" s="14" t="s">
        <v>11318</v>
      </c>
      <c r="B5747" s="15" t="s">
        <v>11319</v>
      </c>
      <c r="C5747" s="16">
        <f>105.34/(1+B2)</f>
        <v>105.34</v>
      </c>
      <c r="D5747" s="17" t="s">
        <v>11</v>
      </c>
      <c r="E5747" s="17" t="s">
        <v>11</v>
      </c>
      <c r="F5747" s="18"/>
      <c r="G5747" s="36" t="str">
        <f>IF(ISNUMBER(F5747),C5747*F5747,"")</f>
        <v/>
      </c>
    </row>
    <row r="5748" spans="1:7" ht="12" customHeight="1" outlineLevel="2" x14ac:dyDescent="0.2">
      <c r="A5748" s="14" t="s">
        <v>11320</v>
      </c>
      <c r="B5748" s="15" t="s">
        <v>11321</v>
      </c>
      <c r="C5748" s="16">
        <f>39.51/(1+B2)</f>
        <v>39.51</v>
      </c>
      <c r="D5748" s="17" t="s">
        <v>11</v>
      </c>
      <c r="E5748" s="17" t="s">
        <v>14</v>
      </c>
      <c r="F5748" s="18"/>
      <c r="G5748" s="36" t="str">
        <f>IF(ISNUMBER(F5748),C5748*F5748,"")</f>
        <v/>
      </c>
    </row>
    <row r="5749" spans="1:7" ht="12" customHeight="1" outlineLevel="2" x14ac:dyDescent="0.2">
      <c r="A5749" s="14" t="s">
        <v>11322</v>
      </c>
      <c r="B5749" s="15" t="s">
        <v>11323</v>
      </c>
      <c r="C5749" s="16">
        <f>66.46/(1+B2)</f>
        <v>66.459999999999994</v>
      </c>
      <c r="D5749" s="17" t="s">
        <v>11</v>
      </c>
      <c r="E5749" s="17" t="s">
        <v>14</v>
      </c>
      <c r="F5749" s="18"/>
      <c r="G5749" s="36" t="str">
        <f>IF(ISNUMBER(F5749),C5749*F5749,"")</f>
        <v/>
      </c>
    </row>
    <row r="5750" spans="1:7" ht="12" customHeight="1" outlineLevel="2" x14ac:dyDescent="0.2">
      <c r="A5750" s="14" t="s">
        <v>11324</v>
      </c>
      <c r="B5750" s="15" t="s">
        <v>11325</v>
      </c>
      <c r="C5750" s="16">
        <f>74.99/(1+B2)</f>
        <v>74.989999999999995</v>
      </c>
      <c r="D5750" s="17" t="s">
        <v>11</v>
      </c>
      <c r="E5750" s="17" t="s">
        <v>11</v>
      </c>
      <c r="F5750" s="18"/>
      <c r="G5750" s="36" t="str">
        <f>IF(ISNUMBER(F5750),C5750*F5750,"")</f>
        <v/>
      </c>
    </row>
    <row r="5751" spans="1:7" ht="12" customHeight="1" outlineLevel="2" x14ac:dyDescent="0.2">
      <c r="A5751" s="14" t="s">
        <v>11326</v>
      </c>
      <c r="B5751" s="15" t="s">
        <v>11327</v>
      </c>
      <c r="C5751" s="16">
        <f>78.75/(1+B2)</f>
        <v>78.75</v>
      </c>
      <c r="D5751" s="17" t="s">
        <v>11</v>
      </c>
      <c r="E5751" s="17" t="s">
        <v>11</v>
      </c>
      <c r="F5751" s="18"/>
      <c r="G5751" s="36" t="str">
        <f>IF(ISNUMBER(F5751),C5751*F5751,"")</f>
        <v/>
      </c>
    </row>
    <row r="5752" spans="1:7" ht="12" customHeight="1" outlineLevel="2" x14ac:dyDescent="0.2">
      <c r="A5752" s="14" t="s">
        <v>11328</v>
      </c>
      <c r="B5752" s="15" t="s">
        <v>11329</v>
      </c>
      <c r="C5752" s="16">
        <f>176.31/(1+B2)</f>
        <v>176.31</v>
      </c>
      <c r="D5752" s="17" t="s">
        <v>11</v>
      </c>
      <c r="E5752" s="17" t="s">
        <v>14</v>
      </c>
      <c r="F5752" s="18"/>
      <c r="G5752" s="36" t="str">
        <f>IF(ISNUMBER(F5752),C5752*F5752,"")</f>
        <v/>
      </c>
    </row>
    <row r="5753" spans="1:7" ht="12" customHeight="1" outlineLevel="2" x14ac:dyDescent="0.2">
      <c r="A5753" s="14" t="s">
        <v>11330</v>
      </c>
      <c r="B5753" s="15" t="s">
        <v>11331</v>
      </c>
      <c r="C5753" s="16">
        <f>58.3/(1+B2)</f>
        <v>58.3</v>
      </c>
      <c r="D5753" s="17" t="s">
        <v>11</v>
      </c>
      <c r="E5753" s="17" t="s">
        <v>11</v>
      </c>
      <c r="F5753" s="18"/>
      <c r="G5753" s="36" t="str">
        <f>IF(ISNUMBER(F5753),C5753*F5753,"")</f>
        <v/>
      </c>
    </row>
    <row r="5754" spans="1:7" ht="12" customHeight="1" outlineLevel="2" x14ac:dyDescent="0.2">
      <c r="A5754" s="14" t="s">
        <v>11332</v>
      </c>
      <c r="B5754" s="15" t="s">
        <v>11333</v>
      </c>
      <c r="C5754" s="16">
        <f>89.42/(1+B2)</f>
        <v>89.42</v>
      </c>
      <c r="D5754" s="17" t="s">
        <v>11</v>
      </c>
      <c r="E5754" s="17"/>
      <c r="F5754" s="18"/>
      <c r="G5754" s="36" t="str">
        <f>IF(ISNUMBER(F5754),C5754*F5754,"")</f>
        <v/>
      </c>
    </row>
    <row r="5755" spans="1:7" ht="12" customHeight="1" outlineLevel="2" x14ac:dyDescent="0.2">
      <c r="A5755" s="14" t="s">
        <v>11334</v>
      </c>
      <c r="B5755" s="15" t="s">
        <v>11335</v>
      </c>
      <c r="C5755" s="16">
        <f>109.1/(1+B2)</f>
        <v>109.1</v>
      </c>
      <c r="D5755" s="17" t="s">
        <v>11</v>
      </c>
      <c r="E5755" s="17" t="s">
        <v>11</v>
      </c>
      <c r="F5755" s="18"/>
      <c r="G5755" s="36" t="str">
        <f>IF(ISNUMBER(F5755),C5755*F5755,"")</f>
        <v/>
      </c>
    </row>
    <row r="5756" spans="1:7" ht="12" customHeight="1" outlineLevel="2" x14ac:dyDescent="0.2">
      <c r="A5756" s="14" t="s">
        <v>11336</v>
      </c>
      <c r="B5756" s="15" t="s">
        <v>11337</v>
      </c>
      <c r="C5756" s="16">
        <f>114.75/(1+B2)</f>
        <v>114.75</v>
      </c>
      <c r="D5756" s="17" t="s">
        <v>11</v>
      </c>
      <c r="E5756" s="17" t="s">
        <v>11</v>
      </c>
      <c r="F5756" s="18"/>
      <c r="G5756" s="36" t="str">
        <f>IF(ISNUMBER(F5756),C5756*F5756,"")</f>
        <v/>
      </c>
    </row>
    <row r="5757" spans="1:7" ht="12" customHeight="1" outlineLevel="2" x14ac:dyDescent="0.2">
      <c r="A5757" s="14" t="s">
        <v>11338</v>
      </c>
      <c r="B5757" s="15" t="s">
        <v>11339</v>
      </c>
      <c r="C5757" s="16">
        <f>262.72/(1+B2)</f>
        <v>262.72000000000003</v>
      </c>
      <c r="D5757" s="17" t="s">
        <v>11</v>
      </c>
      <c r="E5757" s="17" t="s">
        <v>14</v>
      </c>
      <c r="F5757" s="18"/>
      <c r="G5757" s="36" t="str">
        <f>IF(ISNUMBER(F5757),C5757*F5757,"")</f>
        <v/>
      </c>
    </row>
    <row r="5758" spans="1:7" ht="12" customHeight="1" outlineLevel="2" x14ac:dyDescent="0.2">
      <c r="A5758" s="14" t="s">
        <v>11340</v>
      </c>
      <c r="B5758" s="15" t="s">
        <v>11341</v>
      </c>
      <c r="C5758" s="16">
        <f>82.76/(1+B2)</f>
        <v>82.76</v>
      </c>
      <c r="D5758" s="17" t="s">
        <v>11</v>
      </c>
      <c r="E5758" s="17" t="s">
        <v>11</v>
      </c>
      <c r="F5758" s="18"/>
      <c r="G5758" s="36" t="str">
        <f>IF(ISNUMBER(F5758),C5758*F5758,"")</f>
        <v/>
      </c>
    </row>
    <row r="5759" spans="1:7" ht="12" customHeight="1" outlineLevel="2" x14ac:dyDescent="0.2">
      <c r="A5759" s="14" t="s">
        <v>11342</v>
      </c>
      <c r="B5759" s="15" t="s">
        <v>11343</v>
      </c>
      <c r="C5759" s="16">
        <f>157.5/(1+B2)</f>
        <v>157.5</v>
      </c>
      <c r="D5759" s="17" t="s">
        <v>11</v>
      </c>
      <c r="E5759" s="17" t="s">
        <v>11</v>
      </c>
      <c r="F5759" s="18"/>
      <c r="G5759" s="36" t="str">
        <f>IF(ISNUMBER(F5759),C5759*F5759,"")</f>
        <v/>
      </c>
    </row>
    <row r="5760" spans="1:7" ht="12" customHeight="1" outlineLevel="2" x14ac:dyDescent="0.2">
      <c r="A5760" s="14" t="s">
        <v>11344</v>
      </c>
      <c r="B5760" s="15" t="s">
        <v>11345</v>
      </c>
      <c r="C5760" s="16">
        <f>350.12/(1+B2)</f>
        <v>350.12</v>
      </c>
      <c r="D5760" s="17" t="s">
        <v>11</v>
      </c>
      <c r="E5760" s="17" t="s">
        <v>11</v>
      </c>
      <c r="F5760" s="18"/>
      <c r="G5760" s="36" t="str">
        <f>IF(ISNUMBER(F5760),C5760*F5760,"")</f>
        <v/>
      </c>
    </row>
    <row r="5761" spans="1:7" ht="12" customHeight="1" outlineLevel="2" x14ac:dyDescent="0.2">
      <c r="A5761" s="14" t="s">
        <v>11346</v>
      </c>
      <c r="B5761" s="15" t="s">
        <v>11347</v>
      </c>
      <c r="C5761" s="16">
        <f>112.86/(1+B2)</f>
        <v>112.86</v>
      </c>
      <c r="D5761" s="17" t="s">
        <v>11</v>
      </c>
      <c r="E5761" s="17" t="s">
        <v>11</v>
      </c>
      <c r="F5761" s="18"/>
      <c r="G5761" s="36" t="str">
        <f>IF(ISNUMBER(F5761),C5761*F5761,"")</f>
        <v/>
      </c>
    </row>
    <row r="5762" spans="1:7" ht="12" customHeight="1" outlineLevel="2" x14ac:dyDescent="0.2">
      <c r="A5762" s="14" t="s">
        <v>11348</v>
      </c>
      <c r="B5762" s="15" t="s">
        <v>11349</v>
      </c>
      <c r="C5762" s="16">
        <f>206.29/(1+B2)</f>
        <v>206.29</v>
      </c>
      <c r="D5762" s="17" t="s">
        <v>11</v>
      </c>
      <c r="E5762" s="17" t="s">
        <v>11</v>
      </c>
      <c r="F5762" s="18"/>
      <c r="G5762" s="36" t="str">
        <f>IF(ISNUMBER(F5762),C5762*F5762,"")</f>
        <v/>
      </c>
    </row>
    <row r="5763" spans="1:7" ht="12" customHeight="1" outlineLevel="2" x14ac:dyDescent="0.2">
      <c r="A5763" s="14" t="s">
        <v>11350</v>
      </c>
      <c r="B5763" s="15" t="s">
        <v>11351</v>
      </c>
      <c r="C5763" s="16">
        <f>225.09/(1+B2)</f>
        <v>225.09</v>
      </c>
      <c r="D5763" s="17" t="s">
        <v>11</v>
      </c>
      <c r="E5763" s="17" t="s">
        <v>11</v>
      </c>
      <c r="F5763" s="18"/>
      <c r="G5763" s="36" t="str">
        <f>IF(ISNUMBER(F5763),C5763*F5763,"")</f>
        <v/>
      </c>
    </row>
    <row r="5764" spans="1:7" ht="12" customHeight="1" outlineLevel="2" x14ac:dyDescent="0.2">
      <c r="A5764" s="14" t="s">
        <v>11352</v>
      </c>
      <c r="B5764" s="15" t="s">
        <v>11353</v>
      </c>
      <c r="C5764" s="16">
        <f>260.09/(1+B2)</f>
        <v>260.08999999999997</v>
      </c>
      <c r="D5764" s="17" t="s">
        <v>11</v>
      </c>
      <c r="E5764" s="17"/>
      <c r="F5764" s="18"/>
      <c r="G5764" s="36" t="str">
        <f>IF(ISNUMBER(F5764),C5764*F5764,"")</f>
        <v/>
      </c>
    </row>
    <row r="5765" spans="1:7" ht="12" customHeight="1" outlineLevel="2" x14ac:dyDescent="0.2">
      <c r="A5765" s="14" t="s">
        <v>11354</v>
      </c>
      <c r="B5765" s="15" t="s">
        <v>11355</v>
      </c>
      <c r="C5765" s="16">
        <f>44.52/(1+B2)</f>
        <v>44.52</v>
      </c>
      <c r="D5765" s="17" t="s">
        <v>11</v>
      </c>
      <c r="E5765" s="17" t="s">
        <v>11</v>
      </c>
      <c r="F5765" s="18"/>
      <c r="G5765" s="36" t="str">
        <f>IF(ISNUMBER(F5765),C5765*F5765,"")</f>
        <v/>
      </c>
    </row>
    <row r="5766" spans="1:7" ht="12" customHeight="1" outlineLevel="2" x14ac:dyDescent="0.2">
      <c r="A5766" s="14" t="s">
        <v>11356</v>
      </c>
      <c r="B5766" s="15" t="s">
        <v>11357</v>
      </c>
      <c r="C5766" s="16">
        <f>62.08/(1+B2)</f>
        <v>62.08</v>
      </c>
      <c r="D5766" s="17" t="s">
        <v>11</v>
      </c>
      <c r="E5766" s="17" t="s">
        <v>106</v>
      </c>
      <c r="F5766" s="18"/>
      <c r="G5766" s="36" t="str">
        <f>IF(ISNUMBER(F5766),C5766*F5766,"")</f>
        <v/>
      </c>
    </row>
    <row r="5767" spans="1:7" ht="12" customHeight="1" outlineLevel="2" x14ac:dyDescent="0.2">
      <c r="A5767" s="14" t="s">
        <v>11358</v>
      </c>
      <c r="B5767" s="15" t="s">
        <v>11359</v>
      </c>
      <c r="C5767" s="16">
        <f>87.28/(1+B2)</f>
        <v>87.28</v>
      </c>
      <c r="D5767" s="17" t="s">
        <v>11</v>
      </c>
      <c r="E5767" s="17" t="s">
        <v>53</v>
      </c>
      <c r="F5767" s="18"/>
      <c r="G5767" s="36" t="str">
        <f>IF(ISNUMBER(F5767),C5767*F5767,"")</f>
        <v/>
      </c>
    </row>
    <row r="5768" spans="1:7" ht="12" customHeight="1" outlineLevel="2" x14ac:dyDescent="0.2">
      <c r="A5768" s="14" t="s">
        <v>11360</v>
      </c>
      <c r="B5768" s="15" t="s">
        <v>11361</v>
      </c>
      <c r="C5768" s="16">
        <f>116.37/(1+B2)</f>
        <v>116.37</v>
      </c>
      <c r="D5768" s="17" t="s">
        <v>11</v>
      </c>
      <c r="E5768" s="17" t="s">
        <v>53</v>
      </c>
      <c r="F5768" s="18"/>
      <c r="G5768" s="36" t="str">
        <f>IF(ISNUMBER(F5768),C5768*F5768,"")</f>
        <v/>
      </c>
    </row>
    <row r="5769" spans="1:7" ht="12" customHeight="1" outlineLevel="2" x14ac:dyDescent="0.2">
      <c r="A5769" s="14" t="s">
        <v>11362</v>
      </c>
      <c r="B5769" s="15" t="s">
        <v>11363</v>
      </c>
      <c r="C5769" s="16">
        <f>68.52/(1+B2)</f>
        <v>68.52</v>
      </c>
      <c r="D5769" s="17" t="s">
        <v>14</v>
      </c>
      <c r="E5769" s="17"/>
      <c r="F5769" s="18"/>
      <c r="G5769" s="36" t="str">
        <f>IF(ISNUMBER(F5769),C5769*F5769,"")</f>
        <v/>
      </c>
    </row>
    <row r="5770" spans="1:7" ht="12" customHeight="1" outlineLevel="2" x14ac:dyDescent="0.2">
      <c r="A5770" s="14" t="s">
        <v>11364</v>
      </c>
      <c r="B5770" s="15" t="s">
        <v>11365</v>
      </c>
      <c r="C5770" s="16">
        <f>36.54/(1+B2)</f>
        <v>36.54</v>
      </c>
      <c r="D5770" s="17" t="s">
        <v>11</v>
      </c>
      <c r="E5770" s="17" t="s">
        <v>11</v>
      </c>
      <c r="F5770" s="18"/>
      <c r="G5770" s="36" t="str">
        <f>IF(ISNUMBER(F5770),C5770*F5770,"")</f>
        <v/>
      </c>
    </row>
    <row r="5771" spans="1:7" ht="12" customHeight="1" outlineLevel="2" x14ac:dyDescent="0.2">
      <c r="A5771" s="14" t="s">
        <v>11366</v>
      </c>
      <c r="B5771" s="15" t="s">
        <v>11367</v>
      </c>
      <c r="C5771" s="16">
        <f>17.12/(1+B2)</f>
        <v>17.12</v>
      </c>
      <c r="D5771" s="17" t="s">
        <v>53</v>
      </c>
      <c r="E5771" s="17"/>
      <c r="F5771" s="18"/>
      <c r="G5771" s="36" t="str">
        <f>IF(ISNUMBER(F5771),C5771*F5771,"")</f>
        <v/>
      </c>
    </row>
    <row r="5772" spans="1:7" ht="12" customHeight="1" outlineLevel="2" x14ac:dyDescent="0.2">
      <c r="A5772" s="14" t="s">
        <v>11368</v>
      </c>
      <c r="B5772" s="15" t="s">
        <v>11369</v>
      </c>
      <c r="C5772" s="16">
        <f>62.81/(1+B2)</f>
        <v>62.81</v>
      </c>
      <c r="D5772" s="17" t="s">
        <v>11</v>
      </c>
      <c r="E5772" s="17" t="s">
        <v>11</v>
      </c>
      <c r="F5772" s="18"/>
      <c r="G5772" s="36" t="str">
        <f>IF(ISNUMBER(F5772),C5772*F5772,"")</f>
        <v/>
      </c>
    </row>
    <row r="5773" spans="1:7" s="1" customFormat="1" ht="15.95" customHeight="1" outlineLevel="1" x14ac:dyDescent="0.25">
      <c r="A5773" s="11"/>
      <c r="B5773" s="12" t="s">
        <v>11370</v>
      </c>
      <c r="C5773" s="13"/>
      <c r="D5773" s="13"/>
      <c r="E5773" s="13"/>
      <c r="F5773" s="13"/>
      <c r="G5773" s="35"/>
    </row>
    <row r="5774" spans="1:7" ht="12" customHeight="1" outlineLevel="2" x14ac:dyDescent="0.2">
      <c r="A5774" s="14" t="s">
        <v>11371</v>
      </c>
      <c r="B5774" s="15" t="s">
        <v>11372</v>
      </c>
      <c r="C5774" s="16">
        <f>34.2/(1+B2)</f>
        <v>34.200000000000003</v>
      </c>
      <c r="D5774" s="17" t="s">
        <v>106</v>
      </c>
      <c r="E5774" s="17"/>
      <c r="F5774" s="18"/>
      <c r="G5774" s="36" t="str">
        <f>IF(ISNUMBER(F5774),C5774*F5774,"")</f>
        <v/>
      </c>
    </row>
    <row r="5775" spans="1:7" ht="12" customHeight="1" outlineLevel="2" x14ac:dyDescent="0.2">
      <c r="A5775" s="14" t="s">
        <v>11373</v>
      </c>
      <c r="B5775" s="15" t="s">
        <v>11374</v>
      </c>
      <c r="C5775" s="16">
        <f>30/(1+B2)</f>
        <v>30</v>
      </c>
      <c r="D5775" s="17" t="s">
        <v>106</v>
      </c>
      <c r="E5775" s="17"/>
      <c r="F5775" s="18"/>
      <c r="G5775" s="36" t="str">
        <f>IF(ISNUMBER(F5775),C5775*F5775,"")</f>
        <v/>
      </c>
    </row>
    <row r="5776" spans="1:7" ht="12" customHeight="1" outlineLevel="2" x14ac:dyDescent="0.2">
      <c r="A5776" s="14" t="s">
        <v>11375</v>
      </c>
      <c r="B5776" s="15" t="s">
        <v>11376</v>
      </c>
      <c r="C5776" s="16">
        <f>44.99/(1+B2)</f>
        <v>44.99</v>
      </c>
      <c r="D5776" s="17" t="s">
        <v>14</v>
      </c>
      <c r="E5776" s="17"/>
      <c r="F5776" s="18"/>
      <c r="G5776" s="36" t="str">
        <f>IF(ISNUMBER(F5776),C5776*F5776,"")</f>
        <v/>
      </c>
    </row>
    <row r="5777" spans="1:7" ht="12" customHeight="1" outlineLevel="2" x14ac:dyDescent="0.2">
      <c r="A5777" s="14" t="s">
        <v>11377</v>
      </c>
      <c r="B5777" s="15" t="s">
        <v>11378</v>
      </c>
      <c r="C5777" s="16">
        <f>59.96/(1+B2)</f>
        <v>59.96</v>
      </c>
      <c r="D5777" s="17" t="s">
        <v>53</v>
      </c>
      <c r="E5777" s="17"/>
      <c r="F5777" s="18"/>
      <c r="G5777" s="36" t="str">
        <f>IF(ISNUMBER(F5777),C5777*F5777,"")</f>
        <v/>
      </c>
    </row>
    <row r="5778" spans="1:7" ht="12" customHeight="1" outlineLevel="2" x14ac:dyDescent="0.2">
      <c r="A5778" s="14" t="s">
        <v>11379</v>
      </c>
      <c r="B5778" s="15" t="s">
        <v>11380</v>
      </c>
      <c r="C5778" s="16">
        <f>37.78/(1+B2)</f>
        <v>37.78</v>
      </c>
      <c r="D5778" s="17" t="s">
        <v>53</v>
      </c>
      <c r="E5778" s="17"/>
      <c r="F5778" s="18"/>
      <c r="G5778" s="36" t="str">
        <f>IF(ISNUMBER(F5778),C5778*F5778,"")</f>
        <v/>
      </c>
    </row>
    <row r="5779" spans="1:7" ht="12" customHeight="1" outlineLevel="2" x14ac:dyDescent="0.2">
      <c r="A5779" s="14" t="s">
        <v>11381</v>
      </c>
      <c r="B5779" s="15" t="s">
        <v>11382</v>
      </c>
      <c r="C5779" s="16">
        <f>53.98/(1+B2)</f>
        <v>53.98</v>
      </c>
      <c r="D5779" s="17" t="s">
        <v>53</v>
      </c>
      <c r="E5779" s="17"/>
      <c r="F5779" s="18"/>
      <c r="G5779" s="36" t="str">
        <f>IF(ISNUMBER(F5779),C5779*F5779,"")</f>
        <v/>
      </c>
    </row>
    <row r="5780" spans="1:7" ht="12" customHeight="1" outlineLevel="2" x14ac:dyDescent="0.2">
      <c r="A5780" s="14" t="s">
        <v>11383</v>
      </c>
      <c r="B5780" s="15" t="s">
        <v>11384</v>
      </c>
      <c r="C5780" s="16">
        <f>45.59/(1+B2)</f>
        <v>45.59</v>
      </c>
      <c r="D5780" s="17" t="s">
        <v>106</v>
      </c>
      <c r="E5780" s="17"/>
      <c r="F5780" s="18"/>
      <c r="G5780" s="36" t="str">
        <f>IF(ISNUMBER(F5780),C5780*F5780,"")</f>
        <v/>
      </c>
    </row>
    <row r="5781" spans="1:7" ht="12" customHeight="1" outlineLevel="2" x14ac:dyDescent="0.2">
      <c r="A5781" s="14" t="s">
        <v>11385</v>
      </c>
      <c r="B5781" s="15" t="s">
        <v>11386</v>
      </c>
      <c r="C5781" s="16">
        <f>68.35/(1+B2)</f>
        <v>68.349999999999994</v>
      </c>
      <c r="D5781" s="17" t="s">
        <v>106</v>
      </c>
      <c r="E5781" s="17"/>
      <c r="F5781" s="18"/>
      <c r="G5781" s="36" t="str">
        <f>IF(ISNUMBER(F5781),C5781*F5781,"")</f>
        <v/>
      </c>
    </row>
    <row r="5782" spans="1:7" ht="12" customHeight="1" outlineLevel="2" x14ac:dyDescent="0.2">
      <c r="A5782" s="14" t="s">
        <v>11387</v>
      </c>
      <c r="B5782" s="15" t="s">
        <v>11388</v>
      </c>
      <c r="C5782" s="16">
        <f>91.15/(1+B2)</f>
        <v>91.15</v>
      </c>
      <c r="D5782" s="17" t="s">
        <v>106</v>
      </c>
      <c r="E5782" s="17"/>
      <c r="F5782" s="18"/>
      <c r="G5782" s="36" t="str">
        <f>IF(ISNUMBER(F5782),C5782*F5782,"")</f>
        <v/>
      </c>
    </row>
    <row r="5783" spans="1:7" ht="12" customHeight="1" outlineLevel="2" x14ac:dyDescent="0.2">
      <c r="A5783" s="14" t="s">
        <v>11389</v>
      </c>
      <c r="B5783" s="15" t="s">
        <v>11390</v>
      </c>
      <c r="C5783" s="16">
        <f>31.46/(1+B2)</f>
        <v>31.46</v>
      </c>
      <c r="D5783" s="17" t="s">
        <v>106</v>
      </c>
      <c r="E5783" s="17"/>
      <c r="F5783" s="18"/>
      <c r="G5783" s="36" t="str">
        <f>IF(ISNUMBER(F5783),C5783*F5783,"")</f>
        <v/>
      </c>
    </row>
    <row r="5784" spans="1:7" ht="12" customHeight="1" outlineLevel="2" x14ac:dyDescent="0.2">
      <c r="A5784" s="14" t="s">
        <v>11391</v>
      </c>
      <c r="B5784" s="15" t="s">
        <v>11392</v>
      </c>
      <c r="C5784" s="16">
        <f>59.96/(1+B2)</f>
        <v>59.96</v>
      </c>
      <c r="D5784" s="17" t="s">
        <v>106</v>
      </c>
      <c r="E5784" s="17"/>
      <c r="F5784" s="18"/>
      <c r="G5784" s="36" t="str">
        <f>IF(ISNUMBER(F5784),C5784*F5784,"")</f>
        <v/>
      </c>
    </row>
    <row r="5785" spans="1:7" ht="12" customHeight="1" outlineLevel="2" x14ac:dyDescent="0.2">
      <c r="A5785" s="14" t="s">
        <v>11393</v>
      </c>
      <c r="B5785" s="15" t="s">
        <v>11394</v>
      </c>
      <c r="C5785" s="16">
        <f>89.95/(1+B2)</f>
        <v>89.95</v>
      </c>
      <c r="D5785" s="17" t="s">
        <v>106</v>
      </c>
      <c r="E5785" s="17"/>
      <c r="F5785" s="18"/>
      <c r="G5785" s="36" t="str">
        <f>IF(ISNUMBER(F5785),C5785*F5785,"")</f>
        <v/>
      </c>
    </row>
    <row r="5786" spans="1:7" ht="12" customHeight="1" outlineLevel="2" x14ac:dyDescent="0.2">
      <c r="A5786" s="14" t="s">
        <v>11395</v>
      </c>
      <c r="B5786" s="15" t="s">
        <v>11396</v>
      </c>
      <c r="C5786" s="16">
        <f>119.94/(1+B2)</f>
        <v>119.94</v>
      </c>
      <c r="D5786" s="17" t="s">
        <v>106</v>
      </c>
      <c r="E5786" s="17"/>
      <c r="F5786" s="18"/>
      <c r="G5786" s="36" t="str">
        <f>IF(ISNUMBER(F5786),C5786*F5786,"")</f>
        <v/>
      </c>
    </row>
    <row r="5787" spans="1:7" ht="12" customHeight="1" outlineLevel="2" x14ac:dyDescent="0.2">
      <c r="A5787" s="14" t="s">
        <v>11397</v>
      </c>
      <c r="B5787" s="15" t="s">
        <v>11398</v>
      </c>
      <c r="C5787" s="16">
        <f>149.92/(1+B2)</f>
        <v>149.91999999999999</v>
      </c>
      <c r="D5787" s="17" t="s">
        <v>106</v>
      </c>
      <c r="E5787" s="17"/>
      <c r="F5787" s="18"/>
      <c r="G5787" s="36" t="str">
        <f>IF(ISNUMBER(F5787),C5787*F5787,"")</f>
        <v/>
      </c>
    </row>
    <row r="5788" spans="1:7" ht="12" customHeight="1" outlineLevel="2" x14ac:dyDescent="0.2">
      <c r="A5788" s="14" t="s">
        <v>11399</v>
      </c>
      <c r="B5788" s="15" t="s">
        <v>11400</v>
      </c>
      <c r="C5788" s="16">
        <f>134.92/(1+B2)</f>
        <v>134.91999999999999</v>
      </c>
      <c r="D5788" s="17" t="s">
        <v>53</v>
      </c>
      <c r="E5788" s="17"/>
      <c r="F5788" s="18"/>
      <c r="G5788" s="36" t="str">
        <f>IF(ISNUMBER(F5788),C5788*F5788,"")</f>
        <v/>
      </c>
    </row>
    <row r="5789" spans="1:7" ht="12" customHeight="1" outlineLevel="2" x14ac:dyDescent="0.2">
      <c r="A5789" s="14" t="s">
        <v>11401</v>
      </c>
      <c r="B5789" s="15" t="s">
        <v>11402</v>
      </c>
      <c r="C5789" s="16">
        <f>179.9/(1+B2)</f>
        <v>179.9</v>
      </c>
      <c r="D5789" s="17" t="s">
        <v>53</v>
      </c>
      <c r="E5789" s="17"/>
      <c r="F5789" s="18"/>
      <c r="G5789" s="36" t="str">
        <f>IF(ISNUMBER(F5789),C5789*F5789,"")</f>
        <v/>
      </c>
    </row>
    <row r="5790" spans="1:7" ht="12" customHeight="1" outlineLevel="2" x14ac:dyDescent="0.2">
      <c r="A5790" s="14" t="s">
        <v>11403</v>
      </c>
      <c r="B5790" s="15" t="s">
        <v>11404</v>
      </c>
      <c r="C5790" s="16">
        <f>122.03/(1+B2)</f>
        <v>122.03</v>
      </c>
      <c r="D5790" s="17" t="s">
        <v>14</v>
      </c>
      <c r="E5790" s="17" t="s">
        <v>53</v>
      </c>
      <c r="F5790" s="18"/>
      <c r="G5790" s="36" t="str">
        <f>IF(ISNUMBER(F5790),C5790*F5790,"")</f>
        <v/>
      </c>
    </row>
    <row r="5791" spans="1:7" s="1" customFormat="1" ht="15.95" customHeight="1" outlineLevel="1" x14ac:dyDescent="0.25">
      <c r="A5791" s="11"/>
      <c r="B5791" s="12" t="s">
        <v>11405</v>
      </c>
      <c r="C5791" s="13"/>
      <c r="D5791" s="13"/>
      <c r="E5791" s="13"/>
      <c r="F5791" s="13"/>
      <c r="G5791" s="35"/>
    </row>
    <row r="5792" spans="1:7" ht="12" customHeight="1" outlineLevel="2" x14ac:dyDescent="0.2">
      <c r="A5792" s="14" t="s">
        <v>11406</v>
      </c>
      <c r="B5792" s="15" t="s">
        <v>11407</v>
      </c>
      <c r="C5792" s="19">
        <f>2238/(1+B2)</f>
        <v>2238</v>
      </c>
      <c r="D5792" s="17"/>
      <c r="E5792" s="17" t="s">
        <v>11</v>
      </c>
      <c r="F5792" s="18"/>
      <c r="G5792" s="36" t="str">
        <f>IF(ISNUMBER(F5792),C5792*F5792,"")</f>
        <v/>
      </c>
    </row>
    <row r="5793" spans="1:7" ht="12" customHeight="1" outlineLevel="2" x14ac:dyDescent="0.2">
      <c r="A5793" s="14" t="s">
        <v>11408</v>
      </c>
      <c r="B5793" s="15" t="s">
        <v>11409</v>
      </c>
      <c r="C5793" s="16">
        <f>44.76/(1+B2)</f>
        <v>44.76</v>
      </c>
      <c r="D5793" s="17" t="s">
        <v>53</v>
      </c>
      <c r="E5793" s="17"/>
      <c r="F5793" s="18"/>
      <c r="G5793" s="36" t="str">
        <f>IF(ISNUMBER(F5793),C5793*F5793,"")</f>
        <v/>
      </c>
    </row>
    <row r="5794" spans="1:7" ht="12" customHeight="1" outlineLevel="2" x14ac:dyDescent="0.2">
      <c r="A5794" s="14" t="s">
        <v>11410</v>
      </c>
      <c r="B5794" s="15" t="s">
        <v>11411</v>
      </c>
      <c r="C5794" s="19">
        <f>3348/(1+B2)</f>
        <v>3348</v>
      </c>
      <c r="D5794" s="17"/>
      <c r="E5794" s="17" t="s">
        <v>11</v>
      </c>
      <c r="F5794" s="18"/>
      <c r="G5794" s="36" t="str">
        <f>IF(ISNUMBER(F5794),C5794*F5794,"")</f>
        <v/>
      </c>
    </row>
    <row r="5795" spans="1:7" ht="12" customHeight="1" outlineLevel="2" x14ac:dyDescent="0.2">
      <c r="A5795" s="14" t="s">
        <v>11412</v>
      </c>
      <c r="B5795" s="15" t="s">
        <v>11413</v>
      </c>
      <c r="C5795" s="16">
        <f>66.96/(1+B2)</f>
        <v>66.959999999999994</v>
      </c>
      <c r="D5795" s="17" t="s">
        <v>106</v>
      </c>
      <c r="E5795" s="17"/>
      <c r="F5795" s="18"/>
      <c r="G5795" s="36" t="str">
        <f>IF(ISNUMBER(F5795),C5795*F5795,"")</f>
        <v/>
      </c>
    </row>
    <row r="5796" spans="1:7" ht="12" customHeight="1" outlineLevel="2" x14ac:dyDescent="0.2">
      <c r="A5796" s="14" t="s">
        <v>11414</v>
      </c>
      <c r="B5796" s="15" t="s">
        <v>11415</v>
      </c>
      <c r="C5796" s="19">
        <f>2844/(1+B2)</f>
        <v>2844</v>
      </c>
      <c r="D5796" s="17"/>
      <c r="E5796" s="17" t="s">
        <v>53</v>
      </c>
      <c r="F5796" s="18"/>
      <c r="G5796" s="36" t="str">
        <f>IF(ISNUMBER(F5796),C5796*F5796,"")</f>
        <v/>
      </c>
    </row>
    <row r="5797" spans="1:7" ht="12" customHeight="1" outlineLevel="2" x14ac:dyDescent="0.2">
      <c r="A5797" s="14" t="s">
        <v>11416</v>
      </c>
      <c r="B5797" s="15" t="s">
        <v>11417</v>
      </c>
      <c r="C5797" s="16">
        <f>56.88/(1+B2)</f>
        <v>56.88</v>
      </c>
      <c r="D5797" s="17" t="s">
        <v>53</v>
      </c>
      <c r="E5797" s="17"/>
      <c r="F5797" s="18"/>
      <c r="G5797" s="36" t="str">
        <f>IF(ISNUMBER(F5797),C5797*F5797,"")</f>
        <v/>
      </c>
    </row>
    <row r="5798" spans="1:7" ht="12" customHeight="1" outlineLevel="2" x14ac:dyDescent="0.2">
      <c r="A5798" s="14" t="s">
        <v>11418</v>
      </c>
      <c r="B5798" s="15" t="s">
        <v>11419</v>
      </c>
      <c r="C5798" s="19">
        <f>2130/(1+B2)</f>
        <v>2130</v>
      </c>
      <c r="D5798" s="17"/>
      <c r="E5798" s="17" t="s">
        <v>11</v>
      </c>
      <c r="F5798" s="18"/>
      <c r="G5798" s="36" t="str">
        <f>IF(ISNUMBER(F5798),C5798*F5798,"")</f>
        <v/>
      </c>
    </row>
    <row r="5799" spans="1:7" ht="12" customHeight="1" outlineLevel="2" x14ac:dyDescent="0.2">
      <c r="A5799" s="14" t="s">
        <v>11420</v>
      </c>
      <c r="B5799" s="15" t="s">
        <v>11421</v>
      </c>
      <c r="C5799" s="19">
        <f>4260/(1+B2)</f>
        <v>4260</v>
      </c>
      <c r="D5799" s="17"/>
      <c r="E5799" s="17" t="s">
        <v>11</v>
      </c>
      <c r="F5799" s="18"/>
      <c r="G5799" s="36" t="str">
        <f>IF(ISNUMBER(F5799),C5799*F5799,"")</f>
        <v/>
      </c>
    </row>
    <row r="5800" spans="1:7" ht="12" customHeight="1" outlineLevel="2" x14ac:dyDescent="0.2">
      <c r="A5800" s="14" t="s">
        <v>11422</v>
      </c>
      <c r="B5800" s="15" t="s">
        <v>11423</v>
      </c>
      <c r="C5800" s="16">
        <f>85.2/(1+B2)</f>
        <v>85.2</v>
      </c>
      <c r="D5800" s="17" t="s">
        <v>53</v>
      </c>
      <c r="E5800" s="17"/>
      <c r="F5800" s="18"/>
      <c r="G5800" s="36" t="str">
        <f>IF(ISNUMBER(F5800),C5800*F5800,"")</f>
        <v/>
      </c>
    </row>
    <row r="5801" spans="1:7" ht="12" customHeight="1" outlineLevel="2" x14ac:dyDescent="0.2">
      <c r="A5801" s="14" t="s">
        <v>11424</v>
      </c>
      <c r="B5801" s="15" t="s">
        <v>11425</v>
      </c>
      <c r="C5801" s="19">
        <f>3792/(1+B2)</f>
        <v>3792</v>
      </c>
      <c r="D5801" s="17"/>
      <c r="E5801" s="17" t="s">
        <v>14</v>
      </c>
      <c r="F5801" s="18"/>
      <c r="G5801" s="36" t="str">
        <f>IF(ISNUMBER(F5801),C5801*F5801,"")</f>
        <v/>
      </c>
    </row>
    <row r="5802" spans="1:7" ht="12" customHeight="1" outlineLevel="2" x14ac:dyDescent="0.2">
      <c r="A5802" s="14" t="s">
        <v>11426</v>
      </c>
      <c r="B5802" s="15" t="s">
        <v>11427</v>
      </c>
      <c r="C5802" s="16">
        <f>75.84/(1+B2)</f>
        <v>75.84</v>
      </c>
      <c r="D5802" s="17" t="s">
        <v>11</v>
      </c>
      <c r="E5802" s="17"/>
      <c r="F5802" s="18"/>
      <c r="G5802" s="36" t="str">
        <f>IF(ISNUMBER(F5802),C5802*F5802,"")</f>
        <v/>
      </c>
    </row>
    <row r="5803" spans="1:7" ht="12" customHeight="1" outlineLevel="2" x14ac:dyDescent="0.2">
      <c r="A5803" s="14" t="s">
        <v>11428</v>
      </c>
      <c r="B5803" s="15" t="s">
        <v>11429</v>
      </c>
      <c r="C5803" s="19">
        <f>2844/(1+B2)</f>
        <v>2844</v>
      </c>
      <c r="D5803" s="17"/>
      <c r="E5803" s="17" t="s">
        <v>11</v>
      </c>
      <c r="F5803" s="18"/>
      <c r="G5803" s="36" t="str">
        <f>IF(ISNUMBER(F5803),C5803*F5803,"")</f>
        <v/>
      </c>
    </row>
    <row r="5804" spans="1:7" ht="12" customHeight="1" outlineLevel="2" x14ac:dyDescent="0.2">
      <c r="A5804" s="14" t="s">
        <v>11430</v>
      </c>
      <c r="B5804" s="15" t="s">
        <v>11431</v>
      </c>
      <c r="C5804" s="16">
        <f>113.76/(1+B2)</f>
        <v>113.76</v>
      </c>
      <c r="D5804" s="17" t="s">
        <v>53</v>
      </c>
      <c r="E5804" s="17"/>
      <c r="F5804" s="18"/>
      <c r="G5804" s="36" t="str">
        <f>IF(ISNUMBER(F5804),C5804*F5804,"")</f>
        <v/>
      </c>
    </row>
    <row r="5805" spans="1:7" ht="12" customHeight="1" outlineLevel="2" x14ac:dyDescent="0.2">
      <c r="A5805" s="14" t="s">
        <v>11432</v>
      </c>
      <c r="B5805" s="15" t="s">
        <v>11433</v>
      </c>
      <c r="C5805" s="19">
        <f>3792/(1+B2)</f>
        <v>3792</v>
      </c>
      <c r="D5805" s="17"/>
      <c r="E5805" s="17" t="s">
        <v>11</v>
      </c>
      <c r="F5805" s="18"/>
      <c r="G5805" s="36" t="str">
        <f>IF(ISNUMBER(F5805),C5805*F5805,"")</f>
        <v/>
      </c>
    </row>
    <row r="5806" spans="1:7" ht="12" customHeight="1" outlineLevel="2" x14ac:dyDescent="0.2">
      <c r="A5806" s="14" t="s">
        <v>11434</v>
      </c>
      <c r="B5806" s="15" t="s">
        <v>11435</v>
      </c>
      <c r="C5806" s="16">
        <f>151.68/(1+B2)</f>
        <v>151.68</v>
      </c>
      <c r="D5806" s="17" t="s">
        <v>53</v>
      </c>
      <c r="E5806" s="17"/>
      <c r="F5806" s="18"/>
      <c r="G5806" s="36" t="str">
        <f>IF(ISNUMBER(F5806),C5806*F5806,"")</f>
        <v/>
      </c>
    </row>
    <row r="5807" spans="1:7" ht="12" customHeight="1" outlineLevel="2" x14ac:dyDescent="0.2">
      <c r="A5807" s="14" t="s">
        <v>11436</v>
      </c>
      <c r="B5807" s="15" t="s">
        <v>11437</v>
      </c>
      <c r="C5807" s="19">
        <f>3792/(1+B2)</f>
        <v>3792</v>
      </c>
      <c r="D5807" s="17"/>
      <c r="E5807" s="17" t="s">
        <v>11</v>
      </c>
      <c r="F5807" s="18"/>
      <c r="G5807" s="36" t="str">
        <f>IF(ISNUMBER(F5807),C5807*F5807,"")</f>
        <v/>
      </c>
    </row>
    <row r="5808" spans="1:7" ht="12" customHeight="1" outlineLevel="2" x14ac:dyDescent="0.2">
      <c r="A5808" s="14" t="s">
        <v>11438</v>
      </c>
      <c r="B5808" s="15" t="s">
        <v>11439</v>
      </c>
      <c r="C5808" s="16">
        <f>151.68/(1+B2)</f>
        <v>151.68</v>
      </c>
      <c r="D5808" s="17" t="s">
        <v>53</v>
      </c>
      <c r="E5808" s="17"/>
      <c r="F5808" s="18"/>
      <c r="G5808" s="36" t="str">
        <f>IF(ISNUMBER(F5808),C5808*F5808,"")</f>
        <v/>
      </c>
    </row>
    <row r="5809" spans="1:7" ht="12" customHeight="1" outlineLevel="2" x14ac:dyDescent="0.2">
      <c r="A5809" s="14" t="s">
        <v>11440</v>
      </c>
      <c r="B5809" s="15" t="s">
        <v>11441</v>
      </c>
      <c r="C5809" s="19">
        <f>4806/(1+B2)</f>
        <v>4806</v>
      </c>
      <c r="D5809" s="17"/>
      <c r="E5809" s="17" t="s">
        <v>106</v>
      </c>
      <c r="F5809" s="18"/>
      <c r="G5809" s="36" t="str">
        <f>IF(ISNUMBER(F5809),C5809*F5809,"")</f>
        <v/>
      </c>
    </row>
    <row r="5810" spans="1:7" ht="12" customHeight="1" outlineLevel="2" x14ac:dyDescent="0.2">
      <c r="A5810" s="14" t="s">
        <v>11442</v>
      </c>
      <c r="B5810" s="15" t="s">
        <v>11443</v>
      </c>
      <c r="C5810" s="16">
        <f>96.12/(1+B2)</f>
        <v>96.12</v>
      </c>
      <c r="D5810" s="17" t="s">
        <v>106</v>
      </c>
      <c r="E5810" s="17"/>
      <c r="F5810" s="18"/>
      <c r="G5810" s="36" t="str">
        <f>IF(ISNUMBER(F5810),C5810*F5810,"")</f>
        <v/>
      </c>
    </row>
    <row r="5811" spans="1:7" ht="12" customHeight="1" outlineLevel="2" x14ac:dyDescent="0.2">
      <c r="A5811" s="14" t="s">
        <v>11444</v>
      </c>
      <c r="B5811" s="15" t="s">
        <v>11445</v>
      </c>
      <c r="C5811" s="19">
        <f>3006/(1+B2)</f>
        <v>3006</v>
      </c>
      <c r="D5811" s="17"/>
      <c r="E5811" s="17" t="s">
        <v>11</v>
      </c>
      <c r="F5811" s="18"/>
      <c r="G5811" s="36" t="str">
        <f>IF(ISNUMBER(F5811),C5811*F5811,"")</f>
        <v/>
      </c>
    </row>
    <row r="5812" spans="1:7" ht="12" customHeight="1" outlineLevel="2" x14ac:dyDescent="0.2">
      <c r="A5812" s="14" t="s">
        <v>11446</v>
      </c>
      <c r="B5812" s="15" t="s">
        <v>11447</v>
      </c>
      <c r="C5812" s="19">
        <f>6012/(1+B2)</f>
        <v>6012</v>
      </c>
      <c r="D5812" s="17"/>
      <c r="E5812" s="17" t="s">
        <v>11</v>
      </c>
      <c r="F5812" s="18"/>
      <c r="G5812" s="36" t="str">
        <f>IF(ISNUMBER(F5812),C5812*F5812,"")</f>
        <v/>
      </c>
    </row>
    <row r="5813" spans="1:7" ht="12" customHeight="1" outlineLevel="2" x14ac:dyDescent="0.2">
      <c r="A5813" s="14" t="s">
        <v>11448</v>
      </c>
      <c r="B5813" s="15" t="s">
        <v>11449</v>
      </c>
      <c r="C5813" s="16">
        <f>120.24/(1+B2)</f>
        <v>120.24</v>
      </c>
      <c r="D5813" s="17" t="s">
        <v>53</v>
      </c>
      <c r="E5813" s="17"/>
      <c r="F5813" s="18"/>
      <c r="G5813" s="36" t="str">
        <f>IF(ISNUMBER(F5813),C5813*F5813,"")</f>
        <v/>
      </c>
    </row>
    <row r="5814" spans="1:7" ht="12" customHeight="1" outlineLevel="2" x14ac:dyDescent="0.2">
      <c r="A5814" s="14" t="s">
        <v>11450</v>
      </c>
      <c r="B5814" s="15" t="s">
        <v>11451</v>
      </c>
      <c r="C5814" s="19">
        <f>6864/(1+B2)</f>
        <v>6864</v>
      </c>
      <c r="D5814" s="17" t="s">
        <v>11</v>
      </c>
      <c r="E5814" s="17" t="s">
        <v>11</v>
      </c>
      <c r="F5814" s="18"/>
      <c r="G5814" s="36" t="str">
        <f>IF(ISNUMBER(F5814),C5814*F5814,"")</f>
        <v/>
      </c>
    </row>
    <row r="5815" spans="1:7" ht="12" customHeight="1" outlineLevel="2" x14ac:dyDescent="0.2">
      <c r="A5815" s="14" t="s">
        <v>11452</v>
      </c>
      <c r="B5815" s="15" t="s">
        <v>11453</v>
      </c>
      <c r="C5815" s="16">
        <f>137.28/(1+B2)</f>
        <v>137.28</v>
      </c>
      <c r="D5815" s="17" t="s">
        <v>53</v>
      </c>
      <c r="E5815" s="17"/>
      <c r="F5815" s="18"/>
      <c r="G5815" s="36" t="str">
        <f>IF(ISNUMBER(F5815),C5815*F5815,"")</f>
        <v/>
      </c>
    </row>
    <row r="5816" spans="1:7" ht="12" customHeight="1" outlineLevel="2" x14ac:dyDescent="0.2">
      <c r="A5816" s="14" t="s">
        <v>11454</v>
      </c>
      <c r="B5816" s="15" t="s">
        <v>11455</v>
      </c>
      <c r="C5816" s="19">
        <f>4956.25/(1+B2)</f>
        <v>4956.25</v>
      </c>
      <c r="D5816" s="17"/>
      <c r="E5816" s="17" t="s">
        <v>14</v>
      </c>
      <c r="F5816" s="18"/>
      <c r="G5816" s="36" t="str">
        <f>IF(ISNUMBER(F5816),C5816*F5816,"")</f>
        <v/>
      </c>
    </row>
    <row r="5817" spans="1:7" ht="12" customHeight="1" outlineLevel="2" x14ac:dyDescent="0.2">
      <c r="A5817" s="14" t="s">
        <v>11456</v>
      </c>
      <c r="B5817" s="15" t="s">
        <v>11457</v>
      </c>
      <c r="C5817" s="16">
        <f>198.25/(1+B2)</f>
        <v>198.25</v>
      </c>
      <c r="D5817" s="17" t="s">
        <v>14</v>
      </c>
      <c r="E5817" s="17" t="s">
        <v>11</v>
      </c>
      <c r="F5817" s="18"/>
      <c r="G5817" s="36" t="str">
        <f>IF(ISNUMBER(F5817),C5817*F5817,"")</f>
        <v/>
      </c>
    </row>
    <row r="5818" spans="1:7" ht="12" customHeight="1" outlineLevel="2" x14ac:dyDescent="0.2">
      <c r="A5818" s="14" t="s">
        <v>11458</v>
      </c>
      <c r="B5818" s="15" t="s">
        <v>11459</v>
      </c>
      <c r="C5818" s="19">
        <f>1686/(1+B2)</f>
        <v>1686</v>
      </c>
      <c r="D5818" s="17"/>
      <c r="E5818" s="17" t="s">
        <v>11</v>
      </c>
      <c r="F5818" s="18"/>
      <c r="G5818" s="36" t="str">
        <f>IF(ISNUMBER(F5818),C5818*F5818,"")</f>
        <v/>
      </c>
    </row>
    <row r="5819" spans="1:7" ht="12" customHeight="1" outlineLevel="2" x14ac:dyDescent="0.2">
      <c r="A5819" s="14" t="s">
        <v>11460</v>
      </c>
      <c r="B5819" s="15" t="s">
        <v>11461</v>
      </c>
      <c r="C5819" s="16">
        <f>33.72/(1+B2)</f>
        <v>33.72</v>
      </c>
      <c r="D5819" s="17" t="s">
        <v>53</v>
      </c>
      <c r="E5819" s="17"/>
      <c r="F5819" s="18"/>
      <c r="G5819" s="36" t="str">
        <f>IF(ISNUMBER(F5819),C5819*F5819,"")</f>
        <v/>
      </c>
    </row>
    <row r="5820" spans="1:7" ht="12" customHeight="1" outlineLevel="2" x14ac:dyDescent="0.2">
      <c r="A5820" s="14" t="s">
        <v>11462</v>
      </c>
      <c r="B5820" s="15" t="s">
        <v>11463</v>
      </c>
      <c r="C5820" s="19">
        <f>2532/(1+B2)</f>
        <v>2532</v>
      </c>
      <c r="D5820" s="17"/>
      <c r="E5820" s="17" t="s">
        <v>11</v>
      </c>
      <c r="F5820" s="18"/>
      <c r="G5820" s="36" t="str">
        <f>IF(ISNUMBER(F5820),C5820*F5820,"")</f>
        <v/>
      </c>
    </row>
    <row r="5821" spans="1:7" ht="12" customHeight="1" outlineLevel="2" x14ac:dyDescent="0.2">
      <c r="A5821" s="14" t="s">
        <v>11464</v>
      </c>
      <c r="B5821" s="15" t="s">
        <v>11465</v>
      </c>
      <c r="C5821" s="16">
        <f>50.64/(1+B2)</f>
        <v>50.64</v>
      </c>
      <c r="D5821" s="17" t="s">
        <v>53</v>
      </c>
      <c r="E5821" s="17"/>
      <c r="F5821" s="18"/>
      <c r="G5821" s="36" t="str">
        <f>IF(ISNUMBER(F5821),C5821*F5821,"")</f>
        <v/>
      </c>
    </row>
    <row r="5822" spans="1:7" ht="12" customHeight="1" outlineLevel="2" x14ac:dyDescent="0.2">
      <c r="A5822" s="14" t="s">
        <v>11466</v>
      </c>
      <c r="B5822" s="15" t="s">
        <v>11467</v>
      </c>
      <c r="C5822" s="16">
        <f>18.6/(1+B2)</f>
        <v>18.600000000000001</v>
      </c>
      <c r="D5822" s="17" t="s">
        <v>106</v>
      </c>
      <c r="E5822" s="17" t="s">
        <v>106</v>
      </c>
      <c r="F5822" s="18"/>
      <c r="G5822" s="36" t="str">
        <f>IF(ISNUMBER(F5822),C5822*F5822,"")</f>
        <v/>
      </c>
    </row>
    <row r="5823" spans="1:7" ht="12" customHeight="1" outlineLevel="2" x14ac:dyDescent="0.2">
      <c r="A5823" s="14" t="s">
        <v>11468</v>
      </c>
      <c r="B5823" s="15" t="s">
        <v>11469</v>
      </c>
      <c r="C5823" s="16">
        <f>23.19/(1+B2)</f>
        <v>23.19</v>
      </c>
      <c r="D5823" s="17" t="s">
        <v>106</v>
      </c>
      <c r="E5823" s="17" t="s">
        <v>106</v>
      </c>
      <c r="F5823" s="18"/>
      <c r="G5823" s="36" t="str">
        <f>IF(ISNUMBER(F5823),C5823*F5823,"")</f>
        <v/>
      </c>
    </row>
    <row r="5824" spans="1:7" ht="12" customHeight="1" outlineLevel="2" x14ac:dyDescent="0.2">
      <c r="A5824" s="14" t="s">
        <v>11470</v>
      </c>
      <c r="B5824" s="15" t="s">
        <v>11471</v>
      </c>
      <c r="C5824" s="16">
        <f>8.04/(1+B2)</f>
        <v>8.0399999999999991</v>
      </c>
      <c r="D5824" s="17"/>
      <c r="E5824" s="17" t="s">
        <v>106</v>
      </c>
      <c r="F5824" s="18"/>
      <c r="G5824" s="36" t="str">
        <f>IF(ISNUMBER(F5824),C5824*F5824,"")</f>
        <v/>
      </c>
    </row>
    <row r="5825" spans="1:7" ht="12" customHeight="1" outlineLevel="2" x14ac:dyDescent="0.2">
      <c r="A5825" s="14" t="s">
        <v>11472</v>
      </c>
      <c r="B5825" s="15" t="s">
        <v>11473</v>
      </c>
      <c r="C5825" s="16">
        <f>165.36/(1+B2)</f>
        <v>165.36</v>
      </c>
      <c r="D5825" s="17" t="s">
        <v>11</v>
      </c>
      <c r="E5825" s="17"/>
      <c r="F5825" s="18"/>
      <c r="G5825" s="36" t="str">
        <f>IF(ISNUMBER(F5825),C5825*F5825,"")</f>
        <v/>
      </c>
    </row>
    <row r="5826" spans="1:7" ht="12" customHeight="1" outlineLevel="2" x14ac:dyDescent="0.2">
      <c r="A5826" s="14" t="s">
        <v>11474</v>
      </c>
      <c r="B5826" s="15" t="s">
        <v>11475</v>
      </c>
      <c r="C5826" s="16">
        <f>396.74/(1+B2)</f>
        <v>396.74</v>
      </c>
      <c r="D5826" s="17" t="s">
        <v>11</v>
      </c>
      <c r="E5826" s="17"/>
      <c r="F5826" s="18"/>
      <c r="G5826" s="36" t="str">
        <f>IF(ISNUMBER(F5826),C5826*F5826,"")</f>
        <v/>
      </c>
    </row>
    <row r="5827" spans="1:7" ht="12" customHeight="1" outlineLevel="2" x14ac:dyDescent="0.2">
      <c r="A5827" s="14" t="s">
        <v>11476</v>
      </c>
      <c r="B5827" s="15" t="s">
        <v>11477</v>
      </c>
      <c r="C5827" s="16">
        <f>490.67/(1+B2)</f>
        <v>490.67</v>
      </c>
      <c r="D5827" s="17" t="s">
        <v>11</v>
      </c>
      <c r="E5827" s="17"/>
      <c r="F5827" s="18"/>
      <c r="G5827" s="36" t="str">
        <f>IF(ISNUMBER(F5827),C5827*F5827,"")</f>
        <v/>
      </c>
    </row>
    <row r="5828" spans="1:7" ht="12" customHeight="1" outlineLevel="2" x14ac:dyDescent="0.2">
      <c r="A5828" s="14" t="s">
        <v>11478</v>
      </c>
      <c r="B5828" s="15" t="s">
        <v>11479</v>
      </c>
      <c r="C5828" s="16">
        <f>490.67/(1+B2)</f>
        <v>490.67</v>
      </c>
      <c r="D5828" s="17" t="s">
        <v>11</v>
      </c>
      <c r="E5828" s="17"/>
      <c r="F5828" s="18"/>
      <c r="G5828" s="36" t="str">
        <f>IF(ISNUMBER(F5828),C5828*F5828,"")</f>
        <v/>
      </c>
    </row>
    <row r="5829" spans="1:7" ht="12" customHeight="1" outlineLevel="2" x14ac:dyDescent="0.2">
      <c r="A5829" s="14" t="s">
        <v>11480</v>
      </c>
      <c r="B5829" s="15" t="s">
        <v>11481</v>
      </c>
      <c r="C5829" s="19">
        <f>1166.1/(1+B2)</f>
        <v>1166.0999999999999</v>
      </c>
      <c r="D5829" s="17" t="s">
        <v>11</v>
      </c>
      <c r="E5829" s="17"/>
      <c r="F5829" s="18"/>
      <c r="G5829" s="36" t="str">
        <f>IF(ISNUMBER(F5829),C5829*F5829,"")</f>
        <v/>
      </c>
    </row>
    <row r="5830" spans="1:7" ht="12" customHeight="1" outlineLevel="2" x14ac:dyDescent="0.2">
      <c r="A5830" s="14" t="s">
        <v>11482</v>
      </c>
      <c r="B5830" s="15" t="s">
        <v>11483</v>
      </c>
      <c r="C5830" s="19">
        <f>1449.04/(1+B2)</f>
        <v>1449.04</v>
      </c>
      <c r="D5830" s="17" t="s">
        <v>11</v>
      </c>
      <c r="E5830" s="17" t="s">
        <v>11</v>
      </c>
      <c r="F5830" s="18"/>
      <c r="G5830" s="36" t="str">
        <f>IF(ISNUMBER(F5830),C5830*F5830,"")</f>
        <v/>
      </c>
    </row>
    <row r="5831" spans="1:7" s="1" customFormat="1" ht="15.95" customHeight="1" outlineLevel="1" x14ac:dyDescent="0.25">
      <c r="A5831" s="11"/>
      <c r="B5831" s="12" t="s">
        <v>11484</v>
      </c>
      <c r="C5831" s="13"/>
      <c r="D5831" s="13"/>
      <c r="E5831" s="13"/>
      <c r="F5831" s="13"/>
      <c r="G5831" s="35"/>
    </row>
    <row r="5832" spans="1:7" ht="12" customHeight="1" outlineLevel="2" x14ac:dyDescent="0.2">
      <c r="A5832" s="14" t="s">
        <v>11485</v>
      </c>
      <c r="B5832" s="15" t="s">
        <v>11486</v>
      </c>
      <c r="C5832" s="16">
        <f>84.65/(1+B2)</f>
        <v>84.65</v>
      </c>
      <c r="D5832" s="17" t="s">
        <v>11</v>
      </c>
      <c r="E5832" s="17" t="s">
        <v>11</v>
      </c>
      <c r="F5832" s="18"/>
      <c r="G5832" s="36" t="str">
        <f>IF(ISNUMBER(F5832),C5832*F5832,"")</f>
        <v/>
      </c>
    </row>
    <row r="5833" spans="1:7" ht="12" customHeight="1" outlineLevel="2" x14ac:dyDescent="0.2">
      <c r="A5833" s="14" t="s">
        <v>11487</v>
      </c>
      <c r="B5833" s="15" t="s">
        <v>11488</v>
      </c>
      <c r="C5833" s="16">
        <f>101.01/(1+B2)</f>
        <v>101.01</v>
      </c>
      <c r="D5833" s="17" t="s">
        <v>14</v>
      </c>
      <c r="E5833" s="17"/>
      <c r="F5833" s="18"/>
      <c r="G5833" s="36" t="str">
        <f>IF(ISNUMBER(F5833),C5833*F5833,"")</f>
        <v/>
      </c>
    </row>
    <row r="5834" spans="1:7" ht="12" customHeight="1" outlineLevel="2" x14ac:dyDescent="0.2">
      <c r="A5834" s="14" t="s">
        <v>11489</v>
      </c>
      <c r="B5834" s="15" t="s">
        <v>11490</v>
      </c>
      <c r="C5834" s="16">
        <f>96.2/(1+B2)</f>
        <v>96.2</v>
      </c>
      <c r="D5834" s="17" t="s">
        <v>14</v>
      </c>
      <c r="E5834" s="17" t="s">
        <v>11</v>
      </c>
      <c r="F5834" s="18"/>
      <c r="G5834" s="36" t="str">
        <f>IF(ISNUMBER(F5834),C5834*F5834,"")</f>
        <v/>
      </c>
    </row>
    <row r="5835" spans="1:7" ht="12" customHeight="1" outlineLevel="2" x14ac:dyDescent="0.2">
      <c r="A5835" s="14" t="s">
        <v>11491</v>
      </c>
      <c r="B5835" s="15" t="s">
        <v>11492</v>
      </c>
      <c r="C5835" s="16">
        <f>19.28/(1+B2)</f>
        <v>19.28</v>
      </c>
      <c r="D5835" s="17" t="s">
        <v>11</v>
      </c>
      <c r="E5835" s="17" t="s">
        <v>53</v>
      </c>
      <c r="F5835" s="18"/>
      <c r="G5835" s="36" t="str">
        <f>IF(ISNUMBER(F5835),C5835*F5835,"")</f>
        <v/>
      </c>
    </row>
    <row r="5836" spans="1:7" ht="12" customHeight="1" outlineLevel="2" x14ac:dyDescent="0.2">
      <c r="A5836" s="14" t="s">
        <v>11493</v>
      </c>
      <c r="B5836" s="15" t="s">
        <v>11494</v>
      </c>
      <c r="C5836" s="16">
        <f>29.2/(1+B2)</f>
        <v>29.2</v>
      </c>
      <c r="D5836" s="17" t="s">
        <v>53</v>
      </c>
      <c r="E5836" s="17" t="s">
        <v>53</v>
      </c>
      <c r="F5836" s="18"/>
      <c r="G5836" s="36" t="str">
        <f>IF(ISNUMBER(F5836),C5836*F5836,"")</f>
        <v/>
      </c>
    </row>
    <row r="5837" spans="1:7" ht="12" customHeight="1" outlineLevel="2" x14ac:dyDescent="0.2">
      <c r="A5837" s="14" t="s">
        <v>11495</v>
      </c>
      <c r="B5837" s="15" t="s">
        <v>11496</v>
      </c>
      <c r="C5837" s="16">
        <f>27.21/(1+B2)</f>
        <v>27.21</v>
      </c>
      <c r="D5837" s="17" t="s">
        <v>53</v>
      </c>
      <c r="E5837" s="17" t="s">
        <v>53</v>
      </c>
      <c r="F5837" s="18"/>
      <c r="G5837" s="36" t="str">
        <f>IF(ISNUMBER(F5837),C5837*F5837,"")</f>
        <v/>
      </c>
    </row>
    <row r="5838" spans="1:7" ht="24" customHeight="1" outlineLevel="2" x14ac:dyDescent="0.2">
      <c r="A5838" s="14" t="s">
        <v>11497</v>
      </c>
      <c r="B5838" s="15" t="s">
        <v>11498</v>
      </c>
      <c r="C5838" s="16">
        <f>101.66/(1+B2)</f>
        <v>101.66</v>
      </c>
      <c r="D5838" s="17" t="s">
        <v>14</v>
      </c>
      <c r="E5838" s="17" t="s">
        <v>11</v>
      </c>
      <c r="F5838" s="18"/>
      <c r="G5838" s="36" t="str">
        <f>IF(ISNUMBER(F5838),C5838*F5838,"")</f>
        <v/>
      </c>
    </row>
    <row r="5839" spans="1:7" ht="24" customHeight="1" outlineLevel="2" x14ac:dyDescent="0.2">
      <c r="A5839" s="14" t="s">
        <v>11499</v>
      </c>
      <c r="B5839" s="15" t="s">
        <v>11500</v>
      </c>
      <c r="C5839" s="16">
        <f>150.41/(1+B2)</f>
        <v>150.41</v>
      </c>
      <c r="D5839" s="17" t="s">
        <v>11</v>
      </c>
      <c r="E5839" s="17" t="s">
        <v>14</v>
      </c>
      <c r="F5839" s="18"/>
      <c r="G5839" s="36" t="str">
        <f>IF(ISNUMBER(F5839),C5839*F5839,"")</f>
        <v/>
      </c>
    </row>
    <row r="5840" spans="1:7" ht="24" customHeight="1" outlineLevel="2" x14ac:dyDescent="0.2">
      <c r="A5840" s="14" t="s">
        <v>11501</v>
      </c>
      <c r="B5840" s="15" t="s">
        <v>11502</v>
      </c>
      <c r="C5840" s="16">
        <f>88.21/(1+B2)</f>
        <v>88.21</v>
      </c>
      <c r="D5840" s="17" t="s">
        <v>11</v>
      </c>
      <c r="E5840" s="17"/>
      <c r="F5840" s="18"/>
      <c r="G5840" s="36" t="str">
        <f>IF(ISNUMBER(F5840),C5840*F5840,"")</f>
        <v/>
      </c>
    </row>
    <row r="5841" spans="1:7" ht="24" customHeight="1" outlineLevel="2" x14ac:dyDescent="0.2">
      <c r="A5841" s="14" t="s">
        <v>11503</v>
      </c>
      <c r="B5841" s="15" t="s">
        <v>11504</v>
      </c>
      <c r="C5841" s="16">
        <f>88.55/(1+B2)</f>
        <v>88.55</v>
      </c>
      <c r="D5841" s="17" t="s">
        <v>11</v>
      </c>
      <c r="E5841" s="17" t="s">
        <v>106</v>
      </c>
      <c r="F5841" s="18"/>
      <c r="G5841" s="36" t="str">
        <f>IF(ISNUMBER(F5841),C5841*F5841,"")</f>
        <v/>
      </c>
    </row>
    <row r="5842" spans="1:7" ht="24" customHeight="1" outlineLevel="2" x14ac:dyDescent="0.2">
      <c r="A5842" s="14" t="s">
        <v>11505</v>
      </c>
      <c r="B5842" s="15" t="s">
        <v>11506</v>
      </c>
      <c r="C5842" s="16">
        <f>86.53/(1+B2)</f>
        <v>86.53</v>
      </c>
      <c r="D5842" s="17" t="s">
        <v>53</v>
      </c>
      <c r="E5842" s="17" t="s">
        <v>53</v>
      </c>
      <c r="F5842" s="18"/>
      <c r="G5842" s="36" t="str">
        <f>IF(ISNUMBER(F5842),C5842*F5842,"")</f>
        <v/>
      </c>
    </row>
    <row r="5843" spans="1:7" ht="24" customHeight="1" outlineLevel="2" x14ac:dyDescent="0.2">
      <c r="A5843" s="14" t="s">
        <v>11507</v>
      </c>
      <c r="B5843" s="15" t="s">
        <v>11508</v>
      </c>
      <c r="C5843" s="16">
        <f>83.91/(1+B2)</f>
        <v>83.91</v>
      </c>
      <c r="D5843" s="17" t="s">
        <v>53</v>
      </c>
      <c r="E5843" s="17" t="s">
        <v>14</v>
      </c>
      <c r="F5843" s="18"/>
      <c r="G5843" s="36" t="str">
        <f>IF(ISNUMBER(F5843),C5843*F5843,"")</f>
        <v/>
      </c>
    </row>
    <row r="5844" spans="1:7" ht="12" customHeight="1" outlineLevel="2" x14ac:dyDescent="0.2">
      <c r="A5844" s="14" t="s">
        <v>11509</v>
      </c>
      <c r="B5844" s="15" t="s">
        <v>11510</v>
      </c>
      <c r="C5844" s="16">
        <f>170.28/(1+B2)</f>
        <v>170.28</v>
      </c>
      <c r="D5844" s="17" t="s">
        <v>11</v>
      </c>
      <c r="E5844" s="17" t="s">
        <v>11</v>
      </c>
      <c r="F5844" s="18"/>
      <c r="G5844" s="36" t="str">
        <f>IF(ISNUMBER(F5844),C5844*F5844,"")</f>
        <v/>
      </c>
    </row>
    <row r="5845" spans="1:7" ht="12" customHeight="1" outlineLevel="2" x14ac:dyDescent="0.2">
      <c r="A5845" s="14" t="s">
        <v>11511</v>
      </c>
      <c r="B5845" s="15" t="s">
        <v>11512</v>
      </c>
      <c r="C5845" s="16">
        <f>28.6/(1+B2)</f>
        <v>28.6</v>
      </c>
      <c r="D5845" s="17" t="s">
        <v>53</v>
      </c>
      <c r="E5845" s="17" t="s">
        <v>14</v>
      </c>
      <c r="F5845" s="18"/>
      <c r="G5845" s="36" t="str">
        <f>IF(ISNUMBER(F5845),C5845*F5845,"")</f>
        <v/>
      </c>
    </row>
    <row r="5846" spans="1:7" ht="12" customHeight="1" outlineLevel="2" x14ac:dyDescent="0.2">
      <c r="A5846" s="14" t="s">
        <v>11513</v>
      </c>
      <c r="B5846" s="15" t="s">
        <v>11514</v>
      </c>
      <c r="C5846" s="16">
        <f>27.3/(1+B2)</f>
        <v>27.3</v>
      </c>
      <c r="D5846" s="17" t="s">
        <v>11</v>
      </c>
      <c r="E5846" s="17"/>
      <c r="F5846" s="18"/>
      <c r="G5846" s="36" t="str">
        <f>IF(ISNUMBER(F5846),C5846*F5846,"")</f>
        <v/>
      </c>
    </row>
    <row r="5847" spans="1:7" ht="12" customHeight="1" outlineLevel="2" x14ac:dyDescent="0.2">
      <c r="A5847" s="14" t="s">
        <v>11515</v>
      </c>
      <c r="B5847" s="15" t="s">
        <v>11516</v>
      </c>
      <c r="C5847" s="16">
        <f>65.65/(1+B2)</f>
        <v>65.650000000000006</v>
      </c>
      <c r="D5847" s="17" t="s">
        <v>14</v>
      </c>
      <c r="E5847" s="17" t="s">
        <v>14</v>
      </c>
      <c r="F5847" s="18"/>
      <c r="G5847" s="36" t="str">
        <f>IF(ISNUMBER(F5847),C5847*F5847,"")</f>
        <v/>
      </c>
    </row>
    <row r="5848" spans="1:7" ht="12" customHeight="1" outlineLevel="2" x14ac:dyDescent="0.2">
      <c r="A5848" s="14" t="s">
        <v>11517</v>
      </c>
      <c r="B5848" s="15" t="s">
        <v>11518</v>
      </c>
      <c r="C5848" s="16">
        <f>54.58/(1+B2)</f>
        <v>54.58</v>
      </c>
      <c r="D5848" s="17" t="s">
        <v>14</v>
      </c>
      <c r="E5848" s="17" t="s">
        <v>11</v>
      </c>
      <c r="F5848" s="18"/>
      <c r="G5848" s="36" t="str">
        <f>IF(ISNUMBER(F5848),C5848*F5848,"")</f>
        <v/>
      </c>
    </row>
    <row r="5849" spans="1:7" ht="12" customHeight="1" outlineLevel="2" x14ac:dyDescent="0.2">
      <c r="A5849" s="14" t="s">
        <v>11519</v>
      </c>
      <c r="B5849" s="15" t="s">
        <v>11520</v>
      </c>
      <c r="C5849" s="16">
        <f>54.58/(1+B2)</f>
        <v>54.58</v>
      </c>
      <c r="D5849" s="17" t="s">
        <v>11</v>
      </c>
      <c r="E5849" s="17" t="s">
        <v>53</v>
      </c>
      <c r="F5849" s="18"/>
      <c r="G5849" s="36" t="str">
        <f>IF(ISNUMBER(F5849),C5849*F5849,"")</f>
        <v/>
      </c>
    </row>
    <row r="5850" spans="1:7" ht="12" customHeight="1" outlineLevel="2" x14ac:dyDescent="0.2">
      <c r="A5850" s="14" t="s">
        <v>11521</v>
      </c>
      <c r="B5850" s="15" t="s">
        <v>11522</v>
      </c>
      <c r="C5850" s="16">
        <f>52/(1+B2)</f>
        <v>52</v>
      </c>
      <c r="D5850" s="17" t="s">
        <v>14</v>
      </c>
      <c r="E5850" s="17" t="s">
        <v>53</v>
      </c>
      <c r="F5850" s="18"/>
      <c r="G5850" s="36" t="str">
        <f>IF(ISNUMBER(F5850),C5850*F5850,"")</f>
        <v/>
      </c>
    </row>
    <row r="5851" spans="1:7" ht="12" customHeight="1" outlineLevel="2" x14ac:dyDescent="0.2">
      <c r="A5851" s="14" t="s">
        <v>11523</v>
      </c>
      <c r="B5851" s="15" t="s">
        <v>11524</v>
      </c>
      <c r="C5851" s="16">
        <f>43.6/(1+B2)</f>
        <v>43.6</v>
      </c>
      <c r="D5851" s="17" t="s">
        <v>14</v>
      </c>
      <c r="E5851" s="17" t="s">
        <v>53</v>
      </c>
      <c r="F5851" s="18"/>
      <c r="G5851" s="36" t="str">
        <f>IF(ISNUMBER(F5851),C5851*F5851,"")</f>
        <v/>
      </c>
    </row>
    <row r="5852" spans="1:7" ht="12" customHeight="1" outlineLevel="2" x14ac:dyDescent="0.2">
      <c r="A5852" s="14" t="s">
        <v>11525</v>
      </c>
      <c r="B5852" s="15" t="s">
        <v>11526</v>
      </c>
      <c r="C5852" s="16">
        <f>44.61/(1+B2)</f>
        <v>44.61</v>
      </c>
      <c r="D5852" s="17" t="s">
        <v>11</v>
      </c>
      <c r="E5852" s="17"/>
      <c r="F5852" s="18"/>
      <c r="G5852" s="36" t="str">
        <f>IF(ISNUMBER(F5852),C5852*F5852,"")</f>
        <v/>
      </c>
    </row>
    <row r="5853" spans="1:7" ht="12" customHeight="1" outlineLevel="2" x14ac:dyDescent="0.2">
      <c r="A5853" s="14" t="s">
        <v>11527</v>
      </c>
      <c r="B5853" s="15" t="s">
        <v>11528</v>
      </c>
      <c r="C5853" s="16">
        <f>61.45/(1+B2)</f>
        <v>61.45</v>
      </c>
      <c r="D5853" s="17" t="s">
        <v>11</v>
      </c>
      <c r="E5853" s="17"/>
      <c r="F5853" s="18"/>
      <c r="G5853" s="36" t="str">
        <f>IF(ISNUMBER(F5853),C5853*F5853,"")</f>
        <v/>
      </c>
    </row>
    <row r="5854" spans="1:7" ht="24" customHeight="1" outlineLevel="2" x14ac:dyDescent="0.2">
      <c r="A5854" s="14" t="s">
        <v>11529</v>
      </c>
      <c r="B5854" s="15" t="s">
        <v>11530</v>
      </c>
      <c r="C5854" s="16">
        <f>67.6/(1+B2)</f>
        <v>67.599999999999994</v>
      </c>
      <c r="D5854" s="17" t="s">
        <v>53</v>
      </c>
      <c r="E5854" s="17"/>
      <c r="F5854" s="18"/>
      <c r="G5854" s="36" t="str">
        <f>IF(ISNUMBER(F5854),C5854*F5854,"")</f>
        <v/>
      </c>
    </row>
    <row r="5855" spans="1:7" ht="24" customHeight="1" outlineLevel="2" x14ac:dyDescent="0.2">
      <c r="A5855" s="14" t="s">
        <v>11531</v>
      </c>
      <c r="B5855" s="15" t="s">
        <v>11532</v>
      </c>
      <c r="C5855" s="16">
        <f>92.95/(1+B2)</f>
        <v>92.95</v>
      </c>
      <c r="D5855" s="17" t="s">
        <v>53</v>
      </c>
      <c r="E5855" s="17"/>
      <c r="F5855" s="18"/>
      <c r="G5855" s="36" t="str">
        <f>IF(ISNUMBER(F5855),C5855*F5855,"")</f>
        <v/>
      </c>
    </row>
    <row r="5856" spans="1:7" ht="12" customHeight="1" outlineLevel="2" x14ac:dyDescent="0.2">
      <c r="A5856" s="14" t="s">
        <v>11533</v>
      </c>
      <c r="B5856" s="15" t="s">
        <v>11534</v>
      </c>
      <c r="C5856" s="16">
        <f>94.34/(1+B2)</f>
        <v>94.34</v>
      </c>
      <c r="D5856" s="17" t="s">
        <v>14</v>
      </c>
      <c r="E5856" s="17" t="s">
        <v>11</v>
      </c>
      <c r="F5856" s="18"/>
      <c r="G5856" s="36" t="str">
        <f>IF(ISNUMBER(F5856),C5856*F5856,"")</f>
        <v/>
      </c>
    </row>
    <row r="5857" spans="1:7" ht="12" customHeight="1" outlineLevel="2" x14ac:dyDescent="0.2">
      <c r="A5857" s="14" t="s">
        <v>11535</v>
      </c>
      <c r="B5857" s="15" t="s">
        <v>11536</v>
      </c>
      <c r="C5857" s="16">
        <f>188.69/(1+B2)</f>
        <v>188.69</v>
      </c>
      <c r="D5857" s="17"/>
      <c r="E5857" s="17" t="s">
        <v>11</v>
      </c>
      <c r="F5857" s="18"/>
      <c r="G5857" s="36" t="str">
        <f>IF(ISNUMBER(F5857),C5857*F5857,"")</f>
        <v/>
      </c>
    </row>
    <row r="5858" spans="1:7" ht="12" customHeight="1" outlineLevel="2" x14ac:dyDescent="0.2">
      <c r="A5858" s="14" t="s">
        <v>11537</v>
      </c>
      <c r="B5858" s="15" t="s">
        <v>11538</v>
      </c>
      <c r="C5858" s="16">
        <f>64.94/(1+B2)</f>
        <v>64.94</v>
      </c>
      <c r="D5858" s="17" t="s">
        <v>14</v>
      </c>
      <c r="E5858" s="17" t="s">
        <v>53</v>
      </c>
      <c r="F5858" s="18"/>
      <c r="G5858" s="36" t="str">
        <f>IF(ISNUMBER(F5858),C5858*F5858,"")</f>
        <v/>
      </c>
    </row>
    <row r="5859" spans="1:7" ht="12" customHeight="1" outlineLevel="2" x14ac:dyDescent="0.2">
      <c r="A5859" s="14" t="s">
        <v>11539</v>
      </c>
      <c r="B5859" s="15" t="s">
        <v>11540</v>
      </c>
      <c r="C5859" s="16">
        <f>108.23/(1+B2)</f>
        <v>108.23</v>
      </c>
      <c r="D5859" s="17" t="s">
        <v>14</v>
      </c>
      <c r="E5859" s="17" t="s">
        <v>11</v>
      </c>
      <c r="F5859" s="18"/>
      <c r="G5859" s="36" t="str">
        <f>IF(ISNUMBER(F5859),C5859*F5859,"")</f>
        <v/>
      </c>
    </row>
    <row r="5860" spans="1:7" ht="12" customHeight="1" outlineLevel="2" x14ac:dyDescent="0.2">
      <c r="A5860" s="14" t="s">
        <v>11541</v>
      </c>
      <c r="B5860" s="15" t="s">
        <v>11542</v>
      </c>
      <c r="C5860" s="16">
        <f>53.04/(1+B2)</f>
        <v>53.04</v>
      </c>
      <c r="D5860" s="17" t="s">
        <v>53</v>
      </c>
      <c r="E5860" s="17" t="s">
        <v>14</v>
      </c>
      <c r="F5860" s="18"/>
      <c r="G5860" s="36" t="str">
        <f>IF(ISNUMBER(F5860),C5860*F5860,"")</f>
        <v/>
      </c>
    </row>
    <row r="5861" spans="1:7" ht="12" customHeight="1" outlineLevel="2" x14ac:dyDescent="0.2">
      <c r="A5861" s="14" t="s">
        <v>11543</v>
      </c>
      <c r="B5861" s="15" t="s">
        <v>11544</v>
      </c>
      <c r="C5861" s="16">
        <f>33.68/(1+B2)</f>
        <v>33.68</v>
      </c>
      <c r="D5861" s="17" t="s">
        <v>53</v>
      </c>
      <c r="E5861" s="17" t="s">
        <v>53</v>
      </c>
      <c r="F5861" s="18"/>
      <c r="G5861" s="36" t="str">
        <f>IF(ISNUMBER(F5861),C5861*F5861,"")</f>
        <v/>
      </c>
    </row>
    <row r="5862" spans="1:7" ht="12" customHeight="1" outlineLevel="2" x14ac:dyDescent="0.2">
      <c r="A5862" s="14" t="s">
        <v>11545</v>
      </c>
      <c r="B5862" s="15" t="s">
        <v>11546</v>
      </c>
      <c r="C5862" s="16">
        <f>74.25/(1+B2)</f>
        <v>74.25</v>
      </c>
      <c r="D5862" s="17" t="s">
        <v>14</v>
      </c>
      <c r="E5862" s="17" t="s">
        <v>14</v>
      </c>
      <c r="F5862" s="18"/>
      <c r="G5862" s="36" t="str">
        <f>IF(ISNUMBER(F5862),C5862*F5862,"")</f>
        <v/>
      </c>
    </row>
    <row r="5863" spans="1:7" ht="12" customHeight="1" outlineLevel="2" x14ac:dyDescent="0.2">
      <c r="A5863" s="14" t="s">
        <v>11547</v>
      </c>
      <c r="B5863" s="15" t="s">
        <v>11548</v>
      </c>
      <c r="C5863" s="16">
        <f>168.35/(1+B2)</f>
        <v>168.35</v>
      </c>
      <c r="D5863" s="17" t="s">
        <v>11</v>
      </c>
      <c r="E5863" s="17"/>
      <c r="F5863" s="18"/>
      <c r="G5863" s="36" t="str">
        <f>IF(ISNUMBER(F5863),C5863*F5863,"")</f>
        <v/>
      </c>
    </row>
    <row r="5864" spans="1:7" ht="24" customHeight="1" outlineLevel="2" x14ac:dyDescent="0.2">
      <c r="A5864" s="14" t="s">
        <v>11549</v>
      </c>
      <c r="B5864" s="15" t="s">
        <v>11550</v>
      </c>
      <c r="C5864" s="16">
        <f>89.84/(1+B2)</f>
        <v>89.84</v>
      </c>
      <c r="D5864" s="17" t="s">
        <v>11</v>
      </c>
      <c r="E5864" s="17"/>
      <c r="F5864" s="18"/>
      <c r="G5864" s="36" t="str">
        <f>IF(ISNUMBER(F5864),C5864*F5864,"")</f>
        <v/>
      </c>
    </row>
    <row r="5865" spans="1:7" ht="24" customHeight="1" outlineLevel="2" x14ac:dyDescent="0.2">
      <c r="A5865" s="14" t="s">
        <v>11551</v>
      </c>
      <c r="B5865" s="15" t="s">
        <v>11552</v>
      </c>
      <c r="C5865" s="16">
        <f>32.89/(1+B2)</f>
        <v>32.89</v>
      </c>
      <c r="D5865" s="17" t="s">
        <v>11</v>
      </c>
      <c r="E5865" s="17"/>
      <c r="F5865" s="18"/>
      <c r="G5865" s="36" t="str">
        <f>IF(ISNUMBER(F5865),C5865*F5865,"")</f>
        <v/>
      </c>
    </row>
    <row r="5866" spans="1:7" ht="24" customHeight="1" outlineLevel="2" x14ac:dyDescent="0.2">
      <c r="A5866" s="14" t="s">
        <v>11553</v>
      </c>
      <c r="B5866" s="15" t="s">
        <v>11554</v>
      </c>
      <c r="C5866" s="16">
        <f>83.43/(1+B2)</f>
        <v>83.43</v>
      </c>
      <c r="D5866" s="17" t="s">
        <v>11</v>
      </c>
      <c r="E5866" s="17"/>
      <c r="F5866" s="18"/>
      <c r="G5866" s="36" t="str">
        <f>IF(ISNUMBER(F5866),C5866*F5866,"")</f>
        <v/>
      </c>
    </row>
    <row r="5867" spans="1:7" ht="12" customHeight="1" outlineLevel="2" x14ac:dyDescent="0.2">
      <c r="A5867" s="14" t="s">
        <v>11555</v>
      </c>
      <c r="B5867" s="15" t="s">
        <v>11556</v>
      </c>
      <c r="C5867" s="16">
        <f>38.94/(1+B2)</f>
        <v>38.94</v>
      </c>
      <c r="D5867" s="17" t="s">
        <v>53</v>
      </c>
      <c r="E5867" s="17" t="s">
        <v>53</v>
      </c>
      <c r="F5867" s="18"/>
      <c r="G5867" s="36" t="str">
        <f>IF(ISNUMBER(F5867),C5867*F5867,"")</f>
        <v/>
      </c>
    </row>
    <row r="5868" spans="1:7" ht="24" customHeight="1" outlineLevel="2" x14ac:dyDescent="0.2">
      <c r="A5868" s="14" t="s">
        <v>11557</v>
      </c>
      <c r="B5868" s="15" t="s">
        <v>11558</v>
      </c>
      <c r="C5868" s="16">
        <f>49.66/(1+B2)</f>
        <v>49.66</v>
      </c>
      <c r="D5868" s="17" t="s">
        <v>53</v>
      </c>
      <c r="E5868" s="17"/>
      <c r="F5868" s="18"/>
      <c r="G5868" s="36" t="str">
        <f>IF(ISNUMBER(F5868),C5868*F5868,"")</f>
        <v/>
      </c>
    </row>
    <row r="5869" spans="1:7" ht="24" customHeight="1" outlineLevel="2" x14ac:dyDescent="0.2">
      <c r="A5869" s="14" t="s">
        <v>11559</v>
      </c>
      <c r="B5869" s="15" t="s">
        <v>11560</v>
      </c>
      <c r="C5869" s="16">
        <f>49.66/(1+B2)</f>
        <v>49.66</v>
      </c>
      <c r="D5869" s="17" t="s">
        <v>11</v>
      </c>
      <c r="E5869" s="17"/>
      <c r="F5869" s="18"/>
      <c r="G5869" s="36" t="str">
        <f>IF(ISNUMBER(F5869),C5869*F5869,"")</f>
        <v/>
      </c>
    </row>
    <row r="5870" spans="1:7" ht="24" customHeight="1" outlineLevel="2" x14ac:dyDescent="0.2">
      <c r="A5870" s="14" t="s">
        <v>11561</v>
      </c>
      <c r="B5870" s="15" t="s">
        <v>11562</v>
      </c>
      <c r="C5870" s="16">
        <f>49.66/(1+B2)</f>
        <v>49.66</v>
      </c>
      <c r="D5870" s="17" t="s">
        <v>53</v>
      </c>
      <c r="E5870" s="17"/>
      <c r="F5870" s="18"/>
      <c r="G5870" s="36" t="str">
        <f>IF(ISNUMBER(F5870),C5870*F5870,"")</f>
        <v/>
      </c>
    </row>
    <row r="5871" spans="1:7" ht="24" customHeight="1" outlineLevel="2" x14ac:dyDescent="0.2">
      <c r="A5871" s="14" t="s">
        <v>11563</v>
      </c>
      <c r="B5871" s="15" t="s">
        <v>11564</v>
      </c>
      <c r="C5871" s="16">
        <f>45.24/(1+B2)</f>
        <v>45.24</v>
      </c>
      <c r="D5871" s="17" t="s">
        <v>14</v>
      </c>
      <c r="E5871" s="17"/>
      <c r="F5871" s="18"/>
      <c r="G5871" s="36" t="str">
        <f>IF(ISNUMBER(F5871),C5871*F5871,"")</f>
        <v/>
      </c>
    </row>
    <row r="5872" spans="1:7" ht="24" customHeight="1" outlineLevel="2" x14ac:dyDescent="0.2">
      <c r="A5872" s="14" t="s">
        <v>11565</v>
      </c>
      <c r="B5872" s="15" t="s">
        <v>11566</v>
      </c>
      <c r="C5872" s="16">
        <f>45.24/(1+B2)</f>
        <v>45.24</v>
      </c>
      <c r="D5872" s="17" t="s">
        <v>53</v>
      </c>
      <c r="E5872" s="17"/>
      <c r="F5872" s="18"/>
      <c r="G5872" s="36" t="str">
        <f>IF(ISNUMBER(F5872),C5872*F5872,"")</f>
        <v/>
      </c>
    </row>
    <row r="5873" spans="1:7" ht="24" customHeight="1" outlineLevel="2" x14ac:dyDescent="0.2">
      <c r="A5873" s="14" t="s">
        <v>11567</v>
      </c>
      <c r="B5873" s="15" t="s">
        <v>11568</v>
      </c>
      <c r="C5873" s="16">
        <f>45.24/(1+B2)</f>
        <v>45.24</v>
      </c>
      <c r="D5873" s="17" t="s">
        <v>11</v>
      </c>
      <c r="E5873" s="17"/>
      <c r="F5873" s="18"/>
      <c r="G5873" s="36" t="str">
        <f>IF(ISNUMBER(F5873),C5873*F5873,"")</f>
        <v/>
      </c>
    </row>
    <row r="5874" spans="1:7" ht="12" customHeight="1" outlineLevel="2" x14ac:dyDescent="0.2">
      <c r="A5874" s="14" t="s">
        <v>11569</v>
      </c>
      <c r="B5874" s="15" t="s">
        <v>11570</v>
      </c>
      <c r="C5874" s="16">
        <f>55.8/(1+B2)</f>
        <v>55.8</v>
      </c>
      <c r="D5874" s="17" t="s">
        <v>11</v>
      </c>
      <c r="E5874" s="17" t="s">
        <v>14</v>
      </c>
      <c r="F5874" s="18"/>
      <c r="G5874" s="36" t="str">
        <f>IF(ISNUMBER(F5874),C5874*F5874,"")</f>
        <v/>
      </c>
    </row>
    <row r="5875" spans="1:7" ht="12" customHeight="1" outlineLevel="2" x14ac:dyDescent="0.2">
      <c r="A5875" s="14" t="s">
        <v>11571</v>
      </c>
      <c r="B5875" s="15" t="s">
        <v>11572</v>
      </c>
      <c r="C5875" s="16">
        <f>74.55/(1+B2)</f>
        <v>74.55</v>
      </c>
      <c r="D5875" s="17" t="s">
        <v>11</v>
      </c>
      <c r="E5875" s="17"/>
      <c r="F5875" s="18"/>
      <c r="G5875" s="36" t="str">
        <f>IF(ISNUMBER(F5875),C5875*F5875,"")</f>
        <v/>
      </c>
    </row>
    <row r="5876" spans="1:7" ht="12" customHeight="1" outlineLevel="2" x14ac:dyDescent="0.2">
      <c r="A5876" s="14" t="s">
        <v>11573</v>
      </c>
      <c r="B5876" s="15" t="s">
        <v>11574</v>
      </c>
      <c r="C5876" s="16">
        <f>52.91/(1+B2)</f>
        <v>52.91</v>
      </c>
      <c r="D5876" s="17" t="s">
        <v>53</v>
      </c>
      <c r="E5876" s="17" t="s">
        <v>53</v>
      </c>
      <c r="F5876" s="18"/>
      <c r="G5876" s="36" t="str">
        <f>IF(ISNUMBER(F5876),C5876*F5876,"")</f>
        <v/>
      </c>
    </row>
    <row r="5877" spans="1:7" ht="12" customHeight="1" outlineLevel="2" x14ac:dyDescent="0.2">
      <c r="A5877" s="14" t="s">
        <v>11575</v>
      </c>
      <c r="B5877" s="15" t="s">
        <v>11576</v>
      </c>
      <c r="C5877" s="16">
        <f>105.83/(1+B2)</f>
        <v>105.83</v>
      </c>
      <c r="D5877" s="17" t="s">
        <v>14</v>
      </c>
      <c r="E5877" s="17" t="s">
        <v>14</v>
      </c>
      <c r="F5877" s="18"/>
      <c r="G5877" s="36" t="str">
        <f>IF(ISNUMBER(F5877),C5877*F5877,"")</f>
        <v/>
      </c>
    </row>
    <row r="5878" spans="1:7" ht="12" customHeight="1" outlineLevel="2" x14ac:dyDescent="0.2">
      <c r="A5878" s="14" t="s">
        <v>11577</v>
      </c>
      <c r="B5878" s="15" t="s">
        <v>11578</v>
      </c>
      <c r="C5878" s="16">
        <f>113.01/(1+B2)</f>
        <v>113.01</v>
      </c>
      <c r="D5878" s="17" t="s">
        <v>53</v>
      </c>
      <c r="E5878" s="17"/>
      <c r="F5878" s="18"/>
      <c r="G5878" s="36" t="str">
        <f>IF(ISNUMBER(F5878),C5878*F5878,"")</f>
        <v/>
      </c>
    </row>
    <row r="5879" spans="1:7" ht="12" customHeight="1" outlineLevel="2" x14ac:dyDescent="0.2">
      <c r="A5879" s="14" t="s">
        <v>11579</v>
      </c>
      <c r="B5879" s="15" t="s">
        <v>11580</v>
      </c>
      <c r="C5879" s="16">
        <f>22.94/(1+B2)</f>
        <v>22.94</v>
      </c>
      <c r="D5879" s="17" t="s">
        <v>11</v>
      </c>
      <c r="E5879" s="17" t="s">
        <v>53</v>
      </c>
      <c r="F5879" s="18"/>
      <c r="G5879" s="36" t="str">
        <f>IF(ISNUMBER(F5879),C5879*F5879,"")</f>
        <v/>
      </c>
    </row>
    <row r="5880" spans="1:7" ht="12" customHeight="1" outlineLevel="2" x14ac:dyDescent="0.2">
      <c r="A5880" s="14" t="s">
        <v>11581</v>
      </c>
      <c r="B5880" s="15" t="s">
        <v>11582</v>
      </c>
      <c r="C5880" s="16">
        <f>27.58/(1+B2)</f>
        <v>27.58</v>
      </c>
      <c r="D5880" s="17" t="s">
        <v>11</v>
      </c>
      <c r="E5880" s="17"/>
      <c r="F5880" s="18"/>
      <c r="G5880" s="36" t="str">
        <f>IF(ISNUMBER(F5880),C5880*F5880,"")</f>
        <v/>
      </c>
    </row>
    <row r="5881" spans="1:7" ht="12" customHeight="1" outlineLevel="2" x14ac:dyDescent="0.2">
      <c r="A5881" s="14" t="s">
        <v>11583</v>
      </c>
      <c r="B5881" s="15" t="s">
        <v>11584</v>
      </c>
      <c r="C5881" s="16">
        <f>33.09/(1+B2)</f>
        <v>33.090000000000003</v>
      </c>
      <c r="D5881" s="17" t="s">
        <v>14</v>
      </c>
      <c r="E5881" s="17" t="s">
        <v>14</v>
      </c>
      <c r="F5881" s="18"/>
      <c r="G5881" s="36" t="str">
        <f>IF(ISNUMBER(F5881),C5881*F5881,"")</f>
        <v/>
      </c>
    </row>
    <row r="5882" spans="1:7" ht="12" customHeight="1" outlineLevel="2" x14ac:dyDescent="0.2">
      <c r="A5882" s="14" t="s">
        <v>11585</v>
      </c>
      <c r="B5882" s="15" t="s">
        <v>11586</v>
      </c>
      <c r="C5882" s="16">
        <f>55.15/(1+B2)</f>
        <v>55.15</v>
      </c>
      <c r="D5882" s="17" t="s">
        <v>14</v>
      </c>
      <c r="E5882" s="17" t="s">
        <v>11</v>
      </c>
      <c r="F5882" s="18"/>
      <c r="G5882" s="36" t="str">
        <f>IF(ISNUMBER(F5882),C5882*F5882,"")</f>
        <v/>
      </c>
    </row>
    <row r="5883" spans="1:7" ht="12" customHeight="1" outlineLevel="2" x14ac:dyDescent="0.2">
      <c r="A5883" s="14" t="s">
        <v>11587</v>
      </c>
      <c r="B5883" s="15" t="s">
        <v>11588</v>
      </c>
      <c r="C5883" s="16">
        <f>34.14/(1+B2)</f>
        <v>34.14</v>
      </c>
      <c r="D5883" s="17" t="s">
        <v>53</v>
      </c>
      <c r="E5883" s="17" t="s">
        <v>106</v>
      </c>
      <c r="F5883" s="18"/>
      <c r="G5883" s="36" t="str">
        <f>IF(ISNUMBER(F5883),C5883*F5883,"")</f>
        <v/>
      </c>
    </row>
    <row r="5884" spans="1:7" ht="12" customHeight="1" outlineLevel="2" x14ac:dyDescent="0.2">
      <c r="A5884" s="14" t="s">
        <v>11589</v>
      </c>
      <c r="B5884" s="15" t="s">
        <v>11590</v>
      </c>
      <c r="C5884" s="16">
        <f>38.92/(1+B2)</f>
        <v>38.92</v>
      </c>
      <c r="D5884" s="17" t="s">
        <v>53</v>
      </c>
      <c r="E5884" s="17" t="s">
        <v>53</v>
      </c>
      <c r="F5884" s="18"/>
      <c r="G5884" s="36" t="str">
        <f>IF(ISNUMBER(F5884),C5884*F5884,"")</f>
        <v/>
      </c>
    </row>
    <row r="5885" spans="1:7" ht="12" customHeight="1" outlineLevel="2" x14ac:dyDescent="0.2">
      <c r="A5885" s="14" t="s">
        <v>11591</v>
      </c>
      <c r="B5885" s="15" t="s">
        <v>11592</v>
      </c>
      <c r="C5885" s="16">
        <f>52.79/(1+B2)</f>
        <v>52.79</v>
      </c>
      <c r="D5885" s="17" t="s">
        <v>14</v>
      </c>
      <c r="E5885" s="17"/>
      <c r="F5885" s="18"/>
      <c r="G5885" s="36" t="str">
        <f>IF(ISNUMBER(F5885),C5885*F5885,"")</f>
        <v/>
      </c>
    </row>
    <row r="5886" spans="1:7" ht="12" customHeight="1" outlineLevel="2" x14ac:dyDescent="0.2">
      <c r="A5886" s="14" t="s">
        <v>11593</v>
      </c>
      <c r="B5886" s="15" t="s">
        <v>11594</v>
      </c>
      <c r="C5886" s="16">
        <f>87.98/(1+B2)</f>
        <v>87.98</v>
      </c>
      <c r="D5886" s="17" t="s">
        <v>14</v>
      </c>
      <c r="E5886" s="17" t="s">
        <v>14</v>
      </c>
      <c r="F5886" s="18"/>
      <c r="G5886" s="36" t="str">
        <f>IF(ISNUMBER(F5886),C5886*F5886,"")</f>
        <v/>
      </c>
    </row>
    <row r="5887" spans="1:7" ht="12" customHeight="1" outlineLevel="2" x14ac:dyDescent="0.2">
      <c r="A5887" s="14" t="s">
        <v>11595</v>
      </c>
      <c r="B5887" s="15" t="s">
        <v>11596</v>
      </c>
      <c r="C5887" s="16">
        <f>26.64/(1+B2)</f>
        <v>26.64</v>
      </c>
      <c r="D5887" s="17" t="s">
        <v>53</v>
      </c>
      <c r="E5887" s="17"/>
      <c r="F5887" s="18"/>
      <c r="G5887" s="36" t="str">
        <f>IF(ISNUMBER(F5887),C5887*F5887,"")</f>
        <v/>
      </c>
    </row>
    <row r="5888" spans="1:7" ht="12" customHeight="1" outlineLevel="2" x14ac:dyDescent="0.2">
      <c r="A5888" s="14" t="s">
        <v>11597</v>
      </c>
      <c r="B5888" s="15" t="s">
        <v>11598</v>
      </c>
      <c r="C5888" s="16">
        <f>40.8/(1+B2)</f>
        <v>40.799999999999997</v>
      </c>
      <c r="D5888" s="17" t="s">
        <v>106</v>
      </c>
      <c r="E5888" s="17"/>
      <c r="F5888" s="18"/>
      <c r="G5888" s="36" t="str">
        <f>IF(ISNUMBER(F5888),C5888*F5888,"")</f>
        <v/>
      </c>
    </row>
    <row r="5889" spans="1:7" ht="12" customHeight="1" outlineLevel="2" x14ac:dyDescent="0.2">
      <c r="A5889" s="14" t="s">
        <v>11599</v>
      </c>
      <c r="B5889" s="15" t="s">
        <v>11600</v>
      </c>
      <c r="C5889" s="16">
        <f>28.8/(1+B2)</f>
        <v>28.8</v>
      </c>
      <c r="D5889" s="17" t="s">
        <v>106</v>
      </c>
      <c r="E5889" s="17"/>
      <c r="F5889" s="18"/>
      <c r="G5889" s="36" t="str">
        <f>IF(ISNUMBER(F5889),C5889*F5889,"")</f>
        <v/>
      </c>
    </row>
    <row r="5890" spans="1:7" ht="12" customHeight="1" outlineLevel="2" x14ac:dyDescent="0.2">
      <c r="A5890" s="14" t="s">
        <v>11601</v>
      </c>
      <c r="B5890" s="15" t="s">
        <v>11602</v>
      </c>
      <c r="C5890" s="16">
        <f>60/(1+B2)</f>
        <v>60</v>
      </c>
      <c r="D5890" s="17" t="s">
        <v>106</v>
      </c>
      <c r="E5890" s="17" t="s">
        <v>106</v>
      </c>
      <c r="F5890" s="18"/>
      <c r="G5890" s="36" t="str">
        <f>IF(ISNUMBER(F5890),C5890*F5890,"")</f>
        <v/>
      </c>
    </row>
    <row r="5891" spans="1:7" ht="12" customHeight="1" outlineLevel="2" x14ac:dyDescent="0.2">
      <c r="A5891" s="14" t="s">
        <v>11603</v>
      </c>
      <c r="B5891" s="15" t="s">
        <v>11604</v>
      </c>
      <c r="C5891" s="16">
        <f>50.7/(1+B2)</f>
        <v>50.7</v>
      </c>
      <c r="D5891" s="17" t="s">
        <v>53</v>
      </c>
      <c r="E5891" s="17"/>
      <c r="F5891" s="18"/>
      <c r="G5891" s="36" t="str">
        <f>IF(ISNUMBER(F5891),C5891*F5891,"")</f>
        <v/>
      </c>
    </row>
    <row r="5892" spans="1:7" ht="12" customHeight="1" outlineLevel="2" x14ac:dyDescent="0.2">
      <c r="A5892" s="14" t="s">
        <v>11605</v>
      </c>
      <c r="B5892" s="15" t="s">
        <v>11606</v>
      </c>
      <c r="C5892" s="16">
        <f>53.7/(1+B2)</f>
        <v>53.7</v>
      </c>
      <c r="D5892" s="17" t="s">
        <v>53</v>
      </c>
      <c r="E5892" s="17"/>
      <c r="F5892" s="18"/>
      <c r="G5892" s="36" t="str">
        <f>IF(ISNUMBER(F5892),C5892*F5892,"")</f>
        <v/>
      </c>
    </row>
    <row r="5893" spans="1:7" ht="12" customHeight="1" outlineLevel="2" x14ac:dyDescent="0.2">
      <c r="A5893" s="14" t="s">
        <v>11607</v>
      </c>
      <c r="B5893" s="15" t="s">
        <v>11608</v>
      </c>
      <c r="C5893" s="16">
        <f>65.52/(1+B2)</f>
        <v>65.52</v>
      </c>
      <c r="D5893" s="17" t="s">
        <v>53</v>
      </c>
      <c r="E5893" s="17"/>
      <c r="F5893" s="18"/>
      <c r="G5893" s="36" t="str">
        <f>IF(ISNUMBER(F5893),C5893*F5893,"")</f>
        <v/>
      </c>
    </row>
    <row r="5894" spans="1:7" ht="12" customHeight="1" outlineLevel="2" x14ac:dyDescent="0.2">
      <c r="A5894" s="14" t="s">
        <v>11609</v>
      </c>
      <c r="B5894" s="15" t="s">
        <v>11610</v>
      </c>
      <c r="C5894" s="16">
        <f>24.48/(1+B2)</f>
        <v>24.48</v>
      </c>
      <c r="D5894" s="17" t="s">
        <v>106</v>
      </c>
      <c r="E5894" s="17"/>
      <c r="F5894" s="18"/>
      <c r="G5894" s="36" t="str">
        <f>IF(ISNUMBER(F5894),C5894*F5894,"")</f>
        <v/>
      </c>
    </row>
    <row r="5895" spans="1:7" ht="12" customHeight="1" outlineLevel="2" x14ac:dyDescent="0.2">
      <c r="A5895" s="14" t="s">
        <v>11611</v>
      </c>
      <c r="B5895" s="15" t="s">
        <v>11612</v>
      </c>
      <c r="C5895" s="16">
        <f>16.32/(1+B2)</f>
        <v>16.32</v>
      </c>
      <c r="D5895" s="17" t="s">
        <v>14</v>
      </c>
      <c r="E5895" s="17"/>
      <c r="F5895" s="18"/>
      <c r="G5895" s="36" t="str">
        <f>IF(ISNUMBER(F5895),C5895*F5895,"")</f>
        <v/>
      </c>
    </row>
    <row r="5896" spans="1:7" ht="12" customHeight="1" outlineLevel="2" x14ac:dyDescent="0.2">
      <c r="A5896" s="14" t="s">
        <v>11613</v>
      </c>
      <c r="B5896" s="15" t="s">
        <v>11614</v>
      </c>
      <c r="C5896" s="16">
        <f>25.92/(1+B2)</f>
        <v>25.92</v>
      </c>
      <c r="D5896" s="17" t="s">
        <v>106</v>
      </c>
      <c r="E5896" s="17"/>
      <c r="F5896" s="18"/>
      <c r="G5896" s="36" t="str">
        <f>IF(ISNUMBER(F5896),C5896*F5896,"")</f>
        <v/>
      </c>
    </row>
    <row r="5897" spans="1:7" ht="12" customHeight="1" outlineLevel="2" x14ac:dyDescent="0.2">
      <c r="A5897" s="14" t="s">
        <v>11615</v>
      </c>
      <c r="B5897" s="15" t="s">
        <v>11616</v>
      </c>
      <c r="C5897" s="16">
        <f>43.2/(1+B2)</f>
        <v>43.2</v>
      </c>
      <c r="D5897" s="17" t="s">
        <v>53</v>
      </c>
      <c r="E5897" s="17"/>
      <c r="F5897" s="18"/>
      <c r="G5897" s="36" t="str">
        <f>IF(ISNUMBER(F5897),C5897*F5897,"")</f>
        <v/>
      </c>
    </row>
    <row r="5898" spans="1:7" ht="12" customHeight="1" outlineLevel="2" x14ac:dyDescent="0.2">
      <c r="A5898" s="14" t="s">
        <v>11617</v>
      </c>
      <c r="B5898" s="15" t="s">
        <v>11618</v>
      </c>
      <c r="C5898" s="16">
        <f>23.28/(1+B2)</f>
        <v>23.28</v>
      </c>
      <c r="D5898" s="17" t="s">
        <v>11</v>
      </c>
      <c r="E5898" s="17"/>
      <c r="F5898" s="18"/>
      <c r="G5898" s="36" t="str">
        <f>IF(ISNUMBER(F5898),C5898*F5898,"")</f>
        <v/>
      </c>
    </row>
    <row r="5899" spans="1:7" ht="12" customHeight="1" outlineLevel="2" x14ac:dyDescent="0.2">
      <c r="A5899" s="14" t="s">
        <v>11619</v>
      </c>
      <c r="B5899" s="15" t="s">
        <v>11620</v>
      </c>
      <c r="C5899" s="16">
        <f>32.04/(1+B2)</f>
        <v>32.04</v>
      </c>
      <c r="D5899" s="17" t="s">
        <v>53</v>
      </c>
      <c r="E5899" s="17"/>
      <c r="F5899" s="18"/>
      <c r="G5899" s="36" t="str">
        <f>IF(ISNUMBER(F5899),C5899*F5899,"")</f>
        <v/>
      </c>
    </row>
    <row r="5900" spans="1:7" ht="12" customHeight="1" outlineLevel="2" x14ac:dyDescent="0.2">
      <c r="A5900" s="14" t="s">
        <v>11621</v>
      </c>
      <c r="B5900" s="15" t="s">
        <v>11622</v>
      </c>
      <c r="C5900" s="16">
        <f>67.8/(1+B2)</f>
        <v>67.8</v>
      </c>
      <c r="D5900" s="17" t="s">
        <v>14</v>
      </c>
      <c r="E5900" s="17"/>
      <c r="F5900" s="18"/>
      <c r="G5900" s="36" t="str">
        <f>IF(ISNUMBER(F5900),C5900*F5900,"")</f>
        <v/>
      </c>
    </row>
    <row r="5901" spans="1:7" ht="12" customHeight="1" outlineLevel="2" x14ac:dyDescent="0.2">
      <c r="A5901" s="14" t="s">
        <v>11623</v>
      </c>
      <c r="B5901" s="15" t="s">
        <v>11624</v>
      </c>
      <c r="C5901" s="16">
        <f>48.96/(1+B2)</f>
        <v>48.96</v>
      </c>
      <c r="D5901" s="17" t="s">
        <v>53</v>
      </c>
      <c r="E5901" s="17"/>
      <c r="F5901" s="18"/>
      <c r="G5901" s="36" t="str">
        <f>IF(ISNUMBER(F5901),C5901*F5901,"")</f>
        <v/>
      </c>
    </row>
    <row r="5902" spans="1:7" ht="12" customHeight="1" outlineLevel="2" x14ac:dyDescent="0.2">
      <c r="A5902" s="14" t="s">
        <v>11625</v>
      </c>
      <c r="B5902" s="15" t="s">
        <v>11626</v>
      </c>
      <c r="C5902" s="16">
        <f>65.52/(1+B2)</f>
        <v>65.52</v>
      </c>
      <c r="D5902" s="17" t="s">
        <v>53</v>
      </c>
      <c r="E5902" s="17" t="s">
        <v>106</v>
      </c>
      <c r="F5902" s="18"/>
      <c r="G5902" s="36" t="str">
        <f>IF(ISNUMBER(F5902),C5902*F5902,"")</f>
        <v/>
      </c>
    </row>
    <row r="5903" spans="1:7" s="1" customFormat="1" ht="15.95" customHeight="1" outlineLevel="1" x14ac:dyDescent="0.25">
      <c r="A5903" s="11"/>
      <c r="B5903" s="12" t="s">
        <v>11627</v>
      </c>
      <c r="C5903" s="13"/>
      <c r="D5903" s="13"/>
      <c r="E5903" s="13"/>
      <c r="F5903" s="13"/>
      <c r="G5903" s="35"/>
    </row>
    <row r="5904" spans="1:7" ht="24" customHeight="1" outlineLevel="2" x14ac:dyDescent="0.2">
      <c r="A5904" s="14" t="s">
        <v>11628</v>
      </c>
      <c r="B5904" s="15" t="s">
        <v>11629</v>
      </c>
      <c r="C5904" s="16">
        <f>15.98/(1+B2)</f>
        <v>15.98</v>
      </c>
      <c r="D5904" s="17" t="s">
        <v>11</v>
      </c>
      <c r="E5904" s="17"/>
      <c r="F5904" s="18"/>
      <c r="G5904" s="36" t="str">
        <f>IF(ISNUMBER(F5904),C5904*F5904,"")</f>
        <v/>
      </c>
    </row>
    <row r="5905" spans="1:7" ht="12" customHeight="1" outlineLevel="2" x14ac:dyDescent="0.2">
      <c r="A5905" s="14" t="s">
        <v>11630</v>
      </c>
      <c r="B5905" s="15" t="s">
        <v>11631</v>
      </c>
      <c r="C5905" s="16">
        <f>59.38/(1+B2)</f>
        <v>59.38</v>
      </c>
      <c r="D5905" s="17" t="s">
        <v>11</v>
      </c>
      <c r="E5905" s="17"/>
      <c r="F5905" s="18"/>
      <c r="G5905" s="36" t="str">
        <f>IF(ISNUMBER(F5905),C5905*F5905,"")</f>
        <v/>
      </c>
    </row>
    <row r="5906" spans="1:7" ht="24" customHeight="1" outlineLevel="2" x14ac:dyDescent="0.2">
      <c r="A5906" s="14" t="s">
        <v>11632</v>
      </c>
      <c r="B5906" s="15" t="s">
        <v>11633</v>
      </c>
      <c r="C5906" s="16">
        <f>25.42/(1+B2)</f>
        <v>25.42</v>
      </c>
      <c r="D5906" s="17" t="s">
        <v>14</v>
      </c>
      <c r="E5906" s="17"/>
      <c r="F5906" s="18"/>
      <c r="G5906" s="36" t="str">
        <f>IF(ISNUMBER(F5906),C5906*F5906,"")</f>
        <v/>
      </c>
    </row>
    <row r="5907" spans="1:7" ht="12" customHeight="1" outlineLevel="2" x14ac:dyDescent="0.2">
      <c r="A5907" s="14" t="s">
        <v>11634</v>
      </c>
      <c r="B5907" s="15" t="s">
        <v>11635</v>
      </c>
      <c r="C5907" s="16">
        <f>26.27/(1+B2)</f>
        <v>26.27</v>
      </c>
      <c r="D5907" s="17" t="s">
        <v>11</v>
      </c>
      <c r="E5907" s="17" t="s">
        <v>14</v>
      </c>
      <c r="F5907" s="18"/>
      <c r="G5907" s="36" t="str">
        <f>IF(ISNUMBER(F5907),C5907*F5907,"")</f>
        <v/>
      </c>
    </row>
    <row r="5908" spans="1:7" ht="12" customHeight="1" outlineLevel="2" x14ac:dyDescent="0.2">
      <c r="A5908" s="14" t="s">
        <v>11636</v>
      </c>
      <c r="B5908" s="15" t="s">
        <v>11637</v>
      </c>
      <c r="C5908" s="16">
        <f>39.97/(1+B2)</f>
        <v>39.97</v>
      </c>
      <c r="D5908" s="17" t="s">
        <v>11</v>
      </c>
      <c r="E5908" s="17"/>
      <c r="F5908" s="18"/>
      <c r="G5908" s="36" t="str">
        <f>IF(ISNUMBER(F5908),C5908*F5908,"")</f>
        <v/>
      </c>
    </row>
    <row r="5909" spans="1:7" ht="12" customHeight="1" outlineLevel="2" x14ac:dyDescent="0.2">
      <c r="A5909" s="14" t="s">
        <v>11638</v>
      </c>
      <c r="B5909" s="15" t="s">
        <v>11639</v>
      </c>
      <c r="C5909" s="16">
        <f>27.41/(1+B2)</f>
        <v>27.41</v>
      </c>
      <c r="D5909" s="17" t="s">
        <v>14</v>
      </c>
      <c r="E5909" s="17"/>
      <c r="F5909" s="18"/>
      <c r="G5909" s="36" t="str">
        <f>IF(ISNUMBER(F5909),C5909*F5909,"")</f>
        <v/>
      </c>
    </row>
    <row r="5910" spans="1:7" ht="12" customHeight="1" outlineLevel="2" x14ac:dyDescent="0.2">
      <c r="A5910" s="14" t="s">
        <v>11640</v>
      </c>
      <c r="B5910" s="15" t="s">
        <v>11641</v>
      </c>
      <c r="C5910" s="16">
        <f>27.41/(1+B2)</f>
        <v>27.41</v>
      </c>
      <c r="D5910" s="17" t="s">
        <v>14</v>
      </c>
      <c r="E5910" s="17"/>
      <c r="F5910" s="18"/>
      <c r="G5910" s="36" t="str">
        <f>IF(ISNUMBER(F5910),C5910*F5910,"")</f>
        <v/>
      </c>
    </row>
    <row r="5911" spans="1:7" ht="12" customHeight="1" outlineLevel="2" x14ac:dyDescent="0.2">
      <c r="A5911" s="14" t="s">
        <v>11642</v>
      </c>
      <c r="B5911" s="15" t="s">
        <v>11643</v>
      </c>
      <c r="C5911" s="16">
        <f>28.55/(1+B2)</f>
        <v>28.55</v>
      </c>
      <c r="D5911" s="17" t="s">
        <v>14</v>
      </c>
      <c r="E5911" s="17"/>
      <c r="F5911" s="18"/>
      <c r="G5911" s="36" t="str">
        <f>IF(ISNUMBER(F5911),C5911*F5911,"")</f>
        <v/>
      </c>
    </row>
    <row r="5912" spans="1:7" ht="12" customHeight="1" outlineLevel="2" x14ac:dyDescent="0.2">
      <c r="A5912" s="14" t="s">
        <v>11644</v>
      </c>
      <c r="B5912" s="15" t="s">
        <v>11645</v>
      </c>
      <c r="C5912" s="16">
        <f>25.75/(1+B2)</f>
        <v>25.75</v>
      </c>
      <c r="D5912" s="17" t="s">
        <v>11</v>
      </c>
      <c r="E5912" s="17"/>
      <c r="F5912" s="18"/>
      <c r="G5912" s="36" t="str">
        <f>IF(ISNUMBER(F5912),C5912*F5912,"")</f>
        <v/>
      </c>
    </row>
    <row r="5913" spans="1:7" ht="12" customHeight="1" outlineLevel="2" x14ac:dyDescent="0.2">
      <c r="A5913" s="14" t="s">
        <v>11646</v>
      </c>
      <c r="B5913" s="15" t="s">
        <v>11647</v>
      </c>
      <c r="C5913" s="16">
        <f>26.27/(1+B2)</f>
        <v>26.27</v>
      </c>
      <c r="D5913" s="17" t="s">
        <v>11</v>
      </c>
      <c r="E5913" s="17"/>
      <c r="F5913" s="18"/>
      <c r="G5913" s="36" t="str">
        <f>IF(ISNUMBER(F5913),C5913*F5913,"")</f>
        <v/>
      </c>
    </row>
    <row r="5914" spans="1:7" ht="24" customHeight="1" outlineLevel="2" x14ac:dyDescent="0.2">
      <c r="A5914" s="14" t="s">
        <v>11648</v>
      </c>
      <c r="B5914" s="15" t="s">
        <v>11649</v>
      </c>
      <c r="C5914" s="16">
        <f>26.27/(1+B2)</f>
        <v>26.27</v>
      </c>
      <c r="D5914" s="17" t="s">
        <v>11</v>
      </c>
      <c r="E5914" s="17"/>
      <c r="F5914" s="18"/>
      <c r="G5914" s="36" t="str">
        <f>IF(ISNUMBER(F5914),C5914*F5914,"")</f>
        <v/>
      </c>
    </row>
    <row r="5915" spans="1:7" ht="12" customHeight="1" outlineLevel="2" x14ac:dyDescent="0.2">
      <c r="A5915" s="14" t="s">
        <v>11650</v>
      </c>
      <c r="B5915" s="15" t="s">
        <v>11651</v>
      </c>
      <c r="C5915" s="16">
        <f>22.42/(1+B2)</f>
        <v>22.42</v>
      </c>
      <c r="D5915" s="17" t="s">
        <v>11</v>
      </c>
      <c r="E5915" s="17"/>
      <c r="F5915" s="18"/>
      <c r="G5915" s="36" t="str">
        <f>IF(ISNUMBER(F5915),C5915*F5915,"")</f>
        <v/>
      </c>
    </row>
    <row r="5916" spans="1:7" ht="24" customHeight="1" outlineLevel="2" x14ac:dyDescent="0.2">
      <c r="A5916" s="14" t="s">
        <v>11652</v>
      </c>
      <c r="B5916" s="15" t="s">
        <v>11653</v>
      </c>
      <c r="C5916" s="16">
        <f>34.26/(1+B2)</f>
        <v>34.26</v>
      </c>
      <c r="D5916" s="17" t="s">
        <v>14</v>
      </c>
      <c r="E5916" s="17"/>
      <c r="F5916" s="18"/>
      <c r="G5916" s="36" t="str">
        <f>IF(ISNUMBER(F5916),C5916*F5916,"")</f>
        <v/>
      </c>
    </row>
    <row r="5917" spans="1:7" ht="12" customHeight="1" outlineLevel="2" x14ac:dyDescent="0.2">
      <c r="A5917" s="14" t="s">
        <v>11654</v>
      </c>
      <c r="B5917" s="15" t="s">
        <v>11655</v>
      </c>
      <c r="C5917" s="16">
        <f>32.29/(1+B2)</f>
        <v>32.29</v>
      </c>
      <c r="D5917" s="17" t="s">
        <v>11</v>
      </c>
      <c r="E5917" s="17"/>
      <c r="F5917" s="18"/>
      <c r="G5917" s="36" t="str">
        <f>IF(ISNUMBER(F5917),C5917*F5917,"")</f>
        <v/>
      </c>
    </row>
    <row r="5918" spans="1:7" ht="12" customHeight="1" outlineLevel="2" x14ac:dyDescent="0.2">
      <c r="A5918" s="14" t="s">
        <v>11656</v>
      </c>
      <c r="B5918" s="15" t="s">
        <v>11657</v>
      </c>
      <c r="C5918" s="16">
        <f>51.38/(1+B2)</f>
        <v>51.38</v>
      </c>
      <c r="D5918" s="17" t="s">
        <v>14</v>
      </c>
      <c r="E5918" s="17"/>
      <c r="F5918" s="18"/>
      <c r="G5918" s="36" t="str">
        <f>IF(ISNUMBER(F5918),C5918*F5918,"")</f>
        <v/>
      </c>
    </row>
    <row r="5919" spans="1:7" ht="12" customHeight="1" outlineLevel="2" x14ac:dyDescent="0.2">
      <c r="A5919" s="14" t="s">
        <v>11658</v>
      </c>
      <c r="B5919" s="15" t="s">
        <v>11659</v>
      </c>
      <c r="C5919" s="16">
        <f>72.61/(1+B2)</f>
        <v>72.61</v>
      </c>
      <c r="D5919" s="17" t="s">
        <v>11</v>
      </c>
      <c r="E5919" s="17"/>
      <c r="F5919" s="18"/>
      <c r="G5919" s="36" t="str">
        <f>IF(ISNUMBER(F5919),C5919*F5919,"")</f>
        <v/>
      </c>
    </row>
    <row r="5920" spans="1:7" ht="12" customHeight="1" outlineLevel="2" x14ac:dyDescent="0.2">
      <c r="A5920" s="14" t="s">
        <v>11660</v>
      </c>
      <c r="B5920" s="15" t="s">
        <v>11661</v>
      </c>
      <c r="C5920" s="16">
        <f>59.71/(1+B2)</f>
        <v>59.71</v>
      </c>
      <c r="D5920" s="17" t="s">
        <v>11</v>
      </c>
      <c r="E5920" s="17"/>
      <c r="F5920" s="18"/>
      <c r="G5920" s="36" t="str">
        <f>IF(ISNUMBER(F5920),C5920*F5920,"")</f>
        <v/>
      </c>
    </row>
    <row r="5921" spans="1:7" ht="12" customHeight="1" outlineLevel="2" x14ac:dyDescent="0.2">
      <c r="A5921" s="14" t="s">
        <v>11662</v>
      </c>
      <c r="B5921" s="15" t="s">
        <v>11663</v>
      </c>
      <c r="C5921" s="16">
        <f>59.36/(1+B2)</f>
        <v>59.36</v>
      </c>
      <c r="D5921" s="17" t="s">
        <v>11</v>
      </c>
      <c r="E5921" s="17"/>
      <c r="F5921" s="18"/>
      <c r="G5921" s="36" t="str">
        <f>IF(ISNUMBER(F5921),C5921*F5921,"")</f>
        <v/>
      </c>
    </row>
    <row r="5922" spans="1:7" ht="12" customHeight="1" outlineLevel="2" x14ac:dyDescent="0.2">
      <c r="A5922" s="14" t="s">
        <v>11664</v>
      </c>
      <c r="B5922" s="15" t="s">
        <v>11665</v>
      </c>
      <c r="C5922" s="16">
        <f>61.82/(1+B2)</f>
        <v>61.82</v>
      </c>
      <c r="D5922" s="17" t="s">
        <v>11</v>
      </c>
      <c r="E5922" s="17"/>
      <c r="F5922" s="18"/>
      <c r="G5922" s="36" t="str">
        <f>IF(ISNUMBER(F5922),C5922*F5922,"")</f>
        <v/>
      </c>
    </row>
    <row r="5923" spans="1:7" ht="12" customHeight="1" outlineLevel="2" x14ac:dyDescent="0.2">
      <c r="A5923" s="14" t="s">
        <v>11666</v>
      </c>
      <c r="B5923" s="15" t="s">
        <v>11667</v>
      </c>
      <c r="C5923" s="16">
        <f>65.74/(1+B2)</f>
        <v>65.739999999999995</v>
      </c>
      <c r="D5923" s="17" t="s">
        <v>11</v>
      </c>
      <c r="E5923" s="17"/>
      <c r="F5923" s="18"/>
      <c r="G5923" s="36" t="str">
        <f>IF(ISNUMBER(F5923),C5923*F5923,"")</f>
        <v/>
      </c>
    </row>
    <row r="5924" spans="1:7" ht="24" customHeight="1" outlineLevel="2" x14ac:dyDescent="0.2">
      <c r="A5924" s="14" t="s">
        <v>11668</v>
      </c>
      <c r="B5924" s="15" t="s">
        <v>11669</v>
      </c>
      <c r="C5924" s="16">
        <f>61.82/(1+B2)</f>
        <v>61.82</v>
      </c>
      <c r="D5924" s="17" t="s">
        <v>11</v>
      </c>
      <c r="E5924" s="17"/>
      <c r="F5924" s="18"/>
      <c r="G5924" s="36" t="str">
        <f>IF(ISNUMBER(F5924),C5924*F5924,"")</f>
        <v/>
      </c>
    </row>
    <row r="5925" spans="1:7" ht="24" customHeight="1" outlineLevel="2" x14ac:dyDescent="0.2">
      <c r="A5925" s="14" t="s">
        <v>11670</v>
      </c>
      <c r="B5925" s="15" t="s">
        <v>11671</v>
      </c>
      <c r="C5925" s="16">
        <f>34.26/(1+B2)</f>
        <v>34.26</v>
      </c>
      <c r="D5925" s="17" t="s">
        <v>11</v>
      </c>
      <c r="E5925" s="17"/>
      <c r="F5925" s="18"/>
      <c r="G5925" s="36" t="str">
        <f>IF(ISNUMBER(F5925),C5925*F5925,"")</f>
        <v/>
      </c>
    </row>
    <row r="5926" spans="1:7" ht="12" customHeight="1" outlineLevel="2" x14ac:dyDescent="0.2">
      <c r="A5926" s="14" t="s">
        <v>11672</v>
      </c>
      <c r="B5926" s="15" t="s">
        <v>11673</v>
      </c>
      <c r="C5926" s="16">
        <f>34.26/(1+B2)</f>
        <v>34.26</v>
      </c>
      <c r="D5926" s="17" t="s">
        <v>11</v>
      </c>
      <c r="E5926" s="17"/>
      <c r="F5926" s="18"/>
      <c r="G5926" s="36" t="str">
        <f>IF(ISNUMBER(F5926),C5926*F5926,"")</f>
        <v/>
      </c>
    </row>
    <row r="5927" spans="1:7" ht="24" customHeight="1" outlineLevel="2" x14ac:dyDescent="0.2">
      <c r="A5927" s="14" t="s">
        <v>11674</v>
      </c>
      <c r="B5927" s="15" t="s">
        <v>11675</v>
      </c>
      <c r="C5927" s="16">
        <f>35.4/(1+B2)</f>
        <v>35.4</v>
      </c>
      <c r="D5927" s="17" t="s">
        <v>11</v>
      </c>
      <c r="E5927" s="17"/>
      <c r="F5927" s="18"/>
      <c r="G5927" s="36" t="str">
        <f>IF(ISNUMBER(F5927),C5927*F5927,"")</f>
        <v/>
      </c>
    </row>
    <row r="5928" spans="1:7" ht="24" customHeight="1" outlineLevel="2" x14ac:dyDescent="0.2">
      <c r="A5928" s="14" t="s">
        <v>11676</v>
      </c>
      <c r="B5928" s="15" t="s">
        <v>11677</v>
      </c>
      <c r="C5928" s="16">
        <f>34.26/(1+B2)</f>
        <v>34.26</v>
      </c>
      <c r="D5928" s="17" t="s">
        <v>11</v>
      </c>
      <c r="E5928" s="17"/>
      <c r="F5928" s="18"/>
      <c r="G5928" s="36" t="str">
        <f>IF(ISNUMBER(F5928),C5928*F5928,"")</f>
        <v/>
      </c>
    </row>
    <row r="5929" spans="1:7" ht="24" customHeight="1" outlineLevel="2" x14ac:dyDescent="0.2">
      <c r="A5929" s="14" t="s">
        <v>11678</v>
      </c>
      <c r="B5929" s="15" t="s">
        <v>11679</v>
      </c>
      <c r="C5929" s="16">
        <f>62.81/(1+B2)</f>
        <v>62.81</v>
      </c>
      <c r="D5929" s="17" t="s">
        <v>14</v>
      </c>
      <c r="E5929" s="17"/>
      <c r="F5929" s="18"/>
      <c r="G5929" s="36" t="str">
        <f>IF(ISNUMBER(F5929),C5929*F5929,"")</f>
        <v/>
      </c>
    </row>
    <row r="5930" spans="1:7" ht="12" customHeight="1" outlineLevel="2" x14ac:dyDescent="0.2">
      <c r="A5930" s="14" t="s">
        <v>11680</v>
      </c>
      <c r="B5930" s="15" t="s">
        <v>11681</v>
      </c>
      <c r="C5930" s="16">
        <f>57.74/(1+B2)</f>
        <v>57.74</v>
      </c>
      <c r="D5930" s="17" t="s">
        <v>11</v>
      </c>
      <c r="E5930" s="17"/>
      <c r="F5930" s="18"/>
      <c r="G5930" s="36" t="str">
        <f>IF(ISNUMBER(F5930),C5930*F5930,"")</f>
        <v/>
      </c>
    </row>
    <row r="5931" spans="1:7" ht="12" customHeight="1" outlineLevel="2" x14ac:dyDescent="0.2">
      <c r="A5931" s="14" t="s">
        <v>11682</v>
      </c>
      <c r="B5931" s="15" t="s">
        <v>11683</v>
      </c>
      <c r="C5931" s="16">
        <f>28.55/(1+B2)</f>
        <v>28.55</v>
      </c>
      <c r="D5931" s="17" t="s">
        <v>11</v>
      </c>
      <c r="E5931" s="17"/>
      <c r="F5931" s="18"/>
      <c r="G5931" s="36" t="str">
        <f>IF(ISNUMBER(F5931),C5931*F5931,"")</f>
        <v/>
      </c>
    </row>
    <row r="5932" spans="1:7" ht="12" customHeight="1" outlineLevel="2" x14ac:dyDescent="0.2">
      <c r="A5932" s="14" t="s">
        <v>11684</v>
      </c>
      <c r="B5932" s="15" t="s">
        <v>11685</v>
      </c>
      <c r="C5932" s="16">
        <f>34.64/(1+B2)</f>
        <v>34.64</v>
      </c>
      <c r="D5932" s="17" t="s">
        <v>11</v>
      </c>
      <c r="E5932" s="17"/>
      <c r="F5932" s="18"/>
      <c r="G5932" s="36" t="str">
        <f>IF(ISNUMBER(F5932),C5932*F5932,"")</f>
        <v/>
      </c>
    </row>
    <row r="5933" spans="1:7" ht="12" customHeight="1" outlineLevel="2" x14ac:dyDescent="0.2">
      <c r="A5933" s="14" t="s">
        <v>11686</v>
      </c>
      <c r="B5933" s="15" t="s">
        <v>11687</v>
      </c>
      <c r="C5933" s="16">
        <f>54.82/(1+B2)</f>
        <v>54.82</v>
      </c>
      <c r="D5933" s="17" t="s">
        <v>11</v>
      </c>
      <c r="E5933" s="17"/>
      <c r="F5933" s="18"/>
      <c r="G5933" s="36" t="str">
        <f>IF(ISNUMBER(F5933),C5933*F5933,"")</f>
        <v/>
      </c>
    </row>
    <row r="5934" spans="1:7" ht="12" customHeight="1" outlineLevel="2" x14ac:dyDescent="0.2">
      <c r="A5934" s="14" t="s">
        <v>11688</v>
      </c>
      <c r="B5934" s="15" t="s">
        <v>11689</v>
      </c>
      <c r="C5934" s="16">
        <f>44.53/(1+B2)</f>
        <v>44.53</v>
      </c>
      <c r="D5934" s="17" t="s">
        <v>11</v>
      </c>
      <c r="E5934" s="17"/>
      <c r="F5934" s="18"/>
      <c r="G5934" s="36" t="str">
        <f>IF(ISNUMBER(F5934),C5934*F5934,"")</f>
        <v/>
      </c>
    </row>
    <row r="5935" spans="1:7" ht="24" customHeight="1" outlineLevel="2" x14ac:dyDescent="0.2">
      <c r="A5935" s="14" t="s">
        <v>11690</v>
      </c>
      <c r="B5935" s="15" t="s">
        <v>11691</v>
      </c>
      <c r="C5935" s="16">
        <f>44.53/(1+B2)</f>
        <v>44.53</v>
      </c>
      <c r="D5935" s="17" t="s">
        <v>11</v>
      </c>
      <c r="E5935" s="17"/>
      <c r="F5935" s="18"/>
      <c r="G5935" s="36" t="str">
        <f>IF(ISNUMBER(F5935),C5935*F5935,"")</f>
        <v/>
      </c>
    </row>
    <row r="5936" spans="1:7" ht="12" customHeight="1" outlineLevel="2" x14ac:dyDescent="0.2">
      <c r="A5936" s="14" t="s">
        <v>11692</v>
      </c>
      <c r="B5936" s="15" t="s">
        <v>11693</v>
      </c>
      <c r="C5936" s="16">
        <f>44.53/(1+B2)</f>
        <v>44.53</v>
      </c>
      <c r="D5936" s="17" t="s">
        <v>14</v>
      </c>
      <c r="E5936" s="17"/>
      <c r="F5936" s="18"/>
      <c r="G5936" s="36" t="str">
        <f>IF(ISNUMBER(F5936),C5936*F5936,"")</f>
        <v/>
      </c>
    </row>
    <row r="5937" spans="1:7" ht="24" customHeight="1" outlineLevel="2" x14ac:dyDescent="0.2">
      <c r="A5937" s="14" t="s">
        <v>11694</v>
      </c>
      <c r="B5937" s="15" t="s">
        <v>11695</v>
      </c>
      <c r="C5937" s="16">
        <f>45.67/(1+B2)</f>
        <v>45.67</v>
      </c>
      <c r="D5937" s="17" t="s">
        <v>11</v>
      </c>
      <c r="E5937" s="17"/>
      <c r="F5937" s="18"/>
      <c r="G5937" s="36" t="str">
        <f>IF(ISNUMBER(F5937),C5937*F5937,"")</f>
        <v/>
      </c>
    </row>
    <row r="5938" spans="1:7" ht="24" customHeight="1" outlineLevel="2" x14ac:dyDescent="0.2">
      <c r="A5938" s="14" t="s">
        <v>11696</v>
      </c>
      <c r="B5938" s="15" t="s">
        <v>11697</v>
      </c>
      <c r="C5938" s="16">
        <f>44.06/(1+B2)</f>
        <v>44.06</v>
      </c>
      <c r="D5938" s="17" t="s">
        <v>11</v>
      </c>
      <c r="E5938" s="17"/>
      <c r="F5938" s="18"/>
      <c r="G5938" s="36" t="str">
        <f>IF(ISNUMBER(F5938),C5938*F5938,"")</f>
        <v/>
      </c>
    </row>
    <row r="5939" spans="1:7" ht="24" customHeight="1" outlineLevel="2" x14ac:dyDescent="0.2">
      <c r="A5939" s="14" t="s">
        <v>11698</v>
      </c>
      <c r="B5939" s="15" t="s">
        <v>11699</v>
      </c>
      <c r="C5939" s="16">
        <f>41.93/(1+B2)</f>
        <v>41.93</v>
      </c>
      <c r="D5939" s="17" t="s">
        <v>14</v>
      </c>
      <c r="E5939" s="17"/>
      <c r="F5939" s="18"/>
      <c r="G5939" s="36" t="str">
        <f>IF(ISNUMBER(F5939),C5939*F5939,"")</f>
        <v/>
      </c>
    </row>
    <row r="5940" spans="1:7" ht="24" customHeight="1" outlineLevel="2" x14ac:dyDescent="0.2">
      <c r="A5940" s="14" t="s">
        <v>11700</v>
      </c>
      <c r="B5940" s="15" t="s">
        <v>11701</v>
      </c>
      <c r="C5940" s="16">
        <f>23.98/(1+B2)</f>
        <v>23.98</v>
      </c>
      <c r="D5940" s="17" t="s">
        <v>11</v>
      </c>
      <c r="E5940" s="17"/>
      <c r="F5940" s="18"/>
      <c r="G5940" s="36" t="str">
        <f>IF(ISNUMBER(F5940),C5940*F5940,"")</f>
        <v/>
      </c>
    </row>
    <row r="5941" spans="1:7" ht="24" customHeight="1" outlineLevel="2" x14ac:dyDescent="0.2">
      <c r="A5941" s="14" t="s">
        <v>11702</v>
      </c>
      <c r="B5941" s="15" t="s">
        <v>11703</v>
      </c>
      <c r="C5941" s="16">
        <f>38.04/(1+B2)</f>
        <v>38.04</v>
      </c>
      <c r="D5941" s="17" t="s">
        <v>11</v>
      </c>
      <c r="E5941" s="17"/>
      <c r="F5941" s="18"/>
      <c r="G5941" s="36" t="str">
        <f>IF(ISNUMBER(F5941),C5941*F5941,"")</f>
        <v/>
      </c>
    </row>
    <row r="5942" spans="1:7" ht="24" customHeight="1" outlineLevel="2" x14ac:dyDescent="0.2">
      <c r="A5942" s="14" t="s">
        <v>11704</v>
      </c>
      <c r="B5942" s="15" t="s">
        <v>11705</v>
      </c>
      <c r="C5942" s="16">
        <f>30.2/(1+B2)</f>
        <v>30.2</v>
      </c>
      <c r="D5942" s="17" t="s">
        <v>11</v>
      </c>
      <c r="E5942" s="17"/>
      <c r="F5942" s="18"/>
      <c r="G5942" s="36" t="str">
        <f>IF(ISNUMBER(F5942),C5942*F5942,"")</f>
        <v/>
      </c>
    </row>
    <row r="5943" spans="1:7" s="1" customFormat="1" ht="15.95" customHeight="1" outlineLevel="1" x14ac:dyDescent="0.25">
      <c r="A5943" s="11"/>
      <c r="B5943" s="12" t="s">
        <v>11706</v>
      </c>
      <c r="C5943" s="13"/>
      <c r="D5943" s="13"/>
      <c r="E5943" s="13"/>
      <c r="F5943" s="13"/>
      <c r="G5943" s="35"/>
    </row>
    <row r="5944" spans="1:7" ht="12" customHeight="1" outlineLevel="2" x14ac:dyDescent="0.2">
      <c r="A5944" s="14" t="s">
        <v>11707</v>
      </c>
      <c r="B5944" s="15" t="s">
        <v>11708</v>
      </c>
      <c r="C5944" s="16">
        <f>107.85/(1+B2)</f>
        <v>107.85</v>
      </c>
      <c r="D5944" s="17" t="s">
        <v>11</v>
      </c>
      <c r="E5944" s="17"/>
      <c r="F5944" s="18"/>
      <c r="G5944" s="36" t="str">
        <f>IF(ISNUMBER(F5944),C5944*F5944,"")</f>
        <v/>
      </c>
    </row>
    <row r="5945" spans="1:7" ht="12" customHeight="1" outlineLevel="2" x14ac:dyDescent="0.2">
      <c r="A5945" s="14" t="s">
        <v>11709</v>
      </c>
      <c r="B5945" s="15" t="s">
        <v>11710</v>
      </c>
      <c r="C5945" s="16">
        <f>139.57/(1+B2)</f>
        <v>139.57</v>
      </c>
      <c r="D5945" s="17" t="s">
        <v>11</v>
      </c>
      <c r="E5945" s="17"/>
      <c r="F5945" s="18"/>
      <c r="G5945" s="36" t="str">
        <f>IF(ISNUMBER(F5945),C5945*F5945,"")</f>
        <v/>
      </c>
    </row>
    <row r="5946" spans="1:7" ht="24" customHeight="1" outlineLevel="2" x14ac:dyDescent="0.2">
      <c r="A5946" s="14" t="s">
        <v>11711</v>
      </c>
      <c r="B5946" s="15" t="s">
        <v>11712</v>
      </c>
      <c r="C5946" s="16">
        <f>50/(1+B2)</f>
        <v>50</v>
      </c>
      <c r="D5946" s="17" t="s">
        <v>11</v>
      </c>
      <c r="E5946" s="17"/>
      <c r="F5946" s="18"/>
      <c r="G5946" s="36" t="str">
        <f>IF(ISNUMBER(F5946),C5946*F5946,"")</f>
        <v/>
      </c>
    </row>
    <row r="5947" spans="1:7" ht="12" customHeight="1" outlineLevel="2" x14ac:dyDescent="0.2">
      <c r="A5947" s="14" t="s">
        <v>11713</v>
      </c>
      <c r="B5947" s="15" t="s">
        <v>11714</v>
      </c>
      <c r="C5947" s="16">
        <f>60.51/(1+B2)</f>
        <v>60.51</v>
      </c>
      <c r="D5947" s="17" t="s">
        <v>11</v>
      </c>
      <c r="E5947" s="17"/>
      <c r="F5947" s="18"/>
      <c r="G5947" s="36" t="str">
        <f>IF(ISNUMBER(F5947),C5947*F5947,"")</f>
        <v/>
      </c>
    </row>
    <row r="5948" spans="1:7" ht="12" customHeight="1" outlineLevel="2" x14ac:dyDescent="0.2">
      <c r="A5948" s="14" t="s">
        <v>11715</v>
      </c>
      <c r="B5948" s="15" t="s">
        <v>11716</v>
      </c>
      <c r="C5948" s="16">
        <f>32.63/(1+B2)</f>
        <v>32.630000000000003</v>
      </c>
      <c r="D5948" s="17" t="s">
        <v>14</v>
      </c>
      <c r="E5948" s="17"/>
      <c r="F5948" s="18"/>
      <c r="G5948" s="36" t="str">
        <f>IF(ISNUMBER(F5948),C5948*F5948,"")</f>
        <v/>
      </c>
    </row>
    <row r="5949" spans="1:7" ht="24" customHeight="1" outlineLevel="2" x14ac:dyDescent="0.2">
      <c r="A5949" s="14" t="s">
        <v>11717</v>
      </c>
      <c r="B5949" s="15" t="s">
        <v>11718</v>
      </c>
      <c r="C5949" s="16">
        <f>30.45/(1+B2)</f>
        <v>30.45</v>
      </c>
      <c r="D5949" s="17" t="s">
        <v>11</v>
      </c>
      <c r="E5949" s="17"/>
      <c r="F5949" s="18"/>
      <c r="G5949" s="36" t="str">
        <f>IF(ISNUMBER(F5949),C5949*F5949,"")</f>
        <v/>
      </c>
    </row>
    <row r="5950" spans="1:7" ht="12" customHeight="1" outlineLevel="2" x14ac:dyDescent="0.2">
      <c r="A5950" s="14" t="s">
        <v>11719</v>
      </c>
      <c r="B5950" s="15" t="s">
        <v>11720</v>
      </c>
      <c r="C5950" s="16">
        <f>32.18/(1+B2)</f>
        <v>32.18</v>
      </c>
      <c r="D5950" s="17" t="s">
        <v>11</v>
      </c>
      <c r="E5950" s="17"/>
      <c r="F5950" s="18"/>
      <c r="G5950" s="36" t="str">
        <f>IF(ISNUMBER(F5950),C5950*F5950,"")</f>
        <v/>
      </c>
    </row>
    <row r="5951" spans="1:7" ht="12" customHeight="1" outlineLevel="2" x14ac:dyDescent="0.2">
      <c r="A5951" s="14" t="s">
        <v>11721</v>
      </c>
      <c r="B5951" s="15" t="s">
        <v>11722</v>
      </c>
      <c r="C5951" s="16">
        <f>63.29/(1+B2)</f>
        <v>63.29</v>
      </c>
      <c r="D5951" s="17" t="s">
        <v>14</v>
      </c>
      <c r="E5951" s="17"/>
      <c r="F5951" s="18"/>
      <c r="G5951" s="36" t="str">
        <f>IF(ISNUMBER(F5951),C5951*F5951,"")</f>
        <v/>
      </c>
    </row>
    <row r="5952" spans="1:7" ht="12" customHeight="1" outlineLevel="2" x14ac:dyDescent="0.2">
      <c r="A5952" s="14" t="s">
        <v>11723</v>
      </c>
      <c r="B5952" s="15" t="s">
        <v>11724</v>
      </c>
      <c r="C5952" s="16">
        <f>42.2/(1+B2)</f>
        <v>42.2</v>
      </c>
      <c r="D5952" s="17" t="s">
        <v>14</v>
      </c>
      <c r="E5952" s="17"/>
      <c r="F5952" s="18"/>
      <c r="G5952" s="36" t="str">
        <f>IF(ISNUMBER(F5952),C5952*F5952,"")</f>
        <v/>
      </c>
    </row>
    <row r="5953" spans="1:7" ht="24" customHeight="1" outlineLevel="2" x14ac:dyDescent="0.2">
      <c r="A5953" s="14" t="s">
        <v>11725</v>
      </c>
      <c r="B5953" s="15" t="s">
        <v>11726</v>
      </c>
      <c r="C5953" s="16">
        <f>47.58/(1+B2)</f>
        <v>47.58</v>
      </c>
      <c r="D5953" s="17" t="s">
        <v>14</v>
      </c>
      <c r="E5953" s="17"/>
      <c r="F5953" s="18"/>
      <c r="G5953" s="36" t="str">
        <f>IF(ISNUMBER(F5953),C5953*F5953,"")</f>
        <v/>
      </c>
    </row>
    <row r="5954" spans="1:7" s="1" customFormat="1" ht="15.95" customHeight="1" outlineLevel="1" x14ac:dyDescent="0.25">
      <c r="A5954" s="11"/>
      <c r="B5954" s="12" t="s">
        <v>11727</v>
      </c>
      <c r="C5954" s="13"/>
      <c r="D5954" s="13"/>
      <c r="E5954" s="13"/>
      <c r="F5954" s="13"/>
      <c r="G5954" s="35"/>
    </row>
    <row r="5955" spans="1:7" ht="24" customHeight="1" outlineLevel="2" x14ac:dyDescent="0.2">
      <c r="A5955" s="14" t="s">
        <v>11728</v>
      </c>
      <c r="B5955" s="15" t="s">
        <v>11729</v>
      </c>
      <c r="C5955" s="16">
        <f>2.34/(1+B2)</f>
        <v>2.34</v>
      </c>
      <c r="D5955" s="17" t="s">
        <v>11</v>
      </c>
      <c r="E5955" s="17"/>
      <c r="F5955" s="18"/>
      <c r="G5955" s="36" t="str">
        <f>IF(ISNUMBER(F5955),C5955*F5955,"")</f>
        <v/>
      </c>
    </row>
    <row r="5956" spans="1:7" ht="24" customHeight="1" outlineLevel="2" x14ac:dyDescent="0.2">
      <c r="A5956" s="14" t="s">
        <v>11730</v>
      </c>
      <c r="B5956" s="15" t="s">
        <v>11731</v>
      </c>
      <c r="C5956" s="16">
        <f>15.78/(1+B2)</f>
        <v>15.78</v>
      </c>
      <c r="D5956" s="17" t="s">
        <v>14</v>
      </c>
      <c r="E5956" s="17"/>
      <c r="F5956" s="18"/>
      <c r="G5956" s="36" t="str">
        <f>IF(ISNUMBER(F5956),C5956*F5956,"")</f>
        <v/>
      </c>
    </row>
    <row r="5957" spans="1:7" ht="24" customHeight="1" outlineLevel="2" x14ac:dyDescent="0.2">
      <c r="A5957" s="14" t="s">
        <v>11732</v>
      </c>
      <c r="B5957" s="15" t="s">
        <v>11733</v>
      </c>
      <c r="C5957" s="16">
        <f>8.47/(1+B2)</f>
        <v>8.4700000000000006</v>
      </c>
      <c r="D5957" s="17" t="s">
        <v>53</v>
      </c>
      <c r="E5957" s="17"/>
      <c r="F5957" s="18"/>
      <c r="G5957" s="36" t="str">
        <f>IF(ISNUMBER(F5957),C5957*F5957,"")</f>
        <v/>
      </c>
    </row>
    <row r="5958" spans="1:7" ht="12" customHeight="1" outlineLevel="2" x14ac:dyDescent="0.2">
      <c r="A5958" s="14" t="s">
        <v>11734</v>
      </c>
      <c r="B5958" s="15" t="s">
        <v>11735</v>
      </c>
      <c r="C5958" s="16">
        <f>7.69/(1+B2)</f>
        <v>7.69</v>
      </c>
      <c r="D5958" s="17" t="s">
        <v>11</v>
      </c>
      <c r="E5958" s="17"/>
      <c r="F5958" s="18"/>
      <c r="G5958" s="36" t="str">
        <f>IF(ISNUMBER(F5958),C5958*F5958,"")</f>
        <v/>
      </c>
    </row>
    <row r="5959" spans="1:7" ht="12" customHeight="1" outlineLevel="2" x14ac:dyDescent="0.2">
      <c r="A5959" s="14" t="s">
        <v>11736</v>
      </c>
      <c r="B5959" s="15" t="s">
        <v>11737</v>
      </c>
      <c r="C5959" s="16">
        <f>8.47/(1+B2)</f>
        <v>8.4700000000000006</v>
      </c>
      <c r="D5959" s="17" t="s">
        <v>11</v>
      </c>
      <c r="E5959" s="17" t="s">
        <v>53</v>
      </c>
      <c r="F5959" s="18"/>
      <c r="G5959" s="36" t="str">
        <f>IF(ISNUMBER(F5959),C5959*F5959,"")</f>
        <v/>
      </c>
    </row>
    <row r="5960" spans="1:7" ht="24" customHeight="1" outlineLevel="2" x14ac:dyDescent="0.2">
      <c r="A5960" s="14" t="s">
        <v>11738</v>
      </c>
      <c r="B5960" s="15" t="s">
        <v>11739</v>
      </c>
      <c r="C5960" s="16">
        <f>7/(1+B2)</f>
        <v>7</v>
      </c>
      <c r="D5960" s="17" t="s">
        <v>14</v>
      </c>
      <c r="E5960" s="17"/>
      <c r="F5960" s="18"/>
      <c r="G5960" s="36" t="str">
        <f>IF(ISNUMBER(F5960),C5960*F5960,"")</f>
        <v/>
      </c>
    </row>
    <row r="5961" spans="1:7" ht="12" customHeight="1" outlineLevel="2" x14ac:dyDescent="0.2">
      <c r="A5961" s="14" t="s">
        <v>11740</v>
      </c>
      <c r="B5961" s="15" t="s">
        <v>11741</v>
      </c>
      <c r="C5961" s="16">
        <f>9.9/(1+B2)</f>
        <v>9.9</v>
      </c>
      <c r="D5961" s="17" t="s">
        <v>11</v>
      </c>
      <c r="E5961" s="17"/>
      <c r="F5961" s="18"/>
      <c r="G5961" s="36" t="str">
        <f>IF(ISNUMBER(F5961),C5961*F5961,"")</f>
        <v/>
      </c>
    </row>
    <row r="5962" spans="1:7" ht="12" customHeight="1" outlineLevel="2" x14ac:dyDescent="0.2">
      <c r="A5962" s="14" t="s">
        <v>11742</v>
      </c>
      <c r="B5962" s="15" t="s">
        <v>11743</v>
      </c>
      <c r="C5962" s="16">
        <f>10.42/(1+B2)</f>
        <v>10.42</v>
      </c>
      <c r="D5962" s="17" t="s">
        <v>53</v>
      </c>
      <c r="E5962" s="17"/>
      <c r="F5962" s="18"/>
      <c r="G5962" s="36" t="str">
        <f>IF(ISNUMBER(F5962),C5962*F5962,"")</f>
        <v/>
      </c>
    </row>
    <row r="5963" spans="1:7" ht="12" customHeight="1" outlineLevel="2" x14ac:dyDescent="0.2">
      <c r="A5963" s="14" t="s">
        <v>11744</v>
      </c>
      <c r="B5963" s="15" t="s">
        <v>11745</v>
      </c>
      <c r="C5963" s="16">
        <f>10.42/(1+B2)</f>
        <v>10.42</v>
      </c>
      <c r="D5963" s="17" t="s">
        <v>11</v>
      </c>
      <c r="E5963" s="17" t="s">
        <v>14</v>
      </c>
      <c r="F5963" s="18"/>
      <c r="G5963" s="36" t="str">
        <f>IF(ISNUMBER(F5963),C5963*F5963,"")</f>
        <v/>
      </c>
    </row>
    <row r="5964" spans="1:7" ht="12" customHeight="1" outlineLevel="2" x14ac:dyDescent="0.2">
      <c r="A5964" s="14" t="s">
        <v>11746</v>
      </c>
      <c r="B5964" s="15" t="s">
        <v>11747</v>
      </c>
      <c r="C5964" s="16">
        <f>10.42/(1+B2)</f>
        <v>10.42</v>
      </c>
      <c r="D5964" s="17" t="s">
        <v>53</v>
      </c>
      <c r="E5964" s="17"/>
      <c r="F5964" s="18"/>
      <c r="G5964" s="36" t="str">
        <f>IF(ISNUMBER(F5964),C5964*F5964,"")</f>
        <v/>
      </c>
    </row>
    <row r="5965" spans="1:7" ht="12" customHeight="1" outlineLevel="2" x14ac:dyDescent="0.2">
      <c r="A5965" s="14" t="s">
        <v>11748</v>
      </c>
      <c r="B5965" s="15" t="s">
        <v>11749</v>
      </c>
      <c r="C5965" s="16">
        <f>10.42/(1+B2)</f>
        <v>10.42</v>
      </c>
      <c r="D5965" s="17" t="s">
        <v>11</v>
      </c>
      <c r="E5965" s="17" t="s">
        <v>53</v>
      </c>
      <c r="F5965" s="18"/>
      <c r="G5965" s="36" t="str">
        <f>IF(ISNUMBER(F5965),C5965*F5965,"")</f>
        <v/>
      </c>
    </row>
    <row r="5966" spans="1:7" ht="24" customHeight="1" outlineLevel="2" x14ac:dyDescent="0.2">
      <c r="A5966" s="14" t="s">
        <v>11750</v>
      </c>
      <c r="B5966" s="15" t="s">
        <v>11751</v>
      </c>
      <c r="C5966" s="16">
        <f>9.9/(1+B2)</f>
        <v>9.9</v>
      </c>
      <c r="D5966" s="17" t="s">
        <v>11</v>
      </c>
      <c r="E5966" s="17"/>
      <c r="F5966" s="18"/>
      <c r="G5966" s="36" t="str">
        <f>IF(ISNUMBER(F5966),C5966*F5966,"")</f>
        <v/>
      </c>
    </row>
    <row r="5967" spans="1:7" ht="12" customHeight="1" outlineLevel="2" x14ac:dyDescent="0.2">
      <c r="A5967" s="14" t="s">
        <v>11752</v>
      </c>
      <c r="B5967" s="15" t="s">
        <v>11753</v>
      </c>
      <c r="C5967" s="16">
        <f>9/(1+B2)</f>
        <v>9</v>
      </c>
      <c r="D5967" s="17" t="s">
        <v>11</v>
      </c>
      <c r="E5967" s="17"/>
      <c r="F5967" s="18"/>
      <c r="G5967" s="36" t="str">
        <f>IF(ISNUMBER(F5967),C5967*F5967,"")</f>
        <v/>
      </c>
    </row>
    <row r="5968" spans="1:7" ht="12" customHeight="1" outlineLevel="2" x14ac:dyDescent="0.2">
      <c r="A5968" s="14" t="s">
        <v>11754</v>
      </c>
      <c r="B5968" s="15" t="s">
        <v>11755</v>
      </c>
      <c r="C5968" s="16">
        <f>10.56/(1+B2)</f>
        <v>10.56</v>
      </c>
      <c r="D5968" s="17" t="s">
        <v>53</v>
      </c>
      <c r="E5968" s="17"/>
      <c r="F5968" s="18"/>
      <c r="G5968" s="36" t="str">
        <f>IF(ISNUMBER(F5968),C5968*F5968,"")</f>
        <v/>
      </c>
    </row>
    <row r="5969" spans="1:7" ht="24" customHeight="1" outlineLevel="2" x14ac:dyDescent="0.2">
      <c r="A5969" s="14" t="s">
        <v>11756</v>
      </c>
      <c r="B5969" s="15" t="s">
        <v>11757</v>
      </c>
      <c r="C5969" s="16">
        <f>5.86/(1+B2)</f>
        <v>5.86</v>
      </c>
      <c r="D5969" s="17" t="s">
        <v>14</v>
      </c>
      <c r="E5969" s="17"/>
      <c r="F5969" s="18"/>
      <c r="G5969" s="36" t="str">
        <f>IF(ISNUMBER(F5969),C5969*F5969,"")</f>
        <v/>
      </c>
    </row>
    <row r="5970" spans="1:7" ht="12" customHeight="1" outlineLevel="2" x14ac:dyDescent="0.2">
      <c r="A5970" s="14" t="s">
        <v>11758</v>
      </c>
      <c r="B5970" s="15" t="s">
        <v>11759</v>
      </c>
      <c r="C5970" s="16">
        <f>15.4/(1+B2)</f>
        <v>15.4</v>
      </c>
      <c r="D5970" s="17" t="s">
        <v>11</v>
      </c>
      <c r="E5970" s="17" t="s">
        <v>53</v>
      </c>
      <c r="F5970" s="18"/>
      <c r="G5970" s="36" t="str">
        <f>IF(ISNUMBER(F5970),C5970*F5970,"")</f>
        <v/>
      </c>
    </row>
    <row r="5971" spans="1:7" ht="12" customHeight="1" outlineLevel="2" x14ac:dyDescent="0.2">
      <c r="A5971" s="14" t="s">
        <v>11760</v>
      </c>
      <c r="B5971" s="15" t="s">
        <v>11761</v>
      </c>
      <c r="C5971" s="16">
        <f>15.85/(1+B2)</f>
        <v>15.85</v>
      </c>
      <c r="D5971" s="17" t="s">
        <v>53</v>
      </c>
      <c r="E5971" s="17"/>
      <c r="F5971" s="18"/>
      <c r="G5971" s="36" t="str">
        <f>IF(ISNUMBER(F5971),C5971*F5971,"")</f>
        <v/>
      </c>
    </row>
    <row r="5972" spans="1:7" ht="24" customHeight="1" outlineLevel="2" x14ac:dyDescent="0.2">
      <c r="A5972" s="14" t="s">
        <v>11762</v>
      </c>
      <c r="B5972" s="15" t="s">
        <v>11763</v>
      </c>
      <c r="C5972" s="16">
        <f>13.28/(1+B2)</f>
        <v>13.28</v>
      </c>
      <c r="D5972" s="17" t="s">
        <v>14</v>
      </c>
      <c r="E5972" s="17"/>
      <c r="F5972" s="18"/>
      <c r="G5972" s="36" t="str">
        <f>IF(ISNUMBER(F5972),C5972*F5972,"")</f>
        <v/>
      </c>
    </row>
    <row r="5973" spans="1:7" ht="12" customHeight="1" outlineLevel="2" x14ac:dyDescent="0.2">
      <c r="A5973" s="14" t="s">
        <v>11764</v>
      </c>
      <c r="B5973" s="15" t="s">
        <v>11765</v>
      </c>
      <c r="C5973" s="16">
        <f>13.28/(1+B2)</f>
        <v>13.28</v>
      </c>
      <c r="D5973" s="17" t="s">
        <v>11</v>
      </c>
      <c r="E5973" s="17"/>
      <c r="F5973" s="18"/>
      <c r="G5973" s="36" t="str">
        <f>IF(ISNUMBER(F5973),C5973*F5973,"")</f>
        <v/>
      </c>
    </row>
    <row r="5974" spans="1:7" ht="24" customHeight="1" outlineLevel="2" x14ac:dyDescent="0.2">
      <c r="A5974" s="14" t="s">
        <v>11766</v>
      </c>
      <c r="B5974" s="15" t="s">
        <v>11767</v>
      </c>
      <c r="C5974" s="16">
        <f>15.43/(1+B2)</f>
        <v>15.43</v>
      </c>
      <c r="D5974" s="17" t="s">
        <v>11</v>
      </c>
      <c r="E5974" s="17"/>
      <c r="F5974" s="18"/>
      <c r="G5974" s="36" t="str">
        <f>IF(ISNUMBER(F5974),C5974*F5974,"")</f>
        <v/>
      </c>
    </row>
    <row r="5975" spans="1:7" ht="24" customHeight="1" outlineLevel="2" x14ac:dyDescent="0.2">
      <c r="A5975" s="14" t="s">
        <v>11768</v>
      </c>
      <c r="B5975" s="15" t="s">
        <v>11769</v>
      </c>
      <c r="C5975" s="16">
        <f>13.28/(1+B2)</f>
        <v>13.28</v>
      </c>
      <c r="D5975" s="17" t="s">
        <v>11</v>
      </c>
      <c r="E5975" s="17"/>
      <c r="F5975" s="18"/>
      <c r="G5975" s="36" t="str">
        <f>IF(ISNUMBER(F5975),C5975*F5975,"")</f>
        <v/>
      </c>
    </row>
    <row r="5976" spans="1:7" ht="24" customHeight="1" outlineLevel="2" x14ac:dyDescent="0.2">
      <c r="A5976" s="14" t="s">
        <v>11770</v>
      </c>
      <c r="B5976" s="15" t="s">
        <v>11771</v>
      </c>
      <c r="C5976" s="16">
        <f>15/(1+B2)</f>
        <v>15</v>
      </c>
      <c r="D5976" s="17" t="s">
        <v>11</v>
      </c>
      <c r="E5976" s="17" t="s">
        <v>11</v>
      </c>
      <c r="F5976" s="18"/>
      <c r="G5976" s="36" t="str">
        <f>IF(ISNUMBER(F5976),C5976*F5976,"")</f>
        <v/>
      </c>
    </row>
    <row r="5977" spans="1:7" ht="24" customHeight="1" outlineLevel="2" x14ac:dyDescent="0.2">
      <c r="A5977" s="14" t="s">
        <v>11772</v>
      </c>
      <c r="B5977" s="15" t="s">
        <v>11773</v>
      </c>
      <c r="C5977" s="16">
        <f>15/(1+B2)</f>
        <v>15</v>
      </c>
      <c r="D5977" s="17" t="s">
        <v>14</v>
      </c>
      <c r="E5977" s="17"/>
      <c r="F5977" s="18"/>
      <c r="G5977" s="36" t="str">
        <f>IF(ISNUMBER(F5977),C5977*F5977,"")</f>
        <v/>
      </c>
    </row>
    <row r="5978" spans="1:7" ht="24" customHeight="1" outlineLevel="2" x14ac:dyDescent="0.2">
      <c r="A5978" s="14" t="s">
        <v>11774</v>
      </c>
      <c r="B5978" s="15" t="s">
        <v>11775</v>
      </c>
      <c r="C5978" s="16">
        <f>15.4/(1+B2)</f>
        <v>15.4</v>
      </c>
      <c r="D5978" s="17" t="s">
        <v>14</v>
      </c>
      <c r="E5978" s="17" t="s">
        <v>53</v>
      </c>
      <c r="F5978" s="18"/>
      <c r="G5978" s="36" t="str">
        <f>IF(ISNUMBER(F5978),C5978*F5978,"")</f>
        <v/>
      </c>
    </row>
    <row r="5979" spans="1:7" ht="12" customHeight="1" outlineLevel="2" x14ac:dyDescent="0.2">
      <c r="A5979" s="14" t="s">
        <v>11776</v>
      </c>
      <c r="B5979" s="15" t="s">
        <v>11777</v>
      </c>
      <c r="C5979" s="16">
        <f>6.66/(1+B2)</f>
        <v>6.66</v>
      </c>
      <c r="D5979" s="17" t="s">
        <v>53</v>
      </c>
      <c r="E5979" s="17"/>
      <c r="F5979" s="18"/>
      <c r="G5979" s="36" t="str">
        <f>IF(ISNUMBER(F5979),C5979*F5979,"")</f>
        <v/>
      </c>
    </row>
    <row r="5980" spans="1:7" ht="12" customHeight="1" outlineLevel="2" x14ac:dyDescent="0.2">
      <c r="A5980" s="14" t="s">
        <v>11778</v>
      </c>
      <c r="B5980" s="15" t="s">
        <v>11779</v>
      </c>
      <c r="C5980" s="16">
        <f>9.72/(1+B2)</f>
        <v>9.7200000000000006</v>
      </c>
      <c r="D5980" s="17" t="s">
        <v>11</v>
      </c>
      <c r="E5980" s="17"/>
      <c r="F5980" s="18"/>
      <c r="G5980" s="36" t="str">
        <f>IF(ISNUMBER(F5980),C5980*F5980,"")</f>
        <v/>
      </c>
    </row>
    <row r="5981" spans="1:7" ht="24" customHeight="1" outlineLevel="2" x14ac:dyDescent="0.2">
      <c r="A5981" s="14" t="s">
        <v>11780</v>
      </c>
      <c r="B5981" s="15" t="s">
        <v>11781</v>
      </c>
      <c r="C5981" s="16">
        <f>8.57/(1+B2)</f>
        <v>8.57</v>
      </c>
      <c r="D5981" s="17" t="s">
        <v>53</v>
      </c>
      <c r="E5981" s="17"/>
      <c r="F5981" s="18"/>
      <c r="G5981" s="36" t="str">
        <f>IF(ISNUMBER(F5981),C5981*F5981,"")</f>
        <v/>
      </c>
    </row>
    <row r="5982" spans="1:7" ht="12" customHeight="1" outlineLevel="2" x14ac:dyDescent="0.2">
      <c r="A5982" s="14" t="s">
        <v>11782</v>
      </c>
      <c r="B5982" s="15" t="s">
        <v>11783</v>
      </c>
      <c r="C5982" s="16">
        <f>10.09/(1+B2)</f>
        <v>10.09</v>
      </c>
      <c r="D5982" s="17" t="s">
        <v>53</v>
      </c>
      <c r="E5982" s="17"/>
      <c r="F5982" s="18"/>
      <c r="G5982" s="36" t="str">
        <f>IF(ISNUMBER(F5982),C5982*F5982,"")</f>
        <v/>
      </c>
    </row>
    <row r="5983" spans="1:7" ht="12" customHeight="1" outlineLevel="2" x14ac:dyDescent="0.2">
      <c r="A5983" s="14" t="s">
        <v>11784</v>
      </c>
      <c r="B5983" s="15" t="s">
        <v>11785</v>
      </c>
      <c r="C5983" s="16">
        <f>9.99/(1+B2)</f>
        <v>9.99</v>
      </c>
      <c r="D5983" s="17" t="s">
        <v>14</v>
      </c>
      <c r="E5983" s="17"/>
      <c r="F5983" s="18"/>
      <c r="G5983" s="36" t="str">
        <f>IF(ISNUMBER(F5983),C5983*F5983,"")</f>
        <v/>
      </c>
    </row>
    <row r="5984" spans="1:7" ht="24" customHeight="1" outlineLevel="2" x14ac:dyDescent="0.2">
      <c r="A5984" s="14" t="s">
        <v>11786</v>
      </c>
      <c r="B5984" s="15" t="s">
        <v>11787</v>
      </c>
      <c r="C5984" s="16">
        <f>8.57/(1+B2)</f>
        <v>8.57</v>
      </c>
      <c r="D5984" s="17" t="s">
        <v>11</v>
      </c>
      <c r="E5984" s="17" t="s">
        <v>11</v>
      </c>
      <c r="F5984" s="18"/>
      <c r="G5984" s="36" t="str">
        <f>IF(ISNUMBER(F5984),C5984*F5984,"")</f>
        <v/>
      </c>
    </row>
    <row r="5985" spans="1:7" ht="12" customHeight="1" outlineLevel="2" x14ac:dyDescent="0.2">
      <c r="A5985" s="14" t="s">
        <v>11788</v>
      </c>
      <c r="B5985" s="15" t="s">
        <v>11789</v>
      </c>
      <c r="C5985" s="16">
        <f>9.54/(1+B2)</f>
        <v>9.5399999999999991</v>
      </c>
      <c r="D5985" s="17" t="s">
        <v>53</v>
      </c>
      <c r="E5985" s="17"/>
      <c r="F5985" s="18"/>
      <c r="G5985" s="36" t="str">
        <f>IF(ISNUMBER(F5985),C5985*F5985,"")</f>
        <v/>
      </c>
    </row>
    <row r="5986" spans="1:7" ht="24" customHeight="1" outlineLevel="2" x14ac:dyDescent="0.2">
      <c r="A5986" s="14" t="s">
        <v>11790</v>
      </c>
      <c r="B5986" s="15" t="s">
        <v>11791</v>
      </c>
      <c r="C5986" s="16">
        <f>9.96/(1+B2)</f>
        <v>9.9600000000000009</v>
      </c>
      <c r="D5986" s="17" t="s">
        <v>53</v>
      </c>
      <c r="E5986" s="17"/>
      <c r="F5986" s="18"/>
      <c r="G5986" s="36" t="str">
        <f>IF(ISNUMBER(F5986),C5986*F5986,"")</f>
        <v/>
      </c>
    </row>
    <row r="5987" spans="1:7" ht="24" customHeight="1" outlineLevel="2" x14ac:dyDescent="0.2">
      <c r="A5987" s="14" t="s">
        <v>11792</v>
      </c>
      <c r="B5987" s="15" t="s">
        <v>11793</v>
      </c>
      <c r="C5987" s="16">
        <f>10.25/(1+B2)</f>
        <v>10.25</v>
      </c>
      <c r="D5987" s="17" t="s">
        <v>14</v>
      </c>
      <c r="E5987" s="17" t="s">
        <v>14</v>
      </c>
      <c r="F5987" s="18"/>
      <c r="G5987" s="36" t="str">
        <f>IF(ISNUMBER(F5987),C5987*F5987,"")</f>
        <v/>
      </c>
    </row>
    <row r="5988" spans="1:7" ht="24" customHeight="1" outlineLevel="2" x14ac:dyDescent="0.2">
      <c r="A5988" s="14" t="s">
        <v>11794</v>
      </c>
      <c r="B5988" s="15" t="s">
        <v>11795</v>
      </c>
      <c r="C5988" s="16">
        <f>18/(1+B2)</f>
        <v>18</v>
      </c>
      <c r="D5988" s="17" t="s">
        <v>53</v>
      </c>
      <c r="E5988" s="17"/>
      <c r="F5988" s="18"/>
      <c r="G5988" s="36" t="str">
        <f>IF(ISNUMBER(F5988),C5988*F5988,"")</f>
        <v/>
      </c>
    </row>
    <row r="5989" spans="1:7" ht="12" customHeight="1" outlineLevel="2" x14ac:dyDescent="0.2">
      <c r="A5989" s="14" t="s">
        <v>11796</v>
      </c>
      <c r="B5989" s="15" t="s">
        <v>11797</v>
      </c>
      <c r="C5989" s="16">
        <f>18/(1+B2)</f>
        <v>18</v>
      </c>
      <c r="D5989" s="17" t="s">
        <v>53</v>
      </c>
      <c r="E5989" s="17"/>
      <c r="F5989" s="18"/>
      <c r="G5989" s="36" t="str">
        <f>IF(ISNUMBER(F5989),C5989*F5989,"")</f>
        <v/>
      </c>
    </row>
    <row r="5990" spans="1:7" ht="12" customHeight="1" outlineLevel="2" x14ac:dyDescent="0.2">
      <c r="A5990" s="14" t="s">
        <v>11798</v>
      </c>
      <c r="B5990" s="15" t="s">
        <v>11799</v>
      </c>
      <c r="C5990" s="16">
        <f>18/(1+B2)</f>
        <v>18</v>
      </c>
      <c r="D5990" s="17" t="s">
        <v>14</v>
      </c>
      <c r="E5990" s="17"/>
      <c r="F5990" s="18"/>
      <c r="G5990" s="36" t="str">
        <f>IF(ISNUMBER(F5990),C5990*F5990,"")</f>
        <v/>
      </c>
    </row>
    <row r="5991" spans="1:7" ht="12" customHeight="1" outlineLevel="2" x14ac:dyDescent="0.2">
      <c r="A5991" s="14" t="s">
        <v>11800</v>
      </c>
      <c r="B5991" s="15" t="s">
        <v>11801</v>
      </c>
      <c r="C5991" s="16">
        <f>18/(1+B2)</f>
        <v>18</v>
      </c>
      <c r="D5991" s="17" t="s">
        <v>53</v>
      </c>
      <c r="E5991" s="17"/>
      <c r="F5991" s="18"/>
      <c r="G5991" s="36" t="str">
        <f>IF(ISNUMBER(F5991),C5991*F5991,"")</f>
        <v/>
      </c>
    </row>
    <row r="5992" spans="1:7" ht="12" customHeight="1" outlineLevel="2" x14ac:dyDescent="0.2">
      <c r="A5992" s="14" t="s">
        <v>11802</v>
      </c>
      <c r="B5992" s="15" t="s">
        <v>11803</v>
      </c>
      <c r="C5992" s="16">
        <f>18/(1+B2)</f>
        <v>18</v>
      </c>
      <c r="D5992" s="17" t="s">
        <v>14</v>
      </c>
      <c r="E5992" s="17"/>
      <c r="F5992" s="18"/>
      <c r="G5992" s="36" t="str">
        <f>IF(ISNUMBER(F5992),C5992*F5992,"")</f>
        <v/>
      </c>
    </row>
    <row r="5993" spans="1:7" ht="24" customHeight="1" outlineLevel="2" x14ac:dyDescent="0.2">
      <c r="A5993" s="14" t="s">
        <v>11804</v>
      </c>
      <c r="B5993" s="15" t="s">
        <v>11805</v>
      </c>
      <c r="C5993" s="16">
        <f>18/(1+B2)</f>
        <v>18</v>
      </c>
      <c r="D5993" s="17" t="s">
        <v>11</v>
      </c>
      <c r="E5993" s="17"/>
      <c r="F5993" s="18"/>
      <c r="G5993" s="36" t="str">
        <f>IF(ISNUMBER(F5993),C5993*F5993,"")</f>
        <v/>
      </c>
    </row>
    <row r="5994" spans="1:7" ht="12" customHeight="1" outlineLevel="2" x14ac:dyDescent="0.2">
      <c r="A5994" s="14" t="s">
        <v>11806</v>
      </c>
      <c r="B5994" s="15" t="s">
        <v>11807</v>
      </c>
      <c r="C5994" s="16">
        <f>18/(1+B2)</f>
        <v>18</v>
      </c>
      <c r="D5994" s="17" t="s">
        <v>14</v>
      </c>
      <c r="E5994" s="17"/>
      <c r="F5994" s="18"/>
      <c r="G5994" s="36" t="str">
        <f>IF(ISNUMBER(F5994),C5994*F5994,"")</f>
        <v/>
      </c>
    </row>
    <row r="5995" spans="1:7" ht="24" customHeight="1" outlineLevel="2" x14ac:dyDescent="0.2">
      <c r="A5995" s="14" t="s">
        <v>11808</v>
      </c>
      <c r="B5995" s="15" t="s">
        <v>11809</v>
      </c>
      <c r="C5995" s="16">
        <f>19.49/(1+B2)</f>
        <v>19.489999999999998</v>
      </c>
      <c r="D5995" s="17" t="s">
        <v>11</v>
      </c>
      <c r="E5995" s="17"/>
      <c r="F5995" s="18"/>
      <c r="G5995" s="36" t="str">
        <f>IF(ISNUMBER(F5995),C5995*F5995,"")</f>
        <v/>
      </c>
    </row>
    <row r="5996" spans="1:7" ht="24" customHeight="1" outlineLevel="2" x14ac:dyDescent="0.2">
      <c r="A5996" s="14" t="s">
        <v>11810</v>
      </c>
      <c r="B5996" s="15" t="s">
        <v>11811</v>
      </c>
      <c r="C5996" s="16">
        <f>14.08/(1+B2)</f>
        <v>14.08</v>
      </c>
      <c r="D5996" s="17" t="s">
        <v>11</v>
      </c>
      <c r="E5996" s="17" t="s">
        <v>53</v>
      </c>
      <c r="F5996" s="18"/>
      <c r="G5996" s="36" t="str">
        <f>IF(ISNUMBER(F5996),C5996*F5996,"")</f>
        <v/>
      </c>
    </row>
    <row r="5997" spans="1:7" ht="24" customHeight="1" outlineLevel="2" x14ac:dyDescent="0.2">
      <c r="A5997" s="14" t="s">
        <v>11812</v>
      </c>
      <c r="B5997" s="15" t="s">
        <v>11813</v>
      </c>
      <c r="C5997" s="16">
        <f>14.08/(1+B2)</f>
        <v>14.08</v>
      </c>
      <c r="D5997" s="17" t="s">
        <v>11</v>
      </c>
      <c r="E5997" s="17" t="s">
        <v>53</v>
      </c>
      <c r="F5997" s="18"/>
      <c r="G5997" s="36" t="str">
        <f>IF(ISNUMBER(F5997),C5997*F5997,"")</f>
        <v/>
      </c>
    </row>
    <row r="5998" spans="1:7" ht="24" customHeight="1" outlineLevel="2" x14ac:dyDescent="0.2">
      <c r="A5998" s="14" t="s">
        <v>11814</v>
      </c>
      <c r="B5998" s="15" t="s">
        <v>11815</v>
      </c>
      <c r="C5998" s="16">
        <f>15.48/(1+B2)</f>
        <v>15.48</v>
      </c>
      <c r="D5998" s="17" t="s">
        <v>11</v>
      </c>
      <c r="E5998" s="17" t="s">
        <v>53</v>
      </c>
      <c r="F5998" s="18"/>
      <c r="G5998" s="36" t="str">
        <f>IF(ISNUMBER(F5998),C5998*F5998,"")</f>
        <v/>
      </c>
    </row>
    <row r="5999" spans="1:7" ht="24" customHeight="1" outlineLevel="2" x14ac:dyDescent="0.2">
      <c r="A5999" s="14" t="s">
        <v>11816</v>
      </c>
      <c r="B5999" s="15" t="s">
        <v>11817</v>
      </c>
      <c r="C5999" s="16">
        <f>15.58/(1+B2)</f>
        <v>15.58</v>
      </c>
      <c r="D5999" s="17" t="s">
        <v>53</v>
      </c>
      <c r="E5999" s="17"/>
      <c r="F5999" s="18"/>
      <c r="G5999" s="36" t="str">
        <f>IF(ISNUMBER(F5999),C5999*F5999,"")</f>
        <v/>
      </c>
    </row>
    <row r="6000" spans="1:7" ht="24" customHeight="1" outlineLevel="2" x14ac:dyDescent="0.2">
      <c r="A6000" s="14" t="s">
        <v>11818</v>
      </c>
      <c r="B6000" s="15" t="s">
        <v>11819</v>
      </c>
      <c r="C6000" s="16">
        <f>15.58/(1+B2)</f>
        <v>15.58</v>
      </c>
      <c r="D6000" s="17" t="s">
        <v>53</v>
      </c>
      <c r="E6000" s="17"/>
      <c r="F6000" s="18"/>
      <c r="G6000" s="36" t="str">
        <f>IF(ISNUMBER(F6000),C6000*F6000,"")</f>
        <v/>
      </c>
    </row>
    <row r="6001" spans="1:7" ht="24" customHeight="1" outlineLevel="2" x14ac:dyDescent="0.2">
      <c r="A6001" s="14" t="s">
        <v>11820</v>
      </c>
      <c r="B6001" s="15" t="s">
        <v>11821</v>
      </c>
      <c r="C6001" s="16">
        <f>15.99/(1+B2)</f>
        <v>15.99</v>
      </c>
      <c r="D6001" s="17" t="s">
        <v>53</v>
      </c>
      <c r="E6001" s="17"/>
      <c r="F6001" s="18"/>
      <c r="G6001" s="36" t="str">
        <f>IF(ISNUMBER(F6001),C6001*F6001,"")</f>
        <v/>
      </c>
    </row>
    <row r="6002" spans="1:7" ht="12" customHeight="1" outlineLevel="2" x14ac:dyDescent="0.2">
      <c r="A6002" s="14" t="s">
        <v>11822</v>
      </c>
      <c r="B6002" s="15" t="s">
        <v>11823</v>
      </c>
      <c r="C6002" s="16">
        <f>27.86/(1+B2)</f>
        <v>27.86</v>
      </c>
      <c r="D6002" s="17" t="s">
        <v>11</v>
      </c>
      <c r="E6002" s="17"/>
      <c r="F6002" s="18"/>
      <c r="G6002" s="36" t="str">
        <f>IF(ISNUMBER(F6002),C6002*F6002,"")</f>
        <v/>
      </c>
    </row>
    <row r="6003" spans="1:7" s="1" customFormat="1" ht="15.95" customHeight="1" outlineLevel="1" x14ac:dyDescent="0.25">
      <c r="A6003" s="11"/>
      <c r="B6003" s="12" t="s">
        <v>11824</v>
      </c>
      <c r="C6003" s="13"/>
      <c r="D6003" s="13"/>
      <c r="E6003" s="13"/>
      <c r="F6003" s="13"/>
      <c r="G6003" s="35"/>
    </row>
    <row r="6004" spans="1:7" ht="24" customHeight="1" outlineLevel="2" x14ac:dyDescent="0.2">
      <c r="A6004" s="14" t="s">
        <v>11825</v>
      </c>
      <c r="B6004" s="15" t="s">
        <v>11826</v>
      </c>
      <c r="C6004" s="16">
        <f>22.07/(1+B2)</f>
        <v>22.07</v>
      </c>
      <c r="D6004" s="17" t="s">
        <v>14</v>
      </c>
      <c r="E6004" s="17" t="s">
        <v>106</v>
      </c>
      <c r="F6004" s="18"/>
      <c r="G6004" s="36" t="str">
        <f>IF(ISNUMBER(F6004),C6004*F6004,"")</f>
        <v/>
      </c>
    </row>
    <row r="6005" spans="1:7" ht="24" customHeight="1" outlineLevel="2" x14ac:dyDescent="0.2">
      <c r="A6005" s="14" t="s">
        <v>11827</v>
      </c>
      <c r="B6005" s="15" t="s">
        <v>11828</v>
      </c>
      <c r="C6005" s="16">
        <f>21.89/(1+B2)</f>
        <v>21.89</v>
      </c>
      <c r="D6005" s="17" t="s">
        <v>11</v>
      </c>
      <c r="E6005" s="17"/>
      <c r="F6005" s="18"/>
      <c r="G6005" s="36" t="str">
        <f>IF(ISNUMBER(F6005),C6005*F6005,"")</f>
        <v/>
      </c>
    </row>
    <row r="6006" spans="1:7" ht="24" customHeight="1" outlineLevel="2" x14ac:dyDescent="0.2">
      <c r="A6006" s="14" t="s">
        <v>11829</v>
      </c>
      <c r="B6006" s="15" t="s">
        <v>11830</v>
      </c>
      <c r="C6006" s="16">
        <f>22.79/(1+B2)</f>
        <v>22.79</v>
      </c>
      <c r="D6006" s="17" t="s">
        <v>11</v>
      </c>
      <c r="E6006" s="17"/>
      <c r="F6006" s="18"/>
      <c r="G6006" s="36" t="str">
        <f>IF(ISNUMBER(F6006),C6006*F6006,"")</f>
        <v/>
      </c>
    </row>
    <row r="6007" spans="1:7" ht="24" customHeight="1" outlineLevel="2" x14ac:dyDescent="0.2">
      <c r="A6007" s="14" t="s">
        <v>11831</v>
      </c>
      <c r="B6007" s="15" t="s">
        <v>11832</v>
      </c>
      <c r="C6007" s="16">
        <f>22.07/(1+B2)</f>
        <v>22.07</v>
      </c>
      <c r="D6007" s="17" t="s">
        <v>14</v>
      </c>
      <c r="E6007" s="17" t="s">
        <v>53</v>
      </c>
      <c r="F6007" s="18"/>
      <c r="G6007" s="36" t="str">
        <f>IF(ISNUMBER(F6007),C6007*F6007,"")</f>
        <v/>
      </c>
    </row>
    <row r="6008" spans="1:7" ht="12" customHeight="1" outlineLevel="2" x14ac:dyDescent="0.2">
      <c r="A6008" s="14" t="s">
        <v>11833</v>
      </c>
      <c r="B6008" s="15" t="s">
        <v>11834</v>
      </c>
      <c r="C6008" s="16">
        <f>26/(1+B2)</f>
        <v>26</v>
      </c>
      <c r="D6008" s="17" t="s">
        <v>11</v>
      </c>
      <c r="E6008" s="17" t="s">
        <v>14</v>
      </c>
      <c r="F6008" s="18"/>
      <c r="G6008" s="36" t="str">
        <f>IF(ISNUMBER(F6008),C6008*F6008,"")</f>
        <v/>
      </c>
    </row>
    <row r="6009" spans="1:7" ht="24" customHeight="1" outlineLevel="2" x14ac:dyDescent="0.2">
      <c r="A6009" s="14" t="s">
        <v>11835</v>
      </c>
      <c r="B6009" s="15" t="s">
        <v>11836</v>
      </c>
      <c r="C6009" s="16">
        <f>26/(1+B2)</f>
        <v>26</v>
      </c>
      <c r="D6009" s="17" t="s">
        <v>11</v>
      </c>
      <c r="E6009" s="17" t="s">
        <v>53</v>
      </c>
      <c r="F6009" s="18"/>
      <c r="G6009" s="36" t="str">
        <f>IF(ISNUMBER(F6009),C6009*F6009,"")</f>
        <v/>
      </c>
    </row>
    <row r="6010" spans="1:7" ht="24" customHeight="1" outlineLevel="2" x14ac:dyDescent="0.2">
      <c r="A6010" s="14" t="s">
        <v>11837</v>
      </c>
      <c r="B6010" s="15" t="s">
        <v>11838</v>
      </c>
      <c r="C6010" s="16">
        <f>26/(1+B2)</f>
        <v>26</v>
      </c>
      <c r="D6010" s="17" t="s">
        <v>11</v>
      </c>
      <c r="E6010" s="17" t="s">
        <v>53</v>
      </c>
      <c r="F6010" s="18"/>
      <c r="G6010" s="36" t="str">
        <f>IF(ISNUMBER(F6010),C6010*F6010,"")</f>
        <v/>
      </c>
    </row>
    <row r="6011" spans="1:7" ht="24" customHeight="1" outlineLevel="2" x14ac:dyDescent="0.2">
      <c r="A6011" s="14" t="s">
        <v>11839</v>
      </c>
      <c r="B6011" s="15" t="s">
        <v>11840</v>
      </c>
      <c r="C6011" s="16">
        <f>26/(1+B2)</f>
        <v>26</v>
      </c>
      <c r="D6011" s="17" t="s">
        <v>14</v>
      </c>
      <c r="E6011" s="17" t="s">
        <v>14</v>
      </c>
      <c r="F6011" s="18"/>
      <c r="G6011" s="36" t="str">
        <f>IF(ISNUMBER(F6011),C6011*F6011,"")</f>
        <v/>
      </c>
    </row>
    <row r="6012" spans="1:7" ht="24" customHeight="1" outlineLevel="2" x14ac:dyDescent="0.2">
      <c r="A6012" s="14" t="s">
        <v>11841</v>
      </c>
      <c r="B6012" s="15" t="s">
        <v>11842</v>
      </c>
      <c r="C6012" s="16">
        <f>26/(1+B2)</f>
        <v>26</v>
      </c>
      <c r="D6012" s="17" t="s">
        <v>11</v>
      </c>
      <c r="E6012" s="17" t="s">
        <v>53</v>
      </c>
      <c r="F6012" s="18"/>
      <c r="G6012" s="36" t="str">
        <f>IF(ISNUMBER(F6012),C6012*F6012,"")</f>
        <v/>
      </c>
    </row>
    <row r="6013" spans="1:7" ht="24" customHeight="1" outlineLevel="2" x14ac:dyDescent="0.2">
      <c r="A6013" s="14" t="s">
        <v>11843</v>
      </c>
      <c r="B6013" s="15" t="s">
        <v>11844</v>
      </c>
      <c r="C6013" s="16">
        <f>26/(1+B2)</f>
        <v>26</v>
      </c>
      <c r="D6013" s="17" t="s">
        <v>11</v>
      </c>
      <c r="E6013" s="17" t="s">
        <v>53</v>
      </c>
      <c r="F6013" s="18"/>
      <c r="G6013" s="36" t="str">
        <f>IF(ISNUMBER(F6013),C6013*F6013,"")</f>
        <v/>
      </c>
    </row>
    <row r="6014" spans="1:7" ht="24" customHeight="1" outlineLevel="2" x14ac:dyDescent="0.2">
      <c r="A6014" s="14" t="s">
        <v>11845</v>
      </c>
      <c r="B6014" s="15" t="s">
        <v>11846</v>
      </c>
      <c r="C6014" s="16">
        <f>26/(1+B2)</f>
        <v>26</v>
      </c>
      <c r="D6014" s="17" t="s">
        <v>11</v>
      </c>
      <c r="E6014" s="17" t="s">
        <v>14</v>
      </c>
      <c r="F6014" s="18"/>
      <c r="G6014" s="36" t="str">
        <f>IF(ISNUMBER(F6014),C6014*F6014,"")</f>
        <v/>
      </c>
    </row>
    <row r="6015" spans="1:7" ht="24" customHeight="1" outlineLevel="2" x14ac:dyDescent="0.2">
      <c r="A6015" s="14" t="s">
        <v>11847</v>
      </c>
      <c r="B6015" s="15" t="s">
        <v>11848</v>
      </c>
      <c r="C6015" s="16">
        <f>25.67/(1+B2)</f>
        <v>25.67</v>
      </c>
      <c r="D6015" s="17" t="s">
        <v>11</v>
      </c>
      <c r="E6015" s="17"/>
      <c r="F6015" s="18"/>
      <c r="G6015" s="36" t="str">
        <f>IF(ISNUMBER(F6015),C6015*F6015,"")</f>
        <v/>
      </c>
    </row>
    <row r="6016" spans="1:7" ht="24" customHeight="1" outlineLevel="2" x14ac:dyDescent="0.2">
      <c r="A6016" s="14" t="s">
        <v>11849</v>
      </c>
      <c r="B6016" s="15" t="s">
        <v>11850</v>
      </c>
      <c r="C6016" s="16">
        <f>30.29/(1+B2)</f>
        <v>30.29</v>
      </c>
      <c r="D6016" s="17" t="s">
        <v>11</v>
      </c>
      <c r="E6016" s="17" t="s">
        <v>14</v>
      </c>
      <c r="F6016" s="18"/>
      <c r="G6016" s="36" t="str">
        <f>IF(ISNUMBER(F6016),C6016*F6016,"")</f>
        <v/>
      </c>
    </row>
    <row r="6017" spans="1:7" ht="24" customHeight="1" outlineLevel="2" x14ac:dyDescent="0.2">
      <c r="A6017" s="14" t="s">
        <v>11851</v>
      </c>
      <c r="B6017" s="15" t="s">
        <v>11852</v>
      </c>
      <c r="C6017" s="16">
        <f>30.29/(1+B2)</f>
        <v>30.29</v>
      </c>
      <c r="D6017" s="17" t="s">
        <v>11</v>
      </c>
      <c r="E6017" s="17"/>
      <c r="F6017" s="18"/>
      <c r="G6017" s="36" t="str">
        <f>IF(ISNUMBER(F6017),C6017*F6017,"")</f>
        <v/>
      </c>
    </row>
    <row r="6018" spans="1:7" ht="24" customHeight="1" outlineLevel="2" x14ac:dyDescent="0.2">
      <c r="A6018" s="14" t="s">
        <v>11853</v>
      </c>
      <c r="B6018" s="15" t="s">
        <v>11854</v>
      </c>
      <c r="C6018" s="16">
        <f>30.29/(1+B2)</f>
        <v>30.29</v>
      </c>
      <c r="D6018" s="17" t="s">
        <v>11</v>
      </c>
      <c r="E6018" s="17" t="s">
        <v>106</v>
      </c>
      <c r="F6018" s="18"/>
      <c r="G6018" s="36" t="str">
        <f>IF(ISNUMBER(F6018),C6018*F6018,"")</f>
        <v/>
      </c>
    </row>
    <row r="6019" spans="1:7" ht="24" customHeight="1" outlineLevel="2" x14ac:dyDescent="0.2">
      <c r="A6019" s="14" t="s">
        <v>11855</v>
      </c>
      <c r="B6019" s="15" t="s">
        <v>11856</v>
      </c>
      <c r="C6019" s="16">
        <f>25.67/(1+B2)</f>
        <v>25.67</v>
      </c>
      <c r="D6019" s="17" t="s">
        <v>11</v>
      </c>
      <c r="E6019" s="17"/>
      <c r="F6019" s="18"/>
      <c r="G6019" s="36" t="str">
        <f>IF(ISNUMBER(F6019),C6019*F6019,"")</f>
        <v/>
      </c>
    </row>
    <row r="6020" spans="1:7" ht="24" customHeight="1" outlineLevel="2" x14ac:dyDescent="0.2">
      <c r="A6020" s="14" t="s">
        <v>11857</v>
      </c>
      <c r="B6020" s="15" t="s">
        <v>11858</v>
      </c>
      <c r="C6020" s="16">
        <f>26.72/(1+B2)</f>
        <v>26.72</v>
      </c>
      <c r="D6020" s="17" t="s">
        <v>11</v>
      </c>
      <c r="E6020" s="17" t="s">
        <v>11</v>
      </c>
      <c r="F6020" s="18"/>
      <c r="G6020" s="36" t="str">
        <f>IF(ISNUMBER(F6020),C6020*F6020,"")</f>
        <v/>
      </c>
    </row>
    <row r="6021" spans="1:7" ht="24" customHeight="1" outlineLevel="2" x14ac:dyDescent="0.2">
      <c r="A6021" s="14" t="s">
        <v>11859</v>
      </c>
      <c r="B6021" s="15" t="s">
        <v>11860</v>
      </c>
      <c r="C6021" s="16">
        <f>25.67/(1+B2)</f>
        <v>25.67</v>
      </c>
      <c r="D6021" s="17" t="s">
        <v>11</v>
      </c>
      <c r="E6021" s="17"/>
      <c r="F6021" s="18"/>
      <c r="G6021" s="36" t="str">
        <f>IF(ISNUMBER(F6021),C6021*F6021,"")</f>
        <v/>
      </c>
    </row>
    <row r="6022" spans="1:7" ht="24" customHeight="1" outlineLevel="2" x14ac:dyDescent="0.2">
      <c r="A6022" s="14" t="s">
        <v>11861</v>
      </c>
      <c r="B6022" s="15" t="s">
        <v>11862</v>
      </c>
      <c r="C6022" s="16">
        <f>30.29/(1+B2)</f>
        <v>30.29</v>
      </c>
      <c r="D6022" s="17" t="s">
        <v>11</v>
      </c>
      <c r="E6022" s="17" t="s">
        <v>53</v>
      </c>
      <c r="F6022" s="18"/>
      <c r="G6022" s="36" t="str">
        <f>IF(ISNUMBER(F6022),C6022*F6022,"")</f>
        <v/>
      </c>
    </row>
    <row r="6023" spans="1:7" ht="24" customHeight="1" outlineLevel="2" x14ac:dyDescent="0.2">
      <c r="A6023" s="14" t="s">
        <v>11863</v>
      </c>
      <c r="B6023" s="15" t="s">
        <v>11864</v>
      </c>
      <c r="C6023" s="16">
        <f>26.02/(1+B2)</f>
        <v>26.02</v>
      </c>
      <c r="D6023" s="17" t="s">
        <v>14</v>
      </c>
      <c r="E6023" s="17"/>
      <c r="F6023" s="18"/>
      <c r="G6023" s="36" t="str">
        <f>IF(ISNUMBER(F6023),C6023*F6023,"")</f>
        <v/>
      </c>
    </row>
    <row r="6024" spans="1:7" ht="24" customHeight="1" outlineLevel="2" x14ac:dyDescent="0.2">
      <c r="A6024" s="14" t="s">
        <v>11865</v>
      </c>
      <c r="B6024" s="15" t="s">
        <v>11866</v>
      </c>
      <c r="C6024" s="16">
        <f>30.29/(1+B2)</f>
        <v>30.29</v>
      </c>
      <c r="D6024" s="17" t="s">
        <v>11</v>
      </c>
      <c r="E6024" s="17" t="s">
        <v>53</v>
      </c>
      <c r="F6024" s="18"/>
      <c r="G6024" s="36" t="str">
        <f>IF(ISNUMBER(F6024),C6024*F6024,"")</f>
        <v/>
      </c>
    </row>
    <row r="6025" spans="1:7" ht="24" customHeight="1" outlineLevel="2" x14ac:dyDescent="0.2">
      <c r="A6025" s="14" t="s">
        <v>11867</v>
      </c>
      <c r="B6025" s="15" t="s">
        <v>11868</v>
      </c>
      <c r="C6025" s="16">
        <f>30.29/(1+B2)</f>
        <v>30.29</v>
      </c>
      <c r="D6025" s="17" t="s">
        <v>11</v>
      </c>
      <c r="E6025" s="17" t="s">
        <v>14</v>
      </c>
      <c r="F6025" s="18"/>
      <c r="G6025" s="36" t="str">
        <f>IF(ISNUMBER(F6025),C6025*F6025,"")</f>
        <v/>
      </c>
    </row>
    <row r="6026" spans="1:7" ht="24" customHeight="1" outlineLevel="2" x14ac:dyDescent="0.2">
      <c r="A6026" s="14" t="s">
        <v>11869</v>
      </c>
      <c r="B6026" s="15" t="s">
        <v>11870</v>
      </c>
      <c r="C6026" s="16">
        <f>30.29/(1+B2)</f>
        <v>30.29</v>
      </c>
      <c r="D6026" s="17" t="s">
        <v>11</v>
      </c>
      <c r="E6026" s="17"/>
      <c r="F6026" s="18"/>
      <c r="G6026" s="36" t="str">
        <f>IF(ISNUMBER(F6026),C6026*F6026,"")</f>
        <v/>
      </c>
    </row>
    <row r="6027" spans="1:7" ht="24" customHeight="1" outlineLevel="2" x14ac:dyDescent="0.2">
      <c r="A6027" s="14" t="s">
        <v>11871</v>
      </c>
      <c r="B6027" s="15" t="s">
        <v>11872</v>
      </c>
      <c r="C6027" s="16">
        <f>25.67/(1+B2)</f>
        <v>25.67</v>
      </c>
      <c r="D6027" s="17" t="s">
        <v>11</v>
      </c>
      <c r="E6027" s="17" t="s">
        <v>11</v>
      </c>
      <c r="F6027" s="18"/>
      <c r="G6027" s="36" t="str">
        <f>IF(ISNUMBER(F6027),C6027*F6027,"")</f>
        <v/>
      </c>
    </row>
    <row r="6028" spans="1:7" ht="24" customHeight="1" outlineLevel="2" x14ac:dyDescent="0.2">
      <c r="A6028" s="14" t="s">
        <v>11873</v>
      </c>
      <c r="B6028" s="15" t="s">
        <v>11874</v>
      </c>
      <c r="C6028" s="16">
        <f>30.29/(1+B2)</f>
        <v>30.29</v>
      </c>
      <c r="D6028" s="17" t="s">
        <v>14</v>
      </c>
      <c r="E6028" s="17" t="s">
        <v>53</v>
      </c>
      <c r="F6028" s="18"/>
      <c r="G6028" s="36" t="str">
        <f>IF(ISNUMBER(F6028),C6028*F6028,"")</f>
        <v/>
      </c>
    </row>
    <row r="6029" spans="1:7" ht="24" customHeight="1" outlineLevel="2" x14ac:dyDescent="0.2">
      <c r="A6029" s="14" t="s">
        <v>11875</v>
      </c>
      <c r="B6029" s="15" t="s">
        <v>11876</v>
      </c>
      <c r="C6029" s="16">
        <f>36.43/(1+B2)</f>
        <v>36.43</v>
      </c>
      <c r="D6029" s="17" t="s">
        <v>11</v>
      </c>
      <c r="E6029" s="17" t="s">
        <v>14</v>
      </c>
      <c r="F6029" s="18"/>
      <c r="G6029" s="36" t="str">
        <f>IF(ISNUMBER(F6029),C6029*F6029,"")</f>
        <v/>
      </c>
    </row>
    <row r="6030" spans="1:7" ht="24" customHeight="1" outlineLevel="2" x14ac:dyDescent="0.2">
      <c r="A6030" s="14" t="s">
        <v>11877</v>
      </c>
      <c r="B6030" s="15" t="s">
        <v>11878</v>
      </c>
      <c r="C6030" s="16">
        <f>30.49/(1+B2)</f>
        <v>30.49</v>
      </c>
      <c r="D6030" s="17" t="s">
        <v>14</v>
      </c>
      <c r="E6030" s="17" t="s">
        <v>53</v>
      </c>
      <c r="F6030" s="18"/>
      <c r="G6030" s="36" t="str">
        <f>IF(ISNUMBER(F6030),C6030*F6030,"")</f>
        <v/>
      </c>
    </row>
    <row r="6031" spans="1:7" ht="24" customHeight="1" outlineLevel="2" x14ac:dyDescent="0.2">
      <c r="A6031" s="14" t="s">
        <v>11879</v>
      </c>
      <c r="B6031" s="15" t="s">
        <v>11880</v>
      </c>
      <c r="C6031" s="16">
        <f>30.49/(1+B2)</f>
        <v>30.49</v>
      </c>
      <c r="D6031" s="17" t="s">
        <v>11</v>
      </c>
      <c r="E6031" s="17" t="s">
        <v>53</v>
      </c>
      <c r="F6031" s="18"/>
      <c r="G6031" s="36" t="str">
        <f>IF(ISNUMBER(F6031),C6031*F6031,"")</f>
        <v/>
      </c>
    </row>
    <row r="6032" spans="1:7" ht="24" customHeight="1" outlineLevel="2" x14ac:dyDescent="0.2">
      <c r="A6032" s="14" t="s">
        <v>11881</v>
      </c>
      <c r="B6032" s="15" t="s">
        <v>11882</v>
      </c>
      <c r="C6032" s="16">
        <f>30.79/(1+B2)</f>
        <v>30.79</v>
      </c>
      <c r="D6032" s="17" t="s">
        <v>11</v>
      </c>
      <c r="E6032" s="17"/>
      <c r="F6032" s="18"/>
      <c r="G6032" s="36" t="str">
        <f>IF(ISNUMBER(F6032),C6032*F6032,"")</f>
        <v/>
      </c>
    </row>
    <row r="6033" spans="1:7" ht="24" customHeight="1" outlineLevel="2" x14ac:dyDescent="0.2">
      <c r="A6033" s="14" t="s">
        <v>11883</v>
      </c>
      <c r="B6033" s="15" t="s">
        <v>11884</v>
      </c>
      <c r="C6033" s="16">
        <f>36.43/(1+B2)</f>
        <v>36.43</v>
      </c>
      <c r="D6033" s="17" t="s">
        <v>11</v>
      </c>
      <c r="E6033" s="17" t="s">
        <v>14</v>
      </c>
      <c r="F6033" s="18"/>
      <c r="G6033" s="36" t="str">
        <f>IF(ISNUMBER(F6033),C6033*F6033,"")</f>
        <v/>
      </c>
    </row>
    <row r="6034" spans="1:7" ht="24" customHeight="1" outlineLevel="2" x14ac:dyDescent="0.2">
      <c r="A6034" s="14" t="s">
        <v>11885</v>
      </c>
      <c r="B6034" s="15" t="s">
        <v>11886</v>
      </c>
      <c r="C6034" s="16">
        <f>32.06/(1+B2)</f>
        <v>32.06</v>
      </c>
      <c r="D6034" s="17" t="s">
        <v>11</v>
      </c>
      <c r="E6034" s="17" t="s">
        <v>11</v>
      </c>
      <c r="F6034" s="18"/>
      <c r="G6034" s="36" t="str">
        <f>IF(ISNUMBER(F6034),C6034*F6034,"")</f>
        <v/>
      </c>
    </row>
    <row r="6035" spans="1:7" ht="24" customHeight="1" outlineLevel="2" x14ac:dyDescent="0.2">
      <c r="A6035" s="14" t="s">
        <v>11887</v>
      </c>
      <c r="B6035" s="15" t="s">
        <v>11888</v>
      </c>
      <c r="C6035" s="16">
        <f>36.43/(1+B2)</f>
        <v>36.43</v>
      </c>
      <c r="D6035" s="17" t="s">
        <v>11</v>
      </c>
      <c r="E6035" s="17" t="s">
        <v>11</v>
      </c>
      <c r="F6035" s="18"/>
      <c r="G6035" s="36" t="str">
        <f>IF(ISNUMBER(F6035),C6035*F6035,"")</f>
        <v/>
      </c>
    </row>
    <row r="6036" spans="1:7" s="1" customFormat="1" ht="15.95" customHeight="1" outlineLevel="1" x14ac:dyDescent="0.25">
      <c r="A6036" s="11"/>
      <c r="B6036" s="12" t="s">
        <v>11889</v>
      </c>
      <c r="C6036" s="13"/>
      <c r="D6036" s="13"/>
      <c r="E6036" s="13"/>
      <c r="F6036" s="13"/>
      <c r="G6036" s="35"/>
    </row>
    <row r="6037" spans="1:7" ht="12" customHeight="1" outlineLevel="2" x14ac:dyDescent="0.2">
      <c r="A6037" s="14" t="s">
        <v>11890</v>
      </c>
      <c r="B6037" s="15" t="s">
        <v>11891</v>
      </c>
      <c r="C6037" s="16">
        <f>218.45/(1+B2)</f>
        <v>218.45</v>
      </c>
      <c r="D6037" s="17" t="s">
        <v>11</v>
      </c>
      <c r="E6037" s="17"/>
      <c r="F6037" s="18"/>
      <c r="G6037" s="36" t="str">
        <f>IF(ISNUMBER(F6037),C6037*F6037,"")</f>
        <v/>
      </c>
    </row>
    <row r="6038" spans="1:7" ht="24" customHeight="1" outlineLevel="2" x14ac:dyDescent="0.2">
      <c r="A6038" s="14" t="s">
        <v>11892</v>
      </c>
      <c r="B6038" s="15" t="s">
        <v>11893</v>
      </c>
      <c r="C6038" s="16">
        <f>110.65/(1+B2)</f>
        <v>110.65</v>
      </c>
      <c r="D6038" s="17" t="s">
        <v>11</v>
      </c>
      <c r="E6038" s="17"/>
      <c r="F6038" s="18"/>
      <c r="G6038" s="36" t="str">
        <f>IF(ISNUMBER(F6038),C6038*F6038,"")</f>
        <v/>
      </c>
    </row>
    <row r="6039" spans="1:7" ht="24" customHeight="1" outlineLevel="2" x14ac:dyDescent="0.2">
      <c r="A6039" s="14" t="s">
        <v>11894</v>
      </c>
      <c r="B6039" s="15" t="s">
        <v>11895</v>
      </c>
      <c r="C6039" s="16">
        <f>89.02/(1+B2)</f>
        <v>89.02</v>
      </c>
      <c r="D6039" s="17" t="s">
        <v>11</v>
      </c>
      <c r="E6039" s="17"/>
      <c r="F6039" s="18"/>
      <c r="G6039" s="36" t="str">
        <f>IF(ISNUMBER(F6039),C6039*F6039,"")</f>
        <v/>
      </c>
    </row>
    <row r="6040" spans="1:7" ht="12" customHeight="1" outlineLevel="2" x14ac:dyDescent="0.2">
      <c r="A6040" s="14" t="s">
        <v>11896</v>
      </c>
      <c r="B6040" s="15" t="s">
        <v>11897</v>
      </c>
      <c r="C6040" s="16">
        <f>110.65/(1+B2)</f>
        <v>110.65</v>
      </c>
      <c r="D6040" s="17" t="s">
        <v>11</v>
      </c>
      <c r="E6040" s="17"/>
      <c r="F6040" s="18"/>
      <c r="G6040" s="36" t="str">
        <f>IF(ISNUMBER(F6040),C6040*F6040,"")</f>
        <v/>
      </c>
    </row>
    <row r="6041" spans="1:7" ht="24" customHeight="1" outlineLevel="2" x14ac:dyDescent="0.2">
      <c r="A6041" s="14" t="s">
        <v>11898</v>
      </c>
      <c r="B6041" s="15" t="s">
        <v>11899</v>
      </c>
      <c r="C6041" s="16">
        <f>625.86/(1+B2)</f>
        <v>625.86</v>
      </c>
      <c r="D6041" s="17" t="s">
        <v>11</v>
      </c>
      <c r="E6041" s="17" t="s">
        <v>11</v>
      </c>
      <c r="F6041" s="18"/>
      <c r="G6041" s="36" t="str">
        <f>IF(ISNUMBER(F6041),C6041*F6041,"")</f>
        <v/>
      </c>
    </row>
    <row r="6042" spans="1:7" ht="24" customHeight="1" outlineLevel="2" x14ac:dyDescent="0.2">
      <c r="A6042" s="14" t="s">
        <v>11900</v>
      </c>
      <c r="B6042" s="15" t="s">
        <v>11901</v>
      </c>
      <c r="C6042" s="16">
        <f>625.86/(1+B2)</f>
        <v>625.86</v>
      </c>
      <c r="D6042" s="17" t="s">
        <v>11</v>
      </c>
      <c r="E6042" s="17" t="s">
        <v>11</v>
      </c>
      <c r="F6042" s="18"/>
      <c r="G6042" s="36" t="str">
        <f>IF(ISNUMBER(F6042),C6042*F6042,"")</f>
        <v/>
      </c>
    </row>
    <row r="6043" spans="1:7" ht="12" customHeight="1" outlineLevel="2" x14ac:dyDescent="0.2">
      <c r="A6043" s="14" t="s">
        <v>11902</v>
      </c>
      <c r="B6043" s="15" t="s">
        <v>11903</v>
      </c>
      <c r="C6043" s="16">
        <f>382.53/(1+B2)</f>
        <v>382.53</v>
      </c>
      <c r="D6043" s="17" t="s">
        <v>11</v>
      </c>
      <c r="E6043" s="17"/>
      <c r="F6043" s="18"/>
      <c r="G6043" s="36" t="str">
        <f>IF(ISNUMBER(F6043),C6043*F6043,"")</f>
        <v/>
      </c>
    </row>
    <row r="6044" spans="1:7" ht="12" customHeight="1" outlineLevel="2" x14ac:dyDescent="0.2">
      <c r="A6044" s="14" t="s">
        <v>11904</v>
      </c>
      <c r="B6044" s="15" t="s">
        <v>11905</v>
      </c>
      <c r="C6044" s="19">
        <f>1073.38/(1+B2)</f>
        <v>1073.3800000000001</v>
      </c>
      <c r="D6044" s="17" t="s">
        <v>11</v>
      </c>
      <c r="E6044" s="17"/>
      <c r="F6044" s="18"/>
      <c r="G6044" s="36" t="str">
        <f>IF(ISNUMBER(F6044),C6044*F6044,"")</f>
        <v/>
      </c>
    </row>
    <row r="6045" spans="1:7" ht="24" customHeight="1" outlineLevel="2" x14ac:dyDescent="0.2">
      <c r="A6045" s="14" t="s">
        <v>11906</v>
      </c>
      <c r="B6045" s="15" t="s">
        <v>11907</v>
      </c>
      <c r="C6045" s="19">
        <f>1431.77/(1+B2)</f>
        <v>1431.77</v>
      </c>
      <c r="D6045" s="17" t="s">
        <v>11</v>
      </c>
      <c r="E6045" s="17"/>
      <c r="F6045" s="18"/>
      <c r="G6045" s="36" t="str">
        <f>IF(ISNUMBER(F6045),C6045*F6045,"")</f>
        <v/>
      </c>
    </row>
    <row r="6046" spans="1:7" ht="24" customHeight="1" outlineLevel="2" x14ac:dyDescent="0.2">
      <c r="A6046" s="14" t="s">
        <v>11908</v>
      </c>
      <c r="B6046" s="15" t="s">
        <v>11909</v>
      </c>
      <c r="C6046" s="16">
        <f>316.8/(1+B2)</f>
        <v>316.8</v>
      </c>
      <c r="D6046" s="17" t="s">
        <v>11</v>
      </c>
      <c r="E6046" s="17"/>
      <c r="F6046" s="18"/>
      <c r="G6046" s="36" t="str">
        <f>IF(ISNUMBER(F6046),C6046*F6046,"")</f>
        <v/>
      </c>
    </row>
    <row r="6047" spans="1:7" ht="12" customHeight="1" outlineLevel="2" x14ac:dyDescent="0.2">
      <c r="A6047" s="14" t="s">
        <v>11910</v>
      </c>
      <c r="B6047" s="15" t="s">
        <v>11911</v>
      </c>
      <c r="C6047" s="16">
        <f>351.71/(1+B2)</f>
        <v>351.71</v>
      </c>
      <c r="D6047" s="17" t="s">
        <v>11</v>
      </c>
      <c r="E6047" s="17"/>
      <c r="F6047" s="18"/>
      <c r="G6047" s="36" t="str">
        <f>IF(ISNUMBER(F6047),C6047*F6047,"")</f>
        <v/>
      </c>
    </row>
    <row r="6048" spans="1:7" ht="24" customHeight="1" outlineLevel="2" x14ac:dyDescent="0.2">
      <c r="A6048" s="14" t="s">
        <v>11912</v>
      </c>
      <c r="B6048" s="15" t="s">
        <v>11913</v>
      </c>
      <c r="C6048" s="16">
        <f>484.17/(1+B2)</f>
        <v>484.17</v>
      </c>
      <c r="D6048" s="17" t="s">
        <v>11</v>
      </c>
      <c r="E6048" s="17"/>
      <c r="F6048" s="18"/>
      <c r="G6048" s="36" t="str">
        <f>IF(ISNUMBER(F6048),C6048*F6048,"")</f>
        <v/>
      </c>
    </row>
    <row r="6049" spans="1:7" ht="12" customHeight="1" outlineLevel="2" x14ac:dyDescent="0.2">
      <c r="A6049" s="14" t="s">
        <v>11914</v>
      </c>
      <c r="B6049" s="15" t="s">
        <v>11915</v>
      </c>
      <c r="C6049" s="16">
        <f>264.98/(1+B2)</f>
        <v>264.98</v>
      </c>
      <c r="D6049" s="17" t="s">
        <v>11</v>
      </c>
      <c r="E6049" s="17"/>
      <c r="F6049" s="18"/>
      <c r="G6049" s="36" t="str">
        <f>IF(ISNUMBER(F6049),C6049*F6049,"")</f>
        <v/>
      </c>
    </row>
    <row r="6050" spans="1:7" ht="12" customHeight="1" outlineLevel="2" x14ac:dyDescent="0.2">
      <c r="A6050" s="14" t="s">
        <v>11916</v>
      </c>
      <c r="B6050" s="15" t="s">
        <v>11917</v>
      </c>
      <c r="C6050" s="16">
        <f>308.65/(1+B2)</f>
        <v>308.64999999999998</v>
      </c>
      <c r="D6050" s="17" t="s">
        <v>11</v>
      </c>
      <c r="E6050" s="17"/>
      <c r="F6050" s="18"/>
      <c r="G6050" s="36" t="str">
        <f>IF(ISNUMBER(F6050),C6050*F6050,"")</f>
        <v/>
      </c>
    </row>
    <row r="6051" spans="1:7" ht="12" customHeight="1" outlineLevel="2" x14ac:dyDescent="0.2">
      <c r="A6051" s="14" t="s">
        <v>11918</v>
      </c>
      <c r="B6051" s="15" t="s">
        <v>11919</v>
      </c>
      <c r="C6051" s="16">
        <f>401.83/(1+B2)</f>
        <v>401.83</v>
      </c>
      <c r="D6051" s="17" t="s">
        <v>11</v>
      </c>
      <c r="E6051" s="17"/>
      <c r="F6051" s="18"/>
      <c r="G6051" s="36" t="str">
        <f>IF(ISNUMBER(F6051),C6051*F6051,"")</f>
        <v/>
      </c>
    </row>
    <row r="6052" spans="1:7" ht="24" customHeight="1" outlineLevel="2" x14ac:dyDescent="0.2">
      <c r="A6052" s="14" t="s">
        <v>11920</v>
      </c>
      <c r="B6052" s="15" t="s">
        <v>11921</v>
      </c>
      <c r="C6052" s="16">
        <f>206.27/(1+B2)</f>
        <v>206.27</v>
      </c>
      <c r="D6052" s="17" t="s">
        <v>11</v>
      </c>
      <c r="E6052" s="17"/>
      <c r="F6052" s="18"/>
      <c r="G6052" s="36" t="str">
        <f>IF(ISNUMBER(F6052),C6052*F6052,"")</f>
        <v/>
      </c>
    </row>
    <row r="6053" spans="1:7" ht="24" customHeight="1" outlineLevel="2" x14ac:dyDescent="0.2">
      <c r="A6053" s="14" t="s">
        <v>11922</v>
      </c>
      <c r="B6053" s="15" t="s">
        <v>11923</v>
      </c>
      <c r="C6053" s="16">
        <f>123.1/(1+B2)</f>
        <v>123.1</v>
      </c>
      <c r="D6053" s="17" t="s">
        <v>11</v>
      </c>
      <c r="E6053" s="17"/>
      <c r="F6053" s="18"/>
      <c r="G6053" s="36" t="str">
        <f>IF(ISNUMBER(F6053),C6053*F6053,"")</f>
        <v/>
      </c>
    </row>
    <row r="6054" spans="1:7" ht="24" customHeight="1" outlineLevel="2" x14ac:dyDescent="0.2">
      <c r="A6054" s="14" t="s">
        <v>11924</v>
      </c>
      <c r="B6054" s="15" t="s">
        <v>11925</v>
      </c>
      <c r="C6054" s="16">
        <f>299/(1+B2)</f>
        <v>299</v>
      </c>
      <c r="D6054" s="17" t="s">
        <v>11</v>
      </c>
      <c r="E6054" s="17"/>
      <c r="F6054" s="18"/>
      <c r="G6054" s="36" t="str">
        <f>IF(ISNUMBER(F6054),C6054*F6054,"")</f>
        <v/>
      </c>
    </row>
    <row r="6055" spans="1:7" ht="24" customHeight="1" outlineLevel="2" x14ac:dyDescent="0.2">
      <c r="A6055" s="14" t="s">
        <v>11926</v>
      </c>
      <c r="B6055" s="15" t="s">
        <v>11927</v>
      </c>
      <c r="C6055" s="16">
        <f>261.14/(1+B2)</f>
        <v>261.14</v>
      </c>
      <c r="D6055" s="17" t="s">
        <v>11</v>
      </c>
      <c r="E6055" s="17" t="s">
        <v>53</v>
      </c>
      <c r="F6055" s="18"/>
      <c r="G6055" s="36" t="str">
        <f>IF(ISNUMBER(F6055),C6055*F6055,"")</f>
        <v/>
      </c>
    </row>
    <row r="6056" spans="1:7" ht="12" customHeight="1" outlineLevel="2" x14ac:dyDescent="0.2">
      <c r="A6056" s="14" t="s">
        <v>11928</v>
      </c>
      <c r="B6056" s="15" t="s">
        <v>11929</v>
      </c>
      <c r="C6056" s="16">
        <f>78.74/(1+B2)</f>
        <v>78.739999999999995</v>
      </c>
      <c r="D6056" s="17" t="s">
        <v>11</v>
      </c>
      <c r="E6056" s="17"/>
      <c r="F6056" s="18"/>
      <c r="G6056" s="36" t="str">
        <f>IF(ISNUMBER(F6056),C6056*F6056,"")</f>
        <v/>
      </c>
    </row>
    <row r="6057" spans="1:7" ht="24" customHeight="1" outlineLevel="2" x14ac:dyDescent="0.2">
      <c r="A6057" s="14" t="s">
        <v>11930</v>
      </c>
      <c r="B6057" s="15" t="s">
        <v>11931</v>
      </c>
      <c r="C6057" s="16">
        <f>103.92/(1+B2)</f>
        <v>103.92</v>
      </c>
      <c r="D6057" s="17" t="s">
        <v>11</v>
      </c>
      <c r="E6057" s="17" t="s">
        <v>11</v>
      </c>
      <c r="F6057" s="18"/>
      <c r="G6057" s="36" t="str">
        <f>IF(ISNUMBER(F6057),C6057*F6057,"")</f>
        <v/>
      </c>
    </row>
    <row r="6058" spans="1:7" ht="12" customHeight="1" outlineLevel="2" x14ac:dyDescent="0.2">
      <c r="A6058" s="14" t="s">
        <v>11932</v>
      </c>
      <c r="B6058" s="15" t="s">
        <v>11933</v>
      </c>
      <c r="C6058" s="16">
        <f>101.46/(1+B2)</f>
        <v>101.46</v>
      </c>
      <c r="D6058" s="17" t="s">
        <v>11</v>
      </c>
      <c r="E6058" s="17"/>
      <c r="F6058" s="18"/>
      <c r="G6058" s="36" t="str">
        <f>IF(ISNUMBER(F6058),C6058*F6058,"")</f>
        <v/>
      </c>
    </row>
    <row r="6059" spans="1:7" ht="12" customHeight="1" outlineLevel="2" x14ac:dyDescent="0.2">
      <c r="A6059" s="14" t="s">
        <v>11934</v>
      </c>
      <c r="B6059" s="15" t="s">
        <v>11935</v>
      </c>
      <c r="C6059" s="16">
        <f>125.36/(1+B2)</f>
        <v>125.36</v>
      </c>
      <c r="D6059" s="17" t="s">
        <v>11</v>
      </c>
      <c r="E6059" s="17"/>
      <c r="F6059" s="18"/>
      <c r="G6059" s="36" t="str">
        <f>IF(ISNUMBER(F6059),C6059*F6059,"")</f>
        <v/>
      </c>
    </row>
    <row r="6060" spans="1:7" ht="24" customHeight="1" outlineLevel="2" x14ac:dyDescent="0.2">
      <c r="A6060" s="14" t="s">
        <v>11936</v>
      </c>
      <c r="B6060" s="15" t="s">
        <v>11937</v>
      </c>
      <c r="C6060" s="16">
        <f>125.36/(1+B2)</f>
        <v>125.36</v>
      </c>
      <c r="D6060" s="17" t="s">
        <v>11</v>
      </c>
      <c r="E6060" s="17"/>
      <c r="F6060" s="18"/>
      <c r="G6060" s="36" t="str">
        <f>IF(ISNUMBER(F6060),C6060*F6060,"")</f>
        <v/>
      </c>
    </row>
    <row r="6061" spans="1:7" ht="12" customHeight="1" outlineLevel="2" x14ac:dyDescent="0.2">
      <c r="A6061" s="14" t="s">
        <v>11938</v>
      </c>
      <c r="B6061" s="15" t="s">
        <v>11939</v>
      </c>
      <c r="C6061" s="16">
        <f>102.78/(1+B2)</f>
        <v>102.78</v>
      </c>
      <c r="D6061" s="17" t="s">
        <v>11</v>
      </c>
      <c r="E6061" s="17"/>
      <c r="F6061" s="18"/>
      <c r="G6061" s="36" t="str">
        <f>IF(ISNUMBER(F6061),C6061*F6061,"")</f>
        <v/>
      </c>
    </row>
    <row r="6062" spans="1:7" ht="24" customHeight="1" outlineLevel="2" x14ac:dyDescent="0.2">
      <c r="A6062" s="14" t="s">
        <v>11940</v>
      </c>
      <c r="B6062" s="15" t="s">
        <v>11941</v>
      </c>
      <c r="C6062" s="16">
        <f>146.74/(1+B2)</f>
        <v>146.74</v>
      </c>
      <c r="D6062" s="17" t="s">
        <v>11</v>
      </c>
      <c r="E6062" s="17"/>
      <c r="F6062" s="18"/>
      <c r="G6062" s="36" t="str">
        <f>IF(ISNUMBER(F6062),C6062*F6062,"")</f>
        <v/>
      </c>
    </row>
    <row r="6063" spans="1:7" ht="12" customHeight="1" outlineLevel="2" x14ac:dyDescent="0.2">
      <c r="A6063" s="14" t="s">
        <v>11942</v>
      </c>
      <c r="B6063" s="15" t="s">
        <v>11943</v>
      </c>
      <c r="C6063" s="16">
        <f>124.26/(1+B2)</f>
        <v>124.26</v>
      </c>
      <c r="D6063" s="17" t="s">
        <v>11</v>
      </c>
      <c r="E6063" s="17"/>
      <c r="F6063" s="18"/>
      <c r="G6063" s="36" t="str">
        <f>IF(ISNUMBER(F6063),C6063*F6063,"")</f>
        <v/>
      </c>
    </row>
    <row r="6064" spans="1:7" ht="12" customHeight="1" outlineLevel="2" x14ac:dyDescent="0.2">
      <c r="A6064" s="14" t="s">
        <v>11944</v>
      </c>
      <c r="B6064" s="15" t="s">
        <v>11945</v>
      </c>
      <c r="C6064" s="16">
        <f>164.82/(1+B2)</f>
        <v>164.82</v>
      </c>
      <c r="D6064" s="17" t="s">
        <v>11</v>
      </c>
      <c r="E6064" s="17"/>
      <c r="F6064" s="18"/>
      <c r="G6064" s="36" t="str">
        <f>IF(ISNUMBER(F6064),C6064*F6064,"")</f>
        <v/>
      </c>
    </row>
    <row r="6065" spans="1:7" ht="12" customHeight="1" outlineLevel="2" x14ac:dyDescent="0.2">
      <c r="A6065" s="14" t="s">
        <v>11946</v>
      </c>
      <c r="B6065" s="15" t="s">
        <v>11947</v>
      </c>
      <c r="C6065" s="16">
        <f>138.07/(1+B2)</f>
        <v>138.07</v>
      </c>
      <c r="D6065" s="17" t="s">
        <v>11</v>
      </c>
      <c r="E6065" s="17"/>
      <c r="F6065" s="18"/>
      <c r="G6065" s="36" t="str">
        <f>IF(ISNUMBER(F6065),C6065*F6065,"")</f>
        <v/>
      </c>
    </row>
    <row r="6066" spans="1:7" ht="12" customHeight="1" outlineLevel="2" x14ac:dyDescent="0.2">
      <c r="A6066" s="14" t="s">
        <v>11948</v>
      </c>
      <c r="B6066" s="15" t="s">
        <v>11949</v>
      </c>
      <c r="C6066" s="16">
        <f>161.3/(1+B2)</f>
        <v>161.30000000000001</v>
      </c>
      <c r="D6066" s="17" t="s">
        <v>11</v>
      </c>
      <c r="E6066" s="17"/>
      <c r="F6066" s="18"/>
      <c r="G6066" s="36" t="str">
        <f>IF(ISNUMBER(F6066),C6066*F6066,"")</f>
        <v/>
      </c>
    </row>
    <row r="6067" spans="1:7" ht="12" customHeight="1" outlineLevel="2" x14ac:dyDescent="0.2">
      <c r="A6067" s="14" t="s">
        <v>11950</v>
      </c>
      <c r="B6067" s="15" t="s">
        <v>11951</v>
      </c>
      <c r="C6067" s="16">
        <f>235.34/(1+B2)</f>
        <v>235.34</v>
      </c>
      <c r="D6067" s="17" t="s">
        <v>11</v>
      </c>
      <c r="E6067" s="17"/>
      <c r="F6067" s="18"/>
      <c r="G6067" s="36" t="str">
        <f>IF(ISNUMBER(F6067),C6067*F6067,"")</f>
        <v/>
      </c>
    </row>
    <row r="6068" spans="1:7" ht="12" customHeight="1" outlineLevel="2" x14ac:dyDescent="0.2">
      <c r="A6068" s="14" t="s">
        <v>11952</v>
      </c>
      <c r="B6068" s="15" t="s">
        <v>11953</v>
      </c>
      <c r="C6068" s="16">
        <f>154.16/(1+B2)</f>
        <v>154.16</v>
      </c>
      <c r="D6068" s="17" t="s">
        <v>11</v>
      </c>
      <c r="E6068" s="17"/>
      <c r="F6068" s="18"/>
      <c r="G6068" s="36" t="str">
        <f>IF(ISNUMBER(F6068),C6068*F6068,"")</f>
        <v/>
      </c>
    </row>
    <row r="6069" spans="1:7" ht="12" customHeight="1" outlineLevel="2" x14ac:dyDescent="0.2">
      <c r="A6069" s="14" t="s">
        <v>11954</v>
      </c>
      <c r="B6069" s="15" t="s">
        <v>11955</v>
      </c>
      <c r="C6069" s="16">
        <f>285.48/(1+B2)</f>
        <v>285.48</v>
      </c>
      <c r="D6069" s="17" t="s">
        <v>11</v>
      </c>
      <c r="E6069" s="17"/>
      <c r="F6069" s="18"/>
      <c r="G6069" s="36" t="str">
        <f>IF(ISNUMBER(F6069),C6069*F6069,"")</f>
        <v/>
      </c>
    </row>
    <row r="6070" spans="1:7" ht="12" customHeight="1" outlineLevel="2" x14ac:dyDescent="0.2">
      <c r="A6070" s="14" t="s">
        <v>11956</v>
      </c>
      <c r="B6070" s="15" t="s">
        <v>11957</v>
      </c>
      <c r="C6070" s="16">
        <f>228.38/(1+B2)</f>
        <v>228.38</v>
      </c>
      <c r="D6070" s="17" t="s">
        <v>11</v>
      </c>
      <c r="E6070" s="17"/>
      <c r="F6070" s="18"/>
      <c r="G6070" s="36" t="str">
        <f>IF(ISNUMBER(F6070),C6070*F6070,"")</f>
        <v/>
      </c>
    </row>
    <row r="6071" spans="1:7" ht="12" customHeight="1" outlineLevel="2" x14ac:dyDescent="0.2">
      <c r="A6071" s="14" t="s">
        <v>11958</v>
      </c>
      <c r="B6071" s="15" t="s">
        <v>11959</v>
      </c>
      <c r="C6071" s="16">
        <f>159.86/(1+B2)</f>
        <v>159.86000000000001</v>
      </c>
      <c r="D6071" s="17" t="s">
        <v>11</v>
      </c>
      <c r="E6071" s="17"/>
      <c r="F6071" s="18"/>
      <c r="G6071" s="36" t="str">
        <f>IF(ISNUMBER(F6071),C6071*F6071,"")</f>
        <v/>
      </c>
    </row>
    <row r="6072" spans="1:7" ht="24" customHeight="1" outlineLevel="2" x14ac:dyDescent="0.2">
      <c r="A6072" s="14" t="s">
        <v>11960</v>
      </c>
      <c r="B6072" s="15" t="s">
        <v>11961</v>
      </c>
      <c r="C6072" s="16">
        <f>182.71/(1+B2)</f>
        <v>182.71</v>
      </c>
      <c r="D6072" s="17" t="s">
        <v>11</v>
      </c>
      <c r="E6072" s="17" t="s">
        <v>11</v>
      </c>
      <c r="F6072" s="18"/>
      <c r="G6072" s="36" t="str">
        <f>IF(ISNUMBER(F6072),C6072*F6072,"")</f>
        <v/>
      </c>
    </row>
    <row r="6073" spans="1:7" ht="12" customHeight="1" outlineLevel="2" x14ac:dyDescent="0.2">
      <c r="A6073" s="14" t="s">
        <v>11962</v>
      </c>
      <c r="B6073" s="15" t="s">
        <v>11963</v>
      </c>
      <c r="C6073" s="16">
        <f>57.38/(1+B2)</f>
        <v>57.38</v>
      </c>
      <c r="D6073" s="17" t="s">
        <v>11</v>
      </c>
      <c r="E6073" s="17"/>
      <c r="F6073" s="18"/>
      <c r="G6073" s="36" t="str">
        <f>IF(ISNUMBER(F6073),C6073*F6073,"")</f>
        <v/>
      </c>
    </row>
    <row r="6074" spans="1:7" ht="12" customHeight="1" outlineLevel="2" x14ac:dyDescent="0.2">
      <c r="A6074" s="14" t="s">
        <v>11964</v>
      </c>
      <c r="B6074" s="15" t="s">
        <v>11965</v>
      </c>
      <c r="C6074" s="16">
        <f>236.69/(1+B2)</f>
        <v>236.69</v>
      </c>
      <c r="D6074" s="17" t="s">
        <v>11</v>
      </c>
      <c r="E6074" s="17"/>
      <c r="F6074" s="18"/>
      <c r="G6074" s="36" t="str">
        <f>IF(ISNUMBER(F6074),C6074*F6074,"")</f>
        <v/>
      </c>
    </row>
    <row r="6075" spans="1:7" ht="24" customHeight="1" outlineLevel="2" x14ac:dyDescent="0.2">
      <c r="A6075" s="14" t="s">
        <v>11966</v>
      </c>
      <c r="B6075" s="15" t="s">
        <v>11967</v>
      </c>
      <c r="C6075" s="16">
        <f>93.96/(1+B2)</f>
        <v>93.96</v>
      </c>
      <c r="D6075" s="17" t="s">
        <v>11</v>
      </c>
      <c r="E6075" s="17"/>
      <c r="F6075" s="18"/>
      <c r="G6075" s="36" t="str">
        <f>IF(ISNUMBER(F6075),C6075*F6075,"")</f>
        <v/>
      </c>
    </row>
    <row r="6076" spans="1:7" ht="12" customHeight="1" outlineLevel="2" x14ac:dyDescent="0.2">
      <c r="A6076" s="14" t="s">
        <v>11968</v>
      </c>
      <c r="B6076" s="15" t="s">
        <v>11969</v>
      </c>
      <c r="C6076" s="16">
        <f>203.83/(1+B2)</f>
        <v>203.83</v>
      </c>
      <c r="D6076" s="17" t="s">
        <v>11</v>
      </c>
      <c r="E6076" s="17"/>
      <c r="F6076" s="18"/>
      <c r="G6076" s="36" t="str">
        <f>IF(ISNUMBER(F6076),C6076*F6076,"")</f>
        <v/>
      </c>
    </row>
    <row r="6077" spans="1:7" ht="12" customHeight="1" outlineLevel="2" x14ac:dyDescent="0.2">
      <c r="A6077" s="14" t="s">
        <v>11970</v>
      </c>
      <c r="B6077" s="15" t="s">
        <v>11971</v>
      </c>
      <c r="C6077" s="16">
        <f>137.96/(1+B2)</f>
        <v>137.96</v>
      </c>
      <c r="D6077" s="17" t="s">
        <v>11</v>
      </c>
      <c r="E6077" s="17" t="s">
        <v>14</v>
      </c>
      <c r="F6077" s="18"/>
      <c r="G6077" s="36" t="str">
        <f>IF(ISNUMBER(F6077),C6077*F6077,"")</f>
        <v/>
      </c>
    </row>
    <row r="6078" spans="1:7" ht="12" customHeight="1" outlineLevel="2" x14ac:dyDescent="0.2">
      <c r="A6078" s="14" t="s">
        <v>11972</v>
      </c>
      <c r="B6078" s="15" t="s">
        <v>11973</v>
      </c>
      <c r="C6078" s="16">
        <f>53.85/(1+B2)</f>
        <v>53.85</v>
      </c>
      <c r="D6078" s="17" t="s">
        <v>11</v>
      </c>
      <c r="E6078" s="17"/>
      <c r="F6078" s="18"/>
      <c r="G6078" s="36" t="str">
        <f>IF(ISNUMBER(F6078),C6078*F6078,"")</f>
        <v/>
      </c>
    </row>
    <row r="6079" spans="1:7" ht="24" customHeight="1" outlineLevel="2" x14ac:dyDescent="0.2">
      <c r="A6079" s="14" t="s">
        <v>11974</v>
      </c>
      <c r="B6079" s="15" t="s">
        <v>11975</v>
      </c>
      <c r="C6079" s="16">
        <f>206.58/(1+B2)</f>
        <v>206.58</v>
      </c>
      <c r="D6079" s="17" t="s">
        <v>11</v>
      </c>
      <c r="E6079" s="17" t="s">
        <v>11</v>
      </c>
      <c r="F6079" s="18"/>
      <c r="G6079" s="36" t="str">
        <f>IF(ISNUMBER(F6079),C6079*F6079,"")</f>
        <v/>
      </c>
    </row>
    <row r="6080" spans="1:7" ht="12" customHeight="1" outlineLevel="2" x14ac:dyDescent="0.2">
      <c r="A6080" s="14" t="s">
        <v>11976</v>
      </c>
      <c r="B6080" s="15" t="s">
        <v>11977</v>
      </c>
      <c r="C6080" s="16">
        <f>80.13/(1+B2)</f>
        <v>80.13</v>
      </c>
      <c r="D6080" s="17" t="s">
        <v>11</v>
      </c>
      <c r="E6080" s="17"/>
      <c r="F6080" s="18"/>
      <c r="G6080" s="36" t="str">
        <f>IF(ISNUMBER(F6080),C6080*F6080,"")</f>
        <v/>
      </c>
    </row>
    <row r="6081" spans="1:7" ht="12" customHeight="1" outlineLevel="2" x14ac:dyDescent="0.2">
      <c r="A6081" s="14" t="s">
        <v>11978</v>
      </c>
      <c r="B6081" s="15" t="s">
        <v>11979</v>
      </c>
      <c r="C6081" s="16">
        <f>83.11/(1+B2)</f>
        <v>83.11</v>
      </c>
      <c r="D6081" s="17" t="s">
        <v>11</v>
      </c>
      <c r="E6081" s="17" t="s">
        <v>106</v>
      </c>
      <c r="F6081" s="18"/>
      <c r="G6081" s="36" t="str">
        <f>IF(ISNUMBER(F6081),C6081*F6081,"")</f>
        <v/>
      </c>
    </row>
    <row r="6082" spans="1:7" ht="12" customHeight="1" outlineLevel="2" x14ac:dyDescent="0.2">
      <c r="A6082" s="14" t="s">
        <v>11980</v>
      </c>
      <c r="B6082" s="15" t="s">
        <v>11981</v>
      </c>
      <c r="C6082" s="16">
        <f>121.83/(1+B2)</f>
        <v>121.83</v>
      </c>
      <c r="D6082" s="17" t="s">
        <v>11</v>
      </c>
      <c r="E6082" s="17" t="s">
        <v>53</v>
      </c>
      <c r="F6082" s="18"/>
      <c r="G6082" s="36" t="str">
        <f>IF(ISNUMBER(F6082),C6082*F6082,"")</f>
        <v/>
      </c>
    </row>
    <row r="6083" spans="1:7" ht="12" customHeight="1" outlineLevel="2" x14ac:dyDescent="0.2">
      <c r="A6083" s="14" t="s">
        <v>11982</v>
      </c>
      <c r="B6083" s="15" t="s">
        <v>11983</v>
      </c>
      <c r="C6083" s="16">
        <f>94.88/(1+B2)</f>
        <v>94.88</v>
      </c>
      <c r="D6083" s="17" t="s">
        <v>14</v>
      </c>
      <c r="E6083" s="17" t="s">
        <v>106</v>
      </c>
      <c r="F6083" s="18"/>
      <c r="G6083" s="36" t="str">
        <f>IF(ISNUMBER(F6083),C6083*F6083,"")</f>
        <v/>
      </c>
    </row>
    <row r="6084" spans="1:7" ht="12" customHeight="1" outlineLevel="2" x14ac:dyDescent="0.2">
      <c r="A6084" s="14" t="s">
        <v>11984</v>
      </c>
      <c r="B6084" s="15" t="s">
        <v>11985</v>
      </c>
      <c r="C6084" s="16">
        <f>139.28/(1+B2)</f>
        <v>139.28</v>
      </c>
      <c r="D6084" s="17" t="s">
        <v>11</v>
      </c>
      <c r="E6084" s="17" t="s">
        <v>53</v>
      </c>
      <c r="F6084" s="18"/>
      <c r="G6084" s="36" t="str">
        <f>IF(ISNUMBER(F6084),C6084*F6084,"")</f>
        <v/>
      </c>
    </row>
    <row r="6085" spans="1:7" ht="12" customHeight="1" outlineLevel="2" x14ac:dyDescent="0.2">
      <c r="A6085" s="14" t="s">
        <v>11986</v>
      </c>
      <c r="B6085" s="15" t="s">
        <v>11987</v>
      </c>
      <c r="C6085" s="16">
        <f>117.23/(1+B2)</f>
        <v>117.23</v>
      </c>
      <c r="D6085" s="17" t="s">
        <v>14</v>
      </c>
      <c r="E6085" s="17" t="s">
        <v>53</v>
      </c>
      <c r="F6085" s="18"/>
      <c r="G6085" s="36" t="str">
        <f>IF(ISNUMBER(F6085),C6085*F6085,"")</f>
        <v/>
      </c>
    </row>
    <row r="6086" spans="1:7" ht="12" customHeight="1" outlineLevel="2" x14ac:dyDescent="0.2">
      <c r="A6086" s="14" t="s">
        <v>11988</v>
      </c>
      <c r="B6086" s="15" t="s">
        <v>11989</v>
      </c>
      <c r="C6086" s="16">
        <f>119.18/(1+B2)</f>
        <v>119.18</v>
      </c>
      <c r="D6086" s="17" t="s">
        <v>14</v>
      </c>
      <c r="E6086" s="17" t="s">
        <v>106</v>
      </c>
      <c r="F6086" s="18"/>
      <c r="G6086" s="36" t="str">
        <f>IF(ISNUMBER(F6086),C6086*F6086,"")</f>
        <v/>
      </c>
    </row>
    <row r="6087" spans="1:7" ht="12" customHeight="1" outlineLevel="2" x14ac:dyDescent="0.2">
      <c r="A6087" s="14" t="s">
        <v>11990</v>
      </c>
      <c r="B6087" s="15" t="s">
        <v>11991</v>
      </c>
      <c r="C6087" s="16">
        <f>121.44/(1+B2)</f>
        <v>121.44</v>
      </c>
      <c r="D6087" s="17" t="s">
        <v>11</v>
      </c>
      <c r="E6087" s="17" t="s">
        <v>106</v>
      </c>
      <c r="F6087" s="18"/>
      <c r="G6087" s="36" t="str">
        <f>IF(ISNUMBER(F6087),C6087*F6087,"")</f>
        <v/>
      </c>
    </row>
    <row r="6088" spans="1:7" ht="12" customHeight="1" outlineLevel="2" x14ac:dyDescent="0.2">
      <c r="A6088" s="14" t="s">
        <v>11992</v>
      </c>
      <c r="B6088" s="15" t="s">
        <v>11993</v>
      </c>
      <c r="C6088" s="16">
        <f>176.42/(1+B2)</f>
        <v>176.42</v>
      </c>
      <c r="D6088" s="17" t="s">
        <v>11</v>
      </c>
      <c r="E6088" s="17" t="s">
        <v>53</v>
      </c>
      <c r="F6088" s="18"/>
      <c r="G6088" s="36" t="str">
        <f>IF(ISNUMBER(F6088),C6088*F6088,"")</f>
        <v/>
      </c>
    </row>
    <row r="6089" spans="1:7" ht="12" customHeight="1" outlineLevel="2" x14ac:dyDescent="0.2">
      <c r="A6089" s="14" t="s">
        <v>11994</v>
      </c>
      <c r="B6089" s="15" t="s">
        <v>11995</v>
      </c>
      <c r="C6089" s="16">
        <f>148.85/(1+B2)</f>
        <v>148.85</v>
      </c>
      <c r="D6089" s="17" t="s">
        <v>14</v>
      </c>
      <c r="E6089" s="17" t="s">
        <v>53</v>
      </c>
      <c r="F6089" s="18"/>
      <c r="G6089" s="36" t="str">
        <f>IF(ISNUMBER(F6089),C6089*F6089,"")</f>
        <v/>
      </c>
    </row>
    <row r="6090" spans="1:7" ht="12" customHeight="1" outlineLevel="2" x14ac:dyDescent="0.2">
      <c r="A6090" s="14" t="s">
        <v>11996</v>
      </c>
      <c r="B6090" s="15" t="s">
        <v>11997</v>
      </c>
      <c r="C6090" s="16">
        <f>128.99/(1+B2)</f>
        <v>128.99</v>
      </c>
      <c r="D6090" s="17" t="s">
        <v>11</v>
      </c>
      <c r="E6090" s="17" t="s">
        <v>11</v>
      </c>
      <c r="F6090" s="18"/>
      <c r="G6090" s="36" t="str">
        <f>IF(ISNUMBER(F6090),C6090*F6090,"")</f>
        <v/>
      </c>
    </row>
    <row r="6091" spans="1:7" ht="24" customHeight="1" outlineLevel="2" x14ac:dyDescent="0.2">
      <c r="A6091" s="14" t="s">
        <v>11998</v>
      </c>
      <c r="B6091" s="15" t="s">
        <v>11999</v>
      </c>
      <c r="C6091" s="16">
        <f>173.34/(1+B2)</f>
        <v>173.34</v>
      </c>
      <c r="D6091" s="17" t="s">
        <v>11</v>
      </c>
      <c r="E6091" s="17" t="s">
        <v>11</v>
      </c>
      <c r="F6091" s="18"/>
      <c r="G6091" s="36" t="str">
        <f>IF(ISNUMBER(F6091),C6091*F6091,"")</f>
        <v/>
      </c>
    </row>
    <row r="6092" spans="1:7" ht="24" customHeight="1" outlineLevel="2" x14ac:dyDescent="0.2">
      <c r="A6092" s="14" t="s">
        <v>12000</v>
      </c>
      <c r="B6092" s="15" t="s">
        <v>12001</v>
      </c>
      <c r="C6092" s="16">
        <f>68.92/(1+B2)</f>
        <v>68.92</v>
      </c>
      <c r="D6092" s="17" t="s">
        <v>11</v>
      </c>
      <c r="E6092" s="17"/>
      <c r="F6092" s="18"/>
      <c r="G6092" s="36" t="str">
        <f>IF(ISNUMBER(F6092),C6092*F6092,"")</f>
        <v/>
      </c>
    </row>
    <row r="6093" spans="1:7" ht="24" customHeight="1" outlineLevel="2" x14ac:dyDescent="0.2">
      <c r="A6093" s="14" t="s">
        <v>12002</v>
      </c>
      <c r="B6093" s="15" t="s">
        <v>12003</v>
      </c>
      <c r="C6093" s="16">
        <f>25.08/(1+B2)</f>
        <v>25.08</v>
      </c>
      <c r="D6093" s="17" t="s">
        <v>14</v>
      </c>
      <c r="E6093" s="17"/>
      <c r="F6093" s="18"/>
      <c r="G6093" s="36" t="str">
        <f>IF(ISNUMBER(F6093),C6093*F6093,"")</f>
        <v/>
      </c>
    </row>
    <row r="6094" spans="1:7" ht="24" customHeight="1" outlineLevel="2" x14ac:dyDescent="0.2">
      <c r="A6094" s="14" t="s">
        <v>12004</v>
      </c>
      <c r="B6094" s="15" t="s">
        <v>12005</v>
      </c>
      <c r="C6094" s="16">
        <f>78.48/(1+B2)</f>
        <v>78.48</v>
      </c>
      <c r="D6094" s="17" t="s">
        <v>11</v>
      </c>
      <c r="E6094" s="17" t="s">
        <v>14</v>
      </c>
      <c r="F6094" s="18"/>
      <c r="G6094" s="36" t="str">
        <f>IF(ISNUMBER(F6094),C6094*F6094,"")</f>
        <v/>
      </c>
    </row>
    <row r="6095" spans="1:7" ht="12" customHeight="1" outlineLevel="2" x14ac:dyDescent="0.2">
      <c r="A6095" s="14" t="s">
        <v>12006</v>
      </c>
      <c r="B6095" s="15" t="s">
        <v>12007</v>
      </c>
      <c r="C6095" s="16">
        <f>168/(1+B2)</f>
        <v>168</v>
      </c>
      <c r="D6095" s="17" t="s">
        <v>11</v>
      </c>
      <c r="E6095" s="17"/>
      <c r="F6095" s="18"/>
      <c r="G6095" s="36" t="str">
        <f>IF(ISNUMBER(F6095),C6095*F6095,"")</f>
        <v/>
      </c>
    </row>
    <row r="6096" spans="1:7" ht="24" customHeight="1" outlineLevel="2" x14ac:dyDescent="0.2">
      <c r="A6096" s="14" t="s">
        <v>12008</v>
      </c>
      <c r="B6096" s="15" t="s">
        <v>12009</v>
      </c>
      <c r="C6096" s="16">
        <f>86.05/(1+B2)</f>
        <v>86.05</v>
      </c>
      <c r="D6096" s="17" t="s">
        <v>11</v>
      </c>
      <c r="E6096" s="17" t="s">
        <v>11</v>
      </c>
      <c r="F6096" s="18"/>
      <c r="G6096" s="36" t="str">
        <f>IF(ISNUMBER(F6096),C6096*F6096,"")</f>
        <v/>
      </c>
    </row>
    <row r="6097" spans="1:7" ht="24" customHeight="1" outlineLevel="2" x14ac:dyDescent="0.2">
      <c r="A6097" s="14" t="s">
        <v>12010</v>
      </c>
      <c r="B6097" s="15" t="s">
        <v>12011</v>
      </c>
      <c r="C6097" s="16">
        <f>166.32/(1+B2)</f>
        <v>166.32</v>
      </c>
      <c r="D6097" s="17" t="s">
        <v>11</v>
      </c>
      <c r="E6097" s="17" t="s">
        <v>11</v>
      </c>
      <c r="F6097" s="18"/>
      <c r="G6097" s="36" t="str">
        <f>IF(ISNUMBER(F6097),C6097*F6097,"")</f>
        <v/>
      </c>
    </row>
    <row r="6098" spans="1:7" ht="12" customHeight="1" outlineLevel="2" x14ac:dyDescent="0.2">
      <c r="A6098" s="14" t="s">
        <v>12012</v>
      </c>
      <c r="B6098" s="15" t="s">
        <v>12013</v>
      </c>
      <c r="C6098" s="16">
        <f>46.29/(1+B2)</f>
        <v>46.29</v>
      </c>
      <c r="D6098" s="17" t="s">
        <v>14</v>
      </c>
      <c r="E6098" s="17" t="s">
        <v>53</v>
      </c>
      <c r="F6098" s="18"/>
      <c r="G6098" s="36" t="str">
        <f>IF(ISNUMBER(F6098),C6098*F6098,"")</f>
        <v/>
      </c>
    </row>
    <row r="6099" spans="1:7" ht="12" customHeight="1" outlineLevel="2" x14ac:dyDescent="0.2">
      <c r="A6099" s="14" t="s">
        <v>12014</v>
      </c>
      <c r="B6099" s="15" t="s">
        <v>12015</v>
      </c>
      <c r="C6099" s="16">
        <f>62.92/(1+B2)</f>
        <v>62.92</v>
      </c>
      <c r="D6099" s="17" t="s">
        <v>11</v>
      </c>
      <c r="E6099" s="17" t="s">
        <v>14</v>
      </c>
      <c r="F6099" s="18"/>
      <c r="G6099" s="36" t="str">
        <f>IF(ISNUMBER(F6099),C6099*F6099,"")</f>
        <v/>
      </c>
    </row>
    <row r="6100" spans="1:7" ht="12" customHeight="1" outlineLevel="2" x14ac:dyDescent="0.2">
      <c r="A6100" s="14" t="s">
        <v>12016</v>
      </c>
      <c r="B6100" s="15" t="s">
        <v>12017</v>
      </c>
      <c r="C6100" s="16">
        <f>60/(1+B2)</f>
        <v>60</v>
      </c>
      <c r="D6100" s="17" t="s">
        <v>11</v>
      </c>
      <c r="E6100" s="17"/>
      <c r="F6100" s="18"/>
      <c r="G6100" s="36" t="str">
        <f>IF(ISNUMBER(F6100),C6100*F6100,"")</f>
        <v/>
      </c>
    </row>
    <row r="6101" spans="1:7" ht="12" customHeight="1" outlineLevel="2" x14ac:dyDescent="0.2">
      <c r="A6101" s="14" t="s">
        <v>12018</v>
      </c>
      <c r="B6101" s="15" t="s">
        <v>12019</v>
      </c>
      <c r="C6101" s="16">
        <f>294.17/(1+B2)</f>
        <v>294.17</v>
      </c>
      <c r="D6101" s="17" t="s">
        <v>11</v>
      </c>
      <c r="E6101" s="17"/>
      <c r="F6101" s="18"/>
      <c r="G6101" s="36" t="str">
        <f>IF(ISNUMBER(F6101),C6101*F6101,"")</f>
        <v/>
      </c>
    </row>
    <row r="6102" spans="1:7" ht="12" customHeight="1" outlineLevel="2" x14ac:dyDescent="0.2">
      <c r="A6102" s="14" t="s">
        <v>12020</v>
      </c>
      <c r="B6102" s="15" t="s">
        <v>12021</v>
      </c>
      <c r="C6102" s="19">
        <f>5625/(1+B2)</f>
        <v>5625</v>
      </c>
      <c r="D6102" s="17" t="s">
        <v>11</v>
      </c>
      <c r="E6102" s="17"/>
      <c r="F6102" s="18"/>
      <c r="G6102" s="36" t="str">
        <f>IF(ISNUMBER(F6102),C6102*F6102,"")</f>
        <v/>
      </c>
    </row>
    <row r="6103" spans="1:7" ht="12" customHeight="1" outlineLevel="2" x14ac:dyDescent="0.2">
      <c r="A6103" s="14" t="s">
        <v>12022</v>
      </c>
      <c r="B6103" s="15" t="s">
        <v>12023</v>
      </c>
      <c r="C6103" s="19">
        <f>4375/(1+B2)</f>
        <v>4375</v>
      </c>
      <c r="D6103" s="17" t="s">
        <v>11</v>
      </c>
      <c r="E6103" s="17"/>
      <c r="F6103" s="18"/>
      <c r="G6103" s="36" t="str">
        <f>IF(ISNUMBER(F6103),C6103*F6103,"")</f>
        <v/>
      </c>
    </row>
    <row r="6104" spans="1:7" ht="12" customHeight="1" outlineLevel="2" x14ac:dyDescent="0.2">
      <c r="A6104" s="14" t="s">
        <v>12024</v>
      </c>
      <c r="B6104" s="15" t="s">
        <v>12025</v>
      </c>
      <c r="C6104" s="16">
        <f>406.24/(1+B2)</f>
        <v>406.24</v>
      </c>
      <c r="D6104" s="17" t="s">
        <v>11</v>
      </c>
      <c r="E6104" s="17"/>
      <c r="F6104" s="18"/>
      <c r="G6104" s="36" t="str">
        <f>IF(ISNUMBER(F6104),C6104*F6104,"")</f>
        <v/>
      </c>
    </row>
    <row r="6105" spans="1:7" ht="12" customHeight="1" outlineLevel="2" x14ac:dyDescent="0.2">
      <c r="A6105" s="14" t="s">
        <v>12026</v>
      </c>
      <c r="B6105" s="15" t="s">
        <v>12027</v>
      </c>
      <c r="C6105" s="16">
        <f>342.58/(1+B2)</f>
        <v>342.58</v>
      </c>
      <c r="D6105" s="17" t="s">
        <v>11</v>
      </c>
      <c r="E6105" s="17"/>
      <c r="F6105" s="18"/>
      <c r="G6105" s="36" t="str">
        <f>IF(ISNUMBER(F6105),C6105*F6105,"")</f>
        <v/>
      </c>
    </row>
    <row r="6106" spans="1:7" ht="24" customHeight="1" outlineLevel="2" x14ac:dyDescent="0.2">
      <c r="A6106" s="14" t="s">
        <v>12028</v>
      </c>
      <c r="B6106" s="15" t="s">
        <v>12029</v>
      </c>
      <c r="C6106" s="16">
        <f>496.74/(1+B2)</f>
        <v>496.74</v>
      </c>
      <c r="D6106" s="17" t="s">
        <v>11</v>
      </c>
      <c r="E6106" s="17" t="s">
        <v>11</v>
      </c>
      <c r="F6106" s="18"/>
      <c r="G6106" s="36" t="str">
        <f>IF(ISNUMBER(F6106),C6106*F6106,"")</f>
        <v/>
      </c>
    </row>
    <row r="6107" spans="1:7" ht="24" customHeight="1" outlineLevel="2" x14ac:dyDescent="0.2">
      <c r="A6107" s="14" t="s">
        <v>12030</v>
      </c>
      <c r="B6107" s="15" t="s">
        <v>12031</v>
      </c>
      <c r="C6107" s="19">
        <f>1105.7/(1+B2)</f>
        <v>1105.7</v>
      </c>
      <c r="D6107" s="17" t="s">
        <v>11</v>
      </c>
      <c r="E6107" s="17"/>
      <c r="F6107" s="18"/>
      <c r="G6107" s="36" t="str">
        <f>IF(ISNUMBER(F6107),C6107*F6107,"")</f>
        <v/>
      </c>
    </row>
    <row r="6108" spans="1:7" ht="24" customHeight="1" outlineLevel="2" x14ac:dyDescent="0.2">
      <c r="A6108" s="14" t="s">
        <v>12032</v>
      </c>
      <c r="B6108" s="15" t="s">
        <v>12033</v>
      </c>
      <c r="C6108" s="16">
        <f>900.71/(1+B2)</f>
        <v>900.71</v>
      </c>
      <c r="D6108" s="17" t="s">
        <v>11</v>
      </c>
      <c r="E6108" s="17"/>
      <c r="F6108" s="18"/>
      <c r="G6108" s="36" t="str">
        <f>IF(ISNUMBER(F6108),C6108*F6108,"")</f>
        <v/>
      </c>
    </row>
    <row r="6109" spans="1:7" s="1" customFormat="1" ht="15.95" customHeight="1" outlineLevel="1" x14ac:dyDescent="0.25">
      <c r="A6109" s="11"/>
      <c r="B6109" s="12" t="s">
        <v>12034</v>
      </c>
      <c r="C6109" s="13"/>
      <c r="D6109" s="13"/>
      <c r="E6109" s="13"/>
      <c r="F6109" s="13"/>
      <c r="G6109" s="35"/>
    </row>
    <row r="6110" spans="1:7" ht="12" customHeight="1" outlineLevel="2" x14ac:dyDescent="0.2">
      <c r="A6110" s="14" t="s">
        <v>12035</v>
      </c>
      <c r="B6110" s="15" t="s">
        <v>12036</v>
      </c>
      <c r="C6110" s="16">
        <f>47.15/(1+B2)</f>
        <v>47.15</v>
      </c>
      <c r="D6110" s="17" t="s">
        <v>11</v>
      </c>
      <c r="E6110" s="17"/>
      <c r="F6110" s="18"/>
      <c r="G6110" s="36" t="str">
        <f>IF(ISNUMBER(F6110),C6110*F6110,"")</f>
        <v/>
      </c>
    </row>
    <row r="6111" spans="1:7" ht="12" customHeight="1" outlineLevel="2" x14ac:dyDescent="0.2">
      <c r="A6111" s="14" t="s">
        <v>12037</v>
      </c>
      <c r="B6111" s="15" t="s">
        <v>12038</v>
      </c>
      <c r="C6111" s="16">
        <f>54.76/(1+B2)</f>
        <v>54.76</v>
      </c>
      <c r="D6111" s="17" t="s">
        <v>11</v>
      </c>
      <c r="E6111" s="17"/>
      <c r="F6111" s="18"/>
      <c r="G6111" s="36" t="str">
        <f>IF(ISNUMBER(F6111),C6111*F6111,"")</f>
        <v/>
      </c>
    </row>
    <row r="6112" spans="1:7" ht="24" customHeight="1" outlineLevel="2" x14ac:dyDescent="0.2">
      <c r="A6112" s="14" t="s">
        <v>12039</v>
      </c>
      <c r="B6112" s="15" t="s">
        <v>12040</v>
      </c>
      <c r="C6112" s="16">
        <f>47.15/(1+B2)</f>
        <v>47.15</v>
      </c>
      <c r="D6112" s="17" t="s">
        <v>11</v>
      </c>
      <c r="E6112" s="17"/>
      <c r="F6112" s="18"/>
      <c r="G6112" s="36" t="str">
        <f>IF(ISNUMBER(F6112),C6112*F6112,"")</f>
        <v/>
      </c>
    </row>
    <row r="6113" spans="1:7" ht="12" customHeight="1" outlineLevel="2" x14ac:dyDescent="0.2">
      <c r="A6113" s="14" t="s">
        <v>12041</v>
      </c>
      <c r="B6113" s="15" t="s">
        <v>12042</v>
      </c>
      <c r="C6113" s="16">
        <f>47.15/(1+B2)</f>
        <v>47.15</v>
      </c>
      <c r="D6113" s="17" t="s">
        <v>11</v>
      </c>
      <c r="E6113" s="17" t="s">
        <v>11</v>
      </c>
      <c r="F6113" s="18"/>
      <c r="G6113" s="36" t="str">
        <f>IF(ISNUMBER(F6113),C6113*F6113,"")</f>
        <v/>
      </c>
    </row>
    <row r="6114" spans="1:7" ht="12" customHeight="1" outlineLevel="2" x14ac:dyDescent="0.2">
      <c r="A6114" s="14" t="s">
        <v>12043</v>
      </c>
      <c r="B6114" s="15" t="s">
        <v>12044</v>
      </c>
      <c r="C6114" s="16">
        <f>54.76/(1+B2)</f>
        <v>54.76</v>
      </c>
      <c r="D6114" s="17" t="s">
        <v>11</v>
      </c>
      <c r="E6114" s="17"/>
      <c r="F6114" s="18"/>
      <c r="G6114" s="36" t="str">
        <f>IF(ISNUMBER(F6114),C6114*F6114,"")</f>
        <v/>
      </c>
    </row>
    <row r="6115" spans="1:7" ht="12" customHeight="1" outlineLevel="2" x14ac:dyDescent="0.2">
      <c r="A6115" s="14" t="s">
        <v>12045</v>
      </c>
      <c r="B6115" s="15" t="s">
        <v>12046</v>
      </c>
      <c r="C6115" s="16">
        <f>47.15/(1+B2)</f>
        <v>47.15</v>
      </c>
      <c r="D6115" s="17" t="s">
        <v>11</v>
      </c>
      <c r="E6115" s="17"/>
      <c r="F6115" s="18"/>
      <c r="G6115" s="36" t="str">
        <f>IF(ISNUMBER(F6115),C6115*F6115,"")</f>
        <v/>
      </c>
    </row>
    <row r="6116" spans="1:7" ht="12" customHeight="1" outlineLevel="2" x14ac:dyDescent="0.2">
      <c r="A6116" s="14" t="s">
        <v>12047</v>
      </c>
      <c r="B6116" s="15" t="s">
        <v>12048</v>
      </c>
      <c r="C6116" s="16">
        <f>62.3/(1+B2)</f>
        <v>62.3</v>
      </c>
      <c r="D6116" s="17" t="s">
        <v>11</v>
      </c>
      <c r="E6116" s="17" t="s">
        <v>11</v>
      </c>
      <c r="F6116" s="18"/>
      <c r="G6116" s="36" t="str">
        <f>IF(ISNUMBER(F6116),C6116*F6116,"")</f>
        <v/>
      </c>
    </row>
    <row r="6117" spans="1:7" ht="12" customHeight="1" outlineLevel="2" x14ac:dyDescent="0.2">
      <c r="A6117" s="14" t="s">
        <v>12049</v>
      </c>
      <c r="B6117" s="15" t="s">
        <v>12050</v>
      </c>
      <c r="C6117" s="16">
        <f>58.94/(1+B2)</f>
        <v>58.94</v>
      </c>
      <c r="D6117" s="17" t="s">
        <v>11</v>
      </c>
      <c r="E6117" s="17"/>
      <c r="F6117" s="18"/>
      <c r="G6117" s="36" t="str">
        <f>IF(ISNUMBER(F6117),C6117*F6117,"")</f>
        <v/>
      </c>
    </row>
    <row r="6118" spans="1:7" ht="12" customHeight="1" outlineLevel="2" x14ac:dyDescent="0.2">
      <c r="A6118" s="14" t="s">
        <v>12051</v>
      </c>
      <c r="B6118" s="15" t="s">
        <v>12052</v>
      </c>
      <c r="C6118" s="16">
        <f>53.58/(1+B2)</f>
        <v>53.58</v>
      </c>
      <c r="D6118" s="17" t="s">
        <v>11</v>
      </c>
      <c r="E6118" s="17"/>
      <c r="F6118" s="18"/>
      <c r="G6118" s="36" t="str">
        <f>IF(ISNUMBER(F6118),C6118*F6118,"")</f>
        <v/>
      </c>
    </row>
    <row r="6119" spans="1:7" ht="12" customHeight="1" outlineLevel="2" x14ac:dyDescent="0.2">
      <c r="A6119" s="14" t="s">
        <v>12053</v>
      </c>
      <c r="B6119" s="15" t="s">
        <v>12054</v>
      </c>
      <c r="C6119" s="16">
        <f>53.58/(1+B2)</f>
        <v>53.58</v>
      </c>
      <c r="D6119" s="17" t="s">
        <v>11</v>
      </c>
      <c r="E6119" s="17"/>
      <c r="F6119" s="18"/>
      <c r="G6119" s="36" t="str">
        <f>IF(ISNUMBER(F6119),C6119*F6119,"")</f>
        <v/>
      </c>
    </row>
    <row r="6120" spans="1:7" ht="12" customHeight="1" outlineLevel="2" x14ac:dyDescent="0.2">
      <c r="A6120" s="14" t="s">
        <v>12055</v>
      </c>
      <c r="B6120" s="15" t="s">
        <v>12056</v>
      </c>
      <c r="C6120" s="16">
        <f>63.58/(1+B2)</f>
        <v>63.58</v>
      </c>
      <c r="D6120" s="17" t="s">
        <v>11</v>
      </c>
      <c r="E6120" s="17" t="s">
        <v>11</v>
      </c>
      <c r="F6120" s="18"/>
      <c r="G6120" s="36" t="str">
        <f>IF(ISNUMBER(F6120),C6120*F6120,"")</f>
        <v/>
      </c>
    </row>
    <row r="6121" spans="1:7" ht="12" customHeight="1" outlineLevel="2" x14ac:dyDescent="0.2">
      <c r="A6121" s="14" t="s">
        <v>12057</v>
      </c>
      <c r="B6121" s="15" t="s">
        <v>12058</v>
      </c>
      <c r="C6121" s="16">
        <f>63.58/(1+B2)</f>
        <v>63.58</v>
      </c>
      <c r="D6121" s="17" t="s">
        <v>11</v>
      </c>
      <c r="E6121" s="17"/>
      <c r="F6121" s="18"/>
      <c r="G6121" s="36" t="str">
        <f>IF(ISNUMBER(F6121),C6121*F6121,"")</f>
        <v/>
      </c>
    </row>
    <row r="6122" spans="1:7" ht="24" customHeight="1" outlineLevel="2" x14ac:dyDescent="0.2">
      <c r="A6122" s="14" t="s">
        <v>12059</v>
      </c>
      <c r="B6122" s="15" t="s">
        <v>12060</v>
      </c>
      <c r="C6122" s="16">
        <f>73.97/(1+B2)</f>
        <v>73.97</v>
      </c>
      <c r="D6122" s="17" t="s">
        <v>11</v>
      </c>
      <c r="E6122" s="17"/>
      <c r="F6122" s="18"/>
      <c r="G6122" s="36" t="str">
        <f>IF(ISNUMBER(F6122),C6122*F6122,"")</f>
        <v/>
      </c>
    </row>
    <row r="6123" spans="1:7" ht="12" customHeight="1" outlineLevel="2" x14ac:dyDescent="0.2">
      <c r="A6123" s="14" t="s">
        <v>12061</v>
      </c>
      <c r="B6123" s="15" t="s">
        <v>12062</v>
      </c>
      <c r="C6123" s="16">
        <f>63.58/(1+B2)</f>
        <v>63.58</v>
      </c>
      <c r="D6123" s="17" t="s">
        <v>11</v>
      </c>
      <c r="E6123" s="17" t="s">
        <v>11</v>
      </c>
      <c r="F6123" s="18"/>
      <c r="G6123" s="36" t="str">
        <f>IF(ISNUMBER(F6123),C6123*F6123,"")</f>
        <v/>
      </c>
    </row>
    <row r="6124" spans="1:7" ht="12" customHeight="1" outlineLevel="2" x14ac:dyDescent="0.2">
      <c r="A6124" s="14" t="s">
        <v>12063</v>
      </c>
      <c r="B6124" s="15" t="s">
        <v>12064</v>
      </c>
      <c r="C6124" s="16">
        <f>63.58/(1+B2)</f>
        <v>63.58</v>
      </c>
      <c r="D6124" s="17" t="s">
        <v>11</v>
      </c>
      <c r="E6124" s="17" t="s">
        <v>11</v>
      </c>
      <c r="F6124" s="18"/>
      <c r="G6124" s="36" t="str">
        <f>IF(ISNUMBER(F6124),C6124*F6124,"")</f>
        <v/>
      </c>
    </row>
    <row r="6125" spans="1:7" ht="12" customHeight="1" outlineLevel="2" x14ac:dyDescent="0.2">
      <c r="A6125" s="14" t="s">
        <v>12065</v>
      </c>
      <c r="B6125" s="15" t="s">
        <v>12066</v>
      </c>
      <c r="C6125" s="16">
        <f>63.58/(1+B2)</f>
        <v>63.58</v>
      </c>
      <c r="D6125" s="17" t="s">
        <v>11</v>
      </c>
      <c r="E6125" s="17" t="s">
        <v>11</v>
      </c>
      <c r="F6125" s="18"/>
      <c r="G6125" s="36" t="str">
        <f>IF(ISNUMBER(F6125),C6125*F6125,"")</f>
        <v/>
      </c>
    </row>
    <row r="6126" spans="1:7" ht="12" customHeight="1" outlineLevel="2" x14ac:dyDescent="0.2">
      <c r="A6126" s="14" t="s">
        <v>12067</v>
      </c>
      <c r="B6126" s="15" t="s">
        <v>12068</v>
      </c>
      <c r="C6126" s="16">
        <f>63.58/(1+B2)</f>
        <v>63.58</v>
      </c>
      <c r="D6126" s="17" t="s">
        <v>11</v>
      </c>
      <c r="E6126" s="17"/>
      <c r="F6126" s="18"/>
      <c r="G6126" s="36" t="str">
        <f>IF(ISNUMBER(F6126),C6126*F6126,"")</f>
        <v/>
      </c>
    </row>
    <row r="6127" spans="1:7" s="1" customFormat="1" ht="15.95" customHeight="1" outlineLevel="1" x14ac:dyDescent="0.25">
      <c r="A6127" s="11"/>
      <c r="B6127" s="12" t="s">
        <v>12069</v>
      </c>
      <c r="C6127" s="13"/>
      <c r="D6127" s="13"/>
      <c r="E6127" s="13"/>
      <c r="F6127" s="13"/>
      <c r="G6127" s="35"/>
    </row>
    <row r="6128" spans="1:7" ht="12" customHeight="1" outlineLevel="2" x14ac:dyDescent="0.2">
      <c r="A6128" s="14" t="s">
        <v>12070</v>
      </c>
      <c r="B6128" s="15" t="s">
        <v>12071</v>
      </c>
      <c r="C6128" s="16">
        <f>74.4/(1+B2)</f>
        <v>74.400000000000006</v>
      </c>
      <c r="D6128" s="17" t="s">
        <v>11</v>
      </c>
      <c r="E6128" s="17" t="s">
        <v>14</v>
      </c>
      <c r="F6128" s="18"/>
      <c r="G6128" s="36" t="str">
        <f>IF(ISNUMBER(F6128),C6128*F6128,"")</f>
        <v/>
      </c>
    </row>
    <row r="6129" spans="1:7" ht="12" customHeight="1" outlineLevel="2" x14ac:dyDescent="0.2">
      <c r="A6129" s="14" t="s">
        <v>12072</v>
      </c>
      <c r="B6129" s="15" t="s">
        <v>12073</v>
      </c>
      <c r="C6129" s="16">
        <f>115.2/(1+B2)</f>
        <v>115.2</v>
      </c>
      <c r="D6129" s="17" t="s">
        <v>11</v>
      </c>
      <c r="E6129" s="17" t="s">
        <v>53</v>
      </c>
      <c r="F6129" s="18"/>
      <c r="G6129" s="36" t="str">
        <f>IF(ISNUMBER(F6129),C6129*F6129,"")</f>
        <v/>
      </c>
    </row>
    <row r="6130" spans="1:7" ht="12" customHeight="1" outlineLevel="2" x14ac:dyDescent="0.2">
      <c r="A6130" s="14" t="s">
        <v>12074</v>
      </c>
      <c r="B6130" s="15" t="s">
        <v>12075</v>
      </c>
      <c r="C6130" s="16">
        <f>117.6/(1+B2)</f>
        <v>117.6</v>
      </c>
      <c r="D6130" s="17" t="s">
        <v>11</v>
      </c>
      <c r="E6130" s="17"/>
      <c r="F6130" s="18"/>
      <c r="G6130" s="36" t="str">
        <f>IF(ISNUMBER(F6130),C6130*F6130,"")</f>
        <v/>
      </c>
    </row>
    <row r="6131" spans="1:7" ht="12" customHeight="1" outlineLevel="2" x14ac:dyDescent="0.2">
      <c r="A6131" s="14" t="s">
        <v>12076</v>
      </c>
      <c r="B6131" s="15" t="s">
        <v>12077</v>
      </c>
      <c r="C6131" s="16">
        <f>90/(1+B2)</f>
        <v>90</v>
      </c>
      <c r="D6131" s="17" t="s">
        <v>53</v>
      </c>
      <c r="E6131" s="17"/>
      <c r="F6131" s="18"/>
      <c r="G6131" s="36" t="str">
        <f>IF(ISNUMBER(F6131),C6131*F6131,"")</f>
        <v/>
      </c>
    </row>
    <row r="6132" spans="1:7" ht="12" customHeight="1" outlineLevel="2" x14ac:dyDescent="0.2">
      <c r="A6132" s="14" t="s">
        <v>12078</v>
      </c>
      <c r="B6132" s="15" t="s">
        <v>12079</v>
      </c>
      <c r="C6132" s="16">
        <f>5/(1+B2)</f>
        <v>5</v>
      </c>
      <c r="D6132" s="17" t="s">
        <v>106</v>
      </c>
      <c r="E6132" s="17"/>
      <c r="F6132" s="18"/>
      <c r="G6132" s="36" t="str">
        <f>IF(ISNUMBER(F6132),C6132*F6132,"")</f>
        <v/>
      </c>
    </row>
    <row r="6133" spans="1:7" ht="12" customHeight="1" outlineLevel="2" x14ac:dyDescent="0.2">
      <c r="A6133" s="14" t="s">
        <v>12080</v>
      </c>
      <c r="B6133" s="15" t="s">
        <v>12081</v>
      </c>
      <c r="C6133" s="16">
        <f>70.2/(1+B2)</f>
        <v>70.2</v>
      </c>
      <c r="D6133" s="17" t="s">
        <v>53</v>
      </c>
      <c r="E6133" s="17"/>
      <c r="F6133" s="18"/>
      <c r="G6133" s="36" t="str">
        <f>IF(ISNUMBER(F6133),C6133*F6133,"")</f>
        <v/>
      </c>
    </row>
    <row r="6134" spans="1:7" ht="12" customHeight="1" outlineLevel="2" x14ac:dyDescent="0.2">
      <c r="A6134" s="14" t="s">
        <v>12082</v>
      </c>
      <c r="B6134" s="15" t="s">
        <v>12083</v>
      </c>
      <c r="C6134" s="16">
        <f>163.2/(1+B2)</f>
        <v>163.19999999999999</v>
      </c>
      <c r="D6134" s="17" t="s">
        <v>11</v>
      </c>
      <c r="E6134" s="17"/>
      <c r="F6134" s="18"/>
      <c r="G6134" s="36" t="str">
        <f>IF(ISNUMBER(F6134),C6134*F6134,"")</f>
        <v/>
      </c>
    </row>
    <row r="6135" spans="1:7" ht="12" customHeight="1" outlineLevel="2" x14ac:dyDescent="0.2">
      <c r="A6135" s="14" t="s">
        <v>12084</v>
      </c>
      <c r="B6135" s="15" t="s">
        <v>12085</v>
      </c>
      <c r="C6135" s="16">
        <f>271.25/(1+B2)</f>
        <v>271.25</v>
      </c>
      <c r="D6135" s="17" t="s">
        <v>11</v>
      </c>
      <c r="E6135" s="17" t="s">
        <v>11</v>
      </c>
      <c r="F6135" s="18"/>
      <c r="G6135" s="36" t="str">
        <f>IF(ISNUMBER(F6135),C6135*F6135,"")</f>
        <v/>
      </c>
    </row>
    <row r="6136" spans="1:7" ht="12" customHeight="1" outlineLevel="2" x14ac:dyDescent="0.2">
      <c r="A6136" s="14" t="s">
        <v>12086</v>
      </c>
      <c r="B6136" s="15" t="s">
        <v>12087</v>
      </c>
      <c r="C6136" s="16">
        <f>73.26/(1+B2)</f>
        <v>73.260000000000005</v>
      </c>
      <c r="D6136" s="17" t="s">
        <v>14</v>
      </c>
      <c r="E6136" s="17" t="s">
        <v>106</v>
      </c>
      <c r="F6136" s="18"/>
      <c r="G6136" s="36" t="str">
        <f>IF(ISNUMBER(F6136),C6136*F6136,"")</f>
        <v/>
      </c>
    </row>
    <row r="6137" spans="1:7" ht="12" customHeight="1" outlineLevel="2" x14ac:dyDescent="0.2">
      <c r="A6137" s="14" t="s">
        <v>12088</v>
      </c>
      <c r="B6137" s="15" t="s">
        <v>12089</v>
      </c>
      <c r="C6137" s="16">
        <f>252.41/(1+B2)</f>
        <v>252.41</v>
      </c>
      <c r="D6137" s="17" t="s">
        <v>11</v>
      </c>
      <c r="E6137" s="17" t="s">
        <v>11</v>
      </c>
      <c r="F6137" s="18"/>
      <c r="G6137" s="36" t="str">
        <f>IF(ISNUMBER(F6137),C6137*F6137,"")</f>
        <v/>
      </c>
    </row>
    <row r="6138" spans="1:7" ht="12" customHeight="1" outlineLevel="2" x14ac:dyDescent="0.2">
      <c r="A6138" s="14" t="s">
        <v>12090</v>
      </c>
      <c r="B6138" s="15" t="s">
        <v>12091</v>
      </c>
      <c r="C6138" s="16">
        <f>252.41/(1+B2)</f>
        <v>252.41</v>
      </c>
      <c r="D6138" s="17" t="s">
        <v>11</v>
      </c>
      <c r="E6138" s="17" t="s">
        <v>11</v>
      </c>
      <c r="F6138" s="18"/>
      <c r="G6138" s="36" t="str">
        <f>IF(ISNUMBER(F6138),C6138*F6138,"")</f>
        <v/>
      </c>
    </row>
    <row r="6139" spans="1:7" ht="12" customHeight="1" outlineLevel="2" x14ac:dyDescent="0.2">
      <c r="A6139" s="14" t="s">
        <v>12092</v>
      </c>
      <c r="B6139" s="15" t="s">
        <v>12093</v>
      </c>
      <c r="C6139" s="16">
        <f>258/(1+B2)</f>
        <v>258</v>
      </c>
      <c r="D6139" s="17" t="s">
        <v>11</v>
      </c>
      <c r="E6139" s="17" t="s">
        <v>11</v>
      </c>
      <c r="F6139" s="18"/>
      <c r="G6139" s="36" t="str">
        <f>IF(ISNUMBER(F6139),C6139*F6139,"")</f>
        <v/>
      </c>
    </row>
    <row r="6140" spans="1:7" ht="12" customHeight="1" outlineLevel="2" x14ac:dyDescent="0.2">
      <c r="A6140" s="14" t="s">
        <v>12094</v>
      </c>
      <c r="B6140" s="15" t="s">
        <v>12095</v>
      </c>
      <c r="C6140" s="16">
        <f>252/(1+B2)</f>
        <v>252</v>
      </c>
      <c r="D6140" s="17" t="s">
        <v>11</v>
      </c>
      <c r="E6140" s="17"/>
      <c r="F6140" s="18"/>
      <c r="G6140" s="36" t="str">
        <f>IF(ISNUMBER(F6140),C6140*F6140,"")</f>
        <v/>
      </c>
    </row>
    <row r="6141" spans="1:7" ht="12" customHeight="1" outlineLevel="2" x14ac:dyDescent="0.2">
      <c r="A6141" s="14" t="s">
        <v>12096</v>
      </c>
      <c r="B6141" s="15" t="s">
        <v>12097</v>
      </c>
      <c r="C6141" s="16">
        <f>252/(1+B2)</f>
        <v>252</v>
      </c>
      <c r="D6141" s="17" t="s">
        <v>11</v>
      </c>
      <c r="E6141" s="17"/>
      <c r="F6141" s="18"/>
      <c r="G6141" s="36" t="str">
        <f>IF(ISNUMBER(F6141),C6141*F6141,"")</f>
        <v/>
      </c>
    </row>
    <row r="6142" spans="1:7" ht="12" customHeight="1" outlineLevel="2" x14ac:dyDescent="0.2">
      <c r="A6142" s="14" t="s">
        <v>12098</v>
      </c>
      <c r="B6142" s="15" t="s">
        <v>12099</v>
      </c>
      <c r="C6142" s="16">
        <f>252/(1+B2)</f>
        <v>252</v>
      </c>
      <c r="D6142" s="17" t="s">
        <v>11</v>
      </c>
      <c r="E6142" s="17"/>
      <c r="F6142" s="18"/>
      <c r="G6142" s="36" t="str">
        <f>IF(ISNUMBER(F6142),C6142*F6142,"")</f>
        <v/>
      </c>
    </row>
    <row r="6143" spans="1:7" ht="12" customHeight="1" outlineLevel="2" x14ac:dyDescent="0.2">
      <c r="A6143" s="14" t="s">
        <v>12100</v>
      </c>
      <c r="B6143" s="15" t="s">
        <v>12101</v>
      </c>
      <c r="C6143" s="16">
        <f>202.8/(1+B2)</f>
        <v>202.8</v>
      </c>
      <c r="D6143" s="17" t="s">
        <v>11</v>
      </c>
      <c r="E6143" s="17" t="s">
        <v>11</v>
      </c>
      <c r="F6143" s="18"/>
      <c r="G6143" s="36" t="str">
        <f>IF(ISNUMBER(F6143),C6143*F6143,"")</f>
        <v/>
      </c>
    </row>
    <row r="6144" spans="1:7" ht="12" customHeight="1" outlineLevel="2" x14ac:dyDescent="0.2">
      <c r="A6144" s="14" t="s">
        <v>12102</v>
      </c>
      <c r="B6144" s="15" t="s">
        <v>12103</v>
      </c>
      <c r="C6144" s="16">
        <f>135.6/(1+B2)</f>
        <v>135.6</v>
      </c>
      <c r="D6144" s="17" t="s">
        <v>11</v>
      </c>
      <c r="E6144" s="17" t="s">
        <v>14</v>
      </c>
      <c r="F6144" s="18"/>
      <c r="G6144" s="36" t="str">
        <f>IF(ISNUMBER(F6144),C6144*F6144,"")</f>
        <v/>
      </c>
    </row>
    <row r="6145" spans="1:7" ht="12" customHeight="1" outlineLevel="2" x14ac:dyDescent="0.2">
      <c r="A6145" s="14" t="s">
        <v>12104</v>
      </c>
      <c r="B6145" s="15" t="s">
        <v>12105</v>
      </c>
      <c r="C6145" s="16">
        <f>125.63/(1+B2)</f>
        <v>125.63</v>
      </c>
      <c r="D6145" s="17" t="s">
        <v>11</v>
      </c>
      <c r="E6145" s="17" t="s">
        <v>11</v>
      </c>
      <c r="F6145" s="18"/>
      <c r="G6145" s="36" t="str">
        <f>IF(ISNUMBER(F6145),C6145*F6145,"")</f>
        <v/>
      </c>
    </row>
    <row r="6146" spans="1:7" ht="12" customHeight="1" outlineLevel="2" x14ac:dyDescent="0.2">
      <c r="A6146" s="14" t="s">
        <v>12106</v>
      </c>
      <c r="B6146" s="15" t="s">
        <v>12107</v>
      </c>
      <c r="C6146" s="16">
        <f>99/(1+B2)</f>
        <v>99</v>
      </c>
      <c r="D6146" s="17" t="s">
        <v>53</v>
      </c>
      <c r="E6146" s="17"/>
      <c r="F6146" s="18"/>
      <c r="G6146" s="36" t="str">
        <f>IF(ISNUMBER(F6146),C6146*F6146,"")</f>
        <v/>
      </c>
    </row>
    <row r="6147" spans="1:7" ht="12" customHeight="1" outlineLevel="2" x14ac:dyDescent="0.2">
      <c r="A6147" s="14" t="s">
        <v>12108</v>
      </c>
      <c r="B6147" s="15" t="s">
        <v>12109</v>
      </c>
      <c r="C6147" s="16">
        <f>178.75/(1+B2)</f>
        <v>178.75</v>
      </c>
      <c r="D6147" s="17" t="s">
        <v>53</v>
      </c>
      <c r="E6147" s="17" t="s">
        <v>11</v>
      </c>
      <c r="F6147" s="18"/>
      <c r="G6147" s="36" t="str">
        <f>IF(ISNUMBER(F6147),C6147*F6147,"")</f>
        <v/>
      </c>
    </row>
    <row r="6148" spans="1:7" ht="12" customHeight="1" outlineLevel="2" x14ac:dyDescent="0.2">
      <c r="A6148" s="14" t="s">
        <v>12110</v>
      </c>
      <c r="B6148" s="15" t="s">
        <v>12111</v>
      </c>
      <c r="C6148" s="16">
        <f>106.8/(1+B2)</f>
        <v>106.8</v>
      </c>
      <c r="D6148" s="17" t="s">
        <v>14</v>
      </c>
      <c r="E6148" s="17"/>
      <c r="F6148" s="18"/>
      <c r="G6148" s="36" t="str">
        <f>IF(ISNUMBER(F6148),C6148*F6148,"")</f>
        <v/>
      </c>
    </row>
    <row r="6149" spans="1:7" ht="12" customHeight="1" outlineLevel="2" x14ac:dyDescent="0.2">
      <c r="A6149" s="14" t="s">
        <v>12112</v>
      </c>
      <c r="B6149" s="15" t="s">
        <v>12113</v>
      </c>
      <c r="C6149" s="16">
        <f>8/(1+B2)</f>
        <v>8</v>
      </c>
      <c r="D6149" s="17" t="s">
        <v>11</v>
      </c>
      <c r="E6149" s="17"/>
      <c r="F6149" s="18"/>
      <c r="G6149" s="36" t="str">
        <f>IF(ISNUMBER(F6149),C6149*F6149,"")</f>
        <v/>
      </c>
    </row>
    <row r="6150" spans="1:7" ht="12" customHeight="1" outlineLevel="2" x14ac:dyDescent="0.2">
      <c r="A6150" s="14" t="s">
        <v>12114</v>
      </c>
      <c r="B6150" s="15" t="s">
        <v>12115</v>
      </c>
      <c r="C6150" s="16">
        <f>288.6/(1+B2)</f>
        <v>288.60000000000002</v>
      </c>
      <c r="D6150" s="17" t="s">
        <v>11</v>
      </c>
      <c r="E6150" s="17"/>
      <c r="F6150" s="18"/>
      <c r="G6150" s="36" t="str">
        <f>IF(ISNUMBER(F6150),C6150*F6150,"")</f>
        <v/>
      </c>
    </row>
    <row r="6151" spans="1:7" s="1" customFormat="1" ht="15.95" customHeight="1" outlineLevel="1" x14ac:dyDescent="0.25">
      <c r="A6151" s="11"/>
      <c r="B6151" s="12" t="s">
        <v>12116</v>
      </c>
      <c r="C6151" s="13"/>
      <c r="D6151" s="13"/>
      <c r="E6151" s="13"/>
      <c r="F6151" s="13"/>
      <c r="G6151" s="35"/>
    </row>
    <row r="6152" spans="1:7" ht="12" customHeight="1" outlineLevel="2" x14ac:dyDescent="0.2">
      <c r="A6152" s="14" t="s">
        <v>12117</v>
      </c>
      <c r="B6152" s="15" t="s">
        <v>12118</v>
      </c>
      <c r="C6152" s="16">
        <f>39.55/(1+B2)</f>
        <v>39.549999999999997</v>
      </c>
      <c r="D6152" s="17" t="s">
        <v>53</v>
      </c>
      <c r="E6152" s="17"/>
      <c r="F6152" s="18"/>
      <c r="G6152" s="36" t="str">
        <f>IF(ISNUMBER(F6152),C6152*F6152,"")</f>
        <v/>
      </c>
    </row>
    <row r="6153" spans="1:7" ht="12" customHeight="1" outlineLevel="2" x14ac:dyDescent="0.2">
      <c r="A6153" s="14" t="s">
        <v>12119</v>
      </c>
      <c r="B6153" s="15" t="s">
        <v>12120</v>
      </c>
      <c r="C6153" s="16">
        <f>36.84/(1+B2)</f>
        <v>36.840000000000003</v>
      </c>
      <c r="D6153" s="17" t="s">
        <v>53</v>
      </c>
      <c r="E6153" s="17" t="s">
        <v>53</v>
      </c>
      <c r="F6153" s="18"/>
      <c r="G6153" s="36" t="str">
        <f>IF(ISNUMBER(F6153),C6153*F6153,"")</f>
        <v/>
      </c>
    </row>
    <row r="6154" spans="1:7" ht="24" customHeight="1" outlineLevel="2" x14ac:dyDescent="0.2">
      <c r="A6154" s="14" t="s">
        <v>12121</v>
      </c>
      <c r="B6154" s="15" t="s">
        <v>12122</v>
      </c>
      <c r="C6154" s="16">
        <f>117.54/(1+B2)</f>
        <v>117.54</v>
      </c>
      <c r="D6154" s="17" t="s">
        <v>11</v>
      </c>
      <c r="E6154" s="17"/>
      <c r="F6154" s="18"/>
      <c r="G6154" s="36" t="str">
        <f>IF(ISNUMBER(F6154),C6154*F6154,"")</f>
        <v/>
      </c>
    </row>
    <row r="6155" spans="1:7" ht="24" customHeight="1" outlineLevel="2" x14ac:dyDescent="0.2">
      <c r="A6155" s="14" t="s">
        <v>12123</v>
      </c>
      <c r="B6155" s="15" t="s">
        <v>12124</v>
      </c>
      <c r="C6155" s="16">
        <f>111.38/(1+B2)</f>
        <v>111.38</v>
      </c>
      <c r="D6155" s="17" t="s">
        <v>14</v>
      </c>
      <c r="E6155" s="17" t="s">
        <v>14</v>
      </c>
      <c r="F6155" s="18"/>
      <c r="G6155" s="36" t="str">
        <f>IF(ISNUMBER(F6155),C6155*F6155,"")</f>
        <v/>
      </c>
    </row>
    <row r="6156" spans="1:7" ht="24" customHeight="1" outlineLevel="2" x14ac:dyDescent="0.2">
      <c r="A6156" s="14" t="s">
        <v>12125</v>
      </c>
      <c r="B6156" s="15" t="s">
        <v>12126</v>
      </c>
      <c r="C6156" s="16">
        <f>151.25/(1+B2)</f>
        <v>151.25</v>
      </c>
      <c r="D6156" s="17" t="s">
        <v>14</v>
      </c>
      <c r="E6156" s="17" t="s">
        <v>14</v>
      </c>
      <c r="F6156" s="18"/>
      <c r="G6156" s="36" t="str">
        <f>IF(ISNUMBER(F6156),C6156*F6156,"")</f>
        <v/>
      </c>
    </row>
    <row r="6157" spans="1:7" ht="12" customHeight="1" outlineLevel="2" x14ac:dyDescent="0.2">
      <c r="A6157" s="14" t="s">
        <v>12127</v>
      </c>
      <c r="B6157" s="15" t="s">
        <v>12128</v>
      </c>
      <c r="C6157" s="16">
        <f>154.16/(1+B2)</f>
        <v>154.16</v>
      </c>
      <c r="D6157" s="17" t="s">
        <v>11</v>
      </c>
      <c r="E6157" s="17" t="s">
        <v>53</v>
      </c>
      <c r="F6157" s="18"/>
      <c r="G6157" s="36" t="str">
        <f>IF(ISNUMBER(F6157),C6157*F6157,"")</f>
        <v/>
      </c>
    </row>
    <row r="6158" spans="1:7" ht="12" customHeight="1" outlineLevel="2" x14ac:dyDescent="0.2">
      <c r="A6158" s="14" t="s">
        <v>12129</v>
      </c>
      <c r="B6158" s="15" t="s">
        <v>12130</v>
      </c>
      <c r="C6158" s="16">
        <f>51.95/(1+B2)</f>
        <v>51.95</v>
      </c>
      <c r="D6158" s="17" t="s">
        <v>53</v>
      </c>
      <c r="E6158" s="17" t="s">
        <v>106</v>
      </c>
      <c r="F6158" s="18"/>
      <c r="G6158" s="36" t="str">
        <f>IF(ISNUMBER(F6158),C6158*F6158,"")</f>
        <v/>
      </c>
    </row>
    <row r="6159" spans="1:7" ht="12" customHeight="1" outlineLevel="2" x14ac:dyDescent="0.2">
      <c r="A6159" s="14" t="s">
        <v>12131</v>
      </c>
      <c r="B6159" s="15" t="s">
        <v>12132</v>
      </c>
      <c r="C6159" s="16">
        <f>51.95/(1+B2)</f>
        <v>51.95</v>
      </c>
      <c r="D6159" s="17" t="s">
        <v>53</v>
      </c>
      <c r="E6159" s="17" t="s">
        <v>11</v>
      </c>
      <c r="F6159" s="18"/>
      <c r="G6159" s="36" t="str">
        <f>IF(ISNUMBER(F6159),C6159*F6159,"")</f>
        <v/>
      </c>
    </row>
    <row r="6160" spans="1:7" ht="12" customHeight="1" outlineLevel="2" x14ac:dyDescent="0.2">
      <c r="A6160" s="14" t="s">
        <v>12133</v>
      </c>
      <c r="B6160" s="15" t="s">
        <v>12134</v>
      </c>
      <c r="C6160" s="16">
        <f>51.95/(1+B2)</f>
        <v>51.95</v>
      </c>
      <c r="D6160" s="17" t="s">
        <v>53</v>
      </c>
      <c r="E6160" s="17" t="s">
        <v>14</v>
      </c>
      <c r="F6160" s="18"/>
      <c r="G6160" s="36" t="str">
        <f>IF(ISNUMBER(F6160),C6160*F6160,"")</f>
        <v/>
      </c>
    </row>
    <row r="6161" spans="1:7" ht="12" customHeight="1" outlineLevel="2" x14ac:dyDescent="0.2">
      <c r="A6161" s="14" t="s">
        <v>12135</v>
      </c>
      <c r="B6161" s="15" t="s">
        <v>12136</v>
      </c>
      <c r="C6161" s="16">
        <f>51.95/(1+B2)</f>
        <v>51.95</v>
      </c>
      <c r="D6161" s="17" t="s">
        <v>53</v>
      </c>
      <c r="E6161" s="17" t="s">
        <v>53</v>
      </c>
      <c r="F6161" s="18"/>
      <c r="G6161" s="36" t="str">
        <f>IF(ISNUMBER(F6161),C6161*F6161,"")</f>
        <v/>
      </c>
    </row>
    <row r="6162" spans="1:7" ht="12" customHeight="1" outlineLevel="2" x14ac:dyDescent="0.2">
      <c r="A6162" s="14" t="s">
        <v>12137</v>
      </c>
      <c r="B6162" s="15" t="s">
        <v>12138</v>
      </c>
      <c r="C6162" s="16">
        <f>49.61/(1+B2)</f>
        <v>49.61</v>
      </c>
      <c r="D6162" s="17" t="s">
        <v>11</v>
      </c>
      <c r="E6162" s="17" t="s">
        <v>11</v>
      </c>
      <c r="F6162" s="18"/>
      <c r="G6162" s="36" t="str">
        <f>IF(ISNUMBER(F6162),C6162*F6162,"")</f>
        <v/>
      </c>
    </row>
    <row r="6163" spans="1:7" ht="12" customHeight="1" outlineLevel="2" x14ac:dyDescent="0.2">
      <c r="A6163" s="14" t="s">
        <v>12139</v>
      </c>
      <c r="B6163" s="15" t="s">
        <v>12140</v>
      </c>
      <c r="C6163" s="16">
        <f>175.1/(1+B2)</f>
        <v>175.1</v>
      </c>
      <c r="D6163" s="17" t="s">
        <v>11</v>
      </c>
      <c r="E6163" s="17"/>
      <c r="F6163" s="18"/>
      <c r="G6163" s="36" t="str">
        <f>IF(ISNUMBER(F6163),C6163*F6163,"")</f>
        <v/>
      </c>
    </row>
    <row r="6164" spans="1:7" ht="12" customHeight="1" outlineLevel="2" x14ac:dyDescent="0.2">
      <c r="A6164" s="14" t="s">
        <v>12141</v>
      </c>
      <c r="B6164" s="15" t="s">
        <v>12142</v>
      </c>
      <c r="C6164" s="16">
        <f>133.78/(1+B2)</f>
        <v>133.78</v>
      </c>
      <c r="D6164" s="17" t="s">
        <v>14</v>
      </c>
      <c r="E6164" s="17" t="s">
        <v>53</v>
      </c>
      <c r="F6164" s="18"/>
      <c r="G6164" s="36" t="str">
        <f>IF(ISNUMBER(F6164),C6164*F6164,"")</f>
        <v/>
      </c>
    </row>
    <row r="6165" spans="1:7" ht="24" customHeight="1" outlineLevel="2" x14ac:dyDescent="0.2">
      <c r="A6165" s="14" t="s">
        <v>12143</v>
      </c>
      <c r="B6165" s="15" t="s">
        <v>12144</v>
      </c>
      <c r="C6165" s="16">
        <f>133.78/(1+B2)</f>
        <v>133.78</v>
      </c>
      <c r="D6165" s="17" t="s">
        <v>11</v>
      </c>
      <c r="E6165" s="17" t="s">
        <v>106</v>
      </c>
      <c r="F6165" s="18"/>
      <c r="G6165" s="36" t="str">
        <f>IF(ISNUMBER(F6165),C6165*F6165,"")</f>
        <v/>
      </c>
    </row>
    <row r="6166" spans="1:7" ht="24" customHeight="1" outlineLevel="2" x14ac:dyDescent="0.2">
      <c r="A6166" s="14" t="s">
        <v>12145</v>
      </c>
      <c r="B6166" s="15" t="s">
        <v>12146</v>
      </c>
      <c r="C6166" s="16">
        <f>133.78/(1+B2)</f>
        <v>133.78</v>
      </c>
      <c r="D6166" s="17" t="s">
        <v>11</v>
      </c>
      <c r="E6166" s="17" t="s">
        <v>53</v>
      </c>
      <c r="F6166" s="18"/>
      <c r="G6166" s="36" t="str">
        <f>IF(ISNUMBER(F6166),C6166*F6166,"")</f>
        <v/>
      </c>
    </row>
    <row r="6167" spans="1:7" ht="12" customHeight="1" outlineLevel="2" x14ac:dyDescent="0.2">
      <c r="A6167" s="14" t="s">
        <v>12147</v>
      </c>
      <c r="B6167" s="15" t="s">
        <v>12148</v>
      </c>
      <c r="C6167" s="16">
        <f>133.78/(1+B2)</f>
        <v>133.78</v>
      </c>
      <c r="D6167" s="17" t="s">
        <v>14</v>
      </c>
      <c r="E6167" s="17" t="s">
        <v>53</v>
      </c>
      <c r="F6167" s="18"/>
      <c r="G6167" s="36" t="str">
        <f>IF(ISNUMBER(F6167),C6167*F6167,"")</f>
        <v/>
      </c>
    </row>
    <row r="6168" spans="1:7" ht="12" customHeight="1" outlineLevel="2" x14ac:dyDescent="0.2">
      <c r="A6168" s="14" t="s">
        <v>12149</v>
      </c>
      <c r="B6168" s="15" t="s">
        <v>12150</v>
      </c>
      <c r="C6168" s="16">
        <f>112.75/(1+B2)</f>
        <v>112.75</v>
      </c>
      <c r="D6168" s="17" t="s">
        <v>14</v>
      </c>
      <c r="E6168" s="17" t="s">
        <v>53</v>
      </c>
      <c r="F6168" s="18"/>
      <c r="G6168" s="36" t="str">
        <f>IF(ISNUMBER(F6168),C6168*F6168,"")</f>
        <v/>
      </c>
    </row>
    <row r="6169" spans="1:7" ht="12" customHeight="1" outlineLevel="2" x14ac:dyDescent="0.2">
      <c r="A6169" s="14" t="s">
        <v>12151</v>
      </c>
      <c r="B6169" s="15" t="s">
        <v>12152</v>
      </c>
      <c r="C6169" s="16">
        <f>121.95/(1+B2)</f>
        <v>121.95</v>
      </c>
      <c r="D6169" s="17"/>
      <c r="E6169" s="17" t="s">
        <v>53</v>
      </c>
      <c r="F6169" s="18"/>
      <c r="G6169" s="36" t="str">
        <f>IF(ISNUMBER(F6169),C6169*F6169,"")</f>
        <v/>
      </c>
    </row>
    <row r="6170" spans="1:7" ht="12" customHeight="1" outlineLevel="2" x14ac:dyDescent="0.2">
      <c r="A6170" s="14" t="s">
        <v>12153</v>
      </c>
      <c r="B6170" s="15" t="s">
        <v>12154</v>
      </c>
      <c r="C6170" s="16">
        <f>215.8/(1+B2)</f>
        <v>215.8</v>
      </c>
      <c r="D6170" s="17" t="s">
        <v>11</v>
      </c>
      <c r="E6170" s="17"/>
      <c r="F6170" s="18"/>
      <c r="G6170" s="36" t="str">
        <f>IF(ISNUMBER(F6170),C6170*F6170,"")</f>
        <v/>
      </c>
    </row>
    <row r="6171" spans="1:7" ht="12" customHeight="1" outlineLevel="2" x14ac:dyDescent="0.2">
      <c r="A6171" s="14" t="s">
        <v>12155</v>
      </c>
      <c r="B6171" s="15" t="s">
        <v>12156</v>
      </c>
      <c r="C6171" s="16">
        <f>368.16/(1+B2)</f>
        <v>368.16</v>
      </c>
      <c r="D6171" s="17" t="s">
        <v>11</v>
      </c>
      <c r="E6171" s="17"/>
      <c r="F6171" s="18"/>
      <c r="G6171" s="36" t="str">
        <f>IF(ISNUMBER(F6171),C6171*F6171,"")</f>
        <v/>
      </c>
    </row>
    <row r="6172" spans="1:7" ht="24" customHeight="1" outlineLevel="2" x14ac:dyDescent="0.2">
      <c r="A6172" s="14" t="s">
        <v>12157</v>
      </c>
      <c r="B6172" s="15" t="s">
        <v>12158</v>
      </c>
      <c r="C6172" s="16">
        <f>118.4/(1+B2)</f>
        <v>118.4</v>
      </c>
      <c r="D6172" s="17" t="s">
        <v>14</v>
      </c>
      <c r="E6172" s="17" t="s">
        <v>14</v>
      </c>
      <c r="F6172" s="18"/>
      <c r="G6172" s="36" t="str">
        <f>IF(ISNUMBER(F6172),C6172*F6172,"")</f>
        <v/>
      </c>
    </row>
    <row r="6173" spans="1:7" ht="24" customHeight="1" outlineLevel="2" x14ac:dyDescent="0.2">
      <c r="A6173" s="14" t="s">
        <v>12159</v>
      </c>
      <c r="B6173" s="15" t="s">
        <v>12160</v>
      </c>
      <c r="C6173" s="16">
        <f>105.14/(1+B2)</f>
        <v>105.14</v>
      </c>
      <c r="D6173" s="17" t="s">
        <v>11</v>
      </c>
      <c r="E6173" s="17"/>
      <c r="F6173" s="18"/>
      <c r="G6173" s="36" t="str">
        <f>IF(ISNUMBER(F6173),C6173*F6173,"")</f>
        <v/>
      </c>
    </row>
    <row r="6174" spans="1:7" ht="24" customHeight="1" outlineLevel="2" x14ac:dyDescent="0.2">
      <c r="A6174" s="14" t="s">
        <v>12161</v>
      </c>
      <c r="B6174" s="15" t="s">
        <v>12162</v>
      </c>
      <c r="C6174" s="16">
        <f>150.7/(1+B2)</f>
        <v>150.69999999999999</v>
      </c>
      <c r="D6174" s="17" t="s">
        <v>14</v>
      </c>
      <c r="E6174" s="17" t="s">
        <v>53</v>
      </c>
      <c r="F6174" s="18"/>
      <c r="G6174" s="36" t="str">
        <f>IF(ISNUMBER(F6174),C6174*F6174,"")</f>
        <v/>
      </c>
    </row>
    <row r="6175" spans="1:7" ht="24" customHeight="1" outlineLevel="2" x14ac:dyDescent="0.2">
      <c r="A6175" s="14" t="s">
        <v>12163</v>
      </c>
      <c r="B6175" s="15" t="s">
        <v>12164</v>
      </c>
      <c r="C6175" s="16">
        <f>352.05/(1+B2)</f>
        <v>352.05</v>
      </c>
      <c r="D6175" s="17" t="s">
        <v>11</v>
      </c>
      <c r="E6175" s="17" t="s">
        <v>11</v>
      </c>
      <c r="F6175" s="18"/>
      <c r="G6175" s="36" t="str">
        <f>IF(ISNUMBER(F6175),C6175*F6175,"")</f>
        <v/>
      </c>
    </row>
    <row r="6176" spans="1:7" ht="24" customHeight="1" outlineLevel="2" x14ac:dyDescent="0.2">
      <c r="A6176" s="14" t="s">
        <v>12165</v>
      </c>
      <c r="B6176" s="15" t="s">
        <v>12166</v>
      </c>
      <c r="C6176" s="16">
        <f>276.78/(1+B2)</f>
        <v>276.77999999999997</v>
      </c>
      <c r="D6176" s="17" t="s">
        <v>11</v>
      </c>
      <c r="E6176" s="17"/>
      <c r="F6176" s="18"/>
      <c r="G6176" s="36" t="str">
        <f>IF(ISNUMBER(F6176),C6176*F6176,"")</f>
        <v/>
      </c>
    </row>
    <row r="6177" spans="1:7" ht="12" customHeight="1" outlineLevel="2" x14ac:dyDescent="0.2">
      <c r="A6177" s="14" t="s">
        <v>12167</v>
      </c>
      <c r="B6177" s="15" t="s">
        <v>12168</v>
      </c>
      <c r="C6177" s="16">
        <f>318.24/(1+B2)</f>
        <v>318.24</v>
      </c>
      <c r="D6177" s="17" t="s">
        <v>11</v>
      </c>
      <c r="E6177" s="17"/>
      <c r="F6177" s="18"/>
      <c r="G6177" s="36" t="str">
        <f>IF(ISNUMBER(F6177),C6177*F6177,"")</f>
        <v/>
      </c>
    </row>
    <row r="6178" spans="1:7" ht="24" customHeight="1" outlineLevel="2" x14ac:dyDescent="0.2">
      <c r="A6178" s="14" t="s">
        <v>12169</v>
      </c>
      <c r="B6178" s="15" t="s">
        <v>12170</v>
      </c>
      <c r="C6178" s="16">
        <f>288.6/(1+B2)</f>
        <v>288.60000000000002</v>
      </c>
      <c r="D6178" s="17" t="s">
        <v>11</v>
      </c>
      <c r="E6178" s="17" t="s">
        <v>14</v>
      </c>
      <c r="F6178" s="18"/>
      <c r="G6178" s="36" t="str">
        <f>IF(ISNUMBER(F6178),C6178*F6178,"")</f>
        <v/>
      </c>
    </row>
    <row r="6179" spans="1:7" ht="24" customHeight="1" outlineLevel="2" x14ac:dyDescent="0.2">
      <c r="A6179" s="14" t="s">
        <v>12171</v>
      </c>
      <c r="B6179" s="15" t="s">
        <v>12172</v>
      </c>
      <c r="C6179" s="16">
        <f>66.76/(1+B2)</f>
        <v>66.760000000000005</v>
      </c>
      <c r="D6179" s="17" t="s">
        <v>53</v>
      </c>
      <c r="E6179" s="17" t="s">
        <v>53</v>
      </c>
      <c r="F6179" s="18"/>
      <c r="G6179" s="36" t="str">
        <f>IF(ISNUMBER(F6179),C6179*F6179,"")</f>
        <v/>
      </c>
    </row>
    <row r="6180" spans="1:7" ht="12" customHeight="1" outlineLevel="2" x14ac:dyDescent="0.2">
      <c r="A6180" s="14" t="s">
        <v>12173</v>
      </c>
      <c r="B6180" s="15" t="s">
        <v>12174</v>
      </c>
      <c r="C6180" s="16">
        <f>60.84/(1+B2)</f>
        <v>60.84</v>
      </c>
      <c r="D6180" s="17" t="s">
        <v>53</v>
      </c>
      <c r="E6180" s="17" t="s">
        <v>14</v>
      </c>
      <c r="F6180" s="18"/>
      <c r="G6180" s="36" t="str">
        <f>IF(ISNUMBER(F6180),C6180*F6180,"")</f>
        <v/>
      </c>
    </row>
    <row r="6181" spans="1:7" ht="12" customHeight="1" outlineLevel="2" x14ac:dyDescent="0.2">
      <c r="A6181" s="14" t="s">
        <v>12175</v>
      </c>
      <c r="B6181" s="15" t="s">
        <v>12176</v>
      </c>
      <c r="C6181" s="16">
        <f>120.13/(1+B2)</f>
        <v>120.13</v>
      </c>
      <c r="D6181" s="17" t="s">
        <v>14</v>
      </c>
      <c r="E6181" s="17" t="s">
        <v>53</v>
      </c>
      <c r="F6181" s="18"/>
      <c r="G6181" s="36" t="str">
        <f>IF(ISNUMBER(F6181),C6181*F6181,"")</f>
        <v/>
      </c>
    </row>
    <row r="6182" spans="1:7" ht="12" customHeight="1" outlineLevel="2" x14ac:dyDescent="0.2">
      <c r="A6182" s="14" t="s">
        <v>12177</v>
      </c>
      <c r="B6182" s="15" t="s">
        <v>12178</v>
      </c>
      <c r="C6182" s="16">
        <f>180.18/(1+B2)</f>
        <v>180.18</v>
      </c>
      <c r="D6182" s="17" t="s">
        <v>11</v>
      </c>
      <c r="E6182" s="17" t="s">
        <v>11</v>
      </c>
      <c r="F6182" s="18"/>
      <c r="G6182" s="36" t="str">
        <f>IF(ISNUMBER(F6182),C6182*F6182,"")</f>
        <v/>
      </c>
    </row>
    <row r="6183" spans="1:7" ht="24" customHeight="1" outlineLevel="2" x14ac:dyDescent="0.2">
      <c r="A6183" s="14" t="s">
        <v>12179</v>
      </c>
      <c r="B6183" s="15" t="s">
        <v>12180</v>
      </c>
      <c r="C6183" s="16">
        <f>73.01/(1+B2)</f>
        <v>73.010000000000005</v>
      </c>
      <c r="D6183" s="17" t="s">
        <v>14</v>
      </c>
      <c r="E6183" s="17"/>
      <c r="F6183" s="18"/>
      <c r="G6183" s="36" t="str">
        <f>IF(ISNUMBER(F6183),C6183*F6183,"")</f>
        <v/>
      </c>
    </row>
    <row r="6184" spans="1:7" ht="24" customHeight="1" outlineLevel="2" x14ac:dyDescent="0.2">
      <c r="A6184" s="14" t="s">
        <v>12181</v>
      </c>
      <c r="B6184" s="15" t="s">
        <v>12182</v>
      </c>
      <c r="C6184" s="16">
        <f>73.01/(1+B2)</f>
        <v>73.010000000000005</v>
      </c>
      <c r="D6184" s="17" t="s">
        <v>14</v>
      </c>
      <c r="E6184" s="17"/>
      <c r="F6184" s="18"/>
      <c r="G6184" s="36" t="str">
        <f>IF(ISNUMBER(F6184),C6184*F6184,"")</f>
        <v/>
      </c>
    </row>
    <row r="6185" spans="1:7" ht="24" customHeight="1" outlineLevel="2" x14ac:dyDescent="0.2">
      <c r="A6185" s="14" t="s">
        <v>12183</v>
      </c>
      <c r="B6185" s="15" t="s">
        <v>12184</v>
      </c>
      <c r="C6185" s="16">
        <f>73.01/(1+B2)</f>
        <v>73.010000000000005</v>
      </c>
      <c r="D6185" s="17" t="s">
        <v>11</v>
      </c>
      <c r="E6185" s="17"/>
      <c r="F6185" s="18"/>
      <c r="G6185" s="36" t="str">
        <f>IF(ISNUMBER(F6185),C6185*F6185,"")</f>
        <v/>
      </c>
    </row>
    <row r="6186" spans="1:7" ht="24" customHeight="1" outlineLevel="2" x14ac:dyDescent="0.2">
      <c r="A6186" s="14" t="s">
        <v>12185</v>
      </c>
      <c r="B6186" s="15" t="s">
        <v>12186</v>
      </c>
      <c r="C6186" s="16">
        <f>73.01/(1+B2)</f>
        <v>73.010000000000005</v>
      </c>
      <c r="D6186" s="17" t="s">
        <v>14</v>
      </c>
      <c r="E6186" s="17" t="s">
        <v>11</v>
      </c>
      <c r="F6186" s="18"/>
      <c r="G6186" s="36" t="str">
        <f>IF(ISNUMBER(F6186),C6186*F6186,"")</f>
        <v/>
      </c>
    </row>
    <row r="6187" spans="1:7" ht="24" customHeight="1" outlineLevel="2" x14ac:dyDescent="0.2">
      <c r="A6187" s="14" t="s">
        <v>12187</v>
      </c>
      <c r="B6187" s="15" t="s">
        <v>12188</v>
      </c>
      <c r="C6187" s="16">
        <f>73.01/(1+B2)</f>
        <v>73.010000000000005</v>
      </c>
      <c r="D6187" s="17" t="s">
        <v>53</v>
      </c>
      <c r="E6187" s="17"/>
      <c r="F6187" s="18"/>
      <c r="G6187" s="36" t="str">
        <f>IF(ISNUMBER(F6187),C6187*F6187,"")</f>
        <v/>
      </c>
    </row>
    <row r="6188" spans="1:7" ht="24" customHeight="1" outlineLevel="2" x14ac:dyDescent="0.2">
      <c r="A6188" s="14" t="s">
        <v>12189</v>
      </c>
      <c r="B6188" s="15" t="s">
        <v>12190</v>
      </c>
      <c r="C6188" s="16">
        <f>73.01/(1+B2)</f>
        <v>73.010000000000005</v>
      </c>
      <c r="D6188" s="17" t="s">
        <v>53</v>
      </c>
      <c r="E6188" s="17" t="s">
        <v>106</v>
      </c>
      <c r="F6188" s="18"/>
      <c r="G6188" s="36" t="str">
        <f>IF(ISNUMBER(F6188),C6188*F6188,"")</f>
        <v/>
      </c>
    </row>
    <row r="6189" spans="1:7" ht="12" customHeight="1" outlineLevel="2" x14ac:dyDescent="0.2">
      <c r="A6189" s="14" t="s">
        <v>12191</v>
      </c>
      <c r="B6189" s="15" t="s">
        <v>12192</v>
      </c>
      <c r="C6189" s="16">
        <f>326.74/(1+B2)</f>
        <v>326.74</v>
      </c>
      <c r="D6189" s="17" t="s">
        <v>11</v>
      </c>
      <c r="E6189" s="17" t="s">
        <v>11</v>
      </c>
      <c r="F6189" s="18"/>
      <c r="G6189" s="36" t="str">
        <f>IF(ISNUMBER(F6189),C6189*F6189,"")</f>
        <v/>
      </c>
    </row>
    <row r="6190" spans="1:7" ht="12" customHeight="1" outlineLevel="2" x14ac:dyDescent="0.2">
      <c r="A6190" s="14" t="s">
        <v>12193</v>
      </c>
      <c r="B6190" s="15" t="s">
        <v>12194</v>
      </c>
      <c r="C6190" s="16">
        <f>586.75/(1+B2)</f>
        <v>586.75</v>
      </c>
      <c r="D6190" s="17" t="s">
        <v>11</v>
      </c>
      <c r="E6190" s="17" t="s">
        <v>11</v>
      </c>
      <c r="F6190" s="18"/>
      <c r="G6190" s="36" t="str">
        <f>IF(ISNUMBER(F6190),C6190*F6190,"")</f>
        <v/>
      </c>
    </row>
    <row r="6191" spans="1:7" ht="24" customHeight="1" outlineLevel="2" x14ac:dyDescent="0.2">
      <c r="A6191" s="14" t="s">
        <v>12195</v>
      </c>
      <c r="B6191" s="15" t="s">
        <v>12196</v>
      </c>
      <c r="C6191" s="16">
        <f>138.06/(1+B2)</f>
        <v>138.06</v>
      </c>
      <c r="D6191" s="17" t="s">
        <v>11</v>
      </c>
      <c r="E6191" s="17" t="s">
        <v>11</v>
      </c>
      <c r="F6191" s="18"/>
      <c r="G6191" s="36" t="str">
        <f>IF(ISNUMBER(F6191),C6191*F6191,"")</f>
        <v/>
      </c>
    </row>
    <row r="6192" spans="1:7" ht="12" customHeight="1" outlineLevel="2" x14ac:dyDescent="0.2">
      <c r="A6192" s="14" t="s">
        <v>12197</v>
      </c>
      <c r="B6192" s="15" t="s">
        <v>12198</v>
      </c>
      <c r="C6192" s="16">
        <f>201.34/(1+B2)</f>
        <v>201.34</v>
      </c>
      <c r="D6192" s="17" t="s">
        <v>11</v>
      </c>
      <c r="E6192" s="17"/>
      <c r="F6192" s="18"/>
      <c r="G6192" s="36" t="str">
        <f>IF(ISNUMBER(F6192),C6192*F6192,"")</f>
        <v/>
      </c>
    </row>
    <row r="6193" spans="1:7" ht="12" customHeight="1" outlineLevel="2" x14ac:dyDescent="0.2">
      <c r="A6193" s="14" t="s">
        <v>12199</v>
      </c>
      <c r="B6193" s="15" t="s">
        <v>12200</v>
      </c>
      <c r="C6193" s="16">
        <f>96.64/(1+B2)</f>
        <v>96.64</v>
      </c>
      <c r="D6193" s="17" t="s">
        <v>11</v>
      </c>
      <c r="E6193" s="17" t="s">
        <v>14</v>
      </c>
      <c r="F6193" s="18"/>
      <c r="G6193" s="36" t="str">
        <f>IF(ISNUMBER(F6193),C6193*F6193,"")</f>
        <v/>
      </c>
    </row>
    <row r="6194" spans="1:7" ht="12" customHeight="1" outlineLevel="2" x14ac:dyDescent="0.2">
      <c r="A6194" s="14" t="s">
        <v>12201</v>
      </c>
      <c r="B6194" s="15" t="s">
        <v>12202</v>
      </c>
      <c r="C6194" s="16">
        <f>121.95/(1+B2)</f>
        <v>121.95</v>
      </c>
      <c r="D6194" s="17" t="s">
        <v>11</v>
      </c>
      <c r="E6194" s="17"/>
      <c r="F6194" s="18"/>
      <c r="G6194" s="36" t="str">
        <f>IF(ISNUMBER(F6194),C6194*F6194,"")</f>
        <v/>
      </c>
    </row>
    <row r="6195" spans="1:7" ht="12" customHeight="1" outlineLevel="2" x14ac:dyDescent="0.2">
      <c r="A6195" s="14" t="s">
        <v>12203</v>
      </c>
      <c r="B6195" s="15" t="s">
        <v>12204</v>
      </c>
      <c r="C6195" s="16">
        <f>128.85/(1+B2)</f>
        <v>128.85</v>
      </c>
      <c r="D6195" s="17" t="s">
        <v>11</v>
      </c>
      <c r="E6195" s="17" t="s">
        <v>14</v>
      </c>
      <c r="F6195" s="18"/>
      <c r="G6195" s="36" t="str">
        <f>IF(ISNUMBER(F6195),C6195*F6195,"")</f>
        <v/>
      </c>
    </row>
    <row r="6196" spans="1:7" ht="12" customHeight="1" outlineLevel="2" x14ac:dyDescent="0.2">
      <c r="A6196" s="14" t="s">
        <v>12205</v>
      </c>
      <c r="B6196" s="15" t="s">
        <v>12206</v>
      </c>
      <c r="C6196" s="16">
        <f>384.26/(1+B2)</f>
        <v>384.26</v>
      </c>
      <c r="D6196" s="17" t="s">
        <v>11</v>
      </c>
      <c r="E6196" s="17"/>
      <c r="F6196" s="18"/>
      <c r="G6196" s="36" t="str">
        <f>IF(ISNUMBER(F6196),C6196*F6196,"")</f>
        <v/>
      </c>
    </row>
    <row r="6197" spans="1:7" ht="12" customHeight="1" outlineLevel="2" x14ac:dyDescent="0.2">
      <c r="A6197" s="14" t="s">
        <v>12207</v>
      </c>
      <c r="B6197" s="15" t="s">
        <v>12208</v>
      </c>
      <c r="C6197" s="16">
        <f>96.64/(1+B2)</f>
        <v>96.64</v>
      </c>
      <c r="D6197" s="17" t="s">
        <v>14</v>
      </c>
      <c r="E6197" s="17" t="s">
        <v>11</v>
      </c>
      <c r="F6197" s="18"/>
      <c r="G6197" s="36" t="str">
        <f>IF(ISNUMBER(F6197),C6197*F6197,"")</f>
        <v/>
      </c>
    </row>
    <row r="6198" spans="1:7" ht="12" customHeight="1" outlineLevel="2" x14ac:dyDescent="0.2">
      <c r="A6198" s="14" t="s">
        <v>12209</v>
      </c>
      <c r="B6198" s="15" t="s">
        <v>12210</v>
      </c>
      <c r="C6198" s="16">
        <f>209.39/(1+B2)</f>
        <v>209.39</v>
      </c>
      <c r="D6198" s="17" t="s">
        <v>11</v>
      </c>
      <c r="E6198" s="17" t="s">
        <v>53</v>
      </c>
      <c r="F6198" s="18"/>
      <c r="G6198" s="36" t="str">
        <f>IF(ISNUMBER(F6198),C6198*F6198,"")</f>
        <v/>
      </c>
    </row>
    <row r="6199" spans="1:7" ht="12" customHeight="1" outlineLevel="2" x14ac:dyDescent="0.2">
      <c r="A6199" s="14" t="s">
        <v>12211</v>
      </c>
      <c r="B6199" s="15" t="s">
        <v>12212</v>
      </c>
      <c r="C6199" s="16">
        <f>279.24/(1+B2)</f>
        <v>279.24</v>
      </c>
      <c r="D6199" s="17" t="s">
        <v>11</v>
      </c>
      <c r="E6199" s="17" t="s">
        <v>14</v>
      </c>
      <c r="F6199" s="18"/>
      <c r="G6199" s="36" t="str">
        <f>IF(ISNUMBER(F6199),C6199*F6199,"")</f>
        <v/>
      </c>
    </row>
    <row r="6200" spans="1:7" ht="12" customHeight="1" outlineLevel="2" x14ac:dyDescent="0.2">
      <c r="A6200" s="14" t="s">
        <v>12213</v>
      </c>
      <c r="B6200" s="15" t="s">
        <v>12214</v>
      </c>
      <c r="C6200" s="16">
        <f>57.96/(1+B2)</f>
        <v>57.96</v>
      </c>
      <c r="D6200" s="17" t="s">
        <v>53</v>
      </c>
      <c r="E6200" s="17"/>
      <c r="F6200" s="18"/>
      <c r="G6200" s="36" t="str">
        <f>IF(ISNUMBER(F6200),C6200*F6200,"")</f>
        <v/>
      </c>
    </row>
    <row r="6201" spans="1:7" ht="12" customHeight="1" outlineLevel="2" x14ac:dyDescent="0.2">
      <c r="A6201" s="14" t="s">
        <v>12215</v>
      </c>
      <c r="B6201" s="15" t="s">
        <v>12216</v>
      </c>
      <c r="C6201" s="16">
        <f>98.64/(1+B2)</f>
        <v>98.64</v>
      </c>
      <c r="D6201" s="17" t="s">
        <v>53</v>
      </c>
      <c r="E6201" s="17"/>
      <c r="F6201" s="18"/>
      <c r="G6201" s="36" t="str">
        <f>IF(ISNUMBER(F6201),C6201*F6201,"")</f>
        <v/>
      </c>
    </row>
    <row r="6202" spans="1:7" ht="12" customHeight="1" outlineLevel="2" x14ac:dyDescent="0.2">
      <c r="A6202" s="14" t="s">
        <v>12217</v>
      </c>
      <c r="B6202" s="15" t="s">
        <v>12218</v>
      </c>
      <c r="C6202" s="16">
        <f>136.44/(1+B2)</f>
        <v>136.44</v>
      </c>
      <c r="D6202" s="17" t="s">
        <v>14</v>
      </c>
      <c r="E6202" s="17"/>
      <c r="F6202" s="18"/>
      <c r="G6202" s="36" t="str">
        <f>IF(ISNUMBER(F6202),C6202*F6202,"")</f>
        <v/>
      </c>
    </row>
    <row r="6203" spans="1:7" ht="12" customHeight="1" outlineLevel="2" x14ac:dyDescent="0.2">
      <c r="A6203" s="14" t="s">
        <v>12219</v>
      </c>
      <c r="B6203" s="15" t="s">
        <v>12220</v>
      </c>
      <c r="C6203" s="16">
        <f>232.2/(1+B2)</f>
        <v>232.2</v>
      </c>
      <c r="D6203" s="17" t="s">
        <v>14</v>
      </c>
      <c r="E6203" s="17"/>
      <c r="F6203" s="18"/>
      <c r="G6203" s="36" t="str">
        <f>IF(ISNUMBER(F6203),C6203*F6203,"")</f>
        <v/>
      </c>
    </row>
    <row r="6204" spans="1:7" s="1" customFormat="1" ht="15.95" customHeight="1" x14ac:dyDescent="0.25">
      <c r="A6204" s="8"/>
      <c r="B6204" s="9" t="s">
        <v>12221</v>
      </c>
      <c r="C6204" s="10"/>
      <c r="D6204" s="10"/>
      <c r="E6204" s="10"/>
      <c r="F6204" s="10"/>
      <c r="G6204" s="34"/>
    </row>
    <row r="6205" spans="1:7" s="1" customFormat="1" ht="15.95" customHeight="1" outlineLevel="1" x14ac:dyDescent="0.25">
      <c r="A6205" s="11"/>
      <c r="B6205" s="12" t="s">
        <v>12222</v>
      </c>
      <c r="C6205" s="13"/>
      <c r="D6205" s="13"/>
      <c r="E6205" s="13"/>
      <c r="F6205" s="13"/>
      <c r="G6205" s="35"/>
    </row>
    <row r="6206" spans="1:7" ht="12" customHeight="1" outlineLevel="2" x14ac:dyDescent="0.2">
      <c r="A6206" s="14" t="s">
        <v>12223</v>
      </c>
      <c r="B6206" s="15" t="s">
        <v>12224</v>
      </c>
      <c r="C6206" s="16">
        <f>23.23/(1+B2)</f>
        <v>23.23</v>
      </c>
      <c r="D6206" s="17" t="s">
        <v>11</v>
      </c>
      <c r="E6206" s="17"/>
      <c r="F6206" s="18"/>
      <c r="G6206" s="36" t="str">
        <f>IF(ISNUMBER(F6206),C6206*F6206,"")</f>
        <v/>
      </c>
    </row>
    <row r="6207" spans="1:7" ht="12" customHeight="1" outlineLevel="2" x14ac:dyDescent="0.2">
      <c r="A6207" s="14" t="s">
        <v>12225</v>
      </c>
      <c r="B6207" s="15" t="s">
        <v>12226</v>
      </c>
      <c r="C6207" s="16">
        <f>41.48/(1+B2)</f>
        <v>41.48</v>
      </c>
      <c r="D6207" s="17" t="s">
        <v>11</v>
      </c>
      <c r="E6207" s="17"/>
      <c r="F6207" s="18"/>
      <c r="G6207" s="36" t="str">
        <f>IF(ISNUMBER(F6207),C6207*F6207,"")</f>
        <v/>
      </c>
    </row>
    <row r="6208" spans="1:7" ht="12" customHeight="1" outlineLevel="2" x14ac:dyDescent="0.2">
      <c r="A6208" s="14" t="s">
        <v>12227</v>
      </c>
      <c r="B6208" s="15" t="s">
        <v>12228</v>
      </c>
      <c r="C6208" s="16">
        <f>56.85/(1+B2)</f>
        <v>56.85</v>
      </c>
      <c r="D6208" s="17" t="s">
        <v>53</v>
      </c>
      <c r="E6208" s="17"/>
      <c r="F6208" s="18"/>
      <c r="G6208" s="36" t="str">
        <f>IF(ISNUMBER(F6208),C6208*F6208,"")</f>
        <v/>
      </c>
    </row>
    <row r="6209" spans="1:7" ht="12" customHeight="1" outlineLevel="2" x14ac:dyDescent="0.2">
      <c r="A6209" s="14" t="s">
        <v>12229</v>
      </c>
      <c r="B6209" s="15" t="s">
        <v>12230</v>
      </c>
      <c r="C6209" s="16">
        <f>20.81/(1+B2)</f>
        <v>20.81</v>
      </c>
      <c r="D6209" s="17" t="s">
        <v>11</v>
      </c>
      <c r="E6209" s="17"/>
      <c r="F6209" s="18"/>
      <c r="G6209" s="36" t="str">
        <f>IF(ISNUMBER(F6209),C6209*F6209,"")</f>
        <v/>
      </c>
    </row>
    <row r="6210" spans="1:7" ht="24" customHeight="1" outlineLevel="2" x14ac:dyDescent="0.2">
      <c r="A6210" s="14" t="s">
        <v>12231</v>
      </c>
      <c r="B6210" s="15" t="s">
        <v>12232</v>
      </c>
      <c r="C6210" s="16">
        <f>54.67/(1+B2)</f>
        <v>54.67</v>
      </c>
      <c r="D6210" s="17" t="s">
        <v>11</v>
      </c>
      <c r="E6210" s="17"/>
      <c r="F6210" s="18"/>
      <c r="G6210" s="36" t="str">
        <f>IF(ISNUMBER(F6210),C6210*F6210,"")</f>
        <v/>
      </c>
    </row>
    <row r="6211" spans="1:7" ht="12" customHeight="1" outlineLevel="2" x14ac:dyDescent="0.2">
      <c r="A6211" s="14" t="s">
        <v>12233</v>
      </c>
      <c r="B6211" s="15" t="s">
        <v>12234</v>
      </c>
      <c r="C6211" s="16">
        <f>49.69/(1+B2)</f>
        <v>49.69</v>
      </c>
      <c r="D6211" s="17" t="s">
        <v>11</v>
      </c>
      <c r="E6211" s="17"/>
      <c r="F6211" s="18"/>
      <c r="G6211" s="36" t="str">
        <f>IF(ISNUMBER(F6211),C6211*F6211,"")</f>
        <v/>
      </c>
    </row>
    <row r="6212" spans="1:7" ht="12" customHeight="1" outlineLevel="2" x14ac:dyDescent="0.2">
      <c r="A6212" s="14" t="s">
        <v>12235</v>
      </c>
      <c r="B6212" s="15" t="s">
        <v>12236</v>
      </c>
      <c r="C6212" s="16">
        <f>104.36/(1+B2)</f>
        <v>104.36</v>
      </c>
      <c r="D6212" s="17" t="s">
        <v>11</v>
      </c>
      <c r="E6212" s="17"/>
      <c r="F6212" s="18"/>
      <c r="G6212" s="36" t="str">
        <f>IF(ISNUMBER(F6212),C6212*F6212,"")</f>
        <v/>
      </c>
    </row>
    <row r="6213" spans="1:7" ht="12" customHeight="1" outlineLevel="2" x14ac:dyDescent="0.2">
      <c r="A6213" s="14" t="s">
        <v>12237</v>
      </c>
      <c r="B6213" s="15" t="s">
        <v>12238</v>
      </c>
      <c r="C6213" s="16">
        <f>139.19/(1+B2)</f>
        <v>139.19</v>
      </c>
      <c r="D6213" s="17" t="s">
        <v>14</v>
      </c>
      <c r="E6213" s="17"/>
      <c r="F6213" s="18"/>
      <c r="G6213" s="36" t="str">
        <f>IF(ISNUMBER(F6213),C6213*F6213,"")</f>
        <v/>
      </c>
    </row>
    <row r="6214" spans="1:7" ht="24" customHeight="1" outlineLevel="2" x14ac:dyDescent="0.2">
      <c r="A6214" s="14" t="s">
        <v>12239</v>
      </c>
      <c r="B6214" s="15" t="s">
        <v>12240</v>
      </c>
      <c r="C6214" s="16">
        <f>123.32/(1+B2)</f>
        <v>123.32</v>
      </c>
      <c r="D6214" s="17" t="s">
        <v>11</v>
      </c>
      <c r="E6214" s="17"/>
      <c r="F6214" s="18"/>
      <c r="G6214" s="36" t="str">
        <f>IF(ISNUMBER(F6214),C6214*F6214,"")</f>
        <v/>
      </c>
    </row>
    <row r="6215" spans="1:7" ht="24" customHeight="1" outlineLevel="2" x14ac:dyDescent="0.2">
      <c r="A6215" s="14" t="s">
        <v>12241</v>
      </c>
      <c r="B6215" s="15" t="s">
        <v>12242</v>
      </c>
      <c r="C6215" s="16">
        <f>123.32/(1+B2)</f>
        <v>123.32</v>
      </c>
      <c r="D6215" s="17" t="s">
        <v>11</v>
      </c>
      <c r="E6215" s="17"/>
      <c r="F6215" s="18"/>
      <c r="G6215" s="36" t="str">
        <f>IF(ISNUMBER(F6215),C6215*F6215,"")</f>
        <v/>
      </c>
    </row>
    <row r="6216" spans="1:7" ht="24" customHeight="1" outlineLevel="2" x14ac:dyDescent="0.2">
      <c r="A6216" s="14" t="s">
        <v>12243</v>
      </c>
      <c r="B6216" s="15" t="s">
        <v>12244</v>
      </c>
      <c r="C6216" s="16">
        <f>104.15/(1+B2)</f>
        <v>104.15</v>
      </c>
      <c r="D6216" s="17" t="s">
        <v>11</v>
      </c>
      <c r="E6216" s="17"/>
      <c r="F6216" s="18"/>
      <c r="G6216" s="36" t="str">
        <f>IF(ISNUMBER(F6216),C6216*F6216,"")</f>
        <v/>
      </c>
    </row>
    <row r="6217" spans="1:7" ht="12" customHeight="1" outlineLevel="2" x14ac:dyDescent="0.2">
      <c r="A6217" s="14" t="s">
        <v>12245</v>
      </c>
      <c r="B6217" s="15" t="s">
        <v>12246</v>
      </c>
      <c r="C6217" s="16">
        <f>163.04/(1+B2)</f>
        <v>163.04</v>
      </c>
      <c r="D6217" s="17" t="s">
        <v>11</v>
      </c>
      <c r="E6217" s="17"/>
      <c r="F6217" s="18"/>
      <c r="G6217" s="36" t="str">
        <f>IF(ISNUMBER(F6217),C6217*F6217,"")</f>
        <v/>
      </c>
    </row>
    <row r="6218" spans="1:7" ht="12" customHeight="1" outlineLevel="2" x14ac:dyDescent="0.2">
      <c r="A6218" s="14" t="s">
        <v>12247</v>
      </c>
      <c r="B6218" s="15" t="s">
        <v>12248</v>
      </c>
      <c r="C6218" s="16">
        <f>164.94/(1+B2)</f>
        <v>164.94</v>
      </c>
      <c r="D6218" s="17" t="s">
        <v>14</v>
      </c>
      <c r="E6218" s="17"/>
      <c r="F6218" s="18"/>
      <c r="G6218" s="36" t="str">
        <f>IF(ISNUMBER(F6218),C6218*F6218,"")</f>
        <v/>
      </c>
    </row>
    <row r="6219" spans="1:7" ht="12" customHeight="1" outlineLevel="2" x14ac:dyDescent="0.2">
      <c r="A6219" s="14" t="s">
        <v>12249</v>
      </c>
      <c r="B6219" s="15" t="s">
        <v>12250</v>
      </c>
      <c r="C6219" s="16">
        <f>109.51/(1+B2)</f>
        <v>109.51</v>
      </c>
      <c r="D6219" s="17" t="s">
        <v>11</v>
      </c>
      <c r="E6219" s="17"/>
      <c r="F6219" s="18"/>
      <c r="G6219" s="36" t="str">
        <f>IF(ISNUMBER(F6219),C6219*F6219,"")</f>
        <v/>
      </c>
    </row>
    <row r="6220" spans="1:7" ht="24" customHeight="1" outlineLevel="2" x14ac:dyDescent="0.2">
      <c r="A6220" s="14" t="s">
        <v>12251</v>
      </c>
      <c r="B6220" s="15" t="s">
        <v>12252</v>
      </c>
      <c r="C6220" s="16">
        <f>156.7/(1+B2)</f>
        <v>156.69999999999999</v>
      </c>
      <c r="D6220" s="17" t="s">
        <v>11</v>
      </c>
      <c r="E6220" s="17"/>
      <c r="F6220" s="18"/>
      <c r="G6220" s="36" t="str">
        <f>IF(ISNUMBER(F6220),C6220*F6220,"")</f>
        <v/>
      </c>
    </row>
    <row r="6221" spans="1:7" ht="12" customHeight="1" outlineLevel="2" x14ac:dyDescent="0.2">
      <c r="A6221" s="14" t="s">
        <v>12253</v>
      </c>
      <c r="B6221" s="15" t="s">
        <v>12254</v>
      </c>
      <c r="C6221" s="16">
        <f>142.59/(1+B2)</f>
        <v>142.59</v>
      </c>
      <c r="D6221" s="17" t="s">
        <v>11</v>
      </c>
      <c r="E6221" s="17"/>
      <c r="F6221" s="18"/>
      <c r="G6221" s="36" t="str">
        <f>IF(ISNUMBER(F6221),C6221*F6221,"")</f>
        <v/>
      </c>
    </row>
    <row r="6222" spans="1:7" ht="12" customHeight="1" outlineLevel="2" x14ac:dyDescent="0.2">
      <c r="A6222" s="14" t="s">
        <v>12255</v>
      </c>
      <c r="B6222" s="15" t="s">
        <v>12256</v>
      </c>
      <c r="C6222" s="16">
        <f>172.62/(1+B2)</f>
        <v>172.62</v>
      </c>
      <c r="D6222" s="17" t="s">
        <v>11</v>
      </c>
      <c r="E6222" s="17"/>
      <c r="F6222" s="18"/>
      <c r="G6222" s="36" t="str">
        <f>IF(ISNUMBER(F6222),C6222*F6222,"")</f>
        <v/>
      </c>
    </row>
    <row r="6223" spans="1:7" ht="12" customHeight="1" outlineLevel="2" x14ac:dyDescent="0.2">
      <c r="A6223" s="14" t="s">
        <v>12257</v>
      </c>
      <c r="B6223" s="15" t="s">
        <v>12258</v>
      </c>
      <c r="C6223" s="16">
        <f>124.15/(1+B2)</f>
        <v>124.15</v>
      </c>
      <c r="D6223" s="17" t="s">
        <v>11</v>
      </c>
      <c r="E6223" s="17"/>
      <c r="F6223" s="18"/>
      <c r="G6223" s="36" t="str">
        <f>IF(ISNUMBER(F6223),C6223*F6223,"")</f>
        <v/>
      </c>
    </row>
    <row r="6224" spans="1:7" ht="12" customHeight="1" outlineLevel="2" x14ac:dyDescent="0.2">
      <c r="A6224" s="14" t="s">
        <v>12259</v>
      </c>
      <c r="B6224" s="15" t="s">
        <v>12260</v>
      </c>
      <c r="C6224" s="16">
        <f>115.5/(1+B2)</f>
        <v>115.5</v>
      </c>
      <c r="D6224" s="17" t="s">
        <v>11</v>
      </c>
      <c r="E6224" s="17"/>
      <c r="F6224" s="18"/>
      <c r="G6224" s="36" t="str">
        <f>IF(ISNUMBER(F6224),C6224*F6224,"")</f>
        <v/>
      </c>
    </row>
    <row r="6225" spans="1:7" ht="12" customHeight="1" outlineLevel="2" x14ac:dyDescent="0.2">
      <c r="A6225" s="14" t="s">
        <v>12261</v>
      </c>
      <c r="B6225" s="15" t="s">
        <v>12262</v>
      </c>
      <c r="C6225" s="16">
        <f>148.45/(1+B2)</f>
        <v>148.44999999999999</v>
      </c>
      <c r="D6225" s="17" t="s">
        <v>11</v>
      </c>
      <c r="E6225" s="17"/>
      <c r="F6225" s="18"/>
      <c r="G6225" s="36" t="str">
        <f>IF(ISNUMBER(F6225),C6225*F6225,"")</f>
        <v/>
      </c>
    </row>
    <row r="6226" spans="1:7" ht="12" customHeight="1" outlineLevel="2" x14ac:dyDescent="0.2">
      <c r="A6226" s="14" t="s">
        <v>12263</v>
      </c>
      <c r="B6226" s="15" t="s">
        <v>12264</v>
      </c>
      <c r="C6226" s="16">
        <f>71.56/(1+B2)</f>
        <v>71.56</v>
      </c>
      <c r="D6226" s="17" t="s">
        <v>11</v>
      </c>
      <c r="E6226" s="17"/>
      <c r="F6226" s="18"/>
      <c r="G6226" s="36" t="str">
        <f>IF(ISNUMBER(F6226),C6226*F6226,"")</f>
        <v/>
      </c>
    </row>
    <row r="6227" spans="1:7" ht="12" customHeight="1" outlineLevel="2" x14ac:dyDescent="0.2">
      <c r="A6227" s="14" t="s">
        <v>12265</v>
      </c>
      <c r="B6227" s="15" t="s">
        <v>12266</v>
      </c>
      <c r="C6227" s="16">
        <f>83.81/(1+B2)</f>
        <v>83.81</v>
      </c>
      <c r="D6227" s="17" t="s">
        <v>11</v>
      </c>
      <c r="E6227" s="17"/>
      <c r="F6227" s="18"/>
      <c r="G6227" s="36" t="str">
        <f>IF(ISNUMBER(F6227),C6227*F6227,"")</f>
        <v/>
      </c>
    </row>
    <row r="6228" spans="1:7" ht="12" customHeight="1" outlineLevel="2" x14ac:dyDescent="0.2">
      <c r="A6228" s="14" t="s">
        <v>12267</v>
      </c>
      <c r="B6228" s="15" t="s">
        <v>12268</v>
      </c>
      <c r="C6228" s="16">
        <f>172.47/(1+B2)</f>
        <v>172.47</v>
      </c>
      <c r="D6228" s="17" t="s">
        <v>11</v>
      </c>
      <c r="E6228" s="17"/>
      <c r="F6228" s="18"/>
      <c r="G6228" s="36" t="str">
        <f>IF(ISNUMBER(F6228),C6228*F6228,"")</f>
        <v/>
      </c>
    </row>
    <row r="6229" spans="1:7" ht="12" customHeight="1" outlineLevel="2" x14ac:dyDescent="0.2">
      <c r="A6229" s="14" t="s">
        <v>12269</v>
      </c>
      <c r="B6229" s="15" t="s">
        <v>12270</v>
      </c>
      <c r="C6229" s="16">
        <f>132.37/(1+B2)</f>
        <v>132.37</v>
      </c>
      <c r="D6229" s="17" t="s">
        <v>11</v>
      </c>
      <c r="E6229" s="17"/>
      <c r="F6229" s="18"/>
      <c r="G6229" s="36" t="str">
        <f>IF(ISNUMBER(F6229),C6229*F6229,"")</f>
        <v/>
      </c>
    </row>
    <row r="6230" spans="1:7" ht="12" customHeight="1" outlineLevel="2" x14ac:dyDescent="0.2">
      <c r="A6230" s="14" t="s">
        <v>12271</v>
      </c>
      <c r="B6230" s="15" t="s">
        <v>12272</v>
      </c>
      <c r="C6230" s="16">
        <f>106.47/(1+B2)</f>
        <v>106.47</v>
      </c>
      <c r="D6230" s="17" t="s">
        <v>11</v>
      </c>
      <c r="E6230" s="17"/>
      <c r="F6230" s="18"/>
      <c r="G6230" s="36" t="str">
        <f>IF(ISNUMBER(F6230),C6230*F6230,"")</f>
        <v/>
      </c>
    </row>
    <row r="6231" spans="1:7" ht="12" customHeight="1" outlineLevel="2" x14ac:dyDescent="0.2">
      <c r="A6231" s="14" t="s">
        <v>12273</v>
      </c>
      <c r="B6231" s="15" t="s">
        <v>12274</v>
      </c>
      <c r="C6231" s="16">
        <f>93.31/(1+B2)</f>
        <v>93.31</v>
      </c>
      <c r="D6231" s="17" t="s">
        <v>11</v>
      </c>
      <c r="E6231" s="17"/>
      <c r="F6231" s="18"/>
      <c r="G6231" s="36" t="str">
        <f>IF(ISNUMBER(F6231),C6231*F6231,"")</f>
        <v/>
      </c>
    </row>
    <row r="6232" spans="1:7" ht="12" customHeight="1" outlineLevel="2" x14ac:dyDescent="0.2">
      <c r="A6232" s="14" t="s">
        <v>12275</v>
      </c>
      <c r="B6232" s="15" t="s">
        <v>12276</v>
      </c>
      <c r="C6232" s="16">
        <f>115.73/(1+B2)</f>
        <v>115.73</v>
      </c>
      <c r="D6232" s="17" t="s">
        <v>11</v>
      </c>
      <c r="E6232" s="17"/>
      <c r="F6232" s="18"/>
      <c r="G6232" s="36" t="str">
        <f>IF(ISNUMBER(F6232),C6232*F6232,"")</f>
        <v/>
      </c>
    </row>
    <row r="6233" spans="1:7" ht="24" customHeight="1" outlineLevel="2" x14ac:dyDescent="0.2">
      <c r="A6233" s="14" t="s">
        <v>12277</v>
      </c>
      <c r="B6233" s="15" t="s">
        <v>12278</v>
      </c>
      <c r="C6233" s="16">
        <f>109.28/(1+B2)</f>
        <v>109.28</v>
      </c>
      <c r="D6233" s="17" t="s">
        <v>11</v>
      </c>
      <c r="E6233" s="17"/>
      <c r="F6233" s="18"/>
      <c r="G6233" s="36" t="str">
        <f>IF(ISNUMBER(F6233),C6233*F6233,"")</f>
        <v/>
      </c>
    </row>
    <row r="6234" spans="1:7" ht="12" customHeight="1" outlineLevel="2" x14ac:dyDescent="0.2">
      <c r="A6234" s="14" t="s">
        <v>12279</v>
      </c>
      <c r="B6234" s="15" t="s">
        <v>12280</v>
      </c>
      <c r="C6234" s="16">
        <f>123.32/(1+B2)</f>
        <v>123.32</v>
      </c>
      <c r="D6234" s="17" t="s">
        <v>11</v>
      </c>
      <c r="E6234" s="17"/>
      <c r="F6234" s="18"/>
      <c r="G6234" s="36" t="str">
        <f>IF(ISNUMBER(F6234),C6234*F6234,"")</f>
        <v/>
      </c>
    </row>
    <row r="6235" spans="1:7" ht="12" customHeight="1" outlineLevel="2" x14ac:dyDescent="0.2">
      <c r="A6235" s="14" t="s">
        <v>12281</v>
      </c>
      <c r="B6235" s="15" t="s">
        <v>12282</v>
      </c>
      <c r="C6235" s="16">
        <f>127.9/(1+B2)</f>
        <v>127.9</v>
      </c>
      <c r="D6235" s="17" t="s">
        <v>11</v>
      </c>
      <c r="E6235" s="17"/>
      <c r="F6235" s="18"/>
      <c r="G6235" s="36" t="str">
        <f>IF(ISNUMBER(F6235),C6235*F6235,"")</f>
        <v/>
      </c>
    </row>
    <row r="6236" spans="1:7" ht="24" customHeight="1" outlineLevel="2" x14ac:dyDescent="0.2">
      <c r="A6236" s="14" t="s">
        <v>12283</v>
      </c>
      <c r="B6236" s="15" t="s">
        <v>12284</v>
      </c>
      <c r="C6236" s="16">
        <f>120.35/(1+B2)</f>
        <v>120.35</v>
      </c>
      <c r="D6236" s="17" t="s">
        <v>11</v>
      </c>
      <c r="E6236" s="17"/>
      <c r="F6236" s="18"/>
      <c r="G6236" s="36" t="str">
        <f>IF(ISNUMBER(F6236),C6236*F6236,"")</f>
        <v/>
      </c>
    </row>
    <row r="6237" spans="1:7" ht="12" customHeight="1" outlineLevel="2" x14ac:dyDescent="0.2">
      <c r="A6237" s="14" t="s">
        <v>12285</v>
      </c>
      <c r="B6237" s="15" t="s">
        <v>12286</v>
      </c>
      <c r="C6237" s="16">
        <f>138.87/(1+B2)</f>
        <v>138.87</v>
      </c>
      <c r="D6237" s="17" t="s">
        <v>11</v>
      </c>
      <c r="E6237" s="17"/>
      <c r="F6237" s="18"/>
      <c r="G6237" s="36" t="str">
        <f>IF(ISNUMBER(F6237),C6237*F6237,"")</f>
        <v/>
      </c>
    </row>
    <row r="6238" spans="1:7" ht="12" customHeight="1" outlineLevel="2" x14ac:dyDescent="0.2">
      <c r="A6238" s="14" t="s">
        <v>12287</v>
      </c>
      <c r="B6238" s="15" t="s">
        <v>12288</v>
      </c>
      <c r="C6238" s="16">
        <f>141.6/(1+B2)</f>
        <v>141.6</v>
      </c>
      <c r="D6238" s="17" t="s">
        <v>14</v>
      </c>
      <c r="E6238" s="17"/>
      <c r="F6238" s="18"/>
      <c r="G6238" s="36" t="str">
        <f>IF(ISNUMBER(F6238),C6238*F6238,"")</f>
        <v/>
      </c>
    </row>
    <row r="6239" spans="1:7" ht="12" customHeight="1" outlineLevel="2" x14ac:dyDescent="0.2">
      <c r="A6239" s="14" t="s">
        <v>12289</v>
      </c>
      <c r="B6239" s="15" t="s">
        <v>12290</v>
      </c>
      <c r="C6239" s="16">
        <f>150.73/(1+B2)</f>
        <v>150.72999999999999</v>
      </c>
      <c r="D6239" s="17" t="s">
        <v>14</v>
      </c>
      <c r="E6239" s="17"/>
      <c r="F6239" s="18"/>
      <c r="G6239" s="36" t="str">
        <f>IF(ISNUMBER(F6239),C6239*F6239,"")</f>
        <v/>
      </c>
    </row>
    <row r="6240" spans="1:7" ht="12" customHeight="1" outlineLevel="2" x14ac:dyDescent="0.2">
      <c r="A6240" s="14" t="s">
        <v>12291</v>
      </c>
      <c r="B6240" s="15" t="s">
        <v>12292</v>
      </c>
      <c r="C6240" s="16">
        <f>162.02/(1+B2)</f>
        <v>162.02000000000001</v>
      </c>
      <c r="D6240" s="17" t="s">
        <v>11</v>
      </c>
      <c r="E6240" s="17"/>
      <c r="F6240" s="18"/>
      <c r="G6240" s="36" t="str">
        <f>IF(ISNUMBER(F6240),C6240*F6240,"")</f>
        <v/>
      </c>
    </row>
    <row r="6241" spans="1:7" ht="12" customHeight="1" outlineLevel="2" x14ac:dyDescent="0.2">
      <c r="A6241" s="14" t="s">
        <v>12293</v>
      </c>
      <c r="B6241" s="15" t="s">
        <v>12294</v>
      </c>
      <c r="C6241" s="16">
        <f>125/(1+B2)</f>
        <v>125</v>
      </c>
      <c r="D6241" s="17" t="s">
        <v>11</v>
      </c>
      <c r="E6241" s="17"/>
      <c r="F6241" s="18"/>
      <c r="G6241" s="36" t="str">
        <f>IF(ISNUMBER(F6241),C6241*F6241,"")</f>
        <v/>
      </c>
    </row>
    <row r="6242" spans="1:7" ht="12" customHeight="1" outlineLevel="2" x14ac:dyDescent="0.2">
      <c r="A6242" s="14" t="s">
        <v>12295</v>
      </c>
      <c r="B6242" s="15" t="s">
        <v>12296</v>
      </c>
      <c r="C6242" s="16">
        <f>82.22/(1+B2)</f>
        <v>82.22</v>
      </c>
      <c r="D6242" s="17" t="s">
        <v>11</v>
      </c>
      <c r="E6242" s="17"/>
      <c r="F6242" s="18"/>
      <c r="G6242" s="36" t="str">
        <f>IF(ISNUMBER(F6242),C6242*F6242,"")</f>
        <v/>
      </c>
    </row>
    <row r="6243" spans="1:7" ht="12" customHeight="1" outlineLevel="2" x14ac:dyDescent="0.2">
      <c r="A6243" s="14" t="s">
        <v>12297</v>
      </c>
      <c r="B6243" s="15" t="s">
        <v>12298</v>
      </c>
      <c r="C6243" s="16">
        <f>87.49/(1+B2)</f>
        <v>87.49</v>
      </c>
      <c r="D6243" s="17" t="s">
        <v>11</v>
      </c>
      <c r="E6243" s="17"/>
      <c r="F6243" s="18"/>
      <c r="G6243" s="36" t="str">
        <f>IF(ISNUMBER(F6243),C6243*F6243,"")</f>
        <v/>
      </c>
    </row>
    <row r="6244" spans="1:7" ht="12" customHeight="1" outlineLevel="2" x14ac:dyDescent="0.2">
      <c r="A6244" s="14" t="s">
        <v>12299</v>
      </c>
      <c r="B6244" s="15" t="s">
        <v>12300</v>
      </c>
      <c r="C6244" s="16">
        <f>113.83/(1+B2)</f>
        <v>113.83</v>
      </c>
      <c r="D6244" s="17" t="s">
        <v>11</v>
      </c>
      <c r="E6244" s="17"/>
      <c r="F6244" s="18"/>
      <c r="G6244" s="36" t="str">
        <f>IF(ISNUMBER(F6244),C6244*F6244,"")</f>
        <v/>
      </c>
    </row>
    <row r="6245" spans="1:7" ht="12" customHeight="1" outlineLevel="2" x14ac:dyDescent="0.2">
      <c r="A6245" s="14" t="s">
        <v>12301</v>
      </c>
      <c r="B6245" s="15" t="s">
        <v>12302</v>
      </c>
      <c r="C6245" s="16">
        <f>120.35/(1+B2)</f>
        <v>120.35</v>
      </c>
      <c r="D6245" s="17" t="s">
        <v>11</v>
      </c>
      <c r="E6245" s="17"/>
      <c r="F6245" s="18"/>
      <c r="G6245" s="36" t="str">
        <f>IF(ISNUMBER(F6245),C6245*F6245,"")</f>
        <v/>
      </c>
    </row>
    <row r="6246" spans="1:7" ht="12" customHeight="1" outlineLevel="2" x14ac:dyDescent="0.2">
      <c r="A6246" s="14" t="s">
        <v>12303</v>
      </c>
      <c r="B6246" s="15" t="s">
        <v>12304</v>
      </c>
      <c r="C6246" s="16">
        <f>138.87/(1+B2)</f>
        <v>138.87</v>
      </c>
      <c r="D6246" s="17" t="s">
        <v>11</v>
      </c>
      <c r="E6246" s="17"/>
      <c r="F6246" s="18"/>
      <c r="G6246" s="36" t="str">
        <f>IF(ISNUMBER(F6246),C6246*F6246,"")</f>
        <v/>
      </c>
    </row>
    <row r="6247" spans="1:7" ht="24" customHeight="1" outlineLevel="2" x14ac:dyDescent="0.2">
      <c r="A6247" s="14" t="s">
        <v>12305</v>
      </c>
      <c r="B6247" s="15" t="s">
        <v>12306</v>
      </c>
      <c r="C6247" s="16">
        <f>125.78/(1+B2)</f>
        <v>125.78</v>
      </c>
      <c r="D6247" s="17" t="s">
        <v>11</v>
      </c>
      <c r="E6247" s="17"/>
      <c r="F6247" s="18"/>
      <c r="G6247" s="36" t="str">
        <f>IF(ISNUMBER(F6247),C6247*F6247,"")</f>
        <v/>
      </c>
    </row>
    <row r="6248" spans="1:7" ht="24" customHeight="1" outlineLevel="2" x14ac:dyDescent="0.2">
      <c r="A6248" s="14" t="s">
        <v>12307</v>
      </c>
      <c r="B6248" s="15" t="s">
        <v>12308</v>
      </c>
      <c r="C6248" s="16">
        <f>143.51/(1+B2)</f>
        <v>143.51</v>
      </c>
      <c r="D6248" s="17" t="s">
        <v>11</v>
      </c>
      <c r="E6248" s="17"/>
      <c r="F6248" s="18"/>
      <c r="G6248" s="36" t="str">
        <f>IF(ISNUMBER(F6248),C6248*F6248,"")</f>
        <v/>
      </c>
    </row>
    <row r="6249" spans="1:7" ht="12" customHeight="1" outlineLevel="2" x14ac:dyDescent="0.2">
      <c r="A6249" s="14" t="s">
        <v>12309</v>
      </c>
      <c r="B6249" s="15" t="s">
        <v>12310</v>
      </c>
      <c r="C6249" s="16">
        <f>18.9/(1+B2)</f>
        <v>18.899999999999999</v>
      </c>
      <c r="D6249" s="17" t="s">
        <v>11</v>
      </c>
      <c r="E6249" s="17"/>
      <c r="F6249" s="18"/>
      <c r="G6249" s="36" t="str">
        <f>IF(ISNUMBER(F6249),C6249*F6249,"")</f>
        <v/>
      </c>
    </row>
    <row r="6250" spans="1:7" ht="12" customHeight="1" outlineLevel="2" x14ac:dyDescent="0.2">
      <c r="A6250" s="14" t="s">
        <v>12311</v>
      </c>
      <c r="B6250" s="15" t="s">
        <v>12312</v>
      </c>
      <c r="C6250" s="16">
        <f>33.37/(1+B2)</f>
        <v>33.369999999999997</v>
      </c>
      <c r="D6250" s="17" t="s">
        <v>53</v>
      </c>
      <c r="E6250" s="17"/>
      <c r="F6250" s="18"/>
      <c r="G6250" s="36" t="str">
        <f>IF(ISNUMBER(F6250),C6250*F6250,"")</f>
        <v/>
      </c>
    </row>
    <row r="6251" spans="1:7" ht="12" customHeight="1" outlineLevel="2" x14ac:dyDescent="0.2">
      <c r="A6251" s="14" t="s">
        <v>12313</v>
      </c>
      <c r="B6251" s="15" t="s">
        <v>12314</v>
      </c>
      <c r="C6251" s="16">
        <f>29.95/(1+B2)</f>
        <v>29.95</v>
      </c>
      <c r="D6251" s="17" t="s">
        <v>11</v>
      </c>
      <c r="E6251" s="17"/>
      <c r="F6251" s="18"/>
      <c r="G6251" s="36" t="str">
        <f>IF(ISNUMBER(F6251),C6251*F6251,"")</f>
        <v/>
      </c>
    </row>
    <row r="6252" spans="1:7" ht="12" customHeight="1" outlineLevel="2" x14ac:dyDescent="0.2">
      <c r="A6252" s="14" t="s">
        <v>12315</v>
      </c>
      <c r="B6252" s="15" t="s">
        <v>12316</v>
      </c>
      <c r="C6252" s="16">
        <f>33.12/(1+B2)</f>
        <v>33.119999999999997</v>
      </c>
      <c r="D6252" s="17" t="s">
        <v>11</v>
      </c>
      <c r="E6252" s="17"/>
      <c r="F6252" s="18"/>
      <c r="G6252" s="36" t="str">
        <f>IF(ISNUMBER(F6252),C6252*F6252,"")</f>
        <v/>
      </c>
    </row>
    <row r="6253" spans="1:7" ht="24" customHeight="1" outlineLevel="2" x14ac:dyDescent="0.2">
      <c r="A6253" s="14" t="s">
        <v>12317</v>
      </c>
      <c r="B6253" s="15" t="s">
        <v>12318</v>
      </c>
      <c r="C6253" s="16">
        <f>17.73/(1+B2)</f>
        <v>17.73</v>
      </c>
      <c r="D6253" s="17" t="s">
        <v>11</v>
      </c>
      <c r="E6253" s="17"/>
      <c r="F6253" s="18"/>
      <c r="G6253" s="36" t="str">
        <f>IF(ISNUMBER(F6253),C6253*F6253,"")</f>
        <v/>
      </c>
    </row>
    <row r="6254" spans="1:7" ht="24" customHeight="1" outlineLevel="2" x14ac:dyDescent="0.2">
      <c r="A6254" s="14" t="s">
        <v>12319</v>
      </c>
      <c r="B6254" s="15" t="s">
        <v>12320</v>
      </c>
      <c r="C6254" s="16">
        <f>22.46/(1+B2)</f>
        <v>22.46</v>
      </c>
      <c r="D6254" s="17" t="s">
        <v>11</v>
      </c>
      <c r="E6254" s="17"/>
      <c r="F6254" s="18"/>
      <c r="G6254" s="36" t="str">
        <f>IF(ISNUMBER(F6254),C6254*F6254,"")</f>
        <v/>
      </c>
    </row>
    <row r="6255" spans="1:7" ht="12" customHeight="1" outlineLevel="2" x14ac:dyDescent="0.2">
      <c r="A6255" s="14" t="s">
        <v>12321</v>
      </c>
      <c r="B6255" s="15" t="s">
        <v>12322</v>
      </c>
      <c r="C6255" s="16">
        <f>24.05/(1+B2)</f>
        <v>24.05</v>
      </c>
      <c r="D6255" s="17" t="s">
        <v>11</v>
      </c>
      <c r="E6255" s="17"/>
      <c r="F6255" s="18"/>
      <c r="G6255" s="36" t="str">
        <f>IF(ISNUMBER(F6255),C6255*F6255,"")</f>
        <v/>
      </c>
    </row>
    <row r="6256" spans="1:7" s="1" customFormat="1" ht="15.95" customHeight="1" outlineLevel="1" x14ac:dyDescent="0.25">
      <c r="A6256" s="11"/>
      <c r="B6256" s="12" t="s">
        <v>12323</v>
      </c>
      <c r="C6256" s="13"/>
      <c r="D6256" s="13"/>
      <c r="E6256" s="13"/>
      <c r="F6256" s="13"/>
      <c r="G6256" s="35"/>
    </row>
    <row r="6257" spans="1:7" ht="12" customHeight="1" outlineLevel="2" x14ac:dyDescent="0.2">
      <c r="A6257" s="14" t="s">
        <v>12324</v>
      </c>
      <c r="B6257" s="15" t="s">
        <v>12325</v>
      </c>
      <c r="C6257" s="16">
        <f>10.1/(1+B2)</f>
        <v>10.1</v>
      </c>
      <c r="D6257" s="17" t="s">
        <v>14</v>
      </c>
      <c r="E6257" s="17"/>
      <c r="F6257" s="18"/>
      <c r="G6257" s="36" t="str">
        <f>IF(ISNUMBER(F6257),C6257*F6257,"")</f>
        <v/>
      </c>
    </row>
    <row r="6258" spans="1:7" ht="12" customHeight="1" outlineLevel="2" x14ac:dyDescent="0.2">
      <c r="A6258" s="14" t="s">
        <v>12326</v>
      </c>
      <c r="B6258" s="15" t="s">
        <v>12327</v>
      </c>
      <c r="C6258" s="16">
        <f>33.78/(1+B2)</f>
        <v>33.78</v>
      </c>
      <c r="D6258" s="17" t="s">
        <v>11</v>
      </c>
      <c r="E6258" s="17"/>
      <c r="F6258" s="18"/>
      <c r="G6258" s="36" t="str">
        <f>IF(ISNUMBER(F6258),C6258*F6258,"")</f>
        <v/>
      </c>
    </row>
    <row r="6259" spans="1:7" ht="12" customHeight="1" outlineLevel="2" x14ac:dyDescent="0.2">
      <c r="A6259" s="14" t="s">
        <v>12328</v>
      </c>
      <c r="B6259" s="15" t="s">
        <v>12329</v>
      </c>
      <c r="C6259" s="16">
        <f>42.43/(1+B2)</f>
        <v>42.43</v>
      </c>
      <c r="D6259" s="17" t="s">
        <v>11</v>
      </c>
      <c r="E6259" s="17" t="s">
        <v>14</v>
      </c>
      <c r="F6259" s="18"/>
      <c r="G6259" s="36" t="str">
        <f>IF(ISNUMBER(F6259),C6259*F6259,"")</f>
        <v/>
      </c>
    </row>
    <row r="6260" spans="1:7" ht="12" customHeight="1" outlineLevel="2" x14ac:dyDescent="0.2">
      <c r="A6260" s="14" t="s">
        <v>12330</v>
      </c>
      <c r="B6260" s="15" t="s">
        <v>12331</v>
      </c>
      <c r="C6260" s="16">
        <f>41.11/(1+B2)</f>
        <v>41.11</v>
      </c>
      <c r="D6260" s="17" t="s">
        <v>14</v>
      </c>
      <c r="E6260" s="17"/>
      <c r="F6260" s="18"/>
      <c r="G6260" s="36" t="str">
        <f>IF(ISNUMBER(F6260),C6260*F6260,"")</f>
        <v/>
      </c>
    </row>
    <row r="6261" spans="1:7" ht="12" customHeight="1" outlineLevel="2" x14ac:dyDescent="0.2">
      <c r="A6261" s="14" t="s">
        <v>12332</v>
      </c>
      <c r="B6261" s="15" t="s">
        <v>12333</v>
      </c>
      <c r="C6261" s="16">
        <f>36.54/(1+B2)</f>
        <v>36.54</v>
      </c>
      <c r="D6261" s="17" t="s">
        <v>14</v>
      </c>
      <c r="E6261" s="17" t="s">
        <v>11</v>
      </c>
      <c r="F6261" s="18"/>
      <c r="G6261" s="36" t="str">
        <f>IF(ISNUMBER(F6261),C6261*F6261,"")</f>
        <v/>
      </c>
    </row>
    <row r="6262" spans="1:7" ht="12" customHeight="1" outlineLevel="2" x14ac:dyDescent="0.2">
      <c r="A6262" s="14" t="s">
        <v>12334</v>
      </c>
      <c r="B6262" s="15" t="s">
        <v>12335</v>
      </c>
      <c r="C6262" s="16">
        <f>10.02/(1+B2)</f>
        <v>10.02</v>
      </c>
      <c r="D6262" s="17" t="s">
        <v>53</v>
      </c>
      <c r="E6262" s="17"/>
      <c r="F6262" s="18"/>
      <c r="G6262" s="36" t="str">
        <f>IF(ISNUMBER(F6262),C6262*F6262,"")</f>
        <v/>
      </c>
    </row>
    <row r="6263" spans="1:7" ht="12" customHeight="1" outlineLevel="2" x14ac:dyDescent="0.2">
      <c r="A6263" s="14" t="s">
        <v>12336</v>
      </c>
      <c r="B6263" s="15" t="s">
        <v>12337</v>
      </c>
      <c r="C6263" s="16">
        <f>31.94/(1+B2)</f>
        <v>31.94</v>
      </c>
      <c r="D6263" s="17" t="s">
        <v>53</v>
      </c>
      <c r="E6263" s="17"/>
      <c r="F6263" s="18"/>
      <c r="G6263" s="36" t="str">
        <f>IF(ISNUMBER(F6263),C6263*F6263,"")</f>
        <v/>
      </c>
    </row>
    <row r="6264" spans="1:7" ht="12" customHeight="1" outlineLevel="2" x14ac:dyDescent="0.2">
      <c r="A6264" s="14" t="s">
        <v>12338</v>
      </c>
      <c r="B6264" s="15" t="s">
        <v>12339</v>
      </c>
      <c r="C6264" s="16">
        <f>52.07/(1+B2)</f>
        <v>52.07</v>
      </c>
      <c r="D6264" s="17" t="s">
        <v>11</v>
      </c>
      <c r="E6264" s="17" t="s">
        <v>11</v>
      </c>
      <c r="F6264" s="18"/>
      <c r="G6264" s="36" t="str">
        <f>IF(ISNUMBER(F6264),C6264*F6264,"")</f>
        <v/>
      </c>
    </row>
    <row r="6265" spans="1:7" ht="12" customHeight="1" outlineLevel="2" x14ac:dyDescent="0.2">
      <c r="A6265" s="14" t="s">
        <v>12340</v>
      </c>
      <c r="B6265" s="15" t="s">
        <v>12341</v>
      </c>
      <c r="C6265" s="16">
        <f>13.36/(1+B2)</f>
        <v>13.36</v>
      </c>
      <c r="D6265" s="17" t="s">
        <v>53</v>
      </c>
      <c r="E6265" s="17"/>
      <c r="F6265" s="18"/>
      <c r="G6265" s="36" t="str">
        <f>IF(ISNUMBER(F6265),C6265*F6265,"")</f>
        <v/>
      </c>
    </row>
    <row r="6266" spans="1:7" ht="12" customHeight="1" outlineLevel="2" x14ac:dyDescent="0.2">
      <c r="A6266" s="14" t="s">
        <v>12342</v>
      </c>
      <c r="B6266" s="15" t="s">
        <v>12343</v>
      </c>
      <c r="C6266" s="16">
        <f>18.28/(1+B2)</f>
        <v>18.28</v>
      </c>
      <c r="D6266" s="17" t="s">
        <v>14</v>
      </c>
      <c r="E6266" s="17" t="s">
        <v>53</v>
      </c>
      <c r="F6266" s="18"/>
      <c r="G6266" s="36" t="str">
        <f>IF(ISNUMBER(F6266),C6266*F6266,"")</f>
        <v/>
      </c>
    </row>
    <row r="6267" spans="1:7" ht="12" customHeight="1" outlineLevel="2" x14ac:dyDescent="0.2">
      <c r="A6267" s="14" t="s">
        <v>12344</v>
      </c>
      <c r="B6267" s="15" t="s">
        <v>12345</v>
      </c>
      <c r="C6267" s="16">
        <f>12.58/(1+B2)</f>
        <v>12.58</v>
      </c>
      <c r="D6267" s="17" t="s">
        <v>14</v>
      </c>
      <c r="E6267" s="17"/>
      <c r="F6267" s="18"/>
      <c r="G6267" s="36" t="str">
        <f>IF(ISNUMBER(F6267),C6267*F6267,"")</f>
        <v/>
      </c>
    </row>
    <row r="6268" spans="1:7" ht="12" customHeight="1" outlineLevel="2" x14ac:dyDescent="0.2">
      <c r="A6268" s="14" t="s">
        <v>12346</v>
      </c>
      <c r="B6268" s="15" t="s">
        <v>12347</v>
      </c>
      <c r="C6268" s="16">
        <f>54.82/(1+B2)</f>
        <v>54.82</v>
      </c>
      <c r="D6268" s="17" t="s">
        <v>11</v>
      </c>
      <c r="E6268" s="17"/>
      <c r="F6268" s="18"/>
      <c r="G6268" s="36" t="str">
        <f>IF(ISNUMBER(F6268),C6268*F6268,"")</f>
        <v/>
      </c>
    </row>
    <row r="6269" spans="1:7" ht="12" customHeight="1" outlineLevel="2" x14ac:dyDescent="0.2">
      <c r="A6269" s="14" t="s">
        <v>12348</v>
      </c>
      <c r="B6269" s="15" t="s">
        <v>12349</v>
      </c>
      <c r="C6269" s="16">
        <f>26.55/(1+B2)</f>
        <v>26.55</v>
      </c>
      <c r="D6269" s="17" t="s">
        <v>11</v>
      </c>
      <c r="E6269" s="17"/>
      <c r="F6269" s="18"/>
      <c r="G6269" s="36" t="str">
        <f>IF(ISNUMBER(F6269),C6269*F6269,"")</f>
        <v/>
      </c>
    </row>
    <row r="6270" spans="1:7" ht="24" customHeight="1" outlineLevel="2" x14ac:dyDescent="0.2">
      <c r="A6270" s="14" t="s">
        <v>12350</v>
      </c>
      <c r="B6270" s="15" t="s">
        <v>12351</v>
      </c>
      <c r="C6270" s="16">
        <f>86.78/(1+B2)</f>
        <v>86.78</v>
      </c>
      <c r="D6270" s="17" t="s">
        <v>11</v>
      </c>
      <c r="E6270" s="17"/>
      <c r="F6270" s="18"/>
      <c r="G6270" s="36" t="str">
        <f>IF(ISNUMBER(F6270),C6270*F6270,"")</f>
        <v/>
      </c>
    </row>
    <row r="6271" spans="1:7" ht="12" customHeight="1" outlineLevel="2" x14ac:dyDescent="0.2">
      <c r="A6271" s="14" t="s">
        <v>12352</v>
      </c>
      <c r="B6271" s="15" t="s">
        <v>12353</v>
      </c>
      <c r="C6271" s="16">
        <f>69.89/(1+B2)</f>
        <v>69.89</v>
      </c>
      <c r="D6271" s="17" t="s">
        <v>11</v>
      </c>
      <c r="E6271" s="17" t="s">
        <v>11</v>
      </c>
      <c r="F6271" s="18"/>
      <c r="G6271" s="36" t="str">
        <f>IF(ISNUMBER(F6271),C6271*F6271,"")</f>
        <v/>
      </c>
    </row>
    <row r="6272" spans="1:7" ht="12" customHeight="1" outlineLevel="2" x14ac:dyDescent="0.2">
      <c r="A6272" s="14" t="s">
        <v>12354</v>
      </c>
      <c r="B6272" s="15" t="s">
        <v>12355</v>
      </c>
      <c r="C6272" s="16">
        <f>4.98/(1+B2)</f>
        <v>4.9800000000000004</v>
      </c>
      <c r="D6272" s="17" t="s">
        <v>11</v>
      </c>
      <c r="E6272" s="17"/>
      <c r="F6272" s="18"/>
      <c r="G6272" s="36" t="str">
        <f>IF(ISNUMBER(F6272),C6272*F6272,"")</f>
        <v/>
      </c>
    </row>
    <row r="6273" spans="1:7" ht="12" customHeight="1" outlineLevel="2" x14ac:dyDescent="0.2">
      <c r="A6273" s="14" t="s">
        <v>12356</v>
      </c>
      <c r="B6273" s="15" t="s">
        <v>12357</v>
      </c>
      <c r="C6273" s="16">
        <f>32.87/(1+B2)</f>
        <v>32.869999999999997</v>
      </c>
      <c r="D6273" s="17" t="s">
        <v>53</v>
      </c>
      <c r="E6273" s="17" t="s">
        <v>53</v>
      </c>
      <c r="F6273" s="18"/>
      <c r="G6273" s="36" t="str">
        <f>IF(ISNUMBER(F6273),C6273*F6273,"")</f>
        <v/>
      </c>
    </row>
    <row r="6274" spans="1:7" ht="12" customHeight="1" outlineLevel="2" x14ac:dyDescent="0.2">
      <c r="A6274" s="14" t="s">
        <v>12358</v>
      </c>
      <c r="B6274" s="15" t="s">
        <v>12359</v>
      </c>
      <c r="C6274" s="16">
        <f>91.68/(1+B2)</f>
        <v>91.68</v>
      </c>
      <c r="D6274" s="17" t="s">
        <v>11</v>
      </c>
      <c r="E6274" s="17"/>
      <c r="F6274" s="18"/>
      <c r="G6274" s="36" t="str">
        <f>IF(ISNUMBER(F6274),C6274*F6274,"")</f>
        <v/>
      </c>
    </row>
    <row r="6275" spans="1:7" ht="12" customHeight="1" outlineLevel="2" x14ac:dyDescent="0.2">
      <c r="A6275" s="14" t="s">
        <v>12360</v>
      </c>
      <c r="B6275" s="15" t="s">
        <v>12361</v>
      </c>
      <c r="C6275" s="16">
        <f>52.8/(1+B2)</f>
        <v>52.8</v>
      </c>
      <c r="D6275" s="17" t="s">
        <v>53</v>
      </c>
      <c r="E6275" s="17" t="s">
        <v>53</v>
      </c>
      <c r="F6275" s="18"/>
      <c r="G6275" s="36" t="str">
        <f>IF(ISNUMBER(F6275),C6275*F6275,"")</f>
        <v/>
      </c>
    </row>
    <row r="6276" spans="1:7" ht="12" customHeight="1" outlineLevel="2" x14ac:dyDescent="0.2">
      <c r="A6276" s="14" t="s">
        <v>12362</v>
      </c>
      <c r="B6276" s="15" t="s">
        <v>12363</v>
      </c>
      <c r="C6276" s="16">
        <f>99.84/(1+B2)</f>
        <v>99.84</v>
      </c>
      <c r="D6276" s="17" t="s">
        <v>11</v>
      </c>
      <c r="E6276" s="17" t="s">
        <v>11</v>
      </c>
      <c r="F6276" s="18"/>
      <c r="G6276" s="36" t="str">
        <f>IF(ISNUMBER(F6276),C6276*F6276,"")</f>
        <v/>
      </c>
    </row>
    <row r="6277" spans="1:7" ht="12" customHeight="1" outlineLevel="2" x14ac:dyDescent="0.2">
      <c r="A6277" s="14" t="s">
        <v>12364</v>
      </c>
      <c r="B6277" s="15" t="s">
        <v>12365</v>
      </c>
      <c r="C6277" s="16">
        <f>52.8/(1+B2)</f>
        <v>52.8</v>
      </c>
      <c r="D6277" s="17" t="s">
        <v>11</v>
      </c>
      <c r="E6277" s="17" t="s">
        <v>106</v>
      </c>
      <c r="F6277" s="18"/>
      <c r="G6277" s="36" t="str">
        <f>IF(ISNUMBER(F6277),C6277*F6277,"")</f>
        <v/>
      </c>
    </row>
    <row r="6278" spans="1:7" ht="12" customHeight="1" outlineLevel="2" x14ac:dyDescent="0.2">
      <c r="A6278" s="14" t="s">
        <v>12366</v>
      </c>
      <c r="B6278" s="15" t="s">
        <v>12367</v>
      </c>
      <c r="C6278" s="16">
        <f>52.8/(1+B2)</f>
        <v>52.8</v>
      </c>
      <c r="D6278" s="17" t="s">
        <v>11</v>
      </c>
      <c r="E6278" s="17" t="s">
        <v>106</v>
      </c>
      <c r="F6278" s="18"/>
      <c r="G6278" s="36" t="str">
        <f>IF(ISNUMBER(F6278),C6278*F6278,"")</f>
        <v/>
      </c>
    </row>
    <row r="6279" spans="1:7" ht="12" customHeight="1" outlineLevel="2" x14ac:dyDescent="0.2">
      <c r="A6279" s="14" t="s">
        <v>12368</v>
      </c>
      <c r="B6279" s="15" t="s">
        <v>12369</v>
      </c>
      <c r="C6279" s="16">
        <f>26.13/(1+B2)</f>
        <v>26.13</v>
      </c>
      <c r="D6279" s="17" t="s">
        <v>11</v>
      </c>
      <c r="E6279" s="17"/>
      <c r="F6279" s="18"/>
      <c r="G6279" s="36" t="str">
        <f>IF(ISNUMBER(F6279),C6279*F6279,"")</f>
        <v/>
      </c>
    </row>
    <row r="6280" spans="1:7" ht="12" customHeight="1" outlineLevel="2" x14ac:dyDescent="0.2">
      <c r="A6280" s="14" t="s">
        <v>12370</v>
      </c>
      <c r="B6280" s="15" t="s">
        <v>12371</v>
      </c>
      <c r="C6280" s="16">
        <f>39.9/(1+B2)</f>
        <v>39.9</v>
      </c>
      <c r="D6280" s="17" t="s">
        <v>14</v>
      </c>
      <c r="E6280" s="17"/>
      <c r="F6280" s="18"/>
      <c r="G6280" s="36" t="str">
        <f>IF(ISNUMBER(F6280),C6280*F6280,"")</f>
        <v/>
      </c>
    </row>
    <row r="6281" spans="1:7" ht="12" customHeight="1" outlineLevel="2" x14ac:dyDescent="0.2">
      <c r="A6281" s="14" t="s">
        <v>12372</v>
      </c>
      <c r="B6281" s="15" t="s">
        <v>12373</v>
      </c>
      <c r="C6281" s="16">
        <f>50.58/(1+B2)</f>
        <v>50.58</v>
      </c>
      <c r="D6281" s="17" t="s">
        <v>11</v>
      </c>
      <c r="E6281" s="17"/>
      <c r="F6281" s="18"/>
      <c r="G6281" s="36" t="str">
        <f>IF(ISNUMBER(F6281),C6281*F6281,"")</f>
        <v/>
      </c>
    </row>
    <row r="6282" spans="1:7" ht="12" customHeight="1" outlineLevel="2" x14ac:dyDescent="0.2">
      <c r="A6282" s="14" t="s">
        <v>12374</v>
      </c>
      <c r="B6282" s="15" t="s">
        <v>12375</v>
      </c>
      <c r="C6282" s="16">
        <f>30.88/(1+B2)</f>
        <v>30.88</v>
      </c>
      <c r="D6282" s="17" t="s">
        <v>14</v>
      </c>
      <c r="E6282" s="17"/>
      <c r="F6282" s="18"/>
      <c r="G6282" s="36" t="str">
        <f>IF(ISNUMBER(F6282),C6282*F6282,"")</f>
        <v/>
      </c>
    </row>
    <row r="6283" spans="1:7" ht="12" customHeight="1" outlineLevel="2" x14ac:dyDescent="0.2">
      <c r="A6283" s="14" t="s">
        <v>12376</v>
      </c>
      <c r="B6283" s="15" t="s">
        <v>12377</v>
      </c>
      <c r="C6283" s="16">
        <f>27.04/(1+B2)</f>
        <v>27.04</v>
      </c>
      <c r="D6283" s="17" t="s">
        <v>53</v>
      </c>
      <c r="E6283" s="17"/>
      <c r="F6283" s="18"/>
      <c r="G6283" s="36" t="str">
        <f>IF(ISNUMBER(F6283),C6283*F6283,"")</f>
        <v/>
      </c>
    </row>
    <row r="6284" spans="1:7" ht="12" customHeight="1" outlineLevel="2" x14ac:dyDescent="0.2">
      <c r="A6284" s="14" t="s">
        <v>12378</v>
      </c>
      <c r="B6284" s="15" t="s">
        <v>12379</v>
      </c>
      <c r="C6284" s="16">
        <f>52.81/(1+B2)</f>
        <v>52.81</v>
      </c>
      <c r="D6284" s="17" t="s">
        <v>11</v>
      </c>
      <c r="E6284" s="17"/>
      <c r="F6284" s="18"/>
      <c r="G6284" s="36" t="str">
        <f>IF(ISNUMBER(F6284),C6284*F6284,"")</f>
        <v/>
      </c>
    </row>
    <row r="6285" spans="1:7" ht="12" customHeight="1" outlineLevel="2" x14ac:dyDescent="0.2">
      <c r="A6285" s="14" t="s">
        <v>12380</v>
      </c>
      <c r="B6285" s="15" t="s">
        <v>12381</v>
      </c>
      <c r="C6285" s="16">
        <f>53.86/(1+B2)</f>
        <v>53.86</v>
      </c>
      <c r="D6285" s="17" t="s">
        <v>11</v>
      </c>
      <c r="E6285" s="17"/>
      <c r="F6285" s="18"/>
      <c r="G6285" s="36" t="str">
        <f>IF(ISNUMBER(F6285),C6285*F6285,"")</f>
        <v/>
      </c>
    </row>
    <row r="6286" spans="1:7" ht="12" customHeight="1" outlineLevel="2" x14ac:dyDescent="0.2">
      <c r="A6286" s="14" t="s">
        <v>12382</v>
      </c>
      <c r="B6286" s="15" t="s">
        <v>12383</v>
      </c>
      <c r="C6286" s="16">
        <f>29.55/(1+B2)</f>
        <v>29.55</v>
      </c>
      <c r="D6286" s="17" t="s">
        <v>11</v>
      </c>
      <c r="E6286" s="17"/>
      <c r="F6286" s="18"/>
      <c r="G6286" s="36" t="str">
        <f>IF(ISNUMBER(F6286),C6286*F6286,"")</f>
        <v/>
      </c>
    </row>
    <row r="6287" spans="1:7" ht="12" customHeight="1" outlineLevel="2" x14ac:dyDescent="0.2">
      <c r="A6287" s="14" t="s">
        <v>12384</v>
      </c>
      <c r="B6287" s="15" t="s">
        <v>12385</v>
      </c>
      <c r="C6287" s="16">
        <f>41.11/(1+B2)</f>
        <v>41.11</v>
      </c>
      <c r="D6287" s="17" t="s">
        <v>14</v>
      </c>
      <c r="E6287" s="17"/>
      <c r="F6287" s="18"/>
      <c r="G6287" s="36" t="str">
        <f>IF(ISNUMBER(F6287),C6287*F6287,"")</f>
        <v/>
      </c>
    </row>
    <row r="6288" spans="1:7" ht="12" customHeight="1" outlineLevel="2" x14ac:dyDescent="0.2">
      <c r="A6288" s="14" t="s">
        <v>12386</v>
      </c>
      <c r="B6288" s="15" t="s">
        <v>12387</v>
      </c>
      <c r="C6288" s="16">
        <f>36.19/(1+B2)</f>
        <v>36.19</v>
      </c>
      <c r="D6288" s="17" t="s">
        <v>14</v>
      </c>
      <c r="E6288" s="17" t="s">
        <v>11</v>
      </c>
      <c r="F6288" s="18"/>
      <c r="G6288" s="36" t="str">
        <f>IF(ISNUMBER(F6288),C6288*F6288,"")</f>
        <v/>
      </c>
    </row>
    <row r="6289" spans="1:7" s="1" customFormat="1" ht="15.95" customHeight="1" outlineLevel="1" x14ac:dyDescent="0.25">
      <c r="A6289" s="11"/>
      <c r="B6289" s="12" t="s">
        <v>12388</v>
      </c>
      <c r="C6289" s="13"/>
      <c r="D6289" s="13"/>
      <c r="E6289" s="13"/>
      <c r="F6289" s="13"/>
      <c r="G6289" s="35"/>
    </row>
    <row r="6290" spans="1:7" ht="24" customHeight="1" outlineLevel="2" x14ac:dyDescent="0.2">
      <c r="A6290" s="14" t="s">
        <v>12389</v>
      </c>
      <c r="B6290" s="15" t="s">
        <v>12390</v>
      </c>
      <c r="C6290" s="16">
        <f>41.81/(1+B2)</f>
        <v>41.81</v>
      </c>
      <c r="D6290" s="17" t="s">
        <v>11</v>
      </c>
      <c r="E6290" s="17"/>
      <c r="F6290" s="18"/>
      <c r="G6290" s="36" t="str">
        <f>IF(ISNUMBER(F6290),C6290*F6290,"")</f>
        <v/>
      </c>
    </row>
    <row r="6291" spans="1:7" ht="24" customHeight="1" outlineLevel="2" x14ac:dyDescent="0.2">
      <c r="A6291" s="14" t="s">
        <v>12391</v>
      </c>
      <c r="B6291" s="15" t="s">
        <v>12392</v>
      </c>
      <c r="C6291" s="16">
        <f>27.65/(1+B2)</f>
        <v>27.65</v>
      </c>
      <c r="D6291" s="17" t="s">
        <v>11</v>
      </c>
      <c r="E6291" s="17"/>
      <c r="F6291" s="18"/>
      <c r="G6291" s="36" t="str">
        <f>IF(ISNUMBER(F6291),C6291*F6291,"")</f>
        <v/>
      </c>
    </row>
    <row r="6292" spans="1:7" ht="12" customHeight="1" outlineLevel="2" x14ac:dyDescent="0.2">
      <c r="A6292" s="14" t="s">
        <v>12393</v>
      </c>
      <c r="B6292" s="15" t="s">
        <v>12394</v>
      </c>
      <c r="C6292" s="16">
        <f>27.88/(1+B2)</f>
        <v>27.88</v>
      </c>
      <c r="D6292" s="17" t="s">
        <v>11</v>
      </c>
      <c r="E6292" s="17"/>
      <c r="F6292" s="18"/>
      <c r="G6292" s="36" t="str">
        <f>IF(ISNUMBER(F6292),C6292*F6292,"")</f>
        <v/>
      </c>
    </row>
    <row r="6293" spans="1:7" ht="24" customHeight="1" outlineLevel="2" x14ac:dyDescent="0.2">
      <c r="A6293" s="14" t="s">
        <v>12395</v>
      </c>
      <c r="B6293" s="15" t="s">
        <v>12396</v>
      </c>
      <c r="C6293" s="16">
        <f>125.64/(1+B2)</f>
        <v>125.64</v>
      </c>
      <c r="D6293" s="17" t="s">
        <v>11</v>
      </c>
      <c r="E6293" s="17"/>
      <c r="F6293" s="18"/>
      <c r="G6293" s="36" t="str">
        <f>IF(ISNUMBER(F6293),C6293*F6293,"")</f>
        <v/>
      </c>
    </row>
    <row r="6294" spans="1:7" ht="12" customHeight="1" outlineLevel="2" x14ac:dyDescent="0.2">
      <c r="A6294" s="14" t="s">
        <v>12397</v>
      </c>
      <c r="B6294" s="15" t="s">
        <v>12398</v>
      </c>
      <c r="C6294" s="16">
        <f>161.67/(1+B2)</f>
        <v>161.66999999999999</v>
      </c>
      <c r="D6294" s="17" t="s">
        <v>11</v>
      </c>
      <c r="E6294" s="17"/>
      <c r="F6294" s="18"/>
      <c r="G6294" s="36" t="str">
        <f>IF(ISNUMBER(F6294),C6294*F6294,"")</f>
        <v/>
      </c>
    </row>
    <row r="6295" spans="1:7" ht="24" customHeight="1" outlineLevel="2" x14ac:dyDescent="0.2">
      <c r="A6295" s="14" t="s">
        <v>12399</v>
      </c>
      <c r="B6295" s="15" t="s">
        <v>12400</v>
      </c>
      <c r="C6295" s="16">
        <f>182.71/(1+B2)</f>
        <v>182.71</v>
      </c>
      <c r="D6295" s="17" t="s">
        <v>11</v>
      </c>
      <c r="E6295" s="17"/>
      <c r="F6295" s="18"/>
      <c r="G6295" s="36" t="str">
        <f>IF(ISNUMBER(F6295),C6295*F6295,"")</f>
        <v/>
      </c>
    </row>
    <row r="6296" spans="1:7" ht="12" customHeight="1" outlineLevel="2" x14ac:dyDescent="0.2">
      <c r="A6296" s="14" t="s">
        <v>12401</v>
      </c>
      <c r="B6296" s="15" t="s">
        <v>12402</v>
      </c>
      <c r="C6296" s="16">
        <f>169.01/(1+B2)</f>
        <v>169.01</v>
      </c>
      <c r="D6296" s="17" t="s">
        <v>11</v>
      </c>
      <c r="E6296" s="17"/>
      <c r="F6296" s="18"/>
      <c r="G6296" s="36" t="str">
        <f>IF(ISNUMBER(F6296),C6296*F6296,"")</f>
        <v/>
      </c>
    </row>
    <row r="6297" spans="1:7" ht="12" customHeight="1" outlineLevel="2" x14ac:dyDescent="0.2">
      <c r="A6297" s="14" t="s">
        <v>12403</v>
      </c>
      <c r="B6297" s="15" t="s">
        <v>12404</v>
      </c>
      <c r="C6297" s="16">
        <f>150.73/(1+B2)</f>
        <v>150.72999999999999</v>
      </c>
      <c r="D6297" s="17" t="s">
        <v>11</v>
      </c>
      <c r="E6297" s="17" t="s">
        <v>11</v>
      </c>
      <c r="F6297" s="18"/>
      <c r="G6297" s="36" t="str">
        <f>IF(ISNUMBER(F6297),C6297*F6297,"")</f>
        <v/>
      </c>
    </row>
    <row r="6298" spans="1:7" ht="12" customHeight="1" outlineLevel="2" x14ac:dyDescent="0.2">
      <c r="A6298" s="14" t="s">
        <v>12405</v>
      </c>
      <c r="B6298" s="15" t="s">
        <v>12406</v>
      </c>
      <c r="C6298" s="16">
        <f>54.82/(1+B2)</f>
        <v>54.82</v>
      </c>
      <c r="D6298" s="17" t="s">
        <v>11</v>
      </c>
      <c r="E6298" s="17" t="s">
        <v>11</v>
      </c>
      <c r="F6298" s="18"/>
      <c r="G6298" s="36" t="str">
        <f>IF(ISNUMBER(F6298),C6298*F6298,"")</f>
        <v/>
      </c>
    </row>
    <row r="6299" spans="1:7" ht="12" customHeight="1" outlineLevel="2" x14ac:dyDescent="0.2">
      <c r="A6299" s="14" t="s">
        <v>12407</v>
      </c>
      <c r="B6299" s="15" t="s">
        <v>12408</v>
      </c>
      <c r="C6299" s="16">
        <f>30.91/(1+B2)</f>
        <v>30.91</v>
      </c>
      <c r="D6299" s="17" t="s">
        <v>11</v>
      </c>
      <c r="E6299" s="17"/>
      <c r="F6299" s="18"/>
      <c r="G6299" s="36" t="str">
        <f>IF(ISNUMBER(F6299),C6299*F6299,"")</f>
        <v/>
      </c>
    </row>
    <row r="6300" spans="1:7" ht="12" customHeight="1" outlineLevel="2" x14ac:dyDescent="0.2">
      <c r="A6300" s="14" t="s">
        <v>12409</v>
      </c>
      <c r="B6300" s="15" t="s">
        <v>12410</v>
      </c>
      <c r="C6300" s="16">
        <f>19.06/(1+B2)</f>
        <v>19.059999999999999</v>
      </c>
      <c r="D6300" s="17" t="s">
        <v>11</v>
      </c>
      <c r="E6300" s="17"/>
      <c r="F6300" s="18"/>
      <c r="G6300" s="36" t="str">
        <f>IF(ISNUMBER(F6300),C6300*F6300,"")</f>
        <v/>
      </c>
    </row>
    <row r="6301" spans="1:7" ht="12" customHeight="1" outlineLevel="2" x14ac:dyDescent="0.2">
      <c r="A6301" s="14" t="s">
        <v>12411</v>
      </c>
      <c r="B6301" s="15" t="s">
        <v>12412</v>
      </c>
      <c r="C6301" s="16">
        <f>85.64/(1+B2)</f>
        <v>85.64</v>
      </c>
      <c r="D6301" s="17" t="s">
        <v>11</v>
      </c>
      <c r="E6301" s="17" t="s">
        <v>11</v>
      </c>
      <c r="F6301" s="18"/>
      <c r="G6301" s="36" t="str">
        <f>IF(ISNUMBER(F6301),C6301*F6301,"")</f>
        <v/>
      </c>
    </row>
    <row r="6302" spans="1:7" ht="12" customHeight="1" outlineLevel="2" x14ac:dyDescent="0.2">
      <c r="A6302" s="14" t="s">
        <v>12413</v>
      </c>
      <c r="B6302" s="15" t="s">
        <v>12414</v>
      </c>
      <c r="C6302" s="16">
        <f>133.79/(1+B2)</f>
        <v>133.79</v>
      </c>
      <c r="D6302" s="17" t="s">
        <v>11</v>
      </c>
      <c r="E6302" s="17"/>
      <c r="F6302" s="18"/>
      <c r="G6302" s="36" t="str">
        <f>IF(ISNUMBER(F6302),C6302*F6302,"")</f>
        <v/>
      </c>
    </row>
    <row r="6303" spans="1:7" ht="12" customHeight="1" outlineLevel="2" x14ac:dyDescent="0.2">
      <c r="A6303" s="14" t="s">
        <v>12415</v>
      </c>
      <c r="B6303" s="15" t="s">
        <v>12416</v>
      </c>
      <c r="C6303" s="16">
        <f>45.22/(1+B2)</f>
        <v>45.22</v>
      </c>
      <c r="D6303" s="17" t="s">
        <v>11</v>
      </c>
      <c r="E6303" s="17"/>
      <c r="F6303" s="18"/>
      <c r="G6303" s="36" t="str">
        <f>IF(ISNUMBER(F6303),C6303*F6303,"")</f>
        <v/>
      </c>
    </row>
    <row r="6304" spans="1:7" ht="12" customHeight="1" outlineLevel="2" x14ac:dyDescent="0.2">
      <c r="A6304" s="14" t="s">
        <v>12417</v>
      </c>
      <c r="B6304" s="15" t="s">
        <v>12418</v>
      </c>
      <c r="C6304" s="16">
        <f>50.47/(1+B2)</f>
        <v>50.47</v>
      </c>
      <c r="D6304" s="17" t="s">
        <v>11</v>
      </c>
      <c r="E6304" s="17"/>
      <c r="F6304" s="18"/>
      <c r="G6304" s="36" t="str">
        <f>IF(ISNUMBER(F6304),C6304*F6304,"")</f>
        <v/>
      </c>
    </row>
    <row r="6305" spans="1:7" ht="12" customHeight="1" outlineLevel="2" x14ac:dyDescent="0.2">
      <c r="A6305" s="14" t="s">
        <v>12419</v>
      </c>
      <c r="B6305" s="15" t="s">
        <v>12420</v>
      </c>
      <c r="C6305" s="16">
        <f>32.08/(1+B2)</f>
        <v>32.08</v>
      </c>
      <c r="D6305" s="17" t="s">
        <v>11</v>
      </c>
      <c r="E6305" s="17"/>
      <c r="F6305" s="18"/>
      <c r="G6305" s="36" t="str">
        <f>IF(ISNUMBER(F6305),C6305*F6305,"")</f>
        <v/>
      </c>
    </row>
    <row r="6306" spans="1:7" ht="24" customHeight="1" outlineLevel="2" x14ac:dyDescent="0.2">
      <c r="A6306" s="14" t="s">
        <v>12421</v>
      </c>
      <c r="B6306" s="15" t="s">
        <v>12422</v>
      </c>
      <c r="C6306" s="16">
        <f>229.39/(1+B2)</f>
        <v>229.39</v>
      </c>
      <c r="D6306" s="17" t="s">
        <v>11</v>
      </c>
      <c r="E6306" s="17"/>
      <c r="F6306" s="18"/>
      <c r="G6306" s="36" t="str">
        <f>IF(ISNUMBER(F6306),C6306*F6306,"")</f>
        <v/>
      </c>
    </row>
    <row r="6307" spans="1:7" ht="12" customHeight="1" outlineLevel="2" x14ac:dyDescent="0.2">
      <c r="A6307" s="14" t="s">
        <v>12423</v>
      </c>
      <c r="B6307" s="15" t="s">
        <v>12424</v>
      </c>
      <c r="C6307" s="16">
        <f>517.41/(1+B2)</f>
        <v>517.41</v>
      </c>
      <c r="D6307" s="17" t="s">
        <v>11</v>
      </c>
      <c r="E6307" s="17"/>
      <c r="F6307" s="18"/>
      <c r="G6307" s="36" t="str">
        <f>IF(ISNUMBER(F6307),C6307*F6307,"")</f>
        <v/>
      </c>
    </row>
    <row r="6308" spans="1:7" ht="12" customHeight="1" outlineLevel="2" x14ac:dyDescent="0.2">
      <c r="A6308" s="14" t="s">
        <v>12425</v>
      </c>
      <c r="B6308" s="15" t="s">
        <v>12426</v>
      </c>
      <c r="C6308" s="16">
        <f>221.05/(1+B2)</f>
        <v>221.05</v>
      </c>
      <c r="D6308" s="17" t="s">
        <v>11</v>
      </c>
      <c r="E6308" s="17"/>
      <c r="F6308" s="18"/>
      <c r="G6308" s="36" t="str">
        <f>IF(ISNUMBER(F6308),C6308*F6308,"")</f>
        <v/>
      </c>
    </row>
    <row r="6309" spans="1:7" ht="12" customHeight="1" outlineLevel="2" x14ac:dyDescent="0.2">
      <c r="A6309" s="14" t="s">
        <v>12427</v>
      </c>
      <c r="B6309" s="15" t="s">
        <v>12428</v>
      </c>
      <c r="C6309" s="16">
        <f>81.86/(1+B2)</f>
        <v>81.86</v>
      </c>
      <c r="D6309" s="17" t="s">
        <v>11</v>
      </c>
      <c r="E6309" s="17"/>
      <c r="F6309" s="18"/>
      <c r="G6309" s="36" t="str">
        <f>IF(ISNUMBER(F6309),C6309*F6309,"")</f>
        <v/>
      </c>
    </row>
    <row r="6310" spans="1:7" ht="12" customHeight="1" outlineLevel="2" x14ac:dyDescent="0.2">
      <c r="A6310" s="14" t="s">
        <v>12429</v>
      </c>
      <c r="B6310" s="15" t="s">
        <v>12430</v>
      </c>
      <c r="C6310" s="16">
        <f>43.8/(1+B2)</f>
        <v>43.8</v>
      </c>
      <c r="D6310" s="17" t="s">
        <v>11</v>
      </c>
      <c r="E6310" s="17"/>
      <c r="F6310" s="18"/>
      <c r="G6310" s="36" t="str">
        <f>IF(ISNUMBER(F6310),C6310*F6310,"")</f>
        <v/>
      </c>
    </row>
    <row r="6311" spans="1:7" ht="12" customHeight="1" outlineLevel="2" x14ac:dyDescent="0.2">
      <c r="A6311" s="14" t="s">
        <v>12431</v>
      </c>
      <c r="B6311" s="15" t="s">
        <v>12432</v>
      </c>
      <c r="C6311" s="16">
        <f>568.75/(1+B2)</f>
        <v>568.75</v>
      </c>
      <c r="D6311" s="17" t="s">
        <v>11</v>
      </c>
      <c r="E6311" s="17"/>
      <c r="F6311" s="18"/>
      <c r="G6311" s="36" t="str">
        <f>IF(ISNUMBER(F6311),C6311*F6311,"")</f>
        <v/>
      </c>
    </row>
    <row r="6312" spans="1:7" ht="12" customHeight="1" outlineLevel="2" x14ac:dyDescent="0.2">
      <c r="A6312" s="14" t="s">
        <v>12433</v>
      </c>
      <c r="B6312" s="15" t="s">
        <v>12434</v>
      </c>
      <c r="C6312" s="16">
        <f>10.12/(1+B2)</f>
        <v>10.119999999999999</v>
      </c>
      <c r="D6312" s="17" t="s">
        <v>11</v>
      </c>
      <c r="E6312" s="17"/>
      <c r="F6312" s="18"/>
      <c r="G6312" s="36" t="str">
        <f>IF(ISNUMBER(F6312),C6312*F6312,"")</f>
        <v/>
      </c>
    </row>
    <row r="6313" spans="1:7" ht="12" customHeight="1" outlineLevel="2" x14ac:dyDescent="0.2">
      <c r="A6313" s="14" t="s">
        <v>12435</v>
      </c>
      <c r="B6313" s="15" t="s">
        <v>12436</v>
      </c>
      <c r="C6313" s="16">
        <f>19.54/(1+B2)</f>
        <v>19.54</v>
      </c>
      <c r="D6313" s="17" t="s">
        <v>11</v>
      </c>
      <c r="E6313" s="17"/>
      <c r="F6313" s="18"/>
      <c r="G6313" s="36" t="str">
        <f>IF(ISNUMBER(F6313),C6313*F6313,"")</f>
        <v/>
      </c>
    </row>
    <row r="6314" spans="1:7" ht="12" customHeight="1" outlineLevel="2" x14ac:dyDescent="0.2">
      <c r="A6314" s="14" t="s">
        <v>12437</v>
      </c>
      <c r="B6314" s="15" t="s">
        <v>12438</v>
      </c>
      <c r="C6314" s="16">
        <f>59.38/(1+B2)</f>
        <v>59.38</v>
      </c>
      <c r="D6314" s="17" t="s">
        <v>11</v>
      </c>
      <c r="E6314" s="17"/>
      <c r="F6314" s="18"/>
      <c r="G6314" s="36" t="str">
        <f>IF(ISNUMBER(F6314),C6314*F6314,"")</f>
        <v/>
      </c>
    </row>
    <row r="6315" spans="1:7" ht="12" customHeight="1" outlineLevel="2" x14ac:dyDescent="0.2">
      <c r="A6315" s="14" t="s">
        <v>12439</v>
      </c>
      <c r="B6315" s="15" t="s">
        <v>12440</v>
      </c>
      <c r="C6315" s="16">
        <f>56.64/(1+B2)</f>
        <v>56.64</v>
      </c>
      <c r="D6315" s="17" t="s">
        <v>11</v>
      </c>
      <c r="E6315" s="17"/>
      <c r="F6315" s="18"/>
      <c r="G6315" s="36" t="str">
        <f>IF(ISNUMBER(F6315),C6315*F6315,"")</f>
        <v/>
      </c>
    </row>
    <row r="6316" spans="1:7" ht="12" customHeight="1" outlineLevel="2" x14ac:dyDescent="0.2">
      <c r="A6316" s="14" t="s">
        <v>12441</v>
      </c>
      <c r="B6316" s="15" t="s">
        <v>12442</v>
      </c>
      <c r="C6316" s="16">
        <f>27.35/(1+B2)</f>
        <v>27.35</v>
      </c>
      <c r="D6316" s="17" t="s">
        <v>11</v>
      </c>
      <c r="E6316" s="17"/>
      <c r="F6316" s="18"/>
      <c r="G6316" s="36" t="str">
        <f>IF(ISNUMBER(F6316),C6316*F6316,"")</f>
        <v/>
      </c>
    </row>
    <row r="6317" spans="1:7" ht="12" customHeight="1" outlineLevel="2" x14ac:dyDescent="0.2">
      <c r="A6317" s="14" t="s">
        <v>12443</v>
      </c>
      <c r="B6317" s="15" t="s">
        <v>12444</v>
      </c>
      <c r="C6317" s="16">
        <f>70.8/(1+B2)</f>
        <v>70.8</v>
      </c>
      <c r="D6317" s="17" t="s">
        <v>11</v>
      </c>
      <c r="E6317" s="17"/>
      <c r="F6317" s="18"/>
      <c r="G6317" s="36" t="str">
        <f>IF(ISNUMBER(F6317),C6317*F6317,"")</f>
        <v/>
      </c>
    </row>
    <row r="6318" spans="1:7" ht="12" customHeight="1" outlineLevel="2" x14ac:dyDescent="0.2">
      <c r="A6318" s="14" t="s">
        <v>12445</v>
      </c>
      <c r="B6318" s="15" t="s">
        <v>12446</v>
      </c>
      <c r="C6318" s="16">
        <f>47.16/(1+B2)</f>
        <v>47.16</v>
      </c>
      <c r="D6318" s="17" t="s">
        <v>11</v>
      </c>
      <c r="E6318" s="17"/>
      <c r="F6318" s="18"/>
      <c r="G6318" s="36" t="str">
        <f>IF(ISNUMBER(F6318),C6318*F6318,"")</f>
        <v/>
      </c>
    </row>
    <row r="6319" spans="1:7" ht="12" customHeight="1" outlineLevel="2" x14ac:dyDescent="0.2">
      <c r="A6319" s="14" t="s">
        <v>12447</v>
      </c>
      <c r="B6319" s="15" t="s">
        <v>12448</v>
      </c>
      <c r="C6319" s="16">
        <f>67.61/(1+B2)</f>
        <v>67.61</v>
      </c>
      <c r="D6319" s="17" t="s">
        <v>53</v>
      </c>
      <c r="E6319" s="17"/>
      <c r="F6319" s="18"/>
      <c r="G6319" s="36" t="str">
        <f>IF(ISNUMBER(F6319),C6319*F6319,"")</f>
        <v/>
      </c>
    </row>
    <row r="6320" spans="1:7" ht="12" customHeight="1" outlineLevel="2" x14ac:dyDescent="0.2">
      <c r="A6320" s="14" t="s">
        <v>12449</v>
      </c>
      <c r="B6320" s="15" t="s">
        <v>12450</v>
      </c>
      <c r="C6320" s="16">
        <f>49.2/(1+B2)</f>
        <v>49.2</v>
      </c>
      <c r="D6320" s="17" t="s">
        <v>11</v>
      </c>
      <c r="E6320" s="17"/>
      <c r="F6320" s="18"/>
      <c r="G6320" s="36" t="str">
        <f>IF(ISNUMBER(F6320),C6320*F6320,"")</f>
        <v/>
      </c>
    </row>
    <row r="6321" spans="1:7" ht="12" customHeight="1" outlineLevel="2" x14ac:dyDescent="0.2">
      <c r="A6321" s="14" t="s">
        <v>12451</v>
      </c>
      <c r="B6321" s="15" t="s">
        <v>12452</v>
      </c>
      <c r="C6321" s="16">
        <f>14.51/(1+B2)</f>
        <v>14.51</v>
      </c>
      <c r="D6321" s="17" t="s">
        <v>11</v>
      </c>
      <c r="E6321" s="17"/>
      <c r="F6321" s="18"/>
      <c r="G6321" s="36" t="str">
        <f>IF(ISNUMBER(F6321),C6321*F6321,"")</f>
        <v/>
      </c>
    </row>
    <row r="6322" spans="1:7" ht="24" customHeight="1" outlineLevel="2" x14ac:dyDescent="0.2">
      <c r="A6322" s="14" t="s">
        <v>12453</v>
      </c>
      <c r="B6322" s="15" t="s">
        <v>12454</v>
      </c>
      <c r="C6322" s="16">
        <f>45.65/(1+B2)</f>
        <v>45.65</v>
      </c>
      <c r="D6322" s="17" t="s">
        <v>14</v>
      </c>
      <c r="E6322" s="17"/>
      <c r="F6322" s="18"/>
      <c r="G6322" s="36" t="str">
        <f>IF(ISNUMBER(F6322),C6322*F6322,"")</f>
        <v/>
      </c>
    </row>
    <row r="6323" spans="1:7" ht="12" customHeight="1" outlineLevel="2" x14ac:dyDescent="0.2">
      <c r="A6323" s="14" t="s">
        <v>12455</v>
      </c>
      <c r="B6323" s="15" t="s">
        <v>12456</v>
      </c>
      <c r="C6323" s="16">
        <f>13.97/(1+B2)</f>
        <v>13.97</v>
      </c>
      <c r="D6323" s="17" t="s">
        <v>11</v>
      </c>
      <c r="E6323" s="17"/>
      <c r="F6323" s="18"/>
      <c r="G6323" s="36" t="str">
        <f>IF(ISNUMBER(F6323),C6323*F6323,"")</f>
        <v/>
      </c>
    </row>
    <row r="6324" spans="1:7" ht="24" customHeight="1" outlineLevel="2" x14ac:dyDescent="0.2">
      <c r="A6324" s="14" t="s">
        <v>12457</v>
      </c>
      <c r="B6324" s="15" t="s">
        <v>12458</v>
      </c>
      <c r="C6324" s="16">
        <f>63.95/(1+B2)</f>
        <v>63.95</v>
      </c>
      <c r="D6324" s="17" t="s">
        <v>11</v>
      </c>
      <c r="E6324" s="17"/>
      <c r="F6324" s="18"/>
      <c r="G6324" s="36" t="str">
        <f>IF(ISNUMBER(F6324),C6324*F6324,"")</f>
        <v/>
      </c>
    </row>
    <row r="6325" spans="1:7" ht="12" customHeight="1" outlineLevel="2" x14ac:dyDescent="0.2">
      <c r="A6325" s="14" t="s">
        <v>12459</v>
      </c>
      <c r="B6325" s="15" t="s">
        <v>12460</v>
      </c>
      <c r="C6325" s="16">
        <f>88.51/(1+B2)</f>
        <v>88.51</v>
      </c>
      <c r="D6325" s="17" t="s">
        <v>11</v>
      </c>
      <c r="E6325" s="17"/>
      <c r="F6325" s="18"/>
      <c r="G6325" s="36" t="str">
        <f>IF(ISNUMBER(F6325),C6325*F6325,"")</f>
        <v/>
      </c>
    </row>
    <row r="6326" spans="1:7" ht="24" customHeight="1" outlineLevel="2" x14ac:dyDescent="0.2">
      <c r="A6326" s="14" t="s">
        <v>12461</v>
      </c>
      <c r="B6326" s="15" t="s">
        <v>12462</v>
      </c>
      <c r="C6326" s="16">
        <f>46.93/(1+B2)</f>
        <v>46.93</v>
      </c>
      <c r="D6326" s="17" t="s">
        <v>14</v>
      </c>
      <c r="E6326" s="17"/>
      <c r="F6326" s="18"/>
      <c r="G6326" s="36" t="str">
        <f>IF(ISNUMBER(F6326),C6326*F6326,"")</f>
        <v/>
      </c>
    </row>
    <row r="6327" spans="1:7" ht="12" customHeight="1" outlineLevel="2" x14ac:dyDescent="0.2">
      <c r="A6327" s="14" t="s">
        <v>12463</v>
      </c>
      <c r="B6327" s="15" t="s">
        <v>12464</v>
      </c>
      <c r="C6327" s="16">
        <f>15.75/(1+B2)</f>
        <v>15.75</v>
      </c>
      <c r="D6327" s="17" t="s">
        <v>53</v>
      </c>
      <c r="E6327" s="17"/>
      <c r="F6327" s="18"/>
      <c r="G6327" s="36" t="str">
        <f>IF(ISNUMBER(F6327),C6327*F6327,"")</f>
        <v/>
      </c>
    </row>
    <row r="6328" spans="1:7" ht="24" customHeight="1" outlineLevel="2" x14ac:dyDescent="0.2">
      <c r="A6328" s="14" t="s">
        <v>12465</v>
      </c>
      <c r="B6328" s="15" t="s">
        <v>12466</v>
      </c>
      <c r="C6328" s="16">
        <f>32.61/(1+B2)</f>
        <v>32.61</v>
      </c>
      <c r="D6328" s="17" t="s">
        <v>11</v>
      </c>
      <c r="E6328" s="17"/>
      <c r="F6328" s="18"/>
      <c r="G6328" s="36" t="str">
        <f>IF(ISNUMBER(F6328),C6328*F6328,"")</f>
        <v/>
      </c>
    </row>
    <row r="6329" spans="1:7" ht="24" customHeight="1" outlineLevel="2" x14ac:dyDescent="0.2">
      <c r="A6329" s="14" t="s">
        <v>12467</v>
      </c>
      <c r="B6329" s="15" t="s">
        <v>12468</v>
      </c>
      <c r="C6329" s="16">
        <f>23.68/(1+B2)</f>
        <v>23.68</v>
      </c>
      <c r="D6329" s="17" t="s">
        <v>11</v>
      </c>
      <c r="E6329" s="17"/>
      <c r="F6329" s="18"/>
      <c r="G6329" s="36" t="str">
        <f>IF(ISNUMBER(F6329),C6329*F6329,"")</f>
        <v/>
      </c>
    </row>
    <row r="6330" spans="1:7" ht="12" customHeight="1" outlineLevel="2" x14ac:dyDescent="0.2">
      <c r="A6330" s="14" t="s">
        <v>12469</v>
      </c>
      <c r="B6330" s="15" t="s">
        <v>12470</v>
      </c>
      <c r="C6330" s="16">
        <f>56.64/(1+B2)</f>
        <v>56.64</v>
      </c>
      <c r="D6330" s="17" t="s">
        <v>11</v>
      </c>
      <c r="E6330" s="17"/>
      <c r="F6330" s="18"/>
      <c r="G6330" s="36" t="str">
        <f>IF(ISNUMBER(F6330),C6330*F6330,"")</f>
        <v/>
      </c>
    </row>
    <row r="6331" spans="1:7" ht="12" customHeight="1" outlineLevel="2" x14ac:dyDescent="0.2">
      <c r="A6331" s="14" t="s">
        <v>12471</v>
      </c>
      <c r="B6331" s="15" t="s">
        <v>12472</v>
      </c>
      <c r="C6331" s="16">
        <f>31.55/(1+B2)</f>
        <v>31.55</v>
      </c>
      <c r="D6331" s="17" t="s">
        <v>11</v>
      </c>
      <c r="E6331" s="17"/>
      <c r="F6331" s="18"/>
      <c r="G6331" s="36" t="str">
        <f>IF(ISNUMBER(F6331),C6331*F6331,"")</f>
        <v/>
      </c>
    </row>
    <row r="6332" spans="1:7" ht="24" customHeight="1" outlineLevel="2" x14ac:dyDescent="0.2">
      <c r="A6332" s="14" t="s">
        <v>12473</v>
      </c>
      <c r="B6332" s="15" t="s">
        <v>12474</v>
      </c>
      <c r="C6332" s="16">
        <f>47.42/(1+B2)</f>
        <v>47.42</v>
      </c>
      <c r="D6332" s="17" t="s">
        <v>11</v>
      </c>
      <c r="E6332" s="17" t="s">
        <v>14</v>
      </c>
      <c r="F6332" s="18"/>
      <c r="G6332" s="36" t="str">
        <f>IF(ISNUMBER(F6332),C6332*F6332,"")</f>
        <v/>
      </c>
    </row>
    <row r="6333" spans="1:7" ht="12" customHeight="1" outlineLevel="2" x14ac:dyDescent="0.2">
      <c r="A6333" s="14" t="s">
        <v>12475</v>
      </c>
      <c r="B6333" s="15" t="s">
        <v>12476</v>
      </c>
      <c r="C6333" s="16">
        <f>32.89/(1+B2)</f>
        <v>32.89</v>
      </c>
      <c r="D6333" s="17" t="s">
        <v>14</v>
      </c>
      <c r="E6333" s="17"/>
      <c r="F6333" s="18"/>
      <c r="G6333" s="36" t="str">
        <f>IF(ISNUMBER(F6333),C6333*F6333,"")</f>
        <v/>
      </c>
    </row>
    <row r="6334" spans="1:7" ht="12" customHeight="1" outlineLevel="2" x14ac:dyDescent="0.2">
      <c r="A6334" s="14" t="s">
        <v>12477</v>
      </c>
      <c r="B6334" s="15" t="s">
        <v>12478</v>
      </c>
      <c r="C6334" s="16">
        <f>15.07/(1+B2)</f>
        <v>15.07</v>
      </c>
      <c r="D6334" s="17" t="s">
        <v>11</v>
      </c>
      <c r="E6334" s="17"/>
      <c r="F6334" s="18"/>
      <c r="G6334" s="36" t="str">
        <f>IF(ISNUMBER(F6334),C6334*F6334,"")</f>
        <v/>
      </c>
    </row>
    <row r="6335" spans="1:7" ht="12" customHeight="1" outlineLevel="2" x14ac:dyDescent="0.2">
      <c r="A6335" s="14" t="s">
        <v>12479</v>
      </c>
      <c r="B6335" s="15" t="s">
        <v>12480</v>
      </c>
      <c r="C6335" s="16">
        <f>11.17/(1+B2)</f>
        <v>11.17</v>
      </c>
      <c r="D6335" s="17" t="s">
        <v>14</v>
      </c>
      <c r="E6335" s="17"/>
      <c r="F6335" s="18"/>
      <c r="G6335" s="36" t="str">
        <f>IF(ISNUMBER(F6335),C6335*F6335,"")</f>
        <v/>
      </c>
    </row>
    <row r="6336" spans="1:7" ht="24" customHeight="1" outlineLevel="2" x14ac:dyDescent="0.2">
      <c r="A6336" s="14" t="s">
        <v>12481</v>
      </c>
      <c r="B6336" s="15" t="s">
        <v>12482</v>
      </c>
      <c r="C6336" s="16">
        <f>54.82/(1+B2)</f>
        <v>54.82</v>
      </c>
      <c r="D6336" s="17" t="s">
        <v>14</v>
      </c>
      <c r="E6336" s="17"/>
      <c r="F6336" s="18"/>
      <c r="G6336" s="36" t="str">
        <f>IF(ISNUMBER(F6336),C6336*F6336,"")</f>
        <v/>
      </c>
    </row>
    <row r="6337" spans="1:7" ht="12" customHeight="1" outlineLevel="2" x14ac:dyDescent="0.2">
      <c r="A6337" s="14" t="s">
        <v>12483</v>
      </c>
      <c r="B6337" s="15" t="s">
        <v>12484</v>
      </c>
      <c r="C6337" s="16">
        <f>23.57/(1+B2)</f>
        <v>23.57</v>
      </c>
      <c r="D6337" s="17" t="s">
        <v>53</v>
      </c>
      <c r="E6337" s="17"/>
      <c r="F6337" s="18"/>
      <c r="G6337" s="36" t="str">
        <f>IF(ISNUMBER(F6337),C6337*F6337,"")</f>
        <v/>
      </c>
    </row>
    <row r="6338" spans="1:7" ht="12" customHeight="1" outlineLevel="2" x14ac:dyDescent="0.2">
      <c r="A6338" s="14" t="s">
        <v>12485</v>
      </c>
      <c r="B6338" s="15" t="s">
        <v>12486</v>
      </c>
      <c r="C6338" s="16">
        <f>18.07/(1+B2)</f>
        <v>18.07</v>
      </c>
      <c r="D6338" s="17" t="s">
        <v>14</v>
      </c>
      <c r="E6338" s="17"/>
      <c r="F6338" s="18"/>
      <c r="G6338" s="36" t="str">
        <f>IF(ISNUMBER(F6338),C6338*F6338,"")</f>
        <v/>
      </c>
    </row>
    <row r="6339" spans="1:7" ht="12" customHeight="1" outlineLevel="2" x14ac:dyDescent="0.2">
      <c r="A6339" s="14" t="s">
        <v>12487</v>
      </c>
      <c r="B6339" s="15" t="s">
        <v>12488</v>
      </c>
      <c r="C6339" s="16">
        <f>26.16/(1+B2)</f>
        <v>26.16</v>
      </c>
      <c r="D6339" s="17" t="s">
        <v>11</v>
      </c>
      <c r="E6339" s="17"/>
      <c r="F6339" s="18"/>
      <c r="G6339" s="36" t="str">
        <f>IF(ISNUMBER(F6339),C6339*F6339,"")</f>
        <v/>
      </c>
    </row>
    <row r="6340" spans="1:7" ht="12" customHeight="1" outlineLevel="2" x14ac:dyDescent="0.2">
      <c r="A6340" s="14" t="s">
        <v>12489</v>
      </c>
      <c r="B6340" s="15" t="s">
        <v>12490</v>
      </c>
      <c r="C6340" s="16">
        <f>48.14/(1+B2)</f>
        <v>48.14</v>
      </c>
      <c r="D6340" s="17" t="s">
        <v>11</v>
      </c>
      <c r="E6340" s="17"/>
      <c r="F6340" s="18"/>
      <c r="G6340" s="36" t="str">
        <f>IF(ISNUMBER(F6340),C6340*F6340,"")</f>
        <v/>
      </c>
    </row>
    <row r="6341" spans="1:7" ht="12" customHeight="1" outlineLevel="2" x14ac:dyDescent="0.2">
      <c r="A6341" s="14" t="s">
        <v>12491</v>
      </c>
      <c r="B6341" s="15" t="s">
        <v>12492</v>
      </c>
      <c r="C6341" s="16">
        <f>115.69/(1+B2)</f>
        <v>115.69</v>
      </c>
      <c r="D6341" s="17" t="s">
        <v>11</v>
      </c>
      <c r="E6341" s="17"/>
      <c r="F6341" s="18"/>
      <c r="G6341" s="36" t="str">
        <f>IF(ISNUMBER(F6341),C6341*F6341,"")</f>
        <v/>
      </c>
    </row>
    <row r="6342" spans="1:7" ht="12" customHeight="1" outlineLevel="2" x14ac:dyDescent="0.2">
      <c r="A6342" s="14" t="s">
        <v>12493</v>
      </c>
      <c r="B6342" s="15" t="s">
        <v>12494</v>
      </c>
      <c r="C6342" s="16">
        <f>124.4/(1+B2)</f>
        <v>124.4</v>
      </c>
      <c r="D6342" s="17" t="s">
        <v>11</v>
      </c>
      <c r="E6342" s="17"/>
      <c r="F6342" s="18"/>
      <c r="G6342" s="36" t="str">
        <f>IF(ISNUMBER(F6342),C6342*F6342,"")</f>
        <v/>
      </c>
    </row>
    <row r="6343" spans="1:7" ht="12" customHeight="1" outlineLevel="2" x14ac:dyDescent="0.2">
      <c r="A6343" s="14" t="s">
        <v>12495</v>
      </c>
      <c r="B6343" s="15" t="s">
        <v>12496</v>
      </c>
      <c r="C6343" s="16">
        <f>182.71/(1+B2)</f>
        <v>182.71</v>
      </c>
      <c r="D6343" s="17" t="s">
        <v>11</v>
      </c>
      <c r="E6343" s="17"/>
      <c r="F6343" s="18"/>
      <c r="G6343" s="36" t="str">
        <f>IF(ISNUMBER(F6343),C6343*F6343,"")</f>
        <v/>
      </c>
    </row>
    <row r="6344" spans="1:7" s="1" customFormat="1" ht="15.95" customHeight="1" outlineLevel="1" x14ac:dyDescent="0.25">
      <c r="A6344" s="11"/>
      <c r="B6344" s="12" t="s">
        <v>12497</v>
      </c>
      <c r="C6344" s="13"/>
      <c r="D6344" s="13"/>
      <c r="E6344" s="13"/>
      <c r="F6344" s="13"/>
      <c r="G6344" s="35"/>
    </row>
    <row r="6345" spans="1:7" ht="12" customHeight="1" outlineLevel="2" x14ac:dyDescent="0.2">
      <c r="A6345" s="14" t="s">
        <v>12498</v>
      </c>
      <c r="B6345" s="15" t="s">
        <v>12499</v>
      </c>
      <c r="C6345" s="16">
        <f>398.25/(1+B2)</f>
        <v>398.25</v>
      </c>
      <c r="D6345" s="17" t="s">
        <v>11</v>
      </c>
      <c r="E6345" s="17"/>
      <c r="F6345" s="18"/>
      <c r="G6345" s="36" t="str">
        <f>IF(ISNUMBER(F6345),C6345*F6345,"")</f>
        <v/>
      </c>
    </row>
    <row r="6346" spans="1:7" ht="24" customHeight="1" outlineLevel="2" x14ac:dyDescent="0.2">
      <c r="A6346" s="14" t="s">
        <v>12500</v>
      </c>
      <c r="B6346" s="15" t="s">
        <v>12501</v>
      </c>
      <c r="C6346" s="16">
        <f>530.36/(1+B2)</f>
        <v>530.36</v>
      </c>
      <c r="D6346" s="17" t="s">
        <v>11</v>
      </c>
      <c r="E6346" s="17"/>
      <c r="F6346" s="18"/>
      <c r="G6346" s="36" t="str">
        <f>IF(ISNUMBER(F6346),C6346*F6346,"")</f>
        <v/>
      </c>
    </row>
    <row r="6347" spans="1:7" ht="12" customHeight="1" outlineLevel="2" x14ac:dyDescent="0.2">
      <c r="A6347" s="14" t="s">
        <v>12502</v>
      </c>
      <c r="B6347" s="15" t="s">
        <v>12503</v>
      </c>
      <c r="C6347" s="16">
        <f>430.62/(1+B2)</f>
        <v>430.62</v>
      </c>
      <c r="D6347" s="17" t="s">
        <v>11</v>
      </c>
      <c r="E6347" s="17"/>
      <c r="F6347" s="18"/>
      <c r="G6347" s="36" t="str">
        <f>IF(ISNUMBER(F6347),C6347*F6347,"")</f>
        <v/>
      </c>
    </row>
    <row r="6348" spans="1:7" ht="12" customHeight="1" outlineLevel="2" x14ac:dyDescent="0.2">
      <c r="A6348" s="14" t="s">
        <v>12504</v>
      </c>
      <c r="B6348" s="15" t="s">
        <v>12505</v>
      </c>
      <c r="C6348" s="16">
        <f>204.57/(1+B2)</f>
        <v>204.57</v>
      </c>
      <c r="D6348" s="17" t="s">
        <v>11</v>
      </c>
      <c r="E6348" s="17"/>
      <c r="F6348" s="18"/>
      <c r="G6348" s="36" t="str">
        <f>IF(ISNUMBER(F6348),C6348*F6348,"")</f>
        <v/>
      </c>
    </row>
    <row r="6349" spans="1:7" ht="12" customHeight="1" outlineLevel="2" x14ac:dyDescent="0.2">
      <c r="A6349" s="14" t="s">
        <v>12506</v>
      </c>
      <c r="B6349" s="15" t="s">
        <v>12507</v>
      </c>
      <c r="C6349" s="16">
        <f>373.4/(1+B2)</f>
        <v>373.4</v>
      </c>
      <c r="D6349" s="17" t="s">
        <v>11</v>
      </c>
      <c r="E6349" s="17"/>
      <c r="F6349" s="18"/>
      <c r="G6349" s="36" t="str">
        <f>IF(ISNUMBER(F6349),C6349*F6349,"")</f>
        <v/>
      </c>
    </row>
    <row r="6350" spans="1:7" ht="12" customHeight="1" outlineLevel="2" x14ac:dyDescent="0.2">
      <c r="A6350" s="14" t="s">
        <v>12508</v>
      </c>
      <c r="B6350" s="15" t="s">
        <v>12509</v>
      </c>
      <c r="C6350" s="16">
        <f>101.61/(1+B2)</f>
        <v>101.61</v>
      </c>
      <c r="D6350" s="17" t="s">
        <v>11</v>
      </c>
      <c r="E6350" s="17"/>
      <c r="F6350" s="18"/>
      <c r="G6350" s="36" t="str">
        <f>IF(ISNUMBER(F6350),C6350*F6350,"")</f>
        <v/>
      </c>
    </row>
    <row r="6351" spans="1:7" ht="12" customHeight="1" outlineLevel="2" x14ac:dyDescent="0.2">
      <c r="A6351" s="14" t="s">
        <v>12510</v>
      </c>
      <c r="B6351" s="15" t="s">
        <v>12511</v>
      </c>
      <c r="C6351" s="16">
        <f>103.59/(1+B2)</f>
        <v>103.59</v>
      </c>
      <c r="D6351" s="17" t="s">
        <v>11</v>
      </c>
      <c r="E6351" s="17"/>
      <c r="F6351" s="18"/>
      <c r="G6351" s="36" t="str">
        <f>IF(ISNUMBER(F6351),C6351*F6351,"")</f>
        <v/>
      </c>
    </row>
    <row r="6352" spans="1:7" ht="12" customHeight="1" outlineLevel="2" x14ac:dyDescent="0.2">
      <c r="A6352" s="14" t="s">
        <v>12512</v>
      </c>
      <c r="B6352" s="15" t="s">
        <v>12513</v>
      </c>
      <c r="C6352" s="16">
        <f>64.06/(1+B2)</f>
        <v>64.06</v>
      </c>
      <c r="D6352" s="17" t="s">
        <v>11</v>
      </c>
      <c r="E6352" s="17" t="s">
        <v>14</v>
      </c>
      <c r="F6352" s="18"/>
      <c r="G6352" s="36" t="str">
        <f>IF(ISNUMBER(F6352),C6352*F6352,"")</f>
        <v/>
      </c>
    </row>
    <row r="6353" spans="1:7" ht="12" customHeight="1" outlineLevel="2" x14ac:dyDescent="0.2">
      <c r="A6353" s="14" t="s">
        <v>12514</v>
      </c>
      <c r="B6353" s="15" t="s">
        <v>12515</v>
      </c>
      <c r="C6353" s="16">
        <f>93.86/(1+B2)</f>
        <v>93.86</v>
      </c>
      <c r="D6353" s="17" t="s">
        <v>11</v>
      </c>
      <c r="E6353" s="17" t="s">
        <v>11</v>
      </c>
      <c r="F6353" s="18"/>
      <c r="G6353" s="36" t="str">
        <f>IF(ISNUMBER(F6353),C6353*F6353,"")</f>
        <v/>
      </c>
    </row>
    <row r="6354" spans="1:7" ht="12" customHeight="1" outlineLevel="2" x14ac:dyDescent="0.2">
      <c r="A6354" s="14" t="s">
        <v>12516</v>
      </c>
      <c r="B6354" s="15" t="s">
        <v>12517</v>
      </c>
      <c r="C6354" s="16">
        <f>31.85/(1+B2)</f>
        <v>31.85</v>
      </c>
      <c r="D6354" s="17" t="s">
        <v>11</v>
      </c>
      <c r="E6354" s="17" t="s">
        <v>53</v>
      </c>
      <c r="F6354" s="18"/>
      <c r="G6354" s="36" t="str">
        <f>IF(ISNUMBER(F6354),C6354*F6354,"")</f>
        <v/>
      </c>
    </row>
    <row r="6355" spans="1:7" ht="12" customHeight="1" outlineLevel="2" x14ac:dyDescent="0.2">
      <c r="A6355" s="14" t="s">
        <v>12518</v>
      </c>
      <c r="B6355" s="15" t="s">
        <v>12519</v>
      </c>
      <c r="C6355" s="16">
        <f>26.15/(1+B2)</f>
        <v>26.15</v>
      </c>
      <c r="D6355" s="17" t="s">
        <v>11</v>
      </c>
      <c r="E6355" s="17" t="s">
        <v>14</v>
      </c>
      <c r="F6355" s="18"/>
      <c r="G6355" s="36" t="str">
        <f>IF(ISNUMBER(F6355),C6355*F6355,"")</f>
        <v/>
      </c>
    </row>
    <row r="6356" spans="1:7" ht="12" customHeight="1" outlineLevel="2" x14ac:dyDescent="0.2">
      <c r="A6356" s="14" t="s">
        <v>12520</v>
      </c>
      <c r="B6356" s="15" t="s">
        <v>12521</v>
      </c>
      <c r="C6356" s="16">
        <f>30.16/(1+B2)</f>
        <v>30.16</v>
      </c>
      <c r="D6356" s="17" t="s">
        <v>11</v>
      </c>
      <c r="E6356" s="17" t="s">
        <v>14</v>
      </c>
      <c r="F6356" s="18"/>
      <c r="G6356" s="36" t="str">
        <f>IF(ISNUMBER(F6356),C6356*F6356,"")</f>
        <v/>
      </c>
    </row>
    <row r="6357" spans="1:7" ht="12" customHeight="1" outlineLevel="2" x14ac:dyDescent="0.2">
      <c r="A6357" s="14" t="s">
        <v>12522</v>
      </c>
      <c r="B6357" s="15" t="s">
        <v>12523</v>
      </c>
      <c r="C6357" s="16">
        <f>50.24/(1+B2)</f>
        <v>50.24</v>
      </c>
      <c r="D6357" s="17" t="s">
        <v>11</v>
      </c>
      <c r="E6357" s="17" t="s">
        <v>11</v>
      </c>
      <c r="F6357" s="18"/>
      <c r="G6357" s="36" t="str">
        <f>IF(ISNUMBER(F6357),C6357*F6357,"")</f>
        <v/>
      </c>
    </row>
    <row r="6358" spans="1:7" ht="12" customHeight="1" outlineLevel="2" x14ac:dyDescent="0.2">
      <c r="A6358" s="14" t="s">
        <v>12524</v>
      </c>
      <c r="B6358" s="15" t="s">
        <v>12525</v>
      </c>
      <c r="C6358" s="16">
        <f>74.12/(1+B2)</f>
        <v>74.12</v>
      </c>
      <c r="D6358" s="17" t="s">
        <v>14</v>
      </c>
      <c r="E6358" s="17"/>
      <c r="F6358" s="18"/>
      <c r="G6358" s="36" t="str">
        <f>IF(ISNUMBER(F6358),C6358*F6358,"")</f>
        <v/>
      </c>
    </row>
    <row r="6359" spans="1:7" ht="12" customHeight="1" outlineLevel="2" x14ac:dyDescent="0.2">
      <c r="A6359" s="14" t="s">
        <v>12526</v>
      </c>
      <c r="B6359" s="15" t="s">
        <v>12527</v>
      </c>
      <c r="C6359" s="16">
        <f>83.62/(1+B2)</f>
        <v>83.62</v>
      </c>
      <c r="D6359" s="17" t="s">
        <v>11</v>
      </c>
      <c r="E6359" s="17" t="s">
        <v>11</v>
      </c>
      <c r="F6359" s="18"/>
      <c r="G6359" s="36" t="str">
        <f>IF(ISNUMBER(F6359),C6359*F6359,"")</f>
        <v/>
      </c>
    </row>
    <row r="6360" spans="1:7" ht="12" customHeight="1" outlineLevel="2" x14ac:dyDescent="0.2">
      <c r="A6360" s="14" t="s">
        <v>12528</v>
      </c>
      <c r="B6360" s="15" t="s">
        <v>12529</v>
      </c>
      <c r="C6360" s="16">
        <f>73.81/(1+B2)</f>
        <v>73.81</v>
      </c>
      <c r="D6360" s="17" t="s">
        <v>11</v>
      </c>
      <c r="E6360" s="17"/>
      <c r="F6360" s="18"/>
      <c r="G6360" s="36" t="str">
        <f>IF(ISNUMBER(F6360),C6360*F6360,"")</f>
        <v/>
      </c>
    </row>
    <row r="6361" spans="1:7" ht="12" customHeight="1" outlineLevel="2" x14ac:dyDescent="0.2">
      <c r="A6361" s="14" t="s">
        <v>12530</v>
      </c>
      <c r="B6361" s="15" t="s">
        <v>12531</v>
      </c>
      <c r="C6361" s="16">
        <f>87.69/(1+B2)</f>
        <v>87.69</v>
      </c>
      <c r="D6361" s="17" t="s">
        <v>14</v>
      </c>
      <c r="E6361" s="17"/>
      <c r="F6361" s="18"/>
      <c r="G6361" s="36" t="str">
        <f>IF(ISNUMBER(F6361),C6361*F6361,"")</f>
        <v/>
      </c>
    </row>
    <row r="6362" spans="1:7" ht="24" customHeight="1" outlineLevel="2" x14ac:dyDescent="0.2">
      <c r="A6362" s="14" t="s">
        <v>12532</v>
      </c>
      <c r="B6362" s="15" t="s">
        <v>12533</v>
      </c>
      <c r="C6362" s="16">
        <f>63.37/(1+B2)</f>
        <v>63.37</v>
      </c>
      <c r="D6362" s="17" t="s">
        <v>11</v>
      </c>
      <c r="E6362" s="17"/>
      <c r="F6362" s="18"/>
      <c r="G6362" s="36" t="str">
        <f>IF(ISNUMBER(F6362),C6362*F6362,"")</f>
        <v/>
      </c>
    </row>
    <row r="6363" spans="1:7" ht="12" customHeight="1" outlineLevel="2" x14ac:dyDescent="0.2">
      <c r="A6363" s="14" t="s">
        <v>12534</v>
      </c>
      <c r="B6363" s="15" t="s">
        <v>12535</v>
      </c>
      <c r="C6363" s="16">
        <f>69.47/(1+B2)</f>
        <v>69.47</v>
      </c>
      <c r="D6363" s="17" t="s">
        <v>11</v>
      </c>
      <c r="E6363" s="17" t="s">
        <v>11</v>
      </c>
      <c r="F6363" s="18"/>
      <c r="G6363" s="36" t="str">
        <f>IF(ISNUMBER(F6363),C6363*F6363,"")</f>
        <v/>
      </c>
    </row>
    <row r="6364" spans="1:7" ht="12" customHeight="1" outlineLevel="2" x14ac:dyDescent="0.2">
      <c r="A6364" s="14" t="s">
        <v>12536</v>
      </c>
      <c r="B6364" s="15" t="s">
        <v>12537</v>
      </c>
      <c r="C6364" s="16">
        <f>463.11/(1+B2)</f>
        <v>463.11</v>
      </c>
      <c r="D6364" s="17" t="s">
        <v>11</v>
      </c>
      <c r="E6364" s="17"/>
      <c r="F6364" s="18"/>
      <c r="G6364" s="36" t="str">
        <f>IF(ISNUMBER(F6364),C6364*F6364,"")</f>
        <v/>
      </c>
    </row>
    <row r="6365" spans="1:7" ht="12" customHeight="1" outlineLevel="2" x14ac:dyDescent="0.2">
      <c r="A6365" s="14" t="s">
        <v>12538</v>
      </c>
      <c r="B6365" s="15" t="s">
        <v>12539</v>
      </c>
      <c r="C6365" s="16">
        <f>144.68/(1+B2)</f>
        <v>144.68</v>
      </c>
      <c r="D6365" s="17" t="s">
        <v>11</v>
      </c>
      <c r="E6365" s="17"/>
      <c r="F6365" s="18"/>
      <c r="G6365" s="36" t="str">
        <f>IF(ISNUMBER(F6365),C6365*F6365,"")</f>
        <v/>
      </c>
    </row>
    <row r="6366" spans="1:7" ht="12" customHeight="1" outlineLevel="2" x14ac:dyDescent="0.2">
      <c r="A6366" s="14" t="s">
        <v>12540</v>
      </c>
      <c r="B6366" s="15" t="s">
        <v>12541</v>
      </c>
      <c r="C6366" s="16">
        <f>167.42/(1+B2)</f>
        <v>167.42</v>
      </c>
      <c r="D6366" s="17" t="s">
        <v>11</v>
      </c>
      <c r="E6366" s="17"/>
      <c r="F6366" s="18"/>
      <c r="G6366" s="36" t="str">
        <f>IF(ISNUMBER(F6366),C6366*F6366,"")</f>
        <v/>
      </c>
    </row>
    <row r="6367" spans="1:7" ht="12" customHeight="1" outlineLevel="2" x14ac:dyDescent="0.2">
      <c r="A6367" s="14" t="s">
        <v>12542</v>
      </c>
      <c r="B6367" s="15" t="s">
        <v>12543</v>
      </c>
      <c r="C6367" s="16">
        <f>136.85/(1+B2)</f>
        <v>136.85</v>
      </c>
      <c r="D6367" s="17" t="s">
        <v>14</v>
      </c>
      <c r="E6367" s="17"/>
      <c r="F6367" s="18"/>
      <c r="G6367" s="36" t="str">
        <f>IF(ISNUMBER(F6367),C6367*F6367,"")</f>
        <v/>
      </c>
    </row>
    <row r="6368" spans="1:7" ht="12" customHeight="1" outlineLevel="2" x14ac:dyDescent="0.2">
      <c r="A6368" s="14" t="s">
        <v>12544</v>
      </c>
      <c r="B6368" s="15" t="s">
        <v>12545</v>
      </c>
      <c r="C6368" s="16">
        <f>52.52/(1+B2)</f>
        <v>52.52</v>
      </c>
      <c r="D6368" s="17" t="s">
        <v>11</v>
      </c>
      <c r="E6368" s="17"/>
      <c r="F6368" s="18"/>
      <c r="G6368" s="36" t="str">
        <f>IF(ISNUMBER(F6368),C6368*F6368,"")</f>
        <v/>
      </c>
    </row>
    <row r="6369" spans="1:7" ht="12" customHeight="1" outlineLevel="2" x14ac:dyDescent="0.2">
      <c r="A6369" s="14" t="s">
        <v>12546</v>
      </c>
      <c r="B6369" s="15" t="s">
        <v>12547</v>
      </c>
      <c r="C6369" s="16">
        <f>70.37/(1+B2)</f>
        <v>70.37</v>
      </c>
      <c r="D6369" s="17" t="s">
        <v>11</v>
      </c>
      <c r="E6369" s="17"/>
      <c r="F6369" s="18"/>
      <c r="G6369" s="36" t="str">
        <f>IF(ISNUMBER(F6369),C6369*F6369,"")</f>
        <v/>
      </c>
    </row>
    <row r="6370" spans="1:7" ht="12" customHeight="1" outlineLevel="2" x14ac:dyDescent="0.2">
      <c r="A6370" s="14" t="s">
        <v>12548</v>
      </c>
      <c r="B6370" s="15" t="s">
        <v>12549</v>
      </c>
      <c r="C6370" s="16">
        <f>87.44/(1+B2)</f>
        <v>87.44</v>
      </c>
      <c r="D6370" s="17" t="s">
        <v>11</v>
      </c>
      <c r="E6370" s="17"/>
      <c r="F6370" s="18"/>
      <c r="G6370" s="36" t="str">
        <f>IF(ISNUMBER(F6370),C6370*F6370,"")</f>
        <v/>
      </c>
    </row>
    <row r="6371" spans="1:7" ht="12" customHeight="1" outlineLevel="2" x14ac:dyDescent="0.2">
      <c r="A6371" s="14" t="s">
        <v>12550</v>
      </c>
      <c r="B6371" s="15" t="s">
        <v>12551</v>
      </c>
      <c r="C6371" s="16">
        <f>70.61/(1+B2)</f>
        <v>70.61</v>
      </c>
      <c r="D6371" s="17" t="s">
        <v>11</v>
      </c>
      <c r="E6371" s="17"/>
      <c r="F6371" s="18"/>
      <c r="G6371" s="36" t="str">
        <f>IF(ISNUMBER(F6371),C6371*F6371,"")</f>
        <v/>
      </c>
    </row>
    <row r="6372" spans="1:7" ht="12" customHeight="1" outlineLevel="2" x14ac:dyDescent="0.2">
      <c r="A6372" s="14" t="s">
        <v>12552</v>
      </c>
      <c r="B6372" s="15" t="s">
        <v>12553</v>
      </c>
      <c r="C6372" s="16">
        <f>101.39/(1+B2)</f>
        <v>101.39</v>
      </c>
      <c r="D6372" s="17" t="s">
        <v>11</v>
      </c>
      <c r="E6372" s="17"/>
      <c r="F6372" s="18"/>
      <c r="G6372" s="36" t="str">
        <f>IF(ISNUMBER(F6372),C6372*F6372,"")</f>
        <v/>
      </c>
    </row>
    <row r="6373" spans="1:7" ht="12" customHeight="1" outlineLevel="2" x14ac:dyDescent="0.2">
      <c r="A6373" s="14" t="s">
        <v>12554</v>
      </c>
      <c r="B6373" s="15" t="s">
        <v>12555</v>
      </c>
      <c r="C6373" s="16">
        <f>58.08/(1+B2)</f>
        <v>58.08</v>
      </c>
      <c r="D6373" s="17" t="s">
        <v>14</v>
      </c>
      <c r="E6373" s="17"/>
      <c r="F6373" s="18"/>
      <c r="G6373" s="36" t="str">
        <f>IF(ISNUMBER(F6373),C6373*F6373,"")</f>
        <v/>
      </c>
    </row>
    <row r="6374" spans="1:7" ht="12" customHeight="1" outlineLevel="2" x14ac:dyDescent="0.2">
      <c r="A6374" s="14" t="s">
        <v>12556</v>
      </c>
      <c r="B6374" s="15" t="s">
        <v>12557</v>
      </c>
      <c r="C6374" s="16">
        <f>101.75/(1+B2)</f>
        <v>101.75</v>
      </c>
      <c r="D6374" s="17" t="s">
        <v>11</v>
      </c>
      <c r="E6374" s="17" t="s">
        <v>11</v>
      </c>
      <c r="F6374" s="18"/>
      <c r="G6374" s="36" t="str">
        <f>IF(ISNUMBER(F6374),C6374*F6374,"")</f>
        <v/>
      </c>
    </row>
    <row r="6375" spans="1:7" ht="12" customHeight="1" outlineLevel="2" x14ac:dyDescent="0.2">
      <c r="A6375" s="14" t="s">
        <v>12558</v>
      </c>
      <c r="B6375" s="15" t="s">
        <v>12559</v>
      </c>
      <c r="C6375" s="16">
        <f>153.31/(1+B2)</f>
        <v>153.31</v>
      </c>
      <c r="D6375" s="17" t="s">
        <v>11</v>
      </c>
      <c r="E6375" s="17"/>
      <c r="F6375" s="18"/>
      <c r="G6375" s="36" t="str">
        <f>IF(ISNUMBER(F6375),C6375*F6375,"")</f>
        <v/>
      </c>
    </row>
    <row r="6376" spans="1:7" ht="12" customHeight="1" outlineLevel="2" x14ac:dyDescent="0.2">
      <c r="A6376" s="14" t="s">
        <v>12560</v>
      </c>
      <c r="B6376" s="15" t="s">
        <v>12561</v>
      </c>
      <c r="C6376" s="16">
        <f>153.31/(1+B2)</f>
        <v>153.31</v>
      </c>
      <c r="D6376" s="17" t="s">
        <v>11</v>
      </c>
      <c r="E6376" s="17"/>
      <c r="F6376" s="18"/>
      <c r="G6376" s="36" t="str">
        <f>IF(ISNUMBER(F6376),C6376*F6376,"")</f>
        <v/>
      </c>
    </row>
    <row r="6377" spans="1:7" ht="12" customHeight="1" outlineLevel="2" x14ac:dyDescent="0.2">
      <c r="A6377" s="14" t="s">
        <v>12562</v>
      </c>
      <c r="B6377" s="15" t="s">
        <v>12563</v>
      </c>
      <c r="C6377" s="16">
        <f>75.58/(1+B2)</f>
        <v>75.58</v>
      </c>
      <c r="D6377" s="17" t="s">
        <v>11</v>
      </c>
      <c r="E6377" s="17"/>
      <c r="F6377" s="18"/>
      <c r="G6377" s="36" t="str">
        <f>IF(ISNUMBER(F6377),C6377*F6377,"")</f>
        <v/>
      </c>
    </row>
    <row r="6378" spans="1:7" s="1" customFormat="1" ht="15.95" customHeight="1" outlineLevel="1" x14ac:dyDescent="0.25">
      <c r="A6378" s="11"/>
      <c r="B6378" s="12" t="s">
        <v>12564</v>
      </c>
      <c r="C6378" s="13"/>
      <c r="D6378" s="13"/>
      <c r="E6378" s="13"/>
      <c r="F6378" s="13"/>
      <c r="G6378" s="35"/>
    </row>
    <row r="6379" spans="1:7" ht="12" customHeight="1" outlineLevel="2" x14ac:dyDescent="0.2">
      <c r="A6379" s="14" t="s">
        <v>12565</v>
      </c>
      <c r="B6379" s="15" t="s">
        <v>12566</v>
      </c>
      <c r="C6379" s="16">
        <f>260.43/(1+B2)</f>
        <v>260.43</v>
      </c>
      <c r="D6379" s="17" t="s">
        <v>11</v>
      </c>
      <c r="E6379" s="17"/>
      <c r="F6379" s="18"/>
      <c r="G6379" s="36" t="str">
        <f>IF(ISNUMBER(F6379),C6379*F6379,"")</f>
        <v/>
      </c>
    </row>
    <row r="6380" spans="1:7" ht="12" customHeight="1" outlineLevel="2" x14ac:dyDescent="0.2">
      <c r="A6380" s="14" t="s">
        <v>12567</v>
      </c>
      <c r="B6380" s="15" t="s">
        <v>12568</v>
      </c>
      <c r="C6380" s="16">
        <f>184.14/(1+B2)</f>
        <v>184.14</v>
      </c>
      <c r="D6380" s="17" t="s">
        <v>11</v>
      </c>
      <c r="E6380" s="17"/>
      <c r="F6380" s="18"/>
      <c r="G6380" s="36" t="str">
        <f>IF(ISNUMBER(F6380),C6380*F6380,"")</f>
        <v/>
      </c>
    </row>
    <row r="6381" spans="1:7" ht="24" customHeight="1" outlineLevel="2" x14ac:dyDescent="0.2">
      <c r="A6381" s="14" t="s">
        <v>12569</v>
      </c>
      <c r="B6381" s="15" t="s">
        <v>12570</v>
      </c>
      <c r="C6381" s="16">
        <f>84.97/(1+B2)</f>
        <v>84.97</v>
      </c>
      <c r="D6381" s="17" t="s">
        <v>11</v>
      </c>
      <c r="E6381" s="17" t="s">
        <v>11</v>
      </c>
      <c r="F6381" s="18"/>
      <c r="G6381" s="36" t="str">
        <f>IF(ISNUMBER(F6381),C6381*F6381,"")</f>
        <v/>
      </c>
    </row>
    <row r="6382" spans="1:7" ht="12" customHeight="1" outlineLevel="2" x14ac:dyDescent="0.2">
      <c r="A6382" s="14" t="s">
        <v>12571</v>
      </c>
      <c r="B6382" s="15" t="s">
        <v>12572</v>
      </c>
      <c r="C6382" s="16">
        <f>479.32/(1+B2)</f>
        <v>479.32</v>
      </c>
      <c r="D6382" s="17" t="s">
        <v>11</v>
      </c>
      <c r="E6382" s="17"/>
      <c r="F6382" s="18"/>
      <c r="G6382" s="36" t="str">
        <f>IF(ISNUMBER(F6382),C6382*F6382,"")</f>
        <v/>
      </c>
    </row>
    <row r="6383" spans="1:7" ht="12" customHeight="1" outlineLevel="2" x14ac:dyDescent="0.2">
      <c r="A6383" s="14" t="s">
        <v>12573</v>
      </c>
      <c r="B6383" s="15" t="s">
        <v>12574</v>
      </c>
      <c r="C6383" s="16">
        <f>743.95/(1+B2)</f>
        <v>743.95</v>
      </c>
      <c r="D6383" s="17" t="s">
        <v>11</v>
      </c>
      <c r="E6383" s="17"/>
      <c r="F6383" s="18"/>
      <c r="G6383" s="36" t="str">
        <f>IF(ISNUMBER(F6383),C6383*F6383,"")</f>
        <v/>
      </c>
    </row>
    <row r="6384" spans="1:7" ht="12" customHeight="1" outlineLevel="2" x14ac:dyDescent="0.2">
      <c r="A6384" s="14" t="s">
        <v>12575</v>
      </c>
      <c r="B6384" s="15" t="s">
        <v>12576</v>
      </c>
      <c r="C6384" s="16">
        <f>44.93/(1+B2)</f>
        <v>44.93</v>
      </c>
      <c r="D6384" s="17" t="s">
        <v>53</v>
      </c>
      <c r="E6384" s="17"/>
      <c r="F6384" s="18"/>
      <c r="G6384" s="36" t="str">
        <f>IF(ISNUMBER(F6384),C6384*F6384,"")</f>
        <v/>
      </c>
    </row>
    <row r="6385" spans="1:7" ht="12" customHeight="1" outlineLevel="2" x14ac:dyDescent="0.2">
      <c r="A6385" s="14" t="s">
        <v>12577</v>
      </c>
      <c r="B6385" s="15" t="s">
        <v>12578</v>
      </c>
      <c r="C6385" s="16">
        <f>105.06/(1+B2)</f>
        <v>105.06</v>
      </c>
      <c r="D6385" s="17" t="s">
        <v>14</v>
      </c>
      <c r="E6385" s="17"/>
      <c r="F6385" s="18"/>
      <c r="G6385" s="36" t="str">
        <f>IF(ISNUMBER(F6385),C6385*F6385,"")</f>
        <v/>
      </c>
    </row>
    <row r="6386" spans="1:7" s="1" customFormat="1" ht="15.95" customHeight="1" outlineLevel="1" x14ac:dyDescent="0.25">
      <c r="A6386" s="11"/>
      <c r="B6386" s="12" t="s">
        <v>12579</v>
      </c>
      <c r="C6386" s="13"/>
      <c r="D6386" s="13"/>
      <c r="E6386" s="13"/>
      <c r="F6386" s="13"/>
      <c r="G6386" s="35"/>
    </row>
    <row r="6387" spans="1:7" ht="12" customHeight="1" outlineLevel="2" x14ac:dyDescent="0.2">
      <c r="A6387" s="14" t="s">
        <v>12580</v>
      </c>
      <c r="B6387" s="15" t="s">
        <v>12581</v>
      </c>
      <c r="C6387" s="16">
        <f>60.48/(1+B2)</f>
        <v>60.48</v>
      </c>
      <c r="D6387" s="17" t="s">
        <v>11</v>
      </c>
      <c r="E6387" s="17"/>
      <c r="F6387" s="18"/>
      <c r="G6387" s="36" t="str">
        <f>IF(ISNUMBER(F6387),C6387*F6387,"")</f>
        <v/>
      </c>
    </row>
    <row r="6388" spans="1:7" ht="24" customHeight="1" outlineLevel="2" x14ac:dyDescent="0.2">
      <c r="A6388" s="14" t="s">
        <v>12582</v>
      </c>
      <c r="B6388" s="15" t="s">
        <v>12583</v>
      </c>
      <c r="C6388" s="16">
        <f>68.99/(1+B2)</f>
        <v>68.989999999999995</v>
      </c>
      <c r="D6388" s="17" t="s">
        <v>11</v>
      </c>
      <c r="E6388" s="17"/>
      <c r="F6388" s="18"/>
      <c r="G6388" s="36" t="str">
        <f>IF(ISNUMBER(F6388),C6388*F6388,"")</f>
        <v/>
      </c>
    </row>
    <row r="6389" spans="1:7" ht="12" customHeight="1" outlineLevel="2" x14ac:dyDescent="0.2">
      <c r="A6389" s="14" t="s">
        <v>12584</v>
      </c>
      <c r="B6389" s="15" t="s">
        <v>12585</v>
      </c>
      <c r="C6389" s="16">
        <f>40.5/(1+B2)</f>
        <v>40.5</v>
      </c>
      <c r="D6389" s="17" t="s">
        <v>11</v>
      </c>
      <c r="E6389" s="17"/>
      <c r="F6389" s="18"/>
      <c r="G6389" s="36" t="str">
        <f>IF(ISNUMBER(F6389),C6389*F6389,"")</f>
        <v/>
      </c>
    </row>
    <row r="6390" spans="1:7" ht="12" customHeight="1" outlineLevel="2" x14ac:dyDescent="0.2">
      <c r="A6390" s="14" t="s">
        <v>12586</v>
      </c>
      <c r="B6390" s="15" t="s">
        <v>12587</v>
      </c>
      <c r="C6390" s="16">
        <f>37.8/(1+B2)</f>
        <v>37.799999999999997</v>
      </c>
      <c r="D6390" s="17" t="s">
        <v>11</v>
      </c>
      <c r="E6390" s="17"/>
      <c r="F6390" s="18"/>
      <c r="G6390" s="36" t="str">
        <f>IF(ISNUMBER(F6390),C6390*F6390,"")</f>
        <v/>
      </c>
    </row>
    <row r="6391" spans="1:7" ht="12" customHeight="1" outlineLevel="2" x14ac:dyDescent="0.2">
      <c r="A6391" s="14" t="s">
        <v>12588</v>
      </c>
      <c r="B6391" s="15" t="s">
        <v>12589</v>
      </c>
      <c r="C6391" s="16">
        <f>24.16/(1+B2)</f>
        <v>24.16</v>
      </c>
      <c r="D6391" s="17" t="s">
        <v>11</v>
      </c>
      <c r="E6391" s="17"/>
      <c r="F6391" s="18"/>
      <c r="G6391" s="36" t="str">
        <f>IF(ISNUMBER(F6391),C6391*F6391,"")</f>
        <v/>
      </c>
    </row>
    <row r="6392" spans="1:7" ht="12" customHeight="1" outlineLevel="2" x14ac:dyDescent="0.2">
      <c r="A6392" s="14" t="s">
        <v>12590</v>
      </c>
      <c r="B6392" s="15" t="s">
        <v>12591</v>
      </c>
      <c r="C6392" s="16">
        <f>47.34/(1+B2)</f>
        <v>47.34</v>
      </c>
      <c r="D6392" s="17" t="s">
        <v>11</v>
      </c>
      <c r="E6392" s="17"/>
      <c r="F6392" s="18"/>
      <c r="G6392" s="36" t="str">
        <f>IF(ISNUMBER(F6392),C6392*F6392,"")</f>
        <v/>
      </c>
    </row>
    <row r="6393" spans="1:7" ht="12" customHeight="1" outlineLevel="2" x14ac:dyDescent="0.2">
      <c r="A6393" s="14" t="s">
        <v>12592</v>
      </c>
      <c r="B6393" s="15" t="s">
        <v>12593</v>
      </c>
      <c r="C6393" s="16">
        <f>57.5/(1+B2)</f>
        <v>57.5</v>
      </c>
      <c r="D6393" s="17" t="s">
        <v>11</v>
      </c>
      <c r="E6393" s="17"/>
      <c r="F6393" s="18"/>
      <c r="G6393" s="36" t="str">
        <f>IF(ISNUMBER(F6393),C6393*F6393,"")</f>
        <v/>
      </c>
    </row>
    <row r="6394" spans="1:7" ht="12" customHeight="1" outlineLevel="2" x14ac:dyDescent="0.2">
      <c r="A6394" s="14" t="s">
        <v>12594</v>
      </c>
      <c r="B6394" s="15" t="s">
        <v>12595</v>
      </c>
      <c r="C6394" s="16">
        <f>54.24/(1+B2)</f>
        <v>54.24</v>
      </c>
      <c r="D6394" s="17" t="s">
        <v>11</v>
      </c>
      <c r="E6394" s="17"/>
      <c r="F6394" s="18"/>
      <c r="G6394" s="36" t="str">
        <f>IF(ISNUMBER(F6394),C6394*F6394,"")</f>
        <v/>
      </c>
    </row>
    <row r="6395" spans="1:7" ht="12" customHeight="1" outlineLevel="2" x14ac:dyDescent="0.2">
      <c r="A6395" s="14" t="s">
        <v>12596</v>
      </c>
      <c r="B6395" s="15" t="s">
        <v>12597</v>
      </c>
      <c r="C6395" s="16">
        <f>30.08/(1+B2)</f>
        <v>30.08</v>
      </c>
      <c r="D6395" s="17" t="s">
        <v>11</v>
      </c>
      <c r="E6395" s="17"/>
      <c r="F6395" s="18"/>
      <c r="G6395" s="36" t="str">
        <f>IF(ISNUMBER(F6395),C6395*F6395,"")</f>
        <v/>
      </c>
    </row>
    <row r="6396" spans="1:7" ht="12" customHeight="1" outlineLevel="2" x14ac:dyDescent="0.2">
      <c r="A6396" s="14" t="s">
        <v>12598</v>
      </c>
      <c r="B6396" s="15" t="s">
        <v>12599</v>
      </c>
      <c r="C6396" s="16">
        <f>45.93/(1+B2)</f>
        <v>45.93</v>
      </c>
      <c r="D6396" s="17" t="s">
        <v>14</v>
      </c>
      <c r="E6396" s="17"/>
      <c r="F6396" s="18"/>
      <c r="G6396" s="36" t="str">
        <f>IF(ISNUMBER(F6396),C6396*F6396,"")</f>
        <v/>
      </c>
    </row>
    <row r="6397" spans="1:7" ht="12" customHeight="1" outlineLevel="2" x14ac:dyDescent="0.2">
      <c r="A6397" s="14" t="s">
        <v>12600</v>
      </c>
      <c r="B6397" s="15" t="s">
        <v>12601</v>
      </c>
      <c r="C6397" s="16">
        <f>31.98/(1+B2)</f>
        <v>31.98</v>
      </c>
      <c r="D6397" s="17" t="s">
        <v>14</v>
      </c>
      <c r="E6397" s="17"/>
      <c r="F6397" s="18"/>
      <c r="G6397" s="36" t="str">
        <f>IF(ISNUMBER(F6397),C6397*F6397,"")</f>
        <v/>
      </c>
    </row>
    <row r="6398" spans="1:7" ht="24" customHeight="1" outlineLevel="2" x14ac:dyDescent="0.2">
      <c r="A6398" s="14" t="s">
        <v>12602</v>
      </c>
      <c r="B6398" s="15" t="s">
        <v>12603</v>
      </c>
      <c r="C6398" s="16">
        <f>34.16/(1+B2)</f>
        <v>34.159999999999997</v>
      </c>
      <c r="D6398" s="17" t="s">
        <v>11</v>
      </c>
      <c r="E6398" s="17"/>
      <c r="F6398" s="18"/>
      <c r="G6398" s="36" t="str">
        <f>IF(ISNUMBER(F6398),C6398*F6398,"")</f>
        <v/>
      </c>
    </row>
    <row r="6399" spans="1:7" ht="12" customHeight="1" outlineLevel="2" x14ac:dyDescent="0.2">
      <c r="A6399" s="14" t="s">
        <v>12604</v>
      </c>
      <c r="B6399" s="15" t="s">
        <v>12605</v>
      </c>
      <c r="C6399" s="16">
        <f>63.9/(1+B2)</f>
        <v>63.9</v>
      </c>
      <c r="D6399" s="17" t="s">
        <v>11</v>
      </c>
      <c r="E6399" s="17"/>
      <c r="F6399" s="18"/>
      <c r="G6399" s="36" t="str">
        <f>IF(ISNUMBER(F6399),C6399*F6399,"")</f>
        <v/>
      </c>
    </row>
    <row r="6400" spans="1:7" ht="12" customHeight="1" outlineLevel="2" x14ac:dyDescent="0.2">
      <c r="A6400" s="14" t="s">
        <v>12606</v>
      </c>
      <c r="B6400" s="15" t="s">
        <v>12607</v>
      </c>
      <c r="C6400" s="16">
        <f>36.54/(1+B2)</f>
        <v>36.54</v>
      </c>
      <c r="D6400" s="17" t="s">
        <v>11</v>
      </c>
      <c r="E6400" s="17"/>
      <c r="F6400" s="18"/>
      <c r="G6400" s="36" t="str">
        <f>IF(ISNUMBER(F6400),C6400*F6400,"")</f>
        <v/>
      </c>
    </row>
    <row r="6401" spans="1:7" ht="12" customHeight="1" outlineLevel="2" x14ac:dyDescent="0.2">
      <c r="A6401" s="14" t="s">
        <v>12608</v>
      </c>
      <c r="B6401" s="15" t="s">
        <v>12609</v>
      </c>
      <c r="C6401" s="16">
        <f>73.94/(1+B2)</f>
        <v>73.94</v>
      </c>
      <c r="D6401" s="17" t="s">
        <v>11</v>
      </c>
      <c r="E6401" s="17"/>
      <c r="F6401" s="18"/>
      <c r="G6401" s="36" t="str">
        <f>IF(ISNUMBER(F6401),C6401*F6401,"")</f>
        <v/>
      </c>
    </row>
    <row r="6402" spans="1:7" ht="12" customHeight="1" outlineLevel="2" x14ac:dyDescent="0.2">
      <c r="A6402" s="14" t="s">
        <v>12610</v>
      </c>
      <c r="B6402" s="15" t="s">
        <v>12611</v>
      </c>
      <c r="C6402" s="16">
        <f>43.13/(1+B2)</f>
        <v>43.13</v>
      </c>
      <c r="D6402" s="17" t="s">
        <v>11</v>
      </c>
      <c r="E6402" s="17"/>
      <c r="F6402" s="18"/>
      <c r="G6402" s="36" t="str">
        <f>IF(ISNUMBER(F6402),C6402*F6402,"")</f>
        <v/>
      </c>
    </row>
    <row r="6403" spans="1:7" ht="12" customHeight="1" outlineLevel="2" x14ac:dyDescent="0.2">
      <c r="A6403" s="14" t="s">
        <v>12612</v>
      </c>
      <c r="B6403" s="15" t="s">
        <v>12613</v>
      </c>
      <c r="C6403" s="16">
        <f>38.36/(1+B2)</f>
        <v>38.36</v>
      </c>
      <c r="D6403" s="17" t="s">
        <v>11</v>
      </c>
      <c r="E6403" s="17"/>
      <c r="F6403" s="18"/>
      <c r="G6403" s="36" t="str">
        <f>IF(ISNUMBER(F6403),C6403*F6403,"")</f>
        <v/>
      </c>
    </row>
    <row r="6404" spans="1:7" ht="12" customHeight="1" outlineLevel="2" x14ac:dyDescent="0.2">
      <c r="A6404" s="14" t="s">
        <v>12614</v>
      </c>
      <c r="B6404" s="15" t="s">
        <v>12615</v>
      </c>
      <c r="C6404" s="16">
        <f>59.38/(1+B2)</f>
        <v>59.38</v>
      </c>
      <c r="D6404" s="17" t="s">
        <v>14</v>
      </c>
      <c r="E6404" s="17"/>
      <c r="F6404" s="18"/>
      <c r="G6404" s="36" t="str">
        <f>IF(ISNUMBER(F6404),C6404*F6404,"")</f>
        <v/>
      </c>
    </row>
    <row r="6405" spans="1:7" ht="24" customHeight="1" outlineLevel="2" x14ac:dyDescent="0.2">
      <c r="A6405" s="14" t="s">
        <v>12616</v>
      </c>
      <c r="B6405" s="15" t="s">
        <v>12617</v>
      </c>
      <c r="C6405" s="16">
        <f>36.1/(1+B2)</f>
        <v>36.1</v>
      </c>
      <c r="D6405" s="17" t="s">
        <v>11</v>
      </c>
      <c r="E6405" s="17"/>
      <c r="F6405" s="18"/>
      <c r="G6405" s="36" t="str">
        <f>IF(ISNUMBER(F6405),C6405*F6405,"")</f>
        <v/>
      </c>
    </row>
    <row r="6406" spans="1:7" ht="24" customHeight="1" outlineLevel="2" x14ac:dyDescent="0.2">
      <c r="A6406" s="14" t="s">
        <v>12618</v>
      </c>
      <c r="B6406" s="15" t="s">
        <v>12619</v>
      </c>
      <c r="C6406" s="16">
        <f>53.23/(1+B2)</f>
        <v>53.23</v>
      </c>
      <c r="D6406" s="17" t="s">
        <v>11</v>
      </c>
      <c r="E6406" s="17"/>
      <c r="F6406" s="18"/>
      <c r="G6406" s="36" t="str">
        <f>IF(ISNUMBER(F6406),C6406*F6406,"")</f>
        <v/>
      </c>
    </row>
    <row r="6407" spans="1:7" ht="12" customHeight="1" outlineLevel="2" x14ac:dyDescent="0.2">
      <c r="A6407" s="14" t="s">
        <v>12620</v>
      </c>
      <c r="B6407" s="15" t="s">
        <v>12621</v>
      </c>
      <c r="C6407" s="16">
        <f>44.23/(1+B2)</f>
        <v>44.23</v>
      </c>
      <c r="D6407" s="17" t="s">
        <v>11</v>
      </c>
      <c r="E6407" s="17"/>
      <c r="F6407" s="18"/>
      <c r="G6407" s="36" t="str">
        <f>IF(ISNUMBER(F6407),C6407*F6407,"")</f>
        <v/>
      </c>
    </row>
    <row r="6408" spans="1:7" ht="24" customHeight="1" outlineLevel="2" x14ac:dyDescent="0.2">
      <c r="A6408" s="14" t="s">
        <v>12622</v>
      </c>
      <c r="B6408" s="15" t="s">
        <v>12623</v>
      </c>
      <c r="C6408" s="16">
        <f>53.23/(1+B2)</f>
        <v>53.23</v>
      </c>
      <c r="D6408" s="17" t="s">
        <v>11</v>
      </c>
      <c r="E6408" s="17"/>
      <c r="F6408" s="18"/>
      <c r="G6408" s="36" t="str">
        <f>IF(ISNUMBER(F6408),C6408*F6408,"")</f>
        <v/>
      </c>
    </row>
    <row r="6409" spans="1:7" ht="24" customHeight="1" outlineLevel="2" x14ac:dyDescent="0.2">
      <c r="A6409" s="14" t="s">
        <v>12624</v>
      </c>
      <c r="B6409" s="15" t="s">
        <v>12625</v>
      </c>
      <c r="C6409" s="16">
        <f>53.23/(1+B2)</f>
        <v>53.23</v>
      </c>
      <c r="D6409" s="17" t="s">
        <v>11</v>
      </c>
      <c r="E6409" s="17"/>
      <c r="F6409" s="18"/>
      <c r="G6409" s="36" t="str">
        <f>IF(ISNUMBER(F6409),C6409*F6409,"")</f>
        <v/>
      </c>
    </row>
    <row r="6410" spans="1:7" ht="24" customHeight="1" outlineLevel="2" x14ac:dyDescent="0.2">
      <c r="A6410" s="14" t="s">
        <v>12626</v>
      </c>
      <c r="B6410" s="15" t="s">
        <v>12627</v>
      </c>
      <c r="C6410" s="16">
        <f>88.84/(1+B2)</f>
        <v>88.84</v>
      </c>
      <c r="D6410" s="17" t="s">
        <v>11</v>
      </c>
      <c r="E6410" s="17"/>
      <c r="F6410" s="18"/>
      <c r="G6410" s="36" t="str">
        <f>IF(ISNUMBER(F6410),C6410*F6410,"")</f>
        <v/>
      </c>
    </row>
    <row r="6411" spans="1:7" ht="12" customHeight="1" outlineLevel="2" x14ac:dyDescent="0.2">
      <c r="A6411" s="14" t="s">
        <v>12628</v>
      </c>
      <c r="B6411" s="15" t="s">
        <v>12629</v>
      </c>
      <c r="C6411" s="16">
        <f>40.25/(1+B2)</f>
        <v>40.25</v>
      </c>
      <c r="D6411" s="17" t="s">
        <v>11</v>
      </c>
      <c r="E6411" s="17"/>
      <c r="F6411" s="18"/>
      <c r="G6411" s="36" t="str">
        <f>IF(ISNUMBER(F6411),C6411*F6411,"")</f>
        <v/>
      </c>
    </row>
    <row r="6412" spans="1:7" ht="24" customHeight="1" outlineLevel="2" x14ac:dyDescent="0.2">
      <c r="A6412" s="14" t="s">
        <v>12630</v>
      </c>
      <c r="B6412" s="15" t="s">
        <v>12631</v>
      </c>
      <c r="C6412" s="16">
        <f>29.54/(1+B2)</f>
        <v>29.54</v>
      </c>
      <c r="D6412" s="17" t="s">
        <v>11</v>
      </c>
      <c r="E6412" s="17"/>
      <c r="F6412" s="18"/>
      <c r="G6412" s="36" t="str">
        <f>IF(ISNUMBER(F6412),C6412*F6412,"")</f>
        <v/>
      </c>
    </row>
    <row r="6413" spans="1:7" ht="12" customHeight="1" outlineLevel="2" x14ac:dyDescent="0.2">
      <c r="A6413" s="14" t="s">
        <v>12632</v>
      </c>
      <c r="B6413" s="15" t="s">
        <v>12633</v>
      </c>
      <c r="C6413" s="16">
        <f>39.94/(1+B2)</f>
        <v>39.94</v>
      </c>
      <c r="D6413" s="17" t="s">
        <v>11</v>
      </c>
      <c r="E6413" s="17"/>
      <c r="F6413" s="18"/>
      <c r="G6413" s="36" t="str">
        <f>IF(ISNUMBER(F6413),C6413*F6413,"")</f>
        <v/>
      </c>
    </row>
    <row r="6414" spans="1:7" ht="12" customHeight="1" outlineLevel="2" x14ac:dyDescent="0.2">
      <c r="A6414" s="14" t="s">
        <v>12634</v>
      </c>
      <c r="B6414" s="15" t="s">
        <v>12635</v>
      </c>
      <c r="C6414" s="16">
        <f>52.99/(1+B2)</f>
        <v>52.99</v>
      </c>
      <c r="D6414" s="17" t="s">
        <v>11</v>
      </c>
      <c r="E6414" s="17"/>
      <c r="F6414" s="18"/>
      <c r="G6414" s="36" t="str">
        <f>IF(ISNUMBER(F6414),C6414*F6414,"")</f>
        <v/>
      </c>
    </row>
    <row r="6415" spans="1:7" ht="12" customHeight="1" outlineLevel="2" x14ac:dyDescent="0.2">
      <c r="A6415" s="14" t="s">
        <v>12636</v>
      </c>
      <c r="B6415" s="15" t="s">
        <v>12637</v>
      </c>
      <c r="C6415" s="16">
        <f>125/(1+B2)</f>
        <v>125</v>
      </c>
      <c r="D6415" s="17" t="s">
        <v>11</v>
      </c>
      <c r="E6415" s="17"/>
      <c r="F6415" s="18"/>
      <c r="G6415" s="36" t="str">
        <f>IF(ISNUMBER(F6415),C6415*F6415,"")</f>
        <v/>
      </c>
    </row>
    <row r="6416" spans="1:7" ht="12" customHeight="1" outlineLevel="2" x14ac:dyDescent="0.2">
      <c r="A6416" s="14" t="s">
        <v>12638</v>
      </c>
      <c r="B6416" s="15" t="s">
        <v>12639</v>
      </c>
      <c r="C6416" s="16">
        <f>27.41/(1+B2)</f>
        <v>27.41</v>
      </c>
      <c r="D6416" s="17" t="s">
        <v>11</v>
      </c>
      <c r="E6416" s="17" t="s">
        <v>14</v>
      </c>
      <c r="F6416" s="18"/>
      <c r="G6416" s="36" t="str">
        <f>IF(ISNUMBER(F6416),C6416*F6416,"")</f>
        <v/>
      </c>
    </row>
    <row r="6417" spans="1:7" ht="12" customHeight="1" outlineLevel="2" x14ac:dyDescent="0.2">
      <c r="A6417" s="14" t="s">
        <v>12640</v>
      </c>
      <c r="B6417" s="15" t="s">
        <v>12641</v>
      </c>
      <c r="C6417" s="16">
        <f>28.32/(1+B2)</f>
        <v>28.32</v>
      </c>
      <c r="D6417" s="17" t="s">
        <v>11</v>
      </c>
      <c r="E6417" s="17"/>
      <c r="F6417" s="18"/>
      <c r="G6417" s="36" t="str">
        <f>IF(ISNUMBER(F6417),C6417*F6417,"")</f>
        <v/>
      </c>
    </row>
    <row r="6418" spans="1:7" ht="12" customHeight="1" outlineLevel="2" x14ac:dyDescent="0.2">
      <c r="A6418" s="14" t="s">
        <v>12642</v>
      </c>
      <c r="B6418" s="15" t="s">
        <v>12643</v>
      </c>
      <c r="C6418" s="16">
        <f>99.4/(1+B2)</f>
        <v>99.4</v>
      </c>
      <c r="D6418" s="17" t="s">
        <v>11</v>
      </c>
      <c r="E6418" s="17"/>
      <c r="F6418" s="18"/>
      <c r="G6418" s="36" t="str">
        <f>IF(ISNUMBER(F6418),C6418*F6418,"")</f>
        <v/>
      </c>
    </row>
    <row r="6419" spans="1:7" ht="12" customHeight="1" outlineLevel="2" x14ac:dyDescent="0.2">
      <c r="A6419" s="14" t="s">
        <v>12644</v>
      </c>
      <c r="B6419" s="15" t="s">
        <v>12645</v>
      </c>
      <c r="C6419" s="16">
        <f>59.63/(1+B2)</f>
        <v>59.63</v>
      </c>
      <c r="D6419" s="17" t="s">
        <v>14</v>
      </c>
      <c r="E6419" s="17"/>
      <c r="F6419" s="18"/>
      <c r="G6419" s="36" t="str">
        <f>IF(ISNUMBER(F6419),C6419*F6419,"")</f>
        <v/>
      </c>
    </row>
    <row r="6420" spans="1:7" ht="12" customHeight="1" outlineLevel="2" x14ac:dyDescent="0.2">
      <c r="A6420" s="14" t="s">
        <v>12646</v>
      </c>
      <c r="B6420" s="15" t="s">
        <v>12647</v>
      </c>
      <c r="C6420" s="16">
        <f>101.83/(1+B2)</f>
        <v>101.83</v>
      </c>
      <c r="D6420" s="17" t="s">
        <v>11</v>
      </c>
      <c r="E6420" s="17"/>
      <c r="F6420" s="18"/>
      <c r="G6420" s="36" t="str">
        <f>IF(ISNUMBER(F6420),C6420*F6420,"")</f>
        <v/>
      </c>
    </row>
    <row r="6421" spans="1:7" ht="12" customHeight="1" outlineLevel="2" x14ac:dyDescent="0.2">
      <c r="A6421" s="14" t="s">
        <v>12648</v>
      </c>
      <c r="B6421" s="15" t="s">
        <v>12649</v>
      </c>
      <c r="C6421" s="16">
        <f>40.44/(1+B2)</f>
        <v>40.44</v>
      </c>
      <c r="D6421" s="17" t="s">
        <v>11</v>
      </c>
      <c r="E6421" s="17"/>
      <c r="F6421" s="18"/>
      <c r="G6421" s="36" t="str">
        <f>IF(ISNUMBER(F6421),C6421*F6421,"")</f>
        <v/>
      </c>
    </row>
    <row r="6422" spans="1:7" ht="12" customHeight="1" outlineLevel="2" x14ac:dyDescent="0.2">
      <c r="A6422" s="14" t="s">
        <v>12650</v>
      </c>
      <c r="B6422" s="15" t="s">
        <v>12651</v>
      </c>
      <c r="C6422" s="16">
        <f>132.47/(1+B2)</f>
        <v>132.47</v>
      </c>
      <c r="D6422" s="17" t="s">
        <v>11</v>
      </c>
      <c r="E6422" s="17"/>
      <c r="F6422" s="18"/>
      <c r="G6422" s="36" t="str">
        <f>IF(ISNUMBER(F6422),C6422*F6422,"")</f>
        <v/>
      </c>
    </row>
    <row r="6423" spans="1:7" ht="12" customHeight="1" outlineLevel="2" x14ac:dyDescent="0.2">
      <c r="A6423" s="14" t="s">
        <v>12652</v>
      </c>
      <c r="B6423" s="15" t="s">
        <v>12653</v>
      </c>
      <c r="C6423" s="16">
        <f>68.52/(1+B2)</f>
        <v>68.52</v>
      </c>
      <c r="D6423" s="17" t="s">
        <v>11</v>
      </c>
      <c r="E6423" s="17"/>
      <c r="F6423" s="18"/>
      <c r="G6423" s="36" t="str">
        <f>IF(ISNUMBER(F6423),C6423*F6423,"")</f>
        <v/>
      </c>
    </row>
    <row r="6424" spans="1:7" ht="12" customHeight="1" outlineLevel="2" x14ac:dyDescent="0.2">
      <c r="A6424" s="14" t="s">
        <v>12654</v>
      </c>
      <c r="B6424" s="15" t="s">
        <v>12655</v>
      </c>
      <c r="C6424" s="16">
        <f>79.51/(1+B2)</f>
        <v>79.510000000000005</v>
      </c>
      <c r="D6424" s="17" t="s">
        <v>11</v>
      </c>
      <c r="E6424" s="17"/>
      <c r="F6424" s="18"/>
      <c r="G6424" s="36" t="str">
        <f>IF(ISNUMBER(F6424),C6424*F6424,"")</f>
        <v/>
      </c>
    </row>
    <row r="6425" spans="1:7" ht="12" customHeight="1" outlineLevel="2" x14ac:dyDescent="0.2">
      <c r="A6425" s="14" t="s">
        <v>12656</v>
      </c>
      <c r="B6425" s="15" t="s">
        <v>12657</v>
      </c>
      <c r="C6425" s="16">
        <f>115.73/(1+B2)</f>
        <v>115.73</v>
      </c>
      <c r="D6425" s="17" t="s">
        <v>11</v>
      </c>
      <c r="E6425" s="17"/>
      <c r="F6425" s="18"/>
      <c r="G6425" s="36" t="str">
        <f>IF(ISNUMBER(F6425),C6425*F6425,"")</f>
        <v/>
      </c>
    </row>
    <row r="6426" spans="1:7" ht="12" customHeight="1" outlineLevel="2" x14ac:dyDescent="0.2">
      <c r="A6426" s="14" t="s">
        <v>12658</v>
      </c>
      <c r="B6426" s="15" t="s">
        <v>12659</v>
      </c>
      <c r="C6426" s="16">
        <f>99.4/(1+B2)</f>
        <v>99.4</v>
      </c>
      <c r="D6426" s="17" t="s">
        <v>11</v>
      </c>
      <c r="E6426" s="17"/>
      <c r="F6426" s="18"/>
      <c r="G6426" s="36" t="str">
        <f>IF(ISNUMBER(F6426),C6426*F6426,"")</f>
        <v/>
      </c>
    </row>
    <row r="6427" spans="1:7" ht="12" customHeight="1" outlineLevel="2" x14ac:dyDescent="0.2">
      <c r="A6427" s="14" t="s">
        <v>12660</v>
      </c>
      <c r="B6427" s="15" t="s">
        <v>12661</v>
      </c>
      <c r="C6427" s="16">
        <f>64.61/(1+B2)</f>
        <v>64.61</v>
      </c>
      <c r="D6427" s="17" t="s">
        <v>11</v>
      </c>
      <c r="E6427" s="17"/>
      <c r="F6427" s="18"/>
      <c r="G6427" s="36" t="str">
        <f>IF(ISNUMBER(F6427),C6427*F6427,"")</f>
        <v/>
      </c>
    </row>
    <row r="6428" spans="1:7" ht="12" customHeight="1" outlineLevel="2" x14ac:dyDescent="0.2">
      <c r="A6428" s="14" t="s">
        <v>12662</v>
      </c>
      <c r="B6428" s="15" t="s">
        <v>12663</v>
      </c>
      <c r="C6428" s="16">
        <f>100.49/(1+B2)</f>
        <v>100.49</v>
      </c>
      <c r="D6428" s="17" t="s">
        <v>11</v>
      </c>
      <c r="E6428" s="17"/>
      <c r="F6428" s="18"/>
      <c r="G6428" s="36" t="str">
        <f>IF(ISNUMBER(F6428),C6428*F6428,"")</f>
        <v/>
      </c>
    </row>
    <row r="6429" spans="1:7" ht="12" customHeight="1" outlineLevel="2" x14ac:dyDescent="0.2">
      <c r="A6429" s="14" t="s">
        <v>12664</v>
      </c>
      <c r="B6429" s="15" t="s">
        <v>12665</v>
      </c>
      <c r="C6429" s="16">
        <f>31.98/(1+B2)</f>
        <v>31.98</v>
      </c>
      <c r="D6429" s="17" t="s">
        <v>11</v>
      </c>
      <c r="E6429" s="17"/>
      <c r="F6429" s="18"/>
      <c r="G6429" s="36" t="str">
        <f>IF(ISNUMBER(F6429),C6429*F6429,"")</f>
        <v/>
      </c>
    </row>
    <row r="6430" spans="1:7" ht="24" customHeight="1" outlineLevel="2" x14ac:dyDescent="0.2">
      <c r="A6430" s="14" t="s">
        <v>12666</v>
      </c>
      <c r="B6430" s="15" t="s">
        <v>12667</v>
      </c>
      <c r="C6430" s="16">
        <f>74.48/(1+B2)</f>
        <v>74.48</v>
      </c>
      <c r="D6430" s="17" t="s">
        <v>53</v>
      </c>
      <c r="E6430" s="17"/>
      <c r="F6430" s="18"/>
      <c r="G6430" s="36" t="str">
        <f>IF(ISNUMBER(F6430),C6430*F6430,"")</f>
        <v/>
      </c>
    </row>
    <row r="6431" spans="1:7" ht="24" customHeight="1" outlineLevel="2" x14ac:dyDescent="0.2">
      <c r="A6431" s="14" t="s">
        <v>12668</v>
      </c>
      <c r="B6431" s="15" t="s">
        <v>12669</v>
      </c>
      <c r="C6431" s="16">
        <f>74.24/(1+B2)</f>
        <v>74.239999999999995</v>
      </c>
      <c r="D6431" s="17" t="s">
        <v>14</v>
      </c>
      <c r="E6431" s="17"/>
      <c r="F6431" s="18"/>
      <c r="G6431" s="36" t="str">
        <f>IF(ISNUMBER(F6431),C6431*F6431,"")</f>
        <v/>
      </c>
    </row>
    <row r="6432" spans="1:7" ht="12" customHeight="1" outlineLevel="2" x14ac:dyDescent="0.2">
      <c r="A6432" s="14" t="s">
        <v>12670</v>
      </c>
      <c r="B6432" s="15" t="s">
        <v>12671</v>
      </c>
      <c r="C6432" s="16">
        <f>105.23/(1+B2)</f>
        <v>105.23</v>
      </c>
      <c r="D6432" s="17" t="s">
        <v>11</v>
      </c>
      <c r="E6432" s="17"/>
      <c r="F6432" s="18"/>
      <c r="G6432" s="36" t="str">
        <f>IF(ISNUMBER(F6432),C6432*F6432,"")</f>
        <v/>
      </c>
    </row>
    <row r="6433" spans="1:7" ht="12" customHeight="1" outlineLevel="2" x14ac:dyDescent="0.2">
      <c r="A6433" s="14" t="s">
        <v>12672</v>
      </c>
      <c r="B6433" s="15" t="s">
        <v>12673</v>
      </c>
      <c r="C6433" s="16">
        <f>30.16/(1+B2)</f>
        <v>30.16</v>
      </c>
      <c r="D6433" s="17" t="s">
        <v>11</v>
      </c>
      <c r="E6433" s="17"/>
      <c r="F6433" s="18"/>
      <c r="G6433" s="36" t="str">
        <f>IF(ISNUMBER(F6433),C6433*F6433,"")</f>
        <v/>
      </c>
    </row>
    <row r="6434" spans="1:7" ht="12" customHeight="1" outlineLevel="2" x14ac:dyDescent="0.2">
      <c r="A6434" s="14" t="s">
        <v>12674</v>
      </c>
      <c r="B6434" s="15" t="s">
        <v>12675</v>
      </c>
      <c r="C6434" s="16">
        <f>35.94/(1+B2)</f>
        <v>35.94</v>
      </c>
      <c r="D6434" s="17" t="s">
        <v>11</v>
      </c>
      <c r="E6434" s="17"/>
      <c r="F6434" s="18"/>
      <c r="G6434" s="36" t="str">
        <f>IF(ISNUMBER(F6434),C6434*F6434,"")</f>
        <v/>
      </c>
    </row>
    <row r="6435" spans="1:7" ht="12" customHeight="1" outlineLevel="2" x14ac:dyDescent="0.2">
      <c r="A6435" s="14" t="s">
        <v>12676</v>
      </c>
      <c r="B6435" s="15" t="s">
        <v>12677</v>
      </c>
      <c r="C6435" s="16">
        <f>32.88/(1+B2)</f>
        <v>32.880000000000003</v>
      </c>
      <c r="D6435" s="17" t="s">
        <v>11</v>
      </c>
      <c r="E6435" s="17"/>
      <c r="F6435" s="18"/>
      <c r="G6435" s="36" t="str">
        <f>IF(ISNUMBER(F6435),C6435*F6435,"")</f>
        <v/>
      </c>
    </row>
    <row r="6436" spans="1:7" ht="12" customHeight="1" outlineLevel="2" x14ac:dyDescent="0.2">
      <c r="A6436" s="14" t="s">
        <v>12678</v>
      </c>
      <c r="B6436" s="15" t="s">
        <v>12679</v>
      </c>
      <c r="C6436" s="16">
        <f>36.54/(1+B2)</f>
        <v>36.54</v>
      </c>
      <c r="D6436" s="17" t="s">
        <v>11</v>
      </c>
      <c r="E6436" s="17"/>
      <c r="F6436" s="18"/>
      <c r="G6436" s="36" t="str">
        <f>IF(ISNUMBER(F6436),C6436*F6436,"")</f>
        <v/>
      </c>
    </row>
    <row r="6437" spans="1:7" ht="12" customHeight="1" outlineLevel="2" x14ac:dyDescent="0.2">
      <c r="A6437" s="14" t="s">
        <v>12680</v>
      </c>
      <c r="B6437" s="15" t="s">
        <v>12681</v>
      </c>
      <c r="C6437" s="16">
        <f>58.46/(1+B2)</f>
        <v>58.46</v>
      </c>
      <c r="D6437" s="17" t="s">
        <v>11</v>
      </c>
      <c r="E6437" s="17"/>
      <c r="F6437" s="18"/>
      <c r="G6437" s="36" t="str">
        <f>IF(ISNUMBER(F6437),C6437*F6437,"")</f>
        <v/>
      </c>
    </row>
    <row r="6438" spans="1:7" ht="12" customHeight="1" outlineLevel="2" x14ac:dyDescent="0.2">
      <c r="A6438" s="14" t="s">
        <v>12682</v>
      </c>
      <c r="B6438" s="15" t="s">
        <v>12683</v>
      </c>
      <c r="C6438" s="16">
        <f>177.71/(1+B2)</f>
        <v>177.71</v>
      </c>
      <c r="D6438" s="17" t="s">
        <v>11</v>
      </c>
      <c r="E6438" s="17"/>
      <c r="F6438" s="18"/>
      <c r="G6438" s="36" t="str">
        <f>IF(ISNUMBER(F6438),C6438*F6438,"")</f>
        <v/>
      </c>
    </row>
    <row r="6439" spans="1:7" ht="12" customHeight="1" outlineLevel="2" x14ac:dyDescent="0.2">
      <c r="A6439" s="14" t="s">
        <v>12684</v>
      </c>
      <c r="B6439" s="15" t="s">
        <v>12685</v>
      </c>
      <c r="C6439" s="16">
        <f>116.28/(1+B2)</f>
        <v>116.28</v>
      </c>
      <c r="D6439" s="17" t="s">
        <v>11</v>
      </c>
      <c r="E6439" s="17"/>
      <c r="F6439" s="18"/>
      <c r="G6439" s="36" t="str">
        <f>IF(ISNUMBER(F6439),C6439*F6439,"")</f>
        <v/>
      </c>
    </row>
    <row r="6440" spans="1:7" ht="12" customHeight="1" outlineLevel="2" x14ac:dyDescent="0.2">
      <c r="A6440" s="14" t="s">
        <v>12686</v>
      </c>
      <c r="B6440" s="15" t="s">
        <v>12687</v>
      </c>
      <c r="C6440" s="16">
        <f>164.44/(1+B2)</f>
        <v>164.44</v>
      </c>
      <c r="D6440" s="17" t="s">
        <v>11</v>
      </c>
      <c r="E6440" s="17"/>
      <c r="F6440" s="18"/>
      <c r="G6440" s="36" t="str">
        <f>IF(ISNUMBER(F6440),C6440*F6440,"")</f>
        <v/>
      </c>
    </row>
    <row r="6441" spans="1:7" ht="12" customHeight="1" outlineLevel="2" x14ac:dyDescent="0.2">
      <c r="A6441" s="14" t="s">
        <v>12688</v>
      </c>
      <c r="B6441" s="15" t="s">
        <v>12689</v>
      </c>
      <c r="C6441" s="16">
        <f>39.97/(1+B2)</f>
        <v>39.97</v>
      </c>
      <c r="D6441" s="17" t="s">
        <v>11</v>
      </c>
      <c r="E6441" s="17"/>
      <c r="F6441" s="18"/>
      <c r="G6441" s="36" t="str">
        <f>IF(ISNUMBER(F6441),C6441*F6441,"")</f>
        <v/>
      </c>
    </row>
    <row r="6442" spans="1:7" ht="12" customHeight="1" outlineLevel="2" x14ac:dyDescent="0.2">
      <c r="A6442" s="14" t="s">
        <v>12690</v>
      </c>
      <c r="B6442" s="15" t="s">
        <v>12691</v>
      </c>
      <c r="C6442" s="16">
        <f>37.57/(1+B2)</f>
        <v>37.57</v>
      </c>
      <c r="D6442" s="17" t="s">
        <v>11</v>
      </c>
      <c r="E6442" s="17"/>
      <c r="F6442" s="18"/>
      <c r="G6442" s="36" t="str">
        <f>IF(ISNUMBER(F6442),C6442*F6442,"")</f>
        <v/>
      </c>
    </row>
    <row r="6443" spans="1:7" ht="24" customHeight="1" outlineLevel="2" x14ac:dyDescent="0.2">
      <c r="A6443" s="14" t="s">
        <v>12692</v>
      </c>
      <c r="B6443" s="15" t="s">
        <v>12693</v>
      </c>
      <c r="C6443" s="16">
        <f>215.74/(1+B2)</f>
        <v>215.74</v>
      </c>
      <c r="D6443" s="17" t="s">
        <v>11</v>
      </c>
      <c r="E6443" s="17"/>
      <c r="F6443" s="18"/>
      <c r="G6443" s="36" t="str">
        <f>IF(ISNUMBER(F6443),C6443*F6443,"")</f>
        <v/>
      </c>
    </row>
    <row r="6444" spans="1:7" ht="12" customHeight="1" outlineLevel="2" x14ac:dyDescent="0.2">
      <c r="A6444" s="14" t="s">
        <v>12694</v>
      </c>
      <c r="B6444" s="15" t="s">
        <v>12695</v>
      </c>
      <c r="C6444" s="16">
        <f>35.77/(1+B2)</f>
        <v>35.770000000000003</v>
      </c>
      <c r="D6444" s="17" t="s">
        <v>11</v>
      </c>
      <c r="E6444" s="17"/>
      <c r="F6444" s="18"/>
      <c r="G6444" s="36" t="str">
        <f>IF(ISNUMBER(F6444),C6444*F6444,"")</f>
        <v/>
      </c>
    </row>
    <row r="6445" spans="1:7" ht="12" customHeight="1" outlineLevel="2" x14ac:dyDescent="0.2">
      <c r="A6445" s="14" t="s">
        <v>12696</v>
      </c>
      <c r="B6445" s="15" t="s">
        <v>12697</v>
      </c>
      <c r="C6445" s="16">
        <f>44.77/(1+B2)</f>
        <v>44.77</v>
      </c>
      <c r="D6445" s="17" t="s">
        <v>11</v>
      </c>
      <c r="E6445" s="17"/>
      <c r="F6445" s="18"/>
      <c r="G6445" s="36" t="str">
        <f>IF(ISNUMBER(F6445),C6445*F6445,"")</f>
        <v/>
      </c>
    </row>
    <row r="6446" spans="1:7" ht="12" customHeight="1" outlineLevel="2" x14ac:dyDescent="0.2">
      <c r="A6446" s="14" t="s">
        <v>12698</v>
      </c>
      <c r="B6446" s="15" t="s">
        <v>12699</v>
      </c>
      <c r="C6446" s="16">
        <f>12.54/(1+B2)</f>
        <v>12.54</v>
      </c>
      <c r="D6446" s="17" t="s">
        <v>11</v>
      </c>
      <c r="E6446" s="17"/>
      <c r="F6446" s="18"/>
      <c r="G6446" s="36" t="str">
        <f>IF(ISNUMBER(F6446),C6446*F6446,"")</f>
        <v/>
      </c>
    </row>
    <row r="6447" spans="1:7" ht="24" customHeight="1" outlineLevel="2" x14ac:dyDescent="0.2">
      <c r="A6447" s="14" t="s">
        <v>12700</v>
      </c>
      <c r="B6447" s="15" t="s">
        <v>12701</v>
      </c>
      <c r="C6447" s="16">
        <f>30.74/(1+B2)</f>
        <v>30.74</v>
      </c>
      <c r="D6447" s="17" t="s">
        <v>11</v>
      </c>
      <c r="E6447" s="17"/>
      <c r="F6447" s="18"/>
      <c r="G6447" s="36" t="str">
        <f>IF(ISNUMBER(F6447),C6447*F6447,"")</f>
        <v/>
      </c>
    </row>
    <row r="6448" spans="1:7" ht="12" customHeight="1" outlineLevel="2" x14ac:dyDescent="0.2">
      <c r="A6448" s="14" t="s">
        <v>12702</v>
      </c>
      <c r="B6448" s="15" t="s">
        <v>12703</v>
      </c>
      <c r="C6448" s="16">
        <f>33.78/(1+B2)</f>
        <v>33.78</v>
      </c>
      <c r="D6448" s="17" t="s">
        <v>11</v>
      </c>
      <c r="E6448" s="17"/>
      <c r="F6448" s="18"/>
      <c r="G6448" s="36" t="str">
        <f>IF(ISNUMBER(F6448),C6448*F6448,"")</f>
        <v/>
      </c>
    </row>
    <row r="6449" spans="1:7" ht="12" customHeight="1" outlineLevel="2" x14ac:dyDescent="0.2">
      <c r="A6449" s="14" t="s">
        <v>12704</v>
      </c>
      <c r="B6449" s="15" t="s">
        <v>12705</v>
      </c>
      <c r="C6449" s="16">
        <f>57.58/(1+B2)</f>
        <v>57.58</v>
      </c>
      <c r="D6449" s="17" t="s">
        <v>11</v>
      </c>
      <c r="E6449" s="17"/>
      <c r="F6449" s="18"/>
      <c r="G6449" s="36" t="str">
        <f>IF(ISNUMBER(F6449),C6449*F6449,"")</f>
        <v/>
      </c>
    </row>
    <row r="6450" spans="1:7" ht="12" customHeight="1" outlineLevel="2" x14ac:dyDescent="0.2">
      <c r="A6450" s="14" t="s">
        <v>12706</v>
      </c>
      <c r="B6450" s="15" t="s">
        <v>12707</v>
      </c>
      <c r="C6450" s="16">
        <f>33.4/(1+B2)</f>
        <v>33.4</v>
      </c>
      <c r="D6450" s="17" t="s">
        <v>11</v>
      </c>
      <c r="E6450" s="17"/>
      <c r="F6450" s="18"/>
      <c r="G6450" s="36" t="str">
        <f>IF(ISNUMBER(F6450),C6450*F6450,"")</f>
        <v/>
      </c>
    </row>
    <row r="6451" spans="1:7" ht="12" customHeight="1" outlineLevel="2" x14ac:dyDescent="0.2">
      <c r="A6451" s="14" t="s">
        <v>12708</v>
      </c>
      <c r="B6451" s="15" t="s">
        <v>12709</v>
      </c>
      <c r="C6451" s="16">
        <f>33.4/(1+B2)</f>
        <v>33.4</v>
      </c>
      <c r="D6451" s="17" t="s">
        <v>11</v>
      </c>
      <c r="E6451" s="17"/>
      <c r="F6451" s="18"/>
      <c r="G6451" s="36" t="str">
        <f>IF(ISNUMBER(F6451),C6451*F6451,"")</f>
        <v/>
      </c>
    </row>
    <row r="6452" spans="1:7" ht="24" customHeight="1" outlineLevel="2" x14ac:dyDescent="0.2">
      <c r="A6452" s="14" t="s">
        <v>12710</v>
      </c>
      <c r="B6452" s="15" t="s">
        <v>12711</v>
      </c>
      <c r="C6452" s="16">
        <f>86.78/(1+B2)</f>
        <v>86.78</v>
      </c>
      <c r="D6452" s="17" t="s">
        <v>14</v>
      </c>
      <c r="E6452" s="17"/>
      <c r="F6452" s="18"/>
      <c r="G6452" s="36" t="str">
        <f>IF(ISNUMBER(F6452),C6452*F6452,"")</f>
        <v/>
      </c>
    </row>
    <row r="6453" spans="1:7" ht="24" customHeight="1" outlineLevel="2" x14ac:dyDescent="0.2">
      <c r="A6453" s="14" t="s">
        <v>12712</v>
      </c>
      <c r="B6453" s="15" t="s">
        <v>12713</v>
      </c>
      <c r="C6453" s="16">
        <f>27.34/(1+B2)</f>
        <v>27.34</v>
      </c>
      <c r="D6453" s="17" t="s">
        <v>11</v>
      </c>
      <c r="E6453" s="17"/>
      <c r="F6453" s="18"/>
      <c r="G6453" s="36" t="str">
        <f>IF(ISNUMBER(F6453),C6453*F6453,"")</f>
        <v/>
      </c>
    </row>
    <row r="6454" spans="1:7" ht="24" customHeight="1" outlineLevel="2" x14ac:dyDescent="0.2">
      <c r="A6454" s="14" t="s">
        <v>12714</v>
      </c>
      <c r="B6454" s="15" t="s">
        <v>12715</v>
      </c>
      <c r="C6454" s="16">
        <f>71.56/(1+B2)</f>
        <v>71.56</v>
      </c>
      <c r="D6454" s="17" t="s">
        <v>11</v>
      </c>
      <c r="E6454" s="17"/>
      <c r="F6454" s="18"/>
      <c r="G6454" s="36" t="str">
        <f>IF(ISNUMBER(F6454),C6454*F6454,"")</f>
        <v/>
      </c>
    </row>
    <row r="6455" spans="1:7" ht="24" customHeight="1" outlineLevel="2" x14ac:dyDescent="0.2">
      <c r="A6455" s="14" t="s">
        <v>12716</v>
      </c>
      <c r="B6455" s="15" t="s">
        <v>12717</v>
      </c>
      <c r="C6455" s="16">
        <f>53.66/(1+B2)</f>
        <v>53.66</v>
      </c>
      <c r="D6455" s="17" t="s">
        <v>11</v>
      </c>
      <c r="E6455" s="17"/>
      <c r="F6455" s="18"/>
      <c r="G6455" s="36" t="str">
        <f>IF(ISNUMBER(F6455),C6455*F6455,"")</f>
        <v/>
      </c>
    </row>
    <row r="6456" spans="1:7" ht="24" customHeight="1" outlineLevel="2" x14ac:dyDescent="0.2">
      <c r="A6456" s="14" t="s">
        <v>12718</v>
      </c>
      <c r="B6456" s="15" t="s">
        <v>12719</v>
      </c>
      <c r="C6456" s="16">
        <f>53.66/(1+B2)</f>
        <v>53.66</v>
      </c>
      <c r="D6456" s="17" t="s">
        <v>11</v>
      </c>
      <c r="E6456" s="17"/>
      <c r="F6456" s="18"/>
      <c r="G6456" s="36" t="str">
        <f>IF(ISNUMBER(F6456),C6456*F6456,"")</f>
        <v/>
      </c>
    </row>
    <row r="6457" spans="1:7" ht="24" customHeight="1" outlineLevel="2" x14ac:dyDescent="0.2">
      <c r="A6457" s="14" t="s">
        <v>12720</v>
      </c>
      <c r="B6457" s="15" t="s">
        <v>12721</v>
      </c>
      <c r="C6457" s="16">
        <f>31.56/(1+B2)</f>
        <v>31.56</v>
      </c>
      <c r="D6457" s="17" t="s">
        <v>14</v>
      </c>
      <c r="E6457" s="17"/>
      <c r="F6457" s="18"/>
      <c r="G6457" s="36" t="str">
        <f>IF(ISNUMBER(F6457),C6457*F6457,"")</f>
        <v/>
      </c>
    </row>
    <row r="6458" spans="1:7" ht="24" customHeight="1" outlineLevel="2" x14ac:dyDescent="0.2">
      <c r="A6458" s="14" t="s">
        <v>12722</v>
      </c>
      <c r="B6458" s="15" t="s">
        <v>12723</v>
      </c>
      <c r="C6458" s="16">
        <f>31.31/(1+B2)</f>
        <v>31.31</v>
      </c>
      <c r="D6458" s="17" t="s">
        <v>53</v>
      </c>
      <c r="E6458" s="17"/>
      <c r="F6458" s="18"/>
      <c r="G6458" s="36" t="str">
        <f>IF(ISNUMBER(F6458),C6458*F6458,"")</f>
        <v/>
      </c>
    </row>
    <row r="6459" spans="1:7" ht="24" customHeight="1" outlineLevel="2" x14ac:dyDescent="0.2">
      <c r="A6459" s="14" t="s">
        <v>12724</v>
      </c>
      <c r="B6459" s="15" t="s">
        <v>12725</v>
      </c>
      <c r="C6459" s="16">
        <f>18.65/(1+B2)</f>
        <v>18.649999999999999</v>
      </c>
      <c r="D6459" s="17" t="s">
        <v>11</v>
      </c>
      <c r="E6459" s="17"/>
      <c r="F6459" s="18"/>
      <c r="G6459" s="36" t="str">
        <f>IF(ISNUMBER(F6459),C6459*F6459,"")</f>
        <v/>
      </c>
    </row>
    <row r="6460" spans="1:7" ht="12" customHeight="1" outlineLevel="2" x14ac:dyDescent="0.2">
      <c r="A6460" s="14" t="s">
        <v>12726</v>
      </c>
      <c r="B6460" s="15" t="s">
        <v>12727</v>
      </c>
      <c r="C6460" s="16">
        <f>37.31/(1+B2)</f>
        <v>37.31</v>
      </c>
      <c r="D6460" s="17" t="s">
        <v>11</v>
      </c>
      <c r="E6460" s="17"/>
      <c r="F6460" s="18"/>
      <c r="G6460" s="36" t="str">
        <f>IF(ISNUMBER(F6460),C6460*F6460,"")</f>
        <v/>
      </c>
    </row>
    <row r="6461" spans="1:7" ht="12" customHeight="1" outlineLevel="2" x14ac:dyDescent="0.2">
      <c r="A6461" s="14" t="s">
        <v>12728</v>
      </c>
      <c r="B6461" s="15" t="s">
        <v>12729</v>
      </c>
      <c r="C6461" s="16">
        <f>42.94/(1+B2)</f>
        <v>42.94</v>
      </c>
      <c r="D6461" s="17" t="s">
        <v>11</v>
      </c>
      <c r="E6461" s="17"/>
      <c r="F6461" s="18"/>
      <c r="G6461" s="36" t="str">
        <f>IF(ISNUMBER(F6461),C6461*F6461,"")</f>
        <v/>
      </c>
    </row>
    <row r="6462" spans="1:7" ht="12" customHeight="1" outlineLevel="2" x14ac:dyDescent="0.2">
      <c r="A6462" s="14" t="s">
        <v>12730</v>
      </c>
      <c r="B6462" s="15" t="s">
        <v>12731</v>
      </c>
      <c r="C6462" s="16">
        <f>30.41/(1+B2)</f>
        <v>30.41</v>
      </c>
      <c r="D6462" s="17" t="s">
        <v>11</v>
      </c>
      <c r="E6462" s="17"/>
      <c r="F6462" s="18"/>
      <c r="G6462" s="36" t="str">
        <f>IF(ISNUMBER(F6462),C6462*F6462,"")</f>
        <v/>
      </c>
    </row>
    <row r="6463" spans="1:7" ht="12" customHeight="1" outlineLevel="2" x14ac:dyDescent="0.2">
      <c r="A6463" s="14" t="s">
        <v>12732</v>
      </c>
      <c r="B6463" s="15" t="s">
        <v>12733</v>
      </c>
      <c r="C6463" s="16">
        <f>82.26/(1+B2)</f>
        <v>82.26</v>
      </c>
      <c r="D6463" s="17" t="s">
        <v>11</v>
      </c>
      <c r="E6463" s="17"/>
      <c r="F6463" s="18"/>
      <c r="G6463" s="36" t="str">
        <f>IF(ISNUMBER(F6463),C6463*F6463,"")</f>
        <v/>
      </c>
    </row>
    <row r="6464" spans="1:7" ht="12" customHeight="1" outlineLevel="2" x14ac:dyDescent="0.2">
      <c r="A6464" s="14" t="s">
        <v>12734</v>
      </c>
      <c r="B6464" s="15" t="s">
        <v>12735</v>
      </c>
      <c r="C6464" s="16">
        <f>41.82/(1+B2)</f>
        <v>41.82</v>
      </c>
      <c r="D6464" s="17" t="s">
        <v>11</v>
      </c>
      <c r="E6464" s="17"/>
      <c r="F6464" s="18"/>
      <c r="G6464" s="36" t="str">
        <f>IF(ISNUMBER(F6464),C6464*F6464,"")</f>
        <v/>
      </c>
    </row>
    <row r="6465" spans="1:7" ht="12" customHeight="1" outlineLevel="2" x14ac:dyDescent="0.2">
      <c r="A6465" s="14" t="s">
        <v>12736</v>
      </c>
      <c r="B6465" s="15" t="s">
        <v>12737</v>
      </c>
      <c r="C6465" s="16">
        <f>109.75/(1+B2)</f>
        <v>109.75</v>
      </c>
      <c r="D6465" s="17" t="s">
        <v>11</v>
      </c>
      <c r="E6465" s="17"/>
      <c r="F6465" s="18"/>
      <c r="G6465" s="36" t="str">
        <f>IF(ISNUMBER(F6465),C6465*F6465,"")</f>
        <v/>
      </c>
    </row>
    <row r="6466" spans="1:7" ht="12" customHeight="1" outlineLevel="2" x14ac:dyDescent="0.2">
      <c r="A6466" s="14" t="s">
        <v>12738</v>
      </c>
      <c r="B6466" s="15" t="s">
        <v>12739</v>
      </c>
      <c r="C6466" s="16">
        <f>49.33/(1+B2)</f>
        <v>49.33</v>
      </c>
      <c r="D6466" s="17" t="s">
        <v>11</v>
      </c>
      <c r="E6466" s="17"/>
      <c r="F6466" s="18"/>
      <c r="G6466" s="36" t="str">
        <f>IF(ISNUMBER(F6466),C6466*F6466,"")</f>
        <v/>
      </c>
    </row>
    <row r="6467" spans="1:7" ht="12" customHeight="1" outlineLevel="2" x14ac:dyDescent="0.2">
      <c r="A6467" s="14" t="s">
        <v>12740</v>
      </c>
      <c r="B6467" s="15" t="s">
        <v>12741</v>
      </c>
      <c r="C6467" s="16">
        <f>34.54/(1+B2)</f>
        <v>34.54</v>
      </c>
      <c r="D6467" s="17" t="s">
        <v>11</v>
      </c>
      <c r="E6467" s="17"/>
      <c r="F6467" s="18"/>
      <c r="G6467" s="36" t="str">
        <f>IF(ISNUMBER(F6467),C6467*F6467,"")</f>
        <v/>
      </c>
    </row>
    <row r="6468" spans="1:7" ht="12" customHeight="1" outlineLevel="2" x14ac:dyDescent="0.2">
      <c r="A6468" s="14" t="s">
        <v>12742</v>
      </c>
      <c r="B6468" s="15" t="s">
        <v>12743</v>
      </c>
      <c r="C6468" s="16">
        <f>16.45/(1+B2)</f>
        <v>16.45</v>
      </c>
      <c r="D6468" s="17" t="s">
        <v>11</v>
      </c>
      <c r="E6468" s="17"/>
      <c r="F6468" s="18"/>
      <c r="G6468" s="36" t="str">
        <f>IF(ISNUMBER(F6468),C6468*F6468,"")</f>
        <v/>
      </c>
    </row>
    <row r="6469" spans="1:7" ht="12" customHeight="1" outlineLevel="2" x14ac:dyDescent="0.2">
      <c r="A6469" s="14" t="s">
        <v>12744</v>
      </c>
      <c r="B6469" s="15" t="s">
        <v>12745</v>
      </c>
      <c r="C6469" s="16">
        <f>22.73/(1+B2)</f>
        <v>22.73</v>
      </c>
      <c r="D6469" s="17" t="s">
        <v>11</v>
      </c>
      <c r="E6469" s="17"/>
      <c r="F6469" s="18"/>
      <c r="G6469" s="36" t="str">
        <f>IF(ISNUMBER(F6469),C6469*F6469,"")</f>
        <v/>
      </c>
    </row>
    <row r="6470" spans="1:7" ht="12" customHeight="1" outlineLevel="2" x14ac:dyDescent="0.2">
      <c r="A6470" s="14" t="s">
        <v>12746</v>
      </c>
      <c r="B6470" s="15" t="s">
        <v>12747</v>
      </c>
      <c r="C6470" s="16">
        <f>27.28/(1+B2)</f>
        <v>27.28</v>
      </c>
      <c r="D6470" s="17" t="s">
        <v>11</v>
      </c>
      <c r="E6470" s="17"/>
      <c r="F6470" s="18"/>
      <c r="G6470" s="36" t="str">
        <f>IF(ISNUMBER(F6470),C6470*F6470,"")</f>
        <v/>
      </c>
    </row>
    <row r="6471" spans="1:7" ht="12" customHeight="1" outlineLevel="2" x14ac:dyDescent="0.2">
      <c r="A6471" s="14" t="s">
        <v>12748</v>
      </c>
      <c r="B6471" s="15" t="s">
        <v>12749</v>
      </c>
      <c r="C6471" s="16">
        <f>57.91/(1+B2)</f>
        <v>57.91</v>
      </c>
      <c r="D6471" s="17" t="s">
        <v>14</v>
      </c>
      <c r="E6471" s="17"/>
      <c r="F6471" s="18"/>
      <c r="G6471" s="36" t="str">
        <f>IF(ISNUMBER(F6471),C6471*F6471,"")</f>
        <v/>
      </c>
    </row>
    <row r="6472" spans="1:7" ht="12" customHeight="1" outlineLevel="2" x14ac:dyDescent="0.2">
      <c r="A6472" s="14" t="s">
        <v>12750</v>
      </c>
      <c r="B6472" s="15" t="s">
        <v>12751</v>
      </c>
      <c r="C6472" s="16">
        <f>40.25/(1+B2)</f>
        <v>40.25</v>
      </c>
      <c r="D6472" s="17" t="s">
        <v>11</v>
      </c>
      <c r="E6472" s="17"/>
      <c r="F6472" s="18"/>
      <c r="G6472" s="36" t="str">
        <f>IF(ISNUMBER(F6472),C6472*F6472,"")</f>
        <v/>
      </c>
    </row>
    <row r="6473" spans="1:7" ht="12" customHeight="1" outlineLevel="2" x14ac:dyDescent="0.2">
      <c r="A6473" s="14" t="s">
        <v>12752</v>
      </c>
      <c r="B6473" s="15" t="s">
        <v>12753</v>
      </c>
      <c r="C6473" s="16">
        <f>36.37/(1+B2)</f>
        <v>36.369999999999997</v>
      </c>
      <c r="D6473" s="17" t="s">
        <v>14</v>
      </c>
      <c r="E6473" s="17"/>
      <c r="F6473" s="18"/>
      <c r="G6473" s="36" t="str">
        <f>IF(ISNUMBER(F6473),C6473*F6473,"")</f>
        <v/>
      </c>
    </row>
    <row r="6474" spans="1:7" ht="12" customHeight="1" outlineLevel="2" x14ac:dyDescent="0.2">
      <c r="A6474" s="14" t="s">
        <v>12754</v>
      </c>
      <c r="B6474" s="15" t="s">
        <v>12755</v>
      </c>
      <c r="C6474" s="16">
        <f>32.4/(1+B2)</f>
        <v>32.4</v>
      </c>
      <c r="D6474" s="17" t="s">
        <v>11</v>
      </c>
      <c r="E6474" s="17"/>
      <c r="F6474" s="18"/>
      <c r="G6474" s="36" t="str">
        <f>IF(ISNUMBER(F6474),C6474*F6474,"")</f>
        <v/>
      </c>
    </row>
    <row r="6475" spans="1:7" ht="12" customHeight="1" outlineLevel="2" x14ac:dyDescent="0.2">
      <c r="A6475" s="14" t="s">
        <v>12756</v>
      </c>
      <c r="B6475" s="15" t="s">
        <v>12757</v>
      </c>
      <c r="C6475" s="16">
        <f>41.72/(1+B2)</f>
        <v>41.72</v>
      </c>
      <c r="D6475" s="17" t="s">
        <v>14</v>
      </c>
      <c r="E6475" s="17"/>
      <c r="F6475" s="18"/>
      <c r="G6475" s="36" t="str">
        <f>IF(ISNUMBER(F6475),C6475*F6475,"")</f>
        <v/>
      </c>
    </row>
    <row r="6476" spans="1:7" ht="12" customHeight="1" outlineLevel="2" x14ac:dyDescent="0.2">
      <c r="A6476" s="14" t="s">
        <v>12758</v>
      </c>
      <c r="B6476" s="15" t="s">
        <v>12759</v>
      </c>
      <c r="C6476" s="16">
        <f>25.5/(1+B2)</f>
        <v>25.5</v>
      </c>
      <c r="D6476" s="17" t="s">
        <v>14</v>
      </c>
      <c r="E6476" s="17"/>
      <c r="F6476" s="18"/>
      <c r="G6476" s="36" t="str">
        <f>IF(ISNUMBER(F6476),C6476*F6476,"")</f>
        <v/>
      </c>
    </row>
    <row r="6477" spans="1:7" ht="12" customHeight="1" outlineLevel="2" x14ac:dyDescent="0.2">
      <c r="A6477" s="14" t="s">
        <v>12760</v>
      </c>
      <c r="B6477" s="15" t="s">
        <v>12761</v>
      </c>
      <c r="C6477" s="16">
        <f>91.36/(1+B2)</f>
        <v>91.36</v>
      </c>
      <c r="D6477" s="17" t="s">
        <v>11</v>
      </c>
      <c r="E6477" s="17"/>
      <c r="F6477" s="18"/>
      <c r="G6477" s="36" t="str">
        <f>IF(ISNUMBER(F6477),C6477*F6477,"")</f>
        <v/>
      </c>
    </row>
    <row r="6478" spans="1:7" ht="12" customHeight="1" outlineLevel="2" x14ac:dyDescent="0.2">
      <c r="A6478" s="14" t="s">
        <v>12762</v>
      </c>
      <c r="B6478" s="15" t="s">
        <v>12763</v>
      </c>
      <c r="C6478" s="16">
        <f>27.96/(1+B2)</f>
        <v>27.96</v>
      </c>
      <c r="D6478" s="17" t="s">
        <v>11</v>
      </c>
      <c r="E6478" s="17"/>
      <c r="F6478" s="18"/>
      <c r="G6478" s="36" t="str">
        <f>IF(ISNUMBER(F6478),C6478*F6478,"")</f>
        <v/>
      </c>
    </row>
    <row r="6479" spans="1:7" ht="12" customHeight="1" outlineLevel="2" x14ac:dyDescent="0.2">
      <c r="A6479" s="14" t="s">
        <v>12764</v>
      </c>
      <c r="B6479" s="15" t="s">
        <v>12765</v>
      </c>
      <c r="C6479" s="16">
        <f>34.94/(1+B2)</f>
        <v>34.94</v>
      </c>
      <c r="D6479" s="17" t="s">
        <v>14</v>
      </c>
      <c r="E6479" s="17"/>
      <c r="F6479" s="18"/>
      <c r="G6479" s="36" t="str">
        <f>IF(ISNUMBER(F6479),C6479*F6479,"")</f>
        <v/>
      </c>
    </row>
    <row r="6480" spans="1:7" ht="12" customHeight="1" outlineLevel="2" x14ac:dyDescent="0.2">
      <c r="A6480" s="14" t="s">
        <v>12766</v>
      </c>
      <c r="B6480" s="15" t="s">
        <v>12767</v>
      </c>
      <c r="C6480" s="16">
        <f>25.96/(1+B2)</f>
        <v>25.96</v>
      </c>
      <c r="D6480" s="17" t="s">
        <v>11</v>
      </c>
      <c r="E6480" s="17"/>
      <c r="F6480" s="18"/>
      <c r="G6480" s="36" t="str">
        <f>IF(ISNUMBER(F6480),C6480*F6480,"")</f>
        <v/>
      </c>
    </row>
    <row r="6481" spans="1:7" ht="12" customHeight="1" outlineLevel="2" x14ac:dyDescent="0.2">
      <c r="A6481" s="14" t="s">
        <v>12768</v>
      </c>
      <c r="B6481" s="15" t="s">
        <v>12769</v>
      </c>
      <c r="C6481" s="16">
        <f>43.93/(1+B2)</f>
        <v>43.93</v>
      </c>
      <c r="D6481" s="17" t="s">
        <v>11</v>
      </c>
      <c r="E6481" s="17"/>
      <c r="F6481" s="18"/>
      <c r="G6481" s="36" t="str">
        <f>IF(ISNUMBER(F6481),C6481*F6481,"")</f>
        <v/>
      </c>
    </row>
    <row r="6482" spans="1:7" ht="12" customHeight="1" outlineLevel="2" x14ac:dyDescent="0.2">
      <c r="A6482" s="14" t="s">
        <v>12770</v>
      </c>
      <c r="B6482" s="15" t="s">
        <v>12771</v>
      </c>
      <c r="C6482" s="16">
        <f>40.2/(1+B2)</f>
        <v>40.200000000000003</v>
      </c>
      <c r="D6482" s="17" t="s">
        <v>11</v>
      </c>
      <c r="E6482" s="17"/>
      <c r="F6482" s="18"/>
      <c r="G6482" s="36" t="str">
        <f>IF(ISNUMBER(F6482),C6482*F6482,"")</f>
        <v/>
      </c>
    </row>
    <row r="6483" spans="1:7" ht="12" customHeight="1" outlineLevel="2" x14ac:dyDescent="0.2">
      <c r="A6483" s="14" t="s">
        <v>12772</v>
      </c>
      <c r="B6483" s="15" t="s">
        <v>12773</v>
      </c>
      <c r="C6483" s="16">
        <f>56.28/(1+B2)</f>
        <v>56.28</v>
      </c>
      <c r="D6483" s="17" t="s">
        <v>11</v>
      </c>
      <c r="E6483" s="17"/>
      <c r="F6483" s="18"/>
      <c r="G6483" s="36" t="str">
        <f>IF(ISNUMBER(F6483),C6483*F6483,"")</f>
        <v/>
      </c>
    </row>
    <row r="6484" spans="1:7" ht="12" customHeight="1" outlineLevel="2" x14ac:dyDescent="0.2">
      <c r="A6484" s="14" t="s">
        <v>12774</v>
      </c>
      <c r="B6484" s="15" t="s">
        <v>12775</v>
      </c>
      <c r="C6484" s="16">
        <f>37.94/(1+B2)</f>
        <v>37.94</v>
      </c>
      <c r="D6484" s="17" t="s">
        <v>11</v>
      </c>
      <c r="E6484" s="17"/>
      <c r="F6484" s="18"/>
      <c r="G6484" s="36" t="str">
        <f>IF(ISNUMBER(F6484),C6484*F6484,"")</f>
        <v/>
      </c>
    </row>
    <row r="6485" spans="1:7" ht="12" customHeight="1" outlineLevel="2" x14ac:dyDescent="0.2">
      <c r="A6485" s="14" t="s">
        <v>12776</v>
      </c>
      <c r="B6485" s="15" t="s">
        <v>12777</v>
      </c>
      <c r="C6485" s="16">
        <f>12.58/(1+B2)</f>
        <v>12.58</v>
      </c>
      <c r="D6485" s="17" t="s">
        <v>53</v>
      </c>
      <c r="E6485" s="17"/>
      <c r="F6485" s="18"/>
      <c r="G6485" s="36" t="str">
        <f>IF(ISNUMBER(F6485),C6485*F6485,"")</f>
        <v/>
      </c>
    </row>
    <row r="6486" spans="1:7" ht="12" customHeight="1" outlineLevel="2" x14ac:dyDescent="0.2">
      <c r="A6486" s="14" t="s">
        <v>12778</v>
      </c>
      <c r="B6486" s="15" t="s">
        <v>12779</v>
      </c>
      <c r="C6486" s="16">
        <f>12.58/(1+B2)</f>
        <v>12.58</v>
      </c>
      <c r="D6486" s="17" t="s">
        <v>14</v>
      </c>
      <c r="E6486" s="17"/>
      <c r="F6486" s="18"/>
      <c r="G6486" s="36" t="str">
        <f>IF(ISNUMBER(F6486),C6486*F6486,"")</f>
        <v/>
      </c>
    </row>
    <row r="6487" spans="1:7" ht="12" customHeight="1" outlineLevel="2" x14ac:dyDescent="0.2">
      <c r="A6487" s="14" t="s">
        <v>12780</v>
      </c>
      <c r="B6487" s="15" t="s">
        <v>12781</v>
      </c>
      <c r="C6487" s="16">
        <f>14.62/(1+B2)</f>
        <v>14.62</v>
      </c>
      <c r="D6487" s="17" t="s">
        <v>11</v>
      </c>
      <c r="E6487" s="17"/>
      <c r="F6487" s="18"/>
      <c r="G6487" s="36" t="str">
        <f>IF(ISNUMBER(F6487),C6487*F6487,"")</f>
        <v/>
      </c>
    </row>
    <row r="6488" spans="1:7" ht="12" customHeight="1" outlineLevel="2" x14ac:dyDescent="0.2">
      <c r="A6488" s="14" t="s">
        <v>12782</v>
      </c>
      <c r="B6488" s="15" t="s">
        <v>12783</v>
      </c>
      <c r="C6488" s="16">
        <f>30.06/(1+B2)</f>
        <v>30.06</v>
      </c>
      <c r="D6488" s="17" t="s">
        <v>11</v>
      </c>
      <c r="E6488" s="17"/>
      <c r="F6488" s="18"/>
      <c r="G6488" s="36" t="str">
        <f>IF(ISNUMBER(F6488),C6488*F6488,"")</f>
        <v/>
      </c>
    </row>
    <row r="6489" spans="1:7" ht="12" customHeight="1" outlineLevel="2" x14ac:dyDescent="0.2">
      <c r="A6489" s="14" t="s">
        <v>12784</v>
      </c>
      <c r="B6489" s="15" t="s">
        <v>12785</v>
      </c>
      <c r="C6489" s="16">
        <f>71.44/(1+B2)</f>
        <v>71.44</v>
      </c>
      <c r="D6489" s="17" t="s">
        <v>11</v>
      </c>
      <c r="E6489" s="17"/>
      <c r="F6489" s="18"/>
      <c r="G6489" s="36" t="str">
        <f>IF(ISNUMBER(F6489),C6489*F6489,"")</f>
        <v/>
      </c>
    </row>
    <row r="6490" spans="1:7" ht="12" customHeight="1" outlineLevel="2" x14ac:dyDescent="0.2">
      <c r="A6490" s="14" t="s">
        <v>12786</v>
      </c>
      <c r="B6490" s="15" t="s">
        <v>12787</v>
      </c>
      <c r="C6490" s="16">
        <f>71.99/(1+B2)</f>
        <v>71.989999999999995</v>
      </c>
      <c r="D6490" s="17" t="s">
        <v>11</v>
      </c>
      <c r="E6490" s="17"/>
      <c r="F6490" s="18"/>
      <c r="G6490" s="36" t="str">
        <f>IF(ISNUMBER(F6490),C6490*F6490,"")</f>
        <v/>
      </c>
    </row>
    <row r="6491" spans="1:7" ht="12" customHeight="1" outlineLevel="2" x14ac:dyDescent="0.2">
      <c r="A6491" s="14" t="s">
        <v>12788</v>
      </c>
      <c r="B6491" s="15" t="s">
        <v>12789</v>
      </c>
      <c r="C6491" s="16">
        <f>71.86/(1+B2)</f>
        <v>71.86</v>
      </c>
      <c r="D6491" s="17" t="s">
        <v>11</v>
      </c>
      <c r="E6491" s="17"/>
      <c r="F6491" s="18"/>
      <c r="G6491" s="36" t="str">
        <f>IF(ISNUMBER(F6491),C6491*F6491,"")</f>
        <v/>
      </c>
    </row>
    <row r="6492" spans="1:7" ht="12" customHeight="1" outlineLevel="2" x14ac:dyDescent="0.2">
      <c r="A6492" s="14" t="s">
        <v>12790</v>
      </c>
      <c r="B6492" s="15" t="s">
        <v>12791</v>
      </c>
      <c r="C6492" s="16">
        <f>9.4/(1+B2)</f>
        <v>9.4</v>
      </c>
      <c r="D6492" s="17" t="s">
        <v>14</v>
      </c>
      <c r="E6492" s="17"/>
      <c r="F6492" s="18"/>
      <c r="G6492" s="36" t="str">
        <f>IF(ISNUMBER(F6492),C6492*F6492,"")</f>
        <v/>
      </c>
    </row>
    <row r="6493" spans="1:7" ht="12" customHeight="1" outlineLevel="2" x14ac:dyDescent="0.2">
      <c r="A6493" s="14" t="s">
        <v>12792</v>
      </c>
      <c r="B6493" s="15" t="s">
        <v>12793</v>
      </c>
      <c r="C6493" s="16">
        <f>9.47/(1+B2)</f>
        <v>9.4700000000000006</v>
      </c>
      <c r="D6493" s="17" t="s">
        <v>14</v>
      </c>
      <c r="E6493" s="17"/>
      <c r="F6493" s="18"/>
      <c r="G6493" s="36" t="str">
        <f>IF(ISNUMBER(F6493),C6493*F6493,"")</f>
        <v/>
      </c>
    </row>
    <row r="6494" spans="1:7" ht="12" customHeight="1" outlineLevel="2" x14ac:dyDescent="0.2">
      <c r="A6494" s="14" t="s">
        <v>12794</v>
      </c>
      <c r="B6494" s="15" t="s">
        <v>12795</v>
      </c>
      <c r="C6494" s="16">
        <f>14.04/(1+B2)</f>
        <v>14.04</v>
      </c>
      <c r="D6494" s="17" t="s">
        <v>14</v>
      </c>
      <c r="E6494" s="17"/>
      <c r="F6494" s="18"/>
      <c r="G6494" s="36" t="str">
        <f>IF(ISNUMBER(F6494),C6494*F6494,"")</f>
        <v/>
      </c>
    </row>
    <row r="6495" spans="1:7" ht="12" customHeight="1" outlineLevel="2" x14ac:dyDescent="0.2">
      <c r="A6495" s="14" t="s">
        <v>12796</v>
      </c>
      <c r="B6495" s="15" t="s">
        <v>12797</v>
      </c>
      <c r="C6495" s="16">
        <f>9.48/(1+B2)</f>
        <v>9.48</v>
      </c>
      <c r="D6495" s="17" t="s">
        <v>14</v>
      </c>
      <c r="E6495" s="17"/>
      <c r="F6495" s="18"/>
      <c r="G6495" s="36" t="str">
        <f>IF(ISNUMBER(F6495),C6495*F6495,"")</f>
        <v/>
      </c>
    </row>
    <row r="6496" spans="1:7" ht="12" customHeight="1" outlineLevel="2" x14ac:dyDescent="0.2">
      <c r="A6496" s="14" t="s">
        <v>12798</v>
      </c>
      <c r="B6496" s="15" t="s">
        <v>12799</v>
      </c>
      <c r="C6496" s="16">
        <f>94.97/(1+B2)</f>
        <v>94.97</v>
      </c>
      <c r="D6496" s="17" t="s">
        <v>11</v>
      </c>
      <c r="E6496" s="17"/>
      <c r="F6496" s="18"/>
      <c r="G6496" s="36" t="str">
        <f>IF(ISNUMBER(F6496),C6496*F6496,"")</f>
        <v/>
      </c>
    </row>
    <row r="6497" spans="1:7" ht="24" customHeight="1" outlineLevel="2" x14ac:dyDescent="0.2">
      <c r="A6497" s="14" t="s">
        <v>12800</v>
      </c>
      <c r="B6497" s="15" t="s">
        <v>12801</v>
      </c>
      <c r="C6497" s="16">
        <f>39.74/(1+B2)</f>
        <v>39.74</v>
      </c>
      <c r="D6497" s="17" t="s">
        <v>11</v>
      </c>
      <c r="E6497" s="17"/>
      <c r="F6497" s="18"/>
      <c r="G6497" s="36" t="str">
        <f>IF(ISNUMBER(F6497),C6497*F6497,"")</f>
        <v/>
      </c>
    </row>
    <row r="6498" spans="1:7" ht="24" customHeight="1" outlineLevel="2" x14ac:dyDescent="0.2">
      <c r="A6498" s="14" t="s">
        <v>12802</v>
      </c>
      <c r="B6498" s="15" t="s">
        <v>12803</v>
      </c>
      <c r="C6498" s="16">
        <f>49.69/(1+B2)</f>
        <v>49.69</v>
      </c>
      <c r="D6498" s="17" t="s">
        <v>11</v>
      </c>
      <c r="E6498" s="17"/>
      <c r="F6498" s="18"/>
      <c r="G6498" s="36" t="str">
        <f>IF(ISNUMBER(F6498),C6498*F6498,"")</f>
        <v/>
      </c>
    </row>
    <row r="6499" spans="1:7" ht="24" customHeight="1" outlineLevel="2" x14ac:dyDescent="0.2">
      <c r="A6499" s="14" t="s">
        <v>12804</v>
      </c>
      <c r="B6499" s="15" t="s">
        <v>12805</v>
      </c>
      <c r="C6499" s="16">
        <f>47.71/(1+B2)</f>
        <v>47.71</v>
      </c>
      <c r="D6499" s="17" t="s">
        <v>11</v>
      </c>
      <c r="E6499" s="17"/>
      <c r="F6499" s="18"/>
      <c r="G6499" s="36" t="str">
        <f>IF(ISNUMBER(F6499),C6499*F6499,"")</f>
        <v/>
      </c>
    </row>
    <row r="6500" spans="1:7" ht="12" customHeight="1" outlineLevel="2" x14ac:dyDescent="0.2">
      <c r="A6500" s="14" t="s">
        <v>12806</v>
      </c>
      <c r="B6500" s="15" t="s">
        <v>12807</v>
      </c>
      <c r="C6500" s="16">
        <f>109.82/(1+B2)</f>
        <v>109.82</v>
      </c>
      <c r="D6500" s="17" t="s">
        <v>11</v>
      </c>
      <c r="E6500" s="17"/>
      <c r="F6500" s="18"/>
      <c r="G6500" s="36" t="str">
        <f>IF(ISNUMBER(F6500),C6500*F6500,"")</f>
        <v/>
      </c>
    </row>
    <row r="6501" spans="1:7" ht="24" customHeight="1" outlineLevel="2" x14ac:dyDescent="0.2">
      <c r="A6501" s="14" t="s">
        <v>12808</v>
      </c>
      <c r="B6501" s="15" t="s">
        <v>12809</v>
      </c>
      <c r="C6501" s="16">
        <f>33.95/(1+B2)</f>
        <v>33.950000000000003</v>
      </c>
      <c r="D6501" s="17" t="s">
        <v>11</v>
      </c>
      <c r="E6501" s="17"/>
      <c r="F6501" s="18"/>
      <c r="G6501" s="36" t="str">
        <f>IF(ISNUMBER(F6501),C6501*F6501,"")</f>
        <v/>
      </c>
    </row>
    <row r="6502" spans="1:7" ht="24" customHeight="1" outlineLevel="2" x14ac:dyDescent="0.2">
      <c r="A6502" s="14" t="s">
        <v>12810</v>
      </c>
      <c r="B6502" s="15" t="s">
        <v>12811</v>
      </c>
      <c r="C6502" s="16">
        <f>28.62/(1+B2)</f>
        <v>28.62</v>
      </c>
      <c r="D6502" s="17" t="s">
        <v>11</v>
      </c>
      <c r="E6502" s="17"/>
      <c r="F6502" s="18"/>
      <c r="G6502" s="36" t="str">
        <f>IF(ISNUMBER(F6502),C6502*F6502,"")</f>
        <v/>
      </c>
    </row>
    <row r="6503" spans="1:7" ht="12" customHeight="1" outlineLevel="2" x14ac:dyDescent="0.2">
      <c r="A6503" s="14" t="s">
        <v>12812</v>
      </c>
      <c r="B6503" s="15" t="s">
        <v>12813</v>
      </c>
      <c r="C6503" s="16">
        <f>32.2/(1+B2)</f>
        <v>32.200000000000003</v>
      </c>
      <c r="D6503" s="17" t="s">
        <v>11</v>
      </c>
      <c r="E6503" s="17"/>
      <c r="F6503" s="18"/>
      <c r="G6503" s="36" t="str">
        <f>IF(ISNUMBER(F6503),C6503*F6503,"")</f>
        <v/>
      </c>
    </row>
    <row r="6504" spans="1:7" s="1" customFormat="1" ht="15.95" customHeight="1" outlineLevel="1" x14ac:dyDescent="0.25">
      <c r="A6504" s="11"/>
      <c r="B6504" s="12" t="s">
        <v>12814</v>
      </c>
      <c r="C6504" s="13"/>
      <c r="D6504" s="13"/>
      <c r="E6504" s="13"/>
      <c r="F6504" s="13"/>
      <c r="G6504" s="35"/>
    </row>
    <row r="6505" spans="1:7" ht="24" customHeight="1" outlineLevel="2" x14ac:dyDescent="0.2">
      <c r="A6505" s="14" t="s">
        <v>12815</v>
      </c>
      <c r="B6505" s="15" t="s">
        <v>12816</v>
      </c>
      <c r="C6505" s="16">
        <f>472.1/(1+B2)</f>
        <v>472.1</v>
      </c>
      <c r="D6505" s="17" t="s">
        <v>11</v>
      </c>
      <c r="E6505" s="17"/>
      <c r="F6505" s="18"/>
      <c r="G6505" s="36" t="str">
        <f>IF(ISNUMBER(F6505),C6505*F6505,"")</f>
        <v/>
      </c>
    </row>
    <row r="6506" spans="1:7" ht="24" customHeight="1" outlineLevel="2" x14ac:dyDescent="0.2">
      <c r="A6506" s="14" t="s">
        <v>12817</v>
      </c>
      <c r="B6506" s="15" t="s">
        <v>12818</v>
      </c>
      <c r="C6506" s="16">
        <f>461.53/(1+B2)</f>
        <v>461.53</v>
      </c>
      <c r="D6506" s="17" t="s">
        <v>11</v>
      </c>
      <c r="E6506" s="17"/>
      <c r="F6506" s="18"/>
      <c r="G6506" s="36" t="str">
        <f>IF(ISNUMBER(F6506),C6506*F6506,"")</f>
        <v/>
      </c>
    </row>
    <row r="6507" spans="1:7" ht="24" customHeight="1" outlineLevel="2" x14ac:dyDescent="0.2">
      <c r="A6507" s="14" t="s">
        <v>12819</v>
      </c>
      <c r="B6507" s="15" t="s">
        <v>12820</v>
      </c>
      <c r="C6507" s="16">
        <f>373.03/(1+B2)</f>
        <v>373.03</v>
      </c>
      <c r="D6507" s="17" t="s">
        <v>11</v>
      </c>
      <c r="E6507" s="17"/>
      <c r="F6507" s="18"/>
      <c r="G6507" s="36" t="str">
        <f>IF(ISNUMBER(F6507),C6507*F6507,"")</f>
        <v/>
      </c>
    </row>
    <row r="6508" spans="1:7" ht="12" customHeight="1" outlineLevel="2" x14ac:dyDescent="0.2">
      <c r="A6508" s="14" t="s">
        <v>12821</v>
      </c>
      <c r="B6508" s="15" t="s">
        <v>12822</v>
      </c>
      <c r="C6508" s="16">
        <f>253.15/(1+B2)</f>
        <v>253.15</v>
      </c>
      <c r="D6508" s="17" t="s">
        <v>11</v>
      </c>
      <c r="E6508" s="17"/>
      <c r="F6508" s="18"/>
      <c r="G6508" s="36" t="str">
        <f>IF(ISNUMBER(F6508),C6508*F6508,"")</f>
        <v/>
      </c>
    </row>
    <row r="6509" spans="1:7" ht="24" customHeight="1" outlineLevel="2" x14ac:dyDescent="0.2">
      <c r="A6509" s="14" t="s">
        <v>12823</v>
      </c>
      <c r="B6509" s="15" t="s">
        <v>12824</v>
      </c>
      <c r="C6509" s="16">
        <f>662.26/(1+B2)</f>
        <v>662.26</v>
      </c>
      <c r="D6509" s="17" t="s">
        <v>11</v>
      </c>
      <c r="E6509" s="17"/>
      <c r="F6509" s="18"/>
      <c r="G6509" s="36" t="str">
        <f>IF(ISNUMBER(F6509),C6509*F6509,"")</f>
        <v/>
      </c>
    </row>
    <row r="6510" spans="1:7" ht="12" customHeight="1" outlineLevel="2" x14ac:dyDescent="0.2">
      <c r="A6510" s="14" t="s">
        <v>12825</v>
      </c>
      <c r="B6510" s="15" t="s">
        <v>12826</v>
      </c>
      <c r="C6510" s="16">
        <f>365.52/(1+B2)</f>
        <v>365.52</v>
      </c>
      <c r="D6510" s="17" t="s">
        <v>11</v>
      </c>
      <c r="E6510" s="17"/>
      <c r="F6510" s="18"/>
      <c r="G6510" s="36" t="str">
        <f>IF(ISNUMBER(F6510),C6510*F6510,"")</f>
        <v/>
      </c>
    </row>
    <row r="6511" spans="1:7" ht="12" customHeight="1" outlineLevel="2" x14ac:dyDescent="0.2">
      <c r="A6511" s="14" t="s">
        <v>12827</v>
      </c>
      <c r="B6511" s="15" t="s">
        <v>12828</v>
      </c>
      <c r="C6511" s="16">
        <f>410.54/(1+B2)</f>
        <v>410.54</v>
      </c>
      <c r="D6511" s="17" t="s">
        <v>11</v>
      </c>
      <c r="E6511" s="17"/>
      <c r="F6511" s="18"/>
      <c r="G6511" s="36" t="str">
        <f>IF(ISNUMBER(F6511),C6511*F6511,"")</f>
        <v/>
      </c>
    </row>
    <row r="6512" spans="1:7" ht="12" customHeight="1" outlineLevel="2" x14ac:dyDescent="0.2">
      <c r="A6512" s="14" t="s">
        <v>12829</v>
      </c>
      <c r="B6512" s="15" t="s">
        <v>12830</v>
      </c>
      <c r="C6512" s="16">
        <f>410.54/(1+B2)</f>
        <v>410.54</v>
      </c>
      <c r="D6512" s="17" t="s">
        <v>11</v>
      </c>
      <c r="E6512" s="17"/>
      <c r="F6512" s="18"/>
      <c r="G6512" s="36" t="str">
        <f>IF(ISNUMBER(F6512),C6512*F6512,"")</f>
        <v/>
      </c>
    </row>
    <row r="6513" spans="1:7" ht="24" customHeight="1" outlineLevel="2" x14ac:dyDescent="0.2">
      <c r="A6513" s="14" t="s">
        <v>12831</v>
      </c>
      <c r="B6513" s="15" t="s">
        <v>12832</v>
      </c>
      <c r="C6513" s="16">
        <f>521.8/(1+B2)</f>
        <v>521.79999999999995</v>
      </c>
      <c r="D6513" s="17" t="s">
        <v>11</v>
      </c>
      <c r="E6513" s="17"/>
      <c r="F6513" s="18"/>
      <c r="G6513" s="36" t="str">
        <f>IF(ISNUMBER(F6513),C6513*F6513,"")</f>
        <v/>
      </c>
    </row>
    <row r="6514" spans="1:7" ht="24" customHeight="1" outlineLevel="2" x14ac:dyDescent="0.2">
      <c r="A6514" s="14" t="s">
        <v>12833</v>
      </c>
      <c r="B6514" s="15" t="s">
        <v>12834</v>
      </c>
      <c r="C6514" s="16">
        <f>669.08/(1+B2)</f>
        <v>669.08</v>
      </c>
      <c r="D6514" s="17" t="s">
        <v>11</v>
      </c>
      <c r="E6514" s="17"/>
      <c r="F6514" s="18"/>
      <c r="G6514" s="36" t="str">
        <f>IF(ISNUMBER(F6514),C6514*F6514,"")</f>
        <v/>
      </c>
    </row>
    <row r="6515" spans="1:7" ht="24" customHeight="1" outlineLevel="2" x14ac:dyDescent="0.2">
      <c r="A6515" s="14" t="s">
        <v>12835</v>
      </c>
      <c r="B6515" s="15" t="s">
        <v>12836</v>
      </c>
      <c r="C6515" s="16">
        <f>554.11/(1+B2)</f>
        <v>554.11</v>
      </c>
      <c r="D6515" s="17" t="s">
        <v>11</v>
      </c>
      <c r="E6515" s="17" t="s">
        <v>11</v>
      </c>
      <c r="F6515" s="18"/>
      <c r="G6515" s="36" t="str">
        <f>IF(ISNUMBER(F6515),C6515*F6515,"")</f>
        <v/>
      </c>
    </row>
    <row r="6516" spans="1:7" ht="24" customHeight="1" outlineLevel="2" x14ac:dyDescent="0.2">
      <c r="A6516" s="14" t="s">
        <v>12837</v>
      </c>
      <c r="B6516" s="15" t="s">
        <v>12838</v>
      </c>
      <c r="C6516" s="16">
        <f>472.1/(1+B2)</f>
        <v>472.1</v>
      </c>
      <c r="D6516" s="17" t="s">
        <v>11</v>
      </c>
      <c r="E6516" s="17"/>
      <c r="F6516" s="18"/>
      <c r="G6516" s="36" t="str">
        <f>IF(ISNUMBER(F6516),C6516*F6516,"")</f>
        <v/>
      </c>
    </row>
    <row r="6517" spans="1:7" ht="24" customHeight="1" outlineLevel="2" x14ac:dyDescent="0.2">
      <c r="A6517" s="14" t="s">
        <v>12839</v>
      </c>
      <c r="B6517" s="15" t="s">
        <v>12840</v>
      </c>
      <c r="C6517" s="16">
        <f>442.27/(1+B2)</f>
        <v>442.27</v>
      </c>
      <c r="D6517" s="17" t="s">
        <v>11</v>
      </c>
      <c r="E6517" s="17"/>
      <c r="F6517" s="18"/>
      <c r="G6517" s="36" t="str">
        <f>IF(ISNUMBER(F6517),C6517*F6517,"")</f>
        <v/>
      </c>
    </row>
    <row r="6518" spans="1:7" ht="24" customHeight="1" outlineLevel="2" x14ac:dyDescent="0.2">
      <c r="A6518" s="14" t="s">
        <v>12841</v>
      </c>
      <c r="B6518" s="15" t="s">
        <v>12842</v>
      </c>
      <c r="C6518" s="16">
        <f>386.36/(1+B2)</f>
        <v>386.36</v>
      </c>
      <c r="D6518" s="17" t="s">
        <v>11</v>
      </c>
      <c r="E6518" s="17"/>
      <c r="F6518" s="18"/>
      <c r="G6518" s="36" t="str">
        <f>IF(ISNUMBER(F6518),C6518*F6518,"")</f>
        <v/>
      </c>
    </row>
    <row r="6519" spans="1:7" ht="24" customHeight="1" outlineLevel="2" x14ac:dyDescent="0.2">
      <c r="A6519" s="14" t="s">
        <v>12843</v>
      </c>
      <c r="B6519" s="15" t="s">
        <v>12844</v>
      </c>
      <c r="C6519" s="16">
        <f>373.71/(1+B2)</f>
        <v>373.71</v>
      </c>
      <c r="D6519" s="17" t="s">
        <v>11</v>
      </c>
      <c r="E6519" s="17"/>
      <c r="F6519" s="18"/>
      <c r="G6519" s="36" t="str">
        <f>IF(ISNUMBER(F6519),C6519*F6519,"")</f>
        <v/>
      </c>
    </row>
    <row r="6520" spans="1:7" s="1" customFormat="1" ht="15.95" customHeight="1" outlineLevel="1" x14ac:dyDescent="0.25">
      <c r="A6520" s="11"/>
      <c r="B6520" s="12" t="s">
        <v>12845</v>
      </c>
      <c r="C6520" s="13"/>
      <c r="D6520" s="13"/>
      <c r="E6520" s="13"/>
      <c r="F6520" s="13"/>
      <c r="G6520" s="35"/>
    </row>
    <row r="6521" spans="1:7" ht="12" customHeight="1" outlineLevel="2" x14ac:dyDescent="0.2">
      <c r="A6521" s="14" t="s">
        <v>12846</v>
      </c>
      <c r="B6521" s="15" t="s">
        <v>12847</v>
      </c>
      <c r="C6521" s="16">
        <f>125.43/(1+B2)</f>
        <v>125.43</v>
      </c>
      <c r="D6521" s="17" t="s">
        <v>11</v>
      </c>
      <c r="E6521" s="17"/>
      <c r="F6521" s="18"/>
      <c r="G6521" s="36" t="str">
        <f>IF(ISNUMBER(F6521),C6521*F6521,"")</f>
        <v/>
      </c>
    </row>
    <row r="6522" spans="1:7" ht="24" customHeight="1" outlineLevel="2" x14ac:dyDescent="0.2">
      <c r="A6522" s="14" t="s">
        <v>12848</v>
      </c>
      <c r="B6522" s="15" t="s">
        <v>12849</v>
      </c>
      <c r="C6522" s="16">
        <f>67.95/(1+B2)</f>
        <v>67.95</v>
      </c>
      <c r="D6522" s="17" t="s">
        <v>11</v>
      </c>
      <c r="E6522" s="17"/>
      <c r="F6522" s="18"/>
      <c r="G6522" s="36" t="str">
        <f>IF(ISNUMBER(F6522),C6522*F6522,"")</f>
        <v/>
      </c>
    </row>
    <row r="6523" spans="1:7" ht="12" customHeight="1" outlineLevel="2" x14ac:dyDescent="0.2">
      <c r="A6523" s="14" t="s">
        <v>12850</v>
      </c>
      <c r="B6523" s="15" t="s">
        <v>12851</v>
      </c>
      <c r="C6523" s="16">
        <f>68.21/(1+B2)</f>
        <v>68.209999999999994</v>
      </c>
      <c r="D6523" s="17" t="s">
        <v>11</v>
      </c>
      <c r="E6523" s="17"/>
      <c r="F6523" s="18"/>
      <c r="G6523" s="36" t="str">
        <f>IF(ISNUMBER(F6523),C6523*F6523,"")</f>
        <v/>
      </c>
    </row>
    <row r="6524" spans="1:7" ht="12" customHeight="1" outlineLevel="2" x14ac:dyDescent="0.2">
      <c r="A6524" s="14" t="s">
        <v>12852</v>
      </c>
      <c r="B6524" s="15" t="s">
        <v>12853</v>
      </c>
      <c r="C6524" s="16">
        <f>63.58/(1+B2)</f>
        <v>63.58</v>
      </c>
      <c r="D6524" s="17" t="s">
        <v>11</v>
      </c>
      <c r="E6524" s="17"/>
      <c r="F6524" s="18"/>
      <c r="G6524" s="36" t="str">
        <f>IF(ISNUMBER(F6524),C6524*F6524,"")</f>
        <v/>
      </c>
    </row>
    <row r="6525" spans="1:7" ht="12" customHeight="1" outlineLevel="2" x14ac:dyDescent="0.2">
      <c r="A6525" s="14" t="s">
        <v>12854</v>
      </c>
      <c r="B6525" s="15" t="s">
        <v>12855</v>
      </c>
      <c r="C6525" s="16">
        <f>210.2/(1+B2)</f>
        <v>210.2</v>
      </c>
      <c r="D6525" s="17" t="s">
        <v>11</v>
      </c>
      <c r="E6525" s="17"/>
      <c r="F6525" s="18"/>
      <c r="G6525" s="36" t="str">
        <f>IF(ISNUMBER(F6525),C6525*F6525,"")</f>
        <v/>
      </c>
    </row>
    <row r="6526" spans="1:7" ht="24" customHeight="1" outlineLevel="2" x14ac:dyDescent="0.2">
      <c r="A6526" s="14" t="s">
        <v>12856</v>
      </c>
      <c r="B6526" s="15" t="s">
        <v>12857</v>
      </c>
      <c r="C6526" s="16">
        <f>96.06/(1+B2)</f>
        <v>96.06</v>
      </c>
      <c r="D6526" s="17" t="s">
        <v>11</v>
      </c>
      <c r="E6526" s="17"/>
      <c r="F6526" s="18"/>
      <c r="G6526" s="36" t="str">
        <f>IF(ISNUMBER(F6526),C6526*F6526,"")</f>
        <v/>
      </c>
    </row>
    <row r="6527" spans="1:7" ht="24" customHeight="1" outlineLevel="2" x14ac:dyDescent="0.2">
      <c r="A6527" s="14" t="s">
        <v>12858</v>
      </c>
      <c r="B6527" s="15" t="s">
        <v>12859</v>
      </c>
      <c r="C6527" s="16">
        <f>113.83/(1+B2)</f>
        <v>113.83</v>
      </c>
      <c r="D6527" s="17" t="s">
        <v>11</v>
      </c>
      <c r="E6527" s="17"/>
      <c r="F6527" s="18"/>
      <c r="G6527" s="36" t="str">
        <f>IF(ISNUMBER(F6527),C6527*F6527,"")</f>
        <v/>
      </c>
    </row>
    <row r="6528" spans="1:7" ht="24" customHeight="1" outlineLevel="2" x14ac:dyDescent="0.2">
      <c r="A6528" s="14" t="s">
        <v>12860</v>
      </c>
      <c r="B6528" s="15" t="s">
        <v>12861</v>
      </c>
      <c r="C6528" s="16">
        <f>141.12/(1+B2)</f>
        <v>141.12</v>
      </c>
      <c r="D6528" s="17" t="s">
        <v>11</v>
      </c>
      <c r="E6528" s="17"/>
      <c r="F6528" s="18"/>
      <c r="G6528" s="36" t="str">
        <f>IF(ISNUMBER(F6528),C6528*F6528,"")</f>
        <v/>
      </c>
    </row>
    <row r="6529" spans="1:7" ht="24" customHeight="1" outlineLevel="2" x14ac:dyDescent="0.2">
      <c r="A6529" s="14" t="s">
        <v>12862</v>
      </c>
      <c r="B6529" s="15" t="s">
        <v>12863</v>
      </c>
      <c r="C6529" s="16">
        <f>229.97/(1+B2)</f>
        <v>229.97</v>
      </c>
      <c r="D6529" s="17" t="s">
        <v>11</v>
      </c>
      <c r="E6529" s="17"/>
      <c r="F6529" s="18"/>
      <c r="G6529" s="36" t="str">
        <f>IF(ISNUMBER(F6529),C6529*F6529,"")</f>
        <v/>
      </c>
    </row>
    <row r="6530" spans="1:7" ht="12" customHeight="1" outlineLevel="2" x14ac:dyDescent="0.2">
      <c r="A6530" s="14" t="s">
        <v>12864</v>
      </c>
      <c r="B6530" s="15" t="s">
        <v>12865</v>
      </c>
      <c r="C6530" s="16">
        <f>180.12/(1+B2)</f>
        <v>180.12</v>
      </c>
      <c r="D6530" s="17" t="s">
        <v>11</v>
      </c>
      <c r="E6530" s="17"/>
      <c r="F6530" s="18"/>
      <c r="G6530" s="36" t="str">
        <f>IF(ISNUMBER(F6530),C6530*F6530,"")</f>
        <v/>
      </c>
    </row>
    <row r="6531" spans="1:7" ht="12" customHeight="1" outlineLevel="2" x14ac:dyDescent="0.2">
      <c r="A6531" s="14" t="s">
        <v>12866</v>
      </c>
      <c r="B6531" s="15" t="s">
        <v>12867</v>
      </c>
      <c r="C6531" s="16">
        <f>91.36/(1+B2)</f>
        <v>91.36</v>
      </c>
      <c r="D6531" s="17" t="s">
        <v>14</v>
      </c>
      <c r="E6531" s="17"/>
      <c r="F6531" s="18"/>
      <c r="G6531" s="36" t="str">
        <f>IF(ISNUMBER(F6531),C6531*F6531,"")</f>
        <v/>
      </c>
    </row>
    <row r="6532" spans="1:7" ht="12" customHeight="1" outlineLevel="2" x14ac:dyDescent="0.2">
      <c r="A6532" s="14" t="s">
        <v>12868</v>
      </c>
      <c r="B6532" s="15" t="s">
        <v>12869</v>
      </c>
      <c r="C6532" s="16">
        <f>339.72/(1+B2)</f>
        <v>339.72</v>
      </c>
      <c r="D6532" s="17" t="s">
        <v>11</v>
      </c>
      <c r="E6532" s="17"/>
      <c r="F6532" s="18"/>
      <c r="G6532" s="36" t="str">
        <f>IF(ISNUMBER(F6532),C6532*F6532,"")</f>
        <v/>
      </c>
    </row>
    <row r="6533" spans="1:7" ht="24" customHeight="1" outlineLevel="2" x14ac:dyDescent="0.2">
      <c r="A6533" s="14" t="s">
        <v>12870</v>
      </c>
      <c r="B6533" s="15" t="s">
        <v>12871</v>
      </c>
      <c r="C6533" s="16">
        <f>106.47/(1+B2)</f>
        <v>106.47</v>
      </c>
      <c r="D6533" s="17" t="s">
        <v>11</v>
      </c>
      <c r="E6533" s="17"/>
      <c r="F6533" s="18"/>
      <c r="G6533" s="36" t="str">
        <f>IF(ISNUMBER(F6533),C6533*F6533,"")</f>
        <v/>
      </c>
    </row>
    <row r="6534" spans="1:7" ht="12" customHeight="1" outlineLevel="2" x14ac:dyDescent="0.2">
      <c r="A6534" s="14" t="s">
        <v>12872</v>
      </c>
      <c r="B6534" s="15" t="s">
        <v>12873</v>
      </c>
      <c r="C6534" s="16">
        <f>261.28/(1+B2)</f>
        <v>261.27999999999997</v>
      </c>
      <c r="D6534" s="17" t="s">
        <v>11</v>
      </c>
      <c r="E6534" s="17"/>
      <c r="F6534" s="18"/>
      <c r="G6534" s="36" t="str">
        <f>IF(ISNUMBER(F6534),C6534*F6534,"")</f>
        <v/>
      </c>
    </row>
    <row r="6535" spans="1:7" ht="12" customHeight="1" outlineLevel="2" x14ac:dyDescent="0.2">
      <c r="A6535" s="14" t="s">
        <v>12874</v>
      </c>
      <c r="B6535" s="15" t="s">
        <v>12875</v>
      </c>
      <c r="C6535" s="16">
        <f>73.71/(1+B2)</f>
        <v>73.709999999999994</v>
      </c>
      <c r="D6535" s="17" t="s">
        <v>11</v>
      </c>
      <c r="E6535" s="17"/>
      <c r="F6535" s="18"/>
      <c r="G6535" s="36" t="str">
        <f>IF(ISNUMBER(F6535),C6535*F6535,"")</f>
        <v/>
      </c>
    </row>
    <row r="6536" spans="1:7" ht="12" customHeight="1" outlineLevel="2" x14ac:dyDescent="0.2">
      <c r="A6536" s="14" t="s">
        <v>12876</v>
      </c>
      <c r="B6536" s="15" t="s">
        <v>12877</v>
      </c>
      <c r="C6536" s="16">
        <f>73.71/(1+B2)</f>
        <v>73.709999999999994</v>
      </c>
      <c r="D6536" s="17" t="s">
        <v>11</v>
      </c>
      <c r="E6536" s="17"/>
      <c r="F6536" s="18"/>
      <c r="G6536" s="36" t="str">
        <f>IF(ISNUMBER(F6536),C6536*F6536,"")</f>
        <v/>
      </c>
    </row>
    <row r="6537" spans="1:7" ht="12" customHeight="1" outlineLevel="2" x14ac:dyDescent="0.2">
      <c r="A6537" s="14" t="s">
        <v>12878</v>
      </c>
      <c r="B6537" s="15" t="s">
        <v>12879</v>
      </c>
      <c r="C6537" s="16">
        <f>43.2/(1+B2)</f>
        <v>43.2</v>
      </c>
      <c r="D6537" s="17" t="s">
        <v>11</v>
      </c>
      <c r="E6537" s="17"/>
      <c r="F6537" s="18"/>
      <c r="G6537" s="36" t="str">
        <f>IF(ISNUMBER(F6537),C6537*F6537,"")</f>
        <v/>
      </c>
    </row>
    <row r="6538" spans="1:7" ht="24" customHeight="1" outlineLevel="2" x14ac:dyDescent="0.2">
      <c r="A6538" s="14" t="s">
        <v>12880</v>
      </c>
      <c r="B6538" s="15" t="s">
        <v>12881</v>
      </c>
      <c r="C6538" s="16">
        <f>203.83/(1+B2)</f>
        <v>203.83</v>
      </c>
      <c r="D6538" s="17" t="s">
        <v>11</v>
      </c>
      <c r="E6538" s="17"/>
      <c r="F6538" s="18"/>
      <c r="G6538" s="36" t="str">
        <f>IF(ISNUMBER(F6538),C6538*F6538,"")</f>
        <v/>
      </c>
    </row>
    <row r="6539" spans="1:7" ht="24" customHeight="1" outlineLevel="2" x14ac:dyDescent="0.2">
      <c r="A6539" s="14" t="s">
        <v>12882</v>
      </c>
      <c r="B6539" s="15" t="s">
        <v>12883</v>
      </c>
      <c r="C6539" s="16">
        <f>79.43/(1+B2)</f>
        <v>79.430000000000007</v>
      </c>
      <c r="D6539" s="17" t="s">
        <v>11</v>
      </c>
      <c r="E6539" s="17"/>
      <c r="F6539" s="18"/>
      <c r="G6539" s="36" t="str">
        <f>IF(ISNUMBER(F6539),C6539*F6539,"")</f>
        <v/>
      </c>
    </row>
    <row r="6540" spans="1:7" ht="24" customHeight="1" outlineLevel="2" x14ac:dyDescent="0.2">
      <c r="A6540" s="14" t="s">
        <v>12884</v>
      </c>
      <c r="B6540" s="15" t="s">
        <v>12885</v>
      </c>
      <c r="C6540" s="16">
        <f>109.45/(1+B2)</f>
        <v>109.45</v>
      </c>
      <c r="D6540" s="17" t="s">
        <v>11</v>
      </c>
      <c r="E6540" s="17"/>
      <c r="F6540" s="18"/>
      <c r="G6540" s="36" t="str">
        <f>IF(ISNUMBER(F6540),C6540*F6540,"")</f>
        <v/>
      </c>
    </row>
    <row r="6541" spans="1:7" ht="24" customHeight="1" outlineLevel="2" x14ac:dyDescent="0.2">
      <c r="A6541" s="14" t="s">
        <v>12886</v>
      </c>
      <c r="B6541" s="15" t="s">
        <v>12887</v>
      </c>
      <c r="C6541" s="16">
        <f>82.08/(1+B2)</f>
        <v>82.08</v>
      </c>
      <c r="D6541" s="17" t="s">
        <v>11</v>
      </c>
      <c r="E6541" s="17"/>
      <c r="F6541" s="18"/>
      <c r="G6541" s="36" t="str">
        <f>IF(ISNUMBER(F6541),C6541*F6541,"")</f>
        <v/>
      </c>
    </row>
    <row r="6542" spans="1:7" ht="24" customHeight="1" outlineLevel="2" x14ac:dyDescent="0.2">
      <c r="A6542" s="14" t="s">
        <v>12888</v>
      </c>
      <c r="B6542" s="15" t="s">
        <v>12889</v>
      </c>
      <c r="C6542" s="16">
        <f>99.3/(1+B2)</f>
        <v>99.3</v>
      </c>
      <c r="D6542" s="17" t="s">
        <v>11</v>
      </c>
      <c r="E6542" s="17"/>
      <c r="F6542" s="18"/>
      <c r="G6542" s="36" t="str">
        <f>IF(ISNUMBER(F6542),C6542*F6542,"")</f>
        <v/>
      </c>
    </row>
    <row r="6543" spans="1:7" ht="24" customHeight="1" outlineLevel="2" x14ac:dyDescent="0.2">
      <c r="A6543" s="14" t="s">
        <v>12890</v>
      </c>
      <c r="B6543" s="15" t="s">
        <v>12891</v>
      </c>
      <c r="C6543" s="16">
        <f>107.74/(1+B2)</f>
        <v>107.74</v>
      </c>
      <c r="D6543" s="17" t="s">
        <v>11</v>
      </c>
      <c r="E6543" s="17"/>
      <c r="F6543" s="18"/>
      <c r="G6543" s="36" t="str">
        <f>IF(ISNUMBER(F6543),C6543*F6543,"")</f>
        <v/>
      </c>
    </row>
    <row r="6544" spans="1:7" ht="24" customHeight="1" outlineLevel="2" x14ac:dyDescent="0.2">
      <c r="A6544" s="14" t="s">
        <v>12892</v>
      </c>
      <c r="B6544" s="15" t="s">
        <v>12893</v>
      </c>
      <c r="C6544" s="16">
        <f>41.87/(1+B2)</f>
        <v>41.87</v>
      </c>
      <c r="D6544" s="17" t="s">
        <v>11</v>
      </c>
      <c r="E6544" s="17"/>
      <c r="F6544" s="18"/>
      <c r="G6544" s="36" t="str">
        <f>IF(ISNUMBER(F6544),C6544*F6544,"")</f>
        <v/>
      </c>
    </row>
    <row r="6545" spans="1:7" ht="24" customHeight="1" outlineLevel="2" x14ac:dyDescent="0.2">
      <c r="A6545" s="14" t="s">
        <v>12894</v>
      </c>
      <c r="B6545" s="15" t="s">
        <v>12895</v>
      </c>
      <c r="C6545" s="16">
        <f>54.36/(1+B2)</f>
        <v>54.36</v>
      </c>
      <c r="D6545" s="17" t="s">
        <v>11</v>
      </c>
      <c r="E6545" s="17"/>
      <c r="F6545" s="18"/>
      <c r="G6545" s="36" t="str">
        <f>IF(ISNUMBER(F6545),C6545*F6545,"")</f>
        <v/>
      </c>
    </row>
    <row r="6546" spans="1:7" ht="24" customHeight="1" outlineLevel="2" x14ac:dyDescent="0.2">
      <c r="A6546" s="14" t="s">
        <v>12896</v>
      </c>
      <c r="B6546" s="15" t="s">
        <v>12897</v>
      </c>
      <c r="C6546" s="16">
        <f>94.5/(1+B2)</f>
        <v>94.5</v>
      </c>
      <c r="D6546" s="17" t="s">
        <v>11</v>
      </c>
      <c r="E6546" s="17"/>
      <c r="F6546" s="18"/>
      <c r="G6546" s="36" t="str">
        <f>IF(ISNUMBER(F6546),C6546*F6546,"")</f>
        <v/>
      </c>
    </row>
    <row r="6547" spans="1:7" ht="12" customHeight="1" outlineLevel="2" x14ac:dyDescent="0.2">
      <c r="A6547" s="14" t="s">
        <v>12898</v>
      </c>
      <c r="B6547" s="15" t="s">
        <v>12899</v>
      </c>
      <c r="C6547" s="16">
        <f>188.15/(1+B2)</f>
        <v>188.15</v>
      </c>
      <c r="D6547" s="17" t="s">
        <v>11</v>
      </c>
      <c r="E6547" s="17"/>
      <c r="F6547" s="18"/>
      <c r="G6547" s="36" t="str">
        <f>IF(ISNUMBER(F6547),C6547*F6547,"")</f>
        <v/>
      </c>
    </row>
    <row r="6548" spans="1:7" ht="12" customHeight="1" outlineLevel="2" x14ac:dyDescent="0.2">
      <c r="A6548" s="14" t="s">
        <v>12900</v>
      </c>
      <c r="B6548" s="15" t="s">
        <v>12901</v>
      </c>
      <c r="C6548" s="16">
        <f>172.47/(1+B2)</f>
        <v>172.47</v>
      </c>
      <c r="D6548" s="17" t="s">
        <v>11</v>
      </c>
      <c r="E6548" s="17"/>
      <c r="F6548" s="18"/>
      <c r="G6548" s="36" t="str">
        <f>IF(ISNUMBER(F6548),C6548*F6548,"")</f>
        <v/>
      </c>
    </row>
    <row r="6549" spans="1:7" ht="24" customHeight="1" outlineLevel="2" x14ac:dyDescent="0.2">
      <c r="A6549" s="14" t="s">
        <v>12902</v>
      </c>
      <c r="B6549" s="15" t="s">
        <v>12903</v>
      </c>
      <c r="C6549" s="16">
        <f>169.3/(1+B2)</f>
        <v>169.3</v>
      </c>
      <c r="D6549" s="17" t="s">
        <v>11</v>
      </c>
      <c r="E6549" s="17"/>
      <c r="F6549" s="18"/>
      <c r="G6549" s="36" t="str">
        <f>IF(ISNUMBER(F6549),C6549*F6549,"")</f>
        <v/>
      </c>
    </row>
    <row r="6550" spans="1:7" ht="24" customHeight="1" outlineLevel="2" x14ac:dyDescent="0.2">
      <c r="A6550" s="14" t="s">
        <v>12904</v>
      </c>
      <c r="B6550" s="15" t="s">
        <v>12905</v>
      </c>
      <c r="C6550" s="16">
        <f>143.26/(1+B2)</f>
        <v>143.26</v>
      </c>
      <c r="D6550" s="17" t="s">
        <v>11</v>
      </c>
      <c r="E6550" s="17"/>
      <c r="F6550" s="18"/>
      <c r="G6550" s="36" t="str">
        <f>IF(ISNUMBER(F6550),C6550*F6550,"")</f>
        <v/>
      </c>
    </row>
    <row r="6551" spans="1:7" ht="24" customHeight="1" outlineLevel="2" x14ac:dyDescent="0.2">
      <c r="A6551" s="14" t="s">
        <v>12906</v>
      </c>
      <c r="B6551" s="15" t="s">
        <v>12907</v>
      </c>
      <c r="C6551" s="16">
        <f>200.1/(1+B2)</f>
        <v>200.1</v>
      </c>
      <c r="D6551" s="17" t="s">
        <v>11</v>
      </c>
      <c r="E6551" s="17"/>
      <c r="F6551" s="18"/>
      <c r="G6551" s="36" t="str">
        <f>IF(ISNUMBER(F6551),C6551*F6551,"")</f>
        <v/>
      </c>
    </row>
    <row r="6552" spans="1:7" ht="12" customHeight="1" outlineLevel="2" x14ac:dyDescent="0.2">
      <c r="A6552" s="14" t="s">
        <v>12908</v>
      </c>
      <c r="B6552" s="15" t="s">
        <v>12909</v>
      </c>
      <c r="C6552" s="16">
        <f>60.19/(1+B2)</f>
        <v>60.19</v>
      </c>
      <c r="D6552" s="17" t="s">
        <v>11</v>
      </c>
      <c r="E6552" s="17"/>
      <c r="F6552" s="18"/>
      <c r="G6552" s="36" t="str">
        <f>IF(ISNUMBER(F6552),C6552*F6552,"")</f>
        <v/>
      </c>
    </row>
    <row r="6553" spans="1:7" ht="12" customHeight="1" outlineLevel="2" x14ac:dyDescent="0.2">
      <c r="A6553" s="14" t="s">
        <v>12910</v>
      </c>
      <c r="B6553" s="15" t="s">
        <v>12911</v>
      </c>
      <c r="C6553" s="16">
        <f>50.24/(1+B2)</f>
        <v>50.24</v>
      </c>
      <c r="D6553" s="17" t="s">
        <v>14</v>
      </c>
      <c r="E6553" s="17"/>
      <c r="F6553" s="18"/>
      <c r="G6553" s="36" t="str">
        <f>IF(ISNUMBER(F6553),C6553*F6553,"")</f>
        <v/>
      </c>
    </row>
    <row r="6554" spans="1:7" ht="12" customHeight="1" outlineLevel="2" x14ac:dyDescent="0.2">
      <c r="A6554" s="14" t="s">
        <v>12912</v>
      </c>
      <c r="B6554" s="15" t="s">
        <v>12913</v>
      </c>
      <c r="C6554" s="16">
        <f>83.63/(1+B2)</f>
        <v>83.63</v>
      </c>
      <c r="D6554" s="17" t="s">
        <v>14</v>
      </c>
      <c r="E6554" s="17"/>
      <c r="F6554" s="18"/>
      <c r="G6554" s="36" t="str">
        <f>IF(ISNUMBER(F6554),C6554*F6554,"")</f>
        <v/>
      </c>
    </row>
    <row r="6555" spans="1:7" ht="12" customHeight="1" outlineLevel="2" x14ac:dyDescent="0.2">
      <c r="A6555" s="14" t="s">
        <v>12914</v>
      </c>
      <c r="B6555" s="15" t="s">
        <v>12915</v>
      </c>
      <c r="C6555" s="16">
        <f>50.24/(1+B2)</f>
        <v>50.24</v>
      </c>
      <c r="D6555" s="17" t="s">
        <v>14</v>
      </c>
      <c r="E6555" s="17"/>
      <c r="F6555" s="18"/>
      <c r="G6555" s="36" t="str">
        <f>IF(ISNUMBER(F6555),C6555*F6555,"")</f>
        <v/>
      </c>
    </row>
    <row r="6556" spans="1:7" ht="12" customHeight="1" outlineLevel="2" x14ac:dyDescent="0.2">
      <c r="A6556" s="14" t="s">
        <v>12916</v>
      </c>
      <c r="B6556" s="15" t="s">
        <v>12917</v>
      </c>
      <c r="C6556" s="16">
        <f>47.96/(1+B2)</f>
        <v>47.96</v>
      </c>
      <c r="D6556" s="17" t="s">
        <v>14</v>
      </c>
      <c r="E6556" s="17"/>
      <c r="F6556" s="18"/>
      <c r="G6556" s="36" t="str">
        <f>IF(ISNUMBER(F6556),C6556*F6556,"")</f>
        <v/>
      </c>
    </row>
    <row r="6557" spans="1:7" ht="24" customHeight="1" outlineLevel="2" x14ac:dyDescent="0.2">
      <c r="A6557" s="14" t="s">
        <v>12918</v>
      </c>
      <c r="B6557" s="15" t="s">
        <v>12919</v>
      </c>
      <c r="C6557" s="16">
        <f>59.38/(1+B2)</f>
        <v>59.38</v>
      </c>
      <c r="D6557" s="17" t="s">
        <v>11</v>
      </c>
      <c r="E6557" s="17" t="s">
        <v>11</v>
      </c>
      <c r="F6557" s="18"/>
      <c r="G6557" s="36" t="str">
        <f>IF(ISNUMBER(F6557),C6557*F6557,"")</f>
        <v/>
      </c>
    </row>
    <row r="6558" spans="1:7" ht="12" customHeight="1" outlineLevel="2" x14ac:dyDescent="0.2">
      <c r="A6558" s="14" t="s">
        <v>12920</v>
      </c>
      <c r="B6558" s="15" t="s">
        <v>12921</v>
      </c>
      <c r="C6558" s="16">
        <f>45.67/(1+B2)</f>
        <v>45.67</v>
      </c>
      <c r="D6558" s="17" t="s">
        <v>11</v>
      </c>
      <c r="E6558" s="17" t="s">
        <v>11</v>
      </c>
      <c r="F6558" s="18"/>
      <c r="G6558" s="36" t="str">
        <f>IF(ISNUMBER(F6558),C6558*F6558,"")</f>
        <v/>
      </c>
    </row>
    <row r="6559" spans="1:7" ht="12" customHeight="1" outlineLevel="2" x14ac:dyDescent="0.2">
      <c r="A6559" s="14" t="s">
        <v>12922</v>
      </c>
      <c r="B6559" s="15" t="s">
        <v>12923</v>
      </c>
      <c r="C6559" s="16">
        <f>198.6/(1+B2)</f>
        <v>198.6</v>
      </c>
      <c r="D6559" s="17" t="s">
        <v>11</v>
      </c>
      <c r="E6559" s="17"/>
      <c r="F6559" s="18"/>
      <c r="G6559" s="36" t="str">
        <f>IF(ISNUMBER(F6559),C6559*F6559,"")</f>
        <v/>
      </c>
    </row>
    <row r="6560" spans="1:7" ht="12" customHeight="1" outlineLevel="2" x14ac:dyDescent="0.2">
      <c r="A6560" s="14" t="s">
        <v>12924</v>
      </c>
      <c r="B6560" s="15" t="s">
        <v>12925</v>
      </c>
      <c r="C6560" s="16">
        <f>53.66/(1+B2)</f>
        <v>53.66</v>
      </c>
      <c r="D6560" s="17" t="s">
        <v>11</v>
      </c>
      <c r="E6560" s="17"/>
      <c r="F6560" s="18"/>
      <c r="G6560" s="36" t="str">
        <f>IF(ISNUMBER(F6560),C6560*F6560,"")</f>
        <v/>
      </c>
    </row>
    <row r="6561" spans="1:7" ht="12" customHeight="1" outlineLevel="2" x14ac:dyDescent="0.2">
      <c r="A6561" s="14" t="s">
        <v>12926</v>
      </c>
      <c r="B6561" s="15" t="s">
        <v>12927</v>
      </c>
      <c r="C6561" s="16">
        <f>44.72/(1+B2)</f>
        <v>44.72</v>
      </c>
      <c r="D6561" s="17" t="s">
        <v>11</v>
      </c>
      <c r="E6561" s="17"/>
      <c r="F6561" s="18"/>
      <c r="G6561" s="36" t="str">
        <f>IF(ISNUMBER(F6561),C6561*F6561,"")</f>
        <v/>
      </c>
    </row>
    <row r="6562" spans="1:7" s="1" customFormat="1" ht="15.95" customHeight="1" outlineLevel="1" x14ac:dyDescent="0.25">
      <c r="A6562" s="11"/>
      <c r="B6562" s="12" t="s">
        <v>12928</v>
      </c>
      <c r="C6562" s="13"/>
      <c r="D6562" s="13"/>
      <c r="E6562" s="13"/>
      <c r="F6562" s="13"/>
      <c r="G6562" s="35"/>
    </row>
    <row r="6563" spans="1:7" ht="12" customHeight="1" outlineLevel="2" x14ac:dyDescent="0.2">
      <c r="A6563" s="14" t="s">
        <v>12929</v>
      </c>
      <c r="B6563" s="15" t="s">
        <v>12930</v>
      </c>
      <c r="C6563" s="16">
        <f>6.74/(1+B2)</f>
        <v>6.74</v>
      </c>
      <c r="D6563" s="17" t="s">
        <v>106</v>
      </c>
      <c r="E6563" s="17"/>
      <c r="F6563" s="18"/>
      <c r="G6563" s="36" t="str">
        <f>IF(ISNUMBER(F6563),C6563*F6563,"")</f>
        <v/>
      </c>
    </row>
    <row r="6564" spans="1:7" ht="12" customHeight="1" outlineLevel="2" x14ac:dyDescent="0.2">
      <c r="A6564" s="14" t="s">
        <v>12931</v>
      </c>
      <c r="B6564" s="15" t="s">
        <v>12932</v>
      </c>
      <c r="C6564" s="16">
        <f>38.8/(1+B2)</f>
        <v>38.799999999999997</v>
      </c>
      <c r="D6564" s="17" t="s">
        <v>11</v>
      </c>
      <c r="E6564" s="17"/>
      <c r="F6564" s="18"/>
      <c r="G6564" s="36" t="str">
        <f>IF(ISNUMBER(F6564),C6564*F6564,"")</f>
        <v/>
      </c>
    </row>
    <row r="6565" spans="1:7" ht="24" customHeight="1" outlineLevel="2" x14ac:dyDescent="0.2">
      <c r="A6565" s="14" t="s">
        <v>12933</v>
      </c>
      <c r="B6565" s="15" t="s">
        <v>12934</v>
      </c>
      <c r="C6565" s="16">
        <f>37.12/(1+B2)</f>
        <v>37.119999999999997</v>
      </c>
      <c r="D6565" s="17" t="s">
        <v>11</v>
      </c>
      <c r="E6565" s="17"/>
      <c r="F6565" s="18"/>
      <c r="G6565" s="36" t="str">
        <f>IF(ISNUMBER(F6565),C6565*F6565,"")</f>
        <v/>
      </c>
    </row>
    <row r="6566" spans="1:7" ht="12" customHeight="1" outlineLevel="2" x14ac:dyDescent="0.2">
      <c r="A6566" s="14" t="s">
        <v>12935</v>
      </c>
      <c r="B6566" s="15" t="s">
        <v>12936</v>
      </c>
      <c r="C6566" s="16">
        <f>2.75/(1+B2)</f>
        <v>2.75</v>
      </c>
      <c r="D6566" s="17" t="s">
        <v>53</v>
      </c>
      <c r="E6566" s="17" t="s">
        <v>106</v>
      </c>
      <c r="F6566" s="18"/>
      <c r="G6566" s="36" t="str">
        <f>IF(ISNUMBER(F6566),C6566*F6566,"")</f>
        <v/>
      </c>
    </row>
    <row r="6567" spans="1:7" ht="12" customHeight="1" outlineLevel="2" x14ac:dyDescent="0.2">
      <c r="A6567" s="14" t="s">
        <v>12937</v>
      </c>
      <c r="B6567" s="15" t="s">
        <v>12938</v>
      </c>
      <c r="C6567" s="16">
        <f>42.89/(1+B2)</f>
        <v>42.89</v>
      </c>
      <c r="D6567" s="17" t="s">
        <v>53</v>
      </c>
      <c r="E6567" s="17"/>
      <c r="F6567" s="18"/>
      <c r="G6567" s="36" t="str">
        <f>IF(ISNUMBER(F6567),C6567*F6567,"")</f>
        <v/>
      </c>
    </row>
    <row r="6568" spans="1:7" ht="12" customHeight="1" outlineLevel="2" x14ac:dyDescent="0.2">
      <c r="A6568" s="14" t="s">
        <v>12939</v>
      </c>
      <c r="B6568" s="15" t="s">
        <v>12940</v>
      </c>
      <c r="C6568" s="16">
        <f>12.79/(1+B2)</f>
        <v>12.79</v>
      </c>
      <c r="D6568" s="17" t="s">
        <v>11</v>
      </c>
      <c r="E6568" s="17" t="s">
        <v>53</v>
      </c>
      <c r="F6568" s="18"/>
      <c r="G6568" s="36" t="str">
        <f>IF(ISNUMBER(F6568),C6568*F6568,"")</f>
        <v/>
      </c>
    </row>
    <row r="6569" spans="1:7" ht="12" customHeight="1" outlineLevel="2" x14ac:dyDescent="0.2">
      <c r="A6569" s="14" t="s">
        <v>12941</v>
      </c>
      <c r="B6569" s="15" t="s">
        <v>12942</v>
      </c>
      <c r="C6569" s="16">
        <f>7.93/(1+B2)</f>
        <v>7.93</v>
      </c>
      <c r="D6569" s="17" t="s">
        <v>53</v>
      </c>
      <c r="E6569" s="17"/>
      <c r="F6569" s="18"/>
      <c r="G6569" s="36" t="str">
        <f>IF(ISNUMBER(F6569),C6569*F6569,"")</f>
        <v/>
      </c>
    </row>
    <row r="6570" spans="1:7" ht="12" customHeight="1" outlineLevel="2" x14ac:dyDescent="0.2">
      <c r="A6570" s="14" t="s">
        <v>12943</v>
      </c>
      <c r="B6570" s="15" t="s">
        <v>12944</v>
      </c>
      <c r="C6570" s="16">
        <f>19.37/(1+B2)</f>
        <v>19.37</v>
      </c>
      <c r="D6570" s="17" t="s">
        <v>53</v>
      </c>
      <c r="E6570" s="17"/>
      <c r="F6570" s="18"/>
      <c r="G6570" s="36" t="str">
        <f>IF(ISNUMBER(F6570),C6570*F6570,"")</f>
        <v/>
      </c>
    </row>
    <row r="6571" spans="1:7" ht="24" customHeight="1" outlineLevel="2" x14ac:dyDescent="0.2">
      <c r="A6571" s="14" t="s">
        <v>12945</v>
      </c>
      <c r="B6571" s="15" t="s">
        <v>12946</v>
      </c>
      <c r="C6571" s="16">
        <f>82.1/(1+B2)</f>
        <v>82.1</v>
      </c>
      <c r="D6571" s="17" t="s">
        <v>11</v>
      </c>
      <c r="E6571" s="17"/>
      <c r="F6571" s="18"/>
      <c r="G6571" s="36" t="str">
        <f>IF(ISNUMBER(F6571),C6571*F6571,"")</f>
        <v/>
      </c>
    </row>
    <row r="6572" spans="1:7" ht="12" customHeight="1" outlineLevel="2" x14ac:dyDescent="0.2">
      <c r="A6572" s="14" t="s">
        <v>12947</v>
      </c>
      <c r="B6572" s="15" t="s">
        <v>12948</v>
      </c>
      <c r="C6572" s="16">
        <f>41.26/(1+B2)</f>
        <v>41.26</v>
      </c>
      <c r="D6572" s="17" t="s">
        <v>11</v>
      </c>
      <c r="E6572" s="17"/>
      <c r="F6572" s="18"/>
      <c r="G6572" s="36" t="str">
        <f>IF(ISNUMBER(F6572),C6572*F6572,"")</f>
        <v/>
      </c>
    </row>
    <row r="6573" spans="1:7" ht="24" customHeight="1" outlineLevel="2" x14ac:dyDescent="0.2">
      <c r="A6573" s="14" t="s">
        <v>12949</v>
      </c>
      <c r="B6573" s="15" t="s">
        <v>12950</v>
      </c>
      <c r="C6573" s="16">
        <f>60.37/(1+B2)</f>
        <v>60.37</v>
      </c>
      <c r="D6573" s="17" t="s">
        <v>11</v>
      </c>
      <c r="E6573" s="17"/>
      <c r="F6573" s="18"/>
      <c r="G6573" s="36" t="str">
        <f>IF(ISNUMBER(F6573),C6573*F6573,"")</f>
        <v/>
      </c>
    </row>
    <row r="6574" spans="1:7" ht="12" customHeight="1" outlineLevel="2" x14ac:dyDescent="0.2">
      <c r="A6574" s="14" t="s">
        <v>12951</v>
      </c>
      <c r="B6574" s="15" t="s">
        <v>12952</v>
      </c>
      <c r="C6574" s="16">
        <f>28.23/(1+B2)</f>
        <v>28.23</v>
      </c>
      <c r="D6574" s="17" t="s">
        <v>53</v>
      </c>
      <c r="E6574" s="17"/>
      <c r="F6574" s="18"/>
      <c r="G6574" s="36" t="str">
        <f>IF(ISNUMBER(F6574),C6574*F6574,"")</f>
        <v/>
      </c>
    </row>
    <row r="6575" spans="1:7" ht="24" customHeight="1" outlineLevel="2" x14ac:dyDescent="0.2">
      <c r="A6575" s="14" t="s">
        <v>12953</v>
      </c>
      <c r="B6575" s="15" t="s">
        <v>12954</v>
      </c>
      <c r="C6575" s="16">
        <f>20.45/(1+B2)</f>
        <v>20.45</v>
      </c>
      <c r="D6575" s="17" t="s">
        <v>14</v>
      </c>
      <c r="E6575" s="17"/>
      <c r="F6575" s="18"/>
      <c r="G6575" s="36" t="str">
        <f>IF(ISNUMBER(F6575),C6575*F6575,"")</f>
        <v/>
      </c>
    </row>
    <row r="6576" spans="1:7" ht="12" customHeight="1" outlineLevel="2" x14ac:dyDescent="0.2">
      <c r="A6576" s="14" t="s">
        <v>12955</v>
      </c>
      <c r="B6576" s="15" t="s">
        <v>12956</v>
      </c>
      <c r="C6576" s="16">
        <f>17.12/(1+B2)</f>
        <v>17.12</v>
      </c>
      <c r="D6576" s="17" t="s">
        <v>11</v>
      </c>
      <c r="E6576" s="17"/>
      <c r="F6576" s="18"/>
      <c r="G6576" s="36" t="str">
        <f>IF(ISNUMBER(F6576),C6576*F6576,"")</f>
        <v/>
      </c>
    </row>
    <row r="6577" spans="1:7" ht="12" customHeight="1" outlineLevel="2" x14ac:dyDescent="0.2">
      <c r="A6577" s="14" t="s">
        <v>12957</v>
      </c>
      <c r="B6577" s="15" t="s">
        <v>12958</v>
      </c>
      <c r="C6577" s="16">
        <f>14.34/(1+B2)</f>
        <v>14.34</v>
      </c>
      <c r="D6577" s="17" t="s">
        <v>14</v>
      </c>
      <c r="E6577" s="17"/>
      <c r="F6577" s="18"/>
      <c r="G6577" s="36" t="str">
        <f>IF(ISNUMBER(F6577),C6577*F6577,"")</f>
        <v/>
      </c>
    </row>
    <row r="6578" spans="1:7" ht="12" customHeight="1" outlineLevel="2" x14ac:dyDescent="0.2">
      <c r="A6578" s="14" t="s">
        <v>12959</v>
      </c>
      <c r="B6578" s="15" t="s">
        <v>12960</v>
      </c>
      <c r="C6578" s="16">
        <f>25.01/(1+B2)</f>
        <v>25.01</v>
      </c>
      <c r="D6578" s="17" t="s">
        <v>11</v>
      </c>
      <c r="E6578" s="17" t="s">
        <v>53</v>
      </c>
      <c r="F6578" s="18"/>
      <c r="G6578" s="36" t="str">
        <f>IF(ISNUMBER(F6578),C6578*F6578,"")</f>
        <v/>
      </c>
    </row>
    <row r="6579" spans="1:7" ht="12" customHeight="1" outlineLevel="2" x14ac:dyDescent="0.2">
      <c r="A6579" s="14" t="s">
        <v>12961</v>
      </c>
      <c r="B6579" s="15" t="s">
        <v>12962</v>
      </c>
      <c r="C6579" s="16">
        <f>37.73/(1+B2)</f>
        <v>37.729999999999997</v>
      </c>
      <c r="D6579" s="17" t="s">
        <v>11</v>
      </c>
      <c r="E6579" s="17"/>
      <c r="F6579" s="18"/>
      <c r="G6579" s="36" t="str">
        <f>IF(ISNUMBER(F6579),C6579*F6579,"")</f>
        <v/>
      </c>
    </row>
    <row r="6580" spans="1:7" ht="12" customHeight="1" outlineLevel="2" x14ac:dyDescent="0.2">
      <c r="A6580" s="14" t="s">
        <v>12963</v>
      </c>
      <c r="B6580" s="15" t="s">
        <v>12964</v>
      </c>
      <c r="C6580" s="16">
        <f>31.75/(1+B2)</f>
        <v>31.75</v>
      </c>
      <c r="D6580" s="17" t="s">
        <v>11</v>
      </c>
      <c r="E6580" s="17"/>
      <c r="F6580" s="18"/>
      <c r="G6580" s="36" t="str">
        <f>IF(ISNUMBER(F6580),C6580*F6580,"")</f>
        <v/>
      </c>
    </row>
    <row r="6581" spans="1:7" ht="12" customHeight="1" outlineLevel="2" x14ac:dyDescent="0.2">
      <c r="A6581" s="14" t="s">
        <v>12965</v>
      </c>
      <c r="B6581" s="15" t="s">
        <v>12966</v>
      </c>
      <c r="C6581" s="16">
        <f>35.65/(1+B2)</f>
        <v>35.65</v>
      </c>
      <c r="D6581" s="17" t="s">
        <v>11</v>
      </c>
      <c r="E6581" s="17"/>
      <c r="F6581" s="18"/>
      <c r="G6581" s="36" t="str">
        <f>IF(ISNUMBER(F6581),C6581*F6581,"")</f>
        <v/>
      </c>
    </row>
    <row r="6582" spans="1:7" ht="12" customHeight="1" outlineLevel="2" x14ac:dyDescent="0.2">
      <c r="A6582" s="14" t="s">
        <v>12967</v>
      </c>
      <c r="B6582" s="15" t="s">
        <v>12968</v>
      </c>
      <c r="C6582" s="16">
        <f>13.02/(1+B2)</f>
        <v>13.02</v>
      </c>
      <c r="D6582" s="17" t="s">
        <v>14</v>
      </c>
      <c r="E6582" s="17"/>
      <c r="F6582" s="18"/>
      <c r="G6582" s="36" t="str">
        <f>IF(ISNUMBER(F6582),C6582*F6582,"")</f>
        <v/>
      </c>
    </row>
    <row r="6583" spans="1:7" ht="12" customHeight="1" outlineLevel="2" x14ac:dyDescent="0.2">
      <c r="A6583" s="14" t="s">
        <v>12969</v>
      </c>
      <c r="B6583" s="15" t="s">
        <v>12970</v>
      </c>
      <c r="C6583" s="16">
        <f>64.12/(1+B2)</f>
        <v>64.12</v>
      </c>
      <c r="D6583" s="17" t="s">
        <v>11</v>
      </c>
      <c r="E6583" s="17"/>
      <c r="F6583" s="18"/>
      <c r="G6583" s="36" t="str">
        <f>IF(ISNUMBER(F6583),C6583*F6583,"")</f>
        <v/>
      </c>
    </row>
    <row r="6584" spans="1:7" ht="24" customHeight="1" outlineLevel="2" x14ac:dyDescent="0.2">
      <c r="A6584" s="14" t="s">
        <v>12971</v>
      </c>
      <c r="B6584" s="15" t="s">
        <v>12972</v>
      </c>
      <c r="C6584" s="16">
        <f>38.26/(1+B2)</f>
        <v>38.26</v>
      </c>
      <c r="D6584" s="17" t="s">
        <v>14</v>
      </c>
      <c r="E6584" s="17"/>
      <c r="F6584" s="18"/>
      <c r="G6584" s="36" t="str">
        <f>IF(ISNUMBER(F6584),C6584*F6584,"")</f>
        <v/>
      </c>
    </row>
    <row r="6585" spans="1:7" ht="12" customHeight="1" outlineLevel="2" x14ac:dyDescent="0.2">
      <c r="A6585" s="14" t="s">
        <v>12973</v>
      </c>
      <c r="B6585" s="15" t="s">
        <v>12974</v>
      </c>
      <c r="C6585" s="16">
        <f>23.87/(1+B2)</f>
        <v>23.87</v>
      </c>
      <c r="D6585" s="17" t="s">
        <v>53</v>
      </c>
      <c r="E6585" s="17"/>
      <c r="F6585" s="18"/>
      <c r="G6585" s="36" t="str">
        <f>IF(ISNUMBER(F6585),C6585*F6585,"")</f>
        <v/>
      </c>
    </row>
    <row r="6586" spans="1:7" ht="24" customHeight="1" outlineLevel="2" x14ac:dyDescent="0.2">
      <c r="A6586" s="14" t="s">
        <v>12975</v>
      </c>
      <c r="B6586" s="15" t="s">
        <v>12976</v>
      </c>
      <c r="C6586" s="16">
        <f>15.54/(1+B2)</f>
        <v>15.54</v>
      </c>
      <c r="D6586" s="17" t="s">
        <v>11</v>
      </c>
      <c r="E6586" s="17"/>
      <c r="F6586" s="18"/>
      <c r="G6586" s="36" t="str">
        <f>IF(ISNUMBER(F6586),C6586*F6586,"")</f>
        <v/>
      </c>
    </row>
    <row r="6587" spans="1:7" ht="12" customHeight="1" outlineLevel="2" x14ac:dyDescent="0.2">
      <c r="A6587" s="14" t="s">
        <v>12977</v>
      </c>
      <c r="B6587" s="15" t="s">
        <v>12978</v>
      </c>
      <c r="C6587" s="16">
        <f>26.42/(1+B2)</f>
        <v>26.42</v>
      </c>
      <c r="D6587" s="17" t="s">
        <v>14</v>
      </c>
      <c r="E6587" s="17"/>
      <c r="F6587" s="18"/>
      <c r="G6587" s="36" t="str">
        <f>IF(ISNUMBER(F6587),C6587*F6587,"")</f>
        <v/>
      </c>
    </row>
    <row r="6588" spans="1:7" ht="12" customHeight="1" outlineLevel="2" x14ac:dyDescent="0.2">
      <c r="A6588" s="14" t="s">
        <v>12979</v>
      </c>
      <c r="B6588" s="15" t="s">
        <v>12980</v>
      </c>
      <c r="C6588" s="16">
        <f>43.77/(1+B2)</f>
        <v>43.77</v>
      </c>
      <c r="D6588" s="17" t="s">
        <v>11</v>
      </c>
      <c r="E6588" s="17"/>
      <c r="F6588" s="18"/>
      <c r="G6588" s="36" t="str">
        <f>IF(ISNUMBER(F6588),C6588*F6588,"")</f>
        <v/>
      </c>
    </row>
    <row r="6589" spans="1:7" ht="24" customHeight="1" outlineLevel="2" x14ac:dyDescent="0.2">
      <c r="A6589" s="14" t="s">
        <v>12981</v>
      </c>
      <c r="B6589" s="15" t="s">
        <v>12982</v>
      </c>
      <c r="C6589" s="16">
        <f>54.53/(1+B2)</f>
        <v>54.53</v>
      </c>
      <c r="D6589" s="17" t="s">
        <v>11</v>
      </c>
      <c r="E6589" s="17"/>
      <c r="F6589" s="18"/>
      <c r="G6589" s="36" t="str">
        <f>IF(ISNUMBER(F6589),C6589*F6589,"")</f>
        <v/>
      </c>
    </row>
    <row r="6590" spans="1:7" ht="24" customHeight="1" outlineLevel="2" x14ac:dyDescent="0.2">
      <c r="A6590" s="14" t="s">
        <v>12983</v>
      </c>
      <c r="B6590" s="15" t="s">
        <v>12984</v>
      </c>
      <c r="C6590" s="16">
        <f>54.53/(1+B2)</f>
        <v>54.53</v>
      </c>
      <c r="D6590" s="17" t="s">
        <v>11</v>
      </c>
      <c r="E6590" s="17"/>
      <c r="F6590" s="18"/>
      <c r="G6590" s="36" t="str">
        <f>IF(ISNUMBER(F6590),C6590*F6590,"")</f>
        <v/>
      </c>
    </row>
    <row r="6591" spans="1:7" ht="12" customHeight="1" outlineLevel="2" x14ac:dyDescent="0.2">
      <c r="A6591" s="14" t="s">
        <v>12985</v>
      </c>
      <c r="B6591" s="15" t="s">
        <v>12986</v>
      </c>
      <c r="C6591" s="16">
        <f>54.53/(1+B2)</f>
        <v>54.53</v>
      </c>
      <c r="D6591" s="17" t="s">
        <v>11</v>
      </c>
      <c r="E6591" s="17"/>
      <c r="F6591" s="18"/>
      <c r="G6591" s="36" t="str">
        <f>IF(ISNUMBER(F6591),C6591*F6591,"")</f>
        <v/>
      </c>
    </row>
    <row r="6592" spans="1:7" ht="12" customHeight="1" outlineLevel="2" x14ac:dyDescent="0.2">
      <c r="A6592" s="14" t="s">
        <v>12987</v>
      </c>
      <c r="B6592" s="15" t="s">
        <v>12988</v>
      </c>
      <c r="C6592" s="16">
        <f>10.82/(1+B2)</f>
        <v>10.82</v>
      </c>
      <c r="D6592" s="17" t="s">
        <v>106</v>
      </c>
      <c r="E6592" s="17"/>
      <c r="F6592" s="18"/>
      <c r="G6592" s="36" t="str">
        <f>IF(ISNUMBER(F6592),C6592*F6592,"")</f>
        <v/>
      </c>
    </row>
    <row r="6593" spans="1:7" ht="12" customHeight="1" outlineLevel="2" x14ac:dyDescent="0.2">
      <c r="A6593" s="14" t="s">
        <v>12989</v>
      </c>
      <c r="B6593" s="15" t="s">
        <v>12990</v>
      </c>
      <c r="C6593" s="16">
        <f>10.14/(1+B2)</f>
        <v>10.14</v>
      </c>
      <c r="D6593" s="17" t="s">
        <v>106</v>
      </c>
      <c r="E6593" s="17" t="s">
        <v>106</v>
      </c>
      <c r="F6593" s="18"/>
      <c r="G6593" s="36" t="str">
        <f>IF(ISNUMBER(F6593),C6593*F6593,"")</f>
        <v/>
      </c>
    </row>
    <row r="6594" spans="1:7" ht="12" customHeight="1" outlineLevel="2" x14ac:dyDescent="0.2">
      <c r="A6594" s="14" t="s">
        <v>12991</v>
      </c>
      <c r="B6594" s="15" t="s">
        <v>12992</v>
      </c>
      <c r="C6594" s="16">
        <f>12.95/(1+B2)</f>
        <v>12.95</v>
      </c>
      <c r="D6594" s="17" t="s">
        <v>11</v>
      </c>
      <c r="E6594" s="17"/>
      <c r="F6594" s="18"/>
      <c r="G6594" s="36" t="str">
        <f>IF(ISNUMBER(F6594),C6594*F6594,"")</f>
        <v/>
      </c>
    </row>
    <row r="6595" spans="1:7" ht="12" customHeight="1" outlineLevel="2" x14ac:dyDescent="0.2">
      <c r="A6595" s="14" t="s">
        <v>12993</v>
      </c>
      <c r="B6595" s="15" t="s">
        <v>12994</v>
      </c>
      <c r="C6595" s="16">
        <f>8.66/(1+B2)</f>
        <v>8.66</v>
      </c>
      <c r="D6595" s="17" t="s">
        <v>53</v>
      </c>
      <c r="E6595" s="17" t="s">
        <v>14</v>
      </c>
      <c r="F6595" s="18"/>
      <c r="G6595" s="36" t="str">
        <f>IF(ISNUMBER(F6595),C6595*F6595,"")</f>
        <v/>
      </c>
    </row>
    <row r="6596" spans="1:7" ht="12" customHeight="1" outlineLevel="2" x14ac:dyDescent="0.2">
      <c r="A6596" s="14" t="s">
        <v>12995</v>
      </c>
      <c r="B6596" s="15" t="s">
        <v>12996</v>
      </c>
      <c r="C6596" s="16">
        <f>8.74/(1+B2)</f>
        <v>8.74</v>
      </c>
      <c r="D6596" s="17" t="s">
        <v>53</v>
      </c>
      <c r="E6596" s="17" t="s">
        <v>106</v>
      </c>
      <c r="F6596" s="18"/>
      <c r="G6596" s="36" t="str">
        <f>IF(ISNUMBER(F6596),C6596*F6596,"")</f>
        <v/>
      </c>
    </row>
    <row r="6597" spans="1:7" ht="12" customHeight="1" outlineLevel="2" x14ac:dyDescent="0.2">
      <c r="A6597" s="14" t="s">
        <v>12997</v>
      </c>
      <c r="B6597" s="15" t="s">
        <v>12998</v>
      </c>
      <c r="C6597" s="16">
        <f>17.79/(1+B2)</f>
        <v>17.79</v>
      </c>
      <c r="D6597" s="17" t="s">
        <v>11</v>
      </c>
      <c r="E6597" s="17"/>
      <c r="F6597" s="18"/>
      <c r="G6597" s="36" t="str">
        <f>IF(ISNUMBER(F6597),C6597*F6597,"")</f>
        <v/>
      </c>
    </row>
    <row r="6598" spans="1:7" ht="24" customHeight="1" outlineLevel="2" x14ac:dyDescent="0.2">
      <c r="A6598" s="14" t="s">
        <v>12999</v>
      </c>
      <c r="B6598" s="15" t="s">
        <v>13000</v>
      </c>
      <c r="C6598" s="16">
        <f>8.21/(1+B2)</f>
        <v>8.2100000000000009</v>
      </c>
      <c r="D6598" s="17" t="s">
        <v>11</v>
      </c>
      <c r="E6598" s="17"/>
      <c r="F6598" s="18"/>
      <c r="G6598" s="36" t="str">
        <f>IF(ISNUMBER(F6598),C6598*F6598,"")</f>
        <v/>
      </c>
    </row>
    <row r="6599" spans="1:7" ht="12" customHeight="1" outlineLevel="2" x14ac:dyDescent="0.2">
      <c r="A6599" s="14" t="s">
        <v>13001</v>
      </c>
      <c r="B6599" s="15" t="s">
        <v>13002</v>
      </c>
      <c r="C6599" s="16">
        <f>9.6/(1+B2)</f>
        <v>9.6</v>
      </c>
      <c r="D6599" s="17" t="s">
        <v>53</v>
      </c>
      <c r="E6599" s="17"/>
      <c r="F6599" s="18"/>
      <c r="G6599" s="36" t="str">
        <f>IF(ISNUMBER(F6599),C6599*F6599,"")</f>
        <v/>
      </c>
    </row>
    <row r="6600" spans="1:7" ht="12" customHeight="1" outlineLevel="2" x14ac:dyDescent="0.2">
      <c r="A6600" s="14" t="s">
        <v>13003</v>
      </c>
      <c r="B6600" s="15" t="s">
        <v>13004</v>
      </c>
      <c r="C6600" s="16">
        <f>36.02/(1+B2)</f>
        <v>36.020000000000003</v>
      </c>
      <c r="D6600" s="17" t="s">
        <v>11</v>
      </c>
      <c r="E6600" s="17"/>
      <c r="F6600" s="18"/>
      <c r="G6600" s="36" t="str">
        <f>IF(ISNUMBER(F6600),C6600*F6600,"")</f>
        <v/>
      </c>
    </row>
    <row r="6601" spans="1:7" ht="12" customHeight="1" outlineLevel="2" x14ac:dyDescent="0.2">
      <c r="A6601" s="14" t="s">
        <v>13005</v>
      </c>
      <c r="B6601" s="15" t="s">
        <v>13006</v>
      </c>
      <c r="C6601" s="16">
        <f>32.74/(1+B2)</f>
        <v>32.74</v>
      </c>
      <c r="D6601" s="17" t="s">
        <v>53</v>
      </c>
      <c r="E6601" s="17"/>
      <c r="F6601" s="18"/>
      <c r="G6601" s="36" t="str">
        <f>IF(ISNUMBER(F6601),C6601*F6601,"")</f>
        <v/>
      </c>
    </row>
    <row r="6602" spans="1:7" ht="12" customHeight="1" outlineLevel="2" x14ac:dyDescent="0.2">
      <c r="A6602" s="14" t="s">
        <v>13007</v>
      </c>
      <c r="B6602" s="15" t="s">
        <v>13008</v>
      </c>
      <c r="C6602" s="16">
        <f>22.73/(1+B2)</f>
        <v>22.73</v>
      </c>
      <c r="D6602" s="17" t="s">
        <v>11</v>
      </c>
      <c r="E6602" s="17"/>
      <c r="F6602" s="18"/>
      <c r="G6602" s="36" t="str">
        <f>IF(ISNUMBER(F6602),C6602*F6602,"")</f>
        <v/>
      </c>
    </row>
    <row r="6603" spans="1:7" ht="24" customHeight="1" outlineLevel="2" x14ac:dyDescent="0.2">
      <c r="A6603" s="14" t="s">
        <v>13009</v>
      </c>
      <c r="B6603" s="15" t="s">
        <v>13010</v>
      </c>
      <c r="C6603" s="16">
        <f>29.24/(1+B2)</f>
        <v>29.24</v>
      </c>
      <c r="D6603" s="17" t="s">
        <v>11</v>
      </c>
      <c r="E6603" s="17"/>
      <c r="F6603" s="18"/>
      <c r="G6603" s="36" t="str">
        <f>IF(ISNUMBER(F6603),C6603*F6603,"")</f>
        <v/>
      </c>
    </row>
    <row r="6604" spans="1:7" ht="12" customHeight="1" outlineLevel="2" x14ac:dyDescent="0.2">
      <c r="A6604" s="14" t="s">
        <v>13011</v>
      </c>
      <c r="B6604" s="15" t="s">
        <v>13012</v>
      </c>
      <c r="C6604" s="16">
        <f>61.25/(1+B2)</f>
        <v>61.25</v>
      </c>
      <c r="D6604" s="17" t="s">
        <v>53</v>
      </c>
      <c r="E6604" s="17"/>
      <c r="F6604" s="18"/>
      <c r="G6604" s="36" t="str">
        <f>IF(ISNUMBER(F6604),C6604*F6604,"")</f>
        <v/>
      </c>
    </row>
    <row r="6605" spans="1:7" ht="12" customHeight="1" outlineLevel="2" x14ac:dyDescent="0.2">
      <c r="A6605" s="14" t="s">
        <v>13013</v>
      </c>
      <c r="B6605" s="15" t="s">
        <v>13014</v>
      </c>
      <c r="C6605" s="16">
        <f>66.77/(1+B2)</f>
        <v>66.77</v>
      </c>
      <c r="D6605" s="17" t="s">
        <v>14</v>
      </c>
      <c r="E6605" s="17"/>
      <c r="F6605" s="18"/>
      <c r="G6605" s="36" t="str">
        <f>IF(ISNUMBER(F6605),C6605*F6605,"")</f>
        <v/>
      </c>
    </row>
    <row r="6606" spans="1:7" ht="12" customHeight="1" outlineLevel="2" x14ac:dyDescent="0.2">
      <c r="A6606" s="14" t="s">
        <v>13015</v>
      </c>
      <c r="B6606" s="15" t="s">
        <v>13016</v>
      </c>
      <c r="C6606" s="16">
        <f>33.34/(1+B2)</f>
        <v>33.340000000000003</v>
      </c>
      <c r="D6606" s="17" t="s">
        <v>53</v>
      </c>
      <c r="E6606" s="17"/>
      <c r="F6606" s="18"/>
      <c r="G6606" s="36" t="str">
        <f>IF(ISNUMBER(F6606),C6606*F6606,"")</f>
        <v/>
      </c>
    </row>
    <row r="6607" spans="1:7" ht="12" customHeight="1" outlineLevel="2" x14ac:dyDescent="0.2">
      <c r="A6607" s="14" t="s">
        <v>13017</v>
      </c>
      <c r="B6607" s="15" t="s">
        <v>13018</v>
      </c>
      <c r="C6607" s="16">
        <f>40.54/(1+B2)</f>
        <v>40.54</v>
      </c>
      <c r="D6607" s="17" t="s">
        <v>53</v>
      </c>
      <c r="E6607" s="17"/>
      <c r="F6607" s="18"/>
      <c r="G6607" s="36" t="str">
        <f>IF(ISNUMBER(F6607),C6607*F6607,"")</f>
        <v/>
      </c>
    </row>
    <row r="6608" spans="1:7" ht="12" customHeight="1" outlineLevel="2" x14ac:dyDescent="0.2">
      <c r="A6608" s="14" t="s">
        <v>13019</v>
      </c>
      <c r="B6608" s="15" t="s">
        <v>13020</v>
      </c>
      <c r="C6608" s="16">
        <f>267.38/(1+B2)</f>
        <v>267.38</v>
      </c>
      <c r="D6608" s="17" t="s">
        <v>11</v>
      </c>
      <c r="E6608" s="17"/>
      <c r="F6608" s="18"/>
      <c r="G6608" s="36" t="str">
        <f>IF(ISNUMBER(F6608),C6608*F6608,"")</f>
        <v/>
      </c>
    </row>
    <row r="6609" spans="1:7" ht="12" customHeight="1" outlineLevel="2" x14ac:dyDescent="0.2">
      <c r="A6609" s="14" t="s">
        <v>13021</v>
      </c>
      <c r="B6609" s="15" t="s">
        <v>13022</v>
      </c>
      <c r="C6609" s="16">
        <f>20.77/(1+B2)</f>
        <v>20.77</v>
      </c>
      <c r="D6609" s="17" t="s">
        <v>53</v>
      </c>
      <c r="E6609" s="17"/>
      <c r="F6609" s="18"/>
      <c r="G6609" s="36" t="str">
        <f>IF(ISNUMBER(F6609),C6609*F6609,"")</f>
        <v/>
      </c>
    </row>
    <row r="6610" spans="1:7" ht="24" customHeight="1" outlineLevel="2" x14ac:dyDescent="0.2">
      <c r="A6610" s="14" t="s">
        <v>13023</v>
      </c>
      <c r="B6610" s="15" t="s">
        <v>13024</v>
      </c>
      <c r="C6610" s="16">
        <f>9.71/(1+B2)</f>
        <v>9.7100000000000009</v>
      </c>
      <c r="D6610" s="17" t="s">
        <v>53</v>
      </c>
      <c r="E6610" s="17"/>
      <c r="F6610" s="18"/>
      <c r="G6610" s="36" t="str">
        <f>IF(ISNUMBER(F6610),C6610*F6610,"")</f>
        <v/>
      </c>
    </row>
    <row r="6611" spans="1:7" ht="12" customHeight="1" outlineLevel="2" x14ac:dyDescent="0.2">
      <c r="A6611" s="14" t="s">
        <v>13025</v>
      </c>
      <c r="B6611" s="15" t="s">
        <v>13026</v>
      </c>
      <c r="C6611" s="16">
        <f>6.7/(1+B2)</f>
        <v>6.7</v>
      </c>
      <c r="D6611" s="17" t="s">
        <v>14</v>
      </c>
      <c r="E6611" s="17"/>
      <c r="F6611" s="18"/>
      <c r="G6611" s="36" t="str">
        <f>IF(ISNUMBER(F6611),C6611*F6611,"")</f>
        <v/>
      </c>
    </row>
    <row r="6612" spans="1:7" ht="12" customHeight="1" outlineLevel="2" x14ac:dyDescent="0.2">
      <c r="A6612" s="14" t="s">
        <v>13027</v>
      </c>
      <c r="B6612" s="15" t="s">
        <v>13028</v>
      </c>
      <c r="C6612" s="16">
        <f>14.24/(1+B2)</f>
        <v>14.24</v>
      </c>
      <c r="D6612" s="17" t="s">
        <v>11</v>
      </c>
      <c r="E6612" s="17"/>
      <c r="F6612" s="18"/>
      <c r="G6612" s="36" t="str">
        <f>IF(ISNUMBER(F6612),C6612*F6612,"")</f>
        <v/>
      </c>
    </row>
    <row r="6613" spans="1:7" ht="12" customHeight="1" outlineLevel="2" x14ac:dyDescent="0.2">
      <c r="A6613" s="14" t="s">
        <v>13029</v>
      </c>
      <c r="B6613" s="15" t="s">
        <v>13030</v>
      </c>
      <c r="C6613" s="16">
        <f>9.36/(1+B2)</f>
        <v>9.36</v>
      </c>
      <c r="D6613" s="17" t="s">
        <v>11</v>
      </c>
      <c r="E6613" s="17"/>
      <c r="F6613" s="18"/>
      <c r="G6613" s="36" t="str">
        <f>IF(ISNUMBER(F6613),C6613*F6613,"")</f>
        <v/>
      </c>
    </row>
    <row r="6614" spans="1:7" ht="12" customHeight="1" outlineLevel="2" x14ac:dyDescent="0.2">
      <c r="A6614" s="14" t="s">
        <v>13031</v>
      </c>
      <c r="B6614" s="15" t="s">
        <v>13032</v>
      </c>
      <c r="C6614" s="16">
        <f>3.37/(1+B2)</f>
        <v>3.37</v>
      </c>
      <c r="D6614" s="17" t="s">
        <v>106</v>
      </c>
      <c r="E6614" s="17"/>
      <c r="F6614" s="18"/>
      <c r="G6614" s="36" t="str">
        <f>IF(ISNUMBER(F6614),C6614*F6614,"")</f>
        <v/>
      </c>
    </row>
    <row r="6615" spans="1:7" ht="24" customHeight="1" outlineLevel="2" x14ac:dyDescent="0.2">
      <c r="A6615" s="14" t="s">
        <v>13033</v>
      </c>
      <c r="B6615" s="15" t="s">
        <v>13034</v>
      </c>
      <c r="C6615" s="16">
        <f>7.31/(1+B2)</f>
        <v>7.31</v>
      </c>
      <c r="D6615" s="17" t="s">
        <v>53</v>
      </c>
      <c r="E6615" s="17"/>
      <c r="F6615" s="18"/>
      <c r="G6615" s="36" t="str">
        <f>IF(ISNUMBER(F6615),C6615*F6615,"")</f>
        <v/>
      </c>
    </row>
    <row r="6616" spans="1:7" ht="12" customHeight="1" outlineLevel="2" x14ac:dyDescent="0.2">
      <c r="A6616" s="14" t="s">
        <v>13035</v>
      </c>
      <c r="B6616" s="15" t="s">
        <v>13036</v>
      </c>
      <c r="C6616" s="16">
        <f>4.88/(1+B2)</f>
        <v>4.88</v>
      </c>
      <c r="D6616" s="17" t="s">
        <v>53</v>
      </c>
      <c r="E6616" s="17"/>
      <c r="F6616" s="18"/>
      <c r="G6616" s="36" t="str">
        <f>IF(ISNUMBER(F6616),C6616*F6616,"")</f>
        <v/>
      </c>
    </row>
    <row r="6617" spans="1:7" ht="24" customHeight="1" outlineLevel="2" x14ac:dyDescent="0.2">
      <c r="A6617" s="14" t="s">
        <v>13037</v>
      </c>
      <c r="B6617" s="15" t="s">
        <v>13038</v>
      </c>
      <c r="C6617" s="16">
        <f>4.21/(1+B2)</f>
        <v>4.21</v>
      </c>
      <c r="D6617" s="17" t="s">
        <v>53</v>
      </c>
      <c r="E6617" s="17"/>
      <c r="F6617" s="18"/>
      <c r="G6617" s="36" t="str">
        <f>IF(ISNUMBER(F6617),C6617*F6617,"")</f>
        <v/>
      </c>
    </row>
    <row r="6618" spans="1:7" ht="24" customHeight="1" outlineLevel="2" x14ac:dyDescent="0.2">
      <c r="A6618" s="14" t="s">
        <v>13039</v>
      </c>
      <c r="B6618" s="15" t="s">
        <v>13040</v>
      </c>
      <c r="C6618" s="16">
        <f>6.62/(1+B2)</f>
        <v>6.62</v>
      </c>
      <c r="D6618" s="17" t="s">
        <v>53</v>
      </c>
      <c r="E6618" s="17"/>
      <c r="F6618" s="18"/>
      <c r="G6618" s="36" t="str">
        <f>IF(ISNUMBER(F6618),C6618*F6618,"")</f>
        <v/>
      </c>
    </row>
    <row r="6619" spans="1:7" ht="12" customHeight="1" outlineLevel="2" x14ac:dyDescent="0.2">
      <c r="A6619" s="14" t="s">
        <v>13041</v>
      </c>
      <c r="B6619" s="15" t="s">
        <v>13042</v>
      </c>
      <c r="C6619" s="16">
        <f>7.86/(1+B2)</f>
        <v>7.86</v>
      </c>
      <c r="D6619" s="17" t="s">
        <v>106</v>
      </c>
      <c r="E6619" s="17"/>
      <c r="F6619" s="18"/>
      <c r="G6619" s="36" t="str">
        <f>IF(ISNUMBER(F6619),C6619*F6619,"")</f>
        <v/>
      </c>
    </row>
    <row r="6620" spans="1:7" ht="12" customHeight="1" outlineLevel="2" x14ac:dyDescent="0.2">
      <c r="A6620" s="14" t="s">
        <v>13043</v>
      </c>
      <c r="B6620" s="15" t="s">
        <v>13044</v>
      </c>
      <c r="C6620" s="16">
        <f>45.44/(1+B2)</f>
        <v>45.44</v>
      </c>
      <c r="D6620" s="17" t="s">
        <v>11</v>
      </c>
      <c r="E6620" s="17"/>
      <c r="F6620" s="18"/>
      <c r="G6620" s="36" t="str">
        <f>IF(ISNUMBER(F6620),C6620*F6620,"")</f>
        <v/>
      </c>
    </row>
    <row r="6621" spans="1:7" ht="12" customHeight="1" outlineLevel="2" x14ac:dyDescent="0.2">
      <c r="A6621" s="14" t="s">
        <v>13045</v>
      </c>
      <c r="B6621" s="15" t="s">
        <v>13046</v>
      </c>
      <c r="C6621" s="16">
        <f>56.99/(1+B2)</f>
        <v>56.99</v>
      </c>
      <c r="D6621" s="17" t="s">
        <v>11</v>
      </c>
      <c r="E6621" s="17"/>
      <c r="F6621" s="18"/>
      <c r="G6621" s="36" t="str">
        <f>IF(ISNUMBER(F6621),C6621*F6621,"")</f>
        <v/>
      </c>
    </row>
    <row r="6622" spans="1:7" ht="12" customHeight="1" outlineLevel="2" x14ac:dyDescent="0.2">
      <c r="A6622" s="14" t="s">
        <v>13047</v>
      </c>
      <c r="B6622" s="15" t="s">
        <v>13048</v>
      </c>
      <c r="C6622" s="16">
        <f>15.88/(1+B2)</f>
        <v>15.88</v>
      </c>
      <c r="D6622" s="17" t="s">
        <v>14</v>
      </c>
      <c r="E6622" s="17"/>
      <c r="F6622" s="18"/>
      <c r="G6622" s="36" t="str">
        <f>IF(ISNUMBER(F6622),C6622*F6622,"")</f>
        <v/>
      </c>
    </row>
    <row r="6623" spans="1:7" ht="24" customHeight="1" outlineLevel="2" x14ac:dyDescent="0.2">
      <c r="A6623" s="14" t="s">
        <v>13049</v>
      </c>
      <c r="B6623" s="15" t="s">
        <v>13050</v>
      </c>
      <c r="C6623" s="16">
        <f>29.03/(1+B2)</f>
        <v>29.03</v>
      </c>
      <c r="D6623" s="17" t="s">
        <v>11</v>
      </c>
      <c r="E6623" s="17"/>
      <c r="F6623" s="18"/>
      <c r="G6623" s="36" t="str">
        <f>IF(ISNUMBER(F6623),C6623*F6623,"")</f>
        <v/>
      </c>
    </row>
    <row r="6624" spans="1:7" ht="12" customHeight="1" outlineLevel="2" x14ac:dyDescent="0.2">
      <c r="A6624" s="14" t="s">
        <v>13051</v>
      </c>
      <c r="B6624" s="15" t="s">
        <v>13052</v>
      </c>
      <c r="C6624" s="16">
        <f>17.02/(1+B2)</f>
        <v>17.02</v>
      </c>
      <c r="D6624" s="17" t="s">
        <v>14</v>
      </c>
      <c r="E6624" s="17"/>
      <c r="F6624" s="18"/>
      <c r="G6624" s="36" t="str">
        <f>IF(ISNUMBER(F6624),C6624*F6624,"")</f>
        <v/>
      </c>
    </row>
    <row r="6625" spans="1:7" ht="12" customHeight="1" outlineLevel="2" x14ac:dyDescent="0.2">
      <c r="A6625" s="14" t="s">
        <v>13053</v>
      </c>
      <c r="B6625" s="15" t="s">
        <v>13054</v>
      </c>
      <c r="C6625" s="16">
        <f>16.18/(1+B2)</f>
        <v>16.18</v>
      </c>
      <c r="D6625" s="17" t="s">
        <v>14</v>
      </c>
      <c r="E6625" s="17"/>
      <c r="F6625" s="18"/>
      <c r="G6625" s="36" t="str">
        <f>IF(ISNUMBER(F6625),C6625*F6625,"")</f>
        <v/>
      </c>
    </row>
    <row r="6626" spans="1:7" ht="24" customHeight="1" outlineLevel="2" x14ac:dyDescent="0.2">
      <c r="A6626" s="14" t="s">
        <v>13055</v>
      </c>
      <c r="B6626" s="15" t="s">
        <v>13056</v>
      </c>
      <c r="C6626" s="16">
        <f>24.94/(1+B2)</f>
        <v>24.94</v>
      </c>
      <c r="D6626" s="17" t="s">
        <v>14</v>
      </c>
      <c r="E6626" s="17"/>
      <c r="F6626" s="18"/>
      <c r="G6626" s="36" t="str">
        <f>IF(ISNUMBER(F6626),C6626*F6626,"")</f>
        <v/>
      </c>
    </row>
    <row r="6627" spans="1:7" ht="12" customHeight="1" outlineLevel="2" x14ac:dyDescent="0.2">
      <c r="A6627" s="14" t="s">
        <v>13057</v>
      </c>
      <c r="B6627" s="15" t="s">
        <v>13058</v>
      </c>
      <c r="C6627" s="16">
        <f>21.59/(1+B2)</f>
        <v>21.59</v>
      </c>
      <c r="D6627" s="17" t="s">
        <v>14</v>
      </c>
      <c r="E6627" s="17"/>
      <c r="F6627" s="18"/>
      <c r="G6627" s="36" t="str">
        <f>IF(ISNUMBER(F6627),C6627*F6627,"")</f>
        <v/>
      </c>
    </row>
    <row r="6628" spans="1:7" ht="24" customHeight="1" outlineLevel="2" x14ac:dyDescent="0.2">
      <c r="A6628" s="14" t="s">
        <v>13059</v>
      </c>
      <c r="B6628" s="15" t="s">
        <v>13060</v>
      </c>
      <c r="C6628" s="16">
        <f>23.21/(1+B2)</f>
        <v>23.21</v>
      </c>
      <c r="D6628" s="17" t="s">
        <v>11</v>
      </c>
      <c r="E6628" s="17"/>
      <c r="F6628" s="18"/>
      <c r="G6628" s="36" t="str">
        <f>IF(ISNUMBER(F6628),C6628*F6628,"")</f>
        <v/>
      </c>
    </row>
    <row r="6629" spans="1:7" ht="24" customHeight="1" outlineLevel="2" x14ac:dyDescent="0.2">
      <c r="A6629" s="14" t="s">
        <v>13061</v>
      </c>
      <c r="B6629" s="15" t="s">
        <v>13062</v>
      </c>
      <c r="C6629" s="16">
        <f>23.8/(1+B2)</f>
        <v>23.8</v>
      </c>
      <c r="D6629" s="17" t="s">
        <v>14</v>
      </c>
      <c r="E6629" s="17"/>
      <c r="F6629" s="18"/>
      <c r="G6629" s="36" t="str">
        <f>IF(ISNUMBER(F6629),C6629*F6629,"")</f>
        <v/>
      </c>
    </row>
    <row r="6630" spans="1:7" s="1" customFormat="1" ht="15.95" customHeight="1" outlineLevel="1" x14ac:dyDescent="0.25">
      <c r="A6630" s="11"/>
      <c r="B6630" s="12" t="s">
        <v>13063</v>
      </c>
      <c r="C6630" s="13"/>
      <c r="D6630" s="13"/>
      <c r="E6630" s="13"/>
      <c r="F6630" s="13"/>
      <c r="G6630" s="35"/>
    </row>
    <row r="6631" spans="1:7" ht="12" customHeight="1" outlineLevel="2" x14ac:dyDescent="0.2">
      <c r="A6631" s="14" t="s">
        <v>13064</v>
      </c>
      <c r="B6631" s="15" t="s">
        <v>13065</v>
      </c>
      <c r="C6631" s="16">
        <f>5.69/(1+B2)</f>
        <v>5.69</v>
      </c>
      <c r="D6631" s="17" t="s">
        <v>53</v>
      </c>
      <c r="E6631" s="17"/>
      <c r="F6631" s="18"/>
      <c r="G6631" s="36" t="str">
        <f>IF(ISNUMBER(F6631),C6631*F6631,"")</f>
        <v/>
      </c>
    </row>
    <row r="6632" spans="1:7" ht="24" customHeight="1" outlineLevel="2" x14ac:dyDescent="0.2">
      <c r="A6632" s="14" t="s">
        <v>13066</v>
      </c>
      <c r="B6632" s="15" t="s">
        <v>13067</v>
      </c>
      <c r="C6632" s="16">
        <f>81.96/(1+B2)</f>
        <v>81.96</v>
      </c>
      <c r="D6632" s="17" t="s">
        <v>11</v>
      </c>
      <c r="E6632" s="17"/>
      <c r="F6632" s="18"/>
      <c r="G6632" s="36" t="str">
        <f>IF(ISNUMBER(F6632),C6632*F6632,"")</f>
        <v/>
      </c>
    </row>
    <row r="6633" spans="1:7" ht="24" customHeight="1" outlineLevel="2" x14ac:dyDescent="0.2">
      <c r="A6633" s="14" t="s">
        <v>13068</v>
      </c>
      <c r="B6633" s="15" t="s">
        <v>13069</v>
      </c>
      <c r="C6633" s="16">
        <f>176.44/(1+B2)</f>
        <v>176.44</v>
      </c>
      <c r="D6633" s="17" t="s">
        <v>11</v>
      </c>
      <c r="E6633" s="17"/>
      <c r="F6633" s="18"/>
      <c r="G6633" s="36" t="str">
        <f>IF(ISNUMBER(F6633),C6633*F6633,"")</f>
        <v/>
      </c>
    </row>
    <row r="6634" spans="1:7" ht="12" customHeight="1" outlineLevel="2" x14ac:dyDescent="0.2">
      <c r="A6634" s="14" t="s">
        <v>13070</v>
      </c>
      <c r="B6634" s="15" t="s">
        <v>13071</v>
      </c>
      <c r="C6634" s="16">
        <f>66.07/(1+B2)</f>
        <v>66.069999999999993</v>
      </c>
      <c r="D6634" s="17" t="s">
        <v>11</v>
      </c>
      <c r="E6634" s="17"/>
      <c r="F6634" s="18"/>
      <c r="G6634" s="36" t="str">
        <f>IF(ISNUMBER(F6634),C6634*F6634,"")</f>
        <v/>
      </c>
    </row>
    <row r="6635" spans="1:7" ht="24" customHeight="1" outlineLevel="2" x14ac:dyDescent="0.2">
      <c r="A6635" s="14" t="s">
        <v>13072</v>
      </c>
      <c r="B6635" s="15" t="s">
        <v>13073</v>
      </c>
      <c r="C6635" s="16">
        <f>142.57/(1+B2)</f>
        <v>142.57</v>
      </c>
      <c r="D6635" s="17" t="s">
        <v>11</v>
      </c>
      <c r="E6635" s="17"/>
      <c r="F6635" s="18"/>
      <c r="G6635" s="36" t="str">
        <f>IF(ISNUMBER(F6635),C6635*F6635,"")</f>
        <v/>
      </c>
    </row>
    <row r="6636" spans="1:7" ht="12" customHeight="1" outlineLevel="2" x14ac:dyDescent="0.2">
      <c r="A6636" s="14" t="s">
        <v>13074</v>
      </c>
      <c r="B6636" s="15" t="s">
        <v>13075</v>
      </c>
      <c r="C6636" s="16">
        <f>181.56/(1+B2)</f>
        <v>181.56</v>
      </c>
      <c r="D6636" s="17" t="s">
        <v>11</v>
      </c>
      <c r="E6636" s="17"/>
      <c r="F6636" s="18"/>
      <c r="G6636" s="36" t="str">
        <f>IF(ISNUMBER(F6636),C6636*F6636,"")</f>
        <v/>
      </c>
    </row>
    <row r="6637" spans="1:7" ht="12" customHeight="1" outlineLevel="2" x14ac:dyDescent="0.2">
      <c r="A6637" s="14" t="s">
        <v>13076</v>
      </c>
      <c r="B6637" s="15" t="s">
        <v>13077</v>
      </c>
      <c r="C6637" s="16">
        <f>50.42/(1+B2)</f>
        <v>50.42</v>
      </c>
      <c r="D6637" s="17" t="s">
        <v>11</v>
      </c>
      <c r="E6637" s="17"/>
      <c r="F6637" s="18"/>
      <c r="G6637" s="36" t="str">
        <f>IF(ISNUMBER(F6637),C6637*F6637,"")</f>
        <v/>
      </c>
    </row>
    <row r="6638" spans="1:7" ht="24" customHeight="1" outlineLevel="2" x14ac:dyDescent="0.2">
      <c r="A6638" s="14" t="s">
        <v>13078</v>
      </c>
      <c r="B6638" s="15" t="s">
        <v>13079</v>
      </c>
      <c r="C6638" s="16">
        <f>199.58/(1+B2)</f>
        <v>199.58</v>
      </c>
      <c r="D6638" s="17" t="s">
        <v>11</v>
      </c>
      <c r="E6638" s="17"/>
      <c r="F6638" s="18"/>
      <c r="G6638" s="36" t="str">
        <f>IF(ISNUMBER(F6638),C6638*F6638,"")</f>
        <v/>
      </c>
    </row>
    <row r="6639" spans="1:7" ht="24" customHeight="1" outlineLevel="2" x14ac:dyDescent="0.2">
      <c r="A6639" s="14" t="s">
        <v>13080</v>
      </c>
      <c r="B6639" s="15" t="s">
        <v>13081</v>
      </c>
      <c r="C6639" s="16">
        <f>157.34/(1+B2)</f>
        <v>157.34</v>
      </c>
      <c r="D6639" s="17" t="s">
        <v>11</v>
      </c>
      <c r="E6639" s="17"/>
      <c r="F6639" s="18"/>
      <c r="G6639" s="36" t="str">
        <f>IF(ISNUMBER(F6639),C6639*F6639,"")</f>
        <v/>
      </c>
    </row>
    <row r="6640" spans="1:7" ht="24" customHeight="1" outlineLevel="2" x14ac:dyDescent="0.2">
      <c r="A6640" s="14" t="s">
        <v>13082</v>
      </c>
      <c r="B6640" s="15" t="s">
        <v>13083</v>
      </c>
      <c r="C6640" s="16">
        <f>93.98/(1+B2)</f>
        <v>93.98</v>
      </c>
      <c r="D6640" s="17" t="s">
        <v>11</v>
      </c>
      <c r="E6640" s="17"/>
      <c r="F6640" s="18"/>
      <c r="G6640" s="36" t="str">
        <f>IF(ISNUMBER(F6640),C6640*F6640,"")</f>
        <v/>
      </c>
    </row>
    <row r="6641" spans="1:7" ht="12" customHeight="1" outlineLevel="2" x14ac:dyDescent="0.2">
      <c r="A6641" s="14" t="s">
        <v>13084</v>
      </c>
      <c r="B6641" s="15" t="s">
        <v>13085</v>
      </c>
      <c r="C6641" s="16">
        <f>66.78/(1+B2)</f>
        <v>66.78</v>
      </c>
      <c r="D6641" s="17" t="s">
        <v>11</v>
      </c>
      <c r="E6641" s="17"/>
      <c r="F6641" s="18"/>
      <c r="G6641" s="36" t="str">
        <f>IF(ISNUMBER(F6641),C6641*F6641,"")</f>
        <v/>
      </c>
    </row>
    <row r="6642" spans="1:7" ht="12" customHeight="1" outlineLevel="2" x14ac:dyDescent="0.2">
      <c r="A6642" s="14" t="s">
        <v>13086</v>
      </c>
      <c r="B6642" s="15" t="s">
        <v>13087</v>
      </c>
      <c r="C6642" s="16">
        <f>120.58/(1+B2)</f>
        <v>120.58</v>
      </c>
      <c r="D6642" s="17" t="s">
        <v>11</v>
      </c>
      <c r="E6642" s="17"/>
      <c r="F6642" s="18"/>
      <c r="G6642" s="36" t="str">
        <f>IF(ISNUMBER(F6642),C6642*F6642,"")</f>
        <v/>
      </c>
    </row>
    <row r="6643" spans="1:7" ht="24" customHeight="1" outlineLevel="2" x14ac:dyDescent="0.2">
      <c r="A6643" s="14" t="s">
        <v>13088</v>
      </c>
      <c r="B6643" s="15" t="s">
        <v>13089</v>
      </c>
      <c r="C6643" s="16">
        <f>45.78/(1+B2)</f>
        <v>45.78</v>
      </c>
      <c r="D6643" s="17" t="s">
        <v>11</v>
      </c>
      <c r="E6643" s="17"/>
      <c r="F6643" s="18"/>
      <c r="G6643" s="36" t="str">
        <f>IF(ISNUMBER(F6643),C6643*F6643,"")</f>
        <v/>
      </c>
    </row>
    <row r="6644" spans="1:7" ht="24" customHeight="1" outlineLevel="2" x14ac:dyDescent="0.2">
      <c r="A6644" s="14" t="s">
        <v>13090</v>
      </c>
      <c r="B6644" s="15" t="s">
        <v>13091</v>
      </c>
      <c r="C6644" s="16">
        <f>21.64/(1+B2)</f>
        <v>21.64</v>
      </c>
      <c r="D6644" s="17" t="s">
        <v>11</v>
      </c>
      <c r="E6644" s="17"/>
      <c r="F6644" s="18"/>
      <c r="G6644" s="36" t="str">
        <f>IF(ISNUMBER(F6644),C6644*F6644,"")</f>
        <v/>
      </c>
    </row>
    <row r="6645" spans="1:7" ht="24" customHeight="1" outlineLevel="2" x14ac:dyDescent="0.2">
      <c r="A6645" s="14" t="s">
        <v>13092</v>
      </c>
      <c r="B6645" s="15" t="s">
        <v>13093</v>
      </c>
      <c r="C6645" s="16">
        <f>27.06/(1+B2)</f>
        <v>27.06</v>
      </c>
      <c r="D6645" s="17" t="s">
        <v>14</v>
      </c>
      <c r="E6645" s="17"/>
      <c r="F6645" s="18"/>
      <c r="G6645" s="36" t="str">
        <f>IF(ISNUMBER(F6645),C6645*F6645,"")</f>
        <v/>
      </c>
    </row>
    <row r="6646" spans="1:7" s="1" customFormat="1" ht="15.95" customHeight="1" outlineLevel="1" x14ac:dyDescent="0.25">
      <c r="A6646" s="11"/>
      <c r="B6646" s="12" t="s">
        <v>13094</v>
      </c>
      <c r="C6646" s="13"/>
      <c r="D6646" s="13"/>
      <c r="E6646" s="13"/>
      <c r="F6646" s="13"/>
      <c r="G6646" s="35"/>
    </row>
    <row r="6647" spans="1:7" ht="12" customHeight="1" outlineLevel="2" x14ac:dyDescent="0.2">
      <c r="A6647" s="14" t="s">
        <v>13095</v>
      </c>
      <c r="B6647" s="15" t="s">
        <v>13096</v>
      </c>
      <c r="C6647" s="16">
        <f>22.62/(1+B2)</f>
        <v>22.62</v>
      </c>
      <c r="D6647" s="17" t="s">
        <v>14</v>
      </c>
      <c r="E6647" s="17" t="s">
        <v>11</v>
      </c>
      <c r="F6647" s="18"/>
      <c r="G6647" s="36" t="str">
        <f>IF(ISNUMBER(F6647),C6647*F6647,"")</f>
        <v/>
      </c>
    </row>
    <row r="6648" spans="1:7" ht="12" customHeight="1" outlineLevel="2" x14ac:dyDescent="0.2">
      <c r="A6648" s="14" t="s">
        <v>13097</v>
      </c>
      <c r="B6648" s="15" t="s">
        <v>13098</v>
      </c>
      <c r="C6648" s="16">
        <f>37.03/(1+B2)</f>
        <v>37.03</v>
      </c>
      <c r="D6648" s="17" t="s">
        <v>11</v>
      </c>
      <c r="E6648" s="17"/>
      <c r="F6648" s="18"/>
      <c r="G6648" s="36" t="str">
        <f>IF(ISNUMBER(F6648),C6648*F6648,"")</f>
        <v/>
      </c>
    </row>
    <row r="6649" spans="1:7" ht="12" customHeight="1" outlineLevel="2" x14ac:dyDescent="0.2">
      <c r="A6649" s="14" t="s">
        <v>13099</v>
      </c>
      <c r="B6649" s="15" t="s">
        <v>13100</v>
      </c>
      <c r="C6649" s="16">
        <f>61.32/(1+B2)</f>
        <v>61.32</v>
      </c>
      <c r="D6649" s="17" t="s">
        <v>11</v>
      </c>
      <c r="E6649" s="17"/>
      <c r="F6649" s="18"/>
      <c r="G6649" s="36" t="str">
        <f>IF(ISNUMBER(F6649),C6649*F6649,"")</f>
        <v/>
      </c>
    </row>
    <row r="6650" spans="1:7" ht="12" customHeight="1" outlineLevel="2" x14ac:dyDescent="0.2">
      <c r="A6650" s="14" t="s">
        <v>13101</v>
      </c>
      <c r="B6650" s="15" t="s">
        <v>13102</v>
      </c>
      <c r="C6650" s="16">
        <f>53.66/(1+B2)</f>
        <v>53.66</v>
      </c>
      <c r="D6650" s="17" t="s">
        <v>14</v>
      </c>
      <c r="E6650" s="17" t="s">
        <v>53</v>
      </c>
      <c r="F6650" s="18"/>
      <c r="G6650" s="36" t="str">
        <f>IF(ISNUMBER(F6650),C6650*F6650,"")</f>
        <v/>
      </c>
    </row>
    <row r="6651" spans="1:7" ht="12" customHeight="1" outlineLevel="2" x14ac:dyDescent="0.2">
      <c r="A6651" s="14" t="s">
        <v>13103</v>
      </c>
      <c r="B6651" s="15" t="s">
        <v>13104</v>
      </c>
      <c r="C6651" s="16">
        <f>73.63/(1+B2)</f>
        <v>73.63</v>
      </c>
      <c r="D6651" s="17" t="s">
        <v>11</v>
      </c>
      <c r="E6651" s="17" t="s">
        <v>53</v>
      </c>
      <c r="F6651" s="18"/>
      <c r="G6651" s="36" t="str">
        <f>IF(ISNUMBER(F6651),C6651*F6651,"")</f>
        <v/>
      </c>
    </row>
    <row r="6652" spans="1:7" ht="12" customHeight="1" outlineLevel="2" x14ac:dyDescent="0.2">
      <c r="A6652" s="14" t="s">
        <v>13105</v>
      </c>
      <c r="B6652" s="15" t="s">
        <v>13106</v>
      </c>
      <c r="C6652" s="16">
        <f>49.1/(1+B2)</f>
        <v>49.1</v>
      </c>
      <c r="D6652" s="17" t="s">
        <v>11</v>
      </c>
      <c r="E6652" s="17" t="s">
        <v>53</v>
      </c>
      <c r="F6652" s="18"/>
      <c r="G6652" s="36" t="str">
        <f>IF(ISNUMBER(F6652),C6652*F6652,"")</f>
        <v/>
      </c>
    </row>
    <row r="6653" spans="1:7" ht="12" customHeight="1" outlineLevel="2" x14ac:dyDescent="0.2">
      <c r="A6653" s="14" t="s">
        <v>13107</v>
      </c>
      <c r="B6653" s="15" t="s">
        <v>13108</v>
      </c>
      <c r="C6653" s="16">
        <f>70.8/(1+B2)</f>
        <v>70.8</v>
      </c>
      <c r="D6653" s="17" t="s">
        <v>11</v>
      </c>
      <c r="E6653" s="17" t="s">
        <v>53</v>
      </c>
      <c r="F6653" s="18"/>
      <c r="G6653" s="36" t="str">
        <f>IF(ISNUMBER(F6653),C6653*F6653,"")</f>
        <v/>
      </c>
    </row>
    <row r="6654" spans="1:7" ht="12" customHeight="1" outlineLevel="2" x14ac:dyDescent="0.2">
      <c r="A6654" s="14" t="s">
        <v>13109</v>
      </c>
      <c r="B6654" s="15" t="s">
        <v>13110</v>
      </c>
      <c r="C6654" s="16">
        <f>86.11/(1+B2)</f>
        <v>86.11</v>
      </c>
      <c r="D6654" s="17" t="s">
        <v>11</v>
      </c>
      <c r="E6654" s="17" t="s">
        <v>53</v>
      </c>
      <c r="F6654" s="18"/>
      <c r="G6654" s="36" t="str">
        <f>IF(ISNUMBER(F6654),C6654*F6654,"")</f>
        <v/>
      </c>
    </row>
    <row r="6655" spans="1:7" ht="12" customHeight="1" outlineLevel="2" x14ac:dyDescent="0.2">
      <c r="A6655" s="14" t="s">
        <v>13111</v>
      </c>
      <c r="B6655" s="15" t="s">
        <v>13112</v>
      </c>
      <c r="C6655" s="16">
        <f>77.65/(1+B2)</f>
        <v>77.650000000000006</v>
      </c>
      <c r="D6655" s="17" t="s">
        <v>11</v>
      </c>
      <c r="E6655" s="17" t="s">
        <v>53</v>
      </c>
      <c r="F6655" s="18"/>
      <c r="G6655" s="36" t="str">
        <f>IF(ISNUMBER(F6655),C6655*F6655,"")</f>
        <v/>
      </c>
    </row>
    <row r="6656" spans="1:7" ht="12" customHeight="1" outlineLevel="2" x14ac:dyDescent="0.2">
      <c r="A6656" s="14" t="s">
        <v>13113</v>
      </c>
      <c r="B6656" s="15" t="s">
        <v>13114</v>
      </c>
      <c r="C6656" s="16">
        <f>52.99/(1+B2)</f>
        <v>52.99</v>
      </c>
      <c r="D6656" s="17" t="s">
        <v>14</v>
      </c>
      <c r="E6656" s="17" t="s">
        <v>53</v>
      </c>
      <c r="F6656" s="18"/>
      <c r="G6656" s="36" t="str">
        <f>IF(ISNUMBER(F6656),C6656*F6656,"")</f>
        <v/>
      </c>
    </row>
    <row r="6657" spans="1:7" ht="12" customHeight="1" outlineLevel="2" x14ac:dyDescent="0.2">
      <c r="A6657" s="14" t="s">
        <v>13115</v>
      </c>
      <c r="B6657" s="15" t="s">
        <v>13116</v>
      </c>
      <c r="C6657" s="16">
        <f>86.78/(1+B2)</f>
        <v>86.78</v>
      </c>
      <c r="D6657" s="17" t="s">
        <v>11</v>
      </c>
      <c r="E6657" s="17" t="s">
        <v>53</v>
      </c>
      <c r="F6657" s="18"/>
      <c r="G6657" s="36" t="str">
        <f>IF(ISNUMBER(F6657),C6657*F6657,"")</f>
        <v/>
      </c>
    </row>
    <row r="6658" spans="1:7" ht="12" customHeight="1" outlineLevel="2" x14ac:dyDescent="0.2">
      <c r="A6658" s="14" t="s">
        <v>13117</v>
      </c>
      <c r="B6658" s="15" t="s">
        <v>13118</v>
      </c>
      <c r="C6658" s="16">
        <f>85.87/(1+B2)</f>
        <v>85.87</v>
      </c>
      <c r="D6658" s="17" t="s">
        <v>11</v>
      </c>
      <c r="E6658" s="17" t="s">
        <v>53</v>
      </c>
      <c r="F6658" s="18"/>
      <c r="G6658" s="36" t="str">
        <f>IF(ISNUMBER(F6658),C6658*F6658,"")</f>
        <v/>
      </c>
    </row>
    <row r="6659" spans="1:7" ht="12" customHeight="1" outlineLevel="2" x14ac:dyDescent="0.2">
      <c r="A6659" s="14" t="s">
        <v>13119</v>
      </c>
      <c r="B6659" s="15" t="s">
        <v>13120</v>
      </c>
      <c r="C6659" s="16">
        <f>41.43/(1+B2)</f>
        <v>41.43</v>
      </c>
      <c r="D6659" s="17" t="s">
        <v>11</v>
      </c>
      <c r="E6659" s="17"/>
      <c r="F6659" s="18"/>
      <c r="G6659" s="36" t="str">
        <f>IF(ISNUMBER(F6659),C6659*F6659,"")</f>
        <v/>
      </c>
    </row>
    <row r="6660" spans="1:7" ht="12" customHeight="1" outlineLevel="2" x14ac:dyDescent="0.2">
      <c r="A6660" s="14" t="s">
        <v>13121</v>
      </c>
      <c r="B6660" s="15" t="s">
        <v>13122</v>
      </c>
      <c r="C6660" s="16">
        <f>44.76/(1+B2)</f>
        <v>44.76</v>
      </c>
      <c r="D6660" s="17" t="s">
        <v>11</v>
      </c>
      <c r="E6660" s="17" t="s">
        <v>53</v>
      </c>
      <c r="F6660" s="18"/>
      <c r="G6660" s="36" t="str">
        <f>IF(ISNUMBER(F6660),C6660*F6660,"")</f>
        <v/>
      </c>
    </row>
    <row r="6661" spans="1:7" ht="12" customHeight="1" outlineLevel="2" x14ac:dyDescent="0.2">
      <c r="A6661" s="14" t="s">
        <v>13123</v>
      </c>
      <c r="B6661" s="15" t="s">
        <v>13124</v>
      </c>
      <c r="C6661" s="16">
        <f>50.93/(1+B2)</f>
        <v>50.93</v>
      </c>
      <c r="D6661" s="17" t="s">
        <v>11</v>
      </c>
      <c r="E6661" s="17" t="s">
        <v>53</v>
      </c>
      <c r="F6661" s="18"/>
      <c r="G6661" s="36" t="str">
        <f>IF(ISNUMBER(F6661),C6661*F6661,"")</f>
        <v/>
      </c>
    </row>
    <row r="6662" spans="1:7" ht="12" customHeight="1" outlineLevel="2" x14ac:dyDescent="0.2">
      <c r="A6662" s="14" t="s">
        <v>13125</v>
      </c>
      <c r="B6662" s="15" t="s">
        <v>13126</v>
      </c>
      <c r="C6662" s="16">
        <f>39.47/(1+B2)</f>
        <v>39.47</v>
      </c>
      <c r="D6662" s="17" t="s">
        <v>53</v>
      </c>
      <c r="E6662" s="17" t="s">
        <v>106</v>
      </c>
      <c r="F6662" s="18"/>
      <c r="G6662" s="36" t="str">
        <f>IF(ISNUMBER(F6662),C6662*F6662,"")</f>
        <v/>
      </c>
    </row>
    <row r="6663" spans="1:7" ht="24" customHeight="1" outlineLevel="2" x14ac:dyDescent="0.2">
      <c r="A6663" s="14" t="s">
        <v>13127</v>
      </c>
      <c r="B6663" s="15" t="s">
        <v>13128</v>
      </c>
      <c r="C6663" s="16">
        <f>58.81/(1+B2)</f>
        <v>58.81</v>
      </c>
      <c r="D6663" s="17" t="s">
        <v>14</v>
      </c>
      <c r="E6663" s="17"/>
      <c r="F6663" s="18"/>
      <c r="G6663" s="36" t="str">
        <f>IF(ISNUMBER(F6663),C6663*F6663,"")</f>
        <v/>
      </c>
    </row>
    <row r="6664" spans="1:7" ht="12" customHeight="1" outlineLevel="2" x14ac:dyDescent="0.2">
      <c r="A6664" s="14" t="s">
        <v>13129</v>
      </c>
      <c r="B6664" s="15" t="s">
        <v>13130</v>
      </c>
      <c r="C6664" s="16">
        <f>152.26/(1+B2)</f>
        <v>152.26</v>
      </c>
      <c r="D6664" s="17" t="s">
        <v>11</v>
      </c>
      <c r="E6664" s="17"/>
      <c r="F6664" s="18"/>
      <c r="G6664" s="36" t="str">
        <f>IF(ISNUMBER(F6664),C6664*F6664,"")</f>
        <v/>
      </c>
    </row>
    <row r="6665" spans="1:7" ht="12" customHeight="1" outlineLevel="2" x14ac:dyDescent="0.2">
      <c r="A6665" s="14" t="s">
        <v>13131</v>
      </c>
      <c r="B6665" s="15" t="s">
        <v>13132</v>
      </c>
      <c r="C6665" s="16">
        <f>334.49/(1+B2)</f>
        <v>334.49</v>
      </c>
      <c r="D6665" s="17" t="s">
        <v>11</v>
      </c>
      <c r="E6665" s="17"/>
      <c r="F6665" s="18"/>
      <c r="G6665" s="36" t="str">
        <f>IF(ISNUMBER(F6665),C6665*F6665,"")</f>
        <v/>
      </c>
    </row>
    <row r="6666" spans="1:7" ht="12" customHeight="1" outlineLevel="2" x14ac:dyDescent="0.2">
      <c r="A6666" s="14" t="s">
        <v>13133</v>
      </c>
      <c r="B6666" s="15" t="s">
        <v>13134</v>
      </c>
      <c r="C6666" s="16">
        <f>299.52/(1+B2)</f>
        <v>299.52</v>
      </c>
      <c r="D6666" s="17" t="s">
        <v>11</v>
      </c>
      <c r="E6666" s="17"/>
      <c r="F6666" s="18"/>
      <c r="G6666" s="36" t="str">
        <f>IF(ISNUMBER(F6666),C6666*F6666,"")</f>
        <v/>
      </c>
    </row>
    <row r="6667" spans="1:7" ht="12" customHeight="1" outlineLevel="2" x14ac:dyDescent="0.2">
      <c r="A6667" s="14" t="s">
        <v>13135</v>
      </c>
      <c r="B6667" s="15" t="s">
        <v>13136</v>
      </c>
      <c r="C6667" s="16">
        <f>205.27/(1+B2)</f>
        <v>205.27</v>
      </c>
      <c r="D6667" s="17" t="s">
        <v>11</v>
      </c>
      <c r="E6667" s="17"/>
      <c r="F6667" s="18"/>
      <c r="G6667" s="36" t="str">
        <f>IF(ISNUMBER(F6667),C6667*F6667,"")</f>
        <v/>
      </c>
    </row>
    <row r="6668" spans="1:7" ht="24" customHeight="1" outlineLevel="2" x14ac:dyDescent="0.2">
      <c r="A6668" s="14" t="s">
        <v>13137</v>
      </c>
      <c r="B6668" s="15" t="s">
        <v>13138</v>
      </c>
      <c r="C6668" s="16">
        <f>266.4/(1+B2)</f>
        <v>266.39999999999998</v>
      </c>
      <c r="D6668" s="17" t="s">
        <v>11</v>
      </c>
      <c r="E6668" s="17"/>
      <c r="F6668" s="18"/>
      <c r="G6668" s="36" t="str">
        <f>IF(ISNUMBER(F6668),C6668*F6668,"")</f>
        <v/>
      </c>
    </row>
    <row r="6669" spans="1:7" ht="12" customHeight="1" outlineLevel="2" x14ac:dyDescent="0.2">
      <c r="A6669" s="14" t="s">
        <v>13139</v>
      </c>
      <c r="B6669" s="15" t="s">
        <v>13140</v>
      </c>
      <c r="C6669" s="16">
        <f>28.14/(1+B2)</f>
        <v>28.14</v>
      </c>
      <c r="D6669" s="17" t="s">
        <v>14</v>
      </c>
      <c r="E6669" s="17" t="s">
        <v>53</v>
      </c>
      <c r="F6669" s="18"/>
      <c r="G6669" s="36" t="str">
        <f>IF(ISNUMBER(F6669),C6669*F6669,"")</f>
        <v/>
      </c>
    </row>
    <row r="6670" spans="1:7" ht="12" customHeight="1" outlineLevel="2" x14ac:dyDescent="0.2">
      <c r="A6670" s="14" t="s">
        <v>13141</v>
      </c>
      <c r="B6670" s="15" t="s">
        <v>13142</v>
      </c>
      <c r="C6670" s="16">
        <f>41.34/(1+B2)</f>
        <v>41.34</v>
      </c>
      <c r="D6670" s="17" t="s">
        <v>14</v>
      </c>
      <c r="E6670" s="17"/>
      <c r="F6670" s="18"/>
      <c r="G6670" s="36" t="str">
        <f>IF(ISNUMBER(F6670),C6670*F6670,"")</f>
        <v/>
      </c>
    </row>
    <row r="6671" spans="1:7" s="1" customFormat="1" ht="15.95" customHeight="1" x14ac:dyDescent="0.25">
      <c r="A6671" s="8"/>
      <c r="B6671" s="9" t="s">
        <v>13143</v>
      </c>
      <c r="C6671" s="10"/>
      <c r="D6671" s="10"/>
      <c r="E6671" s="10"/>
      <c r="F6671" s="10"/>
      <c r="G6671" s="34"/>
    </row>
    <row r="6672" spans="1:7" s="1" customFormat="1" ht="15.95" customHeight="1" outlineLevel="1" x14ac:dyDescent="0.25">
      <c r="A6672" s="11"/>
      <c r="B6672" s="12" t="s">
        <v>13144</v>
      </c>
      <c r="C6672" s="13"/>
      <c r="D6672" s="13"/>
      <c r="E6672" s="13"/>
      <c r="F6672" s="13"/>
      <c r="G6672" s="35"/>
    </row>
    <row r="6673" spans="1:7" s="1" customFormat="1" ht="12.95" customHeight="1" outlineLevel="2" x14ac:dyDescent="0.2">
      <c r="A6673" s="20"/>
      <c r="B6673" s="21" t="s">
        <v>13145</v>
      </c>
      <c r="C6673" s="22"/>
      <c r="D6673" s="22"/>
      <c r="E6673" s="22"/>
      <c r="F6673" s="22"/>
      <c r="G6673" s="37"/>
    </row>
    <row r="6674" spans="1:7" ht="12" customHeight="1" outlineLevel="3" x14ac:dyDescent="0.2">
      <c r="A6674" s="14" t="s">
        <v>13146</v>
      </c>
      <c r="B6674" s="15" t="s">
        <v>13147</v>
      </c>
      <c r="C6674" s="16">
        <f>25/(1+B2)</f>
        <v>25</v>
      </c>
      <c r="D6674" s="17" t="s">
        <v>11</v>
      </c>
      <c r="E6674" s="17"/>
      <c r="F6674" s="18"/>
      <c r="G6674" s="36" t="str">
        <f>IF(ISNUMBER(F6674),C6674*F6674,"")</f>
        <v/>
      </c>
    </row>
    <row r="6675" spans="1:7" ht="12" customHeight="1" outlineLevel="3" x14ac:dyDescent="0.2">
      <c r="A6675" s="14" t="s">
        <v>13148</v>
      </c>
      <c r="B6675" s="15" t="s">
        <v>13149</v>
      </c>
      <c r="C6675" s="16">
        <f>62.5/(1+B2)</f>
        <v>62.5</v>
      </c>
      <c r="D6675" s="17" t="s">
        <v>11</v>
      </c>
      <c r="E6675" s="17"/>
      <c r="F6675" s="18"/>
      <c r="G6675" s="36" t="str">
        <f>IF(ISNUMBER(F6675),C6675*F6675,"")</f>
        <v/>
      </c>
    </row>
    <row r="6676" spans="1:7" ht="12" customHeight="1" outlineLevel="3" x14ac:dyDescent="0.2">
      <c r="A6676" s="14" t="s">
        <v>13150</v>
      </c>
      <c r="B6676" s="15" t="s">
        <v>13151</v>
      </c>
      <c r="C6676" s="16">
        <f>65.76/(1+B2)</f>
        <v>65.760000000000005</v>
      </c>
      <c r="D6676" s="17" t="s">
        <v>53</v>
      </c>
      <c r="E6676" s="17"/>
      <c r="F6676" s="18"/>
      <c r="G6676" s="36" t="str">
        <f>IF(ISNUMBER(F6676),C6676*F6676,"")</f>
        <v/>
      </c>
    </row>
    <row r="6677" spans="1:7" ht="12" customHeight="1" outlineLevel="3" x14ac:dyDescent="0.2">
      <c r="A6677" s="14" t="s">
        <v>13152</v>
      </c>
      <c r="B6677" s="15" t="s">
        <v>13153</v>
      </c>
      <c r="C6677" s="16">
        <f>64.63/(1+B2)</f>
        <v>64.63</v>
      </c>
      <c r="D6677" s="17" t="s">
        <v>14</v>
      </c>
      <c r="E6677" s="17"/>
      <c r="F6677" s="18"/>
      <c r="G6677" s="36" t="str">
        <f>IF(ISNUMBER(F6677),C6677*F6677,"")</f>
        <v/>
      </c>
    </row>
    <row r="6678" spans="1:7" ht="12" customHeight="1" outlineLevel="3" x14ac:dyDescent="0.2">
      <c r="A6678" s="14" t="s">
        <v>13154</v>
      </c>
      <c r="B6678" s="15" t="s">
        <v>13155</v>
      </c>
      <c r="C6678" s="16">
        <f>64.63/(1+B2)</f>
        <v>64.63</v>
      </c>
      <c r="D6678" s="17" t="s">
        <v>11</v>
      </c>
      <c r="E6678" s="17"/>
      <c r="F6678" s="18"/>
      <c r="G6678" s="36" t="str">
        <f>IF(ISNUMBER(F6678),C6678*F6678,"")</f>
        <v/>
      </c>
    </row>
    <row r="6679" spans="1:7" ht="12" customHeight="1" outlineLevel="3" x14ac:dyDescent="0.2">
      <c r="A6679" s="14" t="s">
        <v>13156</v>
      </c>
      <c r="B6679" s="15" t="s">
        <v>13157</v>
      </c>
      <c r="C6679" s="16">
        <f>43.5/(1+B2)</f>
        <v>43.5</v>
      </c>
      <c r="D6679" s="17" t="s">
        <v>11</v>
      </c>
      <c r="E6679" s="17"/>
      <c r="F6679" s="18"/>
      <c r="G6679" s="36" t="str">
        <f>IF(ISNUMBER(F6679),C6679*F6679,"")</f>
        <v/>
      </c>
    </row>
    <row r="6680" spans="1:7" ht="12" customHeight="1" outlineLevel="3" x14ac:dyDescent="0.2">
      <c r="A6680" s="14" t="s">
        <v>13158</v>
      </c>
      <c r="B6680" s="15" t="s">
        <v>13159</v>
      </c>
      <c r="C6680" s="16">
        <f>58.5/(1+B2)</f>
        <v>58.5</v>
      </c>
      <c r="D6680" s="17" t="s">
        <v>11</v>
      </c>
      <c r="E6680" s="17"/>
      <c r="F6680" s="18"/>
      <c r="G6680" s="36" t="str">
        <f>IF(ISNUMBER(F6680),C6680*F6680,"")</f>
        <v/>
      </c>
    </row>
    <row r="6681" spans="1:7" ht="12" customHeight="1" outlineLevel="3" x14ac:dyDescent="0.2">
      <c r="A6681" s="14" t="s">
        <v>13160</v>
      </c>
      <c r="B6681" s="15" t="s">
        <v>13161</v>
      </c>
      <c r="C6681" s="16">
        <f>78.81/(1+B2)</f>
        <v>78.81</v>
      </c>
      <c r="D6681" s="17" t="s">
        <v>11</v>
      </c>
      <c r="E6681" s="17"/>
      <c r="F6681" s="18"/>
      <c r="G6681" s="36" t="str">
        <f>IF(ISNUMBER(F6681),C6681*F6681,"")</f>
        <v/>
      </c>
    </row>
    <row r="6682" spans="1:7" ht="12" customHeight="1" outlineLevel="3" x14ac:dyDescent="0.2">
      <c r="A6682" s="14" t="s">
        <v>13162</v>
      </c>
      <c r="B6682" s="15" t="s">
        <v>13163</v>
      </c>
      <c r="C6682" s="16">
        <f>58.24/(1+B2)</f>
        <v>58.24</v>
      </c>
      <c r="D6682" s="17" t="s">
        <v>53</v>
      </c>
      <c r="E6682" s="17" t="s">
        <v>106</v>
      </c>
      <c r="F6682" s="18"/>
      <c r="G6682" s="36" t="str">
        <f>IF(ISNUMBER(F6682),C6682*F6682,"")</f>
        <v/>
      </c>
    </row>
    <row r="6683" spans="1:7" ht="12" customHeight="1" outlineLevel="3" x14ac:dyDescent="0.2">
      <c r="A6683" s="14" t="s">
        <v>13164</v>
      </c>
      <c r="B6683" s="15" t="s">
        <v>13165</v>
      </c>
      <c r="C6683" s="16">
        <f>49.33/(1+B2)</f>
        <v>49.33</v>
      </c>
      <c r="D6683" s="17" t="s">
        <v>106</v>
      </c>
      <c r="E6683" s="17" t="s">
        <v>106</v>
      </c>
      <c r="F6683" s="18"/>
      <c r="G6683" s="36" t="str">
        <f>IF(ISNUMBER(F6683),C6683*F6683,"")</f>
        <v/>
      </c>
    </row>
    <row r="6684" spans="1:7" ht="12" customHeight="1" outlineLevel="3" x14ac:dyDescent="0.2">
      <c r="A6684" s="14" t="s">
        <v>13166</v>
      </c>
      <c r="B6684" s="15" t="s">
        <v>13167</v>
      </c>
      <c r="C6684" s="16">
        <f>67.1/(1+B2)</f>
        <v>67.099999999999994</v>
      </c>
      <c r="D6684" s="17" t="s">
        <v>53</v>
      </c>
      <c r="E6684" s="17" t="s">
        <v>11</v>
      </c>
      <c r="F6684" s="18"/>
      <c r="G6684" s="36" t="str">
        <f>IF(ISNUMBER(F6684),C6684*F6684,"")</f>
        <v/>
      </c>
    </row>
    <row r="6685" spans="1:7" ht="12" customHeight="1" outlineLevel="3" x14ac:dyDescent="0.2">
      <c r="A6685" s="14" t="s">
        <v>13168</v>
      </c>
      <c r="B6685" s="15" t="s">
        <v>13169</v>
      </c>
      <c r="C6685" s="16">
        <f>78/(1+B2)</f>
        <v>78</v>
      </c>
      <c r="D6685" s="17" t="s">
        <v>14</v>
      </c>
      <c r="E6685" s="17" t="s">
        <v>14</v>
      </c>
      <c r="F6685" s="18"/>
      <c r="G6685" s="36" t="str">
        <f>IF(ISNUMBER(F6685),C6685*F6685,"")</f>
        <v/>
      </c>
    </row>
    <row r="6686" spans="1:7" ht="12" customHeight="1" outlineLevel="3" x14ac:dyDescent="0.2">
      <c r="A6686" s="14" t="s">
        <v>13170</v>
      </c>
      <c r="B6686" s="15" t="s">
        <v>13171</v>
      </c>
      <c r="C6686" s="16">
        <f>63.59/(1+B2)</f>
        <v>63.59</v>
      </c>
      <c r="D6686" s="17" t="s">
        <v>53</v>
      </c>
      <c r="E6686" s="17"/>
      <c r="F6686" s="18"/>
      <c r="G6686" s="36" t="str">
        <f>IF(ISNUMBER(F6686),C6686*F6686,"")</f>
        <v/>
      </c>
    </row>
    <row r="6687" spans="1:7" ht="12" customHeight="1" outlineLevel="3" x14ac:dyDescent="0.2">
      <c r="A6687" s="14" t="s">
        <v>13172</v>
      </c>
      <c r="B6687" s="15" t="s">
        <v>13173</v>
      </c>
      <c r="C6687" s="16">
        <f>63.59/(1+B2)</f>
        <v>63.59</v>
      </c>
      <c r="D6687" s="17" t="s">
        <v>53</v>
      </c>
      <c r="E6687" s="17"/>
      <c r="F6687" s="18"/>
      <c r="G6687" s="36" t="str">
        <f>IF(ISNUMBER(F6687),C6687*F6687,"")</f>
        <v/>
      </c>
    </row>
    <row r="6688" spans="1:7" ht="12" customHeight="1" outlineLevel="3" x14ac:dyDescent="0.2">
      <c r="A6688" s="14" t="s">
        <v>13174</v>
      </c>
      <c r="B6688" s="15" t="s">
        <v>13175</v>
      </c>
      <c r="C6688" s="16">
        <f>42/(1+B2)</f>
        <v>42</v>
      </c>
      <c r="D6688" s="17" t="s">
        <v>11</v>
      </c>
      <c r="E6688" s="17"/>
      <c r="F6688" s="18"/>
      <c r="G6688" s="36" t="str">
        <f>IF(ISNUMBER(F6688),C6688*F6688,"")</f>
        <v/>
      </c>
    </row>
    <row r="6689" spans="1:7" ht="12" customHeight="1" outlineLevel="3" x14ac:dyDescent="0.2">
      <c r="A6689" s="14" t="s">
        <v>13176</v>
      </c>
      <c r="B6689" s="15" t="s">
        <v>13177</v>
      </c>
      <c r="C6689" s="16">
        <f>34.89/(1+B2)</f>
        <v>34.89</v>
      </c>
      <c r="D6689" s="17" t="s">
        <v>53</v>
      </c>
      <c r="E6689" s="17" t="s">
        <v>14</v>
      </c>
      <c r="F6689" s="18"/>
      <c r="G6689" s="36" t="str">
        <f>IF(ISNUMBER(F6689),C6689*F6689,"")</f>
        <v/>
      </c>
    </row>
    <row r="6690" spans="1:7" ht="12" customHeight="1" outlineLevel="3" x14ac:dyDescent="0.2">
      <c r="A6690" s="14" t="s">
        <v>13178</v>
      </c>
      <c r="B6690" s="15" t="s">
        <v>13179</v>
      </c>
      <c r="C6690" s="16">
        <f>31.07/(1+B2)</f>
        <v>31.07</v>
      </c>
      <c r="D6690" s="17" t="s">
        <v>11</v>
      </c>
      <c r="E6690" s="17"/>
      <c r="F6690" s="18"/>
      <c r="G6690" s="36" t="str">
        <f>IF(ISNUMBER(F6690),C6690*F6690,"")</f>
        <v/>
      </c>
    </row>
    <row r="6691" spans="1:7" ht="12" customHeight="1" outlineLevel="3" x14ac:dyDescent="0.2">
      <c r="A6691" s="14" t="s">
        <v>13180</v>
      </c>
      <c r="B6691" s="15" t="s">
        <v>13181</v>
      </c>
      <c r="C6691" s="16">
        <f>58.86/(1+B2)</f>
        <v>58.86</v>
      </c>
      <c r="D6691" s="17" t="s">
        <v>53</v>
      </c>
      <c r="E6691" s="17"/>
      <c r="F6691" s="18"/>
      <c r="G6691" s="36" t="str">
        <f>IF(ISNUMBER(F6691),C6691*F6691,"")</f>
        <v/>
      </c>
    </row>
    <row r="6692" spans="1:7" ht="12" customHeight="1" outlineLevel="3" x14ac:dyDescent="0.2">
      <c r="A6692" s="14" t="s">
        <v>13182</v>
      </c>
      <c r="B6692" s="15" t="s">
        <v>13183</v>
      </c>
      <c r="C6692" s="16">
        <f>42.79/(1+B2)</f>
        <v>42.79</v>
      </c>
      <c r="D6692" s="17" t="s">
        <v>11</v>
      </c>
      <c r="E6692" s="17"/>
      <c r="F6692" s="18"/>
      <c r="G6692" s="36" t="str">
        <f>IF(ISNUMBER(F6692),C6692*F6692,"")</f>
        <v/>
      </c>
    </row>
    <row r="6693" spans="1:7" ht="12" customHeight="1" outlineLevel="3" x14ac:dyDescent="0.2">
      <c r="A6693" s="14" t="s">
        <v>13184</v>
      </c>
      <c r="B6693" s="15" t="s">
        <v>13185</v>
      </c>
      <c r="C6693" s="16">
        <f>64.8/(1+B2)</f>
        <v>64.8</v>
      </c>
      <c r="D6693" s="17" t="s">
        <v>14</v>
      </c>
      <c r="E6693" s="17"/>
      <c r="F6693" s="18"/>
      <c r="G6693" s="36" t="str">
        <f>IF(ISNUMBER(F6693),C6693*F6693,"")</f>
        <v/>
      </c>
    </row>
    <row r="6694" spans="1:7" ht="12" customHeight="1" outlineLevel="3" x14ac:dyDescent="0.2">
      <c r="A6694" s="14" t="s">
        <v>13186</v>
      </c>
      <c r="B6694" s="15" t="s">
        <v>13187</v>
      </c>
      <c r="C6694" s="16">
        <f>48.24/(1+B2)</f>
        <v>48.24</v>
      </c>
      <c r="D6694" s="17" t="s">
        <v>53</v>
      </c>
      <c r="E6694" s="17"/>
      <c r="F6694" s="18"/>
      <c r="G6694" s="36" t="str">
        <f>IF(ISNUMBER(F6694),C6694*F6694,"")</f>
        <v/>
      </c>
    </row>
    <row r="6695" spans="1:7" ht="12" customHeight="1" outlineLevel="3" x14ac:dyDescent="0.2">
      <c r="A6695" s="14" t="s">
        <v>13188</v>
      </c>
      <c r="B6695" s="15" t="s">
        <v>13189</v>
      </c>
      <c r="C6695" s="16">
        <f>47.29/(1+B2)</f>
        <v>47.29</v>
      </c>
      <c r="D6695" s="17" t="s">
        <v>11</v>
      </c>
      <c r="E6695" s="17"/>
      <c r="F6695" s="18"/>
      <c r="G6695" s="36" t="str">
        <f>IF(ISNUMBER(F6695),C6695*F6695,"")</f>
        <v/>
      </c>
    </row>
    <row r="6696" spans="1:7" ht="12" customHeight="1" outlineLevel="3" x14ac:dyDescent="0.2">
      <c r="A6696" s="14" t="s">
        <v>13190</v>
      </c>
      <c r="B6696" s="15" t="s">
        <v>13191</v>
      </c>
      <c r="C6696" s="16">
        <f>64.97/(1+B2)</f>
        <v>64.97</v>
      </c>
      <c r="D6696" s="17" t="s">
        <v>11</v>
      </c>
      <c r="E6696" s="17" t="s">
        <v>14</v>
      </c>
      <c r="F6696" s="18"/>
      <c r="G6696" s="36" t="str">
        <f>IF(ISNUMBER(F6696),C6696*F6696,"")</f>
        <v/>
      </c>
    </row>
    <row r="6697" spans="1:7" ht="12" customHeight="1" outlineLevel="3" x14ac:dyDescent="0.2">
      <c r="A6697" s="14" t="s">
        <v>13192</v>
      </c>
      <c r="B6697" s="15" t="s">
        <v>13193</v>
      </c>
      <c r="C6697" s="16">
        <f>49.13/(1+B2)</f>
        <v>49.13</v>
      </c>
      <c r="D6697" s="17" t="s">
        <v>11</v>
      </c>
      <c r="E6697" s="17"/>
      <c r="F6697" s="18"/>
      <c r="G6697" s="36" t="str">
        <f>IF(ISNUMBER(F6697),C6697*F6697,"")</f>
        <v/>
      </c>
    </row>
    <row r="6698" spans="1:7" ht="12" customHeight="1" outlineLevel="3" x14ac:dyDescent="0.2">
      <c r="A6698" s="14" t="s">
        <v>13194</v>
      </c>
      <c r="B6698" s="15" t="s">
        <v>13195</v>
      </c>
      <c r="C6698" s="16">
        <f>22.36/(1+B2)</f>
        <v>22.36</v>
      </c>
      <c r="D6698" s="17" t="s">
        <v>106</v>
      </c>
      <c r="E6698" s="17"/>
      <c r="F6698" s="18"/>
      <c r="G6698" s="36" t="str">
        <f>IF(ISNUMBER(F6698),C6698*F6698,"")</f>
        <v/>
      </c>
    </row>
    <row r="6699" spans="1:7" ht="12" customHeight="1" outlineLevel="3" x14ac:dyDescent="0.2">
      <c r="A6699" s="14" t="s">
        <v>13196</v>
      </c>
      <c r="B6699" s="15" t="s">
        <v>13197</v>
      </c>
      <c r="C6699" s="16">
        <f>22.36/(1+B2)</f>
        <v>22.36</v>
      </c>
      <c r="D6699" s="17" t="s">
        <v>106</v>
      </c>
      <c r="E6699" s="17"/>
      <c r="F6699" s="18"/>
      <c r="G6699" s="36" t="str">
        <f>IF(ISNUMBER(F6699),C6699*F6699,"")</f>
        <v/>
      </c>
    </row>
    <row r="6700" spans="1:7" ht="12" customHeight="1" outlineLevel="3" x14ac:dyDescent="0.2">
      <c r="A6700" s="14" t="s">
        <v>13198</v>
      </c>
      <c r="B6700" s="15" t="s">
        <v>13199</v>
      </c>
      <c r="C6700" s="16">
        <f>23.04/(1+B2)</f>
        <v>23.04</v>
      </c>
      <c r="D6700" s="17" t="s">
        <v>106</v>
      </c>
      <c r="E6700" s="17" t="s">
        <v>106</v>
      </c>
      <c r="F6700" s="18"/>
      <c r="G6700" s="36" t="str">
        <f>IF(ISNUMBER(F6700),C6700*F6700,"")</f>
        <v/>
      </c>
    </row>
    <row r="6701" spans="1:7" ht="12" customHeight="1" outlineLevel="3" x14ac:dyDescent="0.2">
      <c r="A6701" s="14" t="s">
        <v>13200</v>
      </c>
      <c r="B6701" s="15" t="s">
        <v>13201</v>
      </c>
      <c r="C6701" s="16">
        <f>12.24/(1+B2)</f>
        <v>12.24</v>
      </c>
      <c r="D6701" s="17" t="s">
        <v>11</v>
      </c>
      <c r="E6701" s="17"/>
      <c r="F6701" s="18"/>
      <c r="G6701" s="36" t="str">
        <f>IF(ISNUMBER(F6701),C6701*F6701,"")</f>
        <v/>
      </c>
    </row>
    <row r="6702" spans="1:7" ht="12" customHeight="1" outlineLevel="3" x14ac:dyDescent="0.2">
      <c r="A6702" s="14" t="s">
        <v>13202</v>
      </c>
      <c r="B6702" s="15" t="s">
        <v>13203</v>
      </c>
      <c r="C6702" s="16">
        <f>63.96/(1+B2)</f>
        <v>63.96</v>
      </c>
      <c r="D6702" s="17" t="s">
        <v>53</v>
      </c>
      <c r="E6702" s="17"/>
      <c r="F6702" s="18"/>
      <c r="G6702" s="36" t="str">
        <f>IF(ISNUMBER(F6702),C6702*F6702,"")</f>
        <v/>
      </c>
    </row>
    <row r="6703" spans="1:7" ht="12" customHeight="1" outlineLevel="3" x14ac:dyDescent="0.2">
      <c r="A6703" s="14" t="s">
        <v>13204</v>
      </c>
      <c r="B6703" s="15" t="s">
        <v>13205</v>
      </c>
      <c r="C6703" s="16">
        <f>78.46/(1+B2)</f>
        <v>78.459999999999994</v>
      </c>
      <c r="D6703" s="17" t="s">
        <v>53</v>
      </c>
      <c r="E6703" s="17" t="s">
        <v>53</v>
      </c>
      <c r="F6703" s="18"/>
      <c r="G6703" s="36" t="str">
        <f>IF(ISNUMBER(F6703),C6703*F6703,"")</f>
        <v/>
      </c>
    </row>
    <row r="6704" spans="1:7" ht="12" customHeight="1" outlineLevel="3" x14ac:dyDescent="0.2">
      <c r="A6704" s="14" t="s">
        <v>13206</v>
      </c>
      <c r="B6704" s="15" t="s">
        <v>13207</v>
      </c>
      <c r="C6704" s="16">
        <f>54.48/(1+B2)</f>
        <v>54.48</v>
      </c>
      <c r="D6704" s="17" t="s">
        <v>11</v>
      </c>
      <c r="E6704" s="17"/>
      <c r="F6704" s="18"/>
      <c r="G6704" s="36" t="str">
        <f>IF(ISNUMBER(F6704),C6704*F6704,"")</f>
        <v/>
      </c>
    </row>
    <row r="6705" spans="1:7" ht="12" customHeight="1" outlineLevel="3" x14ac:dyDescent="0.2">
      <c r="A6705" s="14" t="s">
        <v>13208</v>
      </c>
      <c r="B6705" s="15" t="s">
        <v>13209</v>
      </c>
      <c r="C6705" s="16">
        <f>69.7/(1+B2)</f>
        <v>69.7</v>
      </c>
      <c r="D6705" s="17" t="s">
        <v>53</v>
      </c>
      <c r="E6705" s="17" t="s">
        <v>11</v>
      </c>
      <c r="F6705" s="18"/>
      <c r="G6705" s="36" t="str">
        <f>IF(ISNUMBER(F6705),C6705*F6705,"")</f>
        <v/>
      </c>
    </row>
    <row r="6706" spans="1:7" ht="12" customHeight="1" outlineLevel="3" x14ac:dyDescent="0.2">
      <c r="A6706" s="14" t="s">
        <v>13210</v>
      </c>
      <c r="B6706" s="15" t="s">
        <v>13211</v>
      </c>
      <c r="C6706" s="16">
        <f>90.85/(1+B2)</f>
        <v>90.85</v>
      </c>
      <c r="D6706" s="17" t="s">
        <v>11</v>
      </c>
      <c r="E6706" s="17"/>
      <c r="F6706" s="18"/>
      <c r="G6706" s="36" t="str">
        <f>IF(ISNUMBER(F6706),C6706*F6706,"")</f>
        <v/>
      </c>
    </row>
    <row r="6707" spans="1:7" ht="12" customHeight="1" outlineLevel="3" x14ac:dyDescent="0.2">
      <c r="A6707" s="14" t="s">
        <v>13212</v>
      </c>
      <c r="B6707" s="15" t="s">
        <v>13213</v>
      </c>
      <c r="C6707" s="16">
        <f>82.68/(1+B2)</f>
        <v>82.68</v>
      </c>
      <c r="D6707" s="17" t="s">
        <v>11</v>
      </c>
      <c r="E6707" s="17" t="s">
        <v>53</v>
      </c>
      <c r="F6707" s="18"/>
      <c r="G6707" s="36" t="str">
        <f>IF(ISNUMBER(F6707),C6707*F6707,"")</f>
        <v/>
      </c>
    </row>
    <row r="6708" spans="1:7" s="1" customFormat="1" ht="12.95" customHeight="1" outlineLevel="2" x14ac:dyDescent="0.2">
      <c r="A6708" s="20"/>
      <c r="B6708" s="21" t="s">
        <v>13214</v>
      </c>
      <c r="C6708" s="22"/>
      <c r="D6708" s="22"/>
      <c r="E6708" s="22"/>
      <c r="F6708" s="22"/>
      <c r="G6708" s="37"/>
    </row>
    <row r="6709" spans="1:7" ht="12" customHeight="1" outlineLevel="3" x14ac:dyDescent="0.2">
      <c r="A6709" s="14" t="s">
        <v>13215</v>
      </c>
      <c r="B6709" s="15" t="s">
        <v>13216</v>
      </c>
      <c r="C6709" s="16">
        <f>192.64/(1+B2)</f>
        <v>192.64</v>
      </c>
      <c r="D6709" s="17" t="s">
        <v>11</v>
      </c>
      <c r="E6709" s="17"/>
      <c r="F6709" s="18"/>
      <c r="G6709" s="36" t="str">
        <f>IF(ISNUMBER(F6709),C6709*F6709,"")</f>
        <v/>
      </c>
    </row>
    <row r="6710" spans="1:7" ht="12" customHeight="1" outlineLevel="3" x14ac:dyDescent="0.2">
      <c r="A6710" s="14" t="s">
        <v>13217</v>
      </c>
      <c r="B6710" s="15" t="s">
        <v>13218</v>
      </c>
      <c r="C6710" s="16">
        <f>222.2/(1+B2)</f>
        <v>222.2</v>
      </c>
      <c r="D6710" s="17" t="s">
        <v>11</v>
      </c>
      <c r="E6710" s="17"/>
      <c r="F6710" s="18"/>
      <c r="G6710" s="36" t="str">
        <f>IF(ISNUMBER(F6710),C6710*F6710,"")</f>
        <v/>
      </c>
    </row>
    <row r="6711" spans="1:7" ht="12" customHeight="1" outlineLevel="3" x14ac:dyDescent="0.2">
      <c r="A6711" s="14" t="s">
        <v>13219</v>
      </c>
      <c r="B6711" s="15" t="s">
        <v>13220</v>
      </c>
      <c r="C6711" s="16">
        <f>192.64/(1+B2)</f>
        <v>192.64</v>
      </c>
      <c r="D6711" s="17" t="s">
        <v>11</v>
      </c>
      <c r="E6711" s="17"/>
      <c r="F6711" s="18"/>
      <c r="G6711" s="36" t="str">
        <f>IF(ISNUMBER(F6711),C6711*F6711,"")</f>
        <v/>
      </c>
    </row>
    <row r="6712" spans="1:7" ht="12" customHeight="1" outlineLevel="3" x14ac:dyDescent="0.2">
      <c r="A6712" s="14" t="s">
        <v>13221</v>
      </c>
      <c r="B6712" s="15" t="s">
        <v>13222</v>
      </c>
      <c r="C6712" s="16">
        <f>115.2/(1+B2)</f>
        <v>115.2</v>
      </c>
      <c r="D6712" s="17" t="s">
        <v>14</v>
      </c>
      <c r="E6712" s="17" t="s">
        <v>11</v>
      </c>
      <c r="F6712" s="18"/>
      <c r="G6712" s="36" t="str">
        <f>IF(ISNUMBER(F6712),C6712*F6712,"")</f>
        <v/>
      </c>
    </row>
    <row r="6713" spans="1:7" ht="12" customHeight="1" outlineLevel="3" x14ac:dyDescent="0.2">
      <c r="A6713" s="14" t="s">
        <v>13223</v>
      </c>
      <c r="B6713" s="15" t="s">
        <v>13224</v>
      </c>
      <c r="C6713" s="16">
        <f>154.2/(1+B2)</f>
        <v>154.19999999999999</v>
      </c>
      <c r="D6713" s="17" t="s">
        <v>14</v>
      </c>
      <c r="E6713" s="17"/>
      <c r="F6713" s="18"/>
      <c r="G6713" s="36" t="str">
        <f>IF(ISNUMBER(F6713),C6713*F6713,"")</f>
        <v/>
      </c>
    </row>
    <row r="6714" spans="1:7" ht="12" customHeight="1" outlineLevel="3" x14ac:dyDescent="0.2">
      <c r="A6714" s="14" t="s">
        <v>13225</v>
      </c>
      <c r="B6714" s="15" t="s">
        <v>13226</v>
      </c>
      <c r="C6714" s="16">
        <f>162.18/(1+B2)</f>
        <v>162.18</v>
      </c>
      <c r="D6714" s="17" t="s">
        <v>11</v>
      </c>
      <c r="E6714" s="17"/>
      <c r="F6714" s="18"/>
      <c r="G6714" s="36" t="str">
        <f>IF(ISNUMBER(F6714),C6714*F6714,"")</f>
        <v/>
      </c>
    </row>
    <row r="6715" spans="1:7" ht="12" customHeight="1" outlineLevel="3" x14ac:dyDescent="0.2">
      <c r="A6715" s="14" t="s">
        <v>13227</v>
      </c>
      <c r="B6715" s="15" t="s">
        <v>13228</v>
      </c>
      <c r="C6715" s="16">
        <f>133.2/(1+B2)</f>
        <v>133.19999999999999</v>
      </c>
      <c r="D6715" s="17" t="s">
        <v>11</v>
      </c>
      <c r="E6715" s="17"/>
      <c r="F6715" s="18"/>
      <c r="G6715" s="36" t="str">
        <f>IF(ISNUMBER(F6715),C6715*F6715,"")</f>
        <v/>
      </c>
    </row>
    <row r="6716" spans="1:7" ht="12" customHeight="1" outlineLevel="3" x14ac:dyDescent="0.2">
      <c r="A6716" s="14" t="s">
        <v>13229</v>
      </c>
      <c r="B6716" s="15" t="s">
        <v>13230</v>
      </c>
      <c r="C6716" s="16">
        <f>210.65/(1+B2)</f>
        <v>210.65</v>
      </c>
      <c r="D6716" s="17" t="s">
        <v>11</v>
      </c>
      <c r="E6716" s="17"/>
      <c r="F6716" s="18"/>
      <c r="G6716" s="36" t="str">
        <f>IF(ISNUMBER(F6716),C6716*F6716,"")</f>
        <v/>
      </c>
    </row>
    <row r="6717" spans="1:7" ht="12" customHeight="1" outlineLevel="3" x14ac:dyDescent="0.2">
      <c r="A6717" s="14" t="s">
        <v>13231</v>
      </c>
      <c r="B6717" s="15" t="s">
        <v>13232</v>
      </c>
      <c r="C6717" s="16">
        <f>154.26/(1+B2)</f>
        <v>154.26</v>
      </c>
      <c r="D6717" s="17" t="s">
        <v>11</v>
      </c>
      <c r="E6717" s="17"/>
      <c r="F6717" s="18"/>
      <c r="G6717" s="36" t="str">
        <f>IF(ISNUMBER(F6717),C6717*F6717,"")</f>
        <v/>
      </c>
    </row>
    <row r="6718" spans="1:7" ht="12" customHeight="1" outlineLevel="3" x14ac:dyDescent="0.2">
      <c r="A6718" s="14" t="s">
        <v>13233</v>
      </c>
      <c r="B6718" s="15" t="s">
        <v>13234</v>
      </c>
      <c r="C6718" s="16">
        <f>255.79/(1+B2)</f>
        <v>255.79</v>
      </c>
      <c r="D6718" s="17" t="s">
        <v>11</v>
      </c>
      <c r="E6718" s="17"/>
      <c r="F6718" s="18"/>
      <c r="G6718" s="36" t="str">
        <f>IF(ISNUMBER(F6718),C6718*F6718,"")</f>
        <v/>
      </c>
    </row>
    <row r="6719" spans="1:7" ht="12" customHeight="1" outlineLevel="3" x14ac:dyDescent="0.2">
      <c r="A6719" s="14" t="s">
        <v>13235</v>
      </c>
      <c r="B6719" s="15" t="s">
        <v>13236</v>
      </c>
      <c r="C6719" s="16">
        <f>281.38/(1+B2)</f>
        <v>281.38</v>
      </c>
      <c r="D6719" s="17" t="s">
        <v>11</v>
      </c>
      <c r="E6719" s="17"/>
      <c r="F6719" s="18"/>
      <c r="G6719" s="36" t="str">
        <f>IF(ISNUMBER(F6719),C6719*F6719,"")</f>
        <v/>
      </c>
    </row>
    <row r="6720" spans="1:7" ht="12" customHeight="1" outlineLevel="3" x14ac:dyDescent="0.2">
      <c r="A6720" s="14" t="s">
        <v>13237</v>
      </c>
      <c r="B6720" s="15" t="s">
        <v>13238</v>
      </c>
      <c r="C6720" s="16">
        <f>54.72/(1+B2)</f>
        <v>54.72</v>
      </c>
      <c r="D6720" s="17" t="s">
        <v>11</v>
      </c>
      <c r="E6720" s="17"/>
      <c r="F6720" s="18"/>
      <c r="G6720" s="36" t="str">
        <f>IF(ISNUMBER(F6720),C6720*F6720,"")</f>
        <v/>
      </c>
    </row>
    <row r="6721" spans="1:7" ht="12" customHeight="1" outlineLevel="3" x14ac:dyDescent="0.2">
      <c r="A6721" s="14" t="s">
        <v>13239</v>
      </c>
      <c r="B6721" s="15" t="s">
        <v>13240</v>
      </c>
      <c r="C6721" s="16">
        <f>53.46/(1+B2)</f>
        <v>53.46</v>
      </c>
      <c r="D6721" s="17" t="s">
        <v>11</v>
      </c>
      <c r="E6721" s="17"/>
      <c r="F6721" s="18"/>
      <c r="G6721" s="36" t="str">
        <f>IF(ISNUMBER(F6721),C6721*F6721,"")</f>
        <v/>
      </c>
    </row>
    <row r="6722" spans="1:7" ht="12" customHeight="1" outlineLevel="3" x14ac:dyDescent="0.2">
      <c r="A6722" s="14" t="s">
        <v>13241</v>
      </c>
      <c r="B6722" s="15" t="s">
        <v>13242</v>
      </c>
      <c r="C6722" s="16">
        <f>99.72/(1+B2)</f>
        <v>99.72</v>
      </c>
      <c r="D6722" s="17" t="s">
        <v>11</v>
      </c>
      <c r="E6722" s="17"/>
      <c r="F6722" s="18"/>
      <c r="G6722" s="36" t="str">
        <f>IF(ISNUMBER(F6722),C6722*F6722,"")</f>
        <v/>
      </c>
    </row>
    <row r="6723" spans="1:7" ht="12" customHeight="1" outlineLevel="3" x14ac:dyDescent="0.2">
      <c r="A6723" s="14" t="s">
        <v>13243</v>
      </c>
      <c r="B6723" s="15" t="s">
        <v>13244</v>
      </c>
      <c r="C6723" s="16">
        <f>58.32/(1+B2)</f>
        <v>58.32</v>
      </c>
      <c r="D6723" s="17" t="s">
        <v>14</v>
      </c>
      <c r="E6723" s="17"/>
      <c r="F6723" s="18"/>
      <c r="G6723" s="36" t="str">
        <f>IF(ISNUMBER(F6723),C6723*F6723,"")</f>
        <v/>
      </c>
    </row>
    <row r="6724" spans="1:7" ht="12" customHeight="1" outlineLevel="3" x14ac:dyDescent="0.2">
      <c r="A6724" s="14" t="s">
        <v>13245</v>
      </c>
      <c r="B6724" s="15" t="s">
        <v>13246</v>
      </c>
      <c r="C6724" s="16">
        <f>58.32/(1+B2)</f>
        <v>58.32</v>
      </c>
      <c r="D6724" s="17" t="s">
        <v>11</v>
      </c>
      <c r="E6724" s="17"/>
      <c r="F6724" s="18"/>
      <c r="G6724" s="36" t="str">
        <f>IF(ISNUMBER(F6724),C6724*F6724,"")</f>
        <v/>
      </c>
    </row>
    <row r="6725" spans="1:7" ht="12" customHeight="1" outlineLevel="3" x14ac:dyDescent="0.2">
      <c r="A6725" s="14" t="s">
        <v>13247</v>
      </c>
      <c r="B6725" s="15" t="s">
        <v>13248</v>
      </c>
      <c r="C6725" s="16">
        <f>90/(1+B2)</f>
        <v>90</v>
      </c>
      <c r="D6725" s="17" t="s">
        <v>11</v>
      </c>
      <c r="E6725" s="17"/>
      <c r="F6725" s="18"/>
      <c r="G6725" s="36" t="str">
        <f>IF(ISNUMBER(F6725),C6725*F6725,"")</f>
        <v/>
      </c>
    </row>
    <row r="6726" spans="1:7" ht="12" customHeight="1" outlineLevel="3" x14ac:dyDescent="0.2">
      <c r="A6726" s="14" t="s">
        <v>13249</v>
      </c>
      <c r="B6726" s="15" t="s">
        <v>13250</v>
      </c>
      <c r="C6726" s="16">
        <f>73.98/(1+B2)</f>
        <v>73.98</v>
      </c>
      <c r="D6726" s="17" t="s">
        <v>14</v>
      </c>
      <c r="E6726" s="17"/>
      <c r="F6726" s="18"/>
      <c r="G6726" s="36" t="str">
        <f>IF(ISNUMBER(F6726),C6726*F6726,"")</f>
        <v/>
      </c>
    </row>
    <row r="6727" spans="1:7" ht="12" customHeight="1" outlineLevel="3" x14ac:dyDescent="0.2">
      <c r="A6727" s="14" t="s">
        <v>13251</v>
      </c>
      <c r="B6727" s="15" t="s">
        <v>13252</v>
      </c>
      <c r="C6727" s="16">
        <f>66.59/(1+B2)</f>
        <v>66.59</v>
      </c>
      <c r="D6727" s="17" t="s">
        <v>14</v>
      </c>
      <c r="E6727" s="17"/>
      <c r="F6727" s="18"/>
      <c r="G6727" s="36" t="str">
        <f>IF(ISNUMBER(F6727),C6727*F6727,"")</f>
        <v/>
      </c>
    </row>
    <row r="6728" spans="1:7" ht="12" customHeight="1" outlineLevel="3" x14ac:dyDescent="0.2">
      <c r="A6728" s="14" t="s">
        <v>13253</v>
      </c>
      <c r="B6728" s="15" t="s">
        <v>13254</v>
      </c>
      <c r="C6728" s="16">
        <f>52.2/(1+B2)</f>
        <v>52.2</v>
      </c>
      <c r="D6728" s="17" t="s">
        <v>11</v>
      </c>
      <c r="E6728" s="17"/>
      <c r="F6728" s="18"/>
      <c r="G6728" s="36" t="str">
        <f>IF(ISNUMBER(F6728),C6728*F6728,"")</f>
        <v/>
      </c>
    </row>
    <row r="6729" spans="1:7" ht="12" customHeight="1" outlineLevel="3" x14ac:dyDescent="0.2">
      <c r="A6729" s="14" t="s">
        <v>13255</v>
      </c>
      <c r="B6729" s="15" t="s">
        <v>13256</v>
      </c>
      <c r="C6729" s="16">
        <f>52.2/(1+B2)</f>
        <v>52.2</v>
      </c>
      <c r="D6729" s="17" t="s">
        <v>11</v>
      </c>
      <c r="E6729" s="17"/>
      <c r="F6729" s="18"/>
      <c r="G6729" s="36" t="str">
        <f>IF(ISNUMBER(F6729),C6729*F6729,"")</f>
        <v/>
      </c>
    </row>
    <row r="6730" spans="1:7" ht="12" customHeight="1" outlineLevel="3" x14ac:dyDescent="0.2">
      <c r="A6730" s="14" t="s">
        <v>13257</v>
      </c>
      <c r="B6730" s="15" t="s">
        <v>13258</v>
      </c>
      <c r="C6730" s="16">
        <f>48.6/(1+B2)</f>
        <v>48.6</v>
      </c>
      <c r="D6730" s="17" t="s">
        <v>11</v>
      </c>
      <c r="E6730" s="17"/>
      <c r="F6730" s="18"/>
      <c r="G6730" s="36" t="str">
        <f>IF(ISNUMBER(F6730),C6730*F6730,"")</f>
        <v/>
      </c>
    </row>
    <row r="6731" spans="1:7" ht="12" customHeight="1" outlineLevel="3" x14ac:dyDescent="0.2">
      <c r="A6731" s="14" t="s">
        <v>13259</v>
      </c>
      <c r="B6731" s="15" t="s">
        <v>13260</v>
      </c>
      <c r="C6731" s="16">
        <f>86.4/(1+B2)</f>
        <v>86.4</v>
      </c>
      <c r="D6731" s="17" t="s">
        <v>11</v>
      </c>
      <c r="E6731" s="17"/>
      <c r="F6731" s="18"/>
      <c r="G6731" s="36" t="str">
        <f>IF(ISNUMBER(F6731),C6731*F6731,"")</f>
        <v/>
      </c>
    </row>
    <row r="6732" spans="1:7" ht="12" customHeight="1" outlineLevel="3" x14ac:dyDescent="0.2">
      <c r="A6732" s="14" t="s">
        <v>13261</v>
      </c>
      <c r="B6732" s="15" t="s">
        <v>13262</v>
      </c>
      <c r="C6732" s="16">
        <f>116.56/(1+B2)</f>
        <v>116.56</v>
      </c>
      <c r="D6732" s="17" t="s">
        <v>11</v>
      </c>
      <c r="E6732" s="17"/>
      <c r="F6732" s="18"/>
      <c r="G6732" s="36" t="str">
        <f>IF(ISNUMBER(F6732),C6732*F6732,"")</f>
        <v/>
      </c>
    </row>
    <row r="6733" spans="1:7" ht="12" customHeight="1" outlineLevel="3" x14ac:dyDescent="0.2">
      <c r="A6733" s="14" t="s">
        <v>13263</v>
      </c>
      <c r="B6733" s="15" t="s">
        <v>13264</v>
      </c>
      <c r="C6733" s="16">
        <f>128.12/(1+B2)</f>
        <v>128.12</v>
      </c>
      <c r="D6733" s="17" t="s">
        <v>11</v>
      </c>
      <c r="E6733" s="17"/>
      <c r="F6733" s="18"/>
      <c r="G6733" s="36" t="str">
        <f>IF(ISNUMBER(F6733),C6733*F6733,"")</f>
        <v/>
      </c>
    </row>
    <row r="6734" spans="1:7" ht="12" customHeight="1" outlineLevel="3" x14ac:dyDescent="0.2">
      <c r="A6734" s="14" t="s">
        <v>13265</v>
      </c>
      <c r="B6734" s="15" t="s">
        <v>13266</v>
      </c>
      <c r="C6734" s="16">
        <f>128.06/(1+B2)</f>
        <v>128.06</v>
      </c>
      <c r="D6734" s="17" t="s">
        <v>14</v>
      </c>
      <c r="E6734" s="17"/>
      <c r="F6734" s="18"/>
      <c r="G6734" s="36" t="str">
        <f>IF(ISNUMBER(F6734),C6734*F6734,"")</f>
        <v/>
      </c>
    </row>
    <row r="6735" spans="1:7" ht="12" customHeight="1" outlineLevel="3" x14ac:dyDescent="0.2">
      <c r="A6735" s="14" t="s">
        <v>13267</v>
      </c>
      <c r="B6735" s="15" t="s">
        <v>13268</v>
      </c>
      <c r="C6735" s="16">
        <f>189.37/(1+B2)</f>
        <v>189.37</v>
      </c>
      <c r="D6735" s="17" t="s">
        <v>11</v>
      </c>
      <c r="E6735" s="17"/>
      <c r="F6735" s="18"/>
      <c r="G6735" s="36" t="str">
        <f>IF(ISNUMBER(F6735),C6735*F6735,"")</f>
        <v/>
      </c>
    </row>
    <row r="6736" spans="1:7" ht="12" customHeight="1" outlineLevel="3" x14ac:dyDescent="0.2">
      <c r="A6736" s="14" t="s">
        <v>13269</v>
      </c>
      <c r="B6736" s="15" t="s">
        <v>13270</v>
      </c>
      <c r="C6736" s="16">
        <f>180.34/(1+B2)</f>
        <v>180.34</v>
      </c>
      <c r="D6736" s="17" t="s">
        <v>14</v>
      </c>
      <c r="E6736" s="17"/>
      <c r="F6736" s="18"/>
      <c r="G6736" s="36" t="str">
        <f>IF(ISNUMBER(F6736),C6736*F6736,"")</f>
        <v/>
      </c>
    </row>
    <row r="6737" spans="1:7" ht="12" customHeight="1" outlineLevel="3" x14ac:dyDescent="0.2">
      <c r="A6737" s="14" t="s">
        <v>13271</v>
      </c>
      <c r="B6737" s="15" t="s">
        <v>13272</v>
      </c>
      <c r="C6737" s="16">
        <f>189.37/(1+B2)</f>
        <v>189.37</v>
      </c>
      <c r="D6737" s="17" t="s">
        <v>11</v>
      </c>
      <c r="E6737" s="17"/>
      <c r="F6737" s="18"/>
      <c r="G6737" s="36" t="str">
        <f>IF(ISNUMBER(F6737),C6737*F6737,"")</f>
        <v/>
      </c>
    </row>
    <row r="6738" spans="1:7" ht="12" customHeight="1" outlineLevel="3" x14ac:dyDescent="0.2">
      <c r="A6738" s="14" t="s">
        <v>13273</v>
      </c>
      <c r="B6738" s="15" t="s">
        <v>13274</v>
      </c>
      <c r="C6738" s="16">
        <f>90.19/(1+B2)</f>
        <v>90.19</v>
      </c>
      <c r="D6738" s="17" t="s">
        <v>11</v>
      </c>
      <c r="E6738" s="17"/>
      <c r="F6738" s="18"/>
      <c r="G6738" s="36" t="str">
        <f>IF(ISNUMBER(F6738),C6738*F6738,"")</f>
        <v/>
      </c>
    </row>
    <row r="6739" spans="1:7" ht="12" customHeight="1" outlineLevel="3" x14ac:dyDescent="0.2">
      <c r="A6739" s="14" t="s">
        <v>13275</v>
      </c>
      <c r="B6739" s="15" t="s">
        <v>13276</v>
      </c>
      <c r="C6739" s="16">
        <f>64.8/(1+B2)</f>
        <v>64.8</v>
      </c>
      <c r="D6739" s="17" t="s">
        <v>14</v>
      </c>
      <c r="E6739" s="17"/>
      <c r="F6739" s="18"/>
      <c r="G6739" s="36" t="str">
        <f>IF(ISNUMBER(F6739),C6739*F6739,"")</f>
        <v/>
      </c>
    </row>
    <row r="6740" spans="1:7" ht="12" customHeight="1" outlineLevel="3" x14ac:dyDescent="0.2">
      <c r="A6740" s="14" t="s">
        <v>13277</v>
      </c>
      <c r="B6740" s="15" t="s">
        <v>13278</v>
      </c>
      <c r="C6740" s="16">
        <f>71.28/(1+B2)</f>
        <v>71.28</v>
      </c>
      <c r="D6740" s="17" t="s">
        <v>11</v>
      </c>
      <c r="E6740" s="17"/>
      <c r="F6740" s="18"/>
      <c r="G6740" s="36" t="str">
        <f>IF(ISNUMBER(F6740),C6740*F6740,"")</f>
        <v/>
      </c>
    </row>
    <row r="6741" spans="1:7" ht="12" customHeight="1" outlineLevel="3" x14ac:dyDescent="0.2">
      <c r="A6741" s="14" t="s">
        <v>13279</v>
      </c>
      <c r="B6741" s="15" t="s">
        <v>13280</v>
      </c>
      <c r="C6741" s="16">
        <f>71.28/(1+B2)</f>
        <v>71.28</v>
      </c>
      <c r="D6741" s="17" t="s">
        <v>11</v>
      </c>
      <c r="E6741" s="17"/>
      <c r="F6741" s="18"/>
      <c r="G6741" s="36" t="str">
        <f>IF(ISNUMBER(F6741),C6741*F6741,"")</f>
        <v/>
      </c>
    </row>
    <row r="6742" spans="1:7" ht="12" customHeight="1" outlineLevel="3" x14ac:dyDescent="0.2">
      <c r="A6742" s="14" t="s">
        <v>13281</v>
      </c>
      <c r="B6742" s="15" t="s">
        <v>13282</v>
      </c>
      <c r="C6742" s="16">
        <f>48.78/(1+B2)</f>
        <v>48.78</v>
      </c>
      <c r="D6742" s="17" t="s">
        <v>11</v>
      </c>
      <c r="E6742" s="17"/>
      <c r="F6742" s="18"/>
      <c r="G6742" s="36" t="str">
        <f>IF(ISNUMBER(F6742),C6742*F6742,"")</f>
        <v/>
      </c>
    </row>
    <row r="6743" spans="1:7" ht="12" customHeight="1" outlineLevel="3" x14ac:dyDescent="0.2">
      <c r="A6743" s="14" t="s">
        <v>13283</v>
      </c>
      <c r="B6743" s="15" t="s">
        <v>13284</v>
      </c>
      <c r="C6743" s="16">
        <f>48.6/(1+B2)</f>
        <v>48.6</v>
      </c>
      <c r="D6743" s="17" t="s">
        <v>14</v>
      </c>
      <c r="E6743" s="17"/>
      <c r="F6743" s="18"/>
      <c r="G6743" s="36" t="str">
        <f>IF(ISNUMBER(F6743),C6743*F6743,"")</f>
        <v/>
      </c>
    </row>
    <row r="6744" spans="1:7" ht="12" customHeight="1" outlineLevel="3" x14ac:dyDescent="0.2">
      <c r="A6744" s="14" t="s">
        <v>13285</v>
      </c>
      <c r="B6744" s="15" t="s">
        <v>13286</v>
      </c>
      <c r="C6744" s="16">
        <f>110.9/(1+B2)</f>
        <v>110.9</v>
      </c>
      <c r="D6744" s="17" t="s">
        <v>11</v>
      </c>
      <c r="E6744" s="17"/>
      <c r="F6744" s="18"/>
      <c r="G6744" s="36" t="str">
        <f>IF(ISNUMBER(F6744),C6744*F6744,"")</f>
        <v/>
      </c>
    </row>
    <row r="6745" spans="1:7" ht="12" customHeight="1" outlineLevel="3" x14ac:dyDescent="0.2">
      <c r="A6745" s="14" t="s">
        <v>13287</v>
      </c>
      <c r="B6745" s="15" t="s">
        <v>13288</v>
      </c>
      <c r="C6745" s="16">
        <f>67.78/(1+B2)</f>
        <v>67.78</v>
      </c>
      <c r="D6745" s="17" t="s">
        <v>11</v>
      </c>
      <c r="E6745" s="17" t="s">
        <v>11</v>
      </c>
      <c r="F6745" s="18"/>
      <c r="G6745" s="36" t="str">
        <f>IF(ISNUMBER(F6745),C6745*F6745,"")</f>
        <v/>
      </c>
    </row>
    <row r="6746" spans="1:7" ht="12" customHeight="1" outlineLevel="3" x14ac:dyDescent="0.2">
      <c r="A6746" s="14" t="s">
        <v>13289</v>
      </c>
      <c r="B6746" s="15" t="s">
        <v>13290</v>
      </c>
      <c r="C6746" s="16">
        <f>77.4/(1+B2)</f>
        <v>77.400000000000006</v>
      </c>
      <c r="D6746" s="17" t="s">
        <v>14</v>
      </c>
      <c r="E6746" s="17"/>
      <c r="F6746" s="18"/>
      <c r="G6746" s="36" t="str">
        <f>IF(ISNUMBER(F6746),C6746*F6746,"")</f>
        <v/>
      </c>
    </row>
    <row r="6747" spans="1:7" ht="12" customHeight="1" outlineLevel="3" x14ac:dyDescent="0.2">
      <c r="A6747" s="14" t="s">
        <v>13291</v>
      </c>
      <c r="B6747" s="15" t="s">
        <v>13292</v>
      </c>
      <c r="C6747" s="16">
        <f>50.4/(1+B2)</f>
        <v>50.4</v>
      </c>
      <c r="D6747" s="17" t="s">
        <v>14</v>
      </c>
      <c r="E6747" s="17"/>
      <c r="F6747" s="18"/>
      <c r="G6747" s="36" t="str">
        <f>IF(ISNUMBER(F6747),C6747*F6747,"")</f>
        <v/>
      </c>
    </row>
    <row r="6748" spans="1:7" ht="12" customHeight="1" outlineLevel="3" x14ac:dyDescent="0.2">
      <c r="A6748" s="14" t="s">
        <v>13293</v>
      </c>
      <c r="B6748" s="15" t="s">
        <v>13294</v>
      </c>
      <c r="C6748" s="16">
        <f>90.05/(1+B2)</f>
        <v>90.05</v>
      </c>
      <c r="D6748" s="17" t="s">
        <v>11</v>
      </c>
      <c r="E6748" s="17"/>
      <c r="F6748" s="18"/>
      <c r="G6748" s="36" t="str">
        <f>IF(ISNUMBER(F6748),C6748*F6748,"")</f>
        <v/>
      </c>
    </row>
    <row r="6749" spans="1:7" ht="12" customHeight="1" outlineLevel="3" x14ac:dyDescent="0.2">
      <c r="A6749" s="14" t="s">
        <v>13295</v>
      </c>
      <c r="B6749" s="15" t="s">
        <v>13296</v>
      </c>
      <c r="C6749" s="16">
        <f>104.76/(1+B2)</f>
        <v>104.76</v>
      </c>
      <c r="D6749" s="17" t="s">
        <v>14</v>
      </c>
      <c r="E6749" s="17"/>
      <c r="F6749" s="18"/>
      <c r="G6749" s="36" t="str">
        <f>IF(ISNUMBER(F6749),C6749*F6749,"")</f>
        <v/>
      </c>
    </row>
    <row r="6750" spans="1:7" ht="12" customHeight="1" outlineLevel="3" x14ac:dyDescent="0.2">
      <c r="A6750" s="14" t="s">
        <v>13297</v>
      </c>
      <c r="B6750" s="15" t="s">
        <v>13298</v>
      </c>
      <c r="C6750" s="16">
        <f>104.76/(1+B2)</f>
        <v>104.76</v>
      </c>
      <c r="D6750" s="17" t="s">
        <v>14</v>
      </c>
      <c r="E6750" s="17"/>
      <c r="F6750" s="18"/>
      <c r="G6750" s="36" t="str">
        <f>IF(ISNUMBER(F6750),C6750*F6750,"")</f>
        <v/>
      </c>
    </row>
    <row r="6751" spans="1:7" ht="12" customHeight="1" outlineLevel="3" x14ac:dyDescent="0.2">
      <c r="A6751" s="14" t="s">
        <v>13299</v>
      </c>
      <c r="B6751" s="15" t="s">
        <v>13300</v>
      </c>
      <c r="C6751" s="16">
        <f>104.76/(1+B2)</f>
        <v>104.76</v>
      </c>
      <c r="D6751" s="17" t="s">
        <v>11</v>
      </c>
      <c r="E6751" s="17"/>
      <c r="F6751" s="18"/>
      <c r="G6751" s="36" t="str">
        <f>IF(ISNUMBER(F6751),C6751*F6751,"")</f>
        <v/>
      </c>
    </row>
    <row r="6752" spans="1:7" ht="12" customHeight="1" outlineLevel="3" x14ac:dyDescent="0.2">
      <c r="A6752" s="14" t="s">
        <v>13301</v>
      </c>
      <c r="B6752" s="15" t="s">
        <v>13302</v>
      </c>
      <c r="C6752" s="16">
        <f>127.12/(1+B2)</f>
        <v>127.12</v>
      </c>
      <c r="D6752" s="17" t="s">
        <v>11</v>
      </c>
      <c r="E6752" s="17"/>
      <c r="F6752" s="18"/>
      <c r="G6752" s="36" t="str">
        <f>IF(ISNUMBER(F6752),C6752*F6752,"")</f>
        <v/>
      </c>
    </row>
    <row r="6753" spans="1:7" ht="12" customHeight="1" outlineLevel="3" x14ac:dyDescent="0.2">
      <c r="A6753" s="14" t="s">
        <v>13303</v>
      </c>
      <c r="B6753" s="15" t="s">
        <v>13304</v>
      </c>
      <c r="C6753" s="16">
        <f>81/(1+B2)</f>
        <v>81</v>
      </c>
      <c r="D6753" s="17" t="s">
        <v>14</v>
      </c>
      <c r="E6753" s="17"/>
      <c r="F6753" s="18"/>
      <c r="G6753" s="36" t="str">
        <f>IF(ISNUMBER(F6753),C6753*F6753,"")</f>
        <v/>
      </c>
    </row>
    <row r="6754" spans="1:7" ht="12" customHeight="1" outlineLevel="3" x14ac:dyDescent="0.2">
      <c r="A6754" s="14" t="s">
        <v>13305</v>
      </c>
      <c r="B6754" s="15" t="s">
        <v>13306</v>
      </c>
      <c r="C6754" s="16">
        <f>81/(1+B2)</f>
        <v>81</v>
      </c>
      <c r="D6754" s="17" t="s">
        <v>11</v>
      </c>
      <c r="E6754" s="17"/>
      <c r="F6754" s="18"/>
      <c r="G6754" s="36" t="str">
        <f>IF(ISNUMBER(F6754),C6754*F6754,"")</f>
        <v/>
      </c>
    </row>
    <row r="6755" spans="1:7" ht="12" customHeight="1" outlineLevel="3" x14ac:dyDescent="0.2">
      <c r="A6755" s="14" t="s">
        <v>13307</v>
      </c>
      <c r="B6755" s="15" t="s">
        <v>13308</v>
      </c>
      <c r="C6755" s="16">
        <f>96.36/(1+B2)</f>
        <v>96.36</v>
      </c>
      <c r="D6755" s="17" t="s">
        <v>11</v>
      </c>
      <c r="E6755" s="17"/>
      <c r="F6755" s="18"/>
      <c r="G6755" s="36" t="str">
        <f>IF(ISNUMBER(F6755),C6755*F6755,"")</f>
        <v/>
      </c>
    </row>
    <row r="6756" spans="1:7" ht="12" customHeight="1" outlineLevel="3" x14ac:dyDescent="0.2">
      <c r="A6756" s="14" t="s">
        <v>13309</v>
      </c>
      <c r="B6756" s="15" t="s">
        <v>13310</v>
      </c>
      <c r="C6756" s="16">
        <f>54/(1+B2)</f>
        <v>54</v>
      </c>
      <c r="D6756" s="17" t="s">
        <v>14</v>
      </c>
      <c r="E6756" s="17"/>
      <c r="F6756" s="18"/>
      <c r="G6756" s="36" t="str">
        <f>IF(ISNUMBER(F6756),C6756*F6756,"")</f>
        <v/>
      </c>
    </row>
    <row r="6757" spans="1:7" ht="12" customHeight="1" outlineLevel="3" x14ac:dyDescent="0.2">
      <c r="A6757" s="14" t="s">
        <v>13311</v>
      </c>
      <c r="B6757" s="15" t="s">
        <v>13312</v>
      </c>
      <c r="C6757" s="16">
        <f>83.4/(1+B2)</f>
        <v>83.4</v>
      </c>
      <c r="D6757" s="17" t="s">
        <v>11</v>
      </c>
      <c r="E6757" s="17"/>
      <c r="F6757" s="18"/>
      <c r="G6757" s="36" t="str">
        <f>IF(ISNUMBER(F6757),C6757*F6757,"")</f>
        <v/>
      </c>
    </row>
    <row r="6758" spans="1:7" ht="12" customHeight="1" outlineLevel="3" x14ac:dyDescent="0.2">
      <c r="A6758" s="14" t="s">
        <v>13313</v>
      </c>
      <c r="B6758" s="15" t="s">
        <v>13314</v>
      </c>
      <c r="C6758" s="16">
        <f>121.43/(1+B2)</f>
        <v>121.43</v>
      </c>
      <c r="D6758" s="17" t="s">
        <v>53</v>
      </c>
      <c r="E6758" s="17"/>
      <c r="F6758" s="18"/>
      <c r="G6758" s="36" t="str">
        <f>IF(ISNUMBER(F6758),C6758*F6758,"")</f>
        <v/>
      </c>
    </row>
    <row r="6759" spans="1:7" ht="12" customHeight="1" outlineLevel="3" x14ac:dyDescent="0.2">
      <c r="A6759" s="14" t="s">
        <v>13315</v>
      </c>
      <c r="B6759" s="15" t="s">
        <v>13316</v>
      </c>
      <c r="C6759" s="16">
        <f>74.98/(1+B2)</f>
        <v>74.98</v>
      </c>
      <c r="D6759" s="17" t="s">
        <v>11</v>
      </c>
      <c r="E6759" s="17"/>
      <c r="F6759" s="18"/>
      <c r="G6759" s="36" t="str">
        <f>IF(ISNUMBER(F6759),C6759*F6759,"")</f>
        <v/>
      </c>
    </row>
    <row r="6760" spans="1:7" ht="12" customHeight="1" outlineLevel="3" x14ac:dyDescent="0.2">
      <c r="A6760" s="14" t="s">
        <v>13317</v>
      </c>
      <c r="B6760" s="15" t="s">
        <v>13318</v>
      </c>
      <c r="C6760" s="16">
        <f>75.6/(1+B2)</f>
        <v>75.599999999999994</v>
      </c>
      <c r="D6760" s="17" t="s">
        <v>14</v>
      </c>
      <c r="E6760" s="17"/>
      <c r="F6760" s="18"/>
      <c r="G6760" s="36" t="str">
        <f>IF(ISNUMBER(F6760),C6760*F6760,"")</f>
        <v/>
      </c>
    </row>
    <row r="6761" spans="1:7" ht="12" customHeight="1" outlineLevel="3" x14ac:dyDescent="0.2">
      <c r="A6761" s="14" t="s">
        <v>13319</v>
      </c>
      <c r="B6761" s="15" t="s">
        <v>13320</v>
      </c>
      <c r="C6761" s="16">
        <f>96.47/(1+B2)</f>
        <v>96.47</v>
      </c>
      <c r="D6761" s="17" t="s">
        <v>14</v>
      </c>
      <c r="E6761" s="17"/>
      <c r="F6761" s="18"/>
      <c r="G6761" s="36" t="str">
        <f>IF(ISNUMBER(F6761),C6761*F6761,"")</f>
        <v/>
      </c>
    </row>
    <row r="6762" spans="1:7" ht="12" customHeight="1" outlineLevel="3" x14ac:dyDescent="0.2">
      <c r="A6762" s="14" t="s">
        <v>13321</v>
      </c>
      <c r="B6762" s="15" t="s">
        <v>13322</v>
      </c>
      <c r="C6762" s="16">
        <f>115.24/(1+B2)</f>
        <v>115.24</v>
      </c>
      <c r="D6762" s="17" t="s">
        <v>11</v>
      </c>
      <c r="E6762" s="17"/>
      <c r="F6762" s="18"/>
      <c r="G6762" s="36" t="str">
        <f>IF(ISNUMBER(F6762),C6762*F6762,"")</f>
        <v/>
      </c>
    </row>
    <row r="6763" spans="1:7" ht="12" customHeight="1" outlineLevel="3" x14ac:dyDescent="0.2">
      <c r="A6763" s="14" t="s">
        <v>13323</v>
      </c>
      <c r="B6763" s="15" t="s">
        <v>13324</v>
      </c>
      <c r="C6763" s="16">
        <f>81.14/(1+B2)</f>
        <v>81.14</v>
      </c>
      <c r="D6763" s="17" t="s">
        <v>14</v>
      </c>
      <c r="E6763" s="17"/>
      <c r="F6763" s="18"/>
      <c r="G6763" s="36" t="str">
        <f>IF(ISNUMBER(F6763),C6763*F6763,"")</f>
        <v/>
      </c>
    </row>
    <row r="6764" spans="1:7" ht="12" customHeight="1" outlineLevel="3" x14ac:dyDescent="0.2">
      <c r="A6764" s="14" t="s">
        <v>13325</v>
      </c>
      <c r="B6764" s="15" t="s">
        <v>13326</v>
      </c>
      <c r="C6764" s="16">
        <f>51.84/(1+B2)</f>
        <v>51.84</v>
      </c>
      <c r="D6764" s="17" t="s">
        <v>53</v>
      </c>
      <c r="E6764" s="17"/>
      <c r="F6764" s="18"/>
      <c r="G6764" s="36" t="str">
        <f>IF(ISNUMBER(F6764),C6764*F6764,"")</f>
        <v/>
      </c>
    </row>
    <row r="6765" spans="1:7" ht="12" customHeight="1" outlineLevel="3" x14ac:dyDescent="0.2">
      <c r="A6765" s="14" t="s">
        <v>13327</v>
      </c>
      <c r="B6765" s="15" t="s">
        <v>13328</v>
      </c>
      <c r="C6765" s="16">
        <f>54.28/(1+B2)</f>
        <v>54.28</v>
      </c>
      <c r="D6765" s="17" t="s">
        <v>11</v>
      </c>
      <c r="E6765" s="17"/>
      <c r="F6765" s="18"/>
      <c r="G6765" s="36" t="str">
        <f>IF(ISNUMBER(F6765),C6765*F6765,"")</f>
        <v/>
      </c>
    </row>
    <row r="6766" spans="1:7" ht="12" customHeight="1" outlineLevel="3" x14ac:dyDescent="0.2">
      <c r="A6766" s="14" t="s">
        <v>13329</v>
      </c>
      <c r="B6766" s="15" t="s">
        <v>13330</v>
      </c>
      <c r="C6766" s="16">
        <f>55.8/(1+B2)</f>
        <v>55.8</v>
      </c>
      <c r="D6766" s="17" t="s">
        <v>14</v>
      </c>
      <c r="E6766" s="17"/>
      <c r="F6766" s="18"/>
      <c r="G6766" s="36" t="str">
        <f>IF(ISNUMBER(F6766),C6766*F6766,"")</f>
        <v/>
      </c>
    </row>
    <row r="6767" spans="1:7" ht="12" customHeight="1" outlineLevel="3" x14ac:dyDescent="0.2">
      <c r="A6767" s="14" t="s">
        <v>13331</v>
      </c>
      <c r="B6767" s="15" t="s">
        <v>13332</v>
      </c>
      <c r="C6767" s="16">
        <f>60.26/(1+B2)</f>
        <v>60.26</v>
      </c>
      <c r="D6767" s="17" t="s">
        <v>14</v>
      </c>
      <c r="E6767" s="17"/>
      <c r="F6767" s="18"/>
      <c r="G6767" s="36" t="str">
        <f>IF(ISNUMBER(F6767),C6767*F6767,"")</f>
        <v/>
      </c>
    </row>
    <row r="6768" spans="1:7" ht="12" customHeight="1" outlineLevel="3" x14ac:dyDescent="0.2">
      <c r="A6768" s="14" t="s">
        <v>13333</v>
      </c>
      <c r="B6768" s="15" t="s">
        <v>13334</v>
      </c>
      <c r="C6768" s="16">
        <f>51.84/(1+B2)</f>
        <v>51.84</v>
      </c>
      <c r="D6768" s="17" t="s">
        <v>11</v>
      </c>
      <c r="E6768" s="17"/>
      <c r="F6768" s="18"/>
      <c r="G6768" s="36" t="str">
        <f>IF(ISNUMBER(F6768),C6768*F6768,"")</f>
        <v/>
      </c>
    </row>
    <row r="6769" spans="1:7" ht="24" customHeight="1" outlineLevel="3" x14ac:dyDescent="0.2">
      <c r="A6769" s="14" t="s">
        <v>13335</v>
      </c>
      <c r="B6769" s="15" t="s">
        <v>13336</v>
      </c>
      <c r="C6769" s="16">
        <f>57.6/(1+B2)</f>
        <v>57.6</v>
      </c>
      <c r="D6769" s="17" t="s">
        <v>53</v>
      </c>
      <c r="E6769" s="17"/>
      <c r="F6769" s="18"/>
      <c r="G6769" s="36" t="str">
        <f>IF(ISNUMBER(F6769),C6769*F6769,"")</f>
        <v/>
      </c>
    </row>
    <row r="6770" spans="1:7" ht="24" customHeight="1" outlineLevel="3" x14ac:dyDescent="0.2">
      <c r="A6770" s="14" t="s">
        <v>13337</v>
      </c>
      <c r="B6770" s="15" t="s">
        <v>13338</v>
      </c>
      <c r="C6770" s="16">
        <f>71.28/(1+B2)</f>
        <v>71.28</v>
      </c>
      <c r="D6770" s="17" t="s">
        <v>14</v>
      </c>
      <c r="E6770" s="17"/>
      <c r="F6770" s="18"/>
      <c r="G6770" s="36" t="str">
        <f>IF(ISNUMBER(F6770),C6770*F6770,"")</f>
        <v/>
      </c>
    </row>
    <row r="6771" spans="1:7" ht="12" customHeight="1" outlineLevel="3" x14ac:dyDescent="0.2">
      <c r="A6771" s="14" t="s">
        <v>13339</v>
      </c>
      <c r="B6771" s="15" t="s">
        <v>13340</v>
      </c>
      <c r="C6771" s="16">
        <f>71.28/(1+B2)</f>
        <v>71.28</v>
      </c>
      <c r="D6771" s="17" t="s">
        <v>53</v>
      </c>
      <c r="E6771" s="17"/>
      <c r="F6771" s="18"/>
      <c r="G6771" s="36" t="str">
        <f>IF(ISNUMBER(F6771),C6771*F6771,"")</f>
        <v/>
      </c>
    </row>
    <row r="6772" spans="1:7" ht="12" customHeight="1" outlineLevel="3" x14ac:dyDescent="0.2">
      <c r="A6772" s="14" t="s">
        <v>13341</v>
      </c>
      <c r="B6772" s="15" t="s">
        <v>13342</v>
      </c>
      <c r="C6772" s="16">
        <f>71.28/(1+B2)</f>
        <v>71.28</v>
      </c>
      <c r="D6772" s="17" t="s">
        <v>53</v>
      </c>
      <c r="E6772" s="17"/>
      <c r="F6772" s="18"/>
      <c r="G6772" s="36" t="str">
        <f>IF(ISNUMBER(F6772),C6772*F6772,"")</f>
        <v/>
      </c>
    </row>
    <row r="6773" spans="1:7" ht="12" customHeight="1" outlineLevel="3" x14ac:dyDescent="0.2">
      <c r="A6773" s="14" t="s">
        <v>13343</v>
      </c>
      <c r="B6773" s="15" t="s">
        <v>13344</v>
      </c>
      <c r="C6773" s="16">
        <f>61.2/(1+B2)</f>
        <v>61.2</v>
      </c>
      <c r="D6773" s="17" t="s">
        <v>53</v>
      </c>
      <c r="E6773" s="17"/>
      <c r="F6773" s="18"/>
      <c r="G6773" s="36" t="str">
        <f>IF(ISNUMBER(F6773),C6773*F6773,"")</f>
        <v/>
      </c>
    </row>
    <row r="6774" spans="1:7" ht="12" customHeight="1" outlineLevel="3" x14ac:dyDescent="0.2">
      <c r="A6774" s="14" t="s">
        <v>13345</v>
      </c>
      <c r="B6774" s="15" t="s">
        <v>13346</v>
      </c>
      <c r="C6774" s="16">
        <f>61.2/(1+B2)</f>
        <v>61.2</v>
      </c>
      <c r="D6774" s="17" t="s">
        <v>14</v>
      </c>
      <c r="E6774" s="17"/>
      <c r="F6774" s="18"/>
      <c r="G6774" s="36" t="str">
        <f>IF(ISNUMBER(F6774),C6774*F6774,"")</f>
        <v/>
      </c>
    </row>
    <row r="6775" spans="1:7" ht="12" customHeight="1" outlineLevel="3" x14ac:dyDescent="0.2">
      <c r="A6775" s="14" t="s">
        <v>13347</v>
      </c>
      <c r="B6775" s="15" t="s">
        <v>13348</v>
      </c>
      <c r="C6775" s="16">
        <f>55.08/(1+B2)</f>
        <v>55.08</v>
      </c>
      <c r="D6775" s="17" t="s">
        <v>53</v>
      </c>
      <c r="E6775" s="17"/>
      <c r="F6775" s="18"/>
      <c r="G6775" s="36" t="str">
        <f>IF(ISNUMBER(F6775),C6775*F6775,"")</f>
        <v/>
      </c>
    </row>
    <row r="6776" spans="1:7" ht="12" customHeight="1" outlineLevel="3" x14ac:dyDescent="0.2">
      <c r="A6776" s="14" t="s">
        <v>13349</v>
      </c>
      <c r="B6776" s="15" t="s">
        <v>13350</v>
      </c>
      <c r="C6776" s="16">
        <f>90/(1+B2)</f>
        <v>90</v>
      </c>
      <c r="D6776" s="17" t="s">
        <v>11</v>
      </c>
      <c r="E6776" s="17"/>
      <c r="F6776" s="18"/>
      <c r="G6776" s="36" t="str">
        <f>IF(ISNUMBER(F6776),C6776*F6776,"")</f>
        <v/>
      </c>
    </row>
    <row r="6777" spans="1:7" ht="12" customHeight="1" outlineLevel="3" x14ac:dyDescent="0.2">
      <c r="A6777" s="14" t="s">
        <v>13351</v>
      </c>
      <c r="B6777" s="15" t="s">
        <v>13352</v>
      </c>
      <c r="C6777" s="16">
        <f>90/(1+B2)</f>
        <v>90</v>
      </c>
      <c r="D6777" s="17" t="s">
        <v>53</v>
      </c>
      <c r="E6777" s="17"/>
      <c r="F6777" s="18"/>
      <c r="G6777" s="36" t="str">
        <f>IF(ISNUMBER(F6777),C6777*F6777,"")</f>
        <v/>
      </c>
    </row>
    <row r="6778" spans="1:7" ht="12" customHeight="1" outlineLevel="3" x14ac:dyDescent="0.2">
      <c r="A6778" s="14" t="s">
        <v>13353</v>
      </c>
      <c r="B6778" s="15" t="s">
        <v>13354</v>
      </c>
      <c r="C6778" s="16">
        <f>61.56/(1+B2)</f>
        <v>61.56</v>
      </c>
      <c r="D6778" s="17" t="s">
        <v>11</v>
      </c>
      <c r="E6778" s="17"/>
      <c r="F6778" s="18"/>
      <c r="G6778" s="36" t="str">
        <f>IF(ISNUMBER(F6778),C6778*F6778,"")</f>
        <v/>
      </c>
    </row>
    <row r="6779" spans="1:7" ht="12" customHeight="1" outlineLevel="3" x14ac:dyDescent="0.2">
      <c r="A6779" s="14" t="s">
        <v>13355</v>
      </c>
      <c r="B6779" s="15" t="s">
        <v>13356</v>
      </c>
      <c r="C6779" s="16">
        <f>89.1/(1+B2)</f>
        <v>89.1</v>
      </c>
      <c r="D6779" s="17" t="s">
        <v>11</v>
      </c>
      <c r="E6779" s="17"/>
      <c r="F6779" s="18"/>
      <c r="G6779" s="36" t="str">
        <f>IF(ISNUMBER(F6779),C6779*F6779,"")</f>
        <v/>
      </c>
    </row>
    <row r="6780" spans="1:7" ht="12" customHeight="1" outlineLevel="3" x14ac:dyDescent="0.2">
      <c r="A6780" s="14" t="s">
        <v>13357</v>
      </c>
      <c r="B6780" s="15" t="s">
        <v>13358</v>
      </c>
      <c r="C6780" s="16">
        <f>90.28/(1+B2)</f>
        <v>90.28</v>
      </c>
      <c r="D6780" s="17" t="s">
        <v>11</v>
      </c>
      <c r="E6780" s="17"/>
      <c r="F6780" s="18"/>
      <c r="G6780" s="36" t="str">
        <f>IF(ISNUMBER(F6780),C6780*F6780,"")</f>
        <v/>
      </c>
    </row>
    <row r="6781" spans="1:7" ht="12" customHeight="1" outlineLevel="3" x14ac:dyDescent="0.2">
      <c r="A6781" s="14" t="s">
        <v>13359</v>
      </c>
      <c r="B6781" s="15" t="s">
        <v>13360</v>
      </c>
      <c r="C6781" s="16">
        <f>89.1/(1+B2)</f>
        <v>89.1</v>
      </c>
      <c r="D6781" s="17" t="s">
        <v>53</v>
      </c>
      <c r="E6781" s="17"/>
      <c r="F6781" s="18"/>
      <c r="G6781" s="36" t="str">
        <f>IF(ISNUMBER(F6781),C6781*F6781,"")</f>
        <v/>
      </c>
    </row>
    <row r="6782" spans="1:7" ht="12" customHeight="1" outlineLevel="3" x14ac:dyDescent="0.2">
      <c r="A6782" s="14" t="s">
        <v>13361</v>
      </c>
      <c r="B6782" s="15" t="s">
        <v>13362</v>
      </c>
      <c r="C6782" s="16">
        <f>98.82/(1+B2)</f>
        <v>98.82</v>
      </c>
      <c r="D6782" s="17" t="s">
        <v>11</v>
      </c>
      <c r="E6782" s="17"/>
      <c r="F6782" s="18"/>
      <c r="G6782" s="36" t="str">
        <f>IF(ISNUMBER(F6782),C6782*F6782,"")</f>
        <v/>
      </c>
    </row>
    <row r="6783" spans="1:7" ht="12" customHeight="1" outlineLevel="3" x14ac:dyDescent="0.2">
      <c r="A6783" s="14" t="s">
        <v>13363</v>
      </c>
      <c r="B6783" s="15" t="s">
        <v>13364</v>
      </c>
      <c r="C6783" s="16">
        <f>109.8/(1+B2)</f>
        <v>109.8</v>
      </c>
      <c r="D6783" s="17" t="s">
        <v>11</v>
      </c>
      <c r="E6783" s="17"/>
      <c r="F6783" s="18"/>
      <c r="G6783" s="36" t="str">
        <f>IF(ISNUMBER(F6783),C6783*F6783,"")</f>
        <v/>
      </c>
    </row>
    <row r="6784" spans="1:7" ht="12" customHeight="1" outlineLevel="3" x14ac:dyDescent="0.2">
      <c r="A6784" s="14" t="s">
        <v>13365</v>
      </c>
      <c r="B6784" s="15" t="s">
        <v>13366</v>
      </c>
      <c r="C6784" s="16">
        <f>98.82/(1+B2)</f>
        <v>98.82</v>
      </c>
      <c r="D6784" s="17" t="s">
        <v>14</v>
      </c>
      <c r="E6784" s="17"/>
      <c r="F6784" s="18"/>
      <c r="G6784" s="36" t="str">
        <f>IF(ISNUMBER(F6784),C6784*F6784,"")</f>
        <v/>
      </c>
    </row>
    <row r="6785" spans="1:7" ht="12" customHeight="1" outlineLevel="3" x14ac:dyDescent="0.2">
      <c r="A6785" s="14" t="s">
        <v>13367</v>
      </c>
      <c r="B6785" s="15" t="s">
        <v>13368</v>
      </c>
      <c r="C6785" s="16">
        <f>62.72/(1+B2)</f>
        <v>62.72</v>
      </c>
      <c r="D6785" s="17" t="s">
        <v>11</v>
      </c>
      <c r="E6785" s="17"/>
      <c r="F6785" s="18"/>
      <c r="G6785" s="36" t="str">
        <f>IF(ISNUMBER(F6785),C6785*F6785,"")</f>
        <v/>
      </c>
    </row>
    <row r="6786" spans="1:7" ht="12" customHeight="1" outlineLevel="3" x14ac:dyDescent="0.2">
      <c r="A6786" s="14" t="s">
        <v>13369</v>
      </c>
      <c r="B6786" s="15" t="s">
        <v>13370</v>
      </c>
      <c r="C6786" s="16">
        <f>48.6/(1+B2)</f>
        <v>48.6</v>
      </c>
      <c r="D6786" s="17" t="s">
        <v>11</v>
      </c>
      <c r="E6786" s="17"/>
      <c r="F6786" s="18"/>
      <c r="G6786" s="36" t="str">
        <f>IF(ISNUMBER(F6786),C6786*F6786,"")</f>
        <v/>
      </c>
    </row>
    <row r="6787" spans="1:7" ht="12" customHeight="1" outlineLevel="3" x14ac:dyDescent="0.2">
      <c r="A6787" s="14" t="s">
        <v>13371</v>
      </c>
      <c r="B6787" s="15" t="s">
        <v>13372</v>
      </c>
      <c r="C6787" s="16">
        <f>154.92/(1+B2)</f>
        <v>154.91999999999999</v>
      </c>
      <c r="D6787" s="17" t="s">
        <v>11</v>
      </c>
      <c r="E6787" s="17"/>
      <c r="F6787" s="18"/>
      <c r="G6787" s="36" t="str">
        <f>IF(ISNUMBER(F6787),C6787*F6787,"")</f>
        <v/>
      </c>
    </row>
    <row r="6788" spans="1:7" ht="12" customHeight="1" outlineLevel="3" x14ac:dyDescent="0.2">
      <c r="A6788" s="14" t="s">
        <v>13373</v>
      </c>
      <c r="B6788" s="15" t="s">
        <v>13374</v>
      </c>
      <c r="C6788" s="16">
        <f>75.35/(1+B2)</f>
        <v>75.349999999999994</v>
      </c>
      <c r="D6788" s="17" t="s">
        <v>11</v>
      </c>
      <c r="E6788" s="17"/>
      <c r="F6788" s="18"/>
      <c r="G6788" s="36" t="str">
        <f>IF(ISNUMBER(F6788),C6788*F6788,"")</f>
        <v/>
      </c>
    </row>
    <row r="6789" spans="1:7" ht="12" customHeight="1" outlineLevel="3" x14ac:dyDescent="0.2">
      <c r="A6789" s="14" t="s">
        <v>13375</v>
      </c>
      <c r="B6789" s="15" t="s">
        <v>13376</v>
      </c>
      <c r="C6789" s="16">
        <f>79.2/(1+B2)</f>
        <v>79.2</v>
      </c>
      <c r="D6789" s="17" t="s">
        <v>53</v>
      </c>
      <c r="E6789" s="17"/>
      <c r="F6789" s="18"/>
      <c r="G6789" s="36" t="str">
        <f>IF(ISNUMBER(F6789),C6789*F6789,"")</f>
        <v/>
      </c>
    </row>
    <row r="6790" spans="1:7" ht="12" customHeight="1" outlineLevel="3" x14ac:dyDescent="0.2">
      <c r="A6790" s="14" t="s">
        <v>13377</v>
      </c>
      <c r="B6790" s="15" t="s">
        <v>13378</v>
      </c>
      <c r="C6790" s="16">
        <f>71.28/(1+B2)</f>
        <v>71.28</v>
      </c>
      <c r="D6790" s="17" t="s">
        <v>14</v>
      </c>
      <c r="E6790" s="17"/>
      <c r="F6790" s="18"/>
      <c r="G6790" s="36" t="str">
        <f>IF(ISNUMBER(F6790),C6790*F6790,"")</f>
        <v/>
      </c>
    </row>
    <row r="6791" spans="1:7" ht="12" customHeight="1" outlineLevel="3" x14ac:dyDescent="0.2">
      <c r="A6791" s="14" t="s">
        <v>13379</v>
      </c>
      <c r="B6791" s="15" t="s">
        <v>13380</v>
      </c>
      <c r="C6791" s="16">
        <f>71.2/(1+B2)</f>
        <v>71.2</v>
      </c>
      <c r="D6791" s="17" t="s">
        <v>11</v>
      </c>
      <c r="E6791" s="17" t="s">
        <v>11</v>
      </c>
      <c r="F6791" s="18"/>
      <c r="G6791" s="36" t="str">
        <f>IF(ISNUMBER(F6791),C6791*F6791,"")</f>
        <v/>
      </c>
    </row>
    <row r="6792" spans="1:7" ht="12" customHeight="1" outlineLevel="3" x14ac:dyDescent="0.2">
      <c r="A6792" s="14" t="s">
        <v>13381</v>
      </c>
      <c r="B6792" s="15" t="s">
        <v>13382</v>
      </c>
      <c r="C6792" s="16">
        <f>110.88/(1+B2)</f>
        <v>110.88</v>
      </c>
      <c r="D6792" s="17" t="s">
        <v>11</v>
      </c>
      <c r="E6792" s="17"/>
      <c r="F6792" s="18"/>
      <c r="G6792" s="36" t="str">
        <f>IF(ISNUMBER(F6792),C6792*F6792,"")</f>
        <v/>
      </c>
    </row>
    <row r="6793" spans="1:7" ht="12" customHeight="1" outlineLevel="3" x14ac:dyDescent="0.2">
      <c r="A6793" s="14" t="s">
        <v>13383</v>
      </c>
      <c r="B6793" s="15" t="s">
        <v>13384</v>
      </c>
      <c r="C6793" s="16">
        <f>74.52/(1+B2)</f>
        <v>74.52</v>
      </c>
      <c r="D6793" s="17" t="s">
        <v>11</v>
      </c>
      <c r="E6793" s="17"/>
      <c r="F6793" s="18"/>
      <c r="G6793" s="36" t="str">
        <f>IF(ISNUMBER(F6793),C6793*F6793,"")</f>
        <v/>
      </c>
    </row>
    <row r="6794" spans="1:7" ht="12" customHeight="1" outlineLevel="3" x14ac:dyDescent="0.2">
      <c r="A6794" s="14" t="s">
        <v>13385</v>
      </c>
      <c r="B6794" s="15" t="s">
        <v>13386</v>
      </c>
      <c r="C6794" s="16">
        <f>98.02/(1+B2)</f>
        <v>98.02</v>
      </c>
      <c r="D6794" s="17" t="s">
        <v>11</v>
      </c>
      <c r="E6794" s="17"/>
      <c r="F6794" s="18"/>
      <c r="G6794" s="36" t="str">
        <f>IF(ISNUMBER(F6794),C6794*F6794,"")</f>
        <v/>
      </c>
    </row>
    <row r="6795" spans="1:7" ht="12" customHeight="1" outlineLevel="3" x14ac:dyDescent="0.2">
      <c r="A6795" s="14" t="s">
        <v>13387</v>
      </c>
      <c r="B6795" s="15" t="s">
        <v>13388</v>
      </c>
      <c r="C6795" s="16">
        <f>116.64/(1+B2)</f>
        <v>116.64</v>
      </c>
      <c r="D6795" s="17" t="s">
        <v>11</v>
      </c>
      <c r="E6795" s="17"/>
      <c r="F6795" s="18"/>
      <c r="G6795" s="36" t="str">
        <f>IF(ISNUMBER(F6795),C6795*F6795,"")</f>
        <v/>
      </c>
    </row>
    <row r="6796" spans="1:7" ht="12" customHeight="1" outlineLevel="3" x14ac:dyDescent="0.2">
      <c r="A6796" s="14" t="s">
        <v>13389</v>
      </c>
      <c r="B6796" s="15" t="s">
        <v>13390</v>
      </c>
      <c r="C6796" s="16">
        <f>200.15/(1+B2)</f>
        <v>200.15</v>
      </c>
      <c r="D6796" s="17" t="s">
        <v>11</v>
      </c>
      <c r="E6796" s="17"/>
      <c r="F6796" s="18"/>
      <c r="G6796" s="36" t="str">
        <f>IF(ISNUMBER(F6796),C6796*F6796,"")</f>
        <v/>
      </c>
    </row>
    <row r="6797" spans="1:7" ht="12" customHeight="1" outlineLevel="3" x14ac:dyDescent="0.2">
      <c r="A6797" s="14" t="s">
        <v>13391</v>
      </c>
      <c r="B6797" s="15" t="s">
        <v>13392</v>
      </c>
      <c r="C6797" s="16">
        <f>129.6/(1+B2)</f>
        <v>129.6</v>
      </c>
      <c r="D6797" s="17" t="s">
        <v>14</v>
      </c>
      <c r="E6797" s="17"/>
      <c r="F6797" s="18"/>
      <c r="G6797" s="36" t="str">
        <f>IF(ISNUMBER(F6797),C6797*F6797,"")</f>
        <v/>
      </c>
    </row>
    <row r="6798" spans="1:7" ht="12" customHeight="1" outlineLevel="3" x14ac:dyDescent="0.2">
      <c r="A6798" s="14" t="s">
        <v>13393</v>
      </c>
      <c r="B6798" s="15" t="s">
        <v>13394</v>
      </c>
      <c r="C6798" s="16">
        <f>94.54/(1+B2)</f>
        <v>94.54</v>
      </c>
      <c r="D6798" s="17" t="s">
        <v>11</v>
      </c>
      <c r="E6798" s="17"/>
      <c r="F6798" s="18"/>
      <c r="G6798" s="36" t="str">
        <f>IF(ISNUMBER(F6798),C6798*F6798,"")</f>
        <v/>
      </c>
    </row>
    <row r="6799" spans="1:7" ht="12" customHeight="1" outlineLevel="3" x14ac:dyDescent="0.2">
      <c r="A6799" s="14" t="s">
        <v>13395</v>
      </c>
      <c r="B6799" s="15" t="s">
        <v>13396</v>
      </c>
      <c r="C6799" s="16">
        <f>76.14/(1+B2)</f>
        <v>76.14</v>
      </c>
      <c r="D6799" s="17" t="s">
        <v>14</v>
      </c>
      <c r="E6799" s="17"/>
      <c r="F6799" s="18"/>
      <c r="G6799" s="36" t="str">
        <f>IF(ISNUMBER(F6799),C6799*F6799,"")</f>
        <v/>
      </c>
    </row>
    <row r="6800" spans="1:7" ht="12" customHeight="1" outlineLevel="3" x14ac:dyDescent="0.2">
      <c r="A6800" s="14" t="s">
        <v>13397</v>
      </c>
      <c r="B6800" s="15" t="s">
        <v>13398</v>
      </c>
      <c r="C6800" s="16">
        <f>84.6/(1+B2)</f>
        <v>84.6</v>
      </c>
      <c r="D6800" s="17" t="s">
        <v>11</v>
      </c>
      <c r="E6800" s="17"/>
      <c r="F6800" s="18"/>
      <c r="G6800" s="36" t="str">
        <f>IF(ISNUMBER(F6800),C6800*F6800,"")</f>
        <v/>
      </c>
    </row>
    <row r="6801" spans="1:7" ht="12" customHeight="1" outlineLevel="3" x14ac:dyDescent="0.2">
      <c r="A6801" s="14" t="s">
        <v>13399</v>
      </c>
      <c r="B6801" s="15" t="s">
        <v>13400</v>
      </c>
      <c r="C6801" s="16">
        <f>137.7/(1+B2)</f>
        <v>137.69999999999999</v>
      </c>
      <c r="D6801" s="17" t="s">
        <v>53</v>
      </c>
      <c r="E6801" s="17"/>
      <c r="F6801" s="18"/>
      <c r="G6801" s="36" t="str">
        <f>IF(ISNUMBER(F6801),C6801*F6801,"")</f>
        <v/>
      </c>
    </row>
    <row r="6802" spans="1:7" ht="12" customHeight="1" outlineLevel="3" x14ac:dyDescent="0.2">
      <c r="A6802" s="14" t="s">
        <v>13401</v>
      </c>
      <c r="B6802" s="15" t="s">
        <v>13402</v>
      </c>
      <c r="C6802" s="16">
        <f>169.48/(1+B2)</f>
        <v>169.48</v>
      </c>
      <c r="D6802" s="17" t="s">
        <v>14</v>
      </c>
      <c r="E6802" s="17"/>
      <c r="F6802" s="18"/>
      <c r="G6802" s="36" t="str">
        <f>IF(ISNUMBER(F6802),C6802*F6802,"")</f>
        <v/>
      </c>
    </row>
    <row r="6803" spans="1:7" ht="12" customHeight="1" outlineLevel="3" x14ac:dyDescent="0.2">
      <c r="A6803" s="14" t="s">
        <v>13403</v>
      </c>
      <c r="B6803" s="15" t="s">
        <v>13404</v>
      </c>
      <c r="C6803" s="16">
        <f>153/(1+B2)</f>
        <v>153</v>
      </c>
      <c r="D6803" s="17" t="s">
        <v>11</v>
      </c>
      <c r="E6803" s="17"/>
      <c r="F6803" s="18"/>
      <c r="G6803" s="36" t="str">
        <f>IF(ISNUMBER(F6803),C6803*F6803,"")</f>
        <v/>
      </c>
    </row>
    <row r="6804" spans="1:7" ht="12" customHeight="1" outlineLevel="3" x14ac:dyDescent="0.2">
      <c r="A6804" s="14" t="s">
        <v>13405</v>
      </c>
      <c r="B6804" s="15" t="s">
        <v>13406</v>
      </c>
      <c r="C6804" s="16">
        <f>152.28/(1+B2)</f>
        <v>152.28</v>
      </c>
      <c r="D6804" s="17" t="s">
        <v>11</v>
      </c>
      <c r="E6804" s="17"/>
      <c r="F6804" s="18"/>
      <c r="G6804" s="36" t="str">
        <f>IF(ISNUMBER(F6804),C6804*F6804,"")</f>
        <v/>
      </c>
    </row>
    <row r="6805" spans="1:7" ht="12" customHeight="1" outlineLevel="3" x14ac:dyDescent="0.2">
      <c r="A6805" s="14" t="s">
        <v>13407</v>
      </c>
      <c r="B6805" s="15" t="s">
        <v>13408</v>
      </c>
      <c r="C6805" s="16">
        <f>97.2/(1+B2)</f>
        <v>97.2</v>
      </c>
      <c r="D6805" s="17" t="s">
        <v>14</v>
      </c>
      <c r="E6805" s="17"/>
      <c r="F6805" s="18"/>
      <c r="G6805" s="36" t="str">
        <f>IF(ISNUMBER(F6805),C6805*F6805,"")</f>
        <v/>
      </c>
    </row>
    <row r="6806" spans="1:7" ht="12" customHeight="1" outlineLevel="3" x14ac:dyDescent="0.2">
      <c r="A6806" s="14" t="s">
        <v>13409</v>
      </c>
      <c r="B6806" s="15" t="s">
        <v>13410</v>
      </c>
      <c r="C6806" s="16">
        <f>152.28/(1+B2)</f>
        <v>152.28</v>
      </c>
      <c r="D6806" s="17" t="s">
        <v>11</v>
      </c>
      <c r="E6806" s="17"/>
      <c r="F6806" s="18"/>
      <c r="G6806" s="36" t="str">
        <f>IF(ISNUMBER(F6806),C6806*F6806,"")</f>
        <v/>
      </c>
    </row>
    <row r="6807" spans="1:7" ht="12" customHeight="1" outlineLevel="3" x14ac:dyDescent="0.2">
      <c r="A6807" s="14" t="s">
        <v>13411</v>
      </c>
      <c r="B6807" s="15" t="s">
        <v>13412</v>
      </c>
      <c r="C6807" s="16">
        <f>169.2/(1+B2)</f>
        <v>169.2</v>
      </c>
      <c r="D6807" s="17" t="s">
        <v>11</v>
      </c>
      <c r="E6807" s="17"/>
      <c r="F6807" s="18"/>
      <c r="G6807" s="36" t="str">
        <f>IF(ISNUMBER(F6807),C6807*F6807,"")</f>
        <v/>
      </c>
    </row>
    <row r="6808" spans="1:7" ht="12" customHeight="1" outlineLevel="3" x14ac:dyDescent="0.2">
      <c r="A6808" s="14" t="s">
        <v>13413</v>
      </c>
      <c r="B6808" s="15" t="s">
        <v>13414</v>
      </c>
      <c r="C6808" s="16">
        <f>125.47/(1+B2)</f>
        <v>125.47</v>
      </c>
      <c r="D6808" s="17" t="s">
        <v>14</v>
      </c>
      <c r="E6808" s="17"/>
      <c r="F6808" s="18"/>
      <c r="G6808" s="36" t="str">
        <f>IF(ISNUMBER(F6808),C6808*F6808,"")</f>
        <v/>
      </c>
    </row>
    <row r="6809" spans="1:7" ht="12" customHeight="1" outlineLevel="3" x14ac:dyDescent="0.2">
      <c r="A6809" s="14" t="s">
        <v>13415</v>
      </c>
      <c r="B6809" s="15" t="s">
        <v>13416</v>
      </c>
      <c r="C6809" s="16">
        <f>237.1/(1+B2)</f>
        <v>237.1</v>
      </c>
      <c r="D6809" s="17" t="s">
        <v>11</v>
      </c>
      <c r="E6809" s="17"/>
      <c r="F6809" s="18"/>
      <c r="G6809" s="36" t="str">
        <f>IF(ISNUMBER(F6809),C6809*F6809,"")</f>
        <v/>
      </c>
    </row>
    <row r="6810" spans="1:7" ht="12" customHeight="1" outlineLevel="3" x14ac:dyDescent="0.2">
      <c r="A6810" s="14" t="s">
        <v>13417</v>
      </c>
      <c r="B6810" s="15" t="s">
        <v>13418</v>
      </c>
      <c r="C6810" s="16">
        <f>207.18/(1+B2)</f>
        <v>207.18</v>
      </c>
      <c r="D6810" s="17" t="s">
        <v>11</v>
      </c>
      <c r="E6810" s="17"/>
      <c r="F6810" s="18"/>
      <c r="G6810" s="36" t="str">
        <f>IF(ISNUMBER(F6810),C6810*F6810,"")</f>
        <v/>
      </c>
    </row>
    <row r="6811" spans="1:7" ht="12" customHeight="1" outlineLevel="3" x14ac:dyDescent="0.2">
      <c r="A6811" s="14" t="s">
        <v>13419</v>
      </c>
      <c r="B6811" s="15" t="s">
        <v>13420</v>
      </c>
      <c r="C6811" s="16">
        <f>134.33/(1+B2)</f>
        <v>134.33000000000001</v>
      </c>
      <c r="D6811" s="17" t="s">
        <v>11</v>
      </c>
      <c r="E6811" s="17"/>
      <c r="F6811" s="18"/>
      <c r="G6811" s="36" t="str">
        <f>IF(ISNUMBER(F6811),C6811*F6811,"")</f>
        <v/>
      </c>
    </row>
    <row r="6812" spans="1:7" ht="12" customHeight="1" outlineLevel="3" x14ac:dyDescent="0.2">
      <c r="A6812" s="14" t="s">
        <v>13421</v>
      </c>
      <c r="B6812" s="15" t="s">
        <v>13422</v>
      </c>
      <c r="C6812" s="16">
        <f>122.67/(1+B2)</f>
        <v>122.67</v>
      </c>
      <c r="D6812" s="17" t="s">
        <v>11</v>
      </c>
      <c r="E6812" s="17"/>
      <c r="F6812" s="18"/>
      <c r="G6812" s="36" t="str">
        <f>IF(ISNUMBER(F6812),C6812*F6812,"")</f>
        <v/>
      </c>
    </row>
    <row r="6813" spans="1:7" ht="12" customHeight="1" outlineLevel="3" x14ac:dyDescent="0.2">
      <c r="A6813" s="14" t="s">
        <v>13423</v>
      </c>
      <c r="B6813" s="15" t="s">
        <v>13424</v>
      </c>
      <c r="C6813" s="16">
        <f>159.43/(1+B2)</f>
        <v>159.43</v>
      </c>
      <c r="D6813" s="17" t="s">
        <v>11</v>
      </c>
      <c r="E6813" s="17"/>
      <c r="F6813" s="18"/>
      <c r="G6813" s="36" t="str">
        <f>IF(ISNUMBER(F6813),C6813*F6813,"")</f>
        <v/>
      </c>
    </row>
    <row r="6814" spans="1:7" ht="12" customHeight="1" outlineLevel="3" x14ac:dyDescent="0.2">
      <c r="A6814" s="14" t="s">
        <v>13425</v>
      </c>
      <c r="B6814" s="15" t="s">
        <v>13426</v>
      </c>
      <c r="C6814" s="16">
        <f>131.32/(1+B2)</f>
        <v>131.32</v>
      </c>
      <c r="D6814" s="17" t="s">
        <v>11</v>
      </c>
      <c r="E6814" s="17" t="s">
        <v>14</v>
      </c>
      <c r="F6814" s="18"/>
      <c r="G6814" s="36" t="str">
        <f>IF(ISNUMBER(F6814),C6814*F6814,"")</f>
        <v/>
      </c>
    </row>
    <row r="6815" spans="1:7" s="1" customFormat="1" ht="12.95" customHeight="1" outlineLevel="2" x14ac:dyDescent="0.2">
      <c r="A6815" s="20"/>
      <c r="B6815" s="21" t="s">
        <v>13427</v>
      </c>
      <c r="C6815" s="22"/>
      <c r="D6815" s="22"/>
      <c r="E6815" s="22"/>
      <c r="F6815" s="22"/>
      <c r="G6815" s="37"/>
    </row>
    <row r="6816" spans="1:7" ht="24" customHeight="1" outlineLevel="3" x14ac:dyDescent="0.2">
      <c r="A6816" s="14" t="s">
        <v>13428</v>
      </c>
      <c r="B6816" s="15" t="s">
        <v>13429</v>
      </c>
      <c r="C6816" s="16">
        <f>59.45/(1+B2)</f>
        <v>59.45</v>
      </c>
      <c r="D6816" s="17" t="s">
        <v>11</v>
      </c>
      <c r="E6816" s="17" t="s">
        <v>53</v>
      </c>
      <c r="F6816" s="18"/>
      <c r="G6816" s="36" t="str">
        <f>IF(ISNUMBER(F6816),C6816*F6816,"")</f>
        <v/>
      </c>
    </row>
    <row r="6817" spans="1:7" ht="12" customHeight="1" outlineLevel="3" x14ac:dyDescent="0.2">
      <c r="A6817" s="14" t="s">
        <v>13430</v>
      </c>
      <c r="B6817" s="15" t="s">
        <v>13431</v>
      </c>
      <c r="C6817" s="16">
        <f>52.27/(1+B2)</f>
        <v>52.27</v>
      </c>
      <c r="D6817" s="17" t="s">
        <v>11</v>
      </c>
      <c r="E6817" s="17" t="s">
        <v>53</v>
      </c>
      <c r="F6817" s="18"/>
      <c r="G6817" s="36" t="str">
        <f>IF(ISNUMBER(F6817),C6817*F6817,"")</f>
        <v/>
      </c>
    </row>
    <row r="6818" spans="1:7" ht="24" customHeight="1" outlineLevel="3" x14ac:dyDescent="0.2">
      <c r="A6818" s="14" t="s">
        <v>13432</v>
      </c>
      <c r="B6818" s="15" t="s">
        <v>13433</v>
      </c>
      <c r="C6818" s="16">
        <f>93.9/(1+B2)</f>
        <v>93.9</v>
      </c>
      <c r="D6818" s="17" t="s">
        <v>11</v>
      </c>
      <c r="E6818" s="17" t="s">
        <v>14</v>
      </c>
      <c r="F6818" s="18"/>
      <c r="G6818" s="36" t="str">
        <f>IF(ISNUMBER(F6818),C6818*F6818,"")</f>
        <v/>
      </c>
    </row>
    <row r="6819" spans="1:7" ht="12" customHeight="1" outlineLevel="3" x14ac:dyDescent="0.2">
      <c r="A6819" s="14" t="s">
        <v>13434</v>
      </c>
      <c r="B6819" s="15" t="s">
        <v>13435</v>
      </c>
      <c r="C6819" s="16">
        <f>63.39/(1+B2)</f>
        <v>63.39</v>
      </c>
      <c r="D6819" s="17" t="s">
        <v>11</v>
      </c>
      <c r="E6819" s="17"/>
      <c r="F6819" s="18"/>
      <c r="G6819" s="36" t="str">
        <f>IF(ISNUMBER(F6819),C6819*F6819,"")</f>
        <v/>
      </c>
    </row>
    <row r="6820" spans="1:7" ht="12" customHeight="1" outlineLevel="3" x14ac:dyDescent="0.2">
      <c r="A6820" s="14" t="s">
        <v>13436</v>
      </c>
      <c r="B6820" s="15" t="s">
        <v>13437</v>
      </c>
      <c r="C6820" s="16">
        <f>85.01/(1+B2)</f>
        <v>85.01</v>
      </c>
      <c r="D6820" s="17" t="s">
        <v>11</v>
      </c>
      <c r="E6820" s="17"/>
      <c r="F6820" s="18"/>
      <c r="G6820" s="36" t="str">
        <f>IF(ISNUMBER(F6820),C6820*F6820,"")</f>
        <v/>
      </c>
    </row>
    <row r="6821" spans="1:7" ht="24" customHeight="1" outlineLevel="3" x14ac:dyDescent="0.2">
      <c r="A6821" s="14" t="s">
        <v>13438</v>
      </c>
      <c r="B6821" s="15" t="s">
        <v>13439</v>
      </c>
      <c r="C6821" s="16">
        <f>57.95/(1+B2)</f>
        <v>57.95</v>
      </c>
      <c r="D6821" s="17" t="s">
        <v>11</v>
      </c>
      <c r="E6821" s="17"/>
      <c r="F6821" s="18"/>
      <c r="G6821" s="36" t="str">
        <f>IF(ISNUMBER(F6821),C6821*F6821,"")</f>
        <v/>
      </c>
    </row>
    <row r="6822" spans="1:7" ht="12" customHeight="1" outlineLevel="3" x14ac:dyDescent="0.2">
      <c r="A6822" s="14" t="s">
        <v>13440</v>
      </c>
      <c r="B6822" s="15" t="s">
        <v>13441</v>
      </c>
      <c r="C6822" s="16">
        <f>46.51/(1+B2)</f>
        <v>46.51</v>
      </c>
      <c r="D6822" s="17" t="s">
        <v>11</v>
      </c>
      <c r="E6822" s="17"/>
      <c r="F6822" s="18"/>
      <c r="G6822" s="36" t="str">
        <f>IF(ISNUMBER(F6822),C6822*F6822,"")</f>
        <v/>
      </c>
    </row>
    <row r="6823" spans="1:7" ht="12" customHeight="1" outlineLevel="3" x14ac:dyDescent="0.2">
      <c r="A6823" s="14" t="s">
        <v>13442</v>
      </c>
      <c r="B6823" s="15" t="s">
        <v>13443</v>
      </c>
      <c r="C6823" s="16">
        <f>66.81/(1+B2)</f>
        <v>66.81</v>
      </c>
      <c r="D6823" s="17" t="s">
        <v>11</v>
      </c>
      <c r="E6823" s="17"/>
      <c r="F6823" s="18"/>
      <c r="G6823" s="36" t="str">
        <f>IF(ISNUMBER(F6823),C6823*F6823,"")</f>
        <v/>
      </c>
    </row>
    <row r="6824" spans="1:7" ht="12" customHeight="1" outlineLevel="3" x14ac:dyDescent="0.2">
      <c r="A6824" s="14" t="s">
        <v>13444</v>
      </c>
      <c r="B6824" s="15" t="s">
        <v>13445</v>
      </c>
      <c r="C6824" s="16">
        <f>40.77/(1+B2)</f>
        <v>40.770000000000003</v>
      </c>
      <c r="D6824" s="17" t="s">
        <v>11</v>
      </c>
      <c r="E6824" s="17"/>
      <c r="F6824" s="18"/>
      <c r="G6824" s="36" t="str">
        <f>IF(ISNUMBER(F6824),C6824*F6824,"")</f>
        <v/>
      </c>
    </row>
    <row r="6825" spans="1:7" ht="24" customHeight="1" outlineLevel="3" x14ac:dyDescent="0.2">
      <c r="A6825" s="14" t="s">
        <v>13446</v>
      </c>
      <c r="B6825" s="15" t="s">
        <v>13447</v>
      </c>
      <c r="C6825" s="16">
        <f>385.14/(1+B2)</f>
        <v>385.14</v>
      </c>
      <c r="D6825" s="17" t="s">
        <v>11</v>
      </c>
      <c r="E6825" s="17"/>
      <c r="F6825" s="18"/>
      <c r="G6825" s="36" t="str">
        <f>IF(ISNUMBER(F6825),C6825*F6825,"")</f>
        <v/>
      </c>
    </row>
    <row r="6826" spans="1:7" ht="12" customHeight="1" outlineLevel="3" x14ac:dyDescent="0.2">
      <c r="A6826" s="14" t="s">
        <v>13448</v>
      </c>
      <c r="B6826" s="15" t="s">
        <v>13449</v>
      </c>
      <c r="C6826" s="16">
        <f>263.2/(1+B2)</f>
        <v>263.2</v>
      </c>
      <c r="D6826" s="17" t="s">
        <v>11</v>
      </c>
      <c r="E6826" s="17"/>
      <c r="F6826" s="18"/>
      <c r="G6826" s="36" t="str">
        <f>IF(ISNUMBER(F6826),C6826*F6826,"")</f>
        <v/>
      </c>
    </row>
    <row r="6827" spans="1:7" ht="12" customHeight="1" outlineLevel="3" x14ac:dyDescent="0.2">
      <c r="A6827" s="14" t="s">
        <v>13450</v>
      </c>
      <c r="B6827" s="15" t="s">
        <v>13451</v>
      </c>
      <c r="C6827" s="16">
        <f>238.56/(1+B2)</f>
        <v>238.56</v>
      </c>
      <c r="D6827" s="17" t="s">
        <v>11</v>
      </c>
      <c r="E6827" s="17"/>
      <c r="F6827" s="18"/>
      <c r="G6827" s="36" t="str">
        <f>IF(ISNUMBER(F6827),C6827*F6827,"")</f>
        <v/>
      </c>
    </row>
    <row r="6828" spans="1:7" ht="12" customHeight="1" outlineLevel="3" x14ac:dyDescent="0.2">
      <c r="A6828" s="14" t="s">
        <v>13452</v>
      </c>
      <c r="B6828" s="15" t="s">
        <v>13453</v>
      </c>
      <c r="C6828" s="16">
        <f>278/(1+B2)</f>
        <v>278</v>
      </c>
      <c r="D6828" s="17" t="s">
        <v>11</v>
      </c>
      <c r="E6828" s="17"/>
      <c r="F6828" s="18"/>
      <c r="G6828" s="36" t="str">
        <f>IF(ISNUMBER(F6828),C6828*F6828,"")</f>
        <v/>
      </c>
    </row>
    <row r="6829" spans="1:7" ht="24" customHeight="1" outlineLevel="3" x14ac:dyDescent="0.2">
      <c r="A6829" s="14" t="s">
        <v>13454</v>
      </c>
      <c r="B6829" s="15" t="s">
        <v>13455</v>
      </c>
      <c r="C6829" s="16">
        <f>61.22/(1+B2)</f>
        <v>61.22</v>
      </c>
      <c r="D6829" s="17" t="s">
        <v>11</v>
      </c>
      <c r="E6829" s="17"/>
      <c r="F6829" s="18"/>
      <c r="G6829" s="36" t="str">
        <f>IF(ISNUMBER(F6829),C6829*F6829,"")</f>
        <v/>
      </c>
    </row>
    <row r="6830" spans="1:7" ht="12" customHeight="1" outlineLevel="3" x14ac:dyDescent="0.2">
      <c r="A6830" s="14" t="s">
        <v>13456</v>
      </c>
      <c r="B6830" s="15" t="s">
        <v>13457</v>
      </c>
      <c r="C6830" s="16">
        <f>60.67/(1+B2)</f>
        <v>60.67</v>
      </c>
      <c r="D6830" s="17" t="s">
        <v>11</v>
      </c>
      <c r="E6830" s="17"/>
      <c r="F6830" s="18"/>
      <c r="G6830" s="36" t="str">
        <f>IF(ISNUMBER(F6830),C6830*F6830,"")</f>
        <v/>
      </c>
    </row>
    <row r="6831" spans="1:7" ht="12" customHeight="1" outlineLevel="3" x14ac:dyDescent="0.2">
      <c r="A6831" s="14" t="s">
        <v>13458</v>
      </c>
      <c r="B6831" s="15" t="s">
        <v>13459</v>
      </c>
      <c r="C6831" s="16">
        <f>60.67/(1+B2)</f>
        <v>60.67</v>
      </c>
      <c r="D6831" s="17" t="s">
        <v>11</v>
      </c>
      <c r="E6831" s="17"/>
      <c r="F6831" s="18"/>
      <c r="G6831" s="36" t="str">
        <f>IF(ISNUMBER(F6831),C6831*F6831,"")</f>
        <v/>
      </c>
    </row>
    <row r="6832" spans="1:7" ht="12" customHeight="1" outlineLevel="3" x14ac:dyDescent="0.2">
      <c r="A6832" s="14" t="s">
        <v>13460</v>
      </c>
      <c r="B6832" s="15" t="s">
        <v>13461</v>
      </c>
      <c r="C6832" s="16">
        <f>76.61/(1+B2)</f>
        <v>76.61</v>
      </c>
      <c r="D6832" s="17" t="s">
        <v>11</v>
      </c>
      <c r="E6832" s="17"/>
      <c r="F6832" s="18"/>
      <c r="G6832" s="36" t="str">
        <f>IF(ISNUMBER(F6832),C6832*F6832,"")</f>
        <v/>
      </c>
    </row>
    <row r="6833" spans="1:7" ht="12" customHeight="1" outlineLevel="3" x14ac:dyDescent="0.2">
      <c r="A6833" s="14" t="s">
        <v>13462</v>
      </c>
      <c r="B6833" s="15" t="s">
        <v>13463</v>
      </c>
      <c r="C6833" s="16">
        <f>92.52/(1+B2)</f>
        <v>92.52</v>
      </c>
      <c r="D6833" s="17" t="s">
        <v>11</v>
      </c>
      <c r="E6833" s="17"/>
      <c r="F6833" s="18"/>
      <c r="G6833" s="36" t="str">
        <f>IF(ISNUMBER(F6833),C6833*F6833,"")</f>
        <v/>
      </c>
    </row>
    <row r="6834" spans="1:7" ht="12" customHeight="1" outlineLevel="3" x14ac:dyDescent="0.2">
      <c r="A6834" s="14" t="s">
        <v>13464</v>
      </c>
      <c r="B6834" s="15" t="s">
        <v>13465</v>
      </c>
      <c r="C6834" s="16">
        <f>92.52/(1+B2)</f>
        <v>92.52</v>
      </c>
      <c r="D6834" s="17" t="s">
        <v>11</v>
      </c>
      <c r="E6834" s="17"/>
      <c r="F6834" s="18"/>
      <c r="G6834" s="36" t="str">
        <f>IF(ISNUMBER(F6834),C6834*F6834,"")</f>
        <v/>
      </c>
    </row>
    <row r="6835" spans="1:7" ht="12" customHeight="1" outlineLevel="3" x14ac:dyDescent="0.2">
      <c r="A6835" s="14" t="s">
        <v>13466</v>
      </c>
      <c r="B6835" s="15" t="s">
        <v>13467</v>
      </c>
      <c r="C6835" s="16">
        <f>53.44/(1+B2)</f>
        <v>53.44</v>
      </c>
      <c r="D6835" s="17" t="s">
        <v>11</v>
      </c>
      <c r="E6835" s="17"/>
      <c r="F6835" s="18"/>
      <c r="G6835" s="36" t="str">
        <f>IF(ISNUMBER(F6835),C6835*F6835,"")</f>
        <v/>
      </c>
    </row>
    <row r="6836" spans="1:7" ht="12" customHeight="1" outlineLevel="3" x14ac:dyDescent="0.2">
      <c r="A6836" s="14" t="s">
        <v>13468</v>
      </c>
      <c r="B6836" s="15" t="s">
        <v>13469</v>
      </c>
      <c r="C6836" s="16">
        <f>53.44/(1+B2)</f>
        <v>53.44</v>
      </c>
      <c r="D6836" s="17" t="s">
        <v>11</v>
      </c>
      <c r="E6836" s="17"/>
      <c r="F6836" s="18"/>
      <c r="G6836" s="36" t="str">
        <f>IF(ISNUMBER(F6836),C6836*F6836,"")</f>
        <v/>
      </c>
    </row>
    <row r="6837" spans="1:7" ht="12" customHeight="1" outlineLevel="3" x14ac:dyDescent="0.2">
      <c r="A6837" s="14" t="s">
        <v>13470</v>
      </c>
      <c r="B6837" s="15" t="s">
        <v>13471</v>
      </c>
      <c r="C6837" s="16">
        <f>57.82/(1+B2)</f>
        <v>57.82</v>
      </c>
      <c r="D6837" s="17" t="s">
        <v>11</v>
      </c>
      <c r="E6837" s="17"/>
      <c r="F6837" s="18"/>
      <c r="G6837" s="36" t="str">
        <f>IF(ISNUMBER(F6837),C6837*F6837,"")</f>
        <v/>
      </c>
    </row>
    <row r="6838" spans="1:7" ht="12" customHeight="1" outlineLevel="3" x14ac:dyDescent="0.2">
      <c r="A6838" s="14" t="s">
        <v>13472</v>
      </c>
      <c r="B6838" s="15" t="s">
        <v>13473</v>
      </c>
      <c r="C6838" s="16">
        <f>57.82/(1+B2)</f>
        <v>57.82</v>
      </c>
      <c r="D6838" s="17" t="s">
        <v>11</v>
      </c>
      <c r="E6838" s="17"/>
      <c r="F6838" s="18"/>
      <c r="G6838" s="36" t="str">
        <f>IF(ISNUMBER(F6838),C6838*F6838,"")</f>
        <v/>
      </c>
    </row>
    <row r="6839" spans="1:7" ht="12" customHeight="1" outlineLevel="3" x14ac:dyDescent="0.2">
      <c r="A6839" s="14" t="s">
        <v>13474</v>
      </c>
      <c r="B6839" s="15" t="s">
        <v>13475</v>
      </c>
      <c r="C6839" s="16">
        <f>55.6/(1+B2)</f>
        <v>55.6</v>
      </c>
      <c r="D6839" s="17" t="s">
        <v>14</v>
      </c>
      <c r="E6839" s="17"/>
      <c r="F6839" s="18"/>
      <c r="G6839" s="36" t="str">
        <f>IF(ISNUMBER(F6839),C6839*F6839,"")</f>
        <v/>
      </c>
    </row>
    <row r="6840" spans="1:7" ht="12" customHeight="1" outlineLevel="3" x14ac:dyDescent="0.2">
      <c r="A6840" s="14" t="s">
        <v>13476</v>
      </c>
      <c r="B6840" s="15" t="s">
        <v>13477</v>
      </c>
      <c r="C6840" s="16">
        <f>57.82/(1+B2)</f>
        <v>57.82</v>
      </c>
      <c r="D6840" s="17" t="s">
        <v>11</v>
      </c>
      <c r="E6840" s="17"/>
      <c r="F6840" s="18"/>
      <c r="G6840" s="36" t="str">
        <f>IF(ISNUMBER(F6840),C6840*F6840,"")</f>
        <v/>
      </c>
    </row>
    <row r="6841" spans="1:7" ht="12" customHeight="1" outlineLevel="3" x14ac:dyDescent="0.2">
      <c r="A6841" s="14" t="s">
        <v>13478</v>
      </c>
      <c r="B6841" s="15" t="s">
        <v>13479</v>
      </c>
      <c r="C6841" s="16">
        <f>57.82/(1+B2)</f>
        <v>57.82</v>
      </c>
      <c r="D6841" s="17" t="s">
        <v>11</v>
      </c>
      <c r="E6841" s="17"/>
      <c r="F6841" s="18"/>
      <c r="G6841" s="36" t="str">
        <f>IF(ISNUMBER(F6841),C6841*F6841,"")</f>
        <v/>
      </c>
    </row>
    <row r="6842" spans="1:7" ht="12" customHeight="1" outlineLevel="3" x14ac:dyDescent="0.2">
      <c r="A6842" s="14" t="s">
        <v>13480</v>
      </c>
      <c r="B6842" s="15" t="s">
        <v>13481</v>
      </c>
      <c r="C6842" s="16">
        <f>68.89/(1+B2)</f>
        <v>68.89</v>
      </c>
      <c r="D6842" s="17" t="s">
        <v>11</v>
      </c>
      <c r="E6842" s="17"/>
      <c r="F6842" s="18"/>
      <c r="G6842" s="36" t="str">
        <f>IF(ISNUMBER(F6842),C6842*F6842,"")</f>
        <v/>
      </c>
    </row>
    <row r="6843" spans="1:7" ht="12" customHeight="1" outlineLevel="3" x14ac:dyDescent="0.2">
      <c r="A6843" s="14" t="s">
        <v>13482</v>
      </c>
      <c r="B6843" s="15" t="s">
        <v>13483</v>
      </c>
      <c r="C6843" s="16">
        <f>68.89/(1+B2)</f>
        <v>68.89</v>
      </c>
      <c r="D6843" s="17" t="s">
        <v>14</v>
      </c>
      <c r="E6843" s="17"/>
      <c r="F6843" s="18"/>
      <c r="G6843" s="36" t="str">
        <f>IF(ISNUMBER(F6843),C6843*F6843,"")</f>
        <v/>
      </c>
    </row>
    <row r="6844" spans="1:7" ht="12" customHeight="1" outlineLevel="3" x14ac:dyDescent="0.2">
      <c r="A6844" s="14" t="s">
        <v>13484</v>
      </c>
      <c r="B6844" s="15" t="s">
        <v>13485</v>
      </c>
      <c r="C6844" s="16">
        <f>68.89/(1+B2)</f>
        <v>68.89</v>
      </c>
      <c r="D6844" s="17" t="s">
        <v>14</v>
      </c>
      <c r="E6844" s="17"/>
      <c r="F6844" s="18"/>
      <c r="G6844" s="36" t="str">
        <f>IF(ISNUMBER(F6844),C6844*F6844,"")</f>
        <v/>
      </c>
    </row>
    <row r="6845" spans="1:7" ht="12" customHeight="1" outlineLevel="3" x14ac:dyDescent="0.2">
      <c r="A6845" s="14" t="s">
        <v>13486</v>
      </c>
      <c r="B6845" s="15" t="s">
        <v>13487</v>
      </c>
      <c r="C6845" s="16">
        <f>68.89/(1+B2)</f>
        <v>68.89</v>
      </c>
      <c r="D6845" s="17" t="s">
        <v>14</v>
      </c>
      <c r="E6845" s="17"/>
      <c r="F6845" s="18"/>
      <c r="G6845" s="36" t="str">
        <f>IF(ISNUMBER(F6845),C6845*F6845,"")</f>
        <v/>
      </c>
    </row>
    <row r="6846" spans="1:7" ht="12" customHeight="1" outlineLevel="3" x14ac:dyDescent="0.2">
      <c r="A6846" s="14" t="s">
        <v>13488</v>
      </c>
      <c r="B6846" s="15" t="s">
        <v>13489</v>
      </c>
      <c r="C6846" s="16">
        <f>54.15/(1+B2)</f>
        <v>54.15</v>
      </c>
      <c r="D6846" s="17" t="s">
        <v>11</v>
      </c>
      <c r="E6846" s="17"/>
      <c r="F6846" s="18"/>
      <c r="G6846" s="36" t="str">
        <f>IF(ISNUMBER(F6846),C6846*F6846,"")</f>
        <v/>
      </c>
    </row>
    <row r="6847" spans="1:7" ht="12" customHeight="1" outlineLevel="3" x14ac:dyDescent="0.2">
      <c r="A6847" s="14" t="s">
        <v>13490</v>
      </c>
      <c r="B6847" s="15" t="s">
        <v>13491</v>
      </c>
      <c r="C6847" s="16">
        <f>54.15/(1+B2)</f>
        <v>54.15</v>
      </c>
      <c r="D6847" s="17" t="s">
        <v>11</v>
      </c>
      <c r="E6847" s="17"/>
      <c r="F6847" s="18"/>
      <c r="G6847" s="36" t="str">
        <f>IF(ISNUMBER(F6847),C6847*F6847,"")</f>
        <v/>
      </c>
    </row>
    <row r="6848" spans="1:7" ht="12" customHeight="1" outlineLevel="3" x14ac:dyDescent="0.2">
      <c r="A6848" s="14" t="s">
        <v>13492</v>
      </c>
      <c r="B6848" s="15" t="s">
        <v>13493</v>
      </c>
      <c r="C6848" s="16">
        <f>54.15/(1+B2)</f>
        <v>54.15</v>
      </c>
      <c r="D6848" s="17" t="s">
        <v>11</v>
      </c>
      <c r="E6848" s="17"/>
      <c r="F6848" s="18"/>
      <c r="G6848" s="36" t="str">
        <f>IF(ISNUMBER(F6848),C6848*F6848,"")</f>
        <v/>
      </c>
    </row>
    <row r="6849" spans="1:7" ht="12" customHeight="1" outlineLevel="3" x14ac:dyDescent="0.2">
      <c r="A6849" s="14" t="s">
        <v>13494</v>
      </c>
      <c r="B6849" s="15" t="s">
        <v>13495</v>
      </c>
      <c r="C6849" s="16">
        <f>54.15/(1+B2)</f>
        <v>54.15</v>
      </c>
      <c r="D6849" s="17" t="s">
        <v>11</v>
      </c>
      <c r="E6849" s="17"/>
      <c r="F6849" s="18"/>
      <c r="G6849" s="36" t="str">
        <f>IF(ISNUMBER(F6849),C6849*F6849,"")</f>
        <v/>
      </c>
    </row>
    <row r="6850" spans="1:7" ht="12" customHeight="1" outlineLevel="3" x14ac:dyDescent="0.2">
      <c r="A6850" s="14" t="s">
        <v>13496</v>
      </c>
      <c r="B6850" s="15" t="s">
        <v>13497</v>
      </c>
      <c r="C6850" s="16">
        <f>68.89/(1+B2)</f>
        <v>68.89</v>
      </c>
      <c r="D6850" s="17" t="s">
        <v>11</v>
      </c>
      <c r="E6850" s="17"/>
      <c r="F6850" s="18"/>
      <c r="G6850" s="36" t="str">
        <f>IF(ISNUMBER(F6850),C6850*F6850,"")</f>
        <v/>
      </c>
    </row>
    <row r="6851" spans="1:7" ht="12" customHeight="1" outlineLevel="3" x14ac:dyDescent="0.2">
      <c r="A6851" s="14" t="s">
        <v>13498</v>
      </c>
      <c r="B6851" s="15" t="s">
        <v>13499</v>
      </c>
      <c r="C6851" s="16">
        <f>46.88/(1+B2)</f>
        <v>46.88</v>
      </c>
      <c r="D6851" s="17" t="s">
        <v>14</v>
      </c>
      <c r="E6851" s="17"/>
      <c r="F6851" s="18"/>
      <c r="G6851" s="36" t="str">
        <f>IF(ISNUMBER(F6851),C6851*F6851,"")</f>
        <v/>
      </c>
    </row>
    <row r="6852" spans="1:7" ht="12" customHeight="1" outlineLevel="3" x14ac:dyDescent="0.2">
      <c r="A6852" s="14" t="s">
        <v>13500</v>
      </c>
      <c r="B6852" s="15" t="s">
        <v>13501</v>
      </c>
      <c r="C6852" s="16">
        <f>62.62/(1+B2)</f>
        <v>62.62</v>
      </c>
      <c r="D6852" s="17" t="s">
        <v>11</v>
      </c>
      <c r="E6852" s="17"/>
      <c r="F6852" s="18"/>
      <c r="G6852" s="36" t="str">
        <f>IF(ISNUMBER(F6852),C6852*F6852,"")</f>
        <v/>
      </c>
    </row>
    <row r="6853" spans="1:7" ht="12" customHeight="1" outlineLevel="3" x14ac:dyDescent="0.2">
      <c r="A6853" s="14" t="s">
        <v>13502</v>
      </c>
      <c r="B6853" s="15" t="s">
        <v>13503</v>
      </c>
      <c r="C6853" s="16">
        <f>76.83/(1+B2)</f>
        <v>76.83</v>
      </c>
      <c r="D6853" s="17" t="s">
        <v>11</v>
      </c>
      <c r="E6853" s="17"/>
      <c r="F6853" s="18"/>
      <c r="G6853" s="36" t="str">
        <f>IF(ISNUMBER(F6853),C6853*F6853,"")</f>
        <v/>
      </c>
    </row>
    <row r="6854" spans="1:7" ht="12" customHeight="1" outlineLevel="3" x14ac:dyDescent="0.2">
      <c r="A6854" s="14" t="s">
        <v>13504</v>
      </c>
      <c r="B6854" s="15" t="s">
        <v>13505</v>
      </c>
      <c r="C6854" s="16">
        <f>98.59/(1+B2)</f>
        <v>98.59</v>
      </c>
      <c r="D6854" s="17" t="s">
        <v>11</v>
      </c>
      <c r="E6854" s="17"/>
      <c r="F6854" s="18"/>
      <c r="G6854" s="36" t="str">
        <f>IF(ISNUMBER(F6854),C6854*F6854,"")</f>
        <v/>
      </c>
    </row>
    <row r="6855" spans="1:7" ht="12" customHeight="1" outlineLevel="3" x14ac:dyDescent="0.2">
      <c r="A6855" s="14" t="s">
        <v>13506</v>
      </c>
      <c r="B6855" s="15" t="s">
        <v>13507</v>
      </c>
      <c r="C6855" s="16">
        <f>58.19/(1+B2)</f>
        <v>58.19</v>
      </c>
      <c r="D6855" s="17" t="s">
        <v>11</v>
      </c>
      <c r="E6855" s="17" t="s">
        <v>11</v>
      </c>
      <c r="F6855" s="18"/>
      <c r="G6855" s="36" t="str">
        <f>IF(ISNUMBER(F6855),C6855*F6855,"")</f>
        <v/>
      </c>
    </row>
    <row r="6856" spans="1:7" ht="12" customHeight="1" outlineLevel="3" x14ac:dyDescent="0.2">
      <c r="A6856" s="14" t="s">
        <v>13508</v>
      </c>
      <c r="B6856" s="15" t="s">
        <v>13509</v>
      </c>
      <c r="C6856" s="16">
        <f>58.19/(1+B2)</f>
        <v>58.19</v>
      </c>
      <c r="D6856" s="17" t="s">
        <v>11</v>
      </c>
      <c r="E6856" s="17" t="s">
        <v>53</v>
      </c>
      <c r="F6856" s="18"/>
      <c r="G6856" s="36" t="str">
        <f>IF(ISNUMBER(F6856),C6856*F6856,"")</f>
        <v/>
      </c>
    </row>
    <row r="6857" spans="1:7" ht="12" customHeight="1" outlineLevel="3" x14ac:dyDescent="0.2">
      <c r="A6857" s="14" t="s">
        <v>13510</v>
      </c>
      <c r="B6857" s="15" t="s">
        <v>13511</v>
      </c>
      <c r="C6857" s="16">
        <f>58.19/(1+B2)</f>
        <v>58.19</v>
      </c>
      <c r="D6857" s="17" t="s">
        <v>11</v>
      </c>
      <c r="E6857" s="17" t="s">
        <v>106</v>
      </c>
      <c r="F6857" s="18"/>
      <c r="G6857" s="36" t="str">
        <f>IF(ISNUMBER(F6857),C6857*F6857,"")</f>
        <v/>
      </c>
    </row>
    <row r="6858" spans="1:7" ht="12" customHeight="1" outlineLevel="3" x14ac:dyDescent="0.2">
      <c r="A6858" s="14" t="s">
        <v>13512</v>
      </c>
      <c r="B6858" s="15" t="s">
        <v>13513</v>
      </c>
      <c r="C6858" s="16">
        <f>64.21/(1+B2)</f>
        <v>64.209999999999994</v>
      </c>
      <c r="D6858" s="17" t="s">
        <v>11</v>
      </c>
      <c r="E6858" s="17" t="s">
        <v>53</v>
      </c>
      <c r="F6858" s="18"/>
      <c r="G6858" s="36" t="str">
        <f>IF(ISNUMBER(F6858),C6858*F6858,"")</f>
        <v/>
      </c>
    </row>
    <row r="6859" spans="1:7" ht="12" customHeight="1" outlineLevel="3" x14ac:dyDescent="0.2">
      <c r="A6859" s="14" t="s">
        <v>13514</v>
      </c>
      <c r="B6859" s="15" t="s">
        <v>13515</v>
      </c>
      <c r="C6859" s="16">
        <f>64.21/(1+B2)</f>
        <v>64.209999999999994</v>
      </c>
      <c r="D6859" s="17" t="s">
        <v>11</v>
      </c>
      <c r="E6859" s="17" t="s">
        <v>53</v>
      </c>
      <c r="F6859" s="18"/>
      <c r="G6859" s="36" t="str">
        <f>IF(ISNUMBER(F6859),C6859*F6859,"")</f>
        <v/>
      </c>
    </row>
    <row r="6860" spans="1:7" ht="12" customHeight="1" outlineLevel="3" x14ac:dyDescent="0.2">
      <c r="A6860" s="14" t="s">
        <v>13516</v>
      </c>
      <c r="B6860" s="15" t="s">
        <v>13517</v>
      </c>
      <c r="C6860" s="16">
        <f>64.21/(1+B2)</f>
        <v>64.209999999999994</v>
      </c>
      <c r="D6860" s="17" t="s">
        <v>11</v>
      </c>
      <c r="E6860" s="17" t="s">
        <v>53</v>
      </c>
      <c r="F6860" s="18"/>
      <c r="G6860" s="36" t="str">
        <f>IF(ISNUMBER(F6860),C6860*F6860,"")</f>
        <v/>
      </c>
    </row>
    <row r="6861" spans="1:7" ht="12" customHeight="1" outlineLevel="3" x14ac:dyDescent="0.2">
      <c r="A6861" s="14" t="s">
        <v>13518</v>
      </c>
      <c r="B6861" s="15" t="s">
        <v>13519</v>
      </c>
      <c r="C6861" s="16">
        <f>80.57/(1+B2)</f>
        <v>80.569999999999993</v>
      </c>
      <c r="D6861" s="17" t="s">
        <v>11</v>
      </c>
      <c r="E6861" s="17"/>
      <c r="F6861" s="18"/>
      <c r="G6861" s="36" t="str">
        <f>IF(ISNUMBER(F6861),C6861*F6861,"")</f>
        <v/>
      </c>
    </row>
    <row r="6862" spans="1:7" ht="12" customHeight="1" outlineLevel="3" x14ac:dyDescent="0.2">
      <c r="A6862" s="14" t="s">
        <v>13520</v>
      </c>
      <c r="B6862" s="15" t="s">
        <v>13521</v>
      </c>
      <c r="C6862" s="16">
        <f>80.57/(1+B2)</f>
        <v>80.569999999999993</v>
      </c>
      <c r="D6862" s="17" t="s">
        <v>11</v>
      </c>
      <c r="E6862" s="17" t="s">
        <v>106</v>
      </c>
      <c r="F6862" s="18"/>
      <c r="G6862" s="36" t="str">
        <f>IF(ISNUMBER(F6862),C6862*F6862,"")</f>
        <v/>
      </c>
    </row>
    <row r="6863" spans="1:7" ht="12" customHeight="1" outlineLevel="3" x14ac:dyDescent="0.2">
      <c r="A6863" s="14" t="s">
        <v>13522</v>
      </c>
      <c r="B6863" s="15" t="s">
        <v>13523</v>
      </c>
      <c r="C6863" s="16">
        <f>80.57/(1+B2)</f>
        <v>80.569999999999993</v>
      </c>
      <c r="D6863" s="17" t="s">
        <v>14</v>
      </c>
      <c r="E6863" s="17" t="s">
        <v>53</v>
      </c>
      <c r="F6863" s="18"/>
      <c r="G6863" s="36" t="str">
        <f>IF(ISNUMBER(F6863),C6863*F6863,"")</f>
        <v/>
      </c>
    </row>
    <row r="6864" spans="1:7" ht="12" customHeight="1" outlineLevel="3" x14ac:dyDescent="0.2">
      <c r="A6864" s="14" t="s">
        <v>13524</v>
      </c>
      <c r="B6864" s="15" t="s">
        <v>13525</v>
      </c>
      <c r="C6864" s="16">
        <f>97.51/(1+B2)</f>
        <v>97.51</v>
      </c>
      <c r="D6864" s="17" t="s">
        <v>11</v>
      </c>
      <c r="E6864" s="17"/>
      <c r="F6864" s="18"/>
      <c r="G6864" s="36" t="str">
        <f>IF(ISNUMBER(F6864),C6864*F6864,"")</f>
        <v/>
      </c>
    </row>
    <row r="6865" spans="1:7" ht="12" customHeight="1" outlineLevel="3" x14ac:dyDescent="0.2">
      <c r="A6865" s="14" t="s">
        <v>13526</v>
      </c>
      <c r="B6865" s="15" t="s">
        <v>13527</v>
      </c>
      <c r="C6865" s="16">
        <f>97.51/(1+B2)</f>
        <v>97.51</v>
      </c>
      <c r="D6865" s="17" t="s">
        <v>11</v>
      </c>
      <c r="E6865" s="17"/>
      <c r="F6865" s="18"/>
      <c r="G6865" s="36" t="str">
        <f>IF(ISNUMBER(F6865),C6865*F6865,"")</f>
        <v/>
      </c>
    </row>
    <row r="6866" spans="1:7" ht="12" customHeight="1" outlineLevel="3" x14ac:dyDescent="0.2">
      <c r="A6866" s="14" t="s">
        <v>13528</v>
      </c>
      <c r="B6866" s="15" t="s">
        <v>13529</v>
      </c>
      <c r="C6866" s="16">
        <f>57.82/(1+B2)</f>
        <v>57.82</v>
      </c>
      <c r="D6866" s="17" t="s">
        <v>11</v>
      </c>
      <c r="E6866" s="17"/>
      <c r="F6866" s="18"/>
      <c r="G6866" s="36" t="str">
        <f>IF(ISNUMBER(F6866),C6866*F6866,"")</f>
        <v/>
      </c>
    </row>
    <row r="6867" spans="1:7" ht="12" customHeight="1" outlineLevel="3" x14ac:dyDescent="0.2">
      <c r="A6867" s="14" t="s">
        <v>13530</v>
      </c>
      <c r="B6867" s="15" t="s">
        <v>13531</v>
      </c>
      <c r="C6867" s="16">
        <f>57.82/(1+B2)</f>
        <v>57.82</v>
      </c>
      <c r="D6867" s="17" t="s">
        <v>11</v>
      </c>
      <c r="E6867" s="17"/>
      <c r="F6867" s="18"/>
      <c r="G6867" s="36" t="str">
        <f>IF(ISNUMBER(F6867),C6867*F6867,"")</f>
        <v/>
      </c>
    </row>
    <row r="6868" spans="1:7" ht="12" customHeight="1" outlineLevel="3" x14ac:dyDescent="0.2">
      <c r="A6868" s="14" t="s">
        <v>13532</v>
      </c>
      <c r="B6868" s="15" t="s">
        <v>13533</v>
      </c>
      <c r="C6868" s="16">
        <f>57.82/(1+B2)</f>
        <v>57.82</v>
      </c>
      <c r="D6868" s="17" t="s">
        <v>11</v>
      </c>
      <c r="E6868" s="17"/>
      <c r="F6868" s="18"/>
      <c r="G6868" s="36" t="str">
        <f>IF(ISNUMBER(F6868),C6868*F6868,"")</f>
        <v/>
      </c>
    </row>
    <row r="6869" spans="1:7" ht="12" customHeight="1" outlineLevel="3" x14ac:dyDescent="0.2">
      <c r="A6869" s="14" t="s">
        <v>13534</v>
      </c>
      <c r="B6869" s="15" t="s">
        <v>13535</v>
      </c>
      <c r="C6869" s="16">
        <f>57.82/(1+B2)</f>
        <v>57.82</v>
      </c>
      <c r="D6869" s="17" t="s">
        <v>11</v>
      </c>
      <c r="E6869" s="17"/>
      <c r="F6869" s="18"/>
      <c r="G6869" s="36" t="str">
        <f>IF(ISNUMBER(F6869),C6869*F6869,"")</f>
        <v/>
      </c>
    </row>
    <row r="6870" spans="1:7" ht="12" customHeight="1" outlineLevel="3" x14ac:dyDescent="0.2">
      <c r="A6870" s="14" t="s">
        <v>13536</v>
      </c>
      <c r="B6870" s="15" t="s">
        <v>13537</v>
      </c>
      <c r="C6870" s="16">
        <f>68.89/(1+B2)</f>
        <v>68.89</v>
      </c>
      <c r="D6870" s="17" t="s">
        <v>11</v>
      </c>
      <c r="E6870" s="17"/>
      <c r="F6870" s="18"/>
      <c r="G6870" s="36" t="str">
        <f>IF(ISNUMBER(F6870),C6870*F6870,"")</f>
        <v/>
      </c>
    </row>
    <row r="6871" spans="1:7" ht="12" customHeight="1" outlineLevel="3" x14ac:dyDescent="0.2">
      <c r="A6871" s="14" t="s">
        <v>13538</v>
      </c>
      <c r="B6871" s="15" t="s">
        <v>13539</v>
      </c>
      <c r="C6871" s="16">
        <f>68.89/(1+B2)</f>
        <v>68.89</v>
      </c>
      <c r="D6871" s="17" t="s">
        <v>11</v>
      </c>
      <c r="E6871" s="17"/>
      <c r="F6871" s="18"/>
      <c r="G6871" s="36" t="str">
        <f>IF(ISNUMBER(F6871),C6871*F6871,"")</f>
        <v/>
      </c>
    </row>
    <row r="6872" spans="1:7" ht="12" customHeight="1" outlineLevel="3" x14ac:dyDescent="0.2">
      <c r="A6872" s="14" t="s">
        <v>13540</v>
      </c>
      <c r="B6872" s="15" t="s">
        <v>13541</v>
      </c>
      <c r="C6872" s="16">
        <f>66.24/(1+B2)</f>
        <v>66.239999999999995</v>
      </c>
      <c r="D6872" s="17" t="s">
        <v>14</v>
      </c>
      <c r="E6872" s="17"/>
      <c r="F6872" s="18"/>
      <c r="G6872" s="36" t="str">
        <f>IF(ISNUMBER(F6872),C6872*F6872,"")</f>
        <v/>
      </c>
    </row>
    <row r="6873" spans="1:7" ht="12" customHeight="1" outlineLevel="3" x14ac:dyDescent="0.2">
      <c r="A6873" s="14" t="s">
        <v>13542</v>
      </c>
      <c r="B6873" s="15" t="s">
        <v>13543</v>
      </c>
      <c r="C6873" s="16">
        <f>66.24/(1+B2)</f>
        <v>66.239999999999995</v>
      </c>
      <c r="D6873" s="17" t="s">
        <v>14</v>
      </c>
      <c r="E6873" s="17" t="s">
        <v>14</v>
      </c>
      <c r="F6873" s="18"/>
      <c r="G6873" s="36" t="str">
        <f>IF(ISNUMBER(F6873),C6873*F6873,"")</f>
        <v/>
      </c>
    </row>
    <row r="6874" spans="1:7" ht="12" customHeight="1" outlineLevel="3" x14ac:dyDescent="0.2">
      <c r="A6874" s="14" t="s">
        <v>13544</v>
      </c>
      <c r="B6874" s="15" t="s">
        <v>13545</v>
      </c>
      <c r="C6874" s="16">
        <f>65.49/(1+B2)</f>
        <v>65.489999999999995</v>
      </c>
      <c r="D6874" s="17" t="s">
        <v>11</v>
      </c>
      <c r="E6874" s="17"/>
      <c r="F6874" s="18"/>
      <c r="G6874" s="36" t="str">
        <f>IF(ISNUMBER(F6874),C6874*F6874,"")</f>
        <v/>
      </c>
    </row>
    <row r="6875" spans="1:7" ht="12" customHeight="1" outlineLevel="3" x14ac:dyDescent="0.2">
      <c r="A6875" s="14" t="s">
        <v>13546</v>
      </c>
      <c r="B6875" s="15" t="s">
        <v>13547</v>
      </c>
      <c r="C6875" s="16">
        <f>54.15/(1+B2)</f>
        <v>54.15</v>
      </c>
      <c r="D6875" s="17" t="s">
        <v>11</v>
      </c>
      <c r="E6875" s="17"/>
      <c r="F6875" s="18"/>
      <c r="G6875" s="36" t="str">
        <f>IF(ISNUMBER(F6875),C6875*F6875,"")</f>
        <v/>
      </c>
    </row>
    <row r="6876" spans="1:7" ht="12" customHeight="1" outlineLevel="3" x14ac:dyDescent="0.2">
      <c r="A6876" s="14" t="s">
        <v>13548</v>
      </c>
      <c r="B6876" s="15" t="s">
        <v>13549</v>
      </c>
      <c r="C6876" s="16">
        <f>54.15/(1+B2)</f>
        <v>54.15</v>
      </c>
      <c r="D6876" s="17" t="s">
        <v>11</v>
      </c>
      <c r="E6876" s="17"/>
      <c r="F6876" s="18"/>
      <c r="G6876" s="36" t="str">
        <f>IF(ISNUMBER(F6876),C6876*F6876,"")</f>
        <v/>
      </c>
    </row>
    <row r="6877" spans="1:7" ht="12" customHeight="1" outlineLevel="3" x14ac:dyDescent="0.2">
      <c r="A6877" s="14" t="s">
        <v>13550</v>
      </c>
      <c r="B6877" s="15" t="s">
        <v>13551</v>
      </c>
      <c r="C6877" s="16">
        <f>54.15/(1+B2)</f>
        <v>54.15</v>
      </c>
      <c r="D6877" s="17" t="s">
        <v>14</v>
      </c>
      <c r="E6877" s="17"/>
      <c r="F6877" s="18"/>
      <c r="G6877" s="36" t="str">
        <f>IF(ISNUMBER(F6877),C6877*F6877,"")</f>
        <v/>
      </c>
    </row>
    <row r="6878" spans="1:7" ht="12" customHeight="1" outlineLevel="3" x14ac:dyDescent="0.2">
      <c r="A6878" s="14" t="s">
        <v>13552</v>
      </c>
      <c r="B6878" s="15" t="s">
        <v>13553</v>
      </c>
      <c r="C6878" s="16">
        <f>54.15/(1+B2)</f>
        <v>54.15</v>
      </c>
      <c r="D6878" s="17" t="s">
        <v>53</v>
      </c>
      <c r="E6878" s="17"/>
      <c r="F6878" s="18"/>
      <c r="G6878" s="36" t="str">
        <f>IF(ISNUMBER(F6878),C6878*F6878,"")</f>
        <v/>
      </c>
    </row>
    <row r="6879" spans="1:7" ht="12" customHeight="1" outlineLevel="3" x14ac:dyDescent="0.2">
      <c r="A6879" s="14" t="s">
        <v>13554</v>
      </c>
      <c r="B6879" s="15" t="s">
        <v>13555</v>
      </c>
      <c r="C6879" s="16">
        <f>69.01/(1+B2)</f>
        <v>69.010000000000005</v>
      </c>
      <c r="D6879" s="17" t="s">
        <v>11</v>
      </c>
      <c r="E6879" s="17"/>
      <c r="F6879" s="18"/>
      <c r="G6879" s="36" t="str">
        <f>IF(ISNUMBER(F6879),C6879*F6879,"")</f>
        <v/>
      </c>
    </row>
    <row r="6880" spans="1:7" ht="12" customHeight="1" outlineLevel="3" x14ac:dyDescent="0.2">
      <c r="A6880" s="14" t="s">
        <v>13556</v>
      </c>
      <c r="B6880" s="15" t="s">
        <v>13557</v>
      </c>
      <c r="C6880" s="16">
        <f>58.85/(1+B2)</f>
        <v>58.85</v>
      </c>
      <c r="D6880" s="17" t="s">
        <v>11</v>
      </c>
      <c r="E6880" s="17"/>
      <c r="F6880" s="18"/>
      <c r="G6880" s="36" t="str">
        <f>IF(ISNUMBER(F6880),C6880*F6880,"")</f>
        <v/>
      </c>
    </row>
    <row r="6881" spans="1:7" ht="12" customHeight="1" outlineLevel="3" x14ac:dyDescent="0.2">
      <c r="A6881" s="14" t="s">
        <v>13558</v>
      </c>
      <c r="B6881" s="15" t="s">
        <v>13559</v>
      </c>
      <c r="C6881" s="16">
        <f>266.27/(1+B2)</f>
        <v>266.27</v>
      </c>
      <c r="D6881" s="17" t="s">
        <v>11</v>
      </c>
      <c r="E6881" s="17"/>
      <c r="F6881" s="18"/>
      <c r="G6881" s="36" t="str">
        <f>IF(ISNUMBER(F6881),C6881*F6881,"")</f>
        <v/>
      </c>
    </row>
    <row r="6882" spans="1:7" ht="12" customHeight="1" outlineLevel="3" x14ac:dyDescent="0.2">
      <c r="A6882" s="14" t="s">
        <v>13560</v>
      </c>
      <c r="B6882" s="15" t="s">
        <v>13561</v>
      </c>
      <c r="C6882" s="16">
        <f>34.91/(1+B2)</f>
        <v>34.909999999999997</v>
      </c>
      <c r="D6882" s="17" t="s">
        <v>11</v>
      </c>
      <c r="E6882" s="17"/>
      <c r="F6882" s="18"/>
      <c r="G6882" s="36" t="str">
        <f>IF(ISNUMBER(F6882),C6882*F6882,"")</f>
        <v/>
      </c>
    </row>
    <row r="6883" spans="1:7" ht="12" customHeight="1" outlineLevel="3" x14ac:dyDescent="0.2">
      <c r="A6883" s="14" t="s">
        <v>13562</v>
      </c>
      <c r="B6883" s="15" t="s">
        <v>13563</v>
      </c>
      <c r="C6883" s="16">
        <f>66.37/(1+B2)</f>
        <v>66.37</v>
      </c>
      <c r="D6883" s="17" t="s">
        <v>11</v>
      </c>
      <c r="E6883" s="17"/>
      <c r="F6883" s="18"/>
      <c r="G6883" s="36" t="str">
        <f>IF(ISNUMBER(F6883),C6883*F6883,"")</f>
        <v/>
      </c>
    </row>
    <row r="6884" spans="1:7" ht="12" customHeight="1" outlineLevel="3" x14ac:dyDescent="0.2">
      <c r="A6884" s="14" t="s">
        <v>13564</v>
      </c>
      <c r="B6884" s="15" t="s">
        <v>13565</v>
      </c>
      <c r="C6884" s="16">
        <f>78.95/(1+B2)</f>
        <v>78.95</v>
      </c>
      <c r="D6884" s="17" t="s">
        <v>11</v>
      </c>
      <c r="E6884" s="17"/>
      <c r="F6884" s="18"/>
      <c r="G6884" s="36" t="str">
        <f>IF(ISNUMBER(F6884),C6884*F6884,"")</f>
        <v/>
      </c>
    </row>
    <row r="6885" spans="1:7" ht="12" customHeight="1" outlineLevel="3" x14ac:dyDescent="0.2">
      <c r="A6885" s="14" t="s">
        <v>13566</v>
      </c>
      <c r="B6885" s="15" t="s">
        <v>13567</v>
      </c>
      <c r="C6885" s="16">
        <f>78.95/(1+B2)</f>
        <v>78.95</v>
      </c>
      <c r="D6885" s="17" t="s">
        <v>11</v>
      </c>
      <c r="E6885" s="17"/>
      <c r="F6885" s="18"/>
      <c r="G6885" s="36" t="str">
        <f>IF(ISNUMBER(F6885),C6885*F6885,"")</f>
        <v/>
      </c>
    </row>
    <row r="6886" spans="1:7" s="1" customFormat="1" ht="12.95" customHeight="1" outlineLevel="2" x14ac:dyDescent="0.2">
      <c r="A6886" s="20"/>
      <c r="B6886" s="21" t="s">
        <v>13568</v>
      </c>
      <c r="C6886" s="22"/>
      <c r="D6886" s="22"/>
      <c r="E6886" s="22"/>
      <c r="F6886" s="22"/>
      <c r="G6886" s="37"/>
    </row>
    <row r="6887" spans="1:7" ht="12" customHeight="1" outlineLevel="3" x14ac:dyDescent="0.2">
      <c r="A6887" s="14" t="s">
        <v>13569</v>
      </c>
      <c r="B6887" s="15" t="s">
        <v>13570</v>
      </c>
      <c r="C6887" s="16">
        <f>96.3/(1+B2)</f>
        <v>96.3</v>
      </c>
      <c r="D6887" s="17" t="s">
        <v>11</v>
      </c>
      <c r="E6887" s="17"/>
      <c r="F6887" s="18"/>
      <c r="G6887" s="36" t="str">
        <f>IF(ISNUMBER(F6887),C6887*F6887,"")</f>
        <v/>
      </c>
    </row>
    <row r="6888" spans="1:7" ht="12" customHeight="1" outlineLevel="3" x14ac:dyDescent="0.2">
      <c r="A6888" s="14" t="s">
        <v>13571</v>
      </c>
      <c r="B6888" s="15" t="s">
        <v>13572</v>
      </c>
      <c r="C6888" s="16">
        <f>113.76/(1+B2)</f>
        <v>113.76</v>
      </c>
      <c r="D6888" s="17" t="s">
        <v>11</v>
      </c>
      <c r="E6888" s="17"/>
      <c r="F6888" s="18"/>
      <c r="G6888" s="36" t="str">
        <f>IF(ISNUMBER(F6888),C6888*F6888,"")</f>
        <v/>
      </c>
    </row>
    <row r="6889" spans="1:7" ht="12" customHeight="1" outlineLevel="3" x14ac:dyDescent="0.2">
      <c r="A6889" s="14" t="s">
        <v>13573</v>
      </c>
      <c r="B6889" s="15" t="s">
        <v>13574</v>
      </c>
      <c r="C6889" s="16">
        <f>96.3/(1+B2)</f>
        <v>96.3</v>
      </c>
      <c r="D6889" s="17" t="s">
        <v>11</v>
      </c>
      <c r="E6889" s="17"/>
      <c r="F6889" s="18"/>
      <c r="G6889" s="36" t="str">
        <f>IF(ISNUMBER(F6889),C6889*F6889,"")</f>
        <v/>
      </c>
    </row>
    <row r="6890" spans="1:7" ht="12" customHeight="1" outlineLevel="3" x14ac:dyDescent="0.2">
      <c r="A6890" s="14" t="s">
        <v>13575</v>
      </c>
      <c r="B6890" s="15" t="s">
        <v>13576</v>
      </c>
      <c r="C6890" s="16">
        <f>117.95/(1+B2)</f>
        <v>117.95</v>
      </c>
      <c r="D6890" s="17" t="s">
        <v>11</v>
      </c>
      <c r="E6890" s="17"/>
      <c r="F6890" s="18"/>
      <c r="G6890" s="36" t="str">
        <f>IF(ISNUMBER(F6890),C6890*F6890,"")</f>
        <v/>
      </c>
    </row>
    <row r="6891" spans="1:7" ht="12" customHeight="1" outlineLevel="3" x14ac:dyDescent="0.2">
      <c r="A6891" s="14" t="s">
        <v>13577</v>
      </c>
      <c r="B6891" s="15" t="s">
        <v>13578</v>
      </c>
      <c r="C6891" s="16">
        <f>78.84/(1+B2)</f>
        <v>78.84</v>
      </c>
      <c r="D6891" s="17" t="s">
        <v>11</v>
      </c>
      <c r="E6891" s="17"/>
      <c r="F6891" s="18"/>
      <c r="G6891" s="36" t="str">
        <f>IF(ISNUMBER(F6891),C6891*F6891,"")</f>
        <v/>
      </c>
    </row>
    <row r="6892" spans="1:7" ht="12" customHeight="1" outlineLevel="3" x14ac:dyDescent="0.2">
      <c r="A6892" s="14" t="s">
        <v>13579</v>
      </c>
      <c r="B6892" s="15" t="s">
        <v>13580</v>
      </c>
      <c r="C6892" s="16">
        <f>99/(1+B2)</f>
        <v>99</v>
      </c>
      <c r="D6892" s="17" t="s">
        <v>11</v>
      </c>
      <c r="E6892" s="17"/>
      <c r="F6892" s="18"/>
      <c r="G6892" s="36" t="str">
        <f>IF(ISNUMBER(F6892),C6892*F6892,"")</f>
        <v/>
      </c>
    </row>
    <row r="6893" spans="1:7" ht="12" customHeight="1" outlineLevel="3" x14ac:dyDescent="0.2">
      <c r="A6893" s="14" t="s">
        <v>13581</v>
      </c>
      <c r="B6893" s="15" t="s">
        <v>13582</v>
      </c>
      <c r="C6893" s="16">
        <f>173.74/(1+B2)</f>
        <v>173.74</v>
      </c>
      <c r="D6893" s="17" t="s">
        <v>11</v>
      </c>
      <c r="E6893" s="17"/>
      <c r="F6893" s="18"/>
      <c r="G6893" s="36" t="str">
        <f>IF(ISNUMBER(F6893),C6893*F6893,"")</f>
        <v/>
      </c>
    </row>
    <row r="6894" spans="1:7" ht="12" customHeight="1" outlineLevel="3" x14ac:dyDescent="0.2">
      <c r="A6894" s="14" t="s">
        <v>13583</v>
      </c>
      <c r="B6894" s="15" t="s">
        <v>13584</v>
      </c>
      <c r="C6894" s="16">
        <f>173.74/(1+B2)</f>
        <v>173.74</v>
      </c>
      <c r="D6894" s="17" t="s">
        <v>11</v>
      </c>
      <c r="E6894" s="17"/>
      <c r="F6894" s="18"/>
      <c r="G6894" s="36" t="str">
        <f>IF(ISNUMBER(F6894),C6894*F6894,"")</f>
        <v/>
      </c>
    </row>
    <row r="6895" spans="1:7" ht="12" customHeight="1" outlineLevel="3" x14ac:dyDescent="0.2">
      <c r="A6895" s="14" t="s">
        <v>13585</v>
      </c>
      <c r="B6895" s="15" t="s">
        <v>13586</v>
      </c>
      <c r="C6895" s="16">
        <f>117.72/(1+B2)</f>
        <v>117.72</v>
      </c>
      <c r="D6895" s="17" t="s">
        <v>14</v>
      </c>
      <c r="E6895" s="17"/>
      <c r="F6895" s="18"/>
      <c r="G6895" s="36" t="str">
        <f>IF(ISNUMBER(F6895),C6895*F6895,"")</f>
        <v/>
      </c>
    </row>
    <row r="6896" spans="1:7" ht="12" customHeight="1" outlineLevel="3" x14ac:dyDescent="0.2">
      <c r="A6896" s="14" t="s">
        <v>13587</v>
      </c>
      <c r="B6896" s="15" t="s">
        <v>13588</v>
      </c>
      <c r="C6896" s="16">
        <f>52.2/(1+B2)</f>
        <v>52.2</v>
      </c>
      <c r="D6896" s="17" t="s">
        <v>11</v>
      </c>
      <c r="E6896" s="17"/>
      <c r="F6896" s="18"/>
      <c r="G6896" s="36" t="str">
        <f>IF(ISNUMBER(F6896),C6896*F6896,"")</f>
        <v/>
      </c>
    </row>
    <row r="6897" spans="1:7" ht="12" customHeight="1" outlineLevel="3" x14ac:dyDescent="0.2">
      <c r="A6897" s="14" t="s">
        <v>13589</v>
      </c>
      <c r="B6897" s="15" t="s">
        <v>13590</v>
      </c>
      <c r="C6897" s="16">
        <f>72/(1+B2)</f>
        <v>72</v>
      </c>
      <c r="D6897" s="17" t="s">
        <v>53</v>
      </c>
      <c r="E6897" s="17"/>
      <c r="F6897" s="18"/>
      <c r="G6897" s="36" t="str">
        <f>IF(ISNUMBER(F6897),C6897*F6897,"")</f>
        <v/>
      </c>
    </row>
    <row r="6898" spans="1:7" ht="12" customHeight="1" outlineLevel="3" x14ac:dyDescent="0.2">
      <c r="A6898" s="14" t="s">
        <v>13591</v>
      </c>
      <c r="B6898" s="15" t="s">
        <v>13592</v>
      </c>
      <c r="C6898" s="16">
        <f>64.8/(1+B2)</f>
        <v>64.8</v>
      </c>
      <c r="D6898" s="17" t="s">
        <v>14</v>
      </c>
      <c r="E6898" s="17"/>
      <c r="F6898" s="18"/>
      <c r="G6898" s="36" t="str">
        <f>IF(ISNUMBER(F6898),C6898*F6898,"")</f>
        <v/>
      </c>
    </row>
    <row r="6899" spans="1:7" ht="12" customHeight="1" outlineLevel="3" x14ac:dyDescent="0.2">
      <c r="A6899" s="14" t="s">
        <v>13593</v>
      </c>
      <c r="B6899" s="15" t="s">
        <v>13594</v>
      </c>
      <c r="C6899" s="16">
        <f>72/(1+B2)</f>
        <v>72</v>
      </c>
      <c r="D6899" s="17" t="s">
        <v>14</v>
      </c>
      <c r="E6899" s="17"/>
      <c r="F6899" s="18"/>
      <c r="G6899" s="36" t="str">
        <f>IF(ISNUMBER(F6899),C6899*F6899,"")</f>
        <v/>
      </c>
    </row>
    <row r="6900" spans="1:7" ht="12" customHeight="1" outlineLevel="3" x14ac:dyDescent="0.2">
      <c r="A6900" s="14" t="s">
        <v>13595</v>
      </c>
      <c r="B6900" s="15" t="s">
        <v>13596</v>
      </c>
      <c r="C6900" s="16">
        <f>72/(1+B2)</f>
        <v>72</v>
      </c>
      <c r="D6900" s="17" t="s">
        <v>53</v>
      </c>
      <c r="E6900" s="17"/>
      <c r="F6900" s="18"/>
      <c r="G6900" s="36" t="str">
        <f>IF(ISNUMBER(F6900),C6900*F6900,"")</f>
        <v/>
      </c>
    </row>
    <row r="6901" spans="1:7" ht="12" customHeight="1" outlineLevel="3" x14ac:dyDescent="0.2">
      <c r="A6901" s="14" t="s">
        <v>13597</v>
      </c>
      <c r="B6901" s="15" t="s">
        <v>13598</v>
      </c>
      <c r="C6901" s="16">
        <f>70.31/(1+B2)</f>
        <v>70.31</v>
      </c>
      <c r="D6901" s="17" t="s">
        <v>11</v>
      </c>
      <c r="E6901" s="17"/>
      <c r="F6901" s="18"/>
      <c r="G6901" s="36" t="str">
        <f>IF(ISNUMBER(F6901),C6901*F6901,"")</f>
        <v/>
      </c>
    </row>
    <row r="6902" spans="1:7" ht="12" customHeight="1" outlineLevel="3" x14ac:dyDescent="0.2">
      <c r="A6902" s="14" t="s">
        <v>13599</v>
      </c>
      <c r="B6902" s="15" t="s">
        <v>13600</v>
      </c>
      <c r="C6902" s="16">
        <f>62.38/(1+B2)</f>
        <v>62.38</v>
      </c>
      <c r="D6902" s="17" t="s">
        <v>11</v>
      </c>
      <c r="E6902" s="17"/>
      <c r="F6902" s="18"/>
      <c r="G6902" s="36" t="str">
        <f>IF(ISNUMBER(F6902),C6902*F6902,"")</f>
        <v/>
      </c>
    </row>
    <row r="6903" spans="1:7" ht="12" customHeight="1" outlineLevel="3" x14ac:dyDescent="0.2">
      <c r="A6903" s="14" t="s">
        <v>13601</v>
      </c>
      <c r="B6903" s="15" t="s">
        <v>13602</v>
      </c>
      <c r="C6903" s="16">
        <f>80.2/(1+B2)</f>
        <v>80.2</v>
      </c>
      <c r="D6903" s="17" t="s">
        <v>11</v>
      </c>
      <c r="E6903" s="17"/>
      <c r="F6903" s="18"/>
      <c r="G6903" s="36" t="str">
        <f>IF(ISNUMBER(F6903),C6903*F6903,"")</f>
        <v/>
      </c>
    </row>
    <row r="6904" spans="1:7" ht="12" customHeight="1" outlineLevel="3" x14ac:dyDescent="0.2">
      <c r="A6904" s="14" t="s">
        <v>13603</v>
      </c>
      <c r="B6904" s="15" t="s">
        <v>13604</v>
      </c>
      <c r="C6904" s="16">
        <f>48.6/(1+B2)</f>
        <v>48.6</v>
      </c>
      <c r="D6904" s="17" t="s">
        <v>14</v>
      </c>
      <c r="E6904" s="17"/>
      <c r="F6904" s="18"/>
      <c r="G6904" s="36" t="str">
        <f>IF(ISNUMBER(F6904),C6904*F6904,"")</f>
        <v/>
      </c>
    </row>
    <row r="6905" spans="1:7" ht="12" customHeight="1" outlineLevel="3" x14ac:dyDescent="0.2">
      <c r="A6905" s="14" t="s">
        <v>13605</v>
      </c>
      <c r="B6905" s="15" t="s">
        <v>13606</v>
      </c>
      <c r="C6905" s="16">
        <f>80.2/(1+B2)</f>
        <v>80.2</v>
      </c>
      <c r="D6905" s="17" t="s">
        <v>11</v>
      </c>
      <c r="E6905" s="17"/>
      <c r="F6905" s="18"/>
      <c r="G6905" s="36" t="str">
        <f>IF(ISNUMBER(F6905),C6905*F6905,"")</f>
        <v/>
      </c>
    </row>
    <row r="6906" spans="1:7" ht="12" customHeight="1" outlineLevel="3" x14ac:dyDescent="0.2">
      <c r="A6906" s="14" t="s">
        <v>13607</v>
      </c>
      <c r="B6906" s="15" t="s">
        <v>13608</v>
      </c>
      <c r="C6906" s="16">
        <f>50.71/(1+B2)</f>
        <v>50.71</v>
      </c>
      <c r="D6906" s="17" t="s">
        <v>11</v>
      </c>
      <c r="E6906" s="17"/>
      <c r="F6906" s="18"/>
      <c r="G6906" s="36" t="str">
        <f>IF(ISNUMBER(F6906),C6906*F6906,"")</f>
        <v/>
      </c>
    </row>
    <row r="6907" spans="1:7" ht="12" customHeight="1" outlineLevel="3" x14ac:dyDescent="0.2">
      <c r="A6907" s="14" t="s">
        <v>13609</v>
      </c>
      <c r="B6907" s="15" t="s">
        <v>13610</v>
      </c>
      <c r="C6907" s="16">
        <f>48.6/(1+B2)</f>
        <v>48.6</v>
      </c>
      <c r="D6907" s="17" t="s">
        <v>53</v>
      </c>
      <c r="E6907" s="17"/>
      <c r="F6907" s="18"/>
      <c r="G6907" s="36" t="str">
        <f>IF(ISNUMBER(F6907),C6907*F6907,"")</f>
        <v/>
      </c>
    </row>
    <row r="6908" spans="1:7" ht="12" customHeight="1" outlineLevel="3" x14ac:dyDescent="0.2">
      <c r="A6908" s="14" t="s">
        <v>13611</v>
      </c>
      <c r="B6908" s="15" t="s">
        <v>13612</v>
      </c>
      <c r="C6908" s="16">
        <f>108.82/(1+B2)</f>
        <v>108.82</v>
      </c>
      <c r="D6908" s="17" t="s">
        <v>11</v>
      </c>
      <c r="E6908" s="17"/>
      <c r="F6908" s="18"/>
      <c r="G6908" s="36" t="str">
        <f>IF(ISNUMBER(F6908),C6908*F6908,"")</f>
        <v/>
      </c>
    </row>
    <row r="6909" spans="1:7" ht="12" customHeight="1" outlineLevel="3" x14ac:dyDescent="0.2">
      <c r="A6909" s="14" t="s">
        <v>13613</v>
      </c>
      <c r="B6909" s="15" t="s">
        <v>13614</v>
      </c>
      <c r="C6909" s="16">
        <f>135.53/(1+B2)</f>
        <v>135.53</v>
      </c>
      <c r="D6909" s="17" t="s">
        <v>11</v>
      </c>
      <c r="E6909" s="17"/>
      <c r="F6909" s="18"/>
      <c r="G6909" s="36" t="str">
        <f>IF(ISNUMBER(F6909),C6909*F6909,"")</f>
        <v/>
      </c>
    </row>
    <row r="6910" spans="1:7" ht="12" customHeight="1" outlineLevel="3" x14ac:dyDescent="0.2">
      <c r="A6910" s="14" t="s">
        <v>13615</v>
      </c>
      <c r="B6910" s="15" t="s">
        <v>13616</v>
      </c>
      <c r="C6910" s="16">
        <f>108.82/(1+B2)</f>
        <v>108.82</v>
      </c>
      <c r="D6910" s="17" t="s">
        <v>11</v>
      </c>
      <c r="E6910" s="17"/>
      <c r="F6910" s="18"/>
      <c r="G6910" s="36" t="str">
        <f>IF(ISNUMBER(F6910),C6910*F6910,"")</f>
        <v/>
      </c>
    </row>
    <row r="6911" spans="1:7" ht="12" customHeight="1" outlineLevel="3" x14ac:dyDescent="0.2">
      <c r="A6911" s="14" t="s">
        <v>13617</v>
      </c>
      <c r="B6911" s="15" t="s">
        <v>13618</v>
      </c>
      <c r="C6911" s="16">
        <f>135.53/(1+B2)</f>
        <v>135.53</v>
      </c>
      <c r="D6911" s="17" t="s">
        <v>14</v>
      </c>
      <c r="E6911" s="17"/>
      <c r="F6911" s="18"/>
      <c r="G6911" s="36" t="str">
        <f>IF(ISNUMBER(F6911),C6911*F6911,"")</f>
        <v/>
      </c>
    </row>
    <row r="6912" spans="1:7" ht="12" customHeight="1" outlineLevel="3" x14ac:dyDescent="0.2">
      <c r="A6912" s="14" t="s">
        <v>13619</v>
      </c>
      <c r="B6912" s="15" t="s">
        <v>13620</v>
      </c>
      <c r="C6912" s="16">
        <f>135.53/(1+B2)</f>
        <v>135.53</v>
      </c>
      <c r="D6912" s="17" t="s">
        <v>11</v>
      </c>
      <c r="E6912" s="17"/>
      <c r="F6912" s="18"/>
      <c r="G6912" s="36" t="str">
        <f>IF(ISNUMBER(F6912),C6912*F6912,"")</f>
        <v/>
      </c>
    </row>
    <row r="6913" spans="1:7" ht="12" customHeight="1" outlineLevel="3" x14ac:dyDescent="0.2">
      <c r="A6913" s="14" t="s">
        <v>13621</v>
      </c>
      <c r="B6913" s="15" t="s">
        <v>13622</v>
      </c>
      <c r="C6913" s="16">
        <f>95.75/(1+B2)</f>
        <v>95.75</v>
      </c>
      <c r="D6913" s="17" t="s">
        <v>11</v>
      </c>
      <c r="E6913" s="17"/>
      <c r="F6913" s="18"/>
      <c r="G6913" s="36" t="str">
        <f>IF(ISNUMBER(F6913),C6913*F6913,"")</f>
        <v/>
      </c>
    </row>
    <row r="6914" spans="1:7" ht="12" customHeight="1" outlineLevel="3" x14ac:dyDescent="0.2">
      <c r="A6914" s="14" t="s">
        <v>13623</v>
      </c>
      <c r="B6914" s="15" t="s">
        <v>13624</v>
      </c>
      <c r="C6914" s="16">
        <f>72.54/(1+B2)</f>
        <v>72.540000000000006</v>
      </c>
      <c r="D6914" s="17" t="s">
        <v>11</v>
      </c>
      <c r="E6914" s="17"/>
      <c r="F6914" s="18"/>
      <c r="G6914" s="36" t="str">
        <f>IF(ISNUMBER(F6914),C6914*F6914,"")</f>
        <v/>
      </c>
    </row>
    <row r="6915" spans="1:7" ht="12" customHeight="1" outlineLevel="3" x14ac:dyDescent="0.2">
      <c r="A6915" s="14" t="s">
        <v>13625</v>
      </c>
      <c r="B6915" s="15" t="s">
        <v>13626</v>
      </c>
      <c r="C6915" s="16">
        <f>109.14/(1+B2)</f>
        <v>109.14</v>
      </c>
      <c r="D6915" s="17" t="s">
        <v>14</v>
      </c>
      <c r="E6915" s="17"/>
      <c r="F6915" s="18"/>
      <c r="G6915" s="36" t="str">
        <f>IF(ISNUMBER(F6915),C6915*F6915,"")</f>
        <v/>
      </c>
    </row>
    <row r="6916" spans="1:7" ht="12" customHeight="1" outlineLevel="3" x14ac:dyDescent="0.2">
      <c r="A6916" s="14" t="s">
        <v>13627</v>
      </c>
      <c r="B6916" s="15" t="s">
        <v>13628</v>
      </c>
      <c r="C6916" s="16">
        <f>191.09/(1+B2)</f>
        <v>191.09</v>
      </c>
      <c r="D6916" s="17" t="s">
        <v>14</v>
      </c>
      <c r="E6916" s="17"/>
      <c r="F6916" s="18"/>
      <c r="G6916" s="36" t="str">
        <f>IF(ISNUMBER(F6916),C6916*F6916,"")</f>
        <v/>
      </c>
    </row>
    <row r="6917" spans="1:7" ht="12" customHeight="1" outlineLevel="3" x14ac:dyDescent="0.2">
      <c r="A6917" s="14" t="s">
        <v>13629</v>
      </c>
      <c r="B6917" s="15" t="s">
        <v>13630</v>
      </c>
      <c r="C6917" s="16">
        <f>100.72/(1+B2)</f>
        <v>100.72</v>
      </c>
      <c r="D6917" s="17" t="s">
        <v>14</v>
      </c>
      <c r="E6917" s="17"/>
      <c r="F6917" s="18"/>
      <c r="G6917" s="36" t="str">
        <f>IF(ISNUMBER(F6917),C6917*F6917,"")</f>
        <v/>
      </c>
    </row>
    <row r="6918" spans="1:7" ht="12" customHeight="1" outlineLevel="3" x14ac:dyDescent="0.2">
      <c r="A6918" s="14" t="s">
        <v>13631</v>
      </c>
      <c r="B6918" s="15" t="s">
        <v>13632</v>
      </c>
      <c r="C6918" s="16">
        <f>103.12/(1+B2)</f>
        <v>103.12</v>
      </c>
      <c r="D6918" s="17" t="s">
        <v>11</v>
      </c>
      <c r="E6918" s="17"/>
      <c r="F6918" s="18"/>
      <c r="G6918" s="36" t="str">
        <f>IF(ISNUMBER(F6918),C6918*F6918,"")</f>
        <v/>
      </c>
    </row>
    <row r="6919" spans="1:7" ht="12" customHeight="1" outlineLevel="3" x14ac:dyDescent="0.2">
      <c r="A6919" s="14" t="s">
        <v>13633</v>
      </c>
      <c r="B6919" s="15" t="s">
        <v>13634</v>
      </c>
      <c r="C6919" s="16">
        <f>59.22/(1+B2)</f>
        <v>59.22</v>
      </c>
      <c r="D6919" s="17" t="s">
        <v>53</v>
      </c>
      <c r="E6919" s="17"/>
      <c r="F6919" s="18"/>
      <c r="G6919" s="36" t="str">
        <f>IF(ISNUMBER(F6919),C6919*F6919,"")</f>
        <v/>
      </c>
    </row>
    <row r="6920" spans="1:7" ht="12" customHeight="1" outlineLevel="3" x14ac:dyDescent="0.2">
      <c r="A6920" s="14" t="s">
        <v>13635</v>
      </c>
      <c r="B6920" s="15" t="s">
        <v>13636</v>
      </c>
      <c r="C6920" s="16">
        <f>53.3/(1+B2)</f>
        <v>53.3</v>
      </c>
      <c r="D6920" s="17" t="s">
        <v>11</v>
      </c>
      <c r="E6920" s="17"/>
      <c r="F6920" s="18"/>
      <c r="G6920" s="36" t="str">
        <f>IF(ISNUMBER(F6920),C6920*F6920,"")</f>
        <v/>
      </c>
    </row>
    <row r="6921" spans="1:7" ht="12" customHeight="1" outlineLevel="3" x14ac:dyDescent="0.2">
      <c r="A6921" s="14" t="s">
        <v>13637</v>
      </c>
      <c r="B6921" s="15" t="s">
        <v>13638</v>
      </c>
      <c r="C6921" s="16">
        <f>53.3/(1+B2)</f>
        <v>53.3</v>
      </c>
      <c r="D6921" s="17" t="s">
        <v>11</v>
      </c>
      <c r="E6921" s="17"/>
      <c r="F6921" s="18"/>
      <c r="G6921" s="36" t="str">
        <f>IF(ISNUMBER(F6921),C6921*F6921,"")</f>
        <v/>
      </c>
    </row>
    <row r="6922" spans="1:7" ht="12" customHeight="1" outlineLevel="3" x14ac:dyDescent="0.2">
      <c r="A6922" s="14" t="s">
        <v>13639</v>
      </c>
      <c r="B6922" s="15" t="s">
        <v>13640</v>
      </c>
      <c r="C6922" s="16">
        <f>117.95/(1+B2)</f>
        <v>117.95</v>
      </c>
      <c r="D6922" s="17" t="s">
        <v>11</v>
      </c>
      <c r="E6922" s="17"/>
      <c r="F6922" s="18"/>
      <c r="G6922" s="36" t="str">
        <f>IF(ISNUMBER(F6922),C6922*F6922,"")</f>
        <v/>
      </c>
    </row>
    <row r="6923" spans="1:7" ht="12" customHeight="1" outlineLevel="3" x14ac:dyDescent="0.2">
      <c r="A6923" s="14" t="s">
        <v>13641</v>
      </c>
      <c r="B6923" s="15" t="s">
        <v>13642</v>
      </c>
      <c r="C6923" s="16">
        <f>53.3/(1+B2)</f>
        <v>53.3</v>
      </c>
      <c r="D6923" s="17" t="s">
        <v>11</v>
      </c>
      <c r="E6923" s="17"/>
      <c r="F6923" s="18"/>
      <c r="G6923" s="36" t="str">
        <f>IF(ISNUMBER(F6923),C6923*F6923,"")</f>
        <v/>
      </c>
    </row>
    <row r="6924" spans="1:7" ht="12" customHeight="1" outlineLevel="3" x14ac:dyDescent="0.2">
      <c r="A6924" s="14" t="s">
        <v>13643</v>
      </c>
      <c r="B6924" s="15" t="s">
        <v>13644</v>
      </c>
      <c r="C6924" s="16">
        <f>59.22/(1+B2)</f>
        <v>59.22</v>
      </c>
      <c r="D6924" s="17" t="s">
        <v>11</v>
      </c>
      <c r="E6924" s="17"/>
      <c r="F6924" s="18"/>
      <c r="G6924" s="36" t="str">
        <f>IF(ISNUMBER(F6924),C6924*F6924,"")</f>
        <v/>
      </c>
    </row>
    <row r="6925" spans="1:7" ht="12" customHeight="1" outlineLevel="3" x14ac:dyDescent="0.2">
      <c r="A6925" s="14" t="s">
        <v>13645</v>
      </c>
      <c r="B6925" s="15" t="s">
        <v>13646</v>
      </c>
      <c r="C6925" s="16">
        <f>89.1/(1+B2)</f>
        <v>89.1</v>
      </c>
      <c r="D6925" s="17" t="s">
        <v>53</v>
      </c>
      <c r="E6925" s="17"/>
      <c r="F6925" s="18"/>
      <c r="G6925" s="36" t="str">
        <f>IF(ISNUMBER(F6925),C6925*F6925,"")</f>
        <v/>
      </c>
    </row>
    <row r="6926" spans="1:7" ht="12" customHeight="1" outlineLevel="3" x14ac:dyDescent="0.2">
      <c r="A6926" s="14" t="s">
        <v>13647</v>
      </c>
      <c r="B6926" s="15" t="s">
        <v>13648</v>
      </c>
      <c r="C6926" s="16">
        <f>99/(1+B2)</f>
        <v>99</v>
      </c>
      <c r="D6926" s="17" t="s">
        <v>11</v>
      </c>
      <c r="E6926" s="17"/>
      <c r="F6926" s="18"/>
      <c r="G6926" s="36" t="str">
        <f>IF(ISNUMBER(F6926),C6926*F6926,"")</f>
        <v/>
      </c>
    </row>
    <row r="6927" spans="1:7" ht="12" customHeight="1" outlineLevel="3" x14ac:dyDescent="0.2">
      <c r="A6927" s="14" t="s">
        <v>13649</v>
      </c>
      <c r="B6927" s="15" t="s">
        <v>13650</v>
      </c>
      <c r="C6927" s="16">
        <f>99/(1+B2)</f>
        <v>99</v>
      </c>
      <c r="D6927" s="17" t="s">
        <v>14</v>
      </c>
      <c r="E6927" s="17"/>
      <c r="F6927" s="18"/>
      <c r="G6927" s="36" t="str">
        <f>IF(ISNUMBER(F6927),C6927*F6927,"")</f>
        <v/>
      </c>
    </row>
    <row r="6928" spans="1:7" ht="12" customHeight="1" outlineLevel="3" x14ac:dyDescent="0.2">
      <c r="A6928" s="14" t="s">
        <v>13651</v>
      </c>
      <c r="B6928" s="15" t="s">
        <v>13652</v>
      </c>
      <c r="C6928" s="16">
        <f>173.74/(1+B2)</f>
        <v>173.74</v>
      </c>
      <c r="D6928" s="17" t="s">
        <v>11</v>
      </c>
      <c r="E6928" s="17"/>
      <c r="F6928" s="18"/>
      <c r="G6928" s="36" t="str">
        <f>IF(ISNUMBER(F6928),C6928*F6928,"")</f>
        <v/>
      </c>
    </row>
    <row r="6929" spans="1:7" ht="12" customHeight="1" outlineLevel="3" x14ac:dyDescent="0.2">
      <c r="A6929" s="14" t="s">
        <v>13653</v>
      </c>
      <c r="B6929" s="15" t="s">
        <v>13654</v>
      </c>
      <c r="C6929" s="16">
        <f>173.74/(1+B2)</f>
        <v>173.74</v>
      </c>
      <c r="D6929" s="17" t="s">
        <v>11</v>
      </c>
      <c r="E6929" s="17"/>
      <c r="F6929" s="18"/>
      <c r="G6929" s="36" t="str">
        <f>IF(ISNUMBER(F6929),C6929*F6929,"")</f>
        <v/>
      </c>
    </row>
    <row r="6930" spans="1:7" ht="12" customHeight="1" outlineLevel="3" x14ac:dyDescent="0.2">
      <c r="A6930" s="14" t="s">
        <v>13655</v>
      </c>
      <c r="B6930" s="15" t="s">
        <v>13656</v>
      </c>
      <c r="C6930" s="16">
        <f>173.74/(1+B2)</f>
        <v>173.74</v>
      </c>
      <c r="D6930" s="17" t="s">
        <v>11</v>
      </c>
      <c r="E6930" s="17"/>
      <c r="F6930" s="18"/>
      <c r="G6930" s="36" t="str">
        <f>IF(ISNUMBER(F6930),C6930*F6930,"")</f>
        <v/>
      </c>
    </row>
    <row r="6931" spans="1:7" ht="12" customHeight="1" outlineLevel="3" x14ac:dyDescent="0.2">
      <c r="A6931" s="14" t="s">
        <v>13657</v>
      </c>
      <c r="B6931" s="15" t="s">
        <v>13658</v>
      </c>
      <c r="C6931" s="16">
        <f>52.2/(1+B2)</f>
        <v>52.2</v>
      </c>
      <c r="D6931" s="17" t="s">
        <v>11</v>
      </c>
      <c r="E6931" s="17"/>
      <c r="F6931" s="18"/>
      <c r="G6931" s="36" t="str">
        <f>IF(ISNUMBER(F6931),C6931*F6931,"")</f>
        <v/>
      </c>
    </row>
    <row r="6932" spans="1:7" ht="12" customHeight="1" outlineLevel="3" x14ac:dyDescent="0.2">
      <c r="A6932" s="14" t="s">
        <v>13659</v>
      </c>
      <c r="B6932" s="15" t="s">
        <v>13660</v>
      </c>
      <c r="C6932" s="16">
        <f>52.2/(1+B2)</f>
        <v>52.2</v>
      </c>
      <c r="D6932" s="17" t="s">
        <v>11</v>
      </c>
      <c r="E6932" s="17"/>
      <c r="F6932" s="18"/>
      <c r="G6932" s="36" t="str">
        <f>IF(ISNUMBER(F6932),C6932*F6932,"")</f>
        <v/>
      </c>
    </row>
    <row r="6933" spans="1:7" ht="12" customHeight="1" outlineLevel="3" x14ac:dyDescent="0.2">
      <c r="A6933" s="14" t="s">
        <v>13661</v>
      </c>
      <c r="B6933" s="15" t="s">
        <v>13662</v>
      </c>
      <c r="C6933" s="16">
        <f>58.68/(1+B2)</f>
        <v>58.68</v>
      </c>
      <c r="D6933" s="17" t="s">
        <v>14</v>
      </c>
      <c r="E6933" s="17"/>
      <c r="F6933" s="18"/>
      <c r="G6933" s="36" t="str">
        <f>IF(ISNUMBER(F6933),C6933*F6933,"")</f>
        <v/>
      </c>
    </row>
    <row r="6934" spans="1:7" ht="12" customHeight="1" outlineLevel="3" x14ac:dyDescent="0.2">
      <c r="A6934" s="14" t="s">
        <v>13663</v>
      </c>
      <c r="B6934" s="15" t="s">
        <v>13664</v>
      </c>
      <c r="C6934" s="16">
        <f>39.62/(1+B2)</f>
        <v>39.619999999999997</v>
      </c>
      <c r="D6934" s="17" t="s">
        <v>14</v>
      </c>
      <c r="E6934" s="17"/>
      <c r="F6934" s="18"/>
      <c r="G6934" s="36" t="str">
        <f>IF(ISNUMBER(F6934),C6934*F6934,"")</f>
        <v/>
      </c>
    </row>
    <row r="6935" spans="1:7" ht="12" customHeight="1" outlineLevel="3" x14ac:dyDescent="0.2">
      <c r="A6935" s="14" t="s">
        <v>13665</v>
      </c>
      <c r="B6935" s="15" t="s">
        <v>13666</v>
      </c>
      <c r="C6935" s="16">
        <f>61.38/(1+B2)</f>
        <v>61.38</v>
      </c>
      <c r="D6935" s="17" t="s">
        <v>11</v>
      </c>
      <c r="E6935" s="17"/>
      <c r="F6935" s="18"/>
      <c r="G6935" s="36" t="str">
        <f>IF(ISNUMBER(F6935),C6935*F6935,"")</f>
        <v/>
      </c>
    </row>
    <row r="6936" spans="1:7" ht="12" customHeight="1" outlineLevel="3" x14ac:dyDescent="0.2">
      <c r="A6936" s="14" t="s">
        <v>13667</v>
      </c>
      <c r="B6936" s="15" t="s">
        <v>13668</v>
      </c>
      <c r="C6936" s="16">
        <f>72/(1+B2)</f>
        <v>72</v>
      </c>
      <c r="D6936" s="17" t="s">
        <v>11</v>
      </c>
      <c r="E6936" s="17"/>
      <c r="F6936" s="18"/>
      <c r="G6936" s="36" t="str">
        <f>IF(ISNUMBER(F6936),C6936*F6936,"")</f>
        <v/>
      </c>
    </row>
    <row r="6937" spans="1:7" ht="12" customHeight="1" outlineLevel="3" x14ac:dyDescent="0.2">
      <c r="A6937" s="14" t="s">
        <v>13669</v>
      </c>
      <c r="B6937" s="15" t="s">
        <v>13670</v>
      </c>
      <c r="C6937" s="16">
        <f>64.8/(1+B2)</f>
        <v>64.8</v>
      </c>
      <c r="D6937" s="17" t="s">
        <v>14</v>
      </c>
      <c r="E6937" s="17"/>
      <c r="F6937" s="18"/>
      <c r="G6937" s="36" t="str">
        <f>IF(ISNUMBER(F6937),C6937*F6937,"")</f>
        <v/>
      </c>
    </row>
    <row r="6938" spans="1:7" ht="12" customHeight="1" outlineLevel="3" x14ac:dyDescent="0.2">
      <c r="A6938" s="14" t="s">
        <v>13671</v>
      </c>
      <c r="B6938" s="15" t="s">
        <v>13672</v>
      </c>
      <c r="C6938" s="16">
        <f>72/(1+B2)</f>
        <v>72</v>
      </c>
      <c r="D6938" s="17" t="s">
        <v>14</v>
      </c>
      <c r="E6938" s="17"/>
      <c r="F6938" s="18"/>
      <c r="G6938" s="36" t="str">
        <f>IF(ISNUMBER(F6938),C6938*F6938,"")</f>
        <v/>
      </c>
    </row>
    <row r="6939" spans="1:7" ht="12" customHeight="1" outlineLevel="3" x14ac:dyDescent="0.2">
      <c r="A6939" s="14" t="s">
        <v>13673</v>
      </c>
      <c r="B6939" s="15" t="s">
        <v>13674</v>
      </c>
      <c r="C6939" s="16">
        <f>113.87/(1+B2)</f>
        <v>113.87</v>
      </c>
      <c r="D6939" s="17" t="s">
        <v>14</v>
      </c>
      <c r="E6939" s="17"/>
      <c r="F6939" s="18"/>
      <c r="G6939" s="36" t="str">
        <f>IF(ISNUMBER(F6939),C6939*F6939,"")</f>
        <v/>
      </c>
    </row>
    <row r="6940" spans="1:7" ht="12" customHeight="1" outlineLevel="3" x14ac:dyDescent="0.2">
      <c r="A6940" s="14" t="s">
        <v>13675</v>
      </c>
      <c r="B6940" s="15" t="s">
        <v>13676</v>
      </c>
      <c r="C6940" s="16">
        <f>80.2/(1+B2)</f>
        <v>80.2</v>
      </c>
      <c r="D6940" s="17" t="s">
        <v>11</v>
      </c>
      <c r="E6940" s="17"/>
      <c r="F6940" s="18"/>
      <c r="G6940" s="36" t="str">
        <f>IF(ISNUMBER(F6940),C6940*F6940,"")</f>
        <v/>
      </c>
    </row>
    <row r="6941" spans="1:7" ht="12" customHeight="1" outlineLevel="3" x14ac:dyDescent="0.2">
      <c r="A6941" s="14" t="s">
        <v>13677</v>
      </c>
      <c r="B6941" s="15" t="s">
        <v>13678</v>
      </c>
      <c r="C6941" s="16">
        <f>79.6/(1+B2)</f>
        <v>79.599999999999994</v>
      </c>
      <c r="D6941" s="17" t="s">
        <v>11</v>
      </c>
      <c r="E6941" s="17"/>
      <c r="F6941" s="18"/>
      <c r="G6941" s="36" t="str">
        <f>IF(ISNUMBER(F6941),C6941*F6941,"")</f>
        <v/>
      </c>
    </row>
    <row r="6942" spans="1:7" ht="12" customHeight="1" outlineLevel="3" x14ac:dyDescent="0.2">
      <c r="A6942" s="14" t="s">
        <v>13679</v>
      </c>
      <c r="B6942" s="15" t="s">
        <v>13680</v>
      </c>
      <c r="C6942" s="16">
        <f>90.58/(1+B2)</f>
        <v>90.58</v>
      </c>
      <c r="D6942" s="17" t="s">
        <v>11</v>
      </c>
      <c r="E6942" s="17"/>
      <c r="F6942" s="18"/>
      <c r="G6942" s="36" t="str">
        <f>IF(ISNUMBER(F6942),C6942*F6942,"")</f>
        <v/>
      </c>
    </row>
    <row r="6943" spans="1:7" ht="12" customHeight="1" outlineLevel="3" x14ac:dyDescent="0.2">
      <c r="A6943" s="14" t="s">
        <v>13681</v>
      </c>
      <c r="B6943" s="15" t="s">
        <v>13682</v>
      </c>
      <c r="C6943" s="16">
        <f>52.16/(1+B2)</f>
        <v>52.16</v>
      </c>
      <c r="D6943" s="17" t="s">
        <v>11</v>
      </c>
      <c r="E6943" s="17"/>
      <c r="F6943" s="18"/>
      <c r="G6943" s="36" t="str">
        <f>IF(ISNUMBER(F6943),C6943*F6943,"")</f>
        <v/>
      </c>
    </row>
    <row r="6944" spans="1:7" ht="12" customHeight="1" outlineLevel="3" x14ac:dyDescent="0.2">
      <c r="A6944" s="14" t="s">
        <v>13683</v>
      </c>
      <c r="B6944" s="15" t="s">
        <v>13684</v>
      </c>
      <c r="C6944" s="16">
        <f>135.43/(1+B2)</f>
        <v>135.43</v>
      </c>
      <c r="D6944" s="17" t="s">
        <v>11</v>
      </c>
      <c r="E6944" s="17"/>
      <c r="F6944" s="18"/>
      <c r="G6944" s="36" t="str">
        <f>IF(ISNUMBER(F6944),C6944*F6944,"")</f>
        <v/>
      </c>
    </row>
    <row r="6945" spans="1:7" ht="12" customHeight="1" outlineLevel="3" x14ac:dyDescent="0.2">
      <c r="A6945" s="14" t="s">
        <v>13685</v>
      </c>
      <c r="B6945" s="15" t="s">
        <v>13686</v>
      </c>
      <c r="C6945" s="16">
        <f>71.28/(1+B2)</f>
        <v>71.28</v>
      </c>
      <c r="D6945" s="17" t="s">
        <v>11</v>
      </c>
      <c r="E6945" s="17"/>
      <c r="F6945" s="18"/>
      <c r="G6945" s="36" t="str">
        <f>IF(ISNUMBER(F6945),C6945*F6945,"")</f>
        <v/>
      </c>
    </row>
    <row r="6946" spans="1:7" ht="12" customHeight="1" outlineLevel="3" x14ac:dyDescent="0.2">
      <c r="A6946" s="14" t="s">
        <v>13687</v>
      </c>
      <c r="B6946" s="15" t="s">
        <v>13688</v>
      </c>
      <c r="C6946" s="16">
        <f>108.82/(1+B2)</f>
        <v>108.82</v>
      </c>
      <c r="D6946" s="17" t="s">
        <v>11</v>
      </c>
      <c r="E6946" s="17"/>
      <c r="F6946" s="18"/>
      <c r="G6946" s="36" t="str">
        <f>IF(ISNUMBER(F6946),C6946*F6946,"")</f>
        <v/>
      </c>
    </row>
    <row r="6947" spans="1:7" ht="12" customHeight="1" outlineLevel="3" x14ac:dyDescent="0.2">
      <c r="A6947" s="14" t="s">
        <v>13689</v>
      </c>
      <c r="B6947" s="15" t="s">
        <v>13690</v>
      </c>
      <c r="C6947" s="16">
        <f>72.54/(1+B2)</f>
        <v>72.540000000000006</v>
      </c>
      <c r="D6947" s="17" t="s">
        <v>14</v>
      </c>
      <c r="E6947" s="17"/>
      <c r="F6947" s="18"/>
      <c r="G6947" s="36" t="str">
        <f>IF(ISNUMBER(F6947),C6947*F6947,"")</f>
        <v/>
      </c>
    </row>
    <row r="6948" spans="1:7" ht="12" customHeight="1" outlineLevel="3" x14ac:dyDescent="0.2">
      <c r="A6948" s="14" t="s">
        <v>13691</v>
      </c>
      <c r="B6948" s="15" t="s">
        <v>13692</v>
      </c>
      <c r="C6948" s="16">
        <f>79.9/(1+B2)</f>
        <v>79.900000000000006</v>
      </c>
      <c r="D6948" s="17" t="s">
        <v>11</v>
      </c>
      <c r="E6948" s="17"/>
      <c r="F6948" s="18"/>
      <c r="G6948" s="36" t="str">
        <f>IF(ISNUMBER(F6948),C6948*F6948,"")</f>
        <v/>
      </c>
    </row>
    <row r="6949" spans="1:7" ht="12" customHeight="1" outlineLevel="3" x14ac:dyDescent="0.2">
      <c r="A6949" s="14" t="s">
        <v>13693</v>
      </c>
      <c r="B6949" s="15" t="s">
        <v>13694</v>
      </c>
      <c r="C6949" s="16">
        <f>60.04/(1+B2)</f>
        <v>60.04</v>
      </c>
      <c r="D6949" s="17" t="s">
        <v>11</v>
      </c>
      <c r="E6949" s="17"/>
      <c r="F6949" s="18"/>
      <c r="G6949" s="36" t="str">
        <f>IF(ISNUMBER(F6949),C6949*F6949,"")</f>
        <v/>
      </c>
    </row>
    <row r="6950" spans="1:7" ht="12" customHeight="1" outlineLevel="3" x14ac:dyDescent="0.2">
      <c r="A6950" s="14" t="s">
        <v>13695</v>
      </c>
      <c r="B6950" s="15" t="s">
        <v>13696</v>
      </c>
      <c r="C6950" s="16">
        <f>85.93/(1+B2)</f>
        <v>85.93</v>
      </c>
      <c r="D6950" s="17" t="s">
        <v>11</v>
      </c>
      <c r="E6950" s="17"/>
      <c r="F6950" s="18"/>
      <c r="G6950" s="36" t="str">
        <f>IF(ISNUMBER(F6950),C6950*F6950,"")</f>
        <v/>
      </c>
    </row>
    <row r="6951" spans="1:7" ht="12" customHeight="1" outlineLevel="3" x14ac:dyDescent="0.2">
      <c r="A6951" s="14" t="s">
        <v>13697</v>
      </c>
      <c r="B6951" s="15" t="s">
        <v>13698</v>
      </c>
      <c r="C6951" s="16">
        <f>144.76/(1+B2)</f>
        <v>144.76</v>
      </c>
      <c r="D6951" s="17" t="s">
        <v>11</v>
      </c>
      <c r="E6951" s="17"/>
      <c r="F6951" s="18"/>
      <c r="G6951" s="36" t="str">
        <f>IF(ISNUMBER(F6951),C6951*F6951,"")</f>
        <v/>
      </c>
    </row>
    <row r="6952" spans="1:7" ht="12" customHeight="1" outlineLevel="3" x14ac:dyDescent="0.2">
      <c r="A6952" s="14" t="s">
        <v>13699</v>
      </c>
      <c r="B6952" s="15" t="s">
        <v>13700</v>
      </c>
      <c r="C6952" s="16">
        <f>160.77/(1+B2)</f>
        <v>160.77000000000001</v>
      </c>
      <c r="D6952" s="17" t="s">
        <v>11</v>
      </c>
      <c r="E6952" s="17"/>
      <c r="F6952" s="18"/>
      <c r="G6952" s="36" t="str">
        <f>IF(ISNUMBER(F6952),C6952*F6952,"")</f>
        <v/>
      </c>
    </row>
    <row r="6953" spans="1:7" ht="12" customHeight="1" outlineLevel="3" x14ac:dyDescent="0.2">
      <c r="A6953" s="14" t="s">
        <v>13701</v>
      </c>
      <c r="B6953" s="15" t="s">
        <v>13702</v>
      </c>
      <c r="C6953" s="16">
        <f>69.01/(1+B2)</f>
        <v>69.010000000000005</v>
      </c>
      <c r="D6953" s="17" t="s">
        <v>11</v>
      </c>
      <c r="E6953" s="17"/>
      <c r="F6953" s="18"/>
      <c r="G6953" s="36" t="str">
        <f>IF(ISNUMBER(F6953),C6953*F6953,"")</f>
        <v/>
      </c>
    </row>
    <row r="6954" spans="1:7" s="1" customFormat="1" ht="12.95" customHeight="1" outlineLevel="2" x14ac:dyDescent="0.2">
      <c r="A6954" s="20"/>
      <c r="B6954" s="21" t="s">
        <v>13703</v>
      </c>
      <c r="C6954" s="22"/>
      <c r="D6954" s="22"/>
      <c r="E6954" s="22"/>
      <c r="F6954" s="22"/>
      <c r="G6954" s="37"/>
    </row>
    <row r="6955" spans="1:7" ht="12" customHeight="1" outlineLevel="3" x14ac:dyDescent="0.2">
      <c r="A6955" s="14" t="s">
        <v>13704</v>
      </c>
      <c r="B6955" s="15" t="s">
        <v>13705</v>
      </c>
      <c r="C6955" s="16">
        <f>23.28/(1+B2)</f>
        <v>23.28</v>
      </c>
      <c r="D6955" s="17" t="s">
        <v>11</v>
      </c>
      <c r="E6955" s="17" t="s">
        <v>106</v>
      </c>
      <c r="F6955" s="18"/>
      <c r="G6955" s="36" t="str">
        <f>IF(ISNUMBER(F6955),C6955*F6955,"")</f>
        <v/>
      </c>
    </row>
    <row r="6956" spans="1:7" ht="12" customHeight="1" outlineLevel="3" x14ac:dyDescent="0.2">
      <c r="A6956" s="14" t="s">
        <v>13706</v>
      </c>
      <c r="B6956" s="15" t="s">
        <v>13707</v>
      </c>
      <c r="C6956" s="16">
        <f>25.43/(1+B2)</f>
        <v>25.43</v>
      </c>
      <c r="D6956" s="17" t="s">
        <v>106</v>
      </c>
      <c r="E6956" s="17" t="s">
        <v>106</v>
      </c>
      <c r="F6956" s="18"/>
      <c r="G6956" s="36" t="str">
        <f>IF(ISNUMBER(F6956),C6956*F6956,"")</f>
        <v/>
      </c>
    </row>
    <row r="6957" spans="1:7" ht="12" customHeight="1" outlineLevel="3" x14ac:dyDescent="0.2">
      <c r="A6957" s="14" t="s">
        <v>13708</v>
      </c>
      <c r="B6957" s="15" t="s">
        <v>13709</v>
      </c>
      <c r="C6957" s="16">
        <f>53.77/(1+B2)</f>
        <v>53.77</v>
      </c>
      <c r="D6957" s="17"/>
      <c r="E6957" s="17" t="s">
        <v>106</v>
      </c>
      <c r="F6957" s="18"/>
      <c r="G6957" s="36" t="str">
        <f>IF(ISNUMBER(F6957),C6957*F6957,"")</f>
        <v/>
      </c>
    </row>
    <row r="6958" spans="1:7" ht="12" customHeight="1" outlineLevel="3" x14ac:dyDescent="0.2">
      <c r="A6958" s="14" t="s">
        <v>13710</v>
      </c>
      <c r="B6958" s="15" t="s">
        <v>13711</v>
      </c>
      <c r="C6958" s="16">
        <f>111.12/(1+B2)</f>
        <v>111.12</v>
      </c>
      <c r="D6958" s="17" t="s">
        <v>11</v>
      </c>
      <c r="E6958" s="17" t="s">
        <v>53</v>
      </c>
      <c r="F6958" s="18"/>
      <c r="G6958" s="36" t="str">
        <f>IF(ISNUMBER(F6958),C6958*F6958,"")</f>
        <v/>
      </c>
    </row>
    <row r="6959" spans="1:7" ht="12" customHeight="1" outlineLevel="3" x14ac:dyDescent="0.2">
      <c r="A6959" s="14" t="s">
        <v>13712</v>
      </c>
      <c r="B6959" s="15" t="s">
        <v>13713</v>
      </c>
      <c r="C6959" s="16">
        <f>14.77/(1+B2)</f>
        <v>14.77</v>
      </c>
      <c r="D6959" s="17" t="s">
        <v>53</v>
      </c>
      <c r="E6959" s="17" t="s">
        <v>53</v>
      </c>
      <c r="F6959" s="18"/>
      <c r="G6959" s="36" t="str">
        <f>IF(ISNUMBER(F6959),C6959*F6959,"")</f>
        <v/>
      </c>
    </row>
    <row r="6960" spans="1:7" ht="12" customHeight="1" outlineLevel="3" x14ac:dyDescent="0.2">
      <c r="A6960" s="14" t="s">
        <v>13714</v>
      </c>
      <c r="B6960" s="15" t="s">
        <v>13715</v>
      </c>
      <c r="C6960" s="16">
        <f>15.76/(1+B2)</f>
        <v>15.76</v>
      </c>
      <c r="D6960" s="17" t="s">
        <v>53</v>
      </c>
      <c r="E6960" s="17"/>
      <c r="F6960" s="18"/>
      <c r="G6960" s="36" t="str">
        <f>IF(ISNUMBER(F6960),C6960*F6960,"")</f>
        <v/>
      </c>
    </row>
    <row r="6961" spans="1:7" ht="12" customHeight="1" outlineLevel="3" x14ac:dyDescent="0.2">
      <c r="A6961" s="14" t="s">
        <v>13716</v>
      </c>
      <c r="B6961" s="15" t="s">
        <v>13717</v>
      </c>
      <c r="C6961" s="16">
        <f>15.25/(1+B2)</f>
        <v>15.25</v>
      </c>
      <c r="D6961" s="17" t="s">
        <v>106</v>
      </c>
      <c r="E6961" s="17" t="s">
        <v>106</v>
      </c>
      <c r="F6961" s="18"/>
      <c r="G6961" s="36" t="str">
        <f>IF(ISNUMBER(F6961),C6961*F6961,"")</f>
        <v/>
      </c>
    </row>
    <row r="6962" spans="1:7" ht="12" customHeight="1" outlineLevel="3" x14ac:dyDescent="0.2">
      <c r="A6962" s="14" t="s">
        <v>13718</v>
      </c>
      <c r="B6962" s="15" t="s">
        <v>13719</v>
      </c>
      <c r="C6962" s="16">
        <f>15.25/(1+B2)</f>
        <v>15.25</v>
      </c>
      <c r="D6962" s="17" t="s">
        <v>106</v>
      </c>
      <c r="E6962" s="17" t="s">
        <v>106</v>
      </c>
      <c r="F6962" s="18"/>
      <c r="G6962" s="36" t="str">
        <f>IF(ISNUMBER(F6962),C6962*F6962,"")</f>
        <v/>
      </c>
    </row>
    <row r="6963" spans="1:7" ht="12" customHeight="1" outlineLevel="3" x14ac:dyDescent="0.2">
      <c r="A6963" s="14" t="s">
        <v>13720</v>
      </c>
      <c r="B6963" s="15" t="s">
        <v>13721</v>
      </c>
      <c r="C6963" s="16">
        <f>15.88/(1+B2)</f>
        <v>15.88</v>
      </c>
      <c r="D6963" s="17" t="s">
        <v>106</v>
      </c>
      <c r="E6963" s="17" t="s">
        <v>106</v>
      </c>
      <c r="F6963" s="18"/>
      <c r="G6963" s="36" t="str">
        <f>IF(ISNUMBER(F6963),C6963*F6963,"")</f>
        <v/>
      </c>
    </row>
    <row r="6964" spans="1:7" ht="12" customHeight="1" outlineLevel="3" x14ac:dyDescent="0.2">
      <c r="A6964" s="14" t="s">
        <v>13722</v>
      </c>
      <c r="B6964" s="15" t="s">
        <v>13723</v>
      </c>
      <c r="C6964" s="16">
        <f>15.88/(1+B2)</f>
        <v>15.88</v>
      </c>
      <c r="D6964" s="17" t="s">
        <v>53</v>
      </c>
      <c r="E6964" s="17" t="s">
        <v>106</v>
      </c>
      <c r="F6964" s="18"/>
      <c r="G6964" s="36" t="str">
        <f>IF(ISNUMBER(F6964),C6964*F6964,"")</f>
        <v/>
      </c>
    </row>
    <row r="6965" spans="1:7" ht="12" customHeight="1" outlineLevel="3" x14ac:dyDescent="0.2">
      <c r="A6965" s="14" t="s">
        <v>13724</v>
      </c>
      <c r="B6965" s="15" t="s">
        <v>13725</v>
      </c>
      <c r="C6965" s="16">
        <f>50.9/(1+B2)</f>
        <v>50.9</v>
      </c>
      <c r="D6965" s="17" t="s">
        <v>11</v>
      </c>
      <c r="E6965" s="17"/>
      <c r="F6965" s="18"/>
      <c r="G6965" s="36" t="str">
        <f>IF(ISNUMBER(F6965),C6965*F6965,"")</f>
        <v/>
      </c>
    </row>
    <row r="6966" spans="1:7" ht="12" customHeight="1" outlineLevel="3" x14ac:dyDescent="0.2">
      <c r="A6966" s="14" t="s">
        <v>13726</v>
      </c>
      <c r="B6966" s="15" t="s">
        <v>13727</v>
      </c>
      <c r="C6966" s="16">
        <f>23.16/(1+B2)</f>
        <v>23.16</v>
      </c>
      <c r="D6966" s="17" t="s">
        <v>106</v>
      </c>
      <c r="E6966" s="17" t="s">
        <v>106</v>
      </c>
      <c r="F6966" s="18"/>
      <c r="G6966" s="36" t="str">
        <f>IF(ISNUMBER(F6966),C6966*F6966,"")</f>
        <v/>
      </c>
    </row>
    <row r="6967" spans="1:7" ht="12" customHeight="1" outlineLevel="3" x14ac:dyDescent="0.2">
      <c r="A6967" s="14" t="s">
        <v>13728</v>
      </c>
      <c r="B6967" s="15" t="s">
        <v>13729</v>
      </c>
      <c r="C6967" s="16">
        <f>38.6/(1+B2)</f>
        <v>38.6</v>
      </c>
      <c r="D6967" s="17" t="s">
        <v>11</v>
      </c>
      <c r="E6967" s="17" t="s">
        <v>14</v>
      </c>
      <c r="F6967" s="18"/>
      <c r="G6967" s="36" t="str">
        <f>IF(ISNUMBER(F6967),C6967*F6967,"")</f>
        <v/>
      </c>
    </row>
    <row r="6968" spans="1:7" ht="12" customHeight="1" outlineLevel="3" x14ac:dyDescent="0.2">
      <c r="A6968" s="14" t="s">
        <v>13730</v>
      </c>
      <c r="B6968" s="15" t="s">
        <v>13731</v>
      </c>
      <c r="C6968" s="16">
        <f>16.46/(1+B2)</f>
        <v>16.46</v>
      </c>
      <c r="D6968" s="17" t="s">
        <v>106</v>
      </c>
      <c r="E6968" s="17" t="s">
        <v>106</v>
      </c>
      <c r="F6968" s="18"/>
      <c r="G6968" s="36" t="str">
        <f>IF(ISNUMBER(F6968),C6968*F6968,"")</f>
        <v/>
      </c>
    </row>
    <row r="6969" spans="1:7" ht="12" customHeight="1" outlineLevel="3" x14ac:dyDescent="0.2">
      <c r="A6969" s="14" t="s">
        <v>13732</v>
      </c>
      <c r="B6969" s="15" t="s">
        <v>13733</v>
      </c>
      <c r="C6969" s="16">
        <f>17.86/(1+B2)</f>
        <v>17.86</v>
      </c>
      <c r="D6969" s="17" t="s">
        <v>53</v>
      </c>
      <c r="E6969" s="17" t="s">
        <v>106</v>
      </c>
      <c r="F6969" s="18"/>
      <c r="G6969" s="36" t="str">
        <f>IF(ISNUMBER(F6969),C6969*F6969,"")</f>
        <v/>
      </c>
    </row>
    <row r="6970" spans="1:7" ht="12" customHeight="1" outlineLevel="3" x14ac:dyDescent="0.2">
      <c r="A6970" s="14" t="s">
        <v>13734</v>
      </c>
      <c r="B6970" s="15" t="s">
        <v>13735</v>
      </c>
      <c r="C6970" s="16">
        <f>16.33/(1+B2)</f>
        <v>16.329999999999998</v>
      </c>
      <c r="D6970" s="17" t="s">
        <v>53</v>
      </c>
      <c r="E6970" s="17" t="s">
        <v>106</v>
      </c>
      <c r="F6970" s="18"/>
      <c r="G6970" s="36" t="str">
        <f>IF(ISNUMBER(F6970),C6970*F6970,"")</f>
        <v/>
      </c>
    </row>
    <row r="6971" spans="1:7" ht="12" customHeight="1" outlineLevel="3" x14ac:dyDescent="0.2">
      <c r="A6971" s="14" t="s">
        <v>13736</v>
      </c>
      <c r="B6971" s="15" t="s">
        <v>13737</v>
      </c>
      <c r="C6971" s="16">
        <f>17.86/(1+B2)</f>
        <v>17.86</v>
      </c>
      <c r="D6971" s="17" t="s">
        <v>106</v>
      </c>
      <c r="E6971" s="17" t="s">
        <v>106</v>
      </c>
      <c r="F6971" s="18"/>
      <c r="G6971" s="36" t="str">
        <f>IF(ISNUMBER(F6971),C6971*F6971,"")</f>
        <v/>
      </c>
    </row>
    <row r="6972" spans="1:7" ht="12" customHeight="1" outlineLevel="3" x14ac:dyDescent="0.2">
      <c r="A6972" s="14" t="s">
        <v>13738</v>
      </c>
      <c r="B6972" s="15" t="s">
        <v>13739</v>
      </c>
      <c r="C6972" s="16">
        <f>15.9/(1+B2)</f>
        <v>15.9</v>
      </c>
      <c r="D6972" s="17" t="s">
        <v>106</v>
      </c>
      <c r="E6972" s="17" t="s">
        <v>106</v>
      </c>
      <c r="F6972" s="18"/>
      <c r="G6972" s="36" t="str">
        <f>IF(ISNUMBER(F6972),C6972*F6972,"")</f>
        <v/>
      </c>
    </row>
    <row r="6973" spans="1:7" ht="12" customHeight="1" outlineLevel="3" x14ac:dyDescent="0.2">
      <c r="A6973" s="14" t="s">
        <v>13740</v>
      </c>
      <c r="B6973" s="15" t="s">
        <v>13741</v>
      </c>
      <c r="C6973" s="16">
        <f>14.35/(1+B2)</f>
        <v>14.35</v>
      </c>
      <c r="D6973" s="17" t="s">
        <v>106</v>
      </c>
      <c r="E6973" s="17"/>
      <c r="F6973" s="18"/>
      <c r="G6973" s="36" t="str">
        <f>IF(ISNUMBER(F6973),C6973*F6973,"")</f>
        <v/>
      </c>
    </row>
    <row r="6974" spans="1:7" ht="12" customHeight="1" outlineLevel="3" x14ac:dyDescent="0.2">
      <c r="A6974" s="14" t="s">
        <v>13742</v>
      </c>
      <c r="B6974" s="15" t="s">
        <v>13743</v>
      </c>
      <c r="C6974" s="16">
        <f>15.89/(1+B2)</f>
        <v>15.89</v>
      </c>
      <c r="D6974" s="17" t="s">
        <v>106</v>
      </c>
      <c r="E6974" s="17" t="s">
        <v>106</v>
      </c>
      <c r="F6974" s="18"/>
      <c r="G6974" s="36" t="str">
        <f>IF(ISNUMBER(F6974),C6974*F6974,"")</f>
        <v/>
      </c>
    </row>
    <row r="6975" spans="1:7" ht="12" customHeight="1" outlineLevel="3" x14ac:dyDescent="0.2">
      <c r="A6975" s="14" t="s">
        <v>13744</v>
      </c>
      <c r="B6975" s="15" t="s">
        <v>13745</v>
      </c>
      <c r="C6975" s="16">
        <f>15.89/(1+B2)</f>
        <v>15.89</v>
      </c>
      <c r="D6975" s="17" t="s">
        <v>106</v>
      </c>
      <c r="E6975" s="17"/>
      <c r="F6975" s="18"/>
      <c r="G6975" s="36" t="str">
        <f>IF(ISNUMBER(F6975),C6975*F6975,"")</f>
        <v/>
      </c>
    </row>
    <row r="6976" spans="1:7" ht="12" customHeight="1" outlineLevel="3" x14ac:dyDescent="0.2">
      <c r="A6976" s="14" t="s">
        <v>13746</v>
      </c>
      <c r="B6976" s="15" t="s">
        <v>13747</v>
      </c>
      <c r="C6976" s="16">
        <f>16.72/(1+B2)</f>
        <v>16.72</v>
      </c>
      <c r="D6976" s="17" t="s">
        <v>53</v>
      </c>
      <c r="E6976" s="17"/>
      <c r="F6976" s="18"/>
      <c r="G6976" s="36" t="str">
        <f>IF(ISNUMBER(F6976),C6976*F6976,"")</f>
        <v/>
      </c>
    </row>
    <row r="6977" spans="1:7" ht="12" customHeight="1" outlineLevel="3" x14ac:dyDescent="0.2">
      <c r="A6977" s="14" t="s">
        <v>13748</v>
      </c>
      <c r="B6977" s="15" t="s">
        <v>13749</v>
      </c>
      <c r="C6977" s="16">
        <f>28.31/(1+B2)</f>
        <v>28.31</v>
      </c>
      <c r="D6977" s="17" t="s">
        <v>106</v>
      </c>
      <c r="E6977" s="17" t="s">
        <v>53</v>
      </c>
      <c r="F6977" s="18"/>
      <c r="G6977" s="36" t="str">
        <f>IF(ISNUMBER(F6977),C6977*F6977,"")</f>
        <v/>
      </c>
    </row>
    <row r="6978" spans="1:7" ht="12" customHeight="1" outlineLevel="3" x14ac:dyDescent="0.2">
      <c r="A6978" s="14" t="s">
        <v>13750</v>
      </c>
      <c r="B6978" s="15" t="s">
        <v>13751</v>
      </c>
      <c r="C6978" s="16">
        <f>14.64/(1+B2)</f>
        <v>14.64</v>
      </c>
      <c r="D6978" s="17" t="s">
        <v>106</v>
      </c>
      <c r="E6978" s="17" t="s">
        <v>106</v>
      </c>
      <c r="F6978" s="18"/>
      <c r="G6978" s="36" t="str">
        <f>IF(ISNUMBER(F6978),C6978*F6978,"")</f>
        <v/>
      </c>
    </row>
    <row r="6979" spans="1:7" ht="12" customHeight="1" outlineLevel="3" x14ac:dyDescent="0.2">
      <c r="A6979" s="14" t="s">
        <v>13752</v>
      </c>
      <c r="B6979" s="15" t="s">
        <v>13753</v>
      </c>
      <c r="C6979" s="16">
        <f>28.31/(1+B2)</f>
        <v>28.31</v>
      </c>
      <c r="D6979" s="17" t="s">
        <v>53</v>
      </c>
      <c r="E6979" s="17" t="s">
        <v>106</v>
      </c>
      <c r="F6979" s="18"/>
      <c r="G6979" s="36" t="str">
        <f>IF(ISNUMBER(F6979),C6979*F6979,"")</f>
        <v/>
      </c>
    </row>
    <row r="6980" spans="1:7" ht="12" customHeight="1" outlineLevel="3" x14ac:dyDescent="0.2">
      <c r="A6980" s="14" t="s">
        <v>13754</v>
      </c>
      <c r="B6980" s="15" t="s">
        <v>13755</v>
      </c>
      <c r="C6980" s="16">
        <f>13.55/(1+B2)</f>
        <v>13.55</v>
      </c>
      <c r="D6980" s="17" t="s">
        <v>53</v>
      </c>
      <c r="E6980" s="17"/>
      <c r="F6980" s="18"/>
      <c r="G6980" s="36" t="str">
        <f>IF(ISNUMBER(F6980),C6980*F6980,"")</f>
        <v/>
      </c>
    </row>
    <row r="6981" spans="1:7" ht="12" customHeight="1" outlineLevel="3" x14ac:dyDescent="0.2">
      <c r="A6981" s="14" t="s">
        <v>13756</v>
      </c>
      <c r="B6981" s="15" t="s">
        <v>13757</v>
      </c>
      <c r="C6981" s="16">
        <f>16.7/(1+B2)</f>
        <v>16.7</v>
      </c>
      <c r="D6981" s="17" t="s">
        <v>106</v>
      </c>
      <c r="E6981" s="17"/>
      <c r="F6981" s="18"/>
      <c r="G6981" s="36" t="str">
        <f>IF(ISNUMBER(F6981),C6981*F6981,"")</f>
        <v/>
      </c>
    </row>
    <row r="6982" spans="1:7" ht="12" customHeight="1" outlineLevel="3" x14ac:dyDescent="0.2">
      <c r="A6982" s="14" t="s">
        <v>13758</v>
      </c>
      <c r="B6982" s="15" t="s">
        <v>13759</v>
      </c>
      <c r="C6982" s="16">
        <f>20.51/(1+B2)</f>
        <v>20.51</v>
      </c>
      <c r="D6982" s="17" t="s">
        <v>106</v>
      </c>
      <c r="E6982" s="17"/>
      <c r="F6982" s="18"/>
      <c r="G6982" s="36" t="str">
        <f>IF(ISNUMBER(F6982),C6982*F6982,"")</f>
        <v/>
      </c>
    </row>
    <row r="6983" spans="1:7" ht="12" customHeight="1" outlineLevel="3" x14ac:dyDescent="0.2">
      <c r="A6983" s="14" t="s">
        <v>13760</v>
      </c>
      <c r="B6983" s="15" t="s">
        <v>13761</v>
      </c>
      <c r="C6983" s="16">
        <f>22.03/(1+B2)</f>
        <v>22.03</v>
      </c>
      <c r="D6983" s="17" t="s">
        <v>14</v>
      </c>
      <c r="E6983" s="17" t="s">
        <v>106</v>
      </c>
      <c r="F6983" s="18"/>
      <c r="G6983" s="36" t="str">
        <f>IF(ISNUMBER(F6983),C6983*F6983,"")</f>
        <v/>
      </c>
    </row>
    <row r="6984" spans="1:7" ht="12" customHeight="1" outlineLevel="3" x14ac:dyDescent="0.2">
      <c r="A6984" s="14" t="s">
        <v>13762</v>
      </c>
      <c r="B6984" s="15" t="s">
        <v>13763</v>
      </c>
      <c r="C6984" s="16">
        <f>20/(1+B2)</f>
        <v>20</v>
      </c>
      <c r="D6984" s="17" t="s">
        <v>106</v>
      </c>
      <c r="E6984" s="17"/>
      <c r="F6984" s="18"/>
      <c r="G6984" s="36" t="str">
        <f>IF(ISNUMBER(F6984),C6984*F6984,"")</f>
        <v/>
      </c>
    </row>
    <row r="6985" spans="1:7" ht="12" customHeight="1" outlineLevel="3" x14ac:dyDescent="0.2">
      <c r="A6985" s="14" t="s">
        <v>13764</v>
      </c>
      <c r="B6985" s="15" t="s">
        <v>13765</v>
      </c>
      <c r="C6985" s="16">
        <f>20/(1+B2)</f>
        <v>20</v>
      </c>
      <c r="D6985" s="17" t="s">
        <v>106</v>
      </c>
      <c r="E6985" s="17"/>
      <c r="F6985" s="18"/>
      <c r="G6985" s="36" t="str">
        <f>IF(ISNUMBER(F6985),C6985*F6985,"")</f>
        <v/>
      </c>
    </row>
    <row r="6986" spans="1:7" ht="12" customHeight="1" outlineLevel="3" x14ac:dyDescent="0.2">
      <c r="A6986" s="14" t="s">
        <v>13766</v>
      </c>
      <c r="B6986" s="15" t="s">
        <v>13767</v>
      </c>
      <c r="C6986" s="16">
        <f>16.56/(1+B2)</f>
        <v>16.559999999999999</v>
      </c>
      <c r="D6986" s="17" t="s">
        <v>11</v>
      </c>
      <c r="E6986" s="17"/>
      <c r="F6986" s="18"/>
      <c r="G6986" s="36" t="str">
        <f>IF(ISNUMBER(F6986),C6986*F6986,"")</f>
        <v/>
      </c>
    </row>
    <row r="6987" spans="1:7" ht="12" customHeight="1" outlineLevel="3" x14ac:dyDescent="0.2">
      <c r="A6987" s="14" t="s">
        <v>13768</v>
      </c>
      <c r="B6987" s="15" t="s">
        <v>13769</v>
      </c>
      <c r="C6987" s="16">
        <f>23.62/(1+B2)</f>
        <v>23.62</v>
      </c>
      <c r="D6987" s="17" t="s">
        <v>53</v>
      </c>
      <c r="E6987" s="17"/>
      <c r="F6987" s="18"/>
      <c r="G6987" s="36" t="str">
        <f>IF(ISNUMBER(F6987),C6987*F6987,"")</f>
        <v/>
      </c>
    </row>
    <row r="6988" spans="1:7" ht="12" customHeight="1" outlineLevel="3" x14ac:dyDescent="0.2">
      <c r="A6988" s="14" t="s">
        <v>13770</v>
      </c>
      <c r="B6988" s="15" t="s">
        <v>13771</v>
      </c>
      <c r="C6988" s="16">
        <f>24.28/(1+B2)</f>
        <v>24.28</v>
      </c>
      <c r="D6988" s="17" t="s">
        <v>11</v>
      </c>
      <c r="E6988" s="17"/>
      <c r="F6988" s="18"/>
      <c r="G6988" s="36" t="str">
        <f>IF(ISNUMBER(F6988),C6988*F6988,"")</f>
        <v/>
      </c>
    </row>
    <row r="6989" spans="1:7" ht="12" customHeight="1" outlineLevel="3" x14ac:dyDescent="0.2">
      <c r="A6989" s="14" t="s">
        <v>13772</v>
      </c>
      <c r="B6989" s="15" t="s">
        <v>13773</v>
      </c>
      <c r="C6989" s="16">
        <f>17.03/(1+B2)</f>
        <v>17.03</v>
      </c>
      <c r="D6989" s="17" t="s">
        <v>14</v>
      </c>
      <c r="E6989" s="17"/>
      <c r="F6989" s="18"/>
      <c r="G6989" s="36" t="str">
        <f>IF(ISNUMBER(F6989),C6989*F6989,"")</f>
        <v/>
      </c>
    </row>
    <row r="6990" spans="1:7" s="1" customFormat="1" ht="12.95" customHeight="1" outlineLevel="2" x14ac:dyDescent="0.2">
      <c r="A6990" s="20"/>
      <c r="B6990" s="21" t="s">
        <v>13774</v>
      </c>
      <c r="C6990" s="22"/>
      <c r="D6990" s="22"/>
      <c r="E6990" s="22"/>
      <c r="F6990" s="22"/>
      <c r="G6990" s="37"/>
    </row>
    <row r="6991" spans="1:7" ht="12" customHeight="1" outlineLevel="3" x14ac:dyDescent="0.2">
      <c r="A6991" s="14" t="s">
        <v>13775</v>
      </c>
      <c r="B6991" s="15" t="s">
        <v>13776</v>
      </c>
      <c r="C6991" s="16">
        <f>44.7/(1+B2)</f>
        <v>44.7</v>
      </c>
      <c r="D6991" s="17" t="s">
        <v>11</v>
      </c>
      <c r="E6991" s="17"/>
      <c r="F6991" s="18"/>
      <c r="G6991" s="36" t="str">
        <f>IF(ISNUMBER(F6991),C6991*F6991,"")</f>
        <v/>
      </c>
    </row>
    <row r="6992" spans="1:7" ht="12" customHeight="1" outlineLevel="3" x14ac:dyDescent="0.2">
      <c r="A6992" s="14" t="s">
        <v>13777</v>
      </c>
      <c r="B6992" s="15" t="s">
        <v>13778</v>
      </c>
      <c r="C6992" s="16">
        <f>54.6/(1+B2)</f>
        <v>54.6</v>
      </c>
      <c r="D6992" s="17" t="s">
        <v>53</v>
      </c>
      <c r="E6992" s="17" t="s">
        <v>106</v>
      </c>
      <c r="F6992" s="18"/>
      <c r="G6992" s="36" t="str">
        <f>IF(ISNUMBER(F6992),C6992*F6992,"")</f>
        <v/>
      </c>
    </row>
    <row r="6993" spans="1:7" ht="12" customHeight="1" outlineLevel="3" x14ac:dyDescent="0.2">
      <c r="A6993" s="14" t="s">
        <v>13779</v>
      </c>
      <c r="B6993" s="15" t="s">
        <v>13780</v>
      </c>
      <c r="C6993" s="16">
        <f>31.01/(1+B2)</f>
        <v>31.01</v>
      </c>
      <c r="D6993" s="17" t="s">
        <v>11</v>
      </c>
      <c r="E6993" s="17"/>
      <c r="F6993" s="18"/>
      <c r="G6993" s="36" t="str">
        <f>IF(ISNUMBER(F6993),C6993*F6993,"")</f>
        <v/>
      </c>
    </row>
    <row r="6994" spans="1:7" ht="12" customHeight="1" outlineLevel="3" x14ac:dyDescent="0.2">
      <c r="A6994" s="14" t="s">
        <v>13781</v>
      </c>
      <c r="B6994" s="15" t="s">
        <v>13782</v>
      </c>
      <c r="C6994" s="16">
        <f>179.95/(1+B2)</f>
        <v>179.95</v>
      </c>
      <c r="D6994" s="17" t="s">
        <v>14</v>
      </c>
      <c r="E6994" s="17"/>
      <c r="F6994" s="18"/>
      <c r="G6994" s="36" t="str">
        <f>IF(ISNUMBER(F6994),C6994*F6994,"")</f>
        <v/>
      </c>
    </row>
    <row r="6995" spans="1:7" ht="12" customHeight="1" outlineLevel="3" x14ac:dyDescent="0.2">
      <c r="A6995" s="14" t="s">
        <v>13783</v>
      </c>
      <c r="B6995" s="15" t="s">
        <v>13784</v>
      </c>
      <c r="C6995" s="16">
        <f>75.39/(1+B2)</f>
        <v>75.39</v>
      </c>
      <c r="D6995" s="17" t="s">
        <v>11</v>
      </c>
      <c r="E6995" s="17"/>
      <c r="F6995" s="18"/>
      <c r="G6995" s="36" t="str">
        <f>IF(ISNUMBER(F6995),C6995*F6995,"")</f>
        <v/>
      </c>
    </row>
    <row r="6996" spans="1:7" ht="12" customHeight="1" outlineLevel="3" x14ac:dyDescent="0.2">
      <c r="A6996" s="14" t="s">
        <v>13785</v>
      </c>
      <c r="B6996" s="15" t="s">
        <v>13786</v>
      </c>
      <c r="C6996" s="16">
        <f>76.03/(1+B2)</f>
        <v>76.03</v>
      </c>
      <c r="D6996" s="17" t="s">
        <v>11</v>
      </c>
      <c r="E6996" s="17"/>
      <c r="F6996" s="18"/>
      <c r="G6996" s="36" t="str">
        <f>IF(ISNUMBER(F6996),C6996*F6996,"")</f>
        <v/>
      </c>
    </row>
    <row r="6997" spans="1:7" ht="12" customHeight="1" outlineLevel="3" x14ac:dyDescent="0.2">
      <c r="A6997" s="14" t="s">
        <v>13787</v>
      </c>
      <c r="B6997" s="15" t="s">
        <v>13788</v>
      </c>
      <c r="C6997" s="16">
        <f>79.8/(1+B2)</f>
        <v>79.8</v>
      </c>
      <c r="D6997" s="17" t="s">
        <v>11</v>
      </c>
      <c r="E6997" s="17" t="s">
        <v>11</v>
      </c>
      <c r="F6997" s="18"/>
      <c r="G6997" s="36" t="str">
        <f>IF(ISNUMBER(F6997),C6997*F6997,"")</f>
        <v/>
      </c>
    </row>
    <row r="6998" spans="1:7" ht="12" customHeight="1" outlineLevel="3" x14ac:dyDescent="0.2">
      <c r="A6998" s="14" t="s">
        <v>13789</v>
      </c>
      <c r="B6998" s="15" t="s">
        <v>13790</v>
      </c>
      <c r="C6998" s="16">
        <f>88/(1+B2)</f>
        <v>88</v>
      </c>
      <c r="D6998" s="17" t="s">
        <v>11</v>
      </c>
      <c r="E6998" s="17"/>
      <c r="F6998" s="18"/>
      <c r="G6998" s="36" t="str">
        <f>IF(ISNUMBER(F6998),C6998*F6998,"")</f>
        <v/>
      </c>
    </row>
    <row r="6999" spans="1:7" ht="12" customHeight="1" outlineLevel="3" x14ac:dyDescent="0.2">
      <c r="A6999" s="14" t="s">
        <v>13791</v>
      </c>
      <c r="B6999" s="15" t="s">
        <v>13792</v>
      </c>
      <c r="C6999" s="16">
        <f>69.32/(1+B2)</f>
        <v>69.319999999999993</v>
      </c>
      <c r="D6999" s="17" t="s">
        <v>11</v>
      </c>
      <c r="E6999" s="17" t="s">
        <v>11</v>
      </c>
      <c r="F6999" s="18"/>
      <c r="G6999" s="36" t="str">
        <f>IF(ISNUMBER(F6999),C6999*F6999,"")</f>
        <v/>
      </c>
    </row>
    <row r="7000" spans="1:7" ht="12" customHeight="1" outlineLevel="3" x14ac:dyDescent="0.2">
      <c r="A7000" s="14" t="s">
        <v>13793</v>
      </c>
      <c r="B7000" s="15" t="s">
        <v>13794</v>
      </c>
      <c r="C7000" s="16">
        <f>20/(1+B2)</f>
        <v>20</v>
      </c>
      <c r="D7000" s="17" t="s">
        <v>11</v>
      </c>
      <c r="E7000" s="17"/>
      <c r="F7000" s="18"/>
      <c r="G7000" s="36" t="str">
        <f>IF(ISNUMBER(F7000),C7000*F7000,"")</f>
        <v/>
      </c>
    </row>
    <row r="7001" spans="1:7" ht="12" customHeight="1" outlineLevel="3" x14ac:dyDescent="0.2">
      <c r="A7001" s="14" t="s">
        <v>13795</v>
      </c>
      <c r="B7001" s="15" t="s">
        <v>13796</v>
      </c>
      <c r="C7001" s="16">
        <f>347.76/(1+B2)</f>
        <v>347.76</v>
      </c>
      <c r="D7001" s="17" t="s">
        <v>11</v>
      </c>
      <c r="E7001" s="17"/>
      <c r="F7001" s="18"/>
      <c r="G7001" s="36" t="str">
        <f>IF(ISNUMBER(F7001),C7001*F7001,"")</f>
        <v/>
      </c>
    </row>
    <row r="7002" spans="1:7" ht="12" customHeight="1" outlineLevel="3" x14ac:dyDescent="0.2">
      <c r="A7002" s="14" t="s">
        <v>13797</v>
      </c>
      <c r="B7002" s="15" t="s">
        <v>13798</v>
      </c>
      <c r="C7002" s="16">
        <f>20/(1+B2)</f>
        <v>20</v>
      </c>
      <c r="D7002" s="17" t="s">
        <v>11</v>
      </c>
      <c r="E7002" s="17" t="s">
        <v>106</v>
      </c>
      <c r="F7002" s="18"/>
      <c r="G7002" s="36" t="str">
        <f>IF(ISNUMBER(F7002),C7002*F7002,"")</f>
        <v/>
      </c>
    </row>
    <row r="7003" spans="1:7" ht="12" customHeight="1" outlineLevel="3" x14ac:dyDescent="0.2">
      <c r="A7003" s="14" t="s">
        <v>13799</v>
      </c>
      <c r="B7003" s="15" t="s">
        <v>13800</v>
      </c>
      <c r="C7003" s="16">
        <f>33/(1+B2)</f>
        <v>33</v>
      </c>
      <c r="D7003" s="17" t="s">
        <v>11</v>
      </c>
      <c r="E7003" s="17"/>
      <c r="F7003" s="18"/>
      <c r="G7003" s="36" t="str">
        <f>IF(ISNUMBER(F7003),C7003*F7003,"")</f>
        <v/>
      </c>
    </row>
    <row r="7004" spans="1:7" ht="12" customHeight="1" outlineLevel="3" x14ac:dyDescent="0.2">
      <c r="A7004" s="14" t="s">
        <v>13801</v>
      </c>
      <c r="B7004" s="15" t="s">
        <v>13802</v>
      </c>
      <c r="C7004" s="16">
        <f>20/(1+B2)</f>
        <v>20</v>
      </c>
      <c r="D7004" s="17" t="s">
        <v>11</v>
      </c>
      <c r="E7004" s="17" t="s">
        <v>14</v>
      </c>
      <c r="F7004" s="18"/>
      <c r="G7004" s="36" t="str">
        <f>IF(ISNUMBER(F7004),C7004*F7004,"")</f>
        <v/>
      </c>
    </row>
    <row r="7005" spans="1:7" ht="12" customHeight="1" outlineLevel="3" x14ac:dyDescent="0.2">
      <c r="A7005" s="14" t="s">
        <v>13803</v>
      </c>
      <c r="B7005" s="15" t="s">
        <v>13804</v>
      </c>
      <c r="C7005" s="16">
        <f>20/(1+B2)</f>
        <v>20</v>
      </c>
      <c r="D7005" s="17" t="s">
        <v>11</v>
      </c>
      <c r="E7005" s="17" t="s">
        <v>106</v>
      </c>
      <c r="F7005" s="18"/>
      <c r="G7005" s="36" t="str">
        <f>IF(ISNUMBER(F7005),C7005*F7005,"")</f>
        <v/>
      </c>
    </row>
    <row r="7006" spans="1:7" ht="12" customHeight="1" outlineLevel="3" x14ac:dyDescent="0.2">
      <c r="A7006" s="14" t="s">
        <v>13805</v>
      </c>
      <c r="B7006" s="15" t="s">
        <v>13806</v>
      </c>
      <c r="C7006" s="16">
        <f>20/(1+B2)</f>
        <v>20</v>
      </c>
      <c r="D7006" s="17" t="s">
        <v>11</v>
      </c>
      <c r="E7006" s="17" t="s">
        <v>53</v>
      </c>
      <c r="F7006" s="18"/>
      <c r="G7006" s="36" t="str">
        <f>IF(ISNUMBER(F7006),C7006*F7006,"")</f>
        <v/>
      </c>
    </row>
    <row r="7007" spans="1:7" s="1" customFormat="1" ht="12.95" customHeight="1" outlineLevel="2" x14ac:dyDescent="0.2">
      <c r="A7007" s="20"/>
      <c r="B7007" s="21" t="s">
        <v>13807</v>
      </c>
      <c r="C7007" s="22"/>
      <c r="D7007" s="22"/>
      <c r="E7007" s="22"/>
      <c r="F7007" s="22"/>
      <c r="G7007" s="37"/>
    </row>
    <row r="7008" spans="1:7" ht="12" customHeight="1" outlineLevel="3" x14ac:dyDescent="0.2">
      <c r="A7008" s="14" t="s">
        <v>13808</v>
      </c>
      <c r="B7008" s="15" t="s">
        <v>13809</v>
      </c>
      <c r="C7008" s="16">
        <f>50/(1+B2)</f>
        <v>50</v>
      </c>
      <c r="D7008" s="17" t="s">
        <v>11</v>
      </c>
      <c r="E7008" s="17"/>
      <c r="F7008" s="18"/>
      <c r="G7008" s="36" t="str">
        <f>IF(ISNUMBER(F7008),C7008*F7008,"")</f>
        <v/>
      </c>
    </row>
    <row r="7009" spans="1:7" ht="12" customHeight="1" outlineLevel="3" x14ac:dyDescent="0.2">
      <c r="A7009" s="14" t="s">
        <v>13810</v>
      </c>
      <c r="B7009" s="15" t="s">
        <v>13811</v>
      </c>
      <c r="C7009" s="16">
        <f>50/(1+B2)</f>
        <v>50</v>
      </c>
      <c r="D7009" s="17" t="s">
        <v>11</v>
      </c>
      <c r="E7009" s="17"/>
      <c r="F7009" s="18"/>
      <c r="G7009" s="36" t="str">
        <f>IF(ISNUMBER(F7009),C7009*F7009,"")</f>
        <v/>
      </c>
    </row>
    <row r="7010" spans="1:7" ht="12" customHeight="1" outlineLevel="3" x14ac:dyDescent="0.2">
      <c r="A7010" s="14" t="s">
        <v>13812</v>
      </c>
      <c r="B7010" s="15" t="s">
        <v>13813</v>
      </c>
      <c r="C7010" s="16">
        <f>50/(1+B2)</f>
        <v>50</v>
      </c>
      <c r="D7010" s="17" t="s">
        <v>14</v>
      </c>
      <c r="E7010" s="17"/>
      <c r="F7010" s="18"/>
      <c r="G7010" s="36" t="str">
        <f>IF(ISNUMBER(F7010),C7010*F7010,"")</f>
        <v/>
      </c>
    </row>
    <row r="7011" spans="1:7" ht="12" customHeight="1" outlineLevel="3" x14ac:dyDescent="0.2">
      <c r="A7011" s="14" t="s">
        <v>13814</v>
      </c>
      <c r="B7011" s="15" t="s">
        <v>13815</v>
      </c>
      <c r="C7011" s="16">
        <f>100/(1+B2)</f>
        <v>100</v>
      </c>
      <c r="D7011" s="17" t="s">
        <v>11</v>
      </c>
      <c r="E7011" s="17" t="s">
        <v>106</v>
      </c>
      <c r="F7011" s="18"/>
      <c r="G7011" s="36" t="str">
        <f>IF(ISNUMBER(F7011),C7011*F7011,"")</f>
        <v/>
      </c>
    </row>
    <row r="7012" spans="1:7" ht="12" customHeight="1" outlineLevel="3" x14ac:dyDescent="0.2">
      <c r="A7012" s="14" t="s">
        <v>13816</v>
      </c>
      <c r="B7012" s="15" t="s">
        <v>13817</v>
      </c>
      <c r="C7012" s="16">
        <f>50/(1+B2)</f>
        <v>50</v>
      </c>
      <c r="D7012" s="17" t="s">
        <v>11</v>
      </c>
      <c r="E7012" s="17"/>
      <c r="F7012" s="18"/>
      <c r="G7012" s="36" t="str">
        <f>IF(ISNUMBER(F7012),C7012*F7012,"")</f>
        <v/>
      </c>
    </row>
    <row r="7013" spans="1:7" ht="12" customHeight="1" outlineLevel="3" x14ac:dyDescent="0.2">
      <c r="A7013" s="14" t="s">
        <v>13818</v>
      </c>
      <c r="B7013" s="15" t="s">
        <v>13819</v>
      </c>
      <c r="C7013" s="16">
        <f>50/(1+B2)</f>
        <v>50</v>
      </c>
      <c r="D7013" s="17" t="s">
        <v>11</v>
      </c>
      <c r="E7013" s="17"/>
      <c r="F7013" s="18"/>
      <c r="G7013" s="36" t="str">
        <f>IF(ISNUMBER(F7013),C7013*F7013,"")</f>
        <v/>
      </c>
    </row>
    <row r="7014" spans="1:7" ht="12" customHeight="1" outlineLevel="3" x14ac:dyDescent="0.2">
      <c r="A7014" s="14" t="s">
        <v>13820</v>
      </c>
      <c r="B7014" s="15" t="s">
        <v>13821</v>
      </c>
      <c r="C7014" s="16">
        <f>50/(1+B2)</f>
        <v>50</v>
      </c>
      <c r="D7014" s="17" t="s">
        <v>106</v>
      </c>
      <c r="E7014" s="17"/>
      <c r="F7014" s="18"/>
      <c r="G7014" s="36" t="str">
        <f>IF(ISNUMBER(F7014),C7014*F7014,"")</f>
        <v/>
      </c>
    </row>
    <row r="7015" spans="1:7" ht="12" customHeight="1" outlineLevel="3" x14ac:dyDescent="0.2">
      <c r="A7015" s="14" t="s">
        <v>13822</v>
      </c>
      <c r="B7015" s="15" t="s">
        <v>13823</v>
      </c>
      <c r="C7015" s="16">
        <f>50/(1+B2)</f>
        <v>50</v>
      </c>
      <c r="D7015" s="17" t="s">
        <v>11</v>
      </c>
      <c r="E7015" s="17"/>
      <c r="F7015" s="18"/>
      <c r="G7015" s="36" t="str">
        <f>IF(ISNUMBER(F7015),C7015*F7015,"")</f>
        <v/>
      </c>
    </row>
    <row r="7016" spans="1:7" ht="12" customHeight="1" outlineLevel="3" x14ac:dyDescent="0.2">
      <c r="A7016" s="14" t="s">
        <v>13824</v>
      </c>
      <c r="B7016" s="15" t="s">
        <v>13825</v>
      </c>
      <c r="C7016" s="16">
        <f>50/(1+B2)</f>
        <v>50</v>
      </c>
      <c r="D7016" s="17" t="s">
        <v>11</v>
      </c>
      <c r="E7016" s="17"/>
      <c r="F7016" s="18"/>
      <c r="G7016" s="36" t="str">
        <f>IF(ISNUMBER(F7016),C7016*F7016,"")</f>
        <v/>
      </c>
    </row>
    <row r="7017" spans="1:7" ht="12" customHeight="1" outlineLevel="3" x14ac:dyDescent="0.2">
      <c r="A7017" s="14" t="s">
        <v>13826</v>
      </c>
      <c r="B7017" s="15" t="s">
        <v>13827</v>
      </c>
      <c r="C7017" s="16">
        <f>50/(1+B2)</f>
        <v>50</v>
      </c>
      <c r="D7017" s="17" t="s">
        <v>11</v>
      </c>
      <c r="E7017" s="17"/>
      <c r="F7017" s="18"/>
      <c r="G7017" s="36" t="str">
        <f>IF(ISNUMBER(F7017),C7017*F7017,"")</f>
        <v/>
      </c>
    </row>
    <row r="7018" spans="1:7" ht="12" customHeight="1" outlineLevel="3" x14ac:dyDescent="0.2">
      <c r="A7018" s="14" t="s">
        <v>13828</v>
      </c>
      <c r="B7018" s="15" t="s">
        <v>13829</v>
      </c>
      <c r="C7018" s="16">
        <f>50/(1+B2)</f>
        <v>50</v>
      </c>
      <c r="D7018" s="17" t="s">
        <v>11</v>
      </c>
      <c r="E7018" s="17"/>
      <c r="F7018" s="18"/>
      <c r="G7018" s="36" t="str">
        <f>IF(ISNUMBER(F7018),C7018*F7018,"")</f>
        <v/>
      </c>
    </row>
    <row r="7019" spans="1:7" ht="12" customHeight="1" outlineLevel="3" x14ac:dyDescent="0.2">
      <c r="A7019" s="14" t="s">
        <v>13830</v>
      </c>
      <c r="B7019" s="15" t="s">
        <v>13831</v>
      </c>
      <c r="C7019" s="16">
        <f>50/(1+B2)</f>
        <v>50</v>
      </c>
      <c r="D7019" s="17" t="s">
        <v>11</v>
      </c>
      <c r="E7019" s="17"/>
      <c r="F7019" s="18"/>
      <c r="G7019" s="36" t="str">
        <f>IF(ISNUMBER(F7019),C7019*F7019,"")</f>
        <v/>
      </c>
    </row>
    <row r="7020" spans="1:7" s="1" customFormat="1" ht="12.95" customHeight="1" outlineLevel="2" x14ac:dyDescent="0.2">
      <c r="A7020" s="20"/>
      <c r="B7020" s="21" t="s">
        <v>13832</v>
      </c>
      <c r="C7020" s="22"/>
      <c r="D7020" s="22"/>
      <c r="E7020" s="22"/>
      <c r="F7020" s="22"/>
      <c r="G7020" s="37"/>
    </row>
    <row r="7021" spans="1:7" ht="12" customHeight="1" outlineLevel="3" x14ac:dyDescent="0.2">
      <c r="A7021" s="14" t="s">
        <v>13833</v>
      </c>
      <c r="B7021" s="15" t="s">
        <v>13834</v>
      </c>
      <c r="C7021" s="16">
        <f>77.85/(1+B2)</f>
        <v>77.849999999999994</v>
      </c>
      <c r="D7021" s="17" t="s">
        <v>11</v>
      </c>
      <c r="E7021" s="17"/>
      <c r="F7021" s="18"/>
      <c r="G7021" s="36" t="str">
        <f>IF(ISNUMBER(F7021),C7021*F7021,"")</f>
        <v/>
      </c>
    </row>
    <row r="7022" spans="1:7" ht="24" customHeight="1" outlineLevel="3" x14ac:dyDescent="0.2">
      <c r="A7022" s="14" t="s">
        <v>13835</v>
      </c>
      <c r="B7022" s="15" t="s">
        <v>13836</v>
      </c>
      <c r="C7022" s="16">
        <f>93.04/(1+B2)</f>
        <v>93.04</v>
      </c>
      <c r="D7022" s="17" t="s">
        <v>11</v>
      </c>
      <c r="E7022" s="17"/>
      <c r="F7022" s="18"/>
      <c r="G7022" s="36" t="str">
        <f>IF(ISNUMBER(F7022),C7022*F7022,"")</f>
        <v/>
      </c>
    </row>
    <row r="7023" spans="1:7" ht="12" customHeight="1" outlineLevel="3" x14ac:dyDescent="0.2">
      <c r="A7023" s="14" t="s">
        <v>13837</v>
      </c>
      <c r="B7023" s="15" t="s">
        <v>13838</v>
      </c>
      <c r="C7023" s="16">
        <f>68.96/(1+B2)</f>
        <v>68.959999999999994</v>
      </c>
      <c r="D7023" s="17" t="s">
        <v>11</v>
      </c>
      <c r="E7023" s="17"/>
      <c r="F7023" s="18"/>
      <c r="G7023" s="36" t="str">
        <f>IF(ISNUMBER(F7023),C7023*F7023,"")</f>
        <v/>
      </c>
    </row>
    <row r="7024" spans="1:7" ht="12" customHeight="1" outlineLevel="3" x14ac:dyDescent="0.2">
      <c r="A7024" s="14" t="s">
        <v>13839</v>
      </c>
      <c r="B7024" s="15" t="s">
        <v>13840</v>
      </c>
      <c r="C7024" s="16">
        <f>117.98/(1+B2)</f>
        <v>117.98</v>
      </c>
      <c r="D7024" s="17" t="s">
        <v>11</v>
      </c>
      <c r="E7024" s="17"/>
      <c r="F7024" s="18"/>
      <c r="G7024" s="36" t="str">
        <f>IF(ISNUMBER(F7024),C7024*F7024,"")</f>
        <v/>
      </c>
    </row>
    <row r="7025" spans="1:7" ht="12" customHeight="1" outlineLevel="3" x14ac:dyDescent="0.2">
      <c r="A7025" s="14" t="s">
        <v>13841</v>
      </c>
      <c r="B7025" s="15" t="s">
        <v>13842</v>
      </c>
      <c r="C7025" s="16">
        <f>69.19/(1+B2)</f>
        <v>69.19</v>
      </c>
      <c r="D7025" s="17" t="s">
        <v>106</v>
      </c>
      <c r="E7025" s="17"/>
      <c r="F7025" s="18"/>
      <c r="G7025" s="36" t="str">
        <f>IF(ISNUMBER(F7025),C7025*F7025,"")</f>
        <v/>
      </c>
    </row>
    <row r="7026" spans="1:7" ht="24" customHeight="1" outlineLevel="3" x14ac:dyDescent="0.2">
      <c r="A7026" s="14" t="s">
        <v>13843</v>
      </c>
      <c r="B7026" s="15" t="s">
        <v>13844</v>
      </c>
      <c r="C7026" s="16">
        <f>69.19/(1+B2)</f>
        <v>69.19</v>
      </c>
      <c r="D7026" s="17" t="s">
        <v>11</v>
      </c>
      <c r="E7026" s="17" t="s">
        <v>14</v>
      </c>
      <c r="F7026" s="18"/>
      <c r="G7026" s="36" t="str">
        <f>IF(ISNUMBER(F7026),C7026*F7026,"")</f>
        <v/>
      </c>
    </row>
    <row r="7027" spans="1:7" ht="24" customHeight="1" outlineLevel="3" x14ac:dyDescent="0.2">
      <c r="A7027" s="14" t="s">
        <v>13845</v>
      </c>
      <c r="B7027" s="15" t="s">
        <v>13846</v>
      </c>
      <c r="C7027" s="16">
        <f>69.19/(1+B2)</f>
        <v>69.19</v>
      </c>
      <c r="D7027" s="17" t="s">
        <v>53</v>
      </c>
      <c r="E7027" s="17"/>
      <c r="F7027" s="18"/>
      <c r="G7027" s="36" t="str">
        <f>IF(ISNUMBER(F7027),C7027*F7027,"")</f>
        <v/>
      </c>
    </row>
    <row r="7028" spans="1:7" ht="12" customHeight="1" outlineLevel="3" x14ac:dyDescent="0.2">
      <c r="A7028" s="14" t="s">
        <v>13847</v>
      </c>
      <c r="B7028" s="15" t="s">
        <v>13848</v>
      </c>
      <c r="C7028" s="16">
        <f>79.54/(1+B2)</f>
        <v>79.540000000000006</v>
      </c>
      <c r="D7028" s="17" t="s">
        <v>11</v>
      </c>
      <c r="E7028" s="17"/>
      <c r="F7028" s="18"/>
      <c r="G7028" s="36" t="str">
        <f>IF(ISNUMBER(F7028),C7028*F7028,"")</f>
        <v/>
      </c>
    </row>
    <row r="7029" spans="1:7" ht="12" customHeight="1" outlineLevel="3" x14ac:dyDescent="0.2">
      <c r="A7029" s="14" t="s">
        <v>13849</v>
      </c>
      <c r="B7029" s="15" t="s">
        <v>13850</v>
      </c>
      <c r="C7029" s="16">
        <f>79.54/(1+B2)</f>
        <v>79.540000000000006</v>
      </c>
      <c r="D7029" s="17" t="s">
        <v>11</v>
      </c>
      <c r="E7029" s="17" t="s">
        <v>11</v>
      </c>
      <c r="F7029" s="18"/>
      <c r="G7029" s="36" t="str">
        <f>IF(ISNUMBER(F7029),C7029*F7029,"")</f>
        <v/>
      </c>
    </row>
    <row r="7030" spans="1:7" ht="24" customHeight="1" outlineLevel="3" x14ac:dyDescent="0.2">
      <c r="A7030" s="14" t="s">
        <v>13851</v>
      </c>
      <c r="B7030" s="15" t="s">
        <v>13852</v>
      </c>
      <c r="C7030" s="16">
        <f>108.9/(1+B2)</f>
        <v>108.9</v>
      </c>
      <c r="D7030" s="17" t="s">
        <v>11</v>
      </c>
      <c r="E7030" s="17" t="s">
        <v>14</v>
      </c>
      <c r="F7030" s="18"/>
      <c r="G7030" s="36" t="str">
        <f>IF(ISNUMBER(F7030),C7030*F7030,"")</f>
        <v/>
      </c>
    </row>
    <row r="7031" spans="1:7" ht="12" customHeight="1" outlineLevel="3" x14ac:dyDescent="0.2">
      <c r="A7031" s="14" t="s">
        <v>13853</v>
      </c>
      <c r="B7031" s="15" t="s">
        <v>13854</v>
      </c>
      <c r="C7031" s="16">
        <f>108.9/(1+B2)</f>
        <v>108.9</v>
      </c>
      <c r="D7031" s="17" t="s">
        <v>14</v>
      </c>
      <c r="E7031" s="17" t="s">
        <v>11</v>
      </c>
      <c r="F7031" s="18"/>
      <c r="G7031" s="36" t="str">
        <f>IF(ISNUMBER(F7031),C7031*F7031,"")</f>
        <v/>
      </c>
    </row>
    <row r="7032" spans="1:7" ht="24" customHeight="1" outlineLevel="3" x14ac:dyDescent="0.2">
      <c r="A7032" s="14" t="s">
        <v>13855</v>
      </c>
      <c r="B7032" s="15" t="s">
        <v>13856</v>
      </c>
      <c r="C7032" s="16">
        <f>108.9/(1+B2)</f>
        <v>108.9</v>
      </c>
      <c r="D7032" s="17" t="s">
        <v>11</v>
      </c>
      <c r="E7032" s="17"/>
      <c r="F7032" s="18"/>
      <c r="G7032" s="36" t="str">
        <f>IF(ISNUMBER(F7032),C7032*F7032,"")</f>
        <v/>
      </c>
    </row>
    <row r="7033" spans="1:7" ht="12" customHeight="1" outlineLevel="3" x14ac:dyDescent="0.2">
      <c r="A7033" s="14" t="s">
        <v>13857</v>
      </c>
      <c r="B7033" s="15" t="s">
        <v>13858</v>
      </c>
      <c r="C7033" s="16">
        <f>129.71/(1+B2)</f>
        <v>129.71</v>
      </c>
      <c r="D7033" s="17" t="s">
        <v>11</v>
      </c>
      <c r="E7033" s="17"/>
      <c r="F7033" s="18"/>
      <c r="G7033" s="36" t="str">
        <f>IF(ISNUMBER(F7033),C7033*F7033,"")</f>
        <v/>
      </c>
    </row>
    <row r="7034" spans="1:7" ht="24" customHeight="1" outlineLevel="3" x14ac:dyDescent="0.2">
      <c r="A7034" s="14" t="s">
        <v>13859</v>
      </c>
      <c r="B7034" s="15" t="s">
        <v>13860</v>
      </c>
      <c r="C7034" s="16">
        <f>129.71/(1+B2)</f>
        <v>129.71</v>
      </c>
      <c r="D7034" s="17" t="s">
        <v>11</v>
      </c>
      <c r="E7034" s="17" t="s">
        <v>11</v>
      </c>
      <c r="F7034" s="18"/>
      <c r="G7034" s="36" t="str">
        <f>IF(ISNUMBER(F7034),C7034*F7034,"")</f>
        <v/>
      </c>
    </row>
    <row r="7035" spans="1:7" ht="24" customHeight="1" outlineLevel="3" x14ac:dyDescent="0.2">
      <c r="A7035" s="14" t="s">
        <v>13861</v>
      </c>
      <c r="B7035" s="15" t="s">
        <v>13862</v>
      </c>
      <c r="C7035" s="16">
        <f>166.16/(1+B2)</f>
        <v>166.16</v>
      </c>
      <c r="D7035" s="17" t="s">
        <v>14</v>
      </c>
      <c r="E7035" s="17"/>
      <c r="F7035" s="18"/>
      <c r="G7035" s="36" t="str">
        <f>IF(ISNUMBER(F7035),C7035*F7035,"")</f>
        <v/>
      </c>
    </row>
    <row r="7036" spans="1:7" ht="24" customHeight="1" outlineLevel="3" x14ac:dyDescent="0.2">
      <c r="A7036" s="14" t="s">
        <v>13863</v>
      </c>
      <c r="B7036" s="15" t="s">
        <v>13864</v>
      </c>
      <c r="C7036" s="16">
        <f>60.19/(1+B2)</f>
        <v>60.19</v>
      </c>
      <c r="D7036" s="17" t="s">
        <v>14</v>
      </c>
      <c r="E7036" s="17"/>
      <c r="F7036" s="18"/>
      <c r="G7036" s="36" t="str">
        <f>IF(ISNUMBER(F7036),C7036*F7036,"")</f>
        <v/>
      </c>
    </row>
    <row r="7037" spans="1:7" ht="24" customHeight="1" outlineLevel="3" x14ac:dyDescent="0.2">
      <c r="A7037" s="14" t="s">
        <v>13865</v>
      </c>
      <c r="B7037" s="15" t="s">
        <v>13866</v>
      </c>
      <c r="C7037" s="16">
        <f>63.23/(1+B2)</f>
        <v>63.23</v>
      </c>
      <c r="D7037" s="17" t="s">
        <v>11</v>
      </c>
      <c r="E7037" s="17"/>
      <c r="F7037" s="18"/>
      <c r="G7037" s="36" t="str">
        <f>IF(ISNUMBER(F7037),C7037*F7037,"")</f>
        <v/>
      </c>
    </row>
    <row r="7038" spans="1:7" ht="24" customHeight="1" outlineLevel="3" x14ac:dyDescent="0.2">
      <c r="A7038" s="14" t="s">
        <v>13867</v>
      </c>
      <c r="B7038" s="15" t="s">
        <v>13868</v>
      </c>
      <c r="C7038" s="16">
        <f>41.16/(1+B2)</f>
        <v>41.16</v>
      </c>
      <c r="D7038" s="17" t="s">
        <v>11</v>
      </c>
      <c r="E7038" s="17"/>
      <c r="F7038" s="18"/>
      <c r="G7038" s="36" t="str">
        <f>IF(ISNUMBER(F7038),C7038*F7038,"")</f>
        <v/>
      </c>
    </row>
    <row r="7039" spans="1:7" ht="24" customHeight="1" outlineLevel="3" x14ac:dyDescent="0.2">
      <c r="A7039" s="14" t="s">
        <v>13869</v>
      </c>
      <c r="B7039" s="15" t="s">
        <v>13870</v>
      </c>
      <c r="C7039" s="16">
        <f>64.13/(1+B2)</f>
        <v>64.13</v>
      </c>
      <c r="D7039" s="17" t="s">
        <v>11</v>
      </c>
      <c r="E7039" s="17" t="s">
        <v>11</v>
      </c>
      <c r="F7039" s="18"/>
      <c r="G7039" s="36" t="str">
        <f>IF(ISNUMBER(F7039),C7039*F7039,"")</f>
        <v/>
      </c>
    </row>
    <row r="7040" spans="1:7" ht="24" customHeight="1" outlineLevel="3" x14ac:dyDescent="0.2">
      <c r="A7040" s="14" t="s">
        <v>13871</v>
      </c>
      <c r="B7040" s="15" t="s">
        <v>13872</v>
      </c>
      <c r="C7040" s="16">
        <f>50.85/(1+B2)</f>
        <v>50.85</v>
      </c>
      <c r="D7040" s="17" t="s">
        <v>11</v>
      </c>
      <c r="E7040" s="17"/>
      <c r="F7040" s="18"/>
      <c r="G7040" s="36" t="str">
        <f>IF(ISNUMBER(F7040),C7040*F7040,"")</f>
        <v/>
      </c>
    </row>
    <row r="7041" spans="1:7" ht="24" customHeight="1" outlineLevel="3" x14ac:dyDescent="0.2">
      <c r="A7041" s="14" t="s">
        <v>13873</v>
      </c>
      <c r="B7041" s="15" t="s">
        <v>13874</v>
      </c>
      <c r="C7041" s="16">
        <f>65.59/(1+B2)</f>
        <v>65.59</v>
      </c>
      <c r="D7041" s="17" t="s">
        <v>14</v>
      </c>
      <c r="E7041" s="17"/>
      <c r="F7041" s="18"/>
      <c r="G7041" s="36" t="str">
        <f>IF(ISNUMBER(F7041),C7041*F7041,"")</f>
        <v/>
      </c>
    </row>
    <row r="7042" spans="1:7" ht="24" customHeight="1" outlineLevel="3" x14ac:dyDescent="0.2">
      <c r="A7042" s="14" t="s">
        <v>13875</v>
      </c>
      <c r="B7042" s="15" t="s">
        <v>13876</v>
      </c>
      <c r="C7042" s="16">
        <f>62.89/(1+B2)</f>
        <v>62.89</v>
      </c>
      <c r="D7042" s="17" t="s">
        <v>11</v>
      </c>
      <c r="E7042" s="17"/>
      <c r="F7042" s="18"/>
      <c r="G7042" s="36" t="str">
        <f>IF(ISNUMBER(F7042),C7042*F7042,"")</f>
        <v/>
      </c>
    </row>
    <row r="7043" spans="1:7" ht="12" customHeight="1" outlineLevel="3" x14ac:dyDescent="0.2">
      <c r="A7043" s="14" t="s">
        <v>13877</v>
      </c>
      <c r="B7043" s="15" t="s">
        <v>13878</v>
      </c>
      <c r="C7043" s="16">
        <f>56.28/(1+B2)</f>
        <v>56.28</v>
      </c>
      <c r="D7043" s="17" t="s">
        <v>11</v>
      </c>
      <c r="E7043" s="17"/>
      <c r="F7043" s="18"/>
      <c r="G7043" s="36" t="str">
        <f>IF(ISNUMBER(F7043),C7043*F7043,"")</f>
        <v/>
      </c>
    </row>
    <row r="7044" spans="1:7" ht="24" customHeight="1" outlineLevel="3" x14ac:dyDescent="0.2">
      <c r="A7044" s="14" t="s">
        <v>13879</v>
      </c>
      <c r="B7044" s="15" t="s">
        <v>13880</v>
      </c>
      <c r="C7044" s="16">
        <f>68.4/(1+B2)</f>
        <v>68.400000000000006</v>
      </c>
      <c r="D7044" s="17" t="s">
        <v>11</v>
      </c>
      <c r="E7044" s="17"/>
      <c r="F7044" s="18"/>
      <c r="G7044" s="36" t="str">
        <f>IF(ISNUMBER(F7044),C7044*F7044,"")</f>
        <v/>
      </c>
    </row>
    <row r="7045" spans="1:7" ht="24" customHeight="1" outlineLevel="3" x14ac:dyDescent="0.2">
      <c r="A7045" s="14" t="s">
        <v>13881</v>
      </c>
      <c r="B7045" s="15" t="s">
        <v>13882</v>
      </c>
      <c r="C7045" s="16">
        <f>68.4/(1+B2)</f>
        <v>68.400000000000006</v>
      </c>
      <c r="D7045" s="17" t="s">
        <v>53</v>
      </c>
      <c r="E7045" s="17"/>
      <c r="F7045" s="18"/>
      <c r="G7045" s="36" t="str">
        <f>IF(ISNUMBER(F7045),C7045*F7045,"")</f>
        <v/>
      </c>
    </row>
    <row r="7046" spans="1:7" ht="24" customHeight="1" outlineLevel="3" x14ac:dyDescent="0.2">
      <c r="A7046" s="14" t="s">
        <v>13883</v>
      </c>
      <c r="B7046" s="15" t="s">
        <v>13884</v>
      </c>
      <c r="C7046" s="16">
        <f>68.4/(1+B2)</f>
        <v>68.400000000000006</v>
      </c>
      <c r="D7046" s="17" t="s">
        <v>53</v>
      </c>
      <c r="E7046" s="17" t="s">
        <v>106</v>
      </c>
      <c r="F7046" s="18"/>
      <c r="G7046" s="36" t="str">
        <f>IF(ISNUMBER(F7046),C7046*F7046,"")</f>
        <v/>
      </c>
    </row>
    <row r="7047" spans="1:7" ht="24" customHeight="1" outlineLevel="3" x14ac:dyDescent="0.2">
      <c r="A7047" s="14" t="s">
        <v>13885</v>
      </c>
      <c r="B7047" s="15" t="s">
        <v>13886</v>
      </c>
      <c r="C7047" s="16">
        <f>68.4/(1+B2)</f>
        <v>68.400000000000006</v>
      </c>
      <c r="D7047" s="17" t="s">
        <v>11</v>
      </c>
      <c r="E7047" s="17" t="s">
        <v>11</v>
      </c>
      <c r="F7047" s="18"/>
      <c r="G7047" s="36" t="str">
        <f>IF(ISNUMBER(F7047),C7047*F7047,"")</f>
        <v/>
      </c>
    </row>
    <row r="7048" spans="1:7" ht="24" customHeight="1" outlineLevel="3" x14ac:dyDescent="0.2">
      <c r="A7048" s="14" t="s">
        <v>13887</v>
      </c>
      <c r="B7048" s="15" t="s">
        <v>13888</v>
      </c>
      <c r="C7048" s="16">
        <f>64.13/(1+B2)</f>
        <v>64.13</v>
      </c>
      <c r="D7048" s="17" t="s">
        <v>11</v>
      </c>
      <c r="E7048" s="17"/>
      <c r="F7048" s="18"/>
      <c r="G7048" s="36" t="str">
        <f>IF(ISNUMBER(F7048),C7048*F7048,"")</f>
        <v/>
      </c>
    </row>
    <row r="7049" spans="1:7" ht="24" customHeight="1" outlineLevel="3" x14ac:dyDescent="0.2">
      <c r="A7049" s="14" t="s">
        <v>13889</v>
      </c>
      <c r="B7049" s="15" t="s">
        <v>13890</v>
      </c>
      <c r="C7049" s="16">
        <f>64.13/(1+B2)</f>
        <v>64.13</v>
      </c>
      <c r="D7049" s="17" t="s">
        <v>53</v>
      </c>
      <c r="E7049" s="17" t="s">
        <v>11</v>
      </c>
      <c r="F7049" s="18"/>
      <c r="G7049" s="36" t="str">
        <f>IF(ISNUMBER(F7049),C7049*F7049,"")</f>
        <v/>
      </c>
    </row>
    <row r="7050" spans="1:7" ht="24" customHeight="1" outlineLevel="3" x14ac:dyDescent="0.2">
      <c r="A7050" s="14" t="s">
        <v>13891</v>
      </c>
      <c r="B7050" s="15" t="s">
        <v>13892</v>
      </c>
      <c r="C7050" s="16">
        <f>64.13/(1+B2)</f>
        <v>64.13</v>
      </c>
      <c r="D7050" s="17" t="s">
        <v>11</v>
      </c>
      <c r="E7050" s="17" t="s">
        <v>11</v>
      </c>
      <c r="F7050" s="18"/>
      <c r="G7050" s="36" t="str">
        <f>IF(ISNUMBER(F7050),C7050*F7050,"")</f>
        <v/>
      </c>
    </row>
    <row r="7051" spans="1:7" ht="12" customHeight="1" outlineLevel="3" x14ac:dyDescent="0.2">
      <c r="A7051" s="14" t="s">
        <v>13893</v>
      </c>
      <c r="B7051" s="15" t="s">
        <v>13894</v>
      </c>
      <c r="C7051" s="16">
        <f>64.13/(1+B2)</f>
        <v>64.13</v>
      </c>
      <c r="D7051" s="17" t="s">
        <v>14</v>
      </c>
      <c r="E7051" s="17" t="s">
        <v>53</v>
      </c>
      <c r="F7051" s="18"/>
      <c r="G7051" s="36" t="str">
        <f>IF(ISNUMBER(F7051),C7051*F7051,"")</f>
        <v/>
      </c>
    </row>
    <row r="7052" spans="1:7" ht="24" customHeight="1" outlineLevel="3" x14ac:dyDescent="0.2">
      <c r="A7052" s="14" t="s">
        <v>13895</v>
      </c>
      <c r="B7052" s="15" t="s">
        <v>13896</v>
      </c>
      <c r="C7052" s="16">
        <f>65.59/(1+B2)</f>
        <v>65.59</v>
      </c>
      <c r="D7052" s="17" t="s">
        <v>11</v>
      </c>
      <c r="E7052" s="17"/>
      <c r="F7052" s="18"/>
      <c r="G7052" s="36" t="str">
        <f>IF(ISNUMBER(F7052),C7052*F7052,"")</f>
        <v/>
      </c>
    </row>
    <row r="7053" spans="1:7" ht="24" customHeight="1" outlineLevel="3" x14ac:dyDescent="0.2">
      <c r="A7053" s="14" t="s">
        <v>13897</v>
      </c>
      <c r="B7053" s="15" t="s">
        <v>13898</v>
      </c>
      <c r="C7053" s="16">
        <f>65.59/(1+B2)</f>
        <v>65.59</v>
      </c>
      <c r="D7053" s="17" t="s">
        <v>11</v>
      </c>
      <c r="E7053" s="17" t="s">
        <v>53</v>
      </c>
      <c r="F7053" s="18"/>
      <c r="G7053" s="36" t="str">
        <f>IF(ISNUMBER(F7053),C7053*F7053,"")</f>
        <v/>
      </c>
    </row>
    <row r="7054" spans="1:7" ht="24" customHeight="1" outlineLevel="3" x14ac:dyDescent="0.2">
      <c r="A7054" s="14" t="s">
        <v>13899</v>
      </c>
      <c r="B7054" s="15" t="s">
        <v>13900</v>
      </c>
      <c r="C7054" s="16">
        <f>65.59/(1+B2)</f>
        <v>65.59</v>
      </c>
      <c r="D7054" s="17" t="s">
        <v>11</v>
      </c>
      <c r="E7054" s="17" t="s">
        <v>53</v>
      </c>
      <c r="F7054" s="18"/>
      <c r="G7054" s="36" t="str">
        <f>IF(ISNUMBER(F7054),C7054*F7054,"")</f>
        <v/>
      </c>
    </row>
    <row r="7055" spans="1:7" ht="24" customHeight="1" outlineLevel="3" x14ac:dyDescent="0.2">
      <c r="A7055" s="14" t="s">
        <v>13901</v>
      </c>
      <c r="B7055" s="15" t="s">
        <v>13902</v>
      </c>
      <c r="C7055" s="16">
        <f>65.59/(1+B2)</f>
        <v>65.59</v>
      </c>
      <c r="D7055" s="17" t="s">
        <v>11</v>
      </c>
      <c r="E7055" s="17" t="s">
        <v>14</v>
      </c>
      <c r="F7055" s="18"/>
      <c r="G7055" s="36" t="str">
        <f>IF(ISNUMBER(F7055),C7055*F7055,"")</f>
        <v/>
      </c>
    </row>
    <row r="7056" spans="1:7" ht="24" customHeight="1" outlineLevel="3" x14ac:dyDescent="0.2">
      <c r="A7056" s="14" t="s">
        <v>13903</v>
      </c>
      <c r="B7056" s="15" t="s">
        <v>13904</v>
      </c>
      <c r="C7056" s="16">
        <f>65.59/(1+B2)</f>
        <v>65.59</v>
      </c>
      <c r="D7056" s="17" t="s">
        <v>53</v>
      </c>
      <c r="E7056" s="17"/>
      <c r="F7056" s="18"/>
      <c r="G7056" s="36" t="str">
        <f>IF(ISNUMBER(F7056),C7056*F7056,"")</f>
        <v/>
      </c>
    </row>
    <row r="7057" spans="1:7" ht="24" customHeight="1" outlineLevel="3" x14ac:dyDescent="0.2">
      <c r="A7057" s="14" t="s">
        <v>13905</v>
      </c>
      <c r="B7057" s="15" t="s">
        <v>13906</v>
      </c>
      <c r="C7057" s="16">
        <f>68.4/(1+B2)</f>
        <v>68.400000000000006</v>
      </c>
      <c r="D7057" s="17" t="s">
        <v>53</v>
      </c>
      <c r="E7057" s="17"/>
      <c r="F7057" s="18"/>
      <c r="G7057" s="36" t="str">
        <f>IF(ISNUMBER(F7057),C7057*F7057,"")</f>
        <v/>
      </c>
    </row>
    <row r="7058" spans="1:7" ht="24" customHeight="1" outlineLevel="3" x14ac:dyDescent="0.2">
      <c r="A7058" s="14" t="s">
        <v>13907</v>
      </c>
      <c r="B7058" s="15" t="s">
        <v>13908</v>
      </c>
      <c r="C7058" s="16">
        <f>68.4/(1+B2)</f>
        <v>68.400000000000006</v>
      </c>
      <c r="D7058" s="17" t="s">
        <v>53</v>
      </c>
      <c r="E7058" s="17"/>
      <c r="F7058" s="18"/>
      <c r="G7058" s="36" t="str">
        <f>IF(ISNUMBER(F7058),C7058*F7058,"")</f>
        <v/>
      </c>
    </row>
    <row r="7059" spans="1:7" ht="24" customHeight="1" outlineLevel="3" x14ac:dyDescent="0.2">
      <c r="A7059" s="14" t="s">
        <v>13909</v>
      </c>
      <c r="B7059" s="15" t="s">
        <v>13910</v>
      </c>
      <c r="C7059" s="16">
        <f>68.4/(1+B2)</f>
        <v>68.400000000000006</v>
      </c>
      <c r="D7059" s="17" t="s">
        <v>11</v>
      </c>
      <c r="E7059" s="17"/>
      <c r="F7059" s="18"/>
      <c r="G7059" s="36" t="str">
        <f>IF(ISNUMBER(F7059),C7059*F7059,"")</f>
        <v/>
      </c>
    </row>
    <row r="7060" spans="1:7" ht="24" customHeight="1" outlineLevel="3" x14ac:dyDescent="0.2">
      <c r="A7060" s="14" t="s">
        <v>13911</v>
      </c>
      <c r="B7060" s="15" t="s">
        <v>13912</v>
      </c>
      <c r="C7060" s="16">
        <f>68.4/(1+B2)</f>
        <v>68.400000000000006</v>
      </c>
      <c r="D7060" s="17" t="s">
        <v>53</v>
      </c>
      <c r="E7060" s="17"/>
      <c r="F7060" s="18"/>
      <c r="G7060" s="36" t="str">
        <f>IF(ISNUMBER(F7060),C7060*F7060,"")</f>
        <v/>
      </c>
    </row>
    <row r="7061" spans="1:7" ht="24" customHeight="1" outlineLevel="3" x14ac:dyDescent="0.2">
      <c r="A7061" s="14" t="s">
        <v>13913</v>
      </c>
      <c r="B7061" s="15" t="s">
        <v>13914</v>
      </c>
      <c r="C7061" s="16">
        <f>64.13/(1+B2)</f>
        <v>64.13</v>
      </c>
      <c r="D7061" s="17" t="s">
        <v>11</v>
      </c>
      <c r="E7061" s="17" t="s">
        <v>11</v>
      </c>
      <c r="F7061" s="18"/>
      <c r="G7061" s="36" t="str">
        <f>IF(ISNUMBER(F7061),C7061*F7061,"")</f>
        <v/>
      </c>
    </row>
    <row r="7062" spans="1:7" ht="24" customHeight="1" outlineLevel="3" x14ac:dyDescent="0.2">
      <c r="A7062" s="14" t="s">
        <v>13915</v>
      </c>
      <c r="B7062" s="15" t="s">
        <v>13916</v>
      </c>
      <c r="C7062" s="16">
        <f>64.13/(1+B2)</f>
        <v>64.13</v>
      </c>
      <c r="D7062" s="17" t="s">
        <v>11</v>
      </c>
      <c r="E7062" s="17"/>
      <c r="F7062" s="18"/>
      <c r="G7062" s="36" t="str">
        <f>IF(ISNUMBER(F7062),C7062*F7062,"")</f>
        <v/>
      </c>
    </row>
    <row r="7063" spans="1:7" ht="24" customHeight="1" outlineLevel="3" x14ac:dyDescent="0.2">
      <c r="A7063" s="14" t="s">
        <v>13917</v>
      </c>
      <c r="B7063" s="15" t="s">
        <v>13918</v>
      </c>
      <c r="C7063" s="16">
        <f>64.13/(1+B2)</f>
        <v>64.13</v>
      </c>
      <c r="D7063" s="17" t="s">
        <v>53</v>
      </c>
      <c r="E7063" s="17"/>
      <c r="F7063" s="18"/>
      <c r="G7063" s="36" t="str">
        <f>IF(ISNUMBER(F7063),C7063*F7063,"")</f>
        <v/>
      </c>
    </row>
    <row r="7064" spans="1:7" ht="24" customHeight="1" outlineLevel="3" x14ac:dyDescent="0.2">
      <c r="A7064" s="14" t="s">
        <v>13919</v>
      </c>
      <c r="B7064" s="15" t="s">
        <v>13920</v>
      </c>
      <c r="C7064" s="16">
        <f>64.13/(1+B2)</f>
        <v>64.13</v>
      </c>
      <c r="D7064" s="17" t="s">
        <v>11</v>
      </c>
      <c r="E7064" s="17"/>
      <c r="F7064" s="18"/>
      <c r="G7064" s="36" t="str">
        <f>IF(ISNUMBER(F7064),C7064*F7064,"")</f>
        <v/>
      </c>
    </row>
    <row r="7065" spans="1:7" ht="24" customHeight="1" outlineLevel="3" x14ac:dyDescent="0.2">
      <c r="A7065" s="14" t="s">
        <v>13921</v>
      </c>
      <c r="B7065" s="15" t="s">
        <v>13922</v>
      </c>
      <c r="C7065" s="16">
        <f>65.59/(1+B2)</f>
        <v>65.59</v>
      </c>
      <c r="D7065" s="17" t="s">
        <v>53</v>
      </c>
      <c r="E7065" s="17"/>
      <c r="F7065" s="18"/>
      <c r="G7065" s="36" t="str">
        <f>IF(ISNUMBER(F7065),C7065*F7065,"")</f>
        <v/>
      </c>
    </row>
    <row r="7066" spans="1:7" ht="24" customHeight="1" outlineLevel="3" x14ac:dyDescent="0.2">
      <c r="A7066" s="14" t="s">
        <v>13923</v>
      </c>
      <c r="B7066" s="15" t="s">
        <v>13924</v>
      </c>
      <c r="C7066" s="16">
        <f>65.59/(1+B2)</f>
        <v>65.59</v>
      </c>
      <c r="D7066" s="17" t="s">
        <v>11</v>
      </c>
      <c r="E7066" s="17"/>
      <c r="F7066" s="18"/>
      <c r="G7066" s="36" t="str">
        <f>IF(ISNUMBER(F7066),C7066*F7066,"")</f>
        <v/>
      </c>
    </row>
    <row r="7067" spans="1:7" ht="24" customHeight="1" outlineLevel="3" x14ac:dyDescent="0.2">
      <c r="A7067" s="14" t="s">
        <v>13925</v>
      </c>
      <c r="B7067" s="15" t="s">
        <v>13926</v>
      </c>
      <c r="C7067" s="16">
        <f>65.59/(1+B2)</f>
        <v>65.59</v>
      </c>
      <c r="D7067" s="17" t="s">
        <v>53</v>
      </c>
      <c r="E7067" s="17"/>
      <c r="F7067" s="18"/>
      <c r="G7067" s="36" t="str">
        <f>IF(ISNUMBER(F7067),C7067*F7067,"")</f>
        <v/>
      </c>
    </row>
    <row r="7068" spans="1:7" ht="24" customHeight="1" outlineLevel="3" x14ac:dyDescent="0.2">
      <c r="A7068" s="14" t="s">
        <v>13927</v>
      </c>
      <c r="B7068" s="15" t="s">
        <v>13928</v>
      </c>
      <c r="C7068" s="16">
        <f>65.59/(1+B2)</f>
        <v>65.59</v>
      </c>
      <c r="D7068" s="17" t="s">
        <v>11</v>
      </c>
      <c r="E7068" s="17" t="s">
        <v>53</v>
      </c>
      <c r="F7068" s="18"/>
      <c r="G7068" s="36" t="str">
        <f>IF(ISNUMBER(F7068),C7068*F7068,"")</f>
        <v/>
      </c>
    </row>
    <row r="7069" spans="1:7" ht="24" customHeight="1" outlineLevel="3" x14ac:dyDescent="0.2">
      <c r="A7069" s="14" t="s">
        <v>13929</v>
      </c>
      <c r="B7069" s="15" t="s">
        <v>13930</v>
      </c>
      <c r="C7069" s="16">
        <f>65.59/(1+B2)</f>
        <v>65.59</v>
      </c>
      <c r="D7069" s="17" t="s">
        <v>11</v>
      </c>
      <c r="E7069" s="17"/>
      <c r="F7069" s="18"/>
      <c r="G7069" s="36" t="str">
        <f>IF(ISNUMBER(F7069),C7069*F7069,"")</f>
        <v/>
      </c>
    </row>
    <row r="7070" spans="1:7" ht="24" customHeight="1" outlineLevel="3" x14ac:dyDescent="0.2">
      <c r="A7070" s="14" t="s">
        <v>13931</v>
      </c>
      <c r="B7070" s="15" t="s">
        <v>13932</v>
      </c>
      <c r="C7070" s="16">
        <f>65.59/(1+B2)</f>
        <v>65.59</v>
      </c>
      <c r="D7070" s="17" t="s">
        <v>106</v>
      </c>
      <c r="E7070" s="17"/>
      <c r="F7070" s="18"/>
      <c r="G7070" s="36" t="str">
        <f>IF(ISNUMBER(F7070),C7070*F7070,"")</f>
        <v/>
      </c>
    </row>
    <row r="7071" spans="1:7" s="1" customFormat="1" ht="12.95" customHeight="1" outlineLevel="2" x14ac:dyDescent="0.2">
      <c r="A7071" s="20"/>
      <c r="B7071" s="21" t="s">
        <v>13933</v>
      </c>
      <c r="C7071" s="22"/>
      <c r="D7071" s="22"/>
      <c r="E7071" s="22"/>
      <c r="F7071" s="22"/>
      <c r="G7071" s="37"/>
    </row>
    <row r="7072" spans="1:7" ht="12" customHeight="1" outlineLevel="3" x14ac:dyDescent="0.2">
      <c r="A7072" s="14" t="s">
        <v>13934</v>
      </c>
      <c r="B7072" s="15" t="s">
        <v>13935</v>
      </c>
      <c r="C7072" s="16">
        <f>135.51/(1+B2)</f>
        <v>135.51</v>
      </c>
      <c r="D7072" s="17" t="s">
        <v>11</v>
      </c>
      <c r="E7072" s="17" t="s">
        <v>106</v>
      </c>
      <c r="F7072" s="18"/>
      <c r="G7072" s="36" t="str">
        <f>IF(ISNUMBER(F7072),C7072*F7072,"")</f>
        <v/>
      </c>
    </row>
    <row r="7073" spans="1:7" ht="12" customHeight="1" outlineLevel="3" x14ac:dyDescent="0.2">
      <c r="A7073" s="14" t="s">
        <v>13936</v>
      </c>
      <c r="B7073" s="15" t="s">
        <v>13937</v>
      </c>
      <c r="C7073" s="16">
        <f>105.19/(1+B2)</f>
        <v>105.19</v>
      </c>
      <c r="D7073" s="17" t="s">
        <v>11</v>
      </c>
      <c r="E7073" s="17" t="s">
        <v>106</v>
      </c>
      <c r="F7073" s="18"/>
      <c r="G7073" s="36" t="str">
        <f>IF(ISNUMBER(F7073),C7073*F7073,"")</f>
        <v/>
      </c>
    </row>
    <row r="7074" spans="1:7" ht="12" customHeight="1" outlineLevel="3" x14ac:dyDescent="0.2">
      <c r="A7074" s="14" t="s">
        <v>13938</v>
      </c>
      <c r="B7074" s="15" t="s">
        <v>13939</v>
      </c>
      <c r="C7074" s="16">
        <f>110.86/(1+B2)</f>
        <v>110.86</v>
      </c>
      <c r="D7074" s="17" t="s">
        <v>11</v>
      </c>
      <c r="E7074" s="17"/>
      <c r="F7074" s="18"/>
      <c r="G7074" s="36" t="str">
        <f>IF(ISNUMBER(F7074),C7074*F7074,"")</f>
        <v/>
      </c>
    </row>
    <row r="7075" spans="1:7" ht="12" customHeight="1" outlineLevel="3" x14ac:dyDescent="0.2">
      <c r="A7075" s="14" t="s">
        <v>13940</v>
      </c>
      <c r="B7075" s="15" t="s">
        <v>13941</v>
      </c>
      <c r="C7075" s="16">
        <f>115.08/(1+B2)</f>
        <v>115.08</v>
      </c>
      <c r="D7075" s="17" t="s">
        <v>53</v>
      </c>
      <c r="E7075" s="17" t="s">
        <v>14</v>
      </c>
      <c r="F7075" s="18"/>
      <c r="G7075" s="36" t="str">
        <f>IF(ISNUMBER(F7075),C7075*F7075,"")</f>
        <v/>
      </c>
    </row>
    <row r="7076" spans="1:7" ht="12" customHeight="1" outlineLevel="3" x14ac:dyDescent="0.2">
      <c r="A7076" s="14" t="s">
        <v>13942</v>
      </c>
      <c r="B7076" s="15" t="s">
        <v>13943</v>
      </c>
      <c r="C7076" s="16">
        <f>123.66/(1+B2)</f>
        <v>123.66</v>
      </c>
      <c r="D7076" s="17" t="s">
        <v>11</v>
      </c>
      <c r="E7076" s="17"/>
      <c r="F7076" s="18"/>
      <c r="G7076" s="36" t="str">
        <f>IF(ISNUMBER(F7076),C7076*F7076,"")</f>
        <v/>
      </c>
    </row>
    <row r="7077" spans="1:7" ht="12" customHeight="1" outlineLevel="3" x14ac:dyDescent="0.2">
      <c r="A7077" s="14" t="s">
        <v>13944</v>
      </c>
      <c r="B7077" s="15" t="s">
        <v>13945</v>
      </c>
      <c r="C7077" s="16">
        <f>115.66/(1+B2)</f>
        <v>115.66</v>
      </c>
      <c r="D7077" s="17" t="s">
        <v>53</v>
      </c>
      <c r="E7077" s="17" t="s">
        <v>106</v>
      </c>
      <c r="F7077" s="18"/>
      <c r="G7077" s="36" t="str">
        <f>IF(ISNUMBER(F7077),C7077*F7077,"")</f>
        <v/>
      </c>
    </row>
    <row r="7078" spans="1:7" s="1" customFormat="1" ht="15.95" customHeight="1" outlineLevel="1" x14ac:dyDescent="0.25">
      <c r="A7078" s="11"/>
      <c r="B7078" s="12" t="s">
        <v>13946</v>
      </c>
      <c r="C7078" s="13"/>
      <c r="D7078" s="13"/>
      <c r="E7078" s="13"/>
      <c r="F7078" s="13"/>
      <c r="G7078" s="35"/>
    </row>
    <row r="7079" spans="1:7" s="1" customFormat="1" ht="12.95" customHeight="1" outlineLevel="2" x14ac:dyDescent="0.2">
      <c r="A7079" s="20"/>
      <c r="B7079" s="21" t="s">
        <v>13947</v>
      </c>
      <c r="C7079" s="22"/>
      <c r="D7079" s="22"/>
      <c r="E7079" s="22"/>
      <c r="F7079" s="22"/>
      <c r="G7079" s="37"/>
    </row>
    <row r="7080" spans="1:7" ht="12" customHeight="1" outlineLevel="3" x14ac:dyDescent="0.2">
      <c r="A7080" s="14" t="s">
        <v>13948</v>
      </c>
      <c r="B7080" s="15" t="s">
        <v>13949</v>
      </c>
      <c r="C7080" s="16">
        <f>304.6/(1+B2)</f>
        <v>304.60000000000002</v>
      </c>
      <c r="D7080" s="17" t="s">
        <v>11</v>
      </c>
      <c r="E7080" s="17"/>
      <c r="F7080" s="18"/>
      <c r="G7080" s="36" t="str">
        <f>IF(ISNUMBER(F7080),C7080*F7080,"")</f>
        <v/>
      </c>
    </row>
    <row r="7081" spans="1:7" ht="12" customHeight="1" outlineLevel="3" x14ac:dyDescent="0.2">
      <c r="A7081" s="14" t="s">
        <v>13950</v>
      </c>
      <c r="B7081" s="15" t="s">
        <v>13951</v>
      </c>
      <c r="C7081" s="16">
        <f>178.72/(1+B2)</f>
        <v>178.72</v>
      </c>
      <c r="D7081" s="17" t="s">
        <v>11</v>
      </c>
      <c r="E7081" s="17"/>
      <c r="F7081" s="18"/>
      <c r="G7081" s="36" t="str">
        <f>IF(ISNUMBER(F7081),C7081*F7081,"")</f>
        <v/>
      </c>
    </row>
    <row r="7082" spans="1:7" ht="12" customHeight="1" outlineLevel="3" x14ac:dyDescent="0.2">
      <c r="A7082" s="14" t="s">
        <v>13952</v>
      </c>
      <c r="B7082" s="15" t="s">
        <v>13953</v>
      </c>
      <c r="C7082" s="16">
        <f>346.95/(1+B2)</f>
        <v>346.95</v>
      </c>
      <c r="D7082" s="17" t="s">
        <v>11</v>
      </c>
      <c r="E7082" s="17"/>
      <c r="F7082" s="18"/>
      <c r="G7082" s="36" t="str">
        <f>IF(ISNUMBER(F7082),C7082*F7082,"")</f>
        <v/>
      </c>
    </row>
    <row r="7083" spans="1:7" ht="12" customHeight="1" outlineLevel="3" x14ac:dyDescent="0.2">
      <c r="A7083" s="14" t="s">
        <v>13954</v>
      </c>
      <c r="B7083" s="15" t="s">
        <v>13955</v>
      </c>
      <c r="C7083" s="16">
        <f>311.15/(1+B2)</f>
        <v>311.14999999999998</v>
      </c>
      <c r="D7083" s="17" t="s">
        <v>11</v>
      </c>
      <c r="E7083" s="17"/>
      <c r="F7083" s="18"/>
      <c r="G7083" s="36" t="str">
        <f>IF(ISNUMBER(F7083),C7083*F7083,"")</f>
        <v/>
      </c>
    </row>
    <row r="7084" spans="1:7" ht="12" customHeight="1" outlineLevel="3" x14ac:dyDescent="0.2">
      <c r="A7084" s="14" t="s">
        <v>13956</v>
      </c>
      <c r="B7084" s="15" t="s">
        <v>13957</v>
      </c>
      <c r="C7084" s="16">
        <f>394.8/(1+B2)</f>
        <v>394.8</v>
      </c>
      <c r="D7084" s="17" t="s">
        <v>11</v>
      </c>
      <c r="E7084" s="17"/>
      <c r="F7084" s="18"/>
      <c r="G7084" s="36" t="str">
        <f>IF(ISNUMBER(F7084),C7084*F7084,"")</f>
        <v/>
      </c>
    </row>
    <row r="7085" spans="1:7" ht="12" customHeight="1" outlineLevel="3" x14ac:dyDescent="0.2">
      <c r="A7085" s="14" t="s">
        <v>13958</v>
      </c>
      <c r="B7085" s="15" t="s">
        <v>13959</v>
      </c>
      <c r="C7085" s="16">
        <f>39.2/(1+B2)</f>
        <v>39.200000000000003</v>
      </c>
      <c r="D7085" s="17" t="s">
        <v>11</v>
      </c>
      <c r="E7085" s="17"/>
      <c r="F7085" s="18"/>
      <c r="G7085" s="36" t="str">
        <f>IF(ISNUMBER(F7085),C7085*F7085,"")</f>
        <v/>
      </c>
    </row>
    <row r="7086" spans="1:7" ht="12" customHeight="1" outlineLevel="3" x14ac:dyDescent="0.2">
      <c r="A7086" s="14" t="s">
        <v>13960</v>
      </c>
      <c r="B7086" s="15" t="s">
        <v>13961</v>
      </c>
      <c r="C7086" s="16">
        <f>39.2/(1+B2)</f>
        <v>39.200000000000003</v>
      </c>
      <c r="D7086" s="17" t="s">
        <v>106</v>
      </c>
      <c r="E7086" s="17"/>
      <c r="F7086" s="18"/>
      <c r="G7086" s="36" t="str">
        <f>IF(ISNUMBER(F7086),C7086*F7086,"")</f>
        <v/>
      </c>
    </row>
    <row r="7087" spans="1:7" ht="12" customHeight="1" outlineLevel="3" x14ac:dyDescent="0.2">
      <c r="A7087" s="14" t="s">
        <v>13962</v>
      </c>
      <c r="B7087" s="15" t="s">
        <v>13963</v>
      </c>
      <c r="C7087" s="16">
        <f>169.76/(1+B2)</f>
        <v>169.76</v>
      </c>
      <c r="D7087" s="17" t="s">
        <v>11</v>
      </c>
      <c r="E7087" s="17"/>
      <c r="F7087" s="18"/>
      <c r="G7087" s="36" t="str">
        <f>IF(ISNUMBER(F7087),C7087*F7087,"")</f>
        <v/>
      </c>
    </row>
    <row r="7088" spans="1:7" ht="12" customHeight="1" outlineLevel="3" x14ac:dyDescent="0.2">
      <c r="A7088" s="14" t="s">
        <v>13964</v>
      </c>
      <c r="B7088" s="15" t="s">
        <v>13965</v>
      </c>
      <c r="C7088" s="16">
        <f>64.42/(1+B2)</f>
        <v>64.42</v>
      </c>
      <c r="D7088" s="17" t="s">
        <v>11</v>
      </c>
      <c r="E7088" s="17"/>
      <c r="F7088" s="18"/>
      <c r="G7088" s="36" t="str">
        <f>IF(ISNUMBER(F7088),C7088*F7088,"")</f>
        <v/>
      </c>
    </row>
    <row r="7089" spans="1:7" ht="12" customHeight="1" outlineLevel="3" x14ac:dyDescent="0.2">
      <c r="A7089" s="14" t="s">
        <v>13966</v>
      </c>
      <c r="B7089" s="15" t="s">
        <v>13967</v>
      </c>
      <c r="C7089" s="16">
        <f>43.68/(1+B2)</f>
        <v>43.68</v>
      </c>
      <c r="D7089" s="17" t="s">
        <v>53</v>
      </c>
      <c r="E7089" s="17" t="s">
        <v>53</v>
      </c>
      <c r="F7089" s="18"/>
      <c r="G7089" s="36" t="str">
        <f>IF(ISNUMBER(F7089),C7089*F7089,"")</f>
        <v/>
      </c>
    </row>
    <row r="7090" spans="1:7" ht="12" customHeight="1" outlineLevel="3" x14ac:dyDescent="0.2">
      <c r="A7090" s="14" t="s">
        <v>13968</v>
      </c>
      <c r="B7090" s="15" t="s">
        <v>13969</v>
      </c>
      <c r="C7090" s="16">
        <f>43.68/(1+B2)</f>
        <v>43.68</v>
      </c>
      <c r="D7090" s="17" t="s">
        <v>11</v>
      </c>
      <c r="E7090" s="17" t="s">
        <v>106</v>
      </c>
      <c r="F7090" s="18"/>
      <c r="G7090" s="36" t="str">
        <f>IF(ISNUMBER(F7090),C7090*F7090,"")</f>
        <v/>
      </c>
    </row>
    <row r="7091" spans="1:7" ht="12" customHeight="1" outlineLevel="3" x14ac:dyDescent="0.2">
      <c r="A7091" s="14" t="s">
        <v>13970</v>
      </c>
      <c r="B7091" s="15" t="s">
        <v>13971</v>
      </c>
      <c r="C7091" s="16">
        <f>73.03/(1+B2)</f>
        <v>73.03</v>
      </c>
      <c r="D7091" s="17" t="s">
        <v>11</v>
      </c>
      <c r="E7091" s="17"/>
      <c r="F7091" s="18"/>
      <c r="G7091" s="36" t="str">
        <f>IF(ISNUMBER(F7091),C7091*F7091,"")</f>
        <v/>
      </c>
    </row>
    <row r="7092" spans="1:7" ht="12" customHeight="1" outlineLevel="3" x14ac:dyDescent="0.2">
      <c r="A7092" s="14" t="s">
        <v>13972</v>
      </c>
      <c r="B7092" s="15" t="s">
        <v>13973</v>
      </c>
      <c r="C7092" s="16">
        <f>106.99/(1+B2)</f>
        <v>106.99</v>
      </c>
      <c r="D7092" s="17" t="s">
        <v>14</v>
      </c>
      <c r="E7092" s="17"/>
      <c r="F7092" s="18"/>
      <c r="G7092" s="36" t="str">
        <f>IF(ISNUMBER(F7092),C7092*F7092,"")</f>
        <v/>
      </c>
    </row>
    <row r="7093" spans="1:7" ht="12" customHeight="1" outlineLevel="3" x14ac:dyDescent="0.2">
      <c r="A7093" s="14" t="s">
        <v>13974</v>
      </c>
      <c r="B7093" s="15" t="s">
        <v>13975</v>
      </c>
      <c r="C7093" s="16">
        <f>101.02/(1+B2)</f>
        <v>101.02</v>
      </c>
      <c r="D7093" s="17" t="s">
        <v>11</v>
      </c>
      <c r="E7093" s="17" t="s">
        <v>106</v>
      </c>
      <c r="F7093" s="18"/>
      <c r="G7093" s="36" t="str">
        <f>IF(ISNUMBER(F7093),C7093*F7093,"")</f>
        <v/>
      </c>
    </row>
    <row r="7094" spans="1:7" ht="12" customHeight="1" outlineLevel="3" x14ac:dyDescent="0.2">
      <c r="A7094" s="14" t="s">
        <v>13976</v>
      </c>
      <c r="B7094" s="15" t="s">
        <v>13977</v>
      </c>
      <c r="C7094" s="16">
        <f>101.02/(1+B2)</f>
        <v>101.02</v>
      </c>
      <c r="D7094" s="17" t="s">
        <v>11</v>
      </c>
      <c r="E7094" s="17" t="s">
        <v>106</v>
      </c>
      <c r="F7094" s="18"/>
      <c r="G7094" s="36" t="str">
        <f>IF(ISNUMBER(F7094),C7094*F7094,"")</f>
        <v/>
      </c>
    </row>
    <row r="7095" spans="1:7" ht="12" customHeight="1" outlineLevel="3" x14ac:dyDescent="0.2">
      <c r="A7095" s="14" t="s">
        <v>13978</v>
      </c>
      <c r="B7095" s="15" t="s">
        <v>13979</v>
      </c>
      <c r="C7095" s="16">
        <f>187.85/(1+B2)</f>
        <v>187.85</v>
      </c>
      <c r="D7095" s="17" t="s">
        <v>11</v>
      </c>
      <c r="E7095" s="17"/>
      <c r="F7095" s="18"/>
      <c r="G7095" s="36" t="str">
        <f>IF(ISNUMBER(F7095),C7095*F7095,"")</f>
        <v/>
      </c>
    </row>
    <row r="7096" spans="1:7" ht="12" customHeight="1" outlineLevel="3" x14ac:dyDescent="0.2">
      <c r="A7096" s="14" t="s">
        <v>13980</v>
      </c>
      <c r="B7096" s="15" t="s">
        <v>13981</v>
      </c>
      <c r="C7096" s="16">
        <f>135.42/(1+B2)</f>
        <v>135.41999999999999</v>
      </c>
      <c r="D7096" s="17" t="s">
        <v>11</v>
      </c>
      <c r="E7096" s="17" t="s">
        <v>106</v>
      </c>
      <c r="F7096" s="18"/>
      <c r="G7096" s="36" t="str">
        <f>IF(ISNUMBER(F7096),C7096*F7096,"")</f>
        <v/>
      </c>
    </row>
    <row r="7097" spans="1:7" ht="12" customHeight="1" outlineLevel="3" x14ac:dyDescent="0.2">
      <c r="A7097" s="14" t="s">
        <v>13982</v>
      </c>
      <c r="B7097" s="15" t="s">
        <v>13983</v>
      </c>
      <c r="C7097" s="16">
        <f>547.31/(1+B2)</f>
        <v>547.30999999999995</v>
      </c>
      <c r="D7097" s="17" t="s">
        <v>11</v>
      </c>
      <c r="E7097" s="17"/>
      <c r="F7097" s="18"/>
      <c r="G7097" s="36" t="str">
        <f>IF(ISNUMBER(F7097),C7097*F7097,"")</f>
        <v/>
      </c>
    </row>
    <row r="7098" spans="1:7" ht="12" customHeight="1" outlineLevel="3" x14ac:dyDescent="0.2">
      <c r="A7098" s="14" t="s">
        <v>13984</v>
      </c>
      <c r="B7098" s="15" t="s">
        <v>13985</v>
      </c>
      <c r="C7098" s="16">
        <f>547.31/(1+B2)</f>
        <v>547.30999999999995</v>
      </c>
      <c r="D7098" s="17" t="s">
        <v>11</v>
      </c>
      <c r="E7098" s="17"/>
      <c r="F7098" s="18"/>
      <c r="G7098" s="36" t="str">
        <f>IF(ISNUMBER(F7098),C7098*F7098,"")</f>
        <v/>
      </c>
    </row>
    <row r="7099" spans="1:7" ht="12" customHeight="1" outlineLevel="3" x14ac:dyDescent="0.2">
      <c r="A7099" s="14" t="s">
        <v>13986</v>
      </c>
      <c r="B7099" s="15" t="s">
        <v>13987</v>
      </c>
      <c r="C7099" s="16">
        <f>286.7/(1+B2)</f>
        <v>286.7</v>
      </c>
      <c r="D7099" s="17" t="s">
        <v>11</v>
      </c>
      <c r="E7099" s="17"/>
      <c r="F7099" s="18"/>
      <c r="G7099" s="36" t="str">
        <f>IF(ISNUMBER(F7099),C7099*F7099,"")</f>
        <v/>
      </c>
    </row>
    <row r="7100" spans="1:7" ht="12" customHeight="1" outlineLevel="3" x14ac:dyDescent="0.2">
      <c r="A7100" s="14" t="s">
        <v>13988</v>
      </c>
      <c r="B7100" s="15" t="s">
        <v>13989</v>
      </c>
      <c r="C7100" s="16">
        <f>150.67/(1+B2)</f>
        <v>150.66999999999999</v>
      </c>
      <c r="D7100" s="17" t="s">
        <v>11</v>
      </c>
      <c r="E7100" s="17"/>
      <c r="F7100" s="18"/>
      <c r="G7100" s="36" t="str">
        <f>IF(ISNUMBER(F7100),C7100*F7100,"")</f>
        <v/>
      </c>
    </row>
    <row r="7101" spans="1:7" ht="12" customHeight="1" outlineLevel="3" x14ac:dyDescent="0.2">
      <c r="A7101" s="14" t="s">
        <v>13990</v>
      </c>
      <c r="B7101" s="15" t="s">
        <v>13991</v>
      </c>
      <c r="C7101" s="16">
        <f>35.86/(1+B2)</f>
        <v>35.86</v>
      </c>
      <c r="D7101" s="17" t="s">
        <v>11</v>
      </c>
      <c r="E7101" s="17"/>
      <c r="F7101" s="18"/>
      <c r="G7101" s="36" t="str">
        <f>IF(ISNUMBER(F7101),C7101*F7101,"")</f>
        <v/>
      </c>
    </row>
    <row r="7102" spans="1:7" ht="12" customHeight="1" outlineLevel="3" x14ac:dyDescent="0.2">
      <c r="A7102" s="14" t="s">
        <v>13992</v>
      </c>
      <c r="B7102" s="15" t="s">
        <v>13993</v>
      </c>
      <c r="C7102" s="16">
        <f>29.33/(1+B2)</f>
        <v>29.33</v>
      </c>
      <c r="D7102" s="17" t="s">
        <v>11</v>
      </c>
      <c r="E7102" s="17"/>
      <c r="F7102" s="18"/>
      <c r="G7102" s="36" t="str">
        <f>IF(ISNUMBER(F7102),C7102*F7102,"")</f>
        <v/>
      </c>
    </row>
    <row r="7103" spans="1:7" ht="12" customHeight="1" outlineLevel="3" x14ac:dyDescent="0.2">
      <c r="A7103" s="14" t="s">
        <v>13994</v>
      </c>
      <c r="B7103" s="15" t="s">
        <v>13995</v>
      </c>
      <c r="C7103" s="16">
        <f>150.67/(1+B2)</f>
        <v>150.66999999999999</v>
      </c>
      <c r="D7103" s="17" t="s">
        <v>11</v>
      </c>
      <c r="E7103" s="17"/>
      <c r="F7103" s="18"/>
      <c r="G7103" s="36" t="str">
        <f>IF(ISNUMBER(F7103),C7103*F7103,"")</f>
        <v/>
      </c>
    </row>
    <row r="7104" spans="1:7" ht="12" customHeight="1" outlineLevel="3" x14ac:dyDescent="0.2">
      <c r="A7104" s="14" t="s">
        <v>13996</v>
      </c>
      <c r="B7104" s="15" t="s">
        <v>13997</v>
      </c>
      <c r="C7104" s="16">
        <f>226.59/(1+B2)</f>
        <v>226.59</v>
      </c>
      <c r="D7104" s="17" t="s">
        <v>11</v>
      </c>
      <c r="E7104" s="17"/>
      <c r="F7104" s="18"/>
      <c r="G7104" s="36" t="str">
        <f>IF(ISNUMBER(F7104),C7104*F7104,"")</f>
        <v/>
      </c>
    </row>
    <row r="7105" spans="1:7" ht="12" customHeight="1" outlineLevel="3" x14ac:dyDescent="0.2">
      <c r="A7105" s="14" t="s">
        <v>13998</v>
      </c>
      <c r="B7105" s="15" t="s">
        <v>13999</v>
      </c>
      <c r="C7105" s="16">
        <f>38.12/(1+B2)</f>
        <v>38.119999999999997</v>
      </c>
      <c r="D7105" s="17" t="s">
        <v>11</v>
      </c>
      <c r="E7105" s="17" t="s">
        <v>11</v>
      </c>
      <c r="F7105" s="18"/>
      <c r="G7105" s="36" t="str">
        <f>IF(ISNUMBER(F7105),C7105*F7105,"")</f>
        <v/>
      </c>
    </row>
    <row r="7106" spans="1:7" ht="12" customHeight="1" outlineLevel="3" x14ac:dyDescent="0.2">
      <c r="A7106" s="14" t="s">
        <v>14000</v>
      </c>
      <c r="B7106" s="15" t="s">
        <v>14001</v>
      </c>
      <c r="C7106" s="16">
        <f>72.54/(1+B2)</f>
        <v>72.540000000000006</v>
      </c>
      <c r="D7106" s="17" t="s">
        <v>11</v>
      </c>
      <c r="E7106" s="17"/>
      <c r="F7106" s="18"/>
      <c r="G7106" s="36" t="str">
        <f>IF(ISNUMBER(F7106),C7106*F7106,"")</f>
        <v/>
      </c>
    </row>
    <row r="7107" spans="1:7" ht="12" customHeight="1" outlineLevel="3" x14ac:dyDescent="0.2">
      <c r="A7107" s="14" t="s">
        <v>14002</v>
      </c>
      <c r="B7107" s="15" t="s">
        <v>14003</v>
      </c>
      <c r="C7107" s="16">
        <f>93.47/(1+B2)</f>
        <v>93.47</v>
      </c>
      <c r="D7107" s="17" t="s">
        <v>11</v>
      </c>
      <c r="E7107" s="17"/>
      <c r="F7107" s="18"/>
      <c r="G7107" s="36" t="str">
        <f>IF(ISNUMBER(F7107),C7107*F7107,"")</f>
        <v/>
      </c>
    </row>
    <row r="7108" spans="1:7" ht="12" customHeight="1" outlineLevel="3" x14ac:dyDescent="0.2">
      <c r="A7108" s="14" t="s">
        <v>14004</v>
      </c>
      <c r="B7108" s="15" t="s">
        <v>14005</v>
      </c>
      <c r="C7108" s="16">
        <f>39.2/(1+B2)</f>
        <v>39.200000000000003</v>
      </c>
      <c r="D7108" s="17" t="s">
        <v>106</v>
      </c>
      <c r="E7108" s="17"/>
      <c r="F7108" s="18"/>
      <c r="G7108" s="36" t="str">
        <f>IF(ISNUMBER(F7108),C7108*F7108,"")</f>
        <v/>
      </c>
    </row>
    <row r="7109" spans="1:7" ht="12" customHeight="1" outlineLevel="3" x14ac:dyDescent="0.2">
      <c r="A7109" s="14" t="s">
        <v>14006</v>
      </c>
      <c r="B7109" s="15" t="s">
        <v>14007</v>
      </c>
      <c r="C7109" s="16">
        <f>39.2/(1+B2)</f>
        <v>39.200000000000003</v>
      </c>
      <c r="D7109" s="17" t="s">
        <v>106</v>
      </c>
      <c r="E7109" s="17"/>
      <c r="F7109" s="18"/>
      <c r="G7109" s="36" t="str">
        <f>IF(ISNUMBER(F7109),C7109*F7109,"")</f>
        <v/>
      </c>
    </row>
    <row r="7110" spans="1:7" s="1" customFormat="1" ht="12.95" customHeight="1" outlineLevel="2" x14ac:dyDescent="0.2">
      <c r="A7110" s="20"/>
      <c r="B7110" s="21" t="s">
        <v>14008</v>
      </c>
      <c r="C7110" s="22"/>
      <c r="D7110" s="22"/>
      <c r="E7110" s="22"/>
      <c r="F7110" s="22"/>
      <c r="G7110" s="37"/>
    </row>
    <row r="7111" spans="1:7" ht="12" customHeight="1" outlineLevel="3" x14ac:dyDescent="0.2">
      <c r="A7111" s="14" t="s">
        <v>14009</v>
      </c>
      <c r="B7111" s="15" t="s">
        <v>14010</v>
      </c>
      <c r="C7111" s="16">
        <f>271.82/(1+B2)</f>
        <v>271.82</v>
      </c>
      <c r="D7111" s="17" t="s">
        <v>11</v>
      </c>
      <c r="E7111" s="17"/>
      <c r="F7111" s="18"/>
      <c r="G7111" s="36" t="str">
        <f>IF(ISNUMBER(F7111),C7111*F7111,"")</f>
        <v/>
      </c>
    </row>
    <row r="7112" spans="1:7" ht="12" customHeight="1" outlineLevel="3" x14ac:dyDescent="0.2">
      <c r="A7112" s="14" t="s">
        <v>14011</v>
      </c>
      <c r="B7112" s="15" t="s">
        <v>14012</v>
      </c>
      <c r="C7112" s="16">
        <f>255.25/(1+B2)</f>
        <v>255.25</v>
      </c>
      <c r="D7112" s="17" t="s">
        <v>11</v>
      </c>
      <c r="E7112" s="17"/>
      <c r="F7112" s="18"/>
      <c r="G7112" s="36" t="str">
        <f>IF(ISNUMBER(F7112),C7112*F7112,"")</f>
        <v/>
      </c>
    </row>
    <row r="7113" spans="1:7" ht="12" customHeight="1" outlineLevel="3" x14ac:dyDescent="0.2">
      <c r="A7113" s="14" t="s">
        <v>14013</v>
      </c>
      <c r="B7113" s="15" t="s">
        <v>14014</v>
      </c>
      <c r="C7113" s="16">
        <f>251.7/(1+B2)</f>
        <v>251.7</v>
      </c>
      <c r="D7113" s="17" t="s">
        <v>11</v>
      </c>
      <c r="E7113" s="17"/>
      <c r="F7113" s="18"/>
      <c r="G7113" s="36" t="str">
        <f>IF(ISNUMBER(F7113),C7113*F7113,"")</f>
        <v/>
      </c>
    </row>
    <row r="7114" spans="1:7" ht="12" customHeight="1" outlineLevel="3" x14ac:dyDescent="0.2">
      <c r="A7114" s="14" t="s">
        <v>14015</v>
      </c>
      <c r="B7114" s="15" t="s">
        <v>14016</v>
      </c>
      <c r="C7114" s="16">
        <f>381.75/(1+B2)</f>
        <v>381.75</v>
      </c>
      <c r="D7114" s="17" t="s">
        <v>11</v>
      </c>
      <c r="E7114" s="17"/>
      <c r="F7114" s="18"/>
      <c r="G7114" s="36" t="str">
        <f>IF(ISNUMBER(F7114),C7114*F7114,"")</f>
        <v/>
      </c>
    </row>
    <row r="7115" spans="1:7" ht="12" customHeight="1" outlineLevel="3" x14ac:dyDescent="0.2">
      <c r="A7115" s="14" t="s">
        <v>14017</v>
      </c>
      <c r="B7115" s="15" t="s">
        <v>14018</v>
      </c>
      <c r="C7115" s="16">
        <f>191.05/(1+B2)</f>
        <v>191.05</v>
      </c>
      <c r="D7115" s="17" t="s">
        <v>11</v>
      </c>
      <c r="E7115" s="17"/>
      <c r="F7115" s="18"/>
      <c r="G7115" s="36" t="str">
        <f>IF(ISNUMBER(F7115),C7115*F7115,"")</f>
        <v/>
      </c>
    </row>
    <row r="7116" spans="1:7" ht="12" customHeight="1" outlineLevel="3" x14ac:dyDescent="0.2">
      <c r="A7116" s="14" t="s">
        <v>14019</v>
      </c>
      <c r="B7116" s="15" t="s">
        <v>14020</v>
      </c>
      <c r="C7116" s="16">
        <f>146.16/(1+B2)</f>
        <v>146.16</v>
      </c>
      <c r="D7116" s="17" t="s">
        <v>14</v>
      </c>
      <c r="E7116" s="17"/>
      <c r="F7116" s="18"/>
      <c r="G7116" s="36" t="str">
        <f>IF(ISNUMBER(F7116),C7116*F7116,"")</f>
        <v/>
      </c>
    </row>
    <row r="7117" spans="1:7" ht="12" customHeight="1" outlineLevel="3" x14ac:dyDescent="0.2">
      <c r="A7117" s="14" t="s">
        <v>14021</v>
      </c>
      <c r="B7117" s="15" t="s">
        <v>14022</v>
      </c>
      <c r="C7117" s="16">
        <f>241.56/(1+B2)</f>
        <v>241.56</v>
      </c>
      <c r="D7117" s="17" t="s">
        <v>14</v>
      </c>
      <c r="E7117" s="17"/>
      <c r="F7117" s="18"/>
      <c r="G7117" s="36" t="str">
        <f>IF(ISNUMBER(F7117),C7117*F7117,"")</f>
        <v/>
      </c>
    </row>
    <row r="7118" spans="1:7" ht="12" customHeight="1" outlineLevel="3" x14ac:dyDescent="0.2">
      <c r="A7118" s="14" t="s">
        <v>14023</v>
      </c>
      <c r="B7118" s="15" t="s">
        <v>14024</v>
      </c>
      <c r="C7118" s="16">
        <f>142.98/(1+B2)</f>
        <v>142.97999999999999</v>
      </c>
      <c r="D7118" s="17" t="s">
        <v>11</v>
      </c>
      <c r="E7118" s="17"/>
      <c r="F7118" s="18"/>
      <c r="G7118" s="36" t="str">
        <f>IF(ISNUMBER(F7118),C7118*F7118,"")</f>
        <v/>
      </c>
    </row>
    <row r="7119" spans="1:7" ht="12" customHeight="1" outlineLevel="3" x14ac:dyDescent="0.2">
      <c r="A7119" s="14" t="s">
        <v>14025</v>
      </c>
      <c r="B7119" s="15" t="s">
        <v>14026</v>
      </c>
      <c r="C7119" s="16">
        <f>274.46/(1+B2)</f>
        <v>274.45999999999998</v>
      </c>
      <c r="D7119" s="17" t="s">
        <v>11</v>
      </c>
      <c r="E7119" s="17"/>
      <c r="F7119" s="18"/>
      <c r="G7119" s="36" t="str">
        <f>IF(ISNUMBER(F7119),C7119*F7119,"")</f>
        <v/>
      </c>
    </row>
    <row r="7120" spans="1:7" ht="12" customHeight="1" outlineLevel="3" x14ac:dyDescent="0.2">
      <c r="A7120" s="14" t="s">
        <v>14027</v>
      </c>
      <c r="B7120" s="15" t="s">
        <v>14028</v>
      </c>
      <c r="C7120" s="16">
        <f>216.68/(1+B2)</f>
        <v>216.68</v>
      </c>
      <c r="D7120" s="17" t="s">
        <v>11</v>
      </c>
      <c r="E7120" s="17"/>
      <c r="F7120" s="18"/>
      <c r="G7120" s="36" t="str">
        <f>IF(ISNUMBER(F7120),C7120*F7120,"")</f>
        <v/>
      </c>
    </row>
    <row r="7121" spans="1:7" ht="12" customHeight="1" outlineLevel="3" x14ac:dyDescent="0.2">
      <c r="A7121" s="14" t="s">
        <v>14029</v>
      </c>
      <c r="B7121" s="15" t="s">
        <v>14030</v>
      </c>
      <c r="C7121" s="16">
        <f>455.03/(1+B2)</f>
        <v>455.03</v>
      </c>
      <c r="D7121" s="17" t="s">
        <v>11</v>
      </c>
      <c r="E7121" s="17"/>
      <c r="F7121" s="18"/>
      <c r="G7121" s="36" t="str">
        <f>IF(ISNUMBER(F7121),C7121*F7121,"")</f>
        <v/>
      </c>
    </row>
    <row r="7122" spans="1:7" ht="12" customHeight="1" outlineLevel="3" x14ac:dyDescent="0.2">
      <c r="A7122" s="14" t="s">
        <v>14031</v>
      </c>
      <c r="B7122" s="15" t="s">
        <v>14032</v>
      </c>
      <c r="C7122" s="16">
        <f>522.94/(1+B2)</f>
        <v>522.94000000000005</v>
      </c>
      <c r="D7122" s="17" t="s">
        <v>11</v>
      </c>
      <c r="E7122" s="17"/>
      <c r="F7122" s="18"/>
      <c r="G7122" s="36" t="str">
        <f>IF(ISNUMBER(F7122),C7122*F7122,"")</f>
        <v/>
      </c>
    </row>
    <row r="7123" spans="1:7" ht="12" customHeight="1" outlineLevel="3" x14ac:dyDescent="0.2">
      <c r="A7123" s="14" t="s">
        <v>14033</v>
      </c>
      <c r="B7123" s="15" t="s">
        <v>14034</v>
      </c>
      <c r="C7123" s="16">
        <f>71.31/(1+B2)</f>
        <v>71.31</v>
      </c>
      <c r="D7123" s="17" t="s">
        <v>14</v>
      </c>
      <c r="E7123" s="17"/>
      <c r="F7123" s="18"/>
      <c r="G7123" s="36" t="str">
        <f>IF(ISNUMBER(F7123),C7123*F7123,"")</f>
        <v/>
      </c>
    </row>
    <row r="7124" spans="1:7" ht="12" customHeight="1" outlineLevel="3" x14ac:dyDescent="0.2">
      <c r="A7124" s="14" t="s">
        <v>14035</v>
      </c>
      <c r="B7124" s="15" t="s">
        <v>14036</v>
      </c>
      <c r="C7124" s="16">
        <f>71.31/(1+B2)</f>
        <v>71.31</v>
      </c>
      <c r="D7124" s="17" t="s">
        <v>11</v>
      </c>
      <c r="E7124" s="17"/>
      <c r="F7124" s="18"/>
      <c r="G7124" s="36" t="str">
        <f>IF(ISNUMBER(F7124),C7124*F7124,"")</f>
        <v/>
      </c>
    </row>
    <row r="7125" spans="1:7" ht="12" customHeight="1" outlineLevel="3" x14ac:dyDescent="0.2">
      <c r="A7125" s="14" t="s">
        <v>14037</v>
      </c>
      <c r="B7125" s="15" t="s">
        <v>14038</v>
      </c>
      <c r="C7125" s="16">
        <f>68.56/(1+B2)</f>
        <v>68.56</v>
      </c>
      <c r="D7125" s="17" t="s">
        <v>11</v>
      </c>
      <c r="E7125" s="17"/>
      <c r="F7125" s="18"/>
      <c r="G7125" s="36" t="str">
        <f>IF(ISNUMBER(F7125),C7125*F7125,"")</f>
        <v/>
      </c>
    </row>
    <row r="7126" spans="1:7" ht="12" customHeight="1" outlineLevel="3" x14ac:dyDescent="0.2">
      <c r="A7126" s="14" t="s">
        <v>14039</v>
      </c>
      <c r="B7126" s="15" t="s">
        <v>14040</v>
      </c>
      <c r="C7126" s="16">
        <f>75.93/(1+B2)</f>
        <v>75.930000000000007</v>
      </c>
      <c r="D7126" s="17" t="s">
        <v>11</v>
      </c>
      <c r="E7126" s="17"/>
      <c r="F7126" s="18"/>
      <c r="G7126" s="36" t="str">
        <f>IF(ISNUMBER(F7126),C7126*F7126,"")</f>
        <v/>
      </c>
    </row>
    <row r="7127" spans="1:7" ht="12" customHeight="1" outlineLevel="3" x14ac:dyDescent="0.2">
      <c r="A7127" s="14" t="s">
        <v>14041</v>
      </c>
      <c r="B7127" s="15" t="s">
        <v>14042</v>
      </c>
      <c r="C7127" s="16">
        <f>178.3/(1+B2)</f>
        <v>178.3</v>
      </c>
      <c r="D7127" s="17" t="s">
        <v>11</v>
      </c>
      <c r="E7127" s="17"/>
      <c r="F7127" s="18"/>
      <c r="G7127" s="36" t="str">
        <f>IF(ISNUMBER(F7127),C7127*F7127,"")</f>
        <v/>
      </c>
    </row>
    <row r="7128" spans="1:7" ht="12" customHeight="1" outlineLevel="3" x14ac:dyDescent="0.2">
      <c r="A7128" s="14" t="s">
        <v>14043</v>
      </c>
      <c r="B7128" s="15" t="s">
        <v>14044</v>
      </c>
      <c r="C7128" s="16">
        <f>184.22/(1+B2)</f>
        <v>184.22</v>
      </c>
      <c r="D7128" s="17" t="s">
        <v>11</v>
      </c>
      <c r="E7128" s="17" t="s">
        <v>53</v>
      </c>
      <c r="F7128" s="18"/>
      <c r="G7128" s="36" t="str">
        <f>IF(ISNUMBER(F7128),C7128*F7128,"")</f>
        <v/>
      </c>
    </row>
    <row r="7129" spans="1:7" ht="12" customHeight="1" outlineLevel="3" x14ac:dyDescent="0.2">
      <c r="A7129" s="14" t="s">
        <v>14045</v>
      </c>
      <c r="B7129" s="15" t="s">
        <v>14046</v>
      </c>
      <c r="C7129" s="16">
        <f>61.88/(1+B2)</f>
        <v>61.88</v>
      </c>
      <c r="D7129" s="17" t="s">
        <v>11</v>
      </c>
      <c r="E7129" s="17"/>
      <c r="F7129" s="18"/>
      <c r="G7129" s="36" t="str">
        <f>IF(ISNUMBER(F7129),C7129*F7129,"")</f>
        <v/>
      </c>
    </row>
    <row r="7130" spans="1:7" ht="12" customHeight="1" outlineLevel="3" x14ac:dyDescent="0.2">
      <c r="A7130" s="14" t="s">
        <v>14047</v>
      </c>
      <c r="B7130" s="15" t="s">
        <v>14048</v>
      </c>
      <c r="C7130" s="16">
        <f>15.56/(1+B2)</f>
        <v>15.56</v>
      </c>
      <c r="D7130" s="17" t="s">
        <v>53</v>
      </c>
      <c r="E7130" s="17" t="s">
        <v>53</v>
      </c>
      <c r="F7130" s="18"/>
      <c r="G7130" s="36" t="str">
        <f>IF(ISNUMBER(F7130),C7130*F7130,"")</f>
        <v/>
      </c>
    </row>
    <row r="7131" spans="1:7" ht="12" customHeight="1" outlineLevel="3" x14ac:dyDescent="0.2">
      <c r="A7131" s="14" t="s">
        <v>14049</v>
      </c>
      <c r="B7131" s="15" t="s">
        <v>14050</v>
      </c>
      <c r="C7131" s="16">
        <f>15.56/(1+B2)</f>
        <v>15.56</v>
      </c>
      <c r="D7131" s="17" t="s">
        <v>11</v>
      </c>
      <c r="E7131" s="17" t="s">
        <v>53</v>
      </c>
      <c r="F7131" s="18"/>
      <c r="G7131" s="36" t="str">
        <f>IF(ISNUMBER(F7131),C7131*F7131,"")</f>
        <v/>
      </c>
    </row>
    <row r="7132" spans="1:7" ht="12" customHeight="1" outlineLevel="3" x14ac:dyDescent="0.2">
      <c r="A7132" s="14" t="s">
        <v>14051</v>
      </c>
      <c r="B7132" s="15" t="s">
        <v>14052</v>
      </c>
      <c r="C7132" s="16">
        <f>64.66/(1+B2)</f>
        <v>64.66</v>
      </c>
      <c r="D7132" s="17" t="s">
        <v>11</v>
      </c>
      <c r="E7132" s="17"/>
      <c r="F7132" s="18"/>
      <c r="G7132" s="36" t="str">
        <f>IF(ISNUMBER(F7132),C7132*F7132,"")</f>
        <v/>
      </c>
    </row>
    <row r="7133" spans="1:7" ht="12" customHeight="1" outlineLevel="3" x14ac:dyDescent="0.2">
      <c r="A7133" s="14" t="s">
        <v>14053</v>
      </c>
      <c r="B7133" s="15" t="s">
        <v>14054</v>
      </c>
      <c r="C7133" s="16">
        <f>57.95/(1+B2)</f>
        <v>57.95</v>
      </c>
      <c r="D7133" s="17" t="s">
        <v>14</v>
      </c>
      <c r="E7133" s="17"/>
      <c r="F7133" s="18"/>
      <c r="G7133" s="36" t="str">
        <f>IF(ISNUMBER(F7133),C7133*F7133,"")</f>
        <v/>
      </c>
    </row>
    <row r="7134" spans="1:7" ht="12" customHeight="1" outlineLevel="3" x14ac:dyDescent="0.2">
      <c r="A7134" s="14" t="s">
        <v>14055</v>
      </c>
      <c r="B7134" s="15" t="s">
        <v>14056</v>
      </c>
      <c r="C7134" s="16">
        <f>16.35/(1+B2)</f>
        <v>16.350000000000001</v>
      </c>
      <c r="D7134" s="17" t="s">
        <v>53</v>
      </c>
      <c r="E7134" s="17" t="s">
        <v>106</v>
      </c>
      <c r="F7134" s="18"/>
      <c r="G7134" s="36" t="str">
        <f>IF(ISNUMBER(F7134),C7134*F7134,"")</f>
        <v/>
      </c>
    </row>
    <row r="7135" spans="1:7" ht="12" customHeight="1" outlineLevel="3" x14ac:dyDescent="0.2">
      <c r="A7135" s="14" t="s">
        <v>14057</v>
      </c>
      <c r="B7135" s="15" t="s">
        <v>14058</v>
      </c>
      <c r="C7135" s="16">
        <f>57.95/(1+B2)</f>
        <v>57.95</v>
      </c>
      <c r="D7135" s="17" t="s">
        <v>14</v>
      </c>
      <c r="E7135" s="17" t="s">
        <v>11</v>
      </c>
      <c r="F7135" s="18"/>
      <c r="G7135" s="36" t="str">
        <f>IF(ISNUMBER(F7135),C7135*F7135,"")</f>
        <v/>
      </c>
    </row>
    <row r="7136" spans="1:7" ht="12" customHeight="1" outlineLevel="3" x14ac:dyDescent="0.2">
      <c r="A7136" s="14" t="s">
        <v>14059</v>
      </c>
      <c r="B7136" s="15" t="s">
        <v>14060</v>
      </c>
      <c r="C7136" s="16">
        <f>29.28/(1+B2)</f>
        <v>29.28</v>
      </c>
      <c r="D7136" s="17" t="s">
        <v>11</v>
      </c>
      <c r="E7136" s="17"/>
      <c r="F7136" s="18"/>
      <c r="G7136" s="36" t="str">
        <f>IF(ISNUMBER(F7136),C7136*F7136,"")</f>
        <v/>
      </c>
    </row>
    <row r="7137" spans="1:7" ht="12" customHeight="1" outlineLevel="3" x14ac:dyDescent="0.2">
      <c r="A7137" s="14" t="s">
        <v>14061</v>
      </c>
      <c r="B7137" s="15" t="s">
        <v>14062</v>
      </c>
      <c r="C7137" s="16">
        <f>43.92/(1+B2)</f>
        <v>43.92</v>
      </c>
      <c r="D7137" s="17" t="s">
        <v>11</v>
      </c>
      <c r="E7137" s="17"/>
      <c r="F7137" s="18"/>
      <c r="G7137" s="36" t="str">
        <f>IF(ISNUMBER(F7137),C7137*F7137,"")</f>
        <v/>
      </c>
    </row>
    <row r="7138" spans="1:7" s="1" customFormat="1" ht="12.95" customHeight="1" outlineLevel="2" x14ac:dyDescent="0.2">
      <c r="A7138" s="20"/>
      <c r="B7138" s="21" t="s">
        <v>14063</v>
      </c>
      <c r="C7138" s="22"/>
      <c r="D7138" s="22"/>
      <c r="E7138" s="22"/>
      <c r="F7138" s="22"/>
      <c r="G7138" s="37"/>
    </row>
    <row r="7139" spans="1:7" ht="12" customHeight="1" outlineLevel="3" x14ac:dyDescent="0.2">
      <c r="A7139" s="14" t="s">
        <v>14064</v>
      </c>
      <c r="B7139" s="15" t="s">
        <v>14065</v>
      </c>
      <c r="C7139" s="16">
        <f>219.14/(1+B2)</f>
        <v>219.14</v>
      </c>
      <c r="D7139" s="17" t="s">
        <v>11</v>
      </c>
      <c r="E7139" s="17"/>
      <c r="F7139" s="18"/>
      <c r="G7139" s="36" t="str">
        <f>IF(ISNUMBER(F7139),C7139*F7139,"")</f>
        <v/>
      </c>
    </row>
    <row r="7140" spans="1:7" ht="12" customHeight="1" outlineLevel="3" x14ac:dyDescent="0.2">
      <c r="A7140" s="14" t="s">
        <v>14066</v>
      </c>
      <c r="B7140" s="15" t="s">
        <v>14067</v>
      </c>
      <c r="C7140" s="16">
        <f>23.84/(1+B2)</f>
        <v>23.84</v>
      </c>
      <c r="D7140" s="17" t="s">
        <v>11</v>
      </c>
      <c r="E7140" s="17"/>
      <c r="F7140" s="18"/>
      <c r="G7140" s="36" t="str">
        <f>IF(ISNUMBER(F7140),C7140*F7140,"")</f>
        <v/>
      </c>
    </row>
    <row r="7141" spans="1:7" ht="12" customHeight="1" outlineLevel="3" x14ac:dyDescent="0.2">
      <c r="A7141" s="14" t="s">
        <v>14068</v>
      </c>
      <c r="B7141" s="15" t="s">
        <v>14069</v>
      </c>
      <c r="C7141" s="16">
        <f>21.6/(1+B2)</f>
        <v>21.6</v>
      </c>
      <c r="D7141" s="17" t="s">
        <v>11</v>
      </c>
      <c r="E7141" s="17"/>
      <c r="F7141" s="18"/>
      <c r="G7141" s="36" t="str">
        <f>IF(ISNUMBER(F7141),C7141*F7141,"")</f>
        <v/>
      </c>
    </row>
    <row r="7142" spans="1:7" ht="12" customHeight="1" outlineLevel="3" x14ac:dyDescent="0.2">
      <c r="A7142" s="14" t="s">
        <v>14070</v>
      </c>
      <c r="B7142" s="15" t="s">
        <v>14071</v>
      </c>
      <c r="C7142" s="16">
        <f>360/(1+B2)</f>
        <v>360</v>
      </c>
      <c r="D7142" s="17" t="s">
        <v>11</v>
      </c>
      <c r="E7142" s="17"/>
      <c r="F7142" s="18"/>
      <c r="G7142" s="36" t="str">
        <f>IF(ISNUMBER(F7142),C7142*F7142,"")</f>
        <v/>
      </c>
    </row>
    <row r="7143" spans="1:7" ht="12" customHeight="1" outlineLevel="3" x14ac:dyDescent="0.2">
      <c r="A7143" s="14" t="s">
        <v>14072</v>
      </c>
      <c r="B7143" s="15" t="s">
        <v>14073</v>
      </c>
      <c r="C7143" s="16">
        <f>360/(1+B2)</f>
        <v>360</v>
      </c>
      <c r="D7143" s="17" t="s">
        <v>14</v>
      </c>
      <c r="E7143" s="17"/>
      <c r="F7143" s="18"/>
      <c r="G7143" s="36" t="str">
        <f>IF(ISNUMBER(F7143),C7143*F7143,"")</f>
        <v/>
      </c>
    </row>
    <row r="7144" spans="1:7" ht="12" customHeight="1" outlineLevel="3" x14ac:dyDescent="0.2">
      <c r="A7144" s="14" t="s">
        <v>14074</v>
      </c>
      <c r="B7144" s="15" t="s">
        <v>14075</v>
      </c>
      <c r="C7144" s="16">
        <f>88.08/(1+B2)</f>
        <v>88.08</v>
      </c>
      <c r="D7144" s="17" t="s">
        <v>11</v>
      </c>
      <c r="E7144" s="17"/>
      <c r="F7144" s="18"/>
      <c r="G7144" s="36" t="str">
        <f>IF(ISNUMBER(F7144),C7144*F7144,"")</f>
        <v/>
      </c>
    </row>
    <row r="7145" spans="1:7" ht="12" customHeight="1" outlineLevel="3" x14ac:dyDescent="0.2">
      <c r="A7145" s="14" t="s">
        <v>14076</v>
      </c>
      <c r="B7145" s="15" t="s">
        <v>14077</v>
      </c>
      <c r="C7145" s="16">
        <f>118.95/(1+B2)</f>
        <v>118.95</v>
      </c>
      <c r="D7145" s="17" t="s">
        <v>11</v>
      </c>
      <c r="E7145" s="17"/>
      <c r="F7145" s="18"/>
      <c r="G7145" s="36" t="str">
        <f>IF(ISNUMBER(F7145),C7145*F7145,"")</f>
        <v/>
      </c>
    </row>
    <row r="7146" spans="1:7" ht="12" customHeight="1" outlineLevel="3" x14ac:dyDescent="0.2">
      <c r="A7146" s="14" t="s">
        <v>14078</v>
      </c>
      <c r="B7146" s="15" t="s">
        <v>14079</v>
      </c>
      <c r="C7146" s="16">
        <f>118.95/(1+B2)</f>
        <v>118.95</v>
      </c>
      <c r="D7146" s="17" t="s">
        <v>11</v>
      </c>
      <c r="E7146" s="17"/>
      <c r="F7146" s="18"/>
      <c r="G7146" s="36" t="str">
        <f>IF(ISNUMBER(F7146),C7146*F7146,"")</f>
        <v/>
      </c>
    </row>
    <row r="7147" spans="1:7" ht="12" customHeight="1" outlineLevel="3" x14ac:dyDescent="0.2">
      <c r="A7147" s="14" t="s">
        <v>14080</v>
      </c>
      <c r="B7147" s="15" t="s">
        <v>14081</v>
      </c>
      <c r="C7147" s="16">
        <f>28.67/(1+B2)</f>
        <v>28.67</v>
      </c>
      <c r="D7147" s="17" t="s">
        <v>11</v>
      </c>
      <c r="E7147" s="17" t="s">
        <v>53</v>
      </c>
      <c r="F7147" s="18"/>
      <c r="G7147" s="36" t="str">
        <f>IF(ISNUMBER(F7147),C7147*F7147,"")</f>
        <v/>
      </c>
    </row>
    <row r="7148" spans="1:7" ht="12" customHeight="1" outlineLevel="3" x14ac:dyDescent="0.2">
      <c r="A7148" s="14" t="s">
        <v>14082</v>
      </c>
      <c r="B7148" s="15" t="s">
        <v>14083</v>
      </c>
      <c r="C7148" s="16">
        <f>84.18/(1+B2)</f>
        <v>84.18</v>
      </c>
      <c r="D7148" s="17" t="s">
        <v>11</v>
      </c>
      <c r="E7148" s="17" t="s">
        <v>14</v>
      </c>
      <c r="F7148" s="18"/>
      <c r="G7148" s="36" t="str">
        <f>IF(ISNUMBER(F7148),C7148*F7148,"")</f>
        <v/>
      </c>
    </row>
    <row r="7149" spans="1:7" ht="12" customHeight="1" outlineLevel="3" x14ac:dyDescent="0.2">
      <c r="A7149" s="14" t="s">
        <v>14084</v>
      </c>
      <c r="B7149" s="15" t="s">
        <v>14085</v>
      </c>
      <c r="C7149" s="16">
        <f>59.05/(1+B2)</f>
        <v>59.05</v>
      </c>
      <c r="D7149" s="17" t="s">
        <v>14</v>
      </c>
      <c r="E7149" s="17"/>
      <c r="F7149" s="18"/>
      <c r="G7149" s="36" t="str">
        <f>IF(ISNUMBER(F7149),C7149*F7149,"")</f>
        <v/>
      </c>
    </row>
    <row r="7150" spans="1:7" ht="12" customHeight="1" outlineLevel="3" x14ac:dyDescent="0.2">
      <c r="A7150" s="14" t="s">
        <v>14086</v>
      </c>
      <c r="B7150" s="15" t="s">
        <v>14087</v>
      </c>
      <c r="C7150" s="16">
        <f>59.05/(1+B2)</f>
        <v>59.05</v>
      </c>
      <c r="D7150" s="17" t="s">
        <v>11</v>
      </c>
      <c r="E7150" s="17"/>
      <c r="F7150" s="18"/>
      <c r="G7150" s="36" t="str">
        <f>IF(ISNUMBER(F7150),C7150*F7150,"")</f>
        <v/>
      </c>
    </row>
    <row r="7151" spans="1:7" ht="12" customHeight="1" outlineLevel="3" x14ac:dyDescent="0.2">
      <c r="A7151" s="14" t="s">
        <v>14088</v>
      </c>
      <c r="B7151" s="15" t="s">
        <v>14089</v>
      </c>
      <c r="C7151" s="16">
        <f>143.47/(1+B2)</f>
        <v>143.47</v>
      </c>
      <c r="D7151" s="17" t="s">
        <v>11</v>
      </c>
      <c r="E7151" s="17"/>
      <c r="F7151" s="18"/>
      <c r="G7151" s="36" t="str">
        <f>IF(ISNUMBER(F7151),C7151*F7151,"")</f>
        <v/>
      </c>
    </row>
    <row r="7152" spans="1:7" ht="12" customHeight="1" outlineLevel="3" x14ac:dyDescent="0.2">
      <c r="A7152" s="14" t="s">
        <v>14090</v>
      </c>
      <c r="B7152" s="15" t="s">
        <v>14091</v>
      </c>
      <c r="C7152" s="16">
        <f>186.17/(1+B2)</f>
        <v>186.17</v>
      </c>
      <c r="D7152" s="17" t="s">
        <v>14</v>
      </c>
      <c r="E7152" s="17"/>
      <c r="F7152" s="18"/>
      <c r="G7152" s="36" t="str">
        <f>IF(ISNUMBER(F7152),C7152*F7152,"")</f>
        <v/>
      </c>
    </row>
    <row r="7153" spans="1:7" ht="12" customHeight="1" outlineLevel="3" x14ac:dyDescent="0.2">
      <c r="A7153" s="14" t="s">
        <v>14092</v>
      </c>
      <c r="B7153" s="15" t="s">
        <v>14093</v>
      </c>
      <c r="C7153" s="16">
        <f>22.94/(1+B2)</f>
        <v>22.94</v>
      </c>
      <c r="D7153" s="17" t="s">
        <v>14</v>
      </c>
      <c r="E7153" s="17" t="s">
        <v>53</v>
      </c>
      <c r="F7153" s="18"/>
      <c r="G7153" s="36" t="str">
        <f>IF(ISNUMBER(F7153),C7153*F7153,"")</f>
        <v/>
      </c>
    </row>
    <row r="7154" spans="1:7" ht="12" customHeight="1" outlineLevel="3" x14ac:dyDescent="0.2">
      <c r="A7154" s="14" t="s">
        <v>14094</v>
      </c>
      <c r="B7154" s="15" t="s">
        <v>14095</v>
      </c>
      <c r="C7154" s="16">
        <f>22.94/(1+B2)</f>
        <v>22.94</v>
      </c>
      <c r="D7154" s="17" t="s">
        <v>14</v>
      </c>
      <c r="E7154" s="17" t="s">
        <v>53</v>
      </c>
      <c r="F7154" s="18"/>
      <c r="G7154" s="36" t="str">
        <f>IF(ISNUMBER(F7154),C7154*F7154,"")</f>
        <v/>
      </c>
    </row>
    <row r="7155" spans="1:7" ht="12" customHeight="1" outlineLevel="3" x14ac:dyDescent="0.2">
      <c r="A7155" s="14" t="s">
        <v>14096</v>
      </c>
      <c r="B7155" s="15" t="s">
        <v>14097</v>
      </c>
      <c r="C7155" s="16">
        <f>50.75/(1+B2)</f>
        <v>50.75</v>
      </c>
      <c r="D7155" s="17" t="s">
        <v>11</v>
      </c>
      <c r="E7155" s="17" t="s">
        <v>11</v>
      </c>
      <c r="F7155" s="18"/>
      <c r="G7155" s="36" t="str">
        <f>IF(ISNUMBER(F7155),C7155*F7155,"")</f>
        <v/>
      </c>
    </row>
    <row r="7156" spans="1:7" s="1" customFormat="1" ht="15.95" customHeight="1" outlineLevel="1" x14ac:dyDescent="0.25">
      <c r="A7156" s="11"/>
      <c r="B7156" s="12" t="s">
        <v>14098</v>
      </c>
      <c r="C7156" s="13"/>
      <c r="D7156" s="13"/>
      <c r="E7156" s="13"/>
      <c r="F7156" s="13"/>
      <c r="G7156" s="35"/>
    </row>
    <row r="7157" spans="1:7" s="1" customFormat="1" ht="12.95" customHeight="1" outlineLevel="2" x14ac:dyDescent="0.2">
      <c r="A7157" s="20"/>
      <c r="B7157" s="21" t="s">
        <v>14099</v>
      </c>
      <c r="C7157" s="22"/>
      <c r="D7157" s="22"/>
      <c r="E7157" s="22"/>
      <c r="F7157" s="22"/>
      <c r="G7157" s="37"/>
    </row>
    <row r="7158" spans="1:7" ht="12" customHeight="1" outlineLevel="3" x14ac:dyDescent="0.2">
      <c r="A7158" s="14" t="s">
        <v>14100</v>
      </c>
      <c r="B7158" s="15" t="s">
        <v>14101</v>
      </c>
      <c r="C7158" s="16">
        <f>59.53/(1+B2)</f>
        <v>59.53</v>
      </c>
      <c r="D7158" s="17" t="s">
        <v>11</v>
      </c>
      <c r="E7158" s="17" t="s">
        <v>11</v>
      </c>
      <c r="F7158" s="18"/>
      <c r="G7158" s="36" t="str">
        <f>IF(ISNUMBER(F7158),C7158*F7158,"")</f>
        <v/>
      </c>
    </row>
    <row r="7159" spans="1:7" ht="12" customHeight="1" outlineLevel="3" x14ac:dyDescent="0.2">
      <c r="A7159" s="14" t="s">
        <v>14102</v>
      </c>
      <c r="B7159" s="15" t="s">
        <v>14103</v>
      </c>
      <c r="C7159" s="16">
        <f>59.53/(1+B2)</f>
        <v>59.53</v>
      </c>
      <c r="D7159" s="17" t="s">
        <v>11</v>
      </c>
      <c r="E7159" s="17" t="s">
        <v>11</v>
      </c>
      <c r="F7159" s="18"/>
      <c r="G7159" s="36" t="str">
        <f>IF(ISNUMBER(F7159),C7159*F7159,"")</f>
        <v/>
      </c>
    </row>
    <row r="7160" spans="1:7" ht="12" customHeight="1" outlineLevel="3" x14ac:dyDescent="0.2">
      <c r="A7160" s="14" t="s">
        <v>14104</v>
      </c>
      <c r="B7160" s="15" t="s">
        <v>14105</v>
      </c>
      <c r="C7160" s="16">
        <f>59.53/(1+B2)</f>
        <v>59.53</v>
      </c>
      <c r="D7160" s="17" t="s">
        <v>11</v>
      </c>
      <c r="E7160" s="17" t="s">
        <v>11</v>
      </c>
      <c r="F7160" s="18"/>
      <c r="G7160" s="36" t="str">
        <f>IF(ISNUMBER(F7160),C7160*F7160,"")</f>
        <v/>
      </c>
    </row>
    <row r="7161" spans="1:7" ht="12" customHeight="1" outlineLevel="3" x14ac:dyDescent="0.2">
      <c r="A7161" s="14" t="s">
        <v>14106</v>
      </c>
      <c r="B7161" s="15" t="s">
        <v>14107</v>
      </c>
      <c r="C7161" s="16">
        <f>36.99/(1+B2)</f>
        <v>36.99</v>
      </c>
      <c r="D7161" s="17" t="s">
        <v>11</v>
      </c>
      <c r="E7161" s="17"/>
      <c r="F7161" s="18"/>
      <c r="G7161" s="36" t="str">
        <f>IF(ISNUMBER(F7161),C7161*F7161,"")</f>
        <v/>
      </c>
    </row>
    <row r="7162" spans="1:7" ht="12" customHeight="1" outlineLevel="3" x14ac:dyDescent="0.2">
      <c r="A7162" s="14" t="s">
        <v>14108</v>
      </c>
      <c r="B7162" s="15" t="s">
        <v>14109</v>
      </c>
      <c r="C7162" s="16">
        <f>36.99/(1+B2)</f>
        <v>36.99</v>
      </c>
      <c r="D7162" s="17" t="s">
        <v>11</v>
      </c>
      <c r="E7162" s="17"/>
      <c r="F7162" s="18"/>
      <c r="G7162" s="36" t="str">
        <f>IF(ISNUMBER(F7162),C7162*F7162,"")</f>
        <v/>
      </c>
    </row>
    <row r="7163" spans="1:7" ht="12" customHeight="1" outlineLevel="3" x14ac:dyDescent="0.2">
      <c r="A7163" s="14" t="s">
        <v>14110</v>
      </c>
      <c r="B7163" s="15" t="s">
        <v>14111</v>
      </c>
      <c r="C7163" s="16">
        <f>36.99/(1+B2)</f>
        <v>36.99</v>
      </c>
      <c r="D7163" s="17" t="s">
        <v>11</v>
      </c>
      <c r="E7163" s="17" t="s">
        <v>14</v>
      </c>
      <c r="F7163" s="18"/>
      <c r="G7163" s="36" t="str">
        <f>IF(ISNUMBER(F7163),C7163*F7163,"")</f>
        <v/>
      </c>
    </row>
    <row r="7164" spans="1:7" ht="12" customHeight="1" outlineLevel="3" x14ac:dyDescent="0.2">
      <c r="A7164" s="14" t="s">
        <v>14112</v>
      </c>
      <c r="B7164" s="15" t="s">
        <v>14113</v>
      </c>
      <c r="C7164" s="16">
        <f>50.93/(1+B2)</f>
        <v>50.93</v>
      </c>
      <c r="D7164" s="17" t="s">
        <v>11</v>
      </c>
      <c r="E7164" s="17" t="s">
        <v>14</v>
      </c>
      <c r="F7164" s="18"/>
      <c r="G7164" s="36" t="str">
        <f>IF(ISNUMBER(F7164),C7164*F7164,"")</f>
        <v/>
      </c>
    </row>
    <row r="7165" spans="1:7" ht="12" customHeight="1" outlineLevel="3" x14ac:dyDescent="0.2">
      <c r="A7165" s="14" t="s">
        <v>14114</v>
      </c>
      <c r="B7165" s="15" t="s">
        <v>14115</v>
      </c>
      <c r="C7165" s="16">
        <f>35.7/(1+B2)</f>
        <v>35.700000000000003</v>
      </c>
      <c r="D7165" s="17" t="s">
        <v>11</v>
      </c>
      <c r="E7165" s="17" t="s">
        <v>11</v>
      </c>
      <c r="F7165" s="18"/>
      <c r="G7165" s="36" t="str">
        <f>IF(ISNUMBER(F7165),C7165*F7165,"")</f>
        <v/>
      </c>
    </row>
    <row r="7166" spans="1:7" ht="12" customHeight="1" outlineLevel="3" x14ac:dyDescent="0.2">
      <c r="A7166" s="14" t="s">
        <v>14116</v>
      </c>
      <c r="B7166" s="15" t="s">
        <v>14117</v>
      </c>
      <c r="C7166" s="16">
        <f>26.33/(1+B2)</f>
        <v>26.33</v>
      </c>
      <c r="D7166" s="17" t="s">
        <v>11</v>
      </c>
      <c r="E7166" s="17" t="s">
        <v>53</v>
      </c>
      <c r="F7166" s="18"/>
      <c r="G7166" s="36" t="str">
        <f>IF(ISNUMBER(F7166),C7166*F7166,"")</f>
        <v/>
      </c>
    </row>
    <row r="7167" spans="1:7" ht="12" customHeight="1" outlineLevel="3" x14ac:dyDescent="0.2">
      <c r="A7167" s="14" t="s">
        <v>14118</v>
      </c>
      <c r="B7167" s="15" t="s">
        <v>14119</v>
      </c>
      <c r="C7167" s="16">
        <f>26.33/(1+B2)</f>
        <v>26.33</v>
      </c>
      <c r="D7167" s="17" t="s">
        <v>11</v>
      </c>
      <c r="E7167" s="17"/>
      <c r="F7167" s="18"/>
      <c r="G7167" s="36" t="str">
        <f>IF(ISNUMBER(F7167),C7167*F7167,"")</f>
        <v/>
      </c>
    </row>
    <row r="7168" spans="1:7" ht="12" customHeight="1" outlineLevel="3" x14ac:dyDescent="0.2">
      <c r="A7168" s="14" t="s">
        <v>14120</v>
      </c>
      <c r="B7168" s="15" t="s">
        <v>14121</v>
      </c>
      <c r="C7168" s="16">
        <f>14.63/(1+B2)</f>
        <v>14.63</v>
      </c>
      <c r="D7168" s="17" t="s">
        <v>11</v>
      </c>
      <c r="E7168" s="17" t="s">
        <v>106</v>
      </c>
      <c r="F7168" s="18"/>
      <c r="G7168" s="36" t="str">
        <f>IF(ISNUMBER(F7168),C7168*F7168,"")</f>
        <v/>
      </c>
    </row>
    <row r="7169" spans="1:7" ht="12" customHeight="1" outlineLevel="3" x14ac:dyDescent="0.2">
      <c r="A7169" s="14" t="s">
        <v>14122</v>
      </c>
      <c r="B7169" s="15" t="s">
        <v>14123</v>
      </c>
      <c r="C7169" s="16">
        <f>12.39/(1+B2)</f>
        <v>12.39</v>
      </c>
      <c r="D7169" s="17" t="s">
        <v>11</v>
      </c>
      <c r="E7169" s="17"/>
      <c r="F7169" s="18"/>
      <c r="G7169" s="36" t="str">
        <f>IF(ISNUMBER(F7169),C7169*F7169,"")</f>
        <v/>
      </c>
    </row>
    <row r="7170" spans="1:7" ht="12" customHeight="1" outlineLevel="3" x14ac:dyDescent="0.2">
      <c r="A7170" s="14" t="s">
        <v>14124</v>
      </c>
      <c r="B7170" s="15" t="s">
        <v>14125</v>
      </c>
      <c r="C7170" s="16">
        <f>22.49/(1+B2)</f>
        <v>22.49</v>
      </c>
      <c r="D7170" s="17" t="s">
        <v>11</v>
      </c>
      <c r="E7170" s="17"/>
      <c r="F7170" s="18"/>
      <c r="G7170" s="36" t="str">
        <f>IF(ISNUMBER(F7170),C7170*F7170,"")</f>
        <v/>
      </c>
    </row>
    <row r="7171" spans="1:7" ht="12" customHeight="1" outlineLevel="3" x14ac:dyDescent="0.2">
      <c r="A7171" s="14" t="s">
        <v>14126</v>
      </c>
      <c r="B7171" s="15" t="s">
        <v>14127</v>
      </c>
      <c r="C7171" s="16">
        <f>11.08/(1+B2)</f>
        <v>11.08</v>
      </c>
      <c r="D7171" s="17" t="s">
        <v>11</v>
      </c>
      <c r="E7171" s="17" t="s">
        <v>106</v>
      </c>
      <c r="F7171" s="18"/>
      <c r="G7171" s="36" t="str">
        <f>IF(ISNUMBER(F7171),C7171*F7171,"")</f>
        <v/>
      </c>
    </row>
    <row r="7172" spans="1:7" ht="12" customHeight="1" outlineLevel="3" x14ac:dyDescent="0.2">
      <c r="A7172" s="14" t="s">
        <v>14128</v>
      </c>
      <c r="B7172" s="15" t="s">
        <v>14129</v>
      </c>
      <c r="C7172" s="16">
        <f>41.26/(1+B2)</f>
        <v>41.26</v>
      </c>
      <c r="D7172" s="17" t="s">
        <v>11</v>
      </c>
      <c r="E7172" s="17"/>
      <c r="F7172" s="18"/>
      <c r="G7172" s="36" t="str">
        <f>IF(ISNUMBER(F7172),C7172*F7172,"")</f>
        <v/>
      </c>
    </row>
    <row r="7173" spans="1:7" ht="12" customHeight="1" outlineLevel="3" x14ac:dyDescent="0.2">
      <c r="A7173" s="14" t="s">
        <v>14130</v>
      </c>
      <c r="B7173" s="15" t="s">
        <v>14131</v>
      </c>
      <c r="C7173" s="16">
        <f>11.71/(1+B2)</f>
        <v>11.71</v>
      </c>
      <c r="D7173" s="17" t="s">
        <v>11</v>
      </c>
      <c r="E7173" s="17" t="s">
        <v>53</v>
      </c>
      <c r="F7173" s="18"/>
      <c r="G7173" s="36" t="str">
        <f>IF(ISNUMBER(F7173),C7173*F7173,"")</f>
        <v/>
      </c>
    </row>
    <row r="7174" spans="1:7" ht="12" customHeight="1" outlineLevel="3" x14ac:dyDescent="0.2">
      <c r="A7174" s="14" t="s">
        <v>14132</v>
      </c>
      <c r="B7174" s="15" t="s">
        <v>14133</v>
      </c>
      <c r="C7174" s="16">
        <f>16.98/(1+B2)</f>
        <v>16.98</v>
      </c>
      <c r="D7174" s="17" t="s">
        <v>11</v>
      </c>
      <c r="E7174" s="17" t="s">
        <v>11</v>
      </c>
      <c r="F7174" s="18"/>
      <c r="G7174" s="36" t="str">
        <f>IF(ISNUMBER(F7174),C7174*F7174,"")</f>
        <v/>
      </c>
    </row>
    <row r="7175" spans="1:7" ht="12" customHeight="1" outlineLevel="3" x14ac:dyDescent="0.2">
      <c r="A7175" s="14" t="s">
        <v>14134</v>
      </c>
      <c r="B7175" s="15" t="s">
        <v>14135</v>
      </c>
      <c r="C7175" s="16">
        <f>17.1/(1+B2)</f>
        <v>17.100000000000001</v>
      </c>
      <c r="D7175" s="17" t="s">
        <v>11</v>
      </c>
      <c r="E7175" s="17" t="s">
        <v>106</v>
      </c>
      <c r="F7175" s="18"/>
      <c r="G7175" s="36" t="str">
        <f>IF(ISNUMBER(F7175),C7175*F7175,"")</f>
        <v/>
      </c>
    </row>
    <row r="7176" spans="1:7" ht="12" customHeight="1" outlineLevel="3" x14ac:dyDescent="0.2">
      <c r="A7176" s="14" t="s">
        <v>14136</v>
      </c>
      <c r="B7176" s="15" t="s">
        <v>14137</v>
      </c>
      <c r="C7176" s="16">
        <f>6.11/(1+B2)</f>
        <v>6.11</v>
      </c>
      <c r="D7176" s="17" t="s">
        <v>11</v>
      </c>
      <c r="E7176" s="17" t="s">
        <v>106</v>
      </c>
      <c r="F7176" s="18"/>
      <c r="G7176" s="36" t="str">
        <f>IF(ISNUMBER(F7176),C7176*F7176,"")</f>
        <v/>
      </c>
    </row>
    <row r="7177" spans="1:7" ht="12" customHeight="1" outlineLevel="3" x14ac:dyDescent="0.2">
      <c r="A7177" s="14" t="s">
        <v>14138</v>
      </c>
      <c r="B7177" s="15" t="s">
        <v>14139</v>
      </c>
      <c r="C7177" s="16">
        <f>11.86/(1+B2)</f>
        <v>11.86</v>
      </c>
      <c r="D7177" s="17" t="s">
        <v>11</v>
      </c>
      <c r="E7177" s="17" t="s">
        <v>53</v>
      </c>
      <c r="F7177" s="18"/>
      <c r="G7177" s="36" t="str">
        <f>IF(ISNUMBER(F7177),C7177*F7177,"")</f>
        <v/>
      </c>
    </row>
    <row r="7178" spans="1:7" ht="12" customHeight="1" outlineLevel="3" x14ac:dyDescent="0.2">
      <c r="A7178" s="14" t="s">
        <v>14140</v>
      </c>
      <c r="B7178" s="15" t="s">
        <v>14141</v>
      </c>
      <c r="C7178" s="16">
        <f>15.01/(1+B2)</f>
        <v>15.01</v>
      </c>
      <c r="D7178" s="17" t="s">
        <v>11</v>
      </c>
      <c r="E7178" s="17" t="s">
        <v>14</v>
      </c>
      <c r="F7178" s="18"/>
      <c r="G7178" s="36" t="str">
        <f>IF(ISNUMBER(F7178),C7178*F7178,"")</f>
        <v/>
      </c>
    </row>
    <row r="7179" spans="1:7" ht="12" customHeight="1" outlineLevel="3" x14ac:dyDescent="0.2">
      <c r="A7179" s="14" t="s">
        <v>14142</v>
      </c>
      <c r="B7179" s="15" t="s">
        <v>14143</v>
      </c>
      <c r="C7179" s="16">
        <f>69.83/(1+B2)</f>
        <v>69.83</v>
      </c>
      <c r="D7179" s="17" t="s">
        <v>11</v>
      </c>
      <c r="E7179" s="17"/>
      <c r="F7179" s="18"/>
      <c r="G7179" s="36" t="str">
        <f>IF(ISNUMBER(F7179),C7179*F7179,"")</f>
        <v/>
      </c>
    </row>
    <row r="7180" spans="1:7" ht="12" customHeight="1" outlineLevel="3" x14ac:dyDescent="0.2">
      <c r="A7180" s="14" t="s">
        <v>14144</v>
      </c>
      <c r="B7180" s="15" t="s">
        <v>14145</v>
      </c>
      <c r="C7180" s="16">
        <f>13.93/(1+B2)</f>
        <v>13.93</v>
      </c>
      <c r="D7180" s="17" t="s">
        <v>11</v>
      </c>
      <c r="E7180" s="17" t="s">
        <v>106</v>
      </c>
      <c r="F7180" s="18"/>
      <c r="G7180" s="36" t="str">
        <f>IF(ISNUMBER(F7180),C7180*F7180,"")</f>
        <v/>
      </c>
    </row>
    <row r="7181" spans="1:7" ht="12" customHeight="1" outlineLevel="3" x14ac:dyDescent="0.2">
      <c r="A7181" s="14" t="s">
        <v>14146</v>
      </c>
      <c r="B7181" s="15" t="s">
        <v>14147</v>
      </c>
      <c r="C7181" s="16">
        <f>21.14/(1+B2)</f>
        <v>21.14</v>
      </c>
      <c r="D7181" s="17" t="s">
        <v>11</v>
      </c>
      <c r="E7181" s="17" t="s">
        <v>106</v>
      </c>
      <c r="F7181" s="18"/>
      <c r="G7181" s="36" t="str">
        <f>IF(ISNUMBER(F7181),C7181*F7181,"")</f>
        <v/>
      </c>
    </row>
    <row r="7182" spans="1:7" ht="12" customHeight="1" outlineLevel="3" x14ac:dyDescent="0.2">
      <c r="A7182" s="14" t="s">
        <v>14148</v>
      </c>
      <c r="B7182" s="15" t="s">
        <v>14149</v>
      </c>
      <c r="C7182" s="16">
        <f>19.85/(1+B2)</f>
        <v>19.850000000000001</v>
      </c>
      <c r="D7182" s="17" t="s">
        <v>11</v>
      </c>
      <c r="E7182" s="17" t="s">
        <v>53</v>
      </c>
      <c r="F7182" s="18"/>
      <c r="G7182" s="36" t="str">
        <f>IF(ISNUMBER(F7182),C7182*F7182,"")</f>
        <v/>
      </c>
    </row>
    <row r="7183" spans="1:7" ht="12" customHeight="1" outlineLevel="3" x14ac:dyDescent="0.2">
      <c r="A7183" s="14" t="s">
        <v>14150</v>
      </c>
      <c r="B7183" s="15" t="s">
        <v>14151</v>
      </c>
      <c r="C7183" s="16">
        <f>17.27/(1+B2)</f>
        <v>17.27</v>
      </c>
      <c r="D7183" s="17" t="s">
        <v>11</v>
      </c>
      <c r="E7183" s="17" t="s">
        <v>106</v>
      </c>
      <c r="F7183" s="18"/>
      <c r="G7183" s="36" t="str">
        <f>IF(ISNUMBER(F7183),C7183*F7183,"")</f>
        <v/>
      </c>
    </row>
    <row r="7184" spans="1:7" ht="12" customHeight="1" outlineLevel="3" x14ac:dyDescent="0.2">
      <c r="A7184" s="14" t="s">
        <v>14152</v>
      </c>
      <c r="B7184" s="15" t="s">
        <v>14153</v>
      </c>
      <c r="C7184" s="16">
        <f>21/(1+B2)</f>
        <v>21</v>
      </c>
      <c r="D7184" s="17" t="s">
        <v>11</v>
      </c>
      <c r="E7184" s="17"/>
      <c r="F7184" s="18"/>
      <c r="G7184" s="36" t="str">
        <f>IF(ISNUMBER(F7184),C7184*F7184,"")</f>
        <v/>
      </c>
    </row>
    <row r="7185" spans="1:7" ht="12" customHeight="1" outlineLevel="3" x14ac:dyDescent="0.2">
      <c r="A7185" s="14" t="s">
        <v>14154</v>
      </c>
      <c r="B7185" s="15" t="s">
        <v>14155</v>
      </c>
      <c r="C7185" s="16">
        <f>16.51/(1+B2)</f>
        <v>16.510000000000002</v>
      </c>
      <c r="D7185" s="17" t="s">
        <v>11</v>
      </c>
      <c r="E7185" s="17" t="s">
        <v>11</v>
      </c>
      <c r="F7185" s="18"/>
      <c r="G7185" s="36" t="str">
        <f>IF(ISNUMBER(F7185),C7185*F7185,"")</f>
        <v/>
      </c>
    </row>
    <row r="7186" spans="1:7" ht="12" customHeight="1" outlineLevel="3" x14ac:dyDescent="0.2">
      <c r="A7186" s="14" t="s">
        <v>14156</v>
      </c>
      <c r="B7186" s="15" t="s">
        <v>14157</v>
      </c>
      <c r="C7186" s="16">
        <f>234.5/(1+B2)</f>
        <v>234.5</v>
      </c>
      <c r="D7186" s="17" t="s">
        <v>11</v>
      </c>
      <c r="E7186" s="17"/>
      <c r="F7186" s="18"/>
      <c r="G7186" s="36" t="str">
        <f>IF(ISNUMBER(F7186),C7186*F7186,"")</f>
        <v/>
      </c>
    </row>
    <row r="7187" spans="1:7" ht="12" customHeight="1" outlineLevel="3" x14ac:dyDescent="0.2">
      <c r="A7187" s="14" t="s">
        <v>14158</v>
      </c>
      <c r="B7187" s="15" t="s">
        <v>14159</v>
      </c>
      <c r="C7187" s="16">
        <f>80.3/(1+B2)</f>
        <v>80.3</v>
      </c>
      <c r="D7187" s="17" t="s">
        <v>11</v>
      </c>
      <c r="E7187" s="17" t="s">
        <v>11</v>
      </c>
      <c r="F7187" s="18"/>
      <c r="G7187" s="36" t="str">
        <f>IF(ISNUMBER(F7187),C7187*F7187,"")</f>
        <v/>
      </c>
    </row>
    <row r="7188" spans="1:7" ht="12" customHeight="1" outlineLevel="3" x14ac:dyDescent="0.2">
      <c r="A7188" s="14" t="s">
        <v>14160</v>
      </c>
      <c r="B7188" s="15" t="s">
        <v>14161</v>
      </c>
      <c r="C7188" s="16">
        <f>41.4/(1+B2)</f>
        <v>41.4</v>
      </c>
      <c r="D7188" s="17" t="s">
        <v>11</v>
      </c>
      <c r="E7188" s="17"/>
      <c r="F7188" s="18"/>
      <c r="G7188" s="36" t="str">
        <f>IF(ISNUMBER(F7188),C7188*F7188,"")</f>
        <v/>
      </c>
    </row>
    <row r="7189" spans="1:7" ht="12" customHeight="1" outlineLevel="3" x14ac:dyDescent="0.2">
      <c r="A7189" s="14" t="s">
        <v>14162</v>
      </c>
      <c r="B7189" s="15" t="s">
        <v>14163</v>
      </c>
      <c r="C7189" s="16">
        <f>13.67/(1+B2)</f>
        <v>13.67</v>
      </c>
      <c r="D7189" s="17" t="s">
        <v>11</v>
      </c>
      <c r="E7189" s="17" t="s">
        <v>53</v>
      </c>
      <c r="F7189" s="18"/>
      <c r="G7189" s="36" t="str">
        <f>IF(ISNUMBER(F7189),C7189*F7189,"")</f>
        <v/>
      </c>
    </row>
    <row r="7190" spans="1:7" ht="12" customHeight="1" outlineLevel="3" x14ac:dyDescent="0.2">
      <c r="A7190" s="14" t="s">
        <v>14164</v>
      </c>
      <c r="B7190" s="15" t="s">
        <v>14165</v>
      </c>
      <c r="C7190" s="16">
        <f>39.95/(1+B2)</f>
        <v>39.950000000000003</v>
      </c>
      <c r="D7190" s="17" t="s">
        <v>11</v>
      </c>
      <c r="E7190" s="17" t="s">
        <v>106</v>
      </c>
      <c r="F7190" s="18"/>
      <c r="G7190" s="36" t="str">
        <f>IF(ISNUMBER(F7190),C7190*F7190,"")</f>
        <v/>
      </c>
    </row>
    <row r="7191" spans="1:7" s="1" customFormat="1" ht="12.95" customHeight="1" outlineLevel="2" x14ac:dyDescent="0.2">
      <c r="A7191" s="20"/>
      <c r="B7191" s="21" t="s">
        <v>14166</v>
      </c>
      <c r="C7191" s="22"/>
      <c r="D7191" s="22"/>
      <c r="E7191" s="22"/>
      <c r="F7191" s="22"/>
      <c r="G7191" s="37"/>
    </row>
    <row r="7192" spans="1:7" ht="12" customHeight="1" outlineLevel="3" x14ac:dyDescent="0.2">
      <c r="A7192" s="14" t="s">
        <v>14167</v>
      </c>
      <c r="B7192" s="15" t="s">
        <v>14168</v>
      </c>
      <c r="C7192" s="16">
        <f>332.99/(1+B2)</f>
        <v>332.99</v>
      </c>
      <c r="D7192" s="17" t="s">
        <v>11</v>
      </c>
      <c r="E7192" s="17"/>
      <c r="F7192" s="18"/>
      <c r="G7192" s="36" t="str">
        <f>IF(ISNUMBER(F7192),C7192*F7192,"")</f>
        <v/>
      </c>
    </row>
    <row r="7193" spans="1:7" ht="12" customHeight="1" outlineLevel="3" x14ac:dyDescent="0.2">
      <c r="A7193" s="14" t="s">
        <v>14169</v>
      </c>
      <c r="B7193" s="15" t="s">
        <v>14170</v>
      </c>
      <c r="C7193" s="16">
        <f>339.2/(1+B2)</f>
        <v>339.2</v>
      </c>
      <c r="D7193" s="17" t="s">
        <v>11</v>
      </c>
      <c r="E7193" s="17"/>
      <c r="F7193" s="18"/>
      <c r="G7193" s="36" t="str">
        <f>IF(ISNUMBER(F7193),C7193*F7193,"")</f>
        <v/>
      </c>
    </row>
    <row r="7194" spans="1:7" ht="12" customHeight="1" outlineLevel="3" x14ac:dyDescent="0.2">
      <c r="A7194" s="14" t="s">
        <v>14171</v>
      </c>
      <c r="B7194" s="15" t="s">
        <v>14172</v>
      </c>
      <c r="C7194" s="16">
        <f>339.2/(1+B2)</f>
        <v>339.2</v>
      </c>
      <c r="D7194" s="17" t="s">
        <v>11</v>
      </c>
      <c r="E7194" s="17"/>
      <c r="F7194" s="18"/>
      <c r="G7194" s="36" t="str">
        <f>IF(ISNUMBER(F7194),C7194*F7194,"")</f>
        <v/>
      </c>
    </row>
    <row r="7195" spans="1:7" ht="12" customHeight="1" outlineLevel="3" x14ac:dyDescent="0.2">
      <c r="A7195" s="14" t="s">
        <v>14173</v>
      </c>
      <c r="B7195" s="15" t="s">
        <v>14174</v>
      </c>
      <c r="C7195" s="16">
        <f>339.2/(1+B2)</f>
        <v>339.2</v>
      </c>
      <c r="D7195" s="17" t="s">
        <v>11</v>
      </c>
      <c r="E7195" s="17" t="s">
        <v>11</v>
      </c>
      <c r="F7195" s="18"/>
      <c r="G7195" s="36" t="str">
        <f>IF(ISNUMBER(F7195),C7195*F7195,"")</f>
        <v/>
      </c>
    </row>
    <row r="7196" spans="1:7" ht="12" customHeight="1" outlineLevel="3" x14ac:dyDescent="0.2">
      <c r="A7196" s="14" t="s">
        <v>14175</v>
      </c>
      <c r="B7196" s="15" t="s">
        <v>14176</v>
      </c>
      <c r="C7196" s="16">
        <f>225/(1+B2)</f>
        <v>225</v>
      </c>
      <c r="D7196" s="17" t="s">
        <v>11</v>
      </c>
      <c r="E7196" s="17"/>
      <c r="F7196" s="18"/>
      <c r="G7196" s="36" t="str">
        <f>IF(ISNUMBER(F7196),C7196*F7196,"")</f>
        <v/>
      </c>
    </row>
    <row r="7197" spans="1:7" ht="24" customHeight="1" outlineLevel="3" x14ac:dyDescent="0.2">
      <c r="A7197" s="14" t="s">
        <v>14177</v>
      </c>
      <c r="B7197" s="15" t="s">
        <v>14178</v>
      </c>
      <c r="C7197" s="16">
        <f>279.77/(1+B2)</f>
        <v>279.77</v>
      </c>
      <c r="D7197" s="17" t="s">
        <v>11</v>
      </c>
      <c r="E7197" s="17"/>
      <c r="F7197" s="18"/>
      <c r="G7197" s="36" t="str">
        <f>IF(ISNUMBER(F7197),C7197*F7197,"")</f>
        <v/>
      </c>
    </row>
    <row r="7198" spans="1:7" ht="12" customHeight="1" outlineLevel="3" x14ac:dyDescent="0.2">
      <c r="A7198" s="14" t="s">
        <v>14179</v>
      </c>
      <c r="B7198" s="15" t="s">
        <v>14180</v>
      </c>
      <c r="C7198" s="16">
        <f>312.5/(1+B2)</f>
        <v>312.5</v>
      </c>
      <c r="D7198" s="17" t="s">
        <v>11</v>
      </c>
      <c r="E7198" s="17"/>
      <c r="F7198" s="18"/>
      <c r="G7198" s="36" t="str">
        <f>IF(ISNUMBER(F7198),C7198*F7198,"")</f>
        <v/>
      </c>
    </row>
    <row r="7199" spans="1:7" ht="12" customHeight="1" outlineLevel="3" x14ac:dyDescent="0.2">
      <c r="A7199" s="14" t="s">
        <v>14181</v>
      </c>
      <c r="B7199" s="15" t="s">
        <v>14182</v>
      </c>
      <c r="C7199" s="16">
        <f>340.74/(1+B2)</f>
        <v>340.74</v>
      </c>
      <c r="D7199" s="17" t="s">
        <v>11</v>
      </c>
      <c r="E7199" s="17"/>
      <c r="F7199" s="18"/>
      <c r="G7199" s="36" t="str">
        <f>IF(ISNUMBER(F7199),C7199*F7199,"")</f>
        <v/>
      </c>
    </row>
    <row r="7200" spans="1:7" ht="12" customHeight="1" outlineLevel="3" x14ac:dyDescent="0.2">
      <c r="A7200" s="14" t="s">
        <v>14183</v>
      </c>
      <c r="B7200" s="15" t="s">
        <v>14184</v>
      </c>
      <c r="C7200" s="16">
        <f>353.13/(1+B2)</f>
        <v>353.13</v>
      </c>
      <c r="D7200" s="17" t="s">
        <v>11</v>
      </c>
      <c r="E7200" s="17"/>
      <c r="F7200" s="18"/>
      <c r="G7200" s="36" t="str">
        <f>IF(ISNUMBER(F7200),C7200*F7200,"")</f>
        <v/>
      </c>
    </row>
    <row r="7201" spans="1:7" ht="12" customHeight="1" outlineLevel="3" x14ac:dyDescent="0.2">
      <c r="A7201" s="14" t="s">
        <v>14185</v>
      </c>
      <c r="B7201" s="15" t="s">
        <v>14186</v>
      </c>
      <c r="C7201" s="16">
        <f>306.67/(1+B2)</f>
        <v>306.67</v>
      </c>
      <c r="D7201" s="17" t="s">
        <v>11</v>
      </c>
      <c r="E7201" s="17"/>
      <c r="F7201" s="18"/>
      <c r="G7201" s="36" t="str">
        <f>IF(ISNUMBER(F7201),C7201*F7201,"")</f>
        <v/>
      </c>
    </row>
    <row r="7202" spans="1:7" ht="12" customHeight="1" outlineLevel="3" x14ac:dyDescent="0.2">
      <c r="A7202" s="14" t="s">
        <v>14187</v>
      </c>
      <c r="B7202" s="15" t="s">
        <v>14188</v>
      </c>
      <c r="C7202" s="16">
        <f>535.5/(1+B2)</f>
        <v>535.5</v>
      </c>
      <c r="D7202" s="17" t="s">
        <v>11</v>
      </c>
      <c r="E7202" s="17"/>
      <c r="F7202" s="18"/>
      <c r="G7202" s="36" t="str">
        <f>IF(ISNUMBER(F7202),C7202*F7202,"")</f>
        <v/>
      </c>
    </row>
    <row r="7203" spans="1:7" ht="12" customHeight="1" outlineLevel="3" x14ac:dyDescent="0.2">
      <c r="A7203" s="14" t="s">
        <v>14189</v>
      </c>
      <c r="B7203" s="15" t="s">
        <v>14190</v>
      </c>
      <c r="C7203" s="16">
        <f>248.37/(1+B2)</f>
        <v>248.37</v>
      </c>
      <c r="D7203" s="17" t="s">
        <v>11</v>
      </c>
      <c r="E7203" s="17"/>
      <c r="F7203" s="18"/>
      <c r="G7203" s="36" t="str">
        <f>IF(ISNUMBER(F7203),C7203*F7203,"")</f>
        <v/>
      </c>
    </row>
    <row r="7204" spans="1:7" s="1" customFormat="1" ht="12.95" customHeight="1" outlineLevel="2" x14ac:dyDescent="0.2">
      <c r="A7204" s="20"/>
      <c r="B7204" s="21" t="s">
        <v>14191</v>
      </c>
      <c r="C7204" s="22"/>
      <c r="D7204" s="22"/>
      <c r="E7204" s="22"/>
      <c r="F7204" s="22"/>
      <c r="G7204" s="37"/>
    </row>
    <row r="7205" spans="1:7" ht="24" customHeight="1" outlineLevel="3" x14ac:dyDescent="0.2">
      <c r="A7205" s="14" t="s">
        <v>14192</v>
      </c>
      <c r="B7205" s="15" t="s">
        <v>14193</v>
      </c>
      <c r="C7205" s="16">
        <f>536.7/(1+B2)</f>
        <v>536.70000000000005</v>
      </c>
      <c r="D7205" s="17" t="s">
        <v>11</v>
      </c>
      <c r="E7205" s="17"/>
      <c r="F7205" s="18"/>
      <c r="G7205" s="36" t="str">
        <f>IF(ISNUMBER(F7205),C7205*F7205,"")</f>
        <v/>
      </c>
    </row>
    <row r="7206" spans="1:7" ht="24" customHeight="1" outlineLevel="3" x14ac:dyDescent="0.2">
      <c r="A7206" s="14" t="s">
        <v>14194</v>
      </c>
      <c r="B7206" s="15" t="s">
        <v>14195</v>
      </c>
      <c r="C7206" s="16">
        <f>547.44/(1+B2)</f>
        <v>547.44000000000005</v>
      </c>
      <c r="D7206" s="17" t="s">
        <v>11</v>
      </c>
      <c r="E7206" s="17"/>
      <c r="F7206" s="18"/>
      <c r="G7206" s="36" t="str">
        <f>IF(ISNUMBER(F7206),C7206*F7206,"")</f>
        <v/>
      </c>
    </row>
    <row r="7207" spans="1:7" ht="24" customHeight="1" outlineLevel="3" x14ac:dyDescent="0.2">
      <c r="A7207" s="14" t="s">
        <v>14196</v>
      </c>
      <c r="B7207" s="15" t="s">
        <v>14197</v>
      </c>
      <c r="C7207" s="16">
        <f>427.68/(1+B2)</f>
        <v>427.68</v>
      </c>
      <c r="D7207" s="17" t="s">
        <v>11</v>
      </c>
      <c r="E7207" s="17"/>
      <c r="F7207" s="18"/>
      <c r="G7207" s="36" t="str">
        <f>IF(ISNUMBER(F7207),C7207*F7207,"")</f>
        <v/>
      </c>
    </row>
    <row r="7208" spans="1:7" ht="12" customHeight="1" outlineLevel="3" x14ac:dyDescent="0.2">
      <c r="A7208" s="14" t="s">
        <v>14198</v>
      </c>
      <c r="B7208" s="15" t="s">
        <v>14199</v>
      </c>
      <c r="C7208" s="16">
        <f>400.5/(1+B2)</f>
        <v>400.5</v>
      </c>
      <c r="D7208" s="17" t="s">
        <v>11</v>
      </c>
      <c r="E7208" s="17"/>
      <c r="F7208" s="18"/>
      <c r="G7208" s="36" t="str">
        <f>IF(ISNUMBER(F7208),C7208*F7208,"")</f>
        <v/>
      </c>
    </row>
    <row r="7209" spans="1:7" ht="12" customHeight="1" outlineLevel="3" x14ac:dyDescent="0.2">
      <c r="A7209" s="14" t="s">
        <v>14200</v>
      </c>
      <c r="B7209" s="15" t="s">
        <v>14201</v>
      </c>
      <c r="C7209" s="16">
        <f>400.5/(1+B2)</f>
        <v>400.5</v>
      </c>
      <c r="D7209" s="17" t="s">
        <v>11</v>
      </c>
      <c r="E7209" s="17"/>
      <c r="F7209" s="18"/>
      <c r="G7209" s="36" t="str">
        <f>IF(ISNUMBER(F7209),C7209*F7209,"")</f>
        <v/>
      </c>
    </row>
    <row r="7210" spans="1:7" ht="12" customHeight="1" outlineLevel="3" x14ac:dyDescent="0.2">
      <c r="A7210" s="14" t="s">
        <v>14202</v>
      </c>
      <c r="B7210" s="15" t="s">
        <v>14203</v>
      </c>
      <c r="C7210" s="16">
        <f>337.5/(1+B2)</f>
        <v>337.5</v>
      </c>
      <c r="D7210" s="17" t="s">
        <v>11</v>
      </c>
      <c r="E7210" s="17"/>
      <c r="F7210" s="18"/>
      <c r="G7210" s="36" t="str">
        <f>IF(ISNUMBER(F7210),C7210*F7210,"")</f>
        <v/>
      </c>
    </row>
    <row r="7211" spans="1:7" ht="24" customHeight="1" outlineLevel="3" x14ac:dyDescent="0.2">
      <c r="A7211" s="14" t="s">
        <v>14204</v>
      </c>
      <c r="B7211" s="15" t="s">
        <v>14205</v>
      </c>
      <c r="C7211" s="16">
        <f>375.26/(1+B2)</f>
        <v>375.26</v>
      </c>
      <c r="D7211" s="17" t="s">
        <v>11</v>
      </c>
      <c r="E7211" s="17"/>
      <c r="F7211" s="18"/>
      <c r="G7211" s="36" t="str">
        <f>IF(ISNUMBER(F7211),C7211*F7211,"")</f>
        <v/>
      </c>
    </row>
    <row r="7212" spans="1:7" ht="24" customHeight="1" outlineLevel="3" x14ac:dyDescent="0.2">
      <c r="A7212" s="14" t="s">
        <v>14206</v>
      </c>
      <c r="B7212" s="15" t="s">
        <v>14207</v>
      </c>
      <c r="C7212" s="16">
        <f>212.05/(1+B2)</f>
        <v>212.05</v>
      </c>
      <c r="D7212" s="17" t="s">
        <v>11</v>
      </c>
      <c r="E7212" s="17"/>
      <c r="F7212" s="18"/>
      <c r="G7212" s="36" t="str">
        <f>IF(ISNUMBER(F7212),C7212*F7212,"")</f>
        <v/>
      </c>
    </row>
    <row r="7213" spans="1:7" ht="12" customHeight="1" outlineLevel="3" x14ac:dyDescent="0.2">
      <c r="A7213" s="14" t="s">
        <v>14208</v>
      </c>
      <c r="B7213" s="15" t="s">
        <v>14209</v>
      </c>
      <c r="C7213" s="16">
        <f>295.19/(1+B2)</f>
        <v>295.19</v>
      </c>
      <c r="D7213" s="17" t="s">
        <v>11</v>
      </c>
      <c r="E7213" s="17"/>
      <c r="F7213" s="18"/>
      <c r="G7213" s="36" t="str">
        <f>IF(ISNUMBER(F7213),C7213*F7213,"")</f>
        <v/>
      </c>
    </row>
    <row r="7214" spans="1:7" ht="12" customHeight="1" outlineLevel="3" x14ac:dyDescent="0.2">
      <c r="A7214" s="14" t="s">
        <v>14210</v>
      </c>
      <c r="B7214" s="15" t="s">
        <v>14211</v>
      </c>
      <c r="C7214" s="16">
        <f>332.1/(1+B2)</f>
        <v>332.1</v>
      </c>
      <c r="D7214" s="17" t="s">
        <v>11</v>
      </c>
      <c r="E7214" s="17"/>
      <c r="F7214" s="18"/>
      <c r="G7214" s="36" t="str">
        <f>IF(ISNUMBER(F7214),C7214*F7214,"")</f>
        <v/>
      </c>
    </row>
    <row r="7215" spans="1:7" ht="12" customHeight="1" outlineLevel="3" x14ac:dyDescent="0.2">
      <c r="A7215" s="14" t="s">
        <v>14212</v>
      </c>
      <c r="B7215" s="15" t="s">
        <v>14213</v>
      </c>
      <c r="C7215" s="16">
        <f>369/(1+B2)</f>
        <v>369</v>
      </c>
      <c r="D7215" s="17" t="s">
        <v>11</v>
      </c>
      <c r="E7215" s="17"/>
      <c r="F7215" s="18"/>
      <c r="G7215" s="36" t="str">
        <f>IF(ISNUMBER(F7215),C7215*F7215,"")</f>
        <v/>
      </c>
    </row>
    <row r="7216" spans="1:7" ht="12" customHeight="1" outlineLevel="3" x14ac:dyDescent="0.2">
      <c r="A7216" s="14" t="s">
        <v>14214</v>
      </c>
      <c r="B7216" s="15" t="s">
        <v>14215</v>
      </c>
      <c r="C7216" s="16">
        <f>334.06/(1+B2)</f>
        <v>334.06</v>
      </c>
      <c r="D7216" s="17" t="s">
        <v>11</v>
      </c>
      <c r="E7216" s="17" t="s">
        <v>11</v>
      </c>
      <c r="F7216" s="18"/>
      <c r="G7216" s="36" t="str">
        <f>IF(ISNUMBER(F7216),C7216*F7216,"")</f>
        <v/>
      </c>
    </row>
    <row r="7217" spans="1:7" ht="12" customHeight="1" outlineLevel="3" x14ac:dyDescent="0.2">
      <c r="A7217" s="14" t="s">
        <v>14216</v>
      </c>
      <c r="B7217" s="15" t="s">
        <v>14217</v>
      </c>
      <c r="C7217" s="16">
        <f>332.1/(1+B2)</f>
        <v>332.1</v>
      </c>
      <c r="D7217" s="17" t="s">
        <v>11</v>
      </c>
      <c r="E7217" s="17"/>
      <c r="F7217" s="18"/>
      <c r="G7217" s="36" t="str">
        <f>IF(ISNUMBER(F7217),C7217*F7217,"")</f>
        <v/>
      </c>
    </row>
    <row r="7218" spans="1:7" ht="12" customHeight="1" outlineLevel="3" x14ac:dyDescent="0.2">
      <c r="A7218" s="14" t="s">
        <v>14218</v>
      </c>
      <c r="B7218" s="15" t="s">
        <v>14219</v>
      </c>
      <c r="C7218" s="16">
        <f>495.18/(1+B2)</f>
        <v>495.18</v>
      </c>
      <c r="D7218" s="17" t="s">
        <v>11</v>
      </c>
      <c r="E7218" s="17"/>
      <c r="F7218" s="18"/>
      <c r="G7218" s="36" t="str">
        <f>IF(ISNUMBER(F7218),C7218*F7218,"")</f>
        <v/>
      </c>
    </row>
    <row r="7219" spans="1:7" s="1" customFormat="1" ht="12.95" customHeight="1" outlineLevel="2" x14ac:dyDescent="0.2">
      <c r="A7219" s="20"/>
      <c r="B7219" s="21" t="s">
        <v>14220</v>
      </c>
      <c r="C7219" s="22"/>
      <c r="D7219" s="22"/>
      <c r="E7219" s="22"/>
      <c r="F7219" s="22"/>
      <c r="G7219" s="37"/>
    </row>
    <row r="7220" spans="1:7" ht="12" customHeight="1" outlineLevel="3" x14ac:dyDescent="0.2">
      <c r="A7220" s="14" t="s">
        <v>14221</v>
      </c>
      <c r="B7220" s="15" t="s">
        <v>14222</v>
      </c>
      <c r="C7220" s="16">
        <f>144.76/(1+B2)</f>
        <v>144.76</v>
      </c>
      <c r="D7220" s="17" t="s">
        <v>11</v>
      </c>
      <c r="E7220" s="17"/>
      <c r="F7220" s="18"/>
      <c r="G7220" s="36" t="str">
        <f>IF(ISNUMBER(F7220),C7220*F7220,"")</f>
        <v/>
      </c>
    </row>
    <row r="7221" spans="1:7" ht="24" customHeight="1" outlineLevel="3" x14ac:dyDescent="0.2">
      <c r="A7221" s="14" t="s">
        <v>14223</v>
      </c>
      <c r="B7221" s="15" t="s">
        <v>14224</v>
      </c>
      <c r="C7221" s="16">
        <f>627.65/(1+B2)</f>
        <v>627.65</v>
      </c>
      <c r="D7221" s="17" t="s">
        <v>11</v>
      </c>
      <c r="E7221" s="17" t="s">
        <v>14</v>
      </c>
      <c r="F7221" s="18"/>
      <c r="G7221" s="36" t="str">
        <f>IF(ISNUMBER(F7221),C7221*F7221,"")</f>
        <v/>
      </c>
    </row>
    <row r="7222" spans="1:7" ht="24" customHeight="1" outlineLevel="3" x14ac:dyDescent="0.2">
      <c r="A7222" s="14" t="s">
        <v>14225</v>
      </c>
      <c r="B7222" s="15" t="s">
        <v>14226</v>
      </c>
      <c r="C7222" s="16">
        <f>642.98/(1+B2)</f>
        <v>642.98</v>
      </c>
      <c r="D7222" s="17" t="s">
        <v>11</v>
      </c>
      <c r="E7222" s="17"/>
      <c r="F7222" s="18"/>
      <c r="G7222" s="36" t="str">
        <f>IF(ISNUMBER(F7222),C7222*F7222,"")</f>
        <v/>
      </c>
    </row>
    <row r="7223" spans="1:7" ht="12" customHeight="1" outlineLevel="3" x14ac:dyDescent="0.2">
      <c r="A7223" s="14" t="s">
        <v>14227</v>
      </c>
      <c r="B7223" s="15" t="s">
        <v>14228</v>
      </c>
      <c r="C7223" s="16">
        <f>457.17/(1+B2)</f>
        <v>457.17</v>
      </c>
      <c r="D7223" s="17" t="s">
        <v>11</v>
      </c>
      <c r="E7223" s="17" t="s">
        <v>53</v>
      </c>
      <c r="F7223" s="18"/>
      <c r="G7223" s="36" t="str">
        <f>IF(ISNUMBER(F7223),C7223*F7223,"")</f>
        <v/>
      </c>
    </row>
    <row r="7224" spans="1:7" ht="12" customHeight="1" outlineLevel="3" x14ac:dyDescent="0.2">
      <c r="A7224" s="14" t="s">
        <v>14229</v>
      </c>
      <c r="B7224" s="15" t="s">
        <v>14230</v>
      </c>
      <c r="C7224" s="16">
        <f>435.83/(1+B2)</f>
        <v>435.83</v>
      </c>
      <c r="D7224" s="17" t="s">
        <v>11</v>
      </c>
      <c r="E7224" s="17"/>
      <c r="F7224" s="18"/>
      <c r="G7224" s="36" t="str">
        <f>IF(ISNUMBER(F7224),C7224*F7224,"")</f>
        <v/>
      </c>
    </row>
    <row r="7225" spans="1:7" ht="12" customHeight="1" outlineLevel="3" x14ac:dyDescent="0.2">
      <c r="A7225" s="14" t="s">
        <v>14231</v>
      </c>
      <c r="B7225" s="15" t="s">
        <v>14232</v>
      </c>
      <c r="C7225" s="16">
        <f>551.65/(1+B2)</f>
        <v>551.65</v>
      </c>
      <c r="D7225" s="17" t="s">
        <v>11</v>
      </c>
      <c r="E7225" s="17" t="s">
        <v>11</v>
      </c>
      <c r="F7225" s="18"/>
      <c r="G7225" s="36" t="str">
        <f>IF(ISNUMBER(F7225),C7225*F7225,"")</f>
        <v/>
      </c>
    </row>
    <row r="7226" spans="1:7" ht="12" customHeight="1" outlineLevel="3" x14ac:dyDescent="0.2">
      <c r="A7226" s="14" t="s">
        <v>14233</v>
      </c>
      <c r="B7226" s="15" t="s">
        <v>14234</v>
      </c>
      <c r="C7226" s="16">
        <f>505.53/(1+B2)</f>
        <v>505.53</v>
      </c>
      <c r="D7226" s="17" t="s">
        <v>11</v>
      </c>
      <c r="E7226" s="17"/>
      <c r="F7226" s="18"/>
      <c r="G7226" s="36" t="str">
        <f>IF(ISNUMBER(F7226),C7226*F7226,"")</f>
        <v/>
      </c>
    </row>
    <row r="7227" spans="1:7" ht="12" customHeight="1" outlineLevel="3" x14ac:dyDescent="0.2">
      <c r="A7227" s="14" t="s">
        <v>14235</v>
      </c>
      <c r="B7227" s="15" t="s">
        <v>14236</v>
      </c>
      <c r="C7227" s="16">
        <f>627.41/(1+B2)</f>
        <v>627.41</v>
      </c>
      <c r="D7227" s="17" t="s">
        <v>11</v>
      </c>
      <c r="E7227" s="17"/>
      <c r="F7227" s="18"/>
      <c r="G7227" s="36" t="str">
        <f>IF(ISNUMBER(F7227),C7227*F7227,"")</f>
        <v/>
      </c>
    </row>
    <row r="7228" spans="1:7" ht="12" customHeight="1" outlineLevel="3" x14ac:dyDescent="0.2">
      <c r="A7228" s="14" t="s">
        <v>14237</v>
      </c>
      <c r="B7228" s="15" t="s">
        <v>14238</v>
      </c>
      <c r="C7228" s="16">
        <f>364.05/(1+B2)</f>
        <v>364.05</v>
      </c>
      <c r="D7228" s="17" t="s">
        <v>11</v>
      </c>
      <c r="E7228" s="17" t="s">
        <v>14</v>
      </c>
      <c r="F7228" s="18"/>
      <c r="G7228" s="36" t="str">
        <f>IF(ISNUMBER(F7228),C7228*F7228,"")</f>
        <v/>
      </c>
    </row>
    <row r="7229" spans="1:7" ht="12" customHeight="1" outlineLevel="3" x14ac:dyDescent="0.2">
      <c r="A7229" s="14" t="s">
        <v>14239</v>
      </c>
      <c r="B7229" s="15" t="s">
        <v>14240</v>
      </c>
      <c r="C7229" s="16">
        <f>404.43/(1+B2)</f>
        <v>404.43</v>
      </c>
      <c r="D7229" s="17" t="s">
        <v>11</v>
      </c>
      <c r="E7229" s="17" t="s">
        <v>14</v>
      </c>
      <c r="F7229" s="18"/>
      <c r="G7229" s="36" t="str">
        <f>IF(ISNUMBER(F7229),C7229*F7229,"")</f>
        <v/>
      </c>
    </row>
    <row r="7230" spans="1:7" ht="12" customHeight="1" outlineLevel="3" x14ac:dyDescent="0.2">
      <c r="A7230" s="14" t="s">
        <v>14241</v>
      </c>
      <c r="B7230" s="15" t="s">
        <v>14242</v>
      </c>
      <c r="C7230" s="16">
        <f>241.56/(1+B2)</f>
        <v>241.56</v>
      </c>
      <c r="D7230" s="17" t="s">
        <v>11</v>
      </c>
      <c r="E7230" s="17"/>
      <c r="F7230" s="18"/>
      <c r="G7230" s="36" t="str">
        <f>IF(ISNUMBER(F7230),C7230*F7230,"")</f>
        <v/>
      </c>
    </row>
    <row r="7231" spans="1:7" ht="12" customHeight="1" outlineLevel="3" x14ac:dyDescent="0.2">
      <c r="A7231" s="14" t="s">
        <v>14243</v>
      </c>
      <c r="B7231" s="15" t="s">
        <v>14244</v>
      </c>
      <c r="C7231" s="19">
        <f>1741.25/(1+B2)</f>
        <v>1741.25</v>
      </c>
      <c r="D7231" s="17" t="s">
        <v>11</v>
      </c>
      <c r="E7231" s="17"/>
      <c r="F7231" s="18"/>
      <c r="G7231" s="36" t="str">
        <f>IF(ISNUMBER(F7231),C7231*F7231,"")</f>
        <v/>
      </c>
    </row>
    <row r="7232" spans="1:7" ht="12" customHeight="1" outlineLevel="3" x14ac:dyDescent="0.2">
      <c r="A7232" s="14" t="s">
        <v>14245</v>
      </c>
      <c r="B7232" s="15" t="s">
        <v>14246</v>
      </c>
      <c r="C7232" s="16">
        <f>57.79/(1+B2)</f>
        <v>57.79</v>
      </c>
      <c r="D7232" s="17" t="s">
        <v>11</v>
      </c>
      <c r="E7232" s="17"/>
      <c r="F7232" s="18"/>
      <c r="G7232" s="36" t="str">
        <f>IF(ISNUMBER(F7232),C7232*F7232,"")</f>
        <v/>
      </c>
    </row>
    <row r="7233" spans="1:7" ht="12" customHeight="1" outlineLevel="3" x14ac:dyDescent="0.2">
      <c r="A7233" s="14" t="s">
        <v>14247</v>
      </c>
      <c r="B7233" s="15" t="s">
        <v>14248</v>
      </c>
      <c r="C7233" s="16">
        <f>75.86/(1+B2)</f>
        <v>75.86</v>
      </c>
      <c r="D7233" s="17" t="s">
        <v>11</v>
      </c>
      <c r="E7233" s="17"/>
      <c r="F7233" s="18"/>
      <c r="G7233" s="36" t="str">
        <f>IF(ISNUMBER(F7233),C7233*F7233,"")</f>
        <v/>
      </c>
    </row>
    <row r="7234" spans="1:7" ht="24" customHeight="1" outlineLevel="3" x14ac:dyDescent="0.2">
      <c r="A7234" s="14" t="s">
        <v>14249</v>
      </c>
      <c r="B7234" s="15" t="s">
        <v>14250</v>
      </c>
      <c r="C7234" s="16">
        <f>69.15/(1+B2)</f>
        <v>69.150000000000006</v>
      </c>
      <c r="D7234" s="17" t="s">
        <v>11</v>
      </c>
      <c r="E7234" s="17"/>
      <c r="F7234" s="18"/>
      <c r="G7234" s="36" t="str">
        <f>IF(ISNUMBER(F7234),C7234*F7234,"")</f>
        <v/>
      </c>
    </row>
    <row r="7235" spans="1:7" s="1" customFormat="1" ht="12.95" customHeight="1" outlineLevel="2" x14ac:dyDescent="0.2">
      <c r="A7235" s="20"/>
      <c r="B7235" s="21" t="s">
        <v>14251</v>
      </c>
      <c r="C7235" s="22"/>
      <c r="D7235" s="22"/>
      <c r="E7235" s="22"/>
      <c r="F7235" s="22"/>
      <c r="G7235" s="37"/>
    </row>
    <row r="7236" spans="1:7" ht="12" customHeight="1" outlineLevel="3" x14ac:dyDescent="0.2">
      <c r="A7236" s="14" t="s">
        <v>14252</v>
      </c>
      <c r="B7236" s="15" t="s">
        <v>14253</v>
      </c>
      <c r="C7236" s="16">
        <f>55.78/(1+B2)</f>
        <v>55.78</v>
      </c>
      <c r="D7236" s="17" t="s">
        <v>11</v>
      </c>
      <c r="E7236" s="17" t="s">
        <v>11</v>
      </c>
      <c r="F7236" s="18"/>
      <c r="G7236" s="36" t="str">
        <f>IF(ISNUMBER(F7236),C7236*F7236,"")</f>
        <v/>
      </c>
    </row>
    <row r="7237" spans="1:7" ht="12" customHeight="1" outlineLevel="3" x14ac:dyDescent="0.2">
      <c r="A7237" s="14" t="s">
        <v>14254</v>
      </c>
      <c r="B7237" s="15" t="s">
        <v>14255</v>
      </c>
      <c r="C7237" s="16">
        <f>495.63/(1+B2)</f>
        <v>495.63</v>
      </c>
      <c r="D7237" s="17" t="s">
        <v>11</v>
      </c>
      <c r="E7237" s="17" t="s">
        <v>11</v>
      </c>
      <c r="F7237" s="18"/>
      <c r="G7237" s="36" t="str">
        <f>IF(ISNUMBER(F7237),C7237*F7237,"")</f>
        <v/>
      </c>
    </row>
    <row r="7238" spans="1:7" ht="12" customHeight="1" outlineLevel="3" x14ac:dyDescent="0.2">
      <c r="A7238" s="14" t="s">
        <v>14256</v>
      </c>
      <c r="B7238" s="15" t="s">
        <v>14257</v>
      </c>
      <c r="C7238" s="16">
        <f>665.78/(1+B2)</f>
        <v>665.78</v>
      </c>
      <c r="D7238" s="17" t="s">
        <v>11</v>
      </c>
      <c r="E7238" s="17"/>
      <c r="F7238" s="18"/>
      <c r="G7238" s="36" t="str">
        <f>IF(ISNUMBER(F7238),C7238*F7238,"")</f>
        <v/>
      </c>
    </row>
    <row r="7239" spans="1:7" ht="12" customHeight="1" outlineLevel="3" x14ac:dyDescent="0.2">
      <c r="A7239" s="14" t="s">
        <v>14258</v>
      </c>
      <c r="B7239" s="15" t="s">
        <v>14259</v>
      </c>
      <c r="C7239" s="16">
        <f>368.17/(1+B2)</f>
        <v>368.17</v>
      </c>
      <c r="D7239" s="17" t="s">
        <v>11</v>
      </c>
      <c r="E7239" s="17" t="s">
        <v>11</v>
      </c>
      <c r="F7239" s="18"/>
      <c r="G7239" s="36" t="str">
        <f>IF(ISNUMBER(F7239),C7239*F7239,"")</f>
        <v/>
      </c>
    </row>
    <row r="7240" spans="1:7" ht="12" customHeight="1" outlineLevel="3" x14ac:dyDescent="0.2">
      <c r="A7240" s="14" t="s">
        <v>14260</v>
      </c>
      <c r="B7240" s="15" t="s">
        <v>14261</v>
      </c>
      <c r="C7240" s="16">
        <f>450.6/(1+B2)</f>
        <v>450.6</v>
      </c>
      <c r="D7240" s="17" t="s">
        <v>11</v>
      </c>
      <c r="E7240" s="17" t="s">
        <v>11</v>
      </c>
      <c r="F7240" s="18"/>
      <c r="G7240" s="36" t="str">
        <f>IF(ISNUMBER(F7240),C7240*F7240,"")</f>
        <v/>
      </c>
    </row>
    <row r="7241" spans="1:7" ht="12" customHeight="1" outlineLevel="3" x14ac:dyDescent="0.2">
      <c r="A7241" s="14" t="s">
        <v>14262</v>
      </c>
      <c r="B7241" s="15" t="s">
        <v>14263</v>
      </c>
      <c r="C7241" s="16">
        <f>345.45/(1+B2)</f>
        <v>345.45</v>
      </c>
      <c r="D7241" s="17" t="s">
        <v>11</v>
      </c>
      <c r="E7241" s="17" t="s">
        <v>11</v>
      </c>
      <c r="F7241" s="18"/>
      <c r="G7241" s="36" t="str">
        <f>IF(ISNUMBER(F7241),C7241*F7241,"")</f>
        <v/>
      </c>
    </row>
    <row r="7242" spans="1:7" ht="12" customHeight="1" outlineLevel="3" x14ac:dyDescent="0.2">
      <c r="A7242" s="14" t="s">
        <v>14264</v>
      </c>
      <c r="B7242" s="15" t="s">
        <v>14265</v>
      </c>
      <c r="C7242" s="16">
        <f>383.4/(1+B2)</f>
        <v>383.4</v>
      </c>
      <c r="D7242" s="17"/>
      <c r="E7242" s="17" t="s">
        <v>11</v>
      </c>
      <c r="F7242" s="18"/>
      <c r="G7242" s="36" t="str">
        <f>IF(ISNUMBER(F7242),C7242*F7242,"")</f>
        <v/>
      </c>
    </row>
    <row r="7243" spans="1:7" ht="12" customHeight="1" outlineLevel="3" x14ac:dyDescent="0.2">
      <c r="A7243" s="14" t="s">
        <v>14266</v>
      </c>
      <c r="B7243" s="15" t="s">
        <v>14267</v>
      </c>
      <c r="C7243" s="16">
        <f>893.31/(1+B2)</f>
        <v>893.31</v>
      </c>
      <c r="D7243" s="17" t="s">
        <v>11</v>
      </c>
      <c r="E7243" s="17"/>
      <c r="F7243" s="18"/>
      <c r="G7243" s="36" t="str">
        <f>IF(ISNUMBER(F7243),C7243*F7243,"")</f>
        <v/>
      </c>
    </row>
    <row r="7244" spans="1:7" ht="12" customHeight="1" outlineLevel="3" x14ac:dyDescent="0.2">
      <c r="A7244" s="14" t="s">
        <v>14268</v>
      </c>
      <c r="B7244" s="15" t="s">
        <v>14269</v>
      </c>
      <c r="C7244" s="16">
        <f>519.44/(1+B2)</f>
        <v>519.44000000000005</v>
      </c>
      <c r="D7244" s="17" t="s">
        <v>11</v>
      </c>
      <c r="E7244" s="17" t="s">
        <v>11</v>
      </c>
      <c r="F7244" s="18"/>
      <c r="G7244" s="36" t="str">
        <f>IF(ISNUMBER(F7244),C7244*F7244,"")</f>
        <v/>
      </c>
    </row>
    <row r="7245" spans="1:7" ht="12" customHeight="1" outlineLevel="3" x14ac:dyDescent="0.2">
      <c r="A7245" s="14" t="s">
        <v>14270</v>
      </c>
      <c r="B7245" s="15" t="s">
        <v>14271</v>
      </c>
      <c r="C7245" s="16">
        <f>665.78/(1+B2)</f>
        <v>665.78</v>
      </c>
      <c r="D7245" s="17" t="s">
        <v>11</v>
      </c>
      <c r="E7245" s="17" t="s">
        <v>14</v>
      </c>
      <c r="F7245" s="18"/>
      <c r="G7245" s="36" t="str">
        <f>IF(ISNUMBER(F7245),C7245*F7245,"")</f>
        <v/>
      </c>
    </row>
    <row r="7246" spans="1:7" ht="12" customHeight="1" outlineLevel="3" x14ac:dyDescent="0.2">
      <c r="A7246" s="14" t="s">
        <v>14272</v>
      </c>
      <c r="B7246" s="15" t="s">
        <v>14273</v>
      </c>
      <c r="C7246" s="16">
        <f>625.32/(1+B2)</f>
        <v>625.32000000000005</v>
      </c>
      <c r="D7246" s="17" t="s">
        <v>11</v>
      </c>
      <c r="E7246" s="17" t="s">
        <v>11</v>
      </c>
      <c r="F7246" s="18"/>
      <c r="G7246" s="36" t="str">
        <f>IF(ISNUMBER(F7246),C7246*F7246,"")</f>
        <v/>
      </c>
    </row>
    <row r="7247" spans="1:7" ht="12" customHeight="1" outlineLevel="3" x14ac:dyDescent="0.2">
      <c r="A7247" s="14" t="s">
        <v>14274</v>
      </c>
      <c r="B7247" s="15" t="s">
        <v>14275</v>
      </c>
      <c r="C7247" s="16">
        <f>692.52/(1+B2)</f>
        <v>692.52</v>
      </c>
      <c r="D7247" s="17" t="s">
        <v>11</v>
      </c>
      <c r="E7247" s="17"/>
      <c r="F7247" s="18"/>
      <c r="G7247" s="36" t="str">
        <f>IF(ISNUMBER(F7247),C7247*F7247,"")</f>
        <v/>
      </c>
    </row>
    <row r="7248" spans="1:7" ht="12" customHeight="1" outlineLevel="3" x14ac:dyDescent="0.2">
      <c r="A7248" s="14" t="s">
        <v>14276</v>
      </c>
      <c r="B7248" s="15" t="s">
        <v>14277</v>
      </c>
      <c r="C7248" s="16">
        <f>368.17/(1+B2)</f>
        <v>368.17</v>
      </c>
      <c r="D7248" s="17" t="s">
        <v>11</v>
      </c>
      <c r="E7248" s="17" t="s">
        <v>11</v>
      </c>
      <c r="F7248" s="18"/>
      <c r="G7248" s="36" t="str">
        <f>IF(ISNUMBER(F7248),C7248*F7248,"")</f>
        <v/>
      </c>
    </row>
    <row r="7249" spans="1:7" ht="12" customHeight="1" outlineLevel="3" x14ac:dyDescent="0.2">
      <c r="A7249" s="14" t="s">
        <v>14278</v>
      </c>
      <c r="B7249" s="15" t="s">
        <v>14279</v>
      </c>
      <c r="C7249" s="16">
        <f>368.17/(1+B2)</f>
        <v>368.17</v>
      </c>
      <c r="D7249" s="17" t="s">
        <v>11</v>
      </c>
      <c r="E7249" s="17" t="s">
        <v>11</v>
      </c>
      <c r="F7249" s="18"/>
      <c r="G7249" s="36" t="str">
        <f>IF(ISNUMBER(F7249),C7249*F7249,"")</f>
        <v/>
      </c>
    </row>
    <row r="7250" spans="1:7" ht="12" customHeight="1" outlineLevel="3" x14ac:dyDescent="0.2">
      <c r="A7250" s="14" t="s">
        <v>14280</v>
      </c>
      <c r="B7250" s="15" t="s">
        <v>14281</v>
      </c>
      <c r="C7250" s="16">
        <f>250.66/(1+B2)</f>
        <v>250.66</v>
      </c>
      <c r="D7250" s="17"/>
      <c r="E7250" s="17" t="s">
        <v>11</v>
      </c>
      <c r="F7250" s="18"/>
      <c r="G7250" s="36" t="str">
        <f>IF(ISNUMBER(F7250),C7250*F7250,"")</f>
        <v/>
      </c>
    </row>
    <row r="7251" spans="1:7" ht="12" customHeight="1" outlineLevel="3" x14ac:dyDescent="0.2">
      <c r="A7251" s="14" t="s">
        <v>14282</v>
      </c>
      <c r="B7251" s="15" t="s">
        <v>14283</v>
      </c>
      <c r="C7251" s="16">
        <f>431.86/(1+B2)</f>
        <v>431.86</v>
      </c>
      <c r="D7251" s="17" t="s">
        <v>11</v>
      </c>
      <c r="E7251" s="17" t="s">
        <v>11</v>
      </c>
      <c r="F7251" s="18"/>
      <c r="G7251" s="36" t="str">
        <f>IF(ISNUMBER(F7251),C7251*F7251,"")</f>
        <v/>
      </c>
    </row>
    <row r="7252" spans="1:7" ht="12" customHeight="1" outlineLevel="3" x14ac:dyDescent="0.2">
      <c r="A7252" s="14" t="s">
        <v>14284</v>
      </c>
      <c r="B7252" s="15" t="s">
        <v>14285</v>
      </c>
      <c r="C7252" s="16">
        <f>431.86/(1+B2)</f>
        <v>431.86</v>
      </c>
      <c r="D7252" s="17"/>
      <c r="E7252" s="17" t="s">
        <v>11</v>
      </c>
      <c r="F7252" s="18"/>
      <c r="G7252" s="36" t="str">
        <f>IF(ISNUMBER(F7252),C7252*F7252,"")</f>
        <v/>
      </c>
    </row>
    <row r="7253" spans="1:7" ht="12" customHeight="1" outlineLevel="3" x14ac:dyDescent="0.2">
      <c r="A7253" s="14" t="s">
        <v>14286</v>
      </c>
      <c r="B7253" s="15" t="s">
        <v>14287</v>
      </c>
      <c r="C7253" s="16">
        <f>490.93/(1+B2)</f>
        <v>490.93</v>
      </c>
      <c r="D7253" s="17" t="s">
        <v>11</v>
      </c>
      <c r="E7253" s="17"/>
      <c r="F7253" s="18"/>
      <c r="G7253" s="36" t="str">
        <f>IF(ISNUMBER(F7253),C7253*F7253,"")</f>
        <v/>
      </c>
    </row>
    <row r="7254" spans="1:7" ht="12" customHeight="1" outlineLevel="3" x14ac:dyDescent="0.2">
      <c r="A7254" s="14" t="s">
        <v>14288</v>
      </c>
      <c r="B7254" s="15" t="s">
        <v>14289</v>
      </c>
      <c r="C7254" s="16">
        <f>388.77/(1+B2)</f>
        <v>388.77</v>
      </c>
      <c r="D7254" s="17" t="s">
        <v>11</v>
      </c>
      <c r="E7254" s="17" t="s">
        <v>14</v>
      </c>
      <c r="F7254" s="18"/>
      <c r="G7254" s="36" t="str">
        <f>IF(ISNUMBER(F7254),C7254*F7254,"")</f>
        <v/>
      </c>
    </row>
    <row r="7255" spans="1:7" ht="12" customHeight="1" outlineLevel="3" x14ac:dyDescent="0.2">
      <c r="A7255" s="14" t="s">
        <v>14290</v>
      </c>
      <c r="B7255" s="15" t="s">
        <v>14291</v>
      </c>
      <c r="C7255" s="16">
        <f>367.44/(1+B2)</f>
        <v>367.44</v>
      </c>
      <c r="D7255" s="17"/>
      <c r="E7255" s="17" t="s">
        <v>11</v>
      </c>
      <c r="F7255" s="18"/>
      <c r="G7255" s="36" t="str">
        <f>IF(ISNUMBER(F7255),C7255*F7255,"")</f>
        <v/>
      </c>
    </row>
    <row r="7256" spans="1:7" ht="24" customHeight="1" outlineLevel="3" x14ac:dyDescent="0.2">
      <c r="A7256" s="14" t="s">
        <v>14292</v>
      </c>
      <c r="B7256" s="15" t="s">
        <v>14293</v>
      </c>
      <c r="C7256" s="16">
        <f>243.82/(1+B2)</f>
        <v>243.82</v>
      </c>
      <c r="D7256" s="17" t="s">
        <v>11</v>
      </c>
      <c r="E7256" s="17"/>
      <c r="F7256" s="18"/>
      <c r="G7256" s="36" t="str">
        <f>IF(ISNUMBER(F7256),C7256*F7256,"")</f>
        <v/>
      </c>
    </row>
    <row r="7257" spans="1:7" ht="24" customHeight="1" outlineLevel="3" x14ac:dyDescent="0.2">
      <c r="A7257" s="14" t="s">
        <v>14294</v>
      </c>
      <c r="B7257" s="15" t="s">
        <v>14295</v>
      </c>
      <c r="C7257" s="16">
        <f>661.4/(1+B2)</f>
        <v>661.4</v>
      </c>
      <c r="D7257" s="17" t="s">
        <v>11</v>
      </c>
      <c r="E7257" s="17" t="s">
        <v>11</v>
      </c>
      <c r="F7257" s="18"/>
      <c r="G7257" s="36" t="str">
        <f>IF(ISNUMBER(F7257),C7257*F7257,"")</f>
        <v/>
      </c>
    </row>
    <row r="7258" spans="1:7" ht="24" customHeight="1" outlineLevel="3" x14ac:dyDescent="0.2">
      <c r="A7258" s="14" t="s">
        <v>14296</v>
      </c>
      <c r="B7258" s="15" t="s">
        <v>14297</v>
      </c>
      <c r="C7258" s="16">
        <f>888.76/(1+B2)</f>
        <v>888.76</v>
      </c>
      <c r="D7258" s="17" t="s">
        <v>11</v>
      </c>
      <c r="E7258" s="17"/>
      <c r="F7258" s="18"/>
      <c r="G7258" s="36" t="str">
        <f>IF(ISNUMBER(F7258),C7258*F7258,"")</f>
        <v/>
      </c>
    </row>
    <row r="7259" spans="1:7" ht="24" customHeight="1" outlineLevel="3" x14ac:dyDescent="0.2">
      <c r="A7259" s="14" t="s">
        <v>14298</v>
      </c>
      <c r="B7259" s="15" t="s">
        <v>14299</v>
      </c>
      <c r="C7259" s="16">
        <f>456.76/(1+B2)</f>
        <v>456.76</v>
      </c>
      <c r="D7259" s="17" t="s">
        <v>11</v>
      </c>
      <c r="E7259" s="17"/>
      <c r="F7259" s="18"/>
      <c r="G7259" s="36" t="str">
        <f>IF(ISNUMBER(F7259),C7259*F7259,"")</f>
        <v/>
      </c>
    </row>
    <row r="7260" spans="1:7" s="1" customFormat="1" ht="12.95" customHeight="1" outlineLevel="2" x14ac:dyDescent="0.2">
      <c r="A7260" s="20"/>
      <c r="B7260" s="21" t="s">
        <v>14300</v>
      </c>
      <c r="C7260" s="22"/>
      <c r="D7260" s="22"/>
      <c r="E7260" s="22"/>
      <c r="F7260" s="22"/>
      <c r="G7260" s="37"/>
    </row>
    <row r="7261" spans="1:7" ht="12" customHeight="1" outlineLevel="3" x14ac:dyDescent="0.2">
      <c r="A7261" s="14" t="s">
        <v>14301</v>
      </c>
      <c r="B7261" s="15" t="s">
        <v>14302</v>
      </c>
      <c r="C7261" s="16">
        <f>50/(1+B2)</f>
        <v>50</v>
      </c>
      <c r="D7261" s="17" t="s">
        <v>11</v>
      </c>
      <c r="E7261" s="17" t="s">
        <v>53</v>
      </c>
      <c r="F7261" s="18"/>
      <c r="G7261" s="36" t="str">
        <f>IF(ISNUMBER(F7261),C7261*F7261,"")</f>
        <v/>
      </c>
    </row>
    <row r="7262" spans="1:7" ht="24" customHeight="1" outlineLevel="3" x14ac:dyDescent="0.2">
      <c r="A7262" s="14" t="s">
        <v>14303</v>
      </c>
      <c r="B7262" s="15" t="s">
        <v>14304</v>
      </c>
      <c r="C7262" s="16">
        <f>50/(1+B2)</f>
        <v>50</v>
      </c>
      <c r="D7262" s="17" t="s">
        <v>11</v>
      </c>
      <c r="E7262" s="17" t="s">
        <v>14</v>
      </c>
      <c r="F7262" s="18"/>
      <c r="G7262" s="36" t="str">
        <f>IF(ISNUMBER(F7262),C7262*F7262,"")</f>
        <v/>
      </c>
    </row>
    <row r="7263" spans="1:7" ht="24" customHeight="1" outlineLevel="3" x14ac:dyDescent="0.2">
      <c r="A7263" s="14" t="s">
        <v>14305</v>
      </c>
      <c r="B7263" s="15" t="s">
        <v>14306</v>
      </c>
      <c r="C7263" s="16">
        <f>50/(1+B2)</f>
        <v>50</v>
      </c>
      <c r="D7263" s="17" t="s">
        <v>11</v>
      </c>
      <c r="E7263" s="17" t="s">
        <v>14</v>
      </c>
      <c r="F7263" s="18"/>
      <c r="G7263" s="36" t="str">
        <f>IF(ISNUMBER(F7263),C7263*F7263,"")</f>
        <v/>
      </c>
    </row>
    <row r="7264" spans="1:7" ht="24" customHeight="1" outlineLevel="3" x14ac:dyDescent="0.2">
      <c r="A7264" s="14" t="s">
        <v>14307</v>
      </c>
      <c r="B7264" s="15" t="s">
        <v>14308</v>
      </c>
      <c r="C7264" s="16">
        <f>50/(1+B2)</f>
        <v>50</v>
      </c>
      <c r="D7264" s="17" t="s">
        <v>11</v>
      </c>
      <c r="E7264" s="17" t="s">
        <v>11</v>
      </c>
      <c r="F7264" s="18"/>
      <c r="G7264" s="36" t="str">
        <f>IF(ISNUMBER(F7264),C7264*F7264,"")</f>
        <v/>
      </c>
    </row>
    <row r="7265" spans="1:7" ht="24" customHeight="1" outlineLevel="3" x14ac:dyDescent="0.2">
      <c r="A7265" s="14" t="s">
        <v>14309</v>
      </c>
      <c r="B7265" s="15" t="s">
        <v>14310</v>
      </c>
      <c r="C7265" s="16">
        <f>84.73/(1+B2)</f>
        <v>84.73</v>
      </c>
      <c r="D7265" s="17" t="s">
        <v>11</v>
      </c>
      <c r="E7265" s="17" t="s">
        <v>11</v>
      </c>
      <c r="F7265" s="18"/>
      <c r="G7265" s="36" t="str">
        <f>IF(ISNUMBER(F7265),C7265*F7265,"")</f>
        <v/>
      </c>
    </row>
    <row r="7266" spans="1:7" ht="24" customHeight="1" outlineLevel="3" x14ac:dyDescent="0.2">
      <c r="A7266" s="14" t="s">
        <v>14311</v>
      </c>
      <c r="B7266" s="15" t="s">
        <v>14312</v>
      </c>
      <c r="C7266" s="16">
        <f>72.68/(1+B2)</f>
        <v>72.680000000000007</v>
      </c>
      <c r="D7266" s="17" t="s">
        <v>11</v>
      </c>
      <c r="E7266" s="17"/>
      <c r="F7266" s="18"/>
      <c r="G7266" s="36" t="str">
        <f>IF(ISNUMBER(F7266),C7266*F7266,"")</f>
        <v/>
      </c>
    </row>
    <row r="7267" spans="1:7" ht="12" customHeight="1" outlineLevel="3" x14ac:dyDescent="0.2">
      <c r="A7267" s="14" t="s">
        <v>14313</v>
      </c>
      <c r="B7267" s="15" t="s">
        <v>14314</v>
      </c>
      <c r="C7267" s="16">
        <f>58.24/(1+B2)</f>
        <v>58.24</v>
      </c>
      <c r="D7267" s="17" t="s">
        <v>11</v>
      </c>
      <c r="E7267" s="17"/>
      <c r="F7267" s="18"/>
      <c r="G7267" s="36" t="str">
        <f>IF(ISNUMBER(F7267),C7267*F7267,"")</f>
        <v/>
      </c>
    </row>
    <row r="7268" spans="1:7" ht="24" customHeight="1" outlineLevel="3" x14ac:dyDescent="0.2">
      <c r="A7268" s="14" t="s">
        <v>14315</v>
      </c>
      <c r="B7268" s="15" t="s">
        <v>14316</v>
      </c>
      <c r="C7268" s="16">
        <f>218.11/(1+B2)</f>
        <v>218.11</v>
      </c>
      <c r="D7268" s="17" t="s">
        <v>11</v>
      </c>
      <c r="E7268" s="17"/>
      <c r="F7268" s="18"/>
      <c r="G7268" s="36" t="str">
        <f>IF(ISNUMBER(F7268),C7268*F7268,"")</f>
        <v/>
      </c>
    </row>
    <row r="7269" spans="1:7" ht="24" customHeight="1" outlineLevel="3" x14ac:dyDescent="0.2">
      <c r="A7269" s="14" t="s">
        <v>14317</v>
      </c>
      <c r="B7269" s="15" t="s">
        <v>14318</v>
      </c>
      <c r="C7269" s="16">
        <f>74.14/(1+B2)</f>
        <v>74.14</v>
      </c>
      <c r="D7269" s="17" t="s">
        <v>11</v>
      </c>
      <c r="E7269" s="17"/>
      <c r="F7269" s="18"/>
      <c r="G7269" s="36" t="str">
        <f>IF(ISNUMBER(F7269),C7269*F7269,"")</f>
        <v/>
      </c>
    </row>
    <row r="7270" spans="1:7" ht="12" customHeight="1" outlineLevel="3" x14ac:dyDescent="0.2">
      <c r="A7270" s="14" t="s">
        <v>14319</v>
      </c>
      <c r="B7270" s="15" t="s">
        <v>14320</v>
      </c>
      <c r="C7270" s="16">
        <f>391.66/(1+B2)</f>
        <v>391.66</v>
      </c>
      <c r="D7270" s="17" t="s">
        <v>11</v>
      </c>
      <c r="E7270" s="17"/>
      <c r="F7270" s="18"/>
      <c r="G7270" s="36" t="str">
        <f>IF(ISNUMBER(F7270),C7270*F7270,"")</f>
        <v/>
      </c>
    </row>
    <row r="7271" spans="1:7" ht="12" customHeight="1" outlineLevel="3" x14ac:dyDescent="0.2">
      <c r="A7271" s="14" t="s">
        <v>14321</v>
      </c>
      <c r="B7271" s="15" t="s">
        <v>14322</v>
      </c>
      <c r="C7271" s="16">
        <f>298.94/(1+B2)</f>
        <v>298.94</v>
      </c>
      <c r="D7271" s="17" t="s">
        <v>11</v>
      </c>
      <c r="E7271" s="17"/>
      <c r="F7271" s="18"/>
      <c r="G7271" s="36" t="str">
        <f>IF(ISNUMBER(F7271),C7271*F7271,"")</f>
        <v/>
      </c>
    </row>
    <row r="7272" spans="1:7" s="1" customFormat="1" ht="12.95" customHeight="1" outlineLevel="2" x14ac:dyDescent="0.2">
      <c r="A7272" s="20"/>
      <c r="B7272" s="21" t="s">
        <v>14323</v>
      </c>
      <c r="C7272" s="22"/>
      <c r="D7272" s="22"/>
      <c r="E7272" s="22"/>
      <c r="F7272" s="22"/>
      <c r="G7272" s="37"/>
    </row>
    <row r="7273" spans="1:7" ht="12" customHeight="1" outlineLevel="3" x14ac:dyDescent="0.2">
      <c r="A7273" s="14" t="s">
        <v>14324</v>
      </c>
      <c r="B7273" s="15" t="s">
        <v>14325</v>
      </c>
      <c r="C7273" s="16">
        <f>50/(1+B2)</f>
        <v>50</v>
      </c>
      <c r="D7273" s="17" t="s">
        <v>11</v>
      </c>
      <c r="E7273" s="17" t="s">
        <v>14</v>
      </c>
      <c r="F7273" s="18"/>
      <c r="G7273" s="36" t="str">
        <f>IF(ISNUMBER(F7273),C7273*F7273,"")</f>
        <v/>
      </c>
    </row>
    <row r="7274" spans="1:7" ht="12" customHeight="1" outlineLevel="3" x14ac:dyDescent="0.2">
      <c r="A7274" s="14" t="s">
        <v>14326</v>
      </c>
      <c r="B7274" s="15" t="s">
        <v>14327</v>
      </c>
      <c r="C7274" s="16">
        <f>50/(1+B2)</f>
        <v>50</v>
      </c>
      <c r="D7274" s="17" t="s">
        <v>11</v>
      </c>
      <c r="E7274" s="17" t="s">
        <v>53</v>
      </c>
      <c r="F7274" s="18"/>
      <c r="G7274" s="36" t="str">
        <f>IF(ISNUMBER(F7274),C7274*F7274,"")</f>
        <v/>
      </c>
    </row>
    <row r="7275" spans="1:7" ht="12" customHeight="1" outlineLevel="3" x14ac:dyDescent="0.2">
      <c r="A7275" s="14" t="s">
        <v>14328</v>
      </c>
      <c r="B7275" s="15" t="s">
        <v>14329</v>
      </c>
      <c r="C7275" s="16">
        <f>50/(1+B2)</f>
        <v>50</v>
      </c>
      <c r="D7275" s="17" t="s">
        <v>11</v>
      </c>
      <c r="E7275" s="17" t="s">
        <v>53</v>
      </c>
      <c r="F7275" s="18"/>
      <c r="G7275" s="36" t="str">
        <f>IF(ISNUMBER(F7275),C7275*F7275,"")</f>
        <v/>
      </c>
    </row>
    <row r="7276" spans="1:7" s="1" customFormat="1" ht="12.95" customHeight="1" outlineLevel="2" x14ac:dyDescent="0.2">
      <c r="A7276" s="20"/>
      <c r="B7276" s="21" t="s">
        <v>14330</v>
      </c>
      <c r="C7276" s="22"/>
      <c r="D7276" s="22"/>
      <c r="E7276" s="22"/>
      <c r="F7276" s="22"/>
      <c r="G7276" s="37"/>
    </row>
    <row r="7277" spans="1:7" ht="12" customHeight="1" outlineLevel="3" x14ac:dyDescent="0.2">
      <c r="A7277" s="14" t="s">
        <v>14331</v>
      </c>
      <c r="B7277" s="15" t="s">
        <v>14332</v>
      </c>
      <c r="C7277" s="16">
        <f>259.2/(1+B2)</f>
        <v>259.2</v>
      </c>
      <c r="D7277" s="17" t="s">
        <v>11</v>
      </c>
      <c r="E7277" s="17"/>
      <c r="F7277" s="18"/>
      <c r="G7277" s="36" t="str">
        <f>IF(ISNUMBER(F7277),C7277*F7277,"")</f>
        <v/>
      </c>
    </row>
    <row r="7278" spans="1:7" ht="12" customHeight="1" outlineLevel="3" x14ac:dyDescent="0.2">
      <c r="A7278" s="14" t="s">
        <v>14333</v>
      </c>
      <c r="B7278" s="15" t="s">
        <v>14334</v>
      </c>
      <c r="C7278" s="16">
        <f>237.15/(1+B2)</f>
        <v>237.15</v>
      </c>
      <c r="D7278" s="17" t="s">
        <v>11</v>
      </c>
      <c r="E7278" s="17"/>
      <c r="F7278" s="18"/>
      <c r="G7278" s="36" t="str">
        <f>IF(ISNUMBER(F7278),C7278*F7278,"")</f>
        <v/>
      </c>
    </row>
    <row r="7279" spans="1:7" ht="12" customHeight="1" outlineLevel="3" x14ac:dyDescent="0.2">
      <c r="A7279" s="14" t="s">
        <v>14335</v>
      </c>
      <c r="B7279" s="15" t="s">
        <v>14336</v>
      </c>
      <c r="C7279" s="16">
        <f>296.21/(1+B2)</f>
        <v>296.20999999999998</v>
      </c>
      <c r="D7279" s="17" t="s">
        <v>11</v>
      </c>
      <c r="E7279" s="17"/>
      <c r="F7279" s="18"/>
      <c r="G7279" s="36" t="str">
        <f>IF(ISNUMBER(F7279),C7279*F7279,"")</f>
        <v/>
      </c>
    </row>
    <row r="7280" spans="1:7" ht="12" customHeight="1" outlineLevel="3" x14ac:dyDescent="0.2">
      <c r="A7280" s="14" t="s">
        <v>14337</v>
      </c>
      <c r="B7280" s="15" t="s">
        <v>14338</v>
      </c>
      <c r="C7280" s="16">
        <f>219.38/(1+B2)</f>
        <v>219.38</v>
      </c>
      <c r="D7280" s="17" t="s">
        <v>11</v>
      </c>
      <c r="E7280" s="17"/>
      <c r="F7280" s="18"/>
      <c r="G7280" s="36" t="str">
        <f>IF(ISNUMBER(F7280),C7280*F7280,"")</f>
        <v/>
      </c>
    </row>
    <row r="7281" spans="1:7" ht="12" customHeight="1" outlineLevel="3" x14ac:dyDescent="0.2">
      <c r="A7281" s="14" t="s">
        <v>14339</v>
      </c>
      <c r="B7281" s="15" t="s">
        <v>14340</v>
      </c>
      <c r="C7281" s="16">
        <f>196.09/(1+B2)</f>
        <v>196.09</v>
      </c>
      <c r="D7281" s="17" t="s">
        <v>11</v>
      </c>
      <c r="E7281" s="17"/>
      <c r="F7281" s="18"/>
      <c r="G7281" s="36" t="str">
        <f>IF(ISNUMBER(F7281),C7281*F7281,"")</f>
        <v/>
      </c>
    </row>
    <row r="7282" spans="1:7" ht="24" customHeight="1" outlineLevel="3" x14ac:dyDescent="0.2">
      <c r="A7282" s="14" t="s">
        <v>14341</v>
      </c>
      <c r="B7282" s="15" t="s">
        <v>14342</v>
      </c>
      <c r="C7282" s="16">
        <f>337.79/(1+B2)</f>
        <v>337.79</v>
      </c>
      <c r="D7282" s="17" t="s">
        <v>11</v>
      </c>
      <c r="E7282" s="17"/>
      <c r="F7282" s="18"/>
      <c r="G7282" s="36" t="str">
        <f>IF(ISNUMBER(F7282),C7282*F7282,"")</f>
        <v/>
      </c>
    </row>
    <row r="7283" spans="1:7" ht="12" customHeight="1" outlineLevel="3" x14ac:dyDescent="0.2">
      <c r="A7283" s="14" t="s">
        <v>14343</v>
      </c>
      <c r="B7283" s="15" t="s">
        <v>14344</v>
      </c>
      <c r="C7283" s="16">
        <f>229.19/(1+B2)</f>
        <v>229.19</v>
      </c>
      <c r="D7283" s="17" t="s">
        <v>11</v>
      </c>
      <c r="E7283" s="17"/>
      <c r="F7283" s="18"/>
      <c r="G7283" s="36" t="str">
        <f>IF(ISNUMBER(F7283),C7283*F7283,"")</f>
        <v/>
      </c>
    </row>
    <row r="7284" spans="1:7" ht="12" customHeight="1" outlineLevel="3" x14ac:dyDescent="0.2">
      <c r="A7284" s="14" t="s">
        <v>14345</v>
      </c>
      <c r="B7284" s="15" t="s">
        <v>14346</v>
      </c>
      <c r="C7284" s="16">
        <f>210.44/(1+B2)</f>
        <v>210.44</v>
      </c>
      <c r="D7284" s="17" t="s">
        <v>11</v>
      </c>
      <c r="E7284" s="17"/>
      <c r="F7284" s="18"/>
      <c r="G7284" s="36" t="str">
        <f>IF(ISNUMBER(F7284),C7284*F7284,"")</f>
        <v/>
      </c>
    </row>
    <row r="7285" spans="1:7" ht="24" customHeight="1" outlineLevel="3" x14ac:dyDescent="0.2">
      <c r="A7285" s="14" t="s">
        <v>14347</v>
      </c>
      <c r="B7285" s="15" t="s">
        <v>14348</v>
      </c>
      <c r="C7285" s="16">
        <f>409.75/(1+B2)</f>
        <v>409.75</v>
      </c>
      <c r="D7285" s="17" t="s">
        <v>11</v>
      </c>
      <c r="E7285" s="17"/>
      <c r="F7285" s="18"/>
      <c r="G7285" s="36" t="str">
        <f>IF(ISNUMBER(F7285),C7285*F7285,"")</f>
        <v/>
      </c>
    </row>
    <row r="7286" spans="1:7" ht="24" customHeight="1" outlineLevel="3" x14ac:dyDescent="0.2">
      <c r="A7286" s="14" t="s">
        <v>14349</v>
      </c>
      <c r="B7286" s="15" t="s">
        <v>14350</v>
      </c>
      <c r="C7286" s="16">
        <f>465.31/(1+B2)</f>
        <v>465.31</v>
      </c>
      <c r="D7286" s="17" t="s">
        <v>11</v>
      </c>
      <c r="E7286" s="17"/>
      <c r="F7286" s="18"/>
      <c r="G7286" s="36" t="str">
        <f>IF(ISNUMBER(F7286),C7286*F7286,"")</f>
        <v/>
      </c>
    </row>
    <row r="7287" spans="1:7" ht="24" customHeight="1" outlineLevel="3" x14ac:dyDescent="0.2">
      <c r="A7287" s="14" t="s">
        <v>14351</v>
      </c>
      <c r="B7287" s="15" t="s">
        <v>14352</v>
      </c>
      <c r="C7287" s="16">
        <f>736.92/(1+B2)</f>
        <v>736.92</v>
      </c>
      <c r="D7287" s="17" t="s">
        <v>11</v>
      </c>
      <c r="E7287" s="17"/>
      <c r="F7287" s="18"/>
      <c r="G7287" s="36" t="str">
        <f>IF(ISNUMBER(F7287),C7287*F7287,"")</f>
        <v/>
      </c>
    </row>
    <row r="7288" spans="1:7" s="1" customFormat="1" ht="12.95" customHeight="1" outlineLevel="2" x14ac:dyDescent="0.2">
      <c r="A7288" s="20"/>
      <c r="B7288" s="21" t="s">
        <v>14353</v>
      </c>
      <c r="C7288" s="22"/>
      <c r="D7288" s="22"/>
      <c r="E7288" s="22"/>
      <c r="F7288" s="22"/>
      <c r="G7288" s="37"/>
    </row>
    <row r="7289" spans="1:7" ht="12" customHeight="1" outlineLevel="3" x14ac:dyDescent="0.2">
      <c r="A7289" s="14" t="s">
        <v>14354</v>
      </c>
      <c r="B7289" s="15" t="s">
        <v>14355</v>
      </c>
      <c r="C7289" s="16">
        <f>54.37/(1+B2)</f>
        <v>54.37</v>
      </c>
      <c r="D7289" s="17" t="s">
        <v>11</v>
      </c>
      <c r="E7289" s="17" t="s">
        <v>11</v>
      </c>
      <c r="F7289" s="18"/>
      <c r="G7289" s="36" t="str">
        <f>IF(ISNUMBER(F7289),C7289*F7289,"")</f>
        <v/>
      </c>
    </row>
    <row r="7290" spans="1:7" s="1" customFormat="1" ht="12.95" customHeight="1" outlineLevel="2" x14ac:dyDescent="0.2">
      <c r="A7290" s="20"/>
      <c r="B7290" s="21" t="s">
        <v>14356</v>
      </c>
      <c r="C7290" s="22"/>
      <c r="D7290" s="22"/>
      <c r="E7290" s="22"/>
      <c r="F7290" s="22"/>
      <c r="G7290" s="37"/>
    </row>
    <row r="7291" spans="1:7" ht="12" customHeight="1" outlineLevel="3" x14ac:dyDescent="0.2">
      <c r="A7291" s="14" t="s">
        <v>14357</v>
      </c>
      <c r="B7291" s="15" t="s">
        <v>14358</v>
      </c>
      <c r="C7291" s="16">
        <f>151.86/(1+B2)</f>
        <v>151.86000000000001</v>
      </c>
      <c r="D7291" s="17" t="s">
        <v>11</v>
      </c>
      <c r="E7291" s="17" t="s">
        <v>53</v>
      </c>
      <c r="F7291" s="18"/>
      <c r="G7291" s="36" t="str">
        <f>IF(ISNUMBER(F7291),C7291*F7291,"")</f>
        <v/>
      </c>
    </row>
    <row r="7292" spans="1:7" ht="12" customHeight="1" outlineLevel="3" x14ac:dyDescent="0.2">
      <c r="A7292" s="14" t="s">
        <v>14359</v>
      </c>
      <c r="B7292" s="15" t="s">
        <v>14360</v>
      </c>
      <c r="C7292" s="16">
        <f>109.94/(1+B2)</f>
        <v>109.94</v>
      </c>
      <c r="D7292" s="17" t="s">
        <v>11</v>
      </c>
      <c r="E7292" s="17" t="s">
        <v>11</v>
      </c>
      <c r="F7292" s="18"/>
      <c r="G7292" s="36" t="str">
        <f>IF(ISNUMBER(F7292),C7292*F7292,"")</f>
        <v/>
      </c>
    </row>
    <row r="7293" spans="1:7" ht="12" customHeight="1" outlineLevel="3" x14ac:dyDescent="0.2">
      <c r="A7293" s="14" t="s">
        <v>14361</v>
      </c>
      <c r="B7293" s="15" t="s">
        <v>14362</v>
      </c>
      <c r="C7293" s="16">
        <f>59.26/(1+B2)</f>
        <v>59.26</v>
      </c>
      <c r="D7293" s="17" t="s">
        <v>11</v>
      </c>
      <c r="E7293" s="17" t="s">
        <v>11</v>
      </c>
      <c r="F7293" s="18"/>
      <c r="G7293" s="36" t="str">
        <f>IF(ISNUMBER(F7293),C7293*F7293,"")</f>
        <v/>
      </c>
    </row>
    <row r="7294" spans="1:7" ht="12" customHeight="1" outlineLevel="3" x14ac:dyDescent="0.2">
      <c r="A7294" s="14" t="s">
        <v>14363</v>
      </c>
      <c r="B7294" s="15" t="s">
        <v>14364</v>
      </c>
      <c r="C7294" s="16">
        <f>127.5/(1+B2)</f>
        <v>127.5</v>
      </c>
      <c r="D7294" s="17" t="s">
        <v>11</v>
      </c>
      <c r="E7294" s="17"/>
      <c r="F7294" s="18"/>
      <c r="G7294" s="36" t="str">
        <f>IF(ISNUMBER(F7294),C7294*F7294,"")</f>
        <v/>
      </c>
    </row>
    <row r="7295" spans="1:7" ht="12" customHeight="1" outlineLevel="3" x14ac:dyDescent="0.2">
      <c r="A7295" s="14" t="s">
        <v>14365</v>
      </c>
      <c r="B7295" s="15" t="s">
        <v>14366</v>
      </c>
      <c r="C7295" s="16">
        <f>127.5/(1+B2)</f>
        <v>127.5</v>
      </c>
      <c r="D7295" s="17" t="s">
        <v>11</v>
      </c>
      <c r="E7295" s="17"/>
      <c r="F7295" s="18"/>
      <c r="G7295" s="36" t="str">
        <f>IF(ISNUMBER(F7295),C7295*F7295,"")</f>
        <v/>
      </c>
    </row>
    <row r="7296" spans="1:7" ht="12" customHeight="1" outlineLevel="3" x14ac:dyDescent="0.2">
      <c r="A7296" s="14" t="s">
        <v>14367</v>
      </c>
      <c r="B7296" s="15" t="s">
        <v>14368</v>
      </c>
      <c r="C7296" s="16">
        <f>140.91/(1+B2)</f>
        <v>140.91</v>
      </c>
      <c r="D7296" s="17" t="s">
        <v>11</v>
      </c>
      <c r="E7296" s="17"/>
      <c r="F7296" s="18"/>
      <c r="G7296" s="36" t="str">
        <f>IF(ISNUMBER(F7296),C7296*F7296,"")</f>
        <v/>
      </c>
    </row>
    <row r="7297" spans="1:7" ht="12" customHeight="1" outlineLevel="3" x14ac:dyDescent="0.2">
      <c r="A7297" s="14" t="s">
        <v>14369</v>
      </c>
      <c r="B7297" s="15" t="s">
        <v>14370</v>
      </c>
      <c r="C7297" s="16">
        <f>177.68/(1+B2)</f>
        <v>177.68</v>
      </c>
      <c r="D7297" s="17" t="s">
        <v>11</v>
      </c>
      <c r="E7297" s="17"/>
      <c r="F7297" s="18"/>
      <c r="G7297" s="36" t="str">
        <f>IF(ISNUMBER(F7297),C7297*F7297,"")</f>
        <v/>
      </c>
    </row>
    <row r="7298" spans="1:7" ht="12" customHeight="1" outlineLevel="3" x14ac:dyDescent="0.2">
      <c r="A7298" s="14" t="s">
        <v>14371</v>
      </c>
      <c r="B7298" s="15" t="s">
        <v>14372</v>
      </c>
      <c r="C7298" s="16">
        <f>195.59/(1+B2)</f>
        <v>195.59</v>
      </c>
      <c r="D7298" s="17" t="s">
        <v>11</v>
      </c>
      <c r="E7298" s="17"/>
      <c r="F7298" s="18"/>
      <c r="G7298" s="36" t="str">
        <f>IF(ISNUMBER(F7298),C7298*F7298,"")</f>
        <v/>
      </c>
    </row>
    <row r="7299" spans="1:7" s="1" customFormat="1" ht="12.95" customHeight="1" outlineLevel="2" x14ac:dyDescent="0.2">
      <c r="A7299" s="20"/>
      <c r="B7299" s="21" t="s">
        <v>14373</v>
      </c>
      <c r="C7299" s="22"/>
      <c r="D7299" s="22"/>
      <c r="E7299" s="22"/>
      <c r="F7299" s="22"/>
      <c r="G7299" s="37"/>
    </row>
    <row r="7300" spans="1:7" ht="12" customHeight="1" outlineLevel="3" x14ac:dyDescent="0.2">
      <c r="A7300" s="14" t="s">
        <v>14374</v>
      </c>
      <c r="B7300" s="15" t="s">
        <v>14375</v>
      </c>
      <c r="C7300" s="16">
        <f>517.08/(1+B2)</f>
        <v>517.08000000000004</v>
      </c>
      <c r="D7300" s="17" t="s">
        <v>11</v>
      </c>
      <c r="E7300" s="17"/>
      <c r="F7300" s="18"/>
      <c r="G7300" s="36" t="str">
        <f>IF(ISNUMBER(F7300),C7300*F7300,"")</f>
        <v/>
      </c>
    </row>
    <row r="7301" spans="1:7" ht="12" customHeight="1" outlineLevel="3" x14ac:dyDescent="0.2">
      <c r="A7301" s="14" t="s">
        <v>14376</v>
      </c>
      <c r="B7301" s="15" t="s">
        <v>14377</v>
      </c>
      <c r="C7301" s="16">
        <f>210.86/(1+B2)</f>
        <v>210.86</v>
      </c>
      <c r="D7301" s="17" t="s">
        <v>11</v>
      </c>
      <c r="E7301" s="17" t="s">
        <v>11</v>
      </c>
      <c r="F7301" s="18"/>
      <c r="G7301" s="36" t="str">
        <f>IF(ISNUMBER(F7301),C7301*F7301,"")</f>
        <v/>
      </c>
    </row>
    <row r="7302" spans="1:7" ht="12" customHeight="1" outlineLevel="3" x14ac:dyDescent="0.2">
      <c r="A7302" s="14" t="s">
        <v>14378</v>
      </c>
      <c r="B7302" s="15" t="s">
        <v>14379</v>
      </c>
      <c r="C7302" s="16">
        <f>252.51/(1+B2)</f>
        <v>252.51</v>
      </c>
      <c r="D7302" s="17" t="s">
        <v>11</v>
      </c>
      <c r="E7302" s="17"/>
      <c r="F7302" s="18"/>
      <c r="G7302" s="36" t="str">
        <f>IF(ISNUMBER(F7302),C7302*F7302,"")</f>
        <v/>
      </c>
    </row>
    <row r="7303" spans="1:7" ht="12" customHeight="1" outlineLevel="3" x14ac:dyDescent="0.2">
      <c r="A7303" s="14" t="s">
        <v>14380</v>
      </c>
      <c r="B7303" s="15" t="s">
        <v>14381</v>
      </c>
      <c r="C7303" s="19">
        <f>1032.98/(1+B2)</f>
        <v>1032.98</v>
      </c>
      <c r="D7303" s="17" t="s">
        <v>11</v>
      </c>
      <c r="E7303" s="17"/>
      <c r="F7303" s="18"/>
      <c r="G7303" s="36" t="str">
        <f>IF(ISNUMBER(F7303),C7303*F7303,"")</f>
        <v/>
      </c>
    </row>
    <row r="7304" spans="1:7" ht="12" customHeight="1" outlineLevel="3" x14ac:dyDescent="0.2">
      <c r="A7304" s="14" t="s">
        <v>14382</v>
      </c>
      <c r="B7304" s="15" t="s">
        <v>14383</v>
      </c>
      <c r="C7304" s="16">
        <f>247.5/(1+B2)</f>
        <v>247.5</v>
      </c>
      <c r="D7304" s="17" t="s">
        <v>11</v>
      </c>
      <c r="E7304" s="17"/>
      <c r="F7304" s="18"/>
      <c r="G7304" s="36" t="str">
        <f>IF(ISNUMBER(F7304),C7304*F7304,"")</f>
        <v/>
      </c>
    </row>
    <row r="7305" spans="1:7" ht="12" customHeight="1" outlineLevel="3" x14ac:dyDescent="0.2">
      <c r="A7305" s="14" t="s">
        <v>14384</v>
      </c>
      <c r="B7305" s="15" t="s">
        <v>14385</v>
      </c>
      <c r="C7305" s="16">
        <f>334.13/(1+B2)</f>
        <v>334.13</v>
      </c>
      <c r="D7305" s="17" t="s">
        <v>11</v>
      </c>
      <c r="E7305" s="17"/>
      <c r="F7305" s="18"/>
      <c r="G7305" s="36" t="str">
        <f>IF(ISNUMBER(F7305),C7305*F7305,"")</f>
        <v/>
      </c>
    </row>
    <row r="7306" spans="1:7" ht="12" customHeight="1" outlineLevel="3" x14ac:dyDescent="0.2">
      <c r="A7306" s="14" t="s">
        <v>14386</v>
      </c>
      <c r="B7306" s="15" t="s">
        <v>14387</v>
      </c>
      <c r="C7306" s="16">
        <f>277.76/(1+B2)</f>
        <v>277.76</v>
      </c>
      <c r="D7306" s="17" t="s">
        <v>11</v>
      </c>
      <c r="E7306" s="17"/>
      <c r="F7306" s="18"/>
      <c r="G7306" s="36" t="str">
        <f>IF(ISNUMBER(F7306),C7306*F7306,"")</f>
        <v/>
      </c>
    </row>
    <row r="7307" spans="1:7" ht="12" customHeight="1" outlineLevel="3" x14ac:dyDescent="0.2">
      <c r="A7307" s="14" t="s">
        <v>14388</v>
      </c>
      <c r="B7307" s="15" t="s">
        <v>14389</v>
      </c>
      <c r="C7307" s="16">
        <f>483.86/(1+B2)</f>
        <v>483.86</v>
      </c>
      <c r="D7307" s="17" t="s">
        <v>11</v>
      </c>
      <c r="E7307" s="17"/>
      <c r="F7307" s="18"/>
      <c r="G7307" s="36" t="str">
        <f>IF(ISNUMBER(F7307),C7307*F7307,"")</f>
        <v/>
      </c>
    </row>
    <row r="7308" spans="1:7" ht="12" customHeight="1" outlineLevel="3" x14ac:dyDescent="0.2">
      <c r="A7308" s="14" t="s">
        <v>14390</v>
      </c>
      <c r="B7308" s="15" t="s">
        <v>14391</v>
      </c>
      <c r="C7308" s="16">
        <f>711.79/(1+B2)</f>
        <v>711.79</v>
      </c>
      <c r="D7308" s="17" t="s">
        <v>11</v>
      </c>
      <c r="E7308" s="17"/>
      <c r="F7308" s="18"/>
      <c r="G7308" s="36" t="str">
        <f>IF(ISNUMBER(F7308),C7308*F7308,"")</f>
        <v/>
      </c>
    </row>
    <row r="7309" spans="1:7" ht="12" customHeight="1" outlineLevel="3" x14ac:dyDescent="0.2">
      <c r="A7309" s="14" t="s">
        <v>14392</v>
      </c>
      <c r="B7309" s="15" t="s">
        <v>14393</v>
      </c>
      <c r="C7309" s="16">
        <f>146.25/(1+B2)</f>
        <v>146.25</v>
      </c>
      <c r="D7309" s="17" t="s">
        <v>11</v>
      </c>
      <c r="E7309" s="17" t="s">
        <v>11</v>
      </c>
      <c r="F7309" s="18"/>
      <c r="G7309" s="36" t="str">
        <f>IF(ISNUMBER(F7309),C7309*F7309,"")</f>
        <v/>
      </c>
    </row>
    <row r="7310" spans="1:7" ht="12" customHeight="1" outlineLevel="3" x14ac:dyDescent="0.2">
      <c r="A7310" s="14" t="s">
        <v>14394</v>
      </c>
      <c r="B7310" s="15" t="s">
        <v>14395</v>
      </c>
      <c r="C7310" s="19">
        <f>2164.68/(1+B2)</f>
        <v>2164.6799999999998</v>
      </c>
      <c r="D7310" s="17" t="s">
        <v>11</v>
      </c>
      <c r="E7310" s="17"/>
      <c r="F7310" s="18"/>
      <c r="G7310" s="36" t="str">
        <f>IF(ISNUMBER(F7310),C7310*F7310,"")</f>
        <v/>
      </c>
    </row>
    <row r="7311" spans="1:7" ht="12" customHeight="1" outlineLevel="3" x14ac:dyDescent="0.2">
      <c r="A7311" s="14" t="s">
        <v>14396</v>
      </c>
      <c r="B7311" s="15" t="s">
        <v>14397</v>
      </c>
      <c r="C7311" s="16">
        <f>400.56/(1+B2)</f>
        <v>400.56</v>
      </c>
      <c r="D7311" s="17" t="s">
        <v>11</v>
      </c>
      <c r="E7311" s="17"/>
      <c r="F7311" s="18"/>
      <c r="G7311" s="36" t="str">
        <f>IF(ISNUMBER(F7311),C7311*F7311,"")</f>
        <v/>
      </c>
    </row>
    <row r="7312" spans="1:7" ht="12" customHeight="1" outlineLevel="3" x14ac:dyDescent="0.2">
      <c r="A7312" s="14" t="s">
        <v>14398</v>
      </c>
      <c r="B7312" s="15" t="s">
        <v>14399</v>
      </c>
      <c r="C7312" s="16">
        <f>376.25/(1+B2)</f>
        <v>376.25</v>
      </c>
      <c r="D7312" s="17" t="s">
        <v>11</v>
      </c>
      <c r="E7312" s="17" t="s">
        <v>11</v>
      </c>
      <c r="F7312" s="18"/>
      <c r="G7312" s="36" t="str">
        <f>IF(ISNUMBER(F7312),C7312*F7312,"")</f>
        <v/>
      </c>
    </row>
    <row r="7313" spans="1:7" s="1" customFormat="1" ht="12.95" customHeight="1" outlineLevel="2" x14ac:dyDescent="0.2">
      <c r="A7313" s="20"/>
      <c r="B7313" s="21" t="s">
        <v>14400</v>
      </c>
      <c r="C7313" s="22"/>
      <c r="D7313" s="22"/>
      <c r="E7313" s="22"/>
      <c r="F7313" s="22"/>
      <c r="G7313" s="37"/>
    </row>
    <row r="7314" spans="1:7" ht="12" customHeight="1" outlineLevel="3" x14ac:dyDescent="0.2">
      <c r="A7314" s="14" t="s">
        <v>14401</v>
      </c>
      <c r="B7314" s="15" t="s">
        <v>14402</v>
      </c>
      <c r="C7314" s="16">
        <f>399.92/(1+B2)</f>
        <v>399.92</v>
      </c>
      <c r="D7314" s="17" t="s">
        <v>11</v>
      </c>
      <c r="E7314" s="17"/>
      <c r="F7314" s="18"/>
      <c r="G7314" s="36" t="str">
        <f>IF(ISNUMBER(F7314),C7314*F7314,"")</f>
        <v/>
      </c>
    </row>
    <row r="7315" spans="1:7" ht="12" customHeight="1" outlineLevel="3" x14ac:dyDescent="0.2">
      <c r="A7315" s="14" t="s">
        <v>14403</v>
      </c>
      <c r="B7315" s="15" t="s">
        <v>14404</v>
      </c>
      <c r="C7315" s="16">
        <f>326.59/(1+B2)</f>
        <v>326.58999999999997</v>
      </c>
      <c r="D7315" s="17" t="s">
        <v>11</v>
      </c>
      <c r="E7315" s="17"/>
      <c r="F7315" s="18"/>
      <c r="G7315" s="36" t="str">
        <f>IF(ISNUMBER(F7315),C7315*F7315,"")</f>
        <v/>
      </c>
    </row>
    <row r="7316" spans="1:7" ht="12" customHeight="1" outlineLevel="3" x14ac:dyDescent="0.2">
      <c r="A7316" s="14" t="s">
        <v>14405</v>
      </c>
      <c r="B7316" s="15" t="s">
        <v>14406</v>
      </c>
      <c r="C7316" s="16">
        <f>642.87/(1+B2)</f>
        <v>642.87</v>
      </c>
      <c r="D7316" s="17" t="s">
        <v>11</v>
      </c>
      <c r="E7316" s="17" t="s">
        <v>11</v>
      </c>
      <c r="F7316" s="18"/>
      <c r="G7316" s="36" t="str">
        <f>IF(ISNUMBER(F7316),C7316*F7316,"")</f>
        <v/>
      </c>
    </row>
    <row r="7317" spans="1:7" s="1" customFormat="1" ht="12.95" customHeight="1" outlineLevel="2" x14ac:dyDescent="0.2">
      <c r="A7317" s="20"/>
      <c r="B7317" s="21" t="s">
        <v>14407</v>
      </c>
      <c r="C7317" s="22"/>
      <c r="D7317" s="22"/>
      <c r="E7317" s="22"/>
      <c r="F7317" s="22"/>
      <c r="G7317" s="37"/>
    </row>
    <row r="7318" spans="1:7" ht="12" customHeight="1" outlineLevel="3" x14ac:dyDescent="0.2">
      <c r="A7318" s="14" t="s">
        <v>14408</v>
      </c>
      <c r="B7318" s="15" t="s">
        <v>14409</v>
      </c>
      <c r="C7318" s="16">
        <f>309.28/(1+B2)</f>
        <v>309.27999999999997</v>
      </c>
      <c r="D7318" s="17" t="s">
        <v>11</v>
      </c>
      <c r="E7318" s="17"/>
      <c r="F7318" s="18"/>
      <c r="G7318" s="36" t="str">
        <f>IF(ISNUMBER(F7318),C7318*F7318,"")</f>
        <v/>
      </c>
    </row>
    <row r="7319" spans="1:7" ht="12" customHeight="1" outlineLevel="3" x14ac:dyDescent="0.2">
      <c r="A7319" s="14" t="s">
        <v>14410</v>
      </c>
      <c r="B7319" s="15" t="s">
        <v>14411</v>
      </c>
      <c r="C7319" s="16">
        <f>240/(1+B2)</f>
        <v>240</v>
      </c>
      <c r="D7319" s="17" t="s">
        <v>11</v>
      </c>
      <c r="E7319" s="17"/>
      <c r="F7319" s="18"/>
      <c r="G7319" s="36" t="str">
        <f>IF(ISNUMBER(F7319),C7319*F7319,"")</f>
        <v/>
      </c>
    </row>
    <row r="7320" spans="1:7" s="1" customFormat="1" ht="15.95" customHeight="1" outlineLevel="1" x14ac:dyDescent="0.25">
      <c r="A7320" s="11"/>
      <c r="B7320" s="12" t="s">
        <v>14412</v>
      </c>
      <c r="C7320" s="13"/>
      <c r="D7320" s="13"/>
      <c r="E7320" s="13"/>
      <c r="F7320" s="13"/>
      <c r="G7320" s="35"/>
    </row>
    <row r="7321" spans="1:7" s="1" customFormat="1" ht="12.95" customHeight="1" outlineLevel="2" x14ac:dyDescent="0.2">
      <c r="A7321" s="20"/>
      <c r="B7321" s="21" t="s">
        <v>14413</v>
      </c>
      <c r="C7321" s="22"/>
      <c r="D7321" s="22"/>
      <c r="E7321" s="22"/>
      <c r="F7321" s="22"/>
      <c r="G7321" s="37"/>
    </row>
    <row r="7322" spans="1:7" ht="12" customHeight="1" outlineLevel="3" x14ac:dyDescent="0.2">
      <c r="A7322" s="14" t="s">
        <v>14414</v>
      </c>
      <c r="B7322" s="15" t="s">
        <v>14415</v>
      </c>
      <c r="C7322" s="16">
        <f>89.46/(1+B2)</f>
        <v>89.46</v>
      </c>
      <c r="D7322" s="17" t="s">
        <v>11</v>
      </c>
      <c r="E7322" s="17"/>
      <c r="F7322" s="18"/>
      <c r="G7322" s="36" t="str">
        <f>IF(ISNUMBER(F7322),C7322*F7322,"")</f>
        <v/>
      </c>
    </row>
    <row r="7323" spans="1:7" ht="12" customHeight="1" outlineLevel="3" x14ac:dyDescent="0.2">
      <c r="A7323" s="14" t="s">
        <v>14416</v>
      </c>
      <c r="B7323" s="15" t="s">
        <v>14417</v>
      </c>
      <c r="C7323" s="16">
        <f>82.97/(1+B2)</f>
        <v>82.97</v>
      </c>
      <c r="D7323" s="17" t="s">
        <v>11</v>
      </c>
      <c r="E7323" s="17"/>
      <c r="F7323" s="18"/>
      <c r="G7323" s="36" t="str">
        <f>IF(ISNUMBER(F7323),C7323*F7323,"")</f>
        <v/>
      </c>
    </row>
    <row r="7324" spans="1:7" ht="12" customHeight="1" outlineLevel="3" x14ac:dyDescent="0.2">
      <c r="A7324" s="14" t="s">
        <v>14418</v>
      </c>
      <c r="B7324" s="15" t="s">
        <v>14419</v>
      </c>
      <c r="C7324" s="16">
        <f>75.02/(1+B2)</f>
        <v>75.02</v>
      </c>
      <c r="D7324" s="17" t="s">
        <v>11</v>
      </c>
      <c r="E7324" s="17" t="s">
        <v>11</v>
      </c>
      <c r="F7324" s="18"/>
      <c r="G7324" s="36" t="str">
        <f>IF(ISNUMBER(F7324),C7324*F7324,"")</f>
        <v/>
      </c>
    </row>
    <row r="7325" spans="1:7" ht="12" customHeight="1" outlineLevel="3" x14ac:dyDescent="0.2">
      <c r="A7325" s="14" t="s">
        <v>14420</v>
      </c>
      <c r="B7325" s="15" t="s">
        <v>14421</v>
      </c>
      <c r="C7325" s="16">
        <f>216.96/(1+B2)</f>
        <v>216.96</v>
      </c>
      <c r="D7325" s="17" t="s">
        <v>11</v>
      </c>
      <c r="E7325" s="17"/>
      <c r="F7325" s="18"/>
      <c r="G7325" s="36" t="str">
        <f>IF(ISNUMBER(F7325),C7325*F7325,"")</f>
        <v/>
      </c>
    </row>
    <row r="7326" spans="1:7" ht="12" customHeight="1" outlineLevel="3" x14ac:dyDescent="0.2">
      <c r="A7326" s="14" t="s">
        <v>14422</v>
      </c>
      <c r="B7326" s="15" t="s">
        <v>14423</v>
      </c>
      <c r="C7326" s="16">
        <f>161.36/(1+B2)</f>
        <v>161.36000000000001</v>
      </c>
      <c r="D7326" s="17" t="s">
        <v>11</v>
      </c>
      <c r="E7326" s="17"/>
      <c r="F7326" s="18"/>
      <c r="G7326" s="36" t="str">
        <f>IF(ISNUMBER(F7326),C7326*F7326,"")</f>
        <v/>
      </c>
    </row>
    <row r="7327" spans="1:7" ht="12" customHeight="1" outlineLevel="3" x14ac:dyDescent="0.2">
      <c r="A7327" s="14" t="s">
        <v>14424</v>
      </c>
      <c r="B7327" s="15" t="s">
        <v>14425</v>
      </c>
      <c r="C7327" s="16">
        <f>76.43/(1+B2)</f>
        <v>76.430000000000007</v>
      </c>
      <c r="D7327" s="17" t="s">
        <v>11</v>
      </c>
      <c r="E7327" s="17" t="s">
        <v>14</v>
      </c>
      <c r="F7327" s="18"/>
      <c r="G7327" s="36" t="str">
        <f>IF(ISNUMBER(F7327),C7327*F7327,"")</f>
        <v/>
      </c>
    </row>
    <row r="7328" spans="1:7" ht="12" customHeight="1" outlineLevel="3" x14ac:dyDescent="0.2">
      <c r="A7328" s="14" t="s">
        <v>14426</v>
      </c>
      <c r="B7328" s="15" t="s">
        <v>14427</v>
      </c>
      <c r="C7328" s="16">
        <f>182.71/(1+B2)</f>
        <v>182.71</v>
      </c>
      <c r="D7328" s="17" t="s">
        <v>11</v>
      </c>
      <c r="E7328" s="17" t="s">
        <v>11</v>
      </c>
      <c r="F7328" s="18"/>
      <c r="G7328" s="36" t="str">
        <f>IF(ISNUMBER(F7328),C7328*F7328,"")</f>
        <v/>
      </c>
    </row>
    <row r="7329" spans="1:7" ht="12" customHeight="1" outlineLevel="3" x14ac:dyDescent="0.2">
      <c r="A7329" s="14" t="s">
        <v>14428</v>
      </c>
      <c r="B7329" s="15" t="s">
        <v>14429</v>
      </c>
      <c r="C7329" s="16">
        <f>341.06/(1+B2)</f>
        <v>341.06</v>
      </c>
      <c r="D7329" s="17" t="s">
        <v>11</v>
      </c>
      <c r="E7329" s="17" t="s">
        <v>14</v>
      </c>
      <c r="F7329" s="18"/>
      <c r="G7329" s="36" t="str">
        <f>IF(ISNUMBER(F7329),C7329*F7329,"")</f>
        <v/>
      </c>
    </row>
    <row r="7330" spans="1:7" ht="12" customHeight="1" outlineLevel="3" x14ac:dyDescent="0.2">
      <c r="A7330" s="14" t="s">
        <v>14430</v>
      </c>
      <c r="B7330" s="15" t="s">
        <v>14431</v>
      </c>
      <c r="C7330" s="16">
        <f>113.14/(1+B2)</f>
        <v>113.14</v>
      </c>
      <c r="D7330" s="17" t="s">
        <v>11</v>
      </c>
      <c r="E7330" s="17" t="s">
        <v>11</v>
      </c>
      <c r="F7330" s="18"/>
      <c r="G7330" s="36" t="str">
        <f>IF(ISNUMBER(F7330),C7330*F7330,"")</f>
        <v/>
      </c>
    </row>
    <row r="7331" spans="1:7" ht="12" customHeight="1" outlineLevel="3" x14ac:dyDescent="0.2">
      <c r="A7331" s="14" t="s">
        <v>14432</v>
      </c>
      <c r="B7331" s="15" t="s">
        <v>14433</v>
      </c>
      <c r="C7331" s="16">
        <f>194.54/(1+B2)</f>
        <v>194.54</v>
      </c>
      <c r="D7331" s="17" t="s">
        <v>11</v>
      </c>
      <c r="E7331" s="17" t="s">
        <v>11</v>
      </c>
      <c r="F7331" s="18"/>
      <c r="G7331" s="36" t="str">
        <f>IF(ISNUMBER(F7331),C7331*F7331,"")</f>
        <v/>
      </c>
    </row>
    <row r="7332" spans="1:7" ht="12" customHeight="1" outlineLevel="3" x14ac:dyDescent="0.2">
      <c r="A7332" s="14" t="s">
        <v>14434</v>
      </c>
      <c r="B7332" s="15" t="s">
        <v>14435</v>
      </c>
      <c r="C7332" s="16">
        <f>311.43/(1+B2)</f>
        <v>311.43</v>
      </c>
      <c r="D7332" s="17" t="s">
        <v>11</v>
      </c>
      <c r="E7332" s="17"/>
      <c r="F7332" s="18"/>
      <c r="G7332" s="36" t="str">
        <f>IF(ISNUMBER(F7332),C7332*F7332,"")</f>
        <v/>
      </c>
    </row>
    <row r="7333" spans="1:7" ht="12" customHeight="1" outlineLevel="3" x14ac:dyDescent="0.2">
      <c r="A7333" s="14" t="s">
        <v>14436</v>
      </c>
      <c r="B7333" s="15" t="s">
        <v>14437</v>
      </c>
      <c r="C7333" s="16">
        <f>237.24/(1+B2)</f>
        <v>237.24</v>
      </c>
      <c r="D7333" s="17" t="s">
        <v>11</v>
      </c>
      <c r="E7333" s="17" t="s">
        <v>11</v>
      </c>
      <c r="F7333" s="18"/>
      <c r="G7333" s="36" t="str">
        <f>IF(ISNUMBER(F7333),C7333*F7333,"")</f>
        <v/>
      </c>
    </row>
    <row r="7334" spans="1:7" ht="12" customHeight="1" outlineLevel="3" x14ac:dyDescent="0.2">
      <c r="A7334" s="14" t="s">
        <v>14438</v>
      </c>
      <c r="B7334" s="15" t="s">
        <v>14439</v>
      </c>
      <c r="C7334" s="16">
        <f>176.25/(1+B2)</f>
        <v>176.25</v>
      </c>
      <c r="D7334" s="17" t="s">
        <v>11</v>
      </c>
      <c r="E7334" s="17" t="s">
        <v>11</v>
      </c>
      <c r="F7334" s="18"/>
      <c r="G7334" s="36" t="str">
        <f>IF(ISNUMBER(F7334),C7334*F7334,"")</f>
        <v/>
      </c>
    </row>
    <row r="7335" spans="1:7" ht="12" customHeight="1" outlineLevel="3" x14ac:dyDescent="0.2">
      <c r="A7335" s="14" t="s">
        <v>14440</v>
      </c>
      <c r="B7335" s="15" t="s">
        <v>14441</v>
      </c>
      <c r="C7335" s="16">
        <f>301.32/(1+B2)</f>
        <v>301.32</v>
      </c>
      <c r="D7335" s="17" t="s">
        <v>11</v>
      </c>
      <c r="E7335" s="17"/>
      <c r="F7335" s="18"/>
      <c r="G7335" s="36" t="str">
        <f>IF(ISNUMBER(F7335),C7335*F7335,"")</f>
        <v/>
      </c>
    </row>
    <row r="7336" spans="1:7" ht="12" customHeight="1" outlineLevel="3" x14ac:dyDescent="0.2">
      <c r="A7336" s="14" t="s">
        <v>14442</v>
      </c>
      <c r="B7336" s="15" t="s">
        <v>14443</v>
      </c>
      <c r="C7336" s="16">
        <f>272.5/(1+B2)</f>
        <v>272.5</v>
      </c>
      <c r="D7336" s="17" t="s">
        <v>11</v>
      </c>
      <c r="E7336" s="17"/>
      <c r="F7336" s="18"/>
      <c r="G7336" s="36" t="str">
        <f>IF(ISNUMBER(F7336),C7336*F7336,"")</f>
        <v/>
      </c>
    </row>
    <row r="7337" spans="1:7" ht="12" customHeight="1" outlineLevel="3" x14ac:dyDescent="0.2">
      <c r="A7337" s="14" t="s">
        <v>14444</v>
      </c>
      <c r="B7337" s="15" t="s">
        <v>14445</v>
      </c>
      <c r="C7337" s="16">
        <f>197.5/(1+B2)</f>
        <v>197.5</v>
      </c>
      <c r="D7337" s="17" t="s">
        <v>11</v>
      </c>
      <c r="E7337" s="17" t="s">
        <v>53</v>
      </c>
      <c r="F7337" s="18"/>
      <c r="G7337" s="36" t="str">
        <f>IF(ISNUMBER(F7337),C7337*F7337,"")</f>
        <v/>
      </c>
    </row>
    <row r="7338" spans="1:7" s="1" customFormat="1" ht="12.95" customHeight="1" outlineLevel="2" x14ac:dyDescent="0.2">
      <c r="A7338" s="20"/>
      <c r="B7338" s="21" t="s">
        <v>14446</v>
      </c>
      <c r="C7338" s="22"/>
      <c r="D7338" s="22"/>
      <c r="E7338" s="22"/>
      <c r="F7338" s="22"/>
      <c r="G7338" s="37"/>
    </row>
    <row r="7339" spans="1:7" ht="12" customHeight="1" outlineLevel="3" x14ac:dyDescent="0.2">
      <c r="A7339" s="14" t="s">
        <v>14447</v>
      </c>
      <c r="B7339" s="15" t="s">
        <v>14448</v>
      </c>
      <c r="C7339" s="16">
        <f>113.34/(1+B2)</f>
        <v>113.34</v>
      </c>
      <c r="D7339" s="17" t="s">
        <v>11</v>
      </c>
      <c r="E7339" s="17"/>
      <c r="F7339" s="18"/>
      <c r="G7339" s="36" t="str">
        <f>IF(ISNUMBER(F7339),C7339*F7339,"")</f>
        <v/>
      </c>
    </row>
    <row r="7340" spans="1:7" ht="12" customHeight="1" outlineLevel="3" x14ac:dyDescent="0.2">
      <c r="A7340" s="14" t="s">
        <v>14449</v>
      </c>
      <c r="B7340" s="15" t="s">
        <v>14450</v>
      </c>
      <c r="C7340" s="16">
        <f>43.08/(1+B2)</f>
        <v>43.08</v>
      </c>
      <c r="D7340" s="17" t="s">
        <v>53</v>
      </c>
      <c r="E7340" s="17" t="s">
        <v>11</v>
      </c>
      <c r="F7340" s="18"/>
      <c r="G7340" s="36" t="str">
        <f>IF(ISNUMBER(F7340),C7340*F7340,"")</f>
        <v/>
      </c>
    </row>
    <row r="7341" spans="1:7" ht="12" customHeight="1" outlineLevel="3" x14ac:dyDescent="0.2">
      <c r="A7341" s="14" t="s">
        <v>14451</v>
      </c>
      <c r="B7341" s="15" t="s">
        <v>14452</v>
      </c>
      <c r="C7341" s="16">
        <f>349.3/(1+B2)</f>
        <v>349.3</v>
      </c>
      <c r="D7341" s="17" t="s">
        <v>14</v>
      </c>
      <c r="E7341" s="17"/>
      <c r="F7341" s="18"/>
      <c r="G7341" s="36" t="str">
        <f>IF(ISNUMBER(F7341),C7341*F7341,"")</f>
        <v/>
      </c>
    </row>
    <row r="7342" spans="1:7" ht="12" customHeight="1" outlineLevel="3" x14ac:dyDescent="0.2">
      <c r="A7342" s="14" t="s">
        <v>14453</v>
      </c>
      <c r="B7342" s="15" t="s">
        <v>14454</v>
      </c>
      <c r="C7342" s="16">
        <f>366.5/(1+B2)</f>
        <v>366.5</v>
      </c>
      <c r="D7342" s="17" t="s">
        <v>11</v>
      </c>
      <c r="E7342" s="17"/>
      <c r="F7342" s="18"/>
      <c r="G7342" s="36" t="str">
        <f>IF(ISNUMBER(F7342),C7342*F7342,"")</f>
        <v/>
      </c>
    </row>
    <row r="7343" spans="1:7" ht="24" customHeight="1" outlineLevel="3" x14ac:dyDescent="0.2">
      <c r="A7343" s="14" t="s">
        <v>14455</v>
      </c>
      <c r="B7343" s="15" t="s">
        <v>14456</v>
      </c>
      <c r="C7343" s="16">
        <f>309.01/(1+B2)</f>
        <v>309.01</v>
      </c>
      <c r="D7343" s="17" t="s">
        <v>11</v>
      </c>
      <c r="E7343" s="17"/>
      <c r="F7343" s="18"/>
      <c r="G7343" s="36" t="str">
        <f>IF(ISNUMBER(F7343),C7343*F7343,"")</f>
        <v/>
      </c>
    </row>
    <row r="7344" spans="1:7" ht="12" customHeight="1" outlineLevel="3" x14ac:dyDescent="0.2">
      <c r="A7344" s="14" t="s">
        <v>14457</v>
      </c>
      <c r="B7344" s="15" t="s">
        <v>14458</v>
      </c>
      <c r="C7344" s="16">
        <f>567.25/(1+B2)</f>
        <v>567.25</v>
      </c>
      <c r="D7344" s="17" t="s">
        <v>11</v>
      </c>
      <c r="E7344" s="17"/>
      <c r="F7344" s="18"/>
      <c r="G7344" s="36" t="str">
        <f>IF(ISNUMBER(F7344),C7344*F7344,"")</f>
        <v/>
      </c>
    </row>
    <row r="7345" spans="1:7" ht="12" customHeight="1" outlineLevel="3" x14ac:dyDescent="0.2">
      <c r="A7345" s="14" t="s">
        <v>14459</v>
      </c>
      <c r="B7345" s="15" t="s">
        <v>14460</v>
      </c>
      <c r="C7345" s="16">
        <f>503.49/(1+B2)</f>
        <v>503.49</v>
      </c>
      <c r="D7345" s="17" t="s">
        <v>11</v>
      </c>
      <c r="E7345" s="17"/>
      <c r="F7345" s="18"/>
      <c r="G7345" s="36" t="str">
        <f>IF(ISNUMBER(F7345),C7345*F7345,"")</f>
        <v/>
      </c>
    </row>
    <row r="7346" spans="1:7" ht="12" customHeight="1" outlineLevel="3" x14ac:dyDescent="0.2">
      <c r="A7346" s="14" t="s">
        <v>14461</v>
      </c>
      <c r="B7346" s="15" t="s">
        <v>14462</v>
      </c>
      <c r="C7346" s="16">
        <f>370.6/(1+B2)</f>
        <v>370.6</v>
      </c>
      <c r="D7346" s="17" t="s">
        <v>11</v>
      </c>
      <c r="E7346" s="17"/>
      <c r="F7346" s="18"/>
      <c r="G7346" s="36" t="str">
        <f>IF(ISNUMBER(F7346),C7346*F7346,"")</f>
        <v/>
      </c>
    </row>
    <row r="7347" spans="1:7" ht="12" customHeight="1" outlineLevel="3" x14ac:dyDescent="0.2">
      <c r="A7347" s="14" t="s">
        <v>14463</v>
      </c>
      <c r="B7347" s="15" t="s">
        <v>14464</v>
      </c>
      <c r="C7347" s="16">
        <f>370.6/(1+B2)</f>
        <v>370.6</v>
      </c>
      <c r="D7347" s="17" t="s">
        <v>11</v>
      </c>
      <c r="E7347" s="17"/>
      <c r="F7347" s="18"/>
      <c r="G7347" s="36" t="str">
        <f>IF(ISNUMBER(F7347),C7347*F7347,"")</f>
        <v/>
      </c>
    </row>
    <row r="7348" spans="1:7" ht="12" customHeight="1" outlineLevel="3" x14ac:dyDescent="0.2">
      <c r="A7348" s="14" t="s">
        <v>14465</v>
      </c>
      <c r="B7348" s="15" t="s">
        <v>14466</v>
      </c>
      <c r="C7348" s="16">
        <f>495.9/(1+B2)</f>
        <v>495.9</v>
      </c>
      <c r="D7348" s="17" t="s">
        <v>11</v>
      </c>
      <c r="E7348" s="17"/>
      <c r="F7348" s="18"/>
      <c r="G7348" s="36" t="str">
        <f>IF(ISNUMBER(F7348),C7348*F7348,"")</f>
        <v/>
      </c>
    </row>
    <row r="7349" spans="1:7" ht="24" customHeight="1" outlineLevel="3" x14ac:dyDescent="0.2">
      <c r="A7349" s="14" t="s">
        <v>14467</v>
      </c>
      <c r="B7349" s="15" t="s">
        <v>14468</v>
      </c>
      <c r="C7349" s="16">
        <f>437.71/(1+B2)</f>
        <v>437.71</v>
      </c>
      <c r="D7349" s="17" t="s">
        <v>11</v>
      </c>
      <c r="E7349" s="17"/>
      <c r="F7349" s="18"/>
      <c r="G7349" s="36" t="str">
        <f>IF(ISNUMBER(F7349),C7349*F7349,"")</f>
        <v/>
      </c>
    </row>
    <row r="7350" spans="1:7" ht="24" customHeight="1" outlineLevel="3" x14ac:dyDescent="0.2">
      <c r="A7350" s="14" t="s">
        <v>14469</v>
      </c>
      <c r="B7350" s="15" t="s">
        <v>14470</v>
      </c>
      <c r="C7350" s="16">
        <f>386.88/(1+B2)</f>
        <v>386.88</v>
      </c>
      <c r="D7350" s="17" t="s">
        <v>11</v>
      </c>
      <c r="E7350" s="17"/>
      <c r="F7350" s="18"/>
      <c r="G7350" s="36" t="str">
        <f>IF(ISNUMBER(F7350),C7350*F7350,"")</f>
        <v/>
      </c>
    </row>
    <row r="7351" spans="1:7" ht="24" customHeight="1" outlineLevel="3" x14ac:dyDescent="0.2">
      <c r="A7351" s="14" t="s">
        <v>14471</v>
      </c>
      <c r="B7351" s="15" t="s">
        <v>14472</v>
      </c>
      <c r="C7351" s="16">
        <f>386.88/(1+B2)</f>
        <v>386.88</v>
      </c>
      <c r="D7351" s="17" t="s">
        <v>11</v>
      </c>
      <c r="E7351" s="17"/>
      <c r="F7351" s="18"/>
      <c r="G7351" s="36" t="str">
        <f>IF(ISNUMBER(F7351),C7351*F7351,"")</f>
        <v/>
      </c>
    </row>
    <row r="7352" spans="1:7" ht="24" customHeight="1" outlineLevel="3" x14ac:dyDescent="0.2">
      <c r="A7352" s="14" t="s">
        <v>14473</v>
      </c>
      <c r="B7352" s="15" t="s">
        <v>14474</v>
      </c>
      <c r="C7352" s="16">
        <f>593.5/(1+B2)</f>
        <v>593.5</v>
      </c>
      <c r="D7352" s="17" t="s">
        <v>11</v>
      </c>
      <c r="E7352" s="17"/>
      <c r="F7352" s="18"/>
      <c r="G7352" s="36" t="str">
        <f>IF(ISNUMBER(F7352),C7352*F7352,"")</f>
        <v/>
      </c>
    </row>
    <row r="7353" spans="1:7" ht="12" customHeight="1" outlineLevel="3" x14ac:dyDescent="0.2">
      <c r="A7353" s="14" t="s">
        <v>14475</v>
      </c>
      <c r="B7353" s="15" t="s">
        <v>14476</v>
      </c>
      <c r="C7353" s="16">
        <f>345.59/(1+B2)</f>
        <v>345.59</v>
      </c>
      <c r="D7353" s="17" t="s">
        <v>11</v>
      </c>
      <c r="E7353" s="17"/>
      <c r="F7353" s="18"/>
      <c r="G7353" s="36" t="str">
        <f>IF(ISNUMBER(F7353),C7353*F7353,"")</f>
        <v/>
      </c>
    </row>
    <row r="7354" spans="1:7" ht="12" customHeight="1" outlineLevel="3" x14ac:dyDescent="0.2">
      <c r="A7354" s="14" t="s">
        <v>14477</v>
      </c>
      <c r="B7354" s="15" t="s">
        <v>14478</v>
      </c>
      <c r="C7354" s="16">
        <f>452.28/(1+B2)</f>
        <v>452.28</v>
      </c>
      <c r="D7354" s="17" t="s">
        <v>11</v>
      </c>
      <c r="E7354" s="17"/>
      <c r="F7354" s="18"/>
      <c r="G7354" s="36" t="str">
        <f>IF(ISNUMBER(F7354),C7354*F7354,"")</f>
        <v/>
      </c>
    </row>
    <row r="7355" spans="1:7" ht="12" customHeight="1" outlineLevel="3" x14ac:dyDescent="0.2">
      <c r="A7355" s="14" t="s">
        <v>14479</v>
      </c>
      <c r="B7355" s="15" t="s">
        <v>14480</v>
      </c>
      <c r="C7355" s="16">
        <f>545.93/(1+B2)</f>
        <v>545.92999999999995</v>
      </c>
      <c r="D7355" s="17" t="s">
        <v>11</v>
      </c>
      <c r="E7355" s="17"/>
      <c r="F7355" s="18"/>
      <c r="G7355" s="36" t="str">
        <f>IF(ISNUMBER(F7355),C7355*F7355,"")</f>
        <v/>
      </c>
    </row>
    <row r="7356" spans="1:7" ht="12" customHeight="1" outlineLevel="3" x14ac:dyDescent="0.2">
      <c r="A7356" s="14" t="s">
        <v>14481</v>
      </c>
      <c r="B7356" s="15" t="s">
        <v>14482</v>
      </c>
      <c r="C7356" s="16">
        <f>487.75/(1+B2)</f>
        <v>487.75</v>
      </c>
      <c r="D7356" s="17" t="s">
        <v>11</v>
      </c>
      <c r="E7356" s="17" t="s">
        <v>11</v>
      </c>
      <c r="F7356" s="18"/>
      <c r="G7356" s="36" t="str">
        <f>IF(ISNUMBER(F7356),C7356*F7356,"")</f>
        <v/>
      </c>
    </row>
    <row r="7357" spans="1:7" ht="12" customHeight="1" outlineLevel="3" x14ac:dyDescent="0.2">
      <c r="A7357" s="14" t="s">
        <v>14483</v>
      </c>
      <c r="B7357" s="15" t="s">
        <v>14484</v>
      </c>
      <c r="C7357" s="16">
        <f>497.7/(1+B2)</f>
        <v>497.7</v>
      </c>
      <c r="D7357" s="17" t="s">
        <v>11</v>
      </c>
      <c r="E7357" s="17" t="s">
        <v>11</v>
      </c>
      <c r="F7357" s="18"/>
      <c r="G7357" s="36" t="str">
        <f>IF(ISNUMBER(F7357),C7357*F7357,"")</f>
        <v/>
      </c>
    </row>
    <row r="7358" spans="1:7" ht="12" customHeight="1" outlineLevel="3" x14ac:dyDescent="0.2">
      <c r="A7358" s="14" t="s">
        <v>14485</v>
      </c>
      <c r="B7358" s="15" t="s">
        <v>14486</v>
      </c>
      <c r="C7358" s="16">
        <f>397.15/(1+B2)</f>
        <v>397.15</v>
      </c>
      <c r="D7358" s="17" t="s">
        <v>11</v>
      </c>
      <c r="E7358" s="17"/>
      <c r="F7358" s="18"/>
      <c r="G7358" s="36" t="str">
        <f>IF(ISNUMBER(F7358),C7358*F7358,"")</f>
        <v/>
      </c>
    </row>
    <row r="7359" spans="1:7" ht="12" customHeight="1" outlineLevel="3" x14ac:dyDescent="0.2">
      <c r="A7359" s="14" t="s">
        <v>14487</v>
      </c>
      <c r="B7359" s="15" t="s">
        <v>14488</v>
      </c>
      <c r="C7359" s="16">
        <f>258.75/(1+B2)</f>
        <v>258.75</v>
      </c>
      <c r="D7359" s="17" t="s">
        <v>11</v>
      </c>
      <c r="E7359" s="17"/>
      <c r="F7359" s="18"/>
      <c r="G7359" s="36" t="str">
        <f>IF(ISNUMBER(F7359),C7359*F7359,"")</f>
        <v/>
      </c>
    </row>
    <row r="7360" spans="1:7" ht="12" customHeight="1" outlineLevel="3" x14ac:dyDescent="0.2">
      <c r="A7360" s="14" t="s">
        <v>14489</v>
      </c>
      <c r="B7360" s="15" t="s">
        <v>14490</v>
      </c>
      <c r="C7360" s="16">
        <f>340/(1+B2)</f>
        <v>340</v>
      </c>
      <c r="D7360" s="17" t="s">
        <v>11</v>
      </c>
      <c r="E7360" s="17"/>
      <c r="F7360" s="18"/>
      <c r="G7360" s="36" t="str">
        <f>IF(ISNUMBER(F7360),C7360*F7360,"")</f>
        <v/>
      </c>
    </row>
    <row r="7361" spans="1:7" ht="12" customHeight="1" outlineLevel="3" x14ac:dyDescent="0.2">
      <c r="A7361" s="14" t="s">
        <v>14491</v>
      </c>
      <c r="B7361" s="15" t="s">
        <v>14492</v>
      </c>
      <c r="C7361" s="16">
        <f>285/(1+B2)</f>
        <v>285</v>
      </c>
      <c r="D7361" s="17" t="s">
        <v>11</v>
      </c>
      <c r="E7361" s="17"/>
      <c r="F7361" s="18"/>
      <c r="G7361" s="36" t="str">
        <f>IF(ISNUMBER(F7361),C7361*F7361,"")</f>
        <v/>
      </c>
    </row>
    <row r="7362" spans="1:7" ht="12" customHeight="1" outlineLevel="3" x14ac:dyDescent="0.2">
      <c r="A7362" s="14" t="s">
        <v>14493</v>
      </c>
      <c r="B7362" s="15" t="s">
        <v>14494</v>
      </c>
      <c r="C7362" s="16">
        <f>285/(1+B2)</f>
        <v>285</v>
      </c>
      <c r="D7362" s="17" t="s">
        <v>14</v>
      </c>
      <c r="E7362" s="17"/>
      <c r="F7362" s="18"/>
      <c r="G7362" s="36" t="str">
        <f>IF(ISNUMBER(F7362),C7362*F7362,"")</f>
        <v/>
      </c>
    </row>
    <row r="7363" spans="1:7" ht="12" customHeight="1" outlineLevel="3" x14ac:dyDescent="0.2">
      <c r="A7363" s="14" t="s">
        <v>14495</v>
      </c>
      <c r="B7363" s="15" t="s">
        <v>14496</v>
      </c>
      <c r="C7363" s="16">
        <f>716.4/(1+B2)</f>
        <v>716.4</v>
      </c>
      <c r="D7363" s="17" t="s">
        <v>11</v>
      </c>
      <c r="E7363" s="17"/>
      <c r="F7363" s="18"/>
      <c r="G7363" s="36" t="str">
        <f>IF(ISNUMBER(F7363),C7363*F7363,"")</f>
        <v/>
      </c>
    </row>
    <row r="7364" spans="1:7" s="1" customFormat="1" ht="12.95" customHeight="1" outlineLevel="2" x14ac:dyDescent="0.2">
      <c r="A7364" s="20"/>
      <c r="B7364" s="21" t="s">
        <v>14497</v>
      </c>
      <c r="C7364" s="22"/>
      <c r="D7364" s="22"/>
      <c r="E7364" s="22"/>
      <c r="F7364" s="22"/>
      <c r="G7364" s="37"/>
    </row>
    <row r="7365" spans="1:7" ht="12" customHeight="1" outlineLevel="3" x14ac:dyDescent="0.2">
      <c r="A7365" s="14" t="s">
        <v>14498</v>
      </c>
      <c r="B7365" s="15" t="s">
        <v>14499</v>
      </c>
      <c r="C7365" s="16">
        <f>100.06/(1+B2)</f>
        <v>100.06</v>
      </c>
      <c r="D7365" s="17" t="s">
        <v>11</v>
      </c>
      <c r="E7365" s="17" t="s">
        <v>53</v>
      </c>
      <c r="F7365" s="18"/>
      <c r="G7365" s="36" t="str">
        <f>IF(ISNUMBER(F7365),C7365*F7365,"")</f>
        <v/>
      </c>
    </row>
    <row r="7366" spans="1:7" ht="12" customHeight="1" outlineLevel="3" x14ac:dyDescent="0.2">
      <c r="A7366" s="14" t="s">
        <v>14500</v>
      </c>
      <c r="B7366" s="15" t="s">
        <v>14501</v>
      </c>
      <c r="C7366" s="16">
        <f>139.44/(1+B2)</f>
        <v>139.44</v>
      </c>
      <c r="D7366" s="17" t="s">
        <v>11</v>
      </c>
      <c r="E7366" s="17"/>
      <c r="F7366" s="18"/>
      <c r="G7366" s="36" t="str">
        <f>IF(ISNUMBER(F7366),C7366*F7366,"")</f>
        <v/>
      </c>
    </row>
    <row r="7367" spans="1:7" ht="12" customHeight="1" outlineLevel="3" x14ac:dyDescent="0.2">
      <c r="A7367" s="14" t="s">
        <v>14502</v>
      </c>
      <c r="B7367" s="15" t="s">
        <v>14503</v>
      </c>
      <c r="C7367" s="16">
        <f>116.63/(1+B2)</f>
        <v>116.63</v>
      </c>
      <c r="D7367" s="17" t="s">
        <v>14</v>
      </c>
      <c r="E7367" s="17" t="s">
        <v>106</v>
      </c>
      <c r="F7367" s="18"/>
      <c r="G7367" s="36" t="str">
        <f>IF(ISNUMBER(F7367),C7367*F7367,"")</f>
        <v/>
      </c>
    </row>
    <row r="7368" spans="1:7" ht="12" customHeight="1" outlineLevel="3" x14ac:dyDescent="0.2">
      <c r="A7368" s="14" t="s">
        <v>14504</v>
      </c>
      <c r="B7368" s="15" t="s">
        <v>14505</v>
      </c>
      <c r="C7368" s="16">
        <f>160.89/(1+B2)</f>
        <v>160.88999999999999</v>
      </c>
      <c r="D7368" s="17" t="s">
        <v>11</v>
      </c>
      <c r="E7368" s="17"/>
      <c r="F7368" s="18"/>
      <c r="G7368" s="36" t="str">
        <f>IF(ISNUMBER(F7368),C7368*F7368,"")</f>
        <v/>
      </c>
    </row>
    <row r="7369" spans="1:7" ht="12" customHeight="1" outlineLevel="3" x14ac:dyDescent="0.2">
      <c r="A7369" s="14" t="s">
        <v>14506</v>
      </c>
      <c r="B7369" s="15" t="s">
        <v>14507</v>
      </c>
      <c r="C7369" s="16">
        <f>155.29/(1+B2)</f>
        <v>155.29</v>
      </c>
      <c r="D7369" s="17" t="s">
        <v>53</v>
      </c>
      <c r="E7369" s="17"/>
      <c r="F7369" s="18"/>
      <c r="G7369" s="36" t="str">
        <f>IF(ISNUMBER(F7369),C7369*F7369,"")</f>
        <v/>
      </c>
    </row>
    <row r="7370" spans="1:7" ht="12" customHeight="1" outlineLevel="3" x14ac:dyDescent="0.2">
      <c r="A7370" s="14" t="s">
        <v>14508</v>
      </c>
      <c r="B7370" s="15" t="s">
        <v>14509</v>
      </c>
      <c r="C7370" s="16">
        <f>213.96/(1+B2)</f>
        <v>213.96</v>
      </c>
      <c r="D7370" s="17" t="s">
        <v>11</v>
      </c>
      <c r="E7370" s="17" t="s">
        <v>53</v>
      </c>
      <c r="F7370" s="18"/>
      <c r="G7370" s="36" t="str">
        <f>IF(ISNUMBER(F7370),C7370*F7370,"")</f>
        <v/>
      </c>
    </row>
    <row r="7371" spans="1:7" ht="12" customHeight="1" outlineLevel="3" x14ac:dyDescent="0.2">
      <c r="A7371" s="14" t="s">
        <v>14510</v>
      </c>
      <c r="B7371" s="15" t="s">
        <v>14511</v>
      </c>
      <c r="C7371" s="16">
        <f>139.6/(1+B2)</f>
        <v>139.6</v>
      </c>
      <c r="D7371" s="17" t="s">
        <v>11</v>
      </c>
      <c r="E7371" s="17" t="s">
        <v>53</v>
      </c>
      <c r="F7371" s="18"/>
      <c r="G7371" s="36" t="str">
        <f>IF(ISNUMBER(F7371),C7371*F7371,"")</f>
        <v/>
      </c>
    </row>
    <row r="7372" spans="1:7" ht="12" customHeight="1" outlineLevel="3" x14ac:dyDescent="0.2">
      <c r="A7372" s="14" t="s">
        <v>14512</v>
      </c>
      <c r="B7372" s="15" t="s">
        <v>14513</v>
      </c>
      <c r="C7372" s="16">
        <f>205.78/(1+B2)</f>
        <v>205.78</v>
      </c>
      <c r="D7372" s="17" t="s">
        <v>11</v>
      </c>
      <c r="E7372" s="17" t="s">
        <v>53</v>
      </c>
      <c r="F7372" s="18"/>
      <c r="G7372" s="36" t="str">
        <f>IF(ISNUMBER(F7372),C7372*F7372,"")</f>
        <v/>
      </c>
    </row>
    <row r="7373" spans="1:7" ht="12" customHeight="1" outlineLevel="3" x14ac:dyDescent="0.2">
      <c r="A7373" s="14" t="s">
        <v>14514</v>
      </c>
      <c r="B7373" s="15" t="s">
        <v>14515</v>
      </c>
      <c r="C7373" s="16">
        <f>159.01/(1+B2)</f>
        <v>159.01</v>
      </c>
      <c r="D7373" s="17" t="s">
        <v>11</v>
      </c>
      <c r="E7373" s="17"/>
      <c r="F7373" s="18"/>
      <c r="G7373" s="36" t="str">
        <f>IF(ISNUMBER(F7373),C7373*F7373,"")</f>
        <v/>
      </c>
    </row>
    <row r="7374" spans="1:7" ht="12" customHeight="1" outlineLevel="3" x14ac:dyDescent="0.2">
      <c r="A7374" s="14" t="s">
        <v>14516</v>
      </c>
      <c r="B7374" s="15" t="s">
        <v>14517</v>
      </c>
      <c r="C7374" s="16">
        <f>159.01/(1+B2)</f>
        <v>159.01</v>
      </c>
      <c r="D7374" s="17" t="s">
        <v>11</v>
      </c>
      <c r="E7374" s="17"/>
      <c r="F7374" s="18"/>
      <c r="G7374" s="36" t="str">
        <f>IF(ISNUMBER(F7374),C7374*F7374,"")</f>
        <v/>
      </c>
    </row>
    <row r="7375" spans="1:7" ht="12" customHeight="1" outlineLevel="3" x14ac:dyDescent="0.2">
      <c r="A7375" s="14" t="s">
        <v>14518</v>
      </c>
      <c r="B7375" s="15" t="s">
        <v>14519</v>
      </c>
      <c r="C7375" s="16">
        <f>218.71/(1+B2)</f>
        <v>218.71</v>
      </c>
      <c r="D7375" s="17" t="s">
        <v>11</v>
      </c>
      <c r="E7375" s="17"/>
      <c r="F7375" s="18"/>
      <c r="G7375" s="36" t="str">
        <f>IF(ISNUMBER(F7375),C7375*F7375,"")</f>
        <v/>
      </c>
    </row>
    <row r="7376" spans="1:7" ht="12" customHeight="1" outlineLevel="3" x14ac:dyDescent="0.2">
      <c r="A7376" s="14" t="s">
        <v>14520</v>
      </c>
      <c r="B7376" s="15" t="s">
        <v>14521</v>
      </c>
      <c r="C7376" s="16">
        <f>190.36/(1+B2)</f>
        <v>190.36</v>
      </c>
      <c r="D7376" s="17" t="s">
        <v>11</v>
      </c>
      <c r="E7376" s="17"/>
      <c r="F7376" s="18"/>
      <c r="G7376" s="36" t="str">
        <f>IF(ISNUMBER(F7376),C7376*F7376,"")</f>
        <v/>
      </c>
    </row>
    <row r="7377" spans="1:7" ht="12" customHeight="1" outlineLevel="3" x14ac:dyDescent="0.2">
      <c r="A7377" s="14" t="s">
        <v>14522</v>
      </c>
      <c r="B7377" s="15" t="s">
        <v>14523</v>
      </c>
      <c r="C7377" s="16">
        <f>121.03/(1+B2)</f>
        <v>121.03</v>
      </c>
      <c r="D7377" s="17" t="s">
        <v>14</v>
      </c>
      <c r="E7377" s="17"/>
      <c r="F7377" s="18"/>
      <c r="G7377" s="36" t="str">
        <f>IF(ISNUMBER(F7377),C7377*F7377,"")</f>
        <v/>
      </c>
    </row>
    <row r="7378" spans="1:7" ht="12" customHeight="1" outlineLevel="3" x14ac:dyDescent="0.2">
      <c r="A7378" s="14" t="s">
        <v>14524</v>
      </c>
      <c r="B7378" s="15" t="s">
        <v>14525</v>
      </c>
      <c r="C7378" s="16">
        <f>112.26/(1+B2)</f>
        <v>112.26</v>
      </c>
      <c r="D7378" s="17" t="s">
        <v>14</v>
      </c>
      <c r="E7378" s="17" t="s">
        <v>106</v>
      </c>
      <c r="F7378" s="18"/>
      <c r="G7378" s="36" t="str">
        <f>IF(ISNUMBER(F7378),C7378*F7378,"")</f>
        <v/>
      </c>
    </row>
    <row r="7379" spans="1:7" s="1" customFormat="1" ht="12.95" customHeight="1" outlineLevel="2" x14ac:dyDescent="0.2">
      <c r="A7379" s="20"/>
      <c r="B7379" s="21" t="s">
        <v>14526</v>
      </c>
      <c r="C7379" s="22"/>
      <c r="D7379" s="22"/>
      <c r="E7379" s="22"/>
      <c r="F7379" s="22"/>
      <c r="G7379" s="37"/>
    </row>
    <row r="7380" spans="1:7" ht="12" customHeight="1" outlineLevel="3" x14ac:dyDescent="0.2">
      <c r="A7380" s="14" t="s">
        <v>14527</v>
      </c>
      <c r="B7380" s="15" t="s">
        <v>14528</v>
      </c>
      <c r="C7380" s="16">
        <f>283.2/(1+B2)</f>
        <v>283.2</v>
      </c>
      <c r="D7380" s="17" t="s">
        <v>11</v>
      </c>
      <c r="E7380" s="17" t="s">
        <v>11</v>
      </c>
      <c r="F7380" s="18"/>
      <c r="G7380" s="36" t="str">
        <f>IF(ISNUMBER(F7380),C7380*F7380,"")</f>
        <v/>
      </c>
    </row>
    <row r="7381" spans="1:7" ht="12" customHeight="1" outlineLevel="3" x14ac:dyDescent="0.2">
      <c r="A7381" s="14" t="s">
        <v>14529</v>
      </c>
      <c r="B7381" s="15" t="s">
        <v>14530</v>
      </c>
      <c r="C7381" s="16">
        <f>215.45/(1+B2)</f>
        <v>215.45</v>
      </c>
      <c r="D7381" s="17" t="s">
        <v>11</v>
      </c>
      <c r="E7381" s="17" t="s">
        <v>106</v>
      </c>
      <c r="F7381" s="18"/>
      <c r="G7381" s="36" t="str">
        <f>IF(ISNUMBER(F7381),C7381*F7381,"")</f>
        <v/>
      </c>
    </row>
    <row r="7382" spans="1:7" ht="12" customHeight="1" outlineLevel="3" x14ac:dyDescent="0.2">
      <c r="A7382" s="14" t="s">
        <v>14531</v>
      </c>
      <c r="B7382" s="15" t="s">
        <v>14532</v>
      </c>
      <c r="C7382" s="16">
        <f>221.06/(1+B2)</f>
        <v>221.06</v>
      </c>
      <c r="D7382" s="17" t="s">
        <v>11</v>
      </c>
      <c r="E7382" s="17"/>
      <c r="F7382" s="18"/>
      <c r="G7382" s="36" t="str">
        <f>IF(ISNUMBER(F7382),C7382*F7382,"")</f>
        <v/>
      </c>
    </row>
    <row r="7383" spans="1:7" ht="12" customHeight="1" outlineLevel="3" x14ac:dyDescent="0.2">
      <c r="A7383" s="14" t="s">
        <v>14533</v>
      </c>
      <c r="B7383" s="15" t="s">
        <v>14534</v>
      </c>
      <c r="C7383" s="16">
        <f>254.33/(1+B2)</f>
        <v>254.33</v>
      </c>
      <c r="D7383" s="17" t="s">
        <v>11</v>
      </c>
      <c r="E7383" s="17" t="s">
        <v>11</v>
      </c>
      <c r="F7383" s="18"/>
      <c r="G7383" s="36" t="str">
        <f>IF(ISNUMBER(F7383),C7383*F7383,"")</f>
        <v/>
      </c>
    </row>
    <row r="7384" spans="1:7" ht="12" customHeight="1" outlineLevel="3" x14ac:dyDescent="0.2">
      <c r="A7384" s="14" t="s">
        <v>14535</v>
      </c>
      <c r="B7384" s="15" t="s">
        <v>14536</v>
      </c>
      <c r="C7384" s="16">
        <f>362.45/(1+B2)</f>
        <v>362.45</v>
      </c>
      <c r="D7384" s="17" t="s">
        <v>11</v>
      </c>
      <c r="E7384" s="17" t="s">
        <v>11</v>
      </c>
      <c r="F7384" s="18"/>
      <c r="G7384" s="36" t="str">
        <f>IF(ISNUMBER(F7384),C7384*F7384,"")</f>
        <v/>
      </c>
    </row>
    <row r="7385" spans="1:7" ht="12" customHeight="1" outlineLevel="3" x14ac:dyDescent="0.2">
      <c r="A7385" s="14" t="s">
        <v>14537</v>
      </c>
      <c r="B7385" s="15" t="s">
        <v>14538</v>
      </c>
      <c r="C7385" s="16">
        <f>481.2/(1+B2)</f>
        <v>481.2</v>
      </c>
      <c r="D7385" s="17" t="s">
        <v>11</v>
      </c>
      <c r="E7385" s="17"/>
      <c r="F7385" s="18"/>
      <c r="G7385" s="36" t="str">
        <f>IF(ISNUMBER(F7385),C7385*F7385,"")</f>
        <v/>
      </c>
    </row>
    <row r="7386" spans="1:7" ht="24" customHeight="1" outlineLevel="3" x14ac:dyDescent="0.2">
      <c r="A7386" s="14" t="s">
        <v>14539</v>
      </c>
      <c r="B7386" s="15" t="s">
        <v>14540</v>
      </c>
      <c r="C7386" s="16">
        <f>372.39/(1+B2)</f>
        <v>372.39</v>
      </c>
      <c r="D7386" s="17" t="s">
        <v>11</v>
      </c>
      <c r="E7386" s="17"/>
      <c r="F7386" s="18"/>
      <c r="G7386" s="36" t="str">
        <f>IF(ISNUMBER(F7386),C7386*F7386,"")</f>
        <v/>
      </c>
    </row>
    <row r="7387" spans="1:7" ht="24" customHeight="1" outlineLevel="3" x14ac:dyDescent="0.2">
      <c r="A7387" s="14" t="s">
        <v>14541</v>
      </c>
      <c r="B7387" s="15" t="s">
        <v>14542</v>
      </c>
      <c r="C7387" s="16">
        <f>314.34/(1+B2)</f>
        <v>314.33999999999997</v>
      </c>
      <c r="D7387" s="17" t="s">
        <v>11</v>
      </c>
      <c r="E7387" s="17"/>
      <c r="F7387" s="18"/>
      <c r="G7387" s="36" t="str">
        <f>IF(ISNUMBER(F7387),C7387*F7387,"")</f>
        <v/>
      </c>
    </row>
    <row r="7388" spans="1:7" ht="24" customHeight="1" outlineLevel="3" x14ac:dyDescent="0.2">
      <c r="A7388" s="14" t="s">
        <v>14543</v>
      </c>
      <c r="B7388" s="15" t="s">
        <v>14544</v>
      </c>
      <c r="C7388" s="16">
        <f>365.94/(1+B2)</f>
        <v>365.94</v>
      </c>
      <c r="D7388" s="17" t="s">
        <v>11</v>
      </c>
      <c r="E7388" s="17"/>
      <c r="F7388" s="18"/>
      <c r="G7388" s="36" t="str">
        <f>IF(ISNUMBER(F7388),C7388*F7388,"")</f>
        <v/>
      </c>
    </row>
    <row r="7389" spans="1:7" ht="24" customHeight="1" outlineLevel="3" x14ac:dyDescent="0.2">
      <c r="A7389" s="14" t="s">
        <v>14545</v>
      </c>
      <c r="B7389" s="15" t="s">
        <v>14546</v>
      </c>
      <c r="C7389" s="16">
        <f>324.25/(1+B2)</f>
        <v>324.25</v>
      </c>
      <c r="D7389" s="17" t="s">
        <v>11</v>
      </c>
      <c r="E7389" s="17"/>
      <c r="F7389" s="18"/>
      <c r="G7389" s="36" t="str">
        <f>IF(ISNUMBER(F7389),C7389*F7389,"")</f>
        <v/>
      </c>
    </row>
    <row r="7390" spans="1:7" ht="24" customHeight="1" outlineLevel="3" x14ac:dyDescent="0.2">
      <c r="A7390" s="14" t="s">
        <v>14547</v>
      </c>
      <c r="B7390" s="15" t="s">
        <v>14548</v>
      </c>
      <c r="C7390" s="16">
        <f>386.27/(1+B2)</f>
        <v>386.27</v>
      </c>
      <c r="D7390" s="17" t="s">
        <v>14</v>
      </c>
      <c r="E7390" s="17"/>
      <c r="F7390" s="18"/>
      <c r="G7390" s="36" t="str">
        <f>IF(ISNUMBER(F7390),C7390*F7390,"")</f>
        <v/>
      </c>
    </row>
    <row r="7391" spans="1:7" ht="24" customHeight="1" outlineLevel="3" x14ac:dyDescent="0.2">
      <c r="A7391" s="14" t="s">
        <v>14549</v>
      </c>
      <c r="B7391" s="15" t="s">
        <v>14550</v>
      </c>
      <c r="C7391" s="16">
        <f>291.69/(1+B2)</f>
        <v>291.69</v>
      </c>
      <c r="D7391" s="17" t="s">
        <v>11</v>
      </c>
      <c r="E7391" s="17"/>
      <c r="F7391" s="18"/>
      <c r="G7391" s="36" t="str">
        <f>IF(ISNUMBER(F7391),C7391*F7391,"")</f>
        <v/>
      </c>
    </row>
    <row r="7392" spans="1:7" ht="12" customHeight="1" outlineLevel="3" x14ac:dyDescent="0.2">
      <c r="A7392" s="14" t="s">
        <v>14551</v>
      </c>
      <c r="B7392" s="15" t="s">
        <v>14552</v>
      </c>
      <c r="C7392" s="16">
        <f>766.03/(1+B2)</f>
        <v>766.03</v>
      </c>
      <c r="D7392" s="17" t="s">
        <v>11</v>
      </c>
      <c r="E7392" s="17"/>
      <c r="F7392" s="18"/>
      <c r="G7392" s="36" t="str">
        <f>IF(ISNUMBER(F7392),C7392*F7392,"")</f>
        <v/>
      </c>
    </row>
    <row r="7393" spans="1:7" ht="12" customHeight="1" outlineLevel="3" x14ac:dyDescent="0.2">
      <c r="A7393" s="14" t="s">
        <v>14553</v>
      </c>
      <c r="B7393" s="15" t="s">
        <v>14554</v>
      </c>
      <c r="C7393" s="16">
        <f>600.36/(1+B2)</f>
        <v>600.36</v>
      </c>
      <c r="D7393" s="17" t="s">
        <v>11</v>
      </c>
      <c r="E7393" s="17"/>
      <c r="F7393" s="18"/>
      <c r="G7393" s="36" t="str">
        <f>IF(ISNUMBER(F7393),C7393*F7393,"")</f>
        <v/>
      </c>
    </row>
    <row r="7394" spans="1:7" ht="12" customHeight="1" outlineLevel="3" x14ac:dyDescent="0.2">
      <c r="A7394" s="14" t="s">
        <v>14555</v>
      </c>
      <c r="B7394" s="15" t="s">
        <v>14556</v>
      </c>
      <c r="C7394" s="16">
        <f>658.16/(1+B2)</f>
        <v>658.16</v>
      </c>
      <c r="D7394" s="17" t="s">
        <v>11</v>
      </c>
      <c r="E7394" s="17"/>
      <c r="F7394" s="18"/>
      <c r="G7394" s="36" t="str">
        <f>IF(ISNUMBER(F7394),C7394*F7394,"")</f>
        <v/>
      </c>
    </row>
    <row r="7395" spans="1:7" ht="12" customHeight="1" outlineLevel="3" x14ac:dyDescent="0.2">
      <c r="A7395" s="14" t="s">
        <v>14557</v>
      </c>
      <c r="B7395" s="15" t="s">
        <v>14558</v>
      </c>
      <c r="C7395" s="16">
        <f>625.85/(1+B2)</f>
        <v>625.85</v>
      </c>
      <c r="D7395" s="17" t="s">
        <v>11</v>
      </c>
      <c r="E7395" s="17"/>
      <c r="F7395" s="18"/>
      <c r="G7395" s="36" t="str">
        <f>IF(ISNUMBER(F7395),C7395*F7395,"")</f>
        <v/>
      </c>
    </row>
    <row r="7396" spans="1:7" ht="12" customHeight="1" outlineLevel="3" x14ac:dyDescent="0.2">
      <c r="A7396" s="14" t="s">
        <v>14559</v>
      </c>
      <c r="B7396" s="15" t="s">
        <v>14560</v>
      </c>
      <c r="C7396" s="16">
        <f>729.21/(1+B2)</f>
        <v>729.21</v>
      </c>
      <c r="D7396" s="17" t="s">
        <v>11</v>
      </c>
      <c r="E7396" s="17"/>
      <c r="F7396" s="18"/>
      <c r="G7396" s="36" t="str">
        <f>IF(ISNUMBER(F7396),C7396*F7396,"")</f>
        <v/>
      </c>
    </row>
    <row r="7397" spans="1:7" s="1" customFormat="1" ht="12.95" customHeight="1" outlineLevel="2" x14ac:dyDescent="0.2">
      <c r="A7397" s="20"/>
      <c r="B7397" s="21" t="s">
        <v>14561</v>
      </c>
      <c r="C7397" s="22"/>
      <c r="D7397" s="22"/>
      <c r="E7397" s="22"/>
      <c r="F7397" s="22"/>
      <c r="G7397" s="37"/>
    </row>
    <row r="7398" spans="1:7" ht="12" customHeight="1" outlineLevel="3" x14ac:dyDescent="0.2">
      <c r="A7398" s="14" t="s">
        <v>14562</v>
      </c>
      <c r="B7398" s="15" t="s">
        <v>14563</v>
      </c>
      <c r="C7398" s="16">
        <f>687.7/(1+B2)</f>
        <v>687.7</v>
      </c>
      <c r="D7398" s="17" t="s">
        <v>11</v>
      </c>
      <c r="E7398" s="17"/>
      <c r="F7398" s="18"/>
      <c r="G7398" s="36" t="str">
        <f>IF(ISNUMBER(F7398),C7398*F7398,"")</f>
        <v/>
      </c>
    </row>
    <row r="7399" spans="1:7" ht="12" customHeight="1" outlineLevel="3" x14ac:dyDescent="0.2">
      <c r="A7399" s="14" t="s">
        <v>14564</v>
      </c>
      <c r="B7399" s="15" t="s">
        <v>14565</v>
      </c>
      <c r="C7399" s="16">
        <f>315/(1+B2)</f>
        <v>315</v>
      </c>
      <c r="D7399" s="17" t="s">
        <v>11</v>
      </c>
      <c r="E7399" s="17" t="s">
        <v>11</v>
      </c>
      <c r="F7399" s="18"/>
      <c r="G7399" s="36" t="str">
        <f>IF(ISNUMBER(F7399),C7399*F7399,"")</f>
        <v/>
      </c>
    </row>
    <row r="7400" spans="1:7" ht="12" customHeight="1" outlineLevel="3" x14ac:dyDescent="0.2">
      <c r="A7400" s="14" t="s">
        <v>14566</v>
      </c>
      <c r="B7400" s="15" t="s">
        <v>14567</v>
      </c>
      <c r="C7400" s="16">
        <f>568.75/(1+B2)</f>
        <v>568.75</v>
      </c>
      <c r="D7400" s="17" t="s">
        <v>11</v>
      </c>
      <c r="E7400" s="17"/>
      <c r="F7400" s="18"/>
      <c r="G7400" s="36" t="str">
        <f>IF(ISNUMBER(F7400),C7400*F7400,"")</f>
        <v/>
      </c>
    </row>
    <row r="7401" spans="1:7" ht="24" customHeight="1" outlineLevel="3" x14ac:dyDescent="0.2">
      <c r="A7401" s="14" t="s">
        <v>14568</v>
      </c>
      <c r="B7401" s="15" t="s">
        <v>14569</v>
      </c>
      <c r="C7401" s="16">
        <f>621.25/(1+B2)</f>
        <v>621.25</v>
      </c>
      <c r="D7401" s="17" t="s">
        <v>11</v>
      </c>
      <c r="E7401" s="17" t="s">
        <v>14</v>
      </c>
      <c r="F7401" s="18"/>
      <c r="G7401" s="36" t="str">
        <f>IF(ISNUMBER(F7401),C7401*F7401,"")</f>
        <v/>
      </c>
    </row>
    <row r="7402" spans="1:7" ht="12" customHeight="1" outlineLevel="3" x14ac:dyDescent="0.2">
      <c r="A7402" s="14" t="s">
        <v>14570</v>
      </c>
      <c r="B7402" s="15" t="s">
        <v>14571</v>
      </c>
      <c r="C7402" s="16">
        <f>865/(1+B2)</f>
        <v>865</v>
      </c>
      <c r="D7402" s="17" t="s">
        <v>11</v>
      </c>
      <c r="E7402" s="17" t="s">
        <v>11</v>
      </c>
      <c r="F7402" s="18"/>
      <c r="G7402" s="36" t="str">
        <f>IF(ISNUMBER(F7402),C7402*F7402,"")</f>
        <v/>
      </c>
    </row>
    <row r="7403" spans="1:7" ht="12" customHeight="1" outlineLevel="3" x14ac:dyDescent="0.2">
      <c r="A7403" s="14" t="s">
        <v>14572</v>
      </c>
      <c r="B7403" s="15" t="s">
        <v>14573</v>
      </c>
      <c r="C7403" s="16">
        <f>440/(1+B2)</f>
        <v>440</v>
      </c>
      <c r="D7403" s="17" t="s">
        <v>11</v>
      </c>
      <c r="E7403" s="17"/>
      <c r="F7403" s="18"/>
      <c r="G7403" s="36" t="str">
        <f>IF(ISNUMBER(F7403),C7403*F7403,"")</f>
        <v/>
      </c>
    </row>
    <row r="7404" spans="1:7" ht="24" customHeight="1" outlineLevel="3" x14ac:dyDescent="0.2">
      <c r="A7404" s="14" t="s">
        <v>14574</v>
      </c>
      <c r="B7404" s="15" t="s">
        <v>14575</v>
      </c>
      <c r="C7404" s="16">
        <f>387.5/(1+B2)</f>
        <v>387.5</v>
      </c>
      <c r="D7404" s="17" t="s">
        <v>11</v>
      </c>
      <c r="E7404" s="17"/>
      <c r="F7404" s="18"/>
      <c r="G7404" s="36" t="str">
        <f>IF(ISNUMBER(F7404),C7404*F7404,"")</f>
        <v/>
      </c>
    </row>
    <row r="7405" spans="1:7" ht="12" customHeight="1" outlineLevel="3" x14ac:dyDescent="0.2">
      <c r="A7405" s="14" t="s">
        <v>14576</v>
      </c>
      <c r="B7405" s="15" t="s">
        <v>14577</v>
      </c>
      <c r="C7405" s="16">
        <f>763.45/(1+B2)</f>
        <v>763.45</v>
      </c>
      <c r="D7405" s="17" t="s">
        <v>11</v>
      </c>
      <c r="E7405" s="17" t="s">
        <v>11</v>
      </c>
      <c r="F7405" s="18"/>
      <c r="G7405" s="36" t="str">
        <f>IF(ISNUMBER(F7405),C7405*F7405,"")</f>
        <v/>
      </c>
    </row>
    <row r="7406" spans="1:7" ht="12" customHeight="1" outlineLevel="3" x14ac:dyDescent="0.2">
      <c r="A7406" s="14" t="s">
        <v>14578</v>
      </c>
      <c r="B7406" s="15" t="s">
        <v>14579</v>
      </c>
      <c r="C7406" s="16">
        <f>495.48/(1+B2)</f>
        <v>495.48</v>
      </c>
      <c r="D7406" s="17" t="s">
        <v>11</v>
      </c>
      <c r="E7406" s="17" t="s">
        <v>11</v>
      </c>
      <c r="F7406" s="18"/>
      <c r="G7406" s="36" t="str">
        <f>IF(ISNUMBER(F7406),C7406*F7406,"")</f>
        <v/>
      </c>
    </row>
    <row r="7407" spans="1:7" ht="12" customHeight="1" outlineLevel="3" x14ac:dyDescent="0.2">
      <c r="A7407" s="14" t="s">
        <v>14580</v>
      </c>
      <c r="B7407" s="15" t="s">
        <v>14581</v>
      </c>
      <c r="C7407" s="16">
        <f>483.21/(1+B2)</f>
        <v>483.21</v>
      </c>
      <c r="D7407" s="17" t="s">
        <v>11</v>
      </c>
      <c r="E7407" s="17"/>
      <c r="F7407" s="18"/>
      <c r="G7407" s="36" t="str">
        <f>IF(ISNUMBER(F7407),C7407*F7407,"")</f>
        <v/>
      </c>
    </row>
    <row r="7408" spans="1:7" s="1" customFormat="1" ht="12.95" customHeight="1" outlineLevel="2" x14ac:dyDescent="0.2">
      <c r="A7408" s="20"/>
      <c r="B7408" s="21" t="s">
        <v>14582</v>
      </c>
      <c r="C7408" s="22"/>
      <c r="D7408" s="22"/>
      <c r="E7408" s="22"/>
      <c r="F7408" s="22"/>
      <c r="G7408" s="37"/>
    </row>
    <row r="7409" spans="1:7" ht="12" customHeight="1" outlineLevel="3" x14ac:dyDescent="0.2">
      <c r="A7409" s="14" t="s">
        <v>14583</v>
      </c>
      <c r="B7409" s="15" t="s">
        <v>14584</v>
      </c>
      <c r="C7409" s="16">
        <f>26.03/(1+B2)</f>
        <v>26.03</v>
      </c>
      <c r="D7409" s="17" t="s">
        <v>11</v>
      </c>
      <c r="E7409" s="17"/>
      <c r="F7409" s="18"/>
      <c r="G7409" s="36" t="str">
        <f>IF(ISNUMBER(F7409),C7409*F7409,"")</f>
        <v/>
      </c>
    </row>
    <row r="7410" spans="1:7" ht="12" customHeight="1" outlineLevel="3" x14ac:dyDescent="0.2">
      <c r="A7410" s="14" t="s">
        <v>14585</v>
      </c>
      <c r="B7410" s="15" t="s">
        <v>14586</v>
      </c>
      <c r="C7410" s="16">
        <f>8.93/(1+B2)</f>
        <v>8.93</v>
      </c>
      <c r="D7410" s="17" t="s">
        <v>11</v>
      </c>
      <c r="E7410" s="17" t="s">
        <v>106</v>
      </c>
      <c r="F7410" s="18"/>
      <c r="G7410" s="36" t="str">
        <f>IF(ISNUMBER(F7410),C7410*F7410,"")</f>
        <v/>
      </c>
    </row>
    <row r="7411" spans="1:7" ht="12" customHeight="1" outlineLevel="3" x14ac:dyDescent="0.2">
      <c r="A7411" s="14" t="s">
        <v>14587</v>
      </c>
      <c r="B7411" s="15" t="s">
        <v>14588</v>
      </c>
      <c r="C7411" s="16">
        <f>8.03/(1+B2)</f>
        <v>8.0299999999999994</v>
      </c>
      <c r="D7411" s="17" t="s">
        <v>11</v>
      </c>
      <c r="E7411" s="17" t="s">
        <v>106</v>
      </c>
      <c r="F7411" s="18"/>
      <c r="G7411" s="36" t="str">
        <f>IF(ISNUMBER(F7411),C7411*F7411,"")</f>
        <v/>
      </c>
    </row>
    <row r="7412" spans="1:7" ht="12" customHeight="1" outlineLevel="3" x14ac:dyDescent="0.2">
      <c r="A7412" s="14" t="s">
        <v>14589</v>
      </c>
      <c r="B7412" s="15" t="s">
        <v>14590</v>
      </c>
      <c r="C7412" s="16">
        <f>33.82/(1+B2)</f>
        <v>33.82</v>
      </c>
      <c r="D7412" s="17" t="s">
        <v>11</v>
      </c>
      <c r="E7412" s="17" t="s">
        <v>53</v>
      </c>
      <c r="F7412" s="18"/>
      <c r="G7412" s="36" t="str">
        <f>IF(ISNUMBER(F7412),C7412*F7412,"")</f>
        <v/>
      </c>
    </row>
    <row r="7413" spans="1:7" ht="12" customHeight="1" outlineLevel="3" x14ac:dyDescent="0.2">
      <c r="A7413" s="14" t="s">
        <v>14591</v>
      </c>
      <c r="B7413" s="15" t="s">
        <v>14592</v>
      </c>
      <c r="C7413" s="16">
        <f>9.35/(1+B2)</f>
        <v>9.35</v>
      </c>
      <c r="D7413" s="17" t="s">
        <v>11</v>
      </c>
      <c r="E7413" s="17"/>
      <c r="F7413" s="18"/>
      <c r="G7413" s="36" t="str">
        <f>IF(ISNUMBER(F7413),C7413*F7413,"")</f>
        <v/>
      </c>
    </row>
    <row r="7414" spans="1:7" ht="12" customHeight="1" outlineLevel="3" x14ac:dyDescent="0.2">
      <c r="A7414" s="14" t="s">
        <v>14593</v>
      </c>
      <c r="B7414" s="15" t="s">
        <v>14594</v>
      </c>
      <c r="C7414" s="16">
        <f>138.56/(1+B2)</f>
        <v>138.56</v>
      </c>
      <c r="D7414" s="17" t="s">
        <v>11</v>
      </c>
      <c r="E7414" s="17" t="s">
        <v>11</v>
      </c>
      <c r="F7414" s="18"/>
      <c r="G7414" s="36" t="str">
        <f>IF(ISNUMBER(F7414),C7414*F7414,"")</f>
        <v/>
      </c>
    </row>
    <row r="7415" spans="1:7" s="1" customFormat="1" ht="12.95" customHeight="1" outlineLevel="2" x14ac:dyDescent="0.2">
      <c r="A7415" s="20"/>
      <c r="B7415" s="21" t="s">
        <v>14595</v>
      </c>
      <c r="C7415" s="22"/>
      <c r="D7415" s="22"/>
      <c r="E7415" s="22"/>
      <c r="F7415" s="22"/>
      <c r="G7415" s="37"/>
    </row>
    <row r="7416" spans="1:7" ht="24" customHeight="1" outlineLevel="3" x14ac:dyDescent="0.2">
      <c r="A7416" s="14" t="s">
        <v>14596</v>
      </c>
      <c r="B7416" s="15" t="s">
        <v>14597</v>
      </c>
      <c r="C7416" s="16">
        <f>692.29/(1+B2)</f>
        <v>692.29</v>
      </c>
      <c r="D7416" s="17" t="s">
        <v>11</v>
      </c>
      <c r="E7416" s="17" t="s">
        <v>11</v>
      </c>
      <c r="F7416" s="18"/>
      <c r="G7416" s="36" t="str">
        <f>IF(ISNUMBER(F7416),C7416*F7416,"")</f>
        <v/>
      </c>
    </row>
    <row r="7417" spans="1:7" ht="24" customHeight="1" outlineLevel="3" x14ac:dyDescent="0.2">
      <c r="A7417" s="14" t="s">
        <v>14598</v>
      </c>
      <c r="B7417" s="15" t="s">
        <v>14599</v>
      </c>
      <c r="C7417" s="16">
        <f>843.46/(1+B2)</f>
        <v>843.46</v>
      </c>
      <c r="D7417" s="17" t="s">
        <v>11</v>
      </c>
      <c r="E7417" s="17" t="s">
        <v>11</v>
      </c>
      <c r="F7417" s="18"/>
      <c r="G7417" s="36" t="str">
        <f>IF(ISNUMBER(F7417),C7417*F7417,"")</f>
        <v/>
      </c>
    </row>
    <row r="7418" spans="1:7" ht="24" customHeight="1" outlineLevel="3" x14ac:dyDescent="0.2">
      <c r="A7418" s="14" t="s">
        <v>14600</v>
      </c>
      <c r="B7418" s="15" t="s">
        <v>14601</v>
      </c>
      <c r="C7418" s="16">
        <f>888.47/(1+B2)</f>
        <v>888.47</v>
      </c>
      <c r="D7418" s="17" t="s">
        <v>11</v>
      </c>
      <c r="E7418" s="17" t="s">
        <v>14</v>
      </c>
      <c r="F7418" s="18"/>
      <c r="G7418" s="36" t="str">
        <f>IF(ISNUMBER(F7418),C7418*F7418,"")</f>
        <v/>
      </c>
    </row>
    <row r="7419" spans="1:7" ht="24" customHeight="1" outlineLevel="3" x14ac:dyDescent="0.2">
      <c r="A7419" s="14" t="s">
        <v>14602</v>
      </c>
      <c r="B7419" s="15" t="s">
        <v>14603</v>
      </c>
      <c r="C7419" s="19">
        <f>1037.62/(1+B2)</f>
        <v>1037.6199999999999</v>
      </c>
      <c r="D7419" s="17" t="s">
        <v>11</v>
      </c>
      <c r="E7419" s="17" t="s">
        <v>11</v>
      </c>
      <c r="F7419" s="18"/>
      <c r="G7419" s="36" t="str">
        <f>IF(ISNUMBER(F7419),C7419*F7419,"")</f>
        <v/>
      </c>
    </row>
    <row r="7420" spans="1:7" ht="12" customHeight="1" outlineLevel="3" x14ac:dyDescent="0.2">
      <c r="A7420" s="14" t="s">
        <v>14604</v>
      </c>
      <c r="B7420" s="15" t="s">
        <v>14605</v>
      </c>
      <c r="C7420" s="19">
        <f>1032.16/(1+B2)</f>
        <v>1032.1600000000001</v>
      </c>
      <c r="D7420" s="17" t="s">
        <v>11</v>
      </c>
      <c r="E7420" s="17" t="s">
        <v>11</v>
      </c>
      <c r="F7420" s="18"/>
      <c r="G7420" s="36" t="str">
        <f>IF(ISNUMBER(F7420),C7420*F7420,"")</f>
        <v/>
      </c>
    </row>
    <row r="7421" spans="1:7" ht="24" customHeight="1" outlineLevel="3" x14ac:dyDescent="0.2">
      <c r="A7421" s="14" t="s">
        <v>14606</v>
      </c>
      <c r="B7421" s="15" t="s">
        <v>14607</v>
      </c>
      <c r="C7421" s="19">
        <f>1408.37/(1+B2)</f>
        <v>1408.37</v>
      </c>
      <c r="D7421" s="17" t="s">
        <v>11</v>
      </c>
      <c r="E7421" s="17"/>
      <c r="F7421" s="18"/>
      <c r="G7421" s="36" t="str">
        <f>IF(ISNUMBER(F7421),C7421*F7421,"")</f>
        <v/>
      </c>
    </row>
    <row r="7422" spans="1:7" ht="12" customHeight="1" outlineLevel="3" x14ac:dyDescent="0.2">
      <c r="A7422" s="14" t="s">
        <v>14608</v>
      </c>
      <c r="B7422" s="15" t="s">
        <v>14609</v>
      </c>
      <c r="C7422" s="16">
        <f>611.1/(1+B2)</f>
        <v>611.1</v>
      </c>
      <c r="D7422" s="17" t="s">
        <v>11</v>
      </c>
      <c r="E7422" s="17" t="s">
        <v>11</v>
      </c>
      <c r="F7422" s="18"/>
      <c r="G7422" s="36" t="str">
        <f>IF(ISNUMBER(F7422),C7422*F7422,"")</f>
        <v/>
      </c>
    </row>
    <row r="7423" spans="1:7" ht="12" customHeight="1" outlineLevel="3" x14ac:dyDescent="0.2">
      <c r="A7423" s="14" t="s">
        <v>14610</v>
      </c>
      <c r="B7423" s="15" t="s">
        <v>14611</v>
      </c>
      <c r="C7423" s="16">
        <f>671.58/(1+B2)</f>
        <v>671.58</v>
      </c>
      <c r="D7423" s="17" t="s">
        <v>11</v>
      </c>
      <c r="E7423" s="17" t="s">
        <v>14</v>
      </c>
      <c r="F7423" s="18"/>
      <c r="G7423" s="36" t="str">
        <f>IF(ISNUMBER(F7423),C7423*F7423,"")</f>
        <v/>
      </c>
    </row>
    <row r="7424" spans="1:7" ht="12" customHeight="1" outlineLevel="3" x14ac:dyDescent="0.2">
      <c r="A7424" s="14" t="s">
        <v>14612</v>
      </c>
      <c r="B7424" s="15" t="s">
        <v>14613</v>
      </c>
      <c r="C7424" s="16">
        <f>663.75/(1+B2)</f>
        <v>663.75</v>
      </c>
      <c r="D7424" s="17" t="s">
        <v>11</v>
      </c>
      <c r="E7424" s="17" t="s">
        <v>11</v>
      </c>
      <c r="F7424" s="18"/>
      <c r="G7424" s="36" t="str">
        <f>IF(ISNUMBER(F7424),C7424*F7424,"")</f>
        <v/>
      </c>
    </row>
    <row r="7425" spans="1:7" ht="12" customHeight="1" outlineLevel="3" x14ac:dyDescent="0.2">
      <c r="A7425" s="14" t="s">
        <v>14614</v>
      </c>
      <c r="B7425" s="15" t="s">
        <v>14615</v>
      </c>
      <c r="C7425" s="16">
        <f>694.26/(1+B2)</f>
        <v>694.26</v>
      </c>
      <c r="D7425" s="17" t="s">
        <v>11</v>
      </c>
      <c r="E7425" s="17" t="s">
        <v>14</v>
      </c>
      <c r="F7425" s="18"/>
      <c r="G7425" s="36" t="str">
        <f>IF(ISNUMBER(F7425),C7425*F7425,"")</f>
        <v/>
      </c>
    </row>
    <row r="7426" spans="1:7" ht="12" customHeight="1" outlineLevel="3" x14ac:dyDescent="0.2">
      <c r="A7426" s="14" t="s">
        <v>14616</v>
      </c>
      <c r="B7426" s="15" t="s">
        <v>14617</v>
      </c>
      <c r="C7426" s="16">
        <f>825.83/(1+B2)</f>
        <v>825.83</v>
      </c>
      <c r="D7426" s="17" t="s">
        <v>11</v>
      </c>
      <c r="E7426" s="17" t="s">
        <v>53</v>
      </c>
      <c r="F7426" s="18"/>
      <c r="G7426" s="36" t="str">
        <f>IF(ISNUMBER(F7426),C7426*F7426,"")</f>
        <v/>
      </c>
    </row>
    <row r="7427" spans="1:7" ht="12" customHeight="1" outlineLevel="3" x14ac:dyDescent="0.2">
      <c r="A7427" s="14" t="s">
        <v>14618</v>
      </c>
      <c r="B7427" s="15" t="s">
        <v>14619</v>
      </c>
      <c r="C7427" s="16">
        <f>909.42/(1+B2)</f>
        <v>909.42</v>
      </c>
      <c r="D7427" s="17" t="s">
        <v>11</v>
      </c>
      <c r="E7427" s="17" t="s">
        <v>11</v>
      </c>
      <c r="F7427" s="18"/>
      <c r="G7427" s="36" t="str">
        <f>IF(ISNUMBER(F7427),C7427*F7427,"")</f>
        <v/>
      </c>
    </row>
    <row r="7428" spans="1:7" ht="12" customHeight="1" outlineLevel="3" x14ac:dyDescent="0.2">
      <c r="A7428" s="14" t="s">
        <v>14620</v>
      </c>
      <c r="B7428" s="15" t="s">
        <v>14621</v>
      </c>
      <c r="C7428" s="16">
        <f>842.94/(1+B2)</f>
        <v>842.94</v>
      </c>
      <c r="D7428" s="17" t="s">
        <v>11</v>
      </c>
      <c r="E7428" s="17"/>
      <c r="F7428" s="18"/>
      <c r="G7428" s="36" t="str">
        <f>IF(ISNUMBER(F7428),C7428*F7428,"")</f>
        <v/>
      </c>
    </row>
    <row r="7429" spans="1:7" ht="12" customHeight="1" outlineLevel="3" x14ac:dyDescent="0.2">
      <c r="A7429" s="14" t="s">
        <v>14622</v>
      </c>
      <c r="B7429" s="15" t="s">
        <v>14623</v>
      </c>
      <c r="C7429" s="16">
        <f>909.72/(1+B2)</f>
        <v>909.72</v>
      </c>
      <c r="D7429" s="17" t="s">
        <v>11</v>
      </c>
      <c r="E7429" s="17" t="s">
        <v>53</v>
      </c>
      <c r="F7429" s="18"/>
      <c r="G7429" s="36" t="str">
        <f>IF(ISNUMBER(F7429),C7429*F7429,"")</f>
        <v/>
      </c>
    </row>
    <row r="7430" spans="1:7" ht="12" customHeight="1" outlineLevel="3" x14ac:dyDescent="0.2">
      <c r="A7430" s="14" t="s">
        <v>14624</v>
      </c>
      <c r="B7430" s="15" t="s">
        <v>14625</v>
      </c>
      <c r="C7430" s="16">
        <f>865.62/(1+B2)</f>
        <v>865.62</v>
      </c>
      <c r="D7430" s="17" t="s">
        <v>11</v>
      </c>
      <c r="E7430" s="17" t="s">
        <v>53</v>
      </c>
      <c r="F7430" s="18"/>
      <c r="G7430" s="36" t="str">
        <f>IF(ISNUMBER(F7430),C7430*F7430,"")</f>
        <v/>
      </c>
    </row>
    <row r="7431" spans="1:7" ht="12" customHeight="1" outlineLevel="3" x14ac:dyDescent="0.2">
      <c r="A7431" s="14" t="s">
        <v>14626</v>
      </c>
      <c r="B7431" s="15" t="s">
        <v>14627</v>
      </c>
      <c r="C7431" s="16">
        <f>932.4/(1+B2)</f>
        <v>932.4</v>
      </c>
      <c r="D7431" s="17" t="s">
        <v>11</v>
      </c>
      <c r="E7431" s="17" t="s">
        <v>53</v>
      </c>
      <c r="F7431" s="18"/>
      <c r="G7431" s="36" t="str">
        <f>IF(ISNUMBER(F7431),C7431*F7431,"")</f>
        <v/>
      </c>
    </row>
    <row r="7432" spans="1:7" ht="12" customHeight="1" outlineLevel="3" x14ac:dyDescent="0.2">
      <c r="A7432" s="14" t="s">
        <v>14628</v>
      </c>
      <c r="B7432" s="15" t="s">
        <v>14629</v>
      </c>
      <c r="C7432" s="19">
        <f>1136.52/(1+B2)</f>
        <v>1136.52</v>
      </c>
      <c r="D7432" s="17" t="s">
        <v>11</v>
      </c>
      <c r="E7432" s="17"/>
      <c r="F7432" s="18"/>
      <c r="G7432" s="36" t="str">
        <f>IF(ISNUMBER(F7432),C7432*F7432,"")</f>
        <v/>
      </c>
    </row>
    <row r="7433" spans="1:7" ht="12" customHeight="1" outlineLevel="3" x14ac:dyDescent="0.2">
      <c r="A7433" s="14" t="s">
        <v>14630</v>
      </c>
      <c r="B7433" s="15" t="s">
        <v>14631</v>
      </c>
      <c r="C7433" s="19">
        <f>1197.69/(1+B2)</f>
        <v>1197.69</v>
      </c>
      <c r="D7433" s="17" t="s">
        <v>11</v>
      </c>
      <c r="E7433" s="17"/>
      <c r="F7433" s="18"/>
      <c r="G7433" s="36" t="str">
        <f>IF(ISNUMBER(F7433),C7433*F7433,"")</f>
        <v/>
      </c>
    </row>
    <row r="7434" spans="1:7" ht="12" customHeight="1" outlineLevel="3" x14ac:dyDescent="0.2">
      <c r="A7434" s="14" t="s">
        <v>14632</v>
      </c>
      <c r="B7434" s="15" t="s">
        <v>14633</v>
      </c>
      <c r="C7434" s="16">
        <f>502.66/(1+B2)</f>
        <v>502.66</v>
      </c>
      <c r="D7434" s="17" t="s">
        <v>11</v>
      </c>
      <c r="E7434" s="17"/>
      <c r="F7434" s="18"/>
      <c r="G7434" s="36" t="str">
        <f>IF(ISNUMBER(F7434),C7434*F7434,"")</f>
        <v/>
      </c>
    </row>
    <row r="7435" spans="1:7" ht="12" customHeight="1" outlineLevel="3" x14ac:dyDescent="0.2">
      <c r="A7435" s="14" t="s">
        <v>14634</v>
      </c>
      <c r="B7435" s="15" t="s">
        <v>14635</v>
      </c>
      <c r="C7435" s="16">
        <f>693.81/(1+B2)</f>
        <v>693.81</v>
      </c>
      <c r="D7435" s="17" t="s">
        <v>11</v>
      </c>
      <c r="E7435" s="17"/>
      <c r="F7435" s="18"/>
      <c r="G7435" s="36" t="str">
        <f>IF(ISNUMBER(F7435),C7435*F7435,"")</f>
        <v/>
      </c>
    </row>
    <row r="7436" spans="1:7" ht="12" customHeight="1" outlineLevel="3" x14ac:dyDescent="0.2">
      <c r="A7436" s="14" t="s">
        <v>14636</v>
      </c>
      <c r="B7436" s="15" t="s">
        <v>14637</v>
      </c>
      <c r="C7436" s="19">
        <f>1408.37/(1+B2)</f>
        <v>1408.37</v>
      </c>
      <c r="D7436" s="17" t="s">
        <v>11</v>
      </c>
      <c r="E7436" s="17"/>
      <c r="F7436" s="18"/>
      <c r="G7436" s="36" t="str">
        <f>IF(ISNUMBER(F7436),C7436*F7436,"")</f>
        <v/>
      </c>
    </row>
    <row r="7437" spans="1:7" ht="12" customHeight="1" outlineLevel="3" x14ac:dyDescent="0.2">
      <c r="A7437" s="14" t="s">
        <v>14638</v>
      </c>
      <c r="B7437" s="15" t="s">
        <v>14639</v>
      </c>
      <c r="C7437" s="16">
        <f>638.59/(1+B2)</f>
        <v>638.59</v>
      </c>
      <c r="D7437" s="17" t="s">
        <v>11</v>
      </c>
      <c r="E7437" s="17"/>
      <c r="F7437" s="18"/>
      <c r="G7437" s="36" t="str">
        <f>IF(ISNUMBER(F7437),C7437*F7437,"")</f>
        <v/>
      </c>
    </row>
    <row r="7438" spans="1:7" ht="12" customHeight="1" outlineLevel="3" x14ac:dyDescent="0.2">
      <c r="A7438" s="14" t="s">
        <v>14640</v>
      </c>
      <c r="B7438" s="15" t="s">
        <v>14641</v>
      </c>
      <c r="C7438" s="16">
        <f>757.53/(1+B2)</f>
        <v>757.53</v>
      </c>
      <c r="D7438" s="17" t="s">
        <v>11</v>
      </c>
      <c r="E7438" s="17"/>
      <c r="F7438" s="18"/>
      <c r="G7438" s="36" t="str">
        <f>IF(ISNUMBER(F7438),C7438*F7438,"")</f>
        <v/>
      </c>
    </row>
    <row r="7439" spans="1:7" ht="12" customHeight="1" outlineLevel="3" x14ac:dyDescent="0.2">
      <c r="A7439" s="14" t="s">
        <v>14642</v>
      </c>
      <c r="B7439" s="15" t="s">
        <v>14643</v>
      </c>
      <c r="C7439" s="16">
        <f>300/(1+B2)</f>
        <v>300</v>
      </c>
      <c r="D7439" s="17" t="s">
        <v>11</v>
      </c>
      <c r="E7439" s="17"/>
      <c r="F7439" s="18"/>
      <c r="G7439" s="36" t="str">
        <f>IF(ISNUMBER(F7439),C7439*F7439,"")</f>
        <v/>
      </c>
    </row>
    <row r="7440" spans="1:7" ht="12" customHeight="1" outlineLevel="3" x14ac:dyDescent="0.2">
      <c r="A7440" s="14" t="s">
        <v>14644</v>
      </c>
      <c r="B7440" s="15" t="s">
        <v>14645</v>
      </c>
      <c r="C7440" s="16">
        <f>113.69/(1+B2)</f>
        <v>113.69</v>
      </c>
      <c r="D7440" s="17" t="s">
        <v>11</v>
      </c>
      <c r="E7440" s="17"/>
      <c r="F7440" s="18"/>
      <c r="G7440" s="36" t="str">
        <f>IF(ISNUMBER(F7440),C7440*F7440,"")</f>
        <v/>
      </c>
    </row>
    <row r="7441" spans="1:7" ht="12" customHeight="1" outlineLevel="3" x14ac:dyDescent="0.2">
      <c r="A7441" s="14" t="s">
        <v>14646</v>
      </c>
      <c r="B7441" s="15" t="s">
        <v>14647</v>
      </c>
      <c r="C7441" s="16">
        <f>647/(1+B2)</f>
        <v>647</v>
      </c>
      <c r="D7441" s="17" t="s">
        <v>11</v>
      </c>
      <c r="E7441" s="17" t="s">
        <v>106</v>
      </c>
      <c r="F7441" s="18"/>
      <c r="G7441" s="36" t="str">
        <f>IF(ISNUMBER(F7441),C7441*F7441,"")</f>
        <v/>
      </c>
    </row>
    <row r="7442" spans="1:7" ht="12" customHeight="1" outlineLevel="3" x14ac:dyDescent="0.2">
      <c r="A7442" s="14" t="s">
        <v>14648</v>
      </c>
      <c r="B7442" s="15" t="s">
        <v>14649</v>
      </c>
      <c r="C7442" s="16">
        <f>168.98/(1+B2)</f>
        <v>168.98</v>
      </c>
      <c r="D7442" s="17" t="s">
        <v>11</v>
      </c>
      <c r="E7442" s="17"/>
      <c r="F7442" s="18"/>
      <c r="G7442" s="36" t="str">
        <f>IF(ISNUMBER(F7442),C7442*F7442,"")</f>
        <v/>
      </c>
    </row>
    <row r="7443" spans="1:7" ht="24" customHeight="1" outlineLevel="3" x14ac:dyDescent="0.2">
      <c r="A7443" s="14" t="s">
        <v>14650</v>
      </c>
      <c r="B7443" s="15" t="s">
        <v>14651</v>
      </c>
      <c r="C7443" s="16">
        <f>300/(1+B2)</f>
        <v>300</v>
      </c>
      <c r="D7443" s="17" t="s">
        <v>11</v>
      </c>
      <c r="E7443" s="17"/>
      <c r="F7443" s="18"/>
      <c r="G7443" s="36" t="str">
        <f>IF(ISNUMBER(F7443),C7443*F7443,"")</f>
        <v/>
      </c>
    </row>
    <row r="7444" spans="1:7" ht="12" customHeight="1" outlineLevel="3" x14ac:dyDescent="0.2">
      <c r="A7444" s="14" t="s">
        <v>14652</v>
      </c>
      <c r="B7444" s="15" t="s">
        <v>14653</v>
      </c>
      <c r="C7444" s="16">
        <f>180/(1+B2)</f>
        <v>180</v>
      </c>
      <c r="D7444" s="17" t="s">
        <v>11</v>
      </c>
      <c r="E7444" s="17"/>
      <c r="F7444" s="18"/>
      <c r="G7444" s="36" t="str">
        <f>IF(ISNUMBER(F7444),C7444*F7444,"")</f>
        <v/>
      </c>
    </row>
    <row r="7445" spans="1:7" ht="12" customHeight="1" outlineLevel="3" x14ac:dyDescent="0.2">
      <c r="A7445" s="14" t="s">
        <v>14654</v>
      </c>
      <c r="B7445" s="15" t="s">
        <v>14655</v>
      </c>
      <c r="C7445" s="16">
        <f>200/(1+B2)</f>
        <v>200</v>
      </c>
      <c r="D7445" s="17" t="s">
        <v>11</v>
      </c>
      <c r="E7445" s="17"/>
      <c r="F7445" s="18"/>
      <c r="G7445" s="36" t="str">
        <f>IF(ISNUMBER(F7445),C7445*F7445,"")</f>
        <v/>
      </c>
    </row>
    <row r="7446" spans="1:7" ht="12" customHeight="1" outlineLevel="3" x14ac:dyDescent="0.2">
      <c r="A7446" s="14" t="s">
        <v>14656</v>
      </c>
      <c r="B7446" s="15" t="s">
        <v>14657</v>
      </c>
      <c r="C7446" s="16">
        <f>200/(1+B2)</f>
        <v>200</v>
      </c>
      <c r="D7446" s="17" t="s">
        <v>11</v>
      </c>
      <c r="E7446" s="17"/>
      <c r="F7446" s="18"/>
      <c r="G7446" s="36" t="str">
        <f>IF(ISNUMBER(F7446),C7446*F7446,"")</f>
        <v/>
      </c>
    </row>
    <row r="7447" spans="1:7" s="1" customFormat="1" ht="12.95" customHeight="1" outlineLevel="2" x14ac:dyDescent="0.2">
      <c r="A7447" s="20"/>
      <c r="B7447" s="21" t="s">
        <v>14658</v>
      </c>
      <c r="C7447" s="22"/>
      <c r="D7447" s="22"/>
      <c r="E7447" s="22"/>
      <c r="F7447" s="22"/>
      <c r="G7447" s="37"/>
    </row>
    <row r="7448" spans="1:7" ht="12" customHeight="1" outlineLevel="3" x14ac:dyDescent="0.2">
      <c r="A7448" s="14" t="s">
        <v>14659</v>
      </c>
      <c r="B7448" s="15" t="s">
        <v>14660</v>
      </c>
      <c r="C7448" s="16">
        <f>684.29/(1+B2)</f>
        <v>684.29</v>
      </c>
      <c r="D7448" s="17" t="s">
        <v>11</v>
      </c>
      <c r="E7448" s="17" t="s">
        <v>11</v>
      </c>
      <c r="F7448" s="18"/>
      <c r="G7448" s="36" t="str">
        <f>IF(ISNUMBER(F7448),C7448*F7448,"")</f>
        <v/>
      </c>
    </row>
    <row r="7449" spans="1:7" ht="12" customHeight="1" outlineLevel="3" x14ac:dyDescent="0.2">
      <c r="A7449" s="14" t="s">
        <v>14661</v>
      </c>
      <c r="B7449" s="15" t="s">
        <v>14662</v>
      </c>
      <c r="C7449" s="19">
        <f>3061.8/(1+B2)</f>
        <v>3061.8</v>
      </c>
      <c r="D7449" s="17" t="s">
        <v>11</v>
      </c>
      <c r="E7449" s="17" t="s">
        <v>11</v>
      </c>
      <c r="F7449" s="18"/>
      <c r="G7449" s="36" t="str">
        <f>IF(ISNUMBER(F7449),C7449*F7449,"")</f>
        <v/>
      </c>
    </row>
    <row r="7450" spans="1:7" ht="12" customHeight="1" outlineLevel="3" x14ac:dyDescent="0.2">
      <c r="A7450" s="14" t="s">
        <v>14663</v>
      </c>
      <c r="B7450" s="15" t="s">
        <v>14664</v>
      </c>
      <c r="C7450" s="19">
        <f>5568.05/(1+B2)</f>
        <v>5568.05</v>
      </c>
      <c r="D7450" s="17" t="s">
        <v>11</v>
      </c>
      <c r="E7450" s="17"/>
      <c r="F7450" s="18"/>
      <c r="G7450" s="36" t="str">
        <f>IF(ISNUMBER(F7450),C7450*F7450,"")</f>
        <v/>
      </c>
    </row>
    <row r="7451" spans="1:7" ht="12" customHeight="1" outlineLevel="3" x14ac:dyDescent="0.2">
      <c r="A7451" s="14" t="s">
        <v>14665</v>
      </c>
      <c r="B7451" s="15" t="s">
        <v>14666</v>
      </c>
      <c r="C7451" s="19">
        <f>4218.63/(1+B2)</f>
        <v>4218.63</v>
      </c>
      <c r="D7451" s="17" t="s">
        <v>11</v>
      </c>
      <c r="E7451" s="17" t="s">
        <v>11</v>
      </c>
      <c r="F7451" s="18"/>
      <c r="G7451" s="36" t="str">
        <f>IF(ISNUMBER(F7451),C7451*F7451,"")</f>
        <v/>
      </c>
    </row>
    <row r="7452" spans="1:7" ht="12" customHeight="1" outlineLevel="3" x14ac:dyDescent="0.2">
      <c r="A7452" s="14" t="s">
        <v>14667</v>
      </c>
      <c r="B7452" s="15" t="s">
        <v>14668</v>
      </c>
      <c r="C7452" s="19">
        <f>3526.85/(1+B2)</f>
        <v>3526.85</v>
      </c>
      <c r="D7452" s="17" t="s">
        <v>11</v>
      </c>
      <c r="E7452" s="17"/>
      <c r="F7452" s="18"/>
      <c r="G7452" s="36" t="str">
        <f>IF(ISNUMBER(F7452),C7452*F7452,"")</f>
        <v/>
      </c>
    </row>
    <row r="7453" spans="1:7" ht="12" customHeight="1" outlineLevel="3" x14ac:dyDescent="0.2">
      <c r="A7453" s="14" t="s">
        <v>14669</v>
      </c>
      <c r="B7453" s="15" t="s">
        <v>14670</v>
      </c>
      <c r="C7453" s="19">
        <f>2990/(1+B2)</f>
        <v>2990</v>
      </c>
      <c r="D7453" s="17" t="s">
        <v>11</v>
      </c>
      <c r="E7453" s="17"/>
      <c r="F7453" s="18"/>
      <c r="G7453" s="36" t="str">
        <f>IF(ISNUMBER(F7453),C7453*F7453,"")</f>
        <v/>
      </c>
    </row>
    <row r="7454" spans="1:7" ht="12" customHeight="1" outlineLevel="3" x14ac:dyDescent="0.2">
      <c r="A7454" s="14" t="s">
        <v>14671</v>
      </c>
      <c r="B7454" s="15" t="s">
        <v>14672</v>
      </c>
      <c r="C7454" s="19">
        <f>1009.04/(1+B2)</f>
        <v>1009.04</v>
      </c>
      <c r="D7454" s="17" t="s">
        <v>11</v>
      </c>
      <c r="E7454" s="17"/>
      <c r="F7454" s="18"/>
      <c r="G7454" s="36" t="str">
        <f>IF(ISNUMBER(F7454),C7454*F7454,"")</f>
        <v/>
      </c>
    </row>
    <row r="7455" spans="1:7" ht="12" customHeight="1" outlineLevel="3" x14ac:dyDescent="0.2">
      <c r="A7455" s="14" t="s">
        <v>14673</v>
      </c>
      <c r="B7455" s="15" t="s">
        <v>14674</v>
      </c>
      <c r="C7455" s="19">
        <f>1039.04/(1+B2)</f>
        <v>1039.04</v>
      </c>
      <c r="D7455" s="17" t="s">
        <v>11</v>
      </c>
      <c r="E7455" s="17" t="s">
        <v>11</v>
      </c>
      <c r="F7455" s="18"/>
      <c r="G7455" s="36" t="str">
        <f>IF(ISNUMBER(F7455),C7455*F7455,"")</f>
        <v/>
      </c>
    </row>
    <row r="7456" spans="1:7" ht="12" customHeight="1" outlineLevel="3" x14ac:dyDescent="0.2">
      <c r="A7456" s="14" t="s">
        <v>14675</v>
      </c>
      <c r="B7456" s="15" t="s">
        <v>14676</v>
      </c>
      <c r="C7456" s="19">
        <f>1009.04/(1+B2)</f>
        <v>1009.04</v>
      </c>
      <c r="D7456" s="17" t="s">
        <v>11</v>
      </c>
      <c r="E7456" s="17" t="s">
        <v>11</v>
      </c>
      <c r="F7456" s="18"/>
      <c r="G7456" s="36" t="str">
        <f>IF(ISNUMBER(F7456),C7456*F7456,"")</f>
        <v/>
      </c>
    </row>
    <row r="7457" spans="1:7" ht="12" customHeight="1" outlineLevel="3" x14ac:dyDescent="0.2">
      <c r="A7457" s="14" t="s">
        <v>14677</v>
      </c>
      <c r="B7457" s="15" t="s">
        <v>14678</v>
      </c>
      <c r="C7457" s="19">
        <f>1189.05/(1+B2)</f>
        <v>1189.05</v>
      </c>
      <c r="D7457" s="17" t="s">
        <v>11</v>
      </c>
      <c r="E7457" s="17" t="s">
        <v>11</v>
      </c>
      <c r="F7457" s="18"/>
      <c r="G7457" s="36" t="str">
        <f>IF(ISNUMBER(F7457),C7457*F7457,"")</f>
        <v/>
      </c>
    </row>
    <row r="7458" spans="1:7" ht="12" customHeight="1" outlineLevel="3" x14ac:dyDescent="0.2">
      <c r="A7458" s="14" t="s">
        <v>14679</v>
      </c>
      <c r="B7458" s="15" t="s">
        <v>14680</v>
      </c>
      <c r="C7458" s="19">
        <f>3431.03/(1+B2)</f>
        <v>3431.03</v>
      </c>
      <c r="D7458" s="17" t="s">
        <v>11</v>
      </c>
      <c r="E7458" s="17"/>
      <c r="F7458" s="18"/>
      <c r="G7458" s="36" t="str">
        <f>IF(ISNUMBER(F7458),C7458*F7458,"")</f>
        <v/>
      </c>
    </row>
    <row r="7459" spans="1:7" ht="12" customHeight="1" outlineLevel="3" x14ac:dyDescent="0.2">
      <c r="A7459" s="14" t="s">
        <v>14681</v>
      </c>
      <c r="B7459" s="15" t="s">
        <v>14682</v>
      </c>
      <c r="C7459" s="19">
        <f>1389.06/(1+B2)</f>
        <v>1389.06</v>
      </c>
      <c r="D7459" s="17" t="s">
        <v>11</v>
      </c>
      <c r="E7459" s="17"/>
      <c r="F7459" s="18"/>
      <c r="G7459" s="36" t="str">
        <f>IF(ISNUMBER(F7459),C7459*F7459,"")</f>
        <v/>
      </c>
    </row>
    <row r="7460" spans="1:7" ht="12" customHeight="1" outlineLevel="3" x14ac:dyDescent="0.2">
      <c r="A7460" s="14" t="s">
        <v>14683</v>
      </c>
      <c r="B7460" s="15" t="s">
        <v>14684</v>
      </c>
      <c r="C7460" s="19">
        <f>1389.06/(1+B2)</f>
        <v>1389.06</v>
      </c>
      <c r="D7460" s="17" t="s">
        <v>11</v>
      </c>
      <c r="E7460" s="17"/>
      <c r="F7460" s="18"/>
      <c r="G7460" s="36" t="str">
        <f>IF(ISNUMBER(F7460),C7460*F7460,"")</f>
        <v/>
      </c>
    </row>
    <row r="7461" spans="1:7" ht="12" customHeight="1" outlineLevel="3" x14ac:dyDescent="0.2">
      <c r="A7461" s="14" t="s">
        <v>14685</v>
      </c>
      <c r="B7461" s="15" t="s">
        <v>14686</v>
      </c>
      <c r="C7461" s="19">
        <f>1005.31/(1+B2)</f>
        <v>1005.31</v>
      </c>
      <c r="D7461" s="17" t="s">
        <v>11</v>
      </c>
      <c r="E7461" s="17"/>
      <c r="F7461" s="18"/>
      <c r="G7461" s="36" t="str">
        <f>IF(ISNUMBER(F7461),C7461*F7461,"")</f>
        <v/>
      </c>
    </row>
    <row r="7462" spans="1:7" ht="12" customHeight="1" outlineLevel="3" x14ac:dyDescent="0.2">
      <c r="A7462" s="14" t="s">
        <v>14687</v>
      </c>
      <c r="B7462" s="15" t="s">
        <v>14688</v>
      </c>
      <c r="C7462" s="16">
        <f>877.89/(1+B2)</f>
        <v>877.89</v>
      </c>
      <c r="D7462" s="17" t="s">
        <v>11</v>
      </c>
      <c r="E7462" s="17"/>
      <c r="F7462" s="18"/>
      <c r="G7462" s="36" t="str">
        <f>IF(ISNUMBER(F7462),C7462*F7462,"")</f>
        <v/>
      </c>
    </row>
    <row r="7463" spans="1:7" ht="24" customHeight="1" outlineLevel="3" x14ac:dyDescent="0.2">
      <c r="A7463" s="14" t="s">
        <v>14689</v>
      </c>
      <c r="B7463" s="15" t="s">
        <v>14690</v>
      </c>
      <c r="C7463" s="19">
        <f>1059.09/(1+B2)</f>
        <v>1059.0899999999999</v>
      </c>
      <c r="D7463" s="17" t="s">
        <v>11</v>
      </c>
      <c r="E7463" s="17" t="s">
        <v>11</v>
      </c>
      <c r="F7463" s="18"/>
      <c r="G7463" s="36" t="str">
        <f>IF(ISNUMBER(F7463),C7463*F7463,"")</f>
        <v/>
      </c>
    </row>
    <row r="7464" spans="1:7" ht="24" customHeight="1" outlineLevel="3" x14ac:dyDescent="0.2">
      <c r="A7464" s="14" t="s">
        <v>14691</v>
      </c>
      <c r="B7464" s="15" t="s">
        <v>14692</v>
      </c>
      <c r="C7464" s="19">
        <f>1079.11/(1+B2)</f>
        <v>1079.1099999999999</v>
      </c>
      <c r="D7464" s="17" t="s">
        <v>11</v>
      </c>
      <c r="E7464" s="17" t="s">
        <v>11</v>
      </c>
      <c r="F7464" s="18"/>
      <c r="G7464" s="36" t="str">
        <f>IF(ISNUMBER(F7464),C7464*F7464,"")</f>
        <v/>
      </c>
    </row>
    <row r="7465" spans="1:7" ht="12" customHeight="1" outlineLevel="3" x14ac:dyDescent="0.2">
      <c r="A7465" s="14" t="s">
        <v>14693</v>
      </c>
      <c r="B7465" s="15" t="s">
        <v>14694</v>
      </c>
      <c r="C7465" s="16">
        <f>789.03/(1+B2)</f>
        <v>789.03</v>
      </c>
      <c r="D7465" s="17" t="s">
        <v>11</v>
      </c>
      <c r="E7465" s="17"/>
      <c r="F7465" s="18"/>
      <c r="G7465" s="36" t="str">
        <f>IF(ISNUMBER(F7465),C7465*F7465,"")</f>
        <v/>
      </c>
    </row>
    <row r="7466" spans="1:7" s="1" customFormat="1" ht="12.95" customHeight="1" outlineLevel="2" x14ac:dyDescent="0.2">
      <c r="A7466" s="20"/>
      <c r="B7466" s="21" t="s">
        <v>14695</v>
      </c>
      <c r="C7466" s="22"/>
      <c r="D7466" s="22"/>
      <c r="E7466" s="22"/>
      <c r="F7466" s="22"/>
      <c r="G7466" s="37"/>
    </row>
    <row r="7467" spans="1:7" ht="12" customHeight="1" outlineLevel="3" x14ac:dyDescent="0.2">
      <c r="A7467" s="14" t="s">
        <v>14696</v>
      </c>
      <c r="B7467" s="15" t="s">
        <v>14697</v>
      </c>
      <c r="C7467" s="16">
        <f>357.5/(1+B2)</f>
        <v>357.5</v>
      </c>
      <c r="D7467" s="17" t="s">
        <v>11</v>
      </c>
      <c r="E7467" s="17"/>
      <c r="F7467" s="18"/>
      <c r="G7467" s="36" t="str">
        <f>IF(ISNUMBER(F7467),C7467*F7467,"")</f>
        <v/>
      </c>
    </row>
    <row r="7468" spans="1:7" ht="12" customHeight="1" outlineLevel="3" x14ac:dyDescent="0.2">
      <c r="A7468" s="14" t="s">
        <v>14698</v>
      </c>
      <c r="B7468" s="15" t="s">
        <v>14699</v>
      </c>
      <c r="C7468" s="16">
        <f>481.56/(1+B2)</f>
        <v>481.56</v>
      </c>
      <c r="D7468" s="17" t="s">
        <v>11</v>
      </c>
      <c r="E7468" s="17" t="s">
        <v>14</v>
      </c>
      <c r="F7468" s="18"/>
      <c r="G7468" s="36" t="str">
        <f>IF(ISNUMBER(F7468),C7468*F7468,"")</f>
        <v/>
      </c>
    </row>
    <row r="7469" spans="1:7" ht="12" customHeight="1" outlineLevel="3" x14ac:dyDescent="0.2">
      <c r="A7469" s="14" t="s">
        <v>14700</v>
      </c>
      <c r="B7469" s="15" t="s">
        <v>14701</v>
      </c>
      <c r="C7469" s="16">
        <f>221.63/(1+B2)</f>
        <v>221.63</v>
      </c>
      <c r="D7469" s="17" t="s">
        <v>11</v>
      </c>
      <c r="E7469" s="17"/>
      <c r="F7469" s="18"/>
      <c r="G7469" s="36" t="str">
        <f>IF(ISNUMBER(F7469),C7469*F7469,"")</f>
        <v/>
      </c>
    </row>
    <row r="7470" spans="1:7" ht="12" customHeight="1" outlineLevel="3" x14ac:dyDescent="0.2">
      <c r="A7470" s="14" t="s">
        <v>14702</v>
      </c>
      <c r="B7470" s="15" t="s">
        <v>14703</v>
      </c>
      <c r="C7470" s="16">
        <f>731.36/(1+B2)</f>
        <v>731.36</v>
      </c>
      <c r="D7470" s="17" t="s">
        <v>11</v>
      </c>
      <c r="E7470" s="17"/>
      <c r="F7470" s="18"/>
      <c r="G7470" s="36" t="str">
        <f>IF(ISNUMBER(F7470),C7470*F7470,"")</f>
        <v/>
      </c>
    </row>
    <row r="7471" spans="1:7" ht="12" customHeight="1" outlineLevel="3" x14ac:dyDescent="0.2">
      <c r="A7471" s="14" t="s">
        <v>14704</v>
      </c>
      <c r="B7471" s="15" t="s">
        <v>14705</v>
      </c>
      <c r="C7471" s="16">
        <f>731.36/(1+B2)</f>
        <v>731.36</v>
      </c>
      <c r="D7471" s="17" t="s">
        <v>11</v>
      </c>
      <c r="E7471" s="17" t="s">
        <v>53</v>
      </c>
      <c r="F7471" s="18"/>
      <c r="G7471" s="36" t="str">
        <f>IF(ISNUMBER(F7471),C7471*F7471,"")</f>
        <v/>
      </c>
    </row>
    <row r="7472" spans="1:7" ht="12" customHeight="1" outlineLevel="3" x14ac:dyDescent="0.2">
      <c r="A7472" s="14" t="s">
        <v>14706</v>
      </c>
      <c r="B7472" s="15" t="s">
        <v>14707</v>
      </c>
      <c r="C7472" s="16">
        <f>731.36/(1+B2)</f>
        <v>731.36</v>
      </c>
      <c r="D7472" s="17" t="s">
        <v>11</v>
      </c>
      <c r="E7472" s="17" t="s">
        <v>53</v>
      </c>
      <c r="F7472" s="18"/>
      <c r="G7472" s="36" t="str">
        <f>IF(ISNUMBER(F7472),C7472*F7472,"")</f>
        <v/>
      </c>
    </row>
    <row r="7473" spans="1:7" ht="12" customHeight="1" outlineLevel="3" x14ac:dyDescent="0.2">
      <c r="A7473" s="14" t="s">
        <v>14708</v>
      </c>
      <c r="B7473" s="15" t="s">
        <v>14709</v>
      </c>
      <c r="C7473" s="16">
        <f>731.36/(1+B2)</f>
        <v>731.36</v>
      </c>
      <c r="D7473" s="17" t="s">
        <v>11</v>
      </c>
      <c r="E7473" s="17" t="s">
        <v>53</v>
      </c>
      <c r="F7473" s="18"/>
      <c r="G7473" s="36" t="str">
        <f>IF(ISNUMBER(F7473),C7473*F7473,"")</f>
        <v/>
      </c>
    </row>
    <row r="7474" spans="1:7" ht="12" customHeight="1" outlineLevel="3" x14ac:dyDescent="0.2">
      <c r="A7474" s="14" t="s">
        <v>14710</v>
      </c>
      <c r="B7474" s="15" t="s">
        <v>14711</v>
      </c>
      <c r="C7474" s="16">
        <f>761.84/(1+B2)</f>
        <v>761.84</v>
      </c>
      <c r="D7474" s="17" t="s">
        <v>11</v>
      </c>
      <c r="E7474" s="17" t="s">
        <v>11</v>
      </c>
      <c r="F7474" s="18"/>
      <c r="G7474" s="36" t="str">
        <f>IF(ISNUMBER(F7474),C7474*F7474,"")</f>
        <v/>
      </c>
    </row>
    <row r="7475" spans="1:7" ht="12" customHeight="1" outlineLevel="3" x14ac:dyDescent="0.2">
      <c r="A7475" s="14" t="s">
        <v>14712</v>
      </c>
      <c r="B7475" s="15" t="s">
        <v>14713</v>
      </c>
      <c r="C7475" s="16">
        <f>761.84/(1+B2)</f>
        <v>761.84</v>
      </c>
      <c r="D7475" s="17" t="s">
        <v>11</v>
      </c>
      <c r="E7475" s="17"/>
      <c r="F7475" s="18"/>
      <c r="G7475" s="36" t="str">
        <f>IF(ISNUMBER(F7475),C7475*F7475,"")</f>
        <v/>
      </c>
    </row>
    <row r="7476" spans="1:7" ht="12" customHeight="1" outlineLevel="3" x14ac:dyDescent="0.2">
      <c r="A7476" s="14" t="s">
        <v>14714</v>
      </c>
      <c r="B7476" s="15" t="s">
        <v>14715</v>
      </c>
      <c r="C7476" s="16">
        <f>761.84/(1+B2)</f>
        <v>761.84</v>
      </c>
      <c r="D7476" s="17" t="s">
        <v>11</v>
      </c>
      <c r="E7476" s="17"/>
      <c r="F7476" s="18"/>
      <c r="G7476" s="36" t="str">
        <f>IF(ISNUMBER(F7476),C7476*F7476,"")</f>
        <v/>
      </c>
    </row>
    <row r="7477" spans="1:7" s="1" customFormat="1" ht="12.95" customHeight="1" outlineLevel="2" x14ac:dyDescent="0.2">
      <c r="A7477" s="20"/>
      <c r="B7477" s="21" t="s">
        <v>14716</v>
      </c>
      <c r="C7477" s="22"/>
      <c r="D7477" s="22"/>
      <c r="E7477" s="22"/>
      <c r="F7477" s="22"/>
      <c r="G7477" s="37"/>
    </row>
    <row r="7478" spans="1:7" ht="12" customHeight="1" outlineLevel="3" x14ac:dyDescent="0.2">
      <c r="A7478" s="14" t="s">
        <v>14717</v>
      </c>
      <c r="B7478" s="15" t="s">
        <v>14718</v>
      </c>
      <c r="C7478" s="16">
        <f>223.75/(1+B2)</f>
        <v>223.75</v>
      </c>
      <c r="D7478" s="17" t="s">
        <v>11</v>
      </c>
      <c r="E7478" s="17" t="s">
        <v>11</v>
      </c>
      <c r="F7478" s="18"/>
      <c r="G7478" s="36" t="str">
        <f>IF(ISNUMBER(F7478),C7478*F7478,"")</f>
        <v/>
      </c>
    </row>
    <row r="7479" spans="1:7" ht="12" customHeight="1" outlineLevel="3" x14ac:dyDescent="0.2">
      <c r="A7479" s="14" t="s">
        <v>14719</v>
      </c>
      <c r="B7479" s="15" t="s">
        <v>14720</v>
      </c>
      <c r="C7479" s="16">
        <f>361.25/(1+B2)</f>
        <v>361.25</v>
      </c>
      <c r="D7479" s="17" t="s">
        <v>11</v>
      </c>
      <c r="E7479" s="17" t="s">
        <v>14</v>
      </c>
      <c r="F7479" s="18"/>
      <c r="G7479" s="36" t="str">
        <f>IF(ISNUMBER(F7479),C7479*F7479,"")</f>
        <v/>
      </c>
    </row>
    <row r="7480" spans="1:7" ht="12" customHeight="1" outlineLevel="3" x14ac:dyDescent="0.2">
      <c r="A7480" s="14" t="s">
        <v>14721</v>
      </c>
      <c r="B7480" s="15" t="s">
        <v>14722</v>
      </c>
      <c r="C7480" s="16">
        <f>208.75/(1+B2)</f>
        <v>208.75</v>
      </c>
      <c r="D7480" s="17" t="s">
        <v>11</v>
      </c>
      <c r="E7480" s="17" t="s">
        <v>11</v>
      </c>
      <c r="F7480" s="18"/>
      <c r="G7480" s="36" t="str">
        <f>IF(ISNUMBER(F7480),C7480*F7480,"")</f>
        <v/>
      </c>
    </row>
    <row r="7481" spans="1:7" ht="12" customHeight="1" outlineLevel="3" x14ac:dyDescent="0.2">
      <c r="A7481" s="14" t="s">
        <v>14723</v>
      </c>
      <c r="B7481" s="15" t="s">
        <v>14724</v>
      </c>
      <c r="C7481" s="16">
        <f>641.36/(1+B2)</f>
        <v>641.36</v>
      </c>
      <c r="D7481" s="17" t="s">
        <v>11</v>
      </c>
      <c r="E7481" s="17" t="s">
        <v>11</v>
      </c>
      <c r="F7481" s="18"/>
      <c r="G7481" s="36" t="str">
        <f>IF(ISNUMBER(F7481),C7481*F7481,"")</f>
        <v/>
      </c>
    </row>
    <row r="7482" spans="1:7" ht="12" customHeight="1" outlineLevel="3" x14ac:dyDescent="0.2">
      <c r="A7482" s="14" t="s">
        <v>14725</v>
      </c>
      <c r="B7482" s="15" t="s">
        <v>14726</v>
      </c>
      <c r="C7482" s="16">
        <f>249.96/(1+B2)</f>
        <v>249.96</v>
      </c>
      <c r="D7482" s="17" t="s">
        <v>11</v>
      </c>
      <c r="E7482" s="17"/>
      <c r="F7482" s="18"/>
      <c r="G7482" s="36" t="str">
        <f>IF(ISNUMBER(F7482),C7482*F7482,"")</f>
        <v/>
      </c>
    </row>
    <row r="7483" spans="1:7" ht="12" customHeight="1" outlineLevel="3" x14ac:dyDescent="0.2">
      <c r="A7483" s="14" t="s">
        <v>14727</v>
      </c>
      <c r="B7483" s="15" t="s">
        <v>14728</v>
      </c>
      <c r="C7483" s="16">
        <f>292.5/(1+B2)</f>
        <v>292.5</v>
      </c>
      <c r="D7483" s="17" t="s">
        <v>11</v>
      </c>
      <c r="E7483" s="17" t="s">
        <v>11</v>
      </c>
      <c r="F7483" s="18"/>
      <c r="G7483" s="36" t="str">
        <f>IF(ISNUMBER(F7483),C7483*F7483,"")</f>
        <v/>
      </c>
    </row>
    <row r="7484" spans="1:7" ht="12" customHeight="1" outlineLevel="3" x14ac:dyDescent="0.2">
      <c r="A7484" s="14" t="s">
        <v>14729</v>
      </c>
      <c r="B7484" s="15" t="s">
        <v>14730</v>
      </c>
      <c r="C7484" s="16">
        <f>500/(1+B2)</f>
        <v>500</v>
      </c>
      <c r="D7484" s="17" t="s">
        <v>11</v>
      </c>
      <c r="E7484" s="17" t="s">
        <v>14</v>
      </c>
      <c r="F7484" s="18"/>
      <c r="G7484" s="36" t="str">
        <f>IF(ISNUMBER(F7484),C7484*F7484,"")</f>
        <v/>
      </c>
    </row>
    <row r="7485" spans="1:7" ht="12" customHeight="1" outlineLevel="3" x14ac:dyDescent="0.2">
      <c r="A7485" s="14" t="s">
        <v>14731</v>
      </c>
      <c r="B7485" s="15" t="s">
        <v>14732</v>
      </c>
      <c r="C7485" s="16">
        <f>173.75/(1+B2)</f>
        <v>173.75</v>
      </c>
      <c r="D7485" s="17" t="s">
        <v>11</v>
      </c>
      <c r="E7485" s="17" t="s">
        <v>14</v>
      </c>
      <c r="F7485" s="18"/>
      <c r="G7485" s="36" t="str">
        <f>IF(ISNUMBER(F7485),C7485*F7485,"")</f>
        <v/>
      </c>
    </row>
    <row r="7486" spans="1:7" ht="12" customHeight="1" outlineLevel="3" x14ac:dyDescent="0.2">
      <c r="A7486" s="14" t="s">
        <v>14733</v>
      </c>
      <c r="B7486" s="15" t="s">
        <v>14734</v>
      </c>
      <c r="C7486" s="16">
        <f>188.75/(1+B2)</f>
        <v>188.75</v>
      </c>
      <c r="D7486" s="17" t="s">
        <v>11</v>
      </c>
      <c r="E7486" s="17" t="s">
        <v>14</v>
      </c>
      <c r="F7486" s="18"/>
      <c r="G7486" s="36" t="str">
        <f>IF(ISNUMBER(F7486),C7486*F7486,"")</f>
        <v/>
      </c>
    </row>
    <row r="7487" spans="1:7" ht="12" customHeight="1" outlineLevel="3" x14ac:dyDescent="0.2">
      <c r="A7487" s="14" t="s">
        <v>14735</v>
      </c>
      <c r="B7487" s="15" t="s">
        <v>14736</v>
      </c>
      <c r="C7487" s="16">
        <f>221.25/(1+B2)</f>
        <v>221.25</v>
      </c>
      <c r="D7487" s="17" t="s">
        <v>11</v>
      </c>
      <c r="E7487" s="17" t="s">
        <v>14</v>
      </c>
      <c r="F7487" s="18"/>
      <c r="G7487" s="36" t="str">
        <f>IF(ISNUMBER(F7487),C7487*F7487,"")</f>
        <v/>
      </c>
    </row>
    <row r="7488" spans="1:7" ht="12" customHeight="1" outlineLevel="3" x14ac:dyDescent="0.2">
      <c r="A7488" s="14" t="s">
        <v>14737</v>
      </c>
      <c r="B7488" s="15" t="s">
        <v>14738</v>
      </c>
      <c r="C7488" s="16">
        <f>282.5/(1+B2)</f>
        <v>282.5</v>
      </c>
      <c r="D7488" s="17" t="s">
        <v>11</v>
      </c>
      <c r="E7488" s="17" t="s">
        <v>11</v>
      </c>
      <c r="F7488" s="18"/>
      <c r="G7488" s="36" t="str">
        <f>IF(ISNUMBER(F7488),C7488*F7488,"")</f>
        <v/>
      </c>
    </row>
    <row r="7489" spans="1:7" ht="12" customHeight="1" outlineLevel="3" x14ac:dyDescent="0.2">
      <c r="A7489" s="14" t="s">
        <v>14739</v>
      </c>
      <c r="B7489" s="15" t="s">
        <v>14740</v>
      </c>
      <c r="C7489" s="16">
        <f>342.5/(1+B2)</f>
        <v>342.5</v>
      </c>
      <c r="D7489" s="17" t="s">
        <v>11</v>
      </c>
      <c r="E7489" s="17" t="s">
        <v>14</v>
      </c>
      <c r="F7489" s="18"/>
      <c r="G7489" s="36" t="str">
        <f>IF(ISNUMBER(F7489),C7489*F7489,"")</f>
        <v/>
      </c>
    </row>
    <row r="7490" spans="1:7" ht="12" customHeight="1" outlineLevel="3" x14ac:dyDescent="0.2">
      <c r="A7490" s="14" t="s">
        <v>14741</v>
      </c>
      <c r="B7490" s="15" t="s">
        <v>14742</v>
      </c>
      <c r="C7490" s="16">
        <f>252.5/(1+B2)</f>
        <v>252.5</v>
      </c>
      <c r="D7490" s="17" t="s">
        <v>11</v>
      </c>
      <c r="E7490" s="17"/>
      <c r="F7490" s="18"/>
      <c r="G7490" s="36" t="str">
        <f>IF(ISNUMBER(F7490),C7490*F7490,"")</f>
        <v/>
      </c>
    </row>
    <row r="7491" spans="1:7" ht="12" customHeight="1" outlineLevel="3" x14ac:dyDescent="0.2">
      <c r="A7491" s="14" t="s">
        <v>14743</v>
      </c>
      <c r="B7491" s="15" t="s">
        <v>14744</v>
      </c>
      <c r="C7491" s="16">
        <f>410/(1+B2)</f>
        <v>410</v>
      </c>
      <c r="D7491" s="17" t="s">
        <v>11</v>
      </c>
      <c r="E7491" s="17"/>
      <c r="F7491" s="18"/>
      <c r="G7491" s="36" t="str">
        <f>IF(ISNUMBER(F7491),C7491*F7491,"")</f>
        <v/>
      </c>
    </row>
    <row r="7492" spans="1:7" ht="12" customHeight="1" outlineLevel="3" x14ac:dyDescent="0.2">
      <c r="A7492" s="14" t="s">
        <v>14745</v>
      </c>
      <c r="B7492" s="15" t="s">
        <v>14746</v>
      </c>
      <c r="C7492" s="16">
        <f>512.5/(1+B2)</f>
        <v>512.5</v>
      </c>
      <c r="D7492" s="17" t="s">
        <v>11</v>
      </c>
      <c r="E7492" s="17" t="s">
        <v>11</v>
      </c>
      <c r="F7492" s="18"/>
      <c r="G7492" s="36" t="str">
        <f>IF(ISNUMBER(F7492),C7492*F7492,"")</f>
        <v/>
      </c>
    </row>
    <row r="7493" spans="1:7" ht="12" customHeight="1" outlineLevel="3" x14ac:dyDescent="0.2">
      <c r="A7493" s="14" t="s">
        <v>14747</v>
      </c>
      <c r="B7493" s="15" t="s">
        <v>14748</v>
      </c>
      <c r="C7493" s="16">
        <f>281.25/(1+B2)</f>
        <v>281.25</v>
      </c>
      <c r="D7493" s="17" t="s">
        <v>11</v>
      </c>
      <c r="E7493" s="17"/>
      <c r="F7493" s="18"/>
      <c r="G7493" s="36" t="str">
        <f>IF(ISNUMBER(F7493),C7493*F7493,"")</f>
        <v/>
      </c>
    </row>
    <row r="7494" spans="1:7" ht="12" customHeight="1" outlineLevel="3" x14ac:dyDescent="0.2">
      <c r="A7494" s="14" t="s">
        <v>14749</v>
      </c>
      <c r="B7494" s="15" t="s">
        <v>14750</v>
      </c>
      <c r="C7494" s="16">
        <f>422.5/(1+B2)</f>
        <v>422.5</v>
      </c>
      <c r="D7494" s="17" t="s">
        <v>11</v>
      </c>
      <c r="E7494" s="17" t="s">
        <v>11</v>
      </c>
      <c r="F7494" s="18"/>
      <c r="G7494" s="36" t="str">
        <f>IF(ISNUMBER(F7494),C7494*F7494,"")</f>
        <v/>
      </c>
    </row>
    <row r="7495" spans="1:7" ht="12" customHeight="1" outlineLevel="3" x14ac:dyDescent="0.2">
      <c r="A7495" s="14" t="s">
        <v>14751</v>
      </c>
      <c r="B7495" s="15" t="s">
        <v>14752</v>
      </c>
      <c r="C7495" s="16">
        <f>328.75/(1+B2)</f>
        <v>328.75</v>
      </c>
      <c r="D7495" s="17" t="s">
        <v>11</v>
      </c>
      <c r="E7495" s="17" t="s">
        <v>11</v>
      </c>
      <c r="F7495" s="18"/>
      <c r="G7495" s="36" t="str">
        <f>IF(ISNUMBER(F7495),C7495*F7495,"")</f>
        <v/>
      </c>
    </row>
    <row r="7496" spans="1:7" ht="12" customHeight="1" outlineLevel="3" x14ac:dyDescent="0.2">
      <c r="A7496" s="14" t="s">
        <v>14753</v>
      </c>
      <c r="B7496" s="15" t="s">
        <v>14754</v>
      </c>
      <c r="C7496" s="16">
        <f>426.25/(1+B2)</f>
        <v>426.25</v>
      </c>
      <c r="D7496" s="17" t="s">
        <v>11</v>
      </c>
      <c r="E7496" s="17" t="s">
        <v>11</v>
      </c>
      <c r="F7496" s="18"/>
      <c r="G7496" s="36" t="str">
        <f>IF(ISNUMBER(F7496),C7496*F7496,"")</f>
        <v/>
      </c>
    </row>
    <row r="7497" spans="1:7" ht="12" customHeight="1" outlineLevel="3" x14ac:dyDescent="0.2">
      <c r="A7497" s="14" t="s">
        <v>14755</v>
      </c>
      <c r="B7497" s="15" t="s">
        <v>14756</v>
      </c>
      <c r="C7497" s="16">
        <f>268.06/(1+B2)</f>
        <v>268.06</v>
      </c>
      <c r="D7497" s="17" t="s">
        <v>11</v>
      </c>
      <c r="E7497" s="17" t="s">
        <v>14</v>
      </c>
      <c r="F7497" s="18"/>
      <c r="G7497" s="36" t="str">
        <f>IF(ISNUMBER(F7497),C7497*F7497,"")</f>
        <v/>
      </c>
    </row>
    <row r="7498" spans="1:7" ht="12" customHeight="1" outlineLevel="3" x14ac:dyDescent="0.2">
      <c r="A7498" s="14" t="s">
        <v>14757</v>
      </c>
      <c r="B7498" s="15" t="s">
        <v>14758</v>
      </c>
      <c r="C7498" s="16">
        <f>297.66/(1+B2)</f>
        <v>297.66000000000003</v>
      </c>
      <c r="D7498" s="17" t="s">
        <v>11</v>
      </c>
      <c r="E7498" s="17"/>
      <c r="F7498" s="18"/>
      <c r="G7498" s="36" t="str">
        <f>IF(ISNUMBER(F7498),C7498*F7498,"")</f>
        <v/>
      </c>
    </row>
    <row r="7499" spans="1:7" ht="12" customHeight="1" outlineLevel="3" x14ac:dyDescent="0.2">
      <c r="A7499" s="14" t="s">
        <v>14759</v>
      </c>
      <c r="B7499" s="15" t="s">
        <v>14760</v>
      </c>
      <c r="C7499" s="16">
        <f>358.5/(1+B2)</f>
        <v>358.5</v>
      </c>
      <c r="D7499" s="17" t="s">
        <v>11</v>
      </c>
      <c r="E7499" s="17"/>
      <c r="F7499" s="18"/>
      <c r="G7499" s="36" t="str">
        <f>IF(ISNUMBER(F7499),C7499*F7499,"")</f>
        <v/>
      </c>
    </row>
    <row r="7500" spans="1:7" ht="12" customHeight="1" outlineLevel="3" x14ac:dyDescent="0.2">
      <c r="A7500" s="14" t="s">
        <v>14761</v>
      </c>
      <c r="B7500" s="15" t="s">
        <v>14762</v>
      </c>
      <c r="C7500" s="16">
        <f>277.5/(1+B2)</f>
        <v>277.5</v>
      </c>
      <c r="D7500" s="17" t="s">
        <v>11</v>
      </c>
      <c r="E7500" s="17" t="s">
        <v>14</v>
      </c>
      <c r="F7500" s="18"/>
      <c r="G7500" s="36" t="str">
        <f>IF(ISNUMBER(F7500),C7500*F7500,"")</f>
        <v/>
      </c>
    </row>
    <row r="7501" spans="1:7" ht="12" customHeight="1" outlineLevel="3" x14ac:dyDescent="0.2">
      <c r="A7501" s="14" t="s">
        <v>14763</v>
      </c>
      <c r="B7501" s="15" t="s">
        <v>14764</v>
      </c>
      <c r="C7501" s="16">
        <f>303.75/(1+B2)</f>
        <v>303.75</v>
      </c>
      <c r="D7501" s="17" t="s">
        <v>11</v>
      </c>
      <c r="E7501" s="17"/>
      <c r="F7501" s="18"/>
      <c r="G7501" s="36" t="str">
        <f>IF(ISNUMBER(F7501),C7501*F7501,"")</f>
        <v/>
      </c>
    </row>
    <row r="7502" spans="1:7" ht="12" customHeight="1" outlineLevel="3" x14ac:dyDescent="0.2">
      <c r="A7502" s="14" t="s">
        <v>14765</v>
      </c>
      <c r="B7502" s="15" t="s">
        <v>14766</v>
      </c>
      <c r="C7502" s="16">
        <f>358.75/(1+B2)</f>
        <v>358.75</v>
      </c>
      <c r="D7502" s="17" t="s">
        <v>11</v>
      </c>
      <c r="E7502" s="17" t="s">
        <v>11</v>
      </c>
      <c r="F7502" s="18"/>
      <c r="G7502" s="36" t="str">
        <f>IF(ISNUMBER(F7502),C7502*F7502,"")</f>
        <v/>
      </c>
    </row>
    <row r="7503" spans="1:7" ht="12" customHeight="1" outlineLevel="3" x14ac:dyDescent="0.2">
      <c r="A7503" s="14" t="s">
        <v>14767</v>
      </c>
      <c r="B7503" s="15" t="s">
        <v>14768</v>
      </c>
      <c r="C7503" s="16">
        <f>413.75/(1+B2)</f>
        <v>413.75</v>
      </c>
      <c r="D7503" s="17" t="s">
        <v>11</v>
      </c>
      <c r="E7503" s="17" t="s">
        <v>14</v>
      </c>
      <c r="F7503" s="18"/>
      <c r="G7503" s="36" t="str">
        <f>IF(ISNUMBER(F7503),C7503*F7503,"")</f>
        <v/>
      </c>
    </row>
    <row r="7504" spans="1:7" ht="12" customHeight="1" outlineLevel="3" x14ac:dyDescent="0.2">
      <c r="A7504" s="14" t="s">
        <v>14769</v>
      </c>
      <c r="B7504" s="15" t="s">
        <v>14770</v>
      </c>
      <c r="C7504" s="16">
        <f>458.75/(1+B2)</f>
        <v>458.75</v>
      </c>
      <c r="D7504" s="17" t="s">
        <v>11</v>
      </c>
      <c r="E7504" s="17" t="s">
        <v>14</v>
      </c>
      <c r="F7504" s="18"/>
      <c r="G7504" s="36" t="str">
        <f>IF(ISNUMBER(F7504),C7504*F7504,"")</f>
        <v/>
      </c>
    </row>
    <row r="7505" spans="1:7" ht="12" customHeight="1" outlineLevel="3" x14ac:dyDescent="0.2">
      <c r="A7505" s="14" t="s">
        <v>14771</v>
      </c>
      <c r="B7505" s="15" t="s">
        <v>14772</v>
      </c>
      <c r="C7505" s="16">
        <f>567.5/(1+B2)</f>
        <v>567.5</v>
      </c>
      <c r="D7505" s="17" t="s">
        <v>11</v>
      </c>
      <c r="E7505" s="17" t="s">
        <v>14</v>
      </c>
      <c r="F7505" s="18"/>
      <c r="G7505" s="36" t="str">
        <f>IF(ISNUMBER(F7505),C7505*F7505,"")</f>
        <v/>
      </c>
    </row>
    <row r="7506" spans="1:7" ht="12" customHeight="1" outlineLevel="3" x14ac:dyDescent="0.2">
      <c r="A7506" s="14" t="s">
        <v>14773</v>
      </c>
      <c r="B7506" s="15" t="s">
        <v>14774</v>
      </c>
      <c r="C7506" s="16">
        <f>402.5/(1+B2)</f>
        <v>402.5</v>
      </c>
      <c r="D7506" s="17" t="s">
        <v>11</v>
      </c>
      <c r="E7506" s="17"/>
      <c r="F7506" s="18"/>
      <c r="G7506" s="36" t="str">
        <f>IF(ISNUMBER(F7506),C7506*F7506,"")</f>
        <v/>
      </c>
    </row>
    <row r="7507" spans="1:7" ht="12" customHeight="1" outlineLevel="3" x14ac:dyDescent="0.2">
      <c r="A7507" s="14" t="s">
        <v>14775</v>
      </c>
      <c r="B7507" s="15" t="s">
        <v>14776</v>
      </c>
      <c r="C7507" s="16">
        <f>530/(1+B2)</f>
        <v>530</v>
      </c>
      <c r="D7507" s="17" t="s">
        <v>11</v>
      </c>
      <c r="E7507" s="17"/>
      <c r="F7507" s="18"/>
      <c r="G7507" s="36" t="str">
        <f>IF(ISNUMBER(F7507),C7507*F7507,"")</f>
        <v/>
      </c>
    </row>
    <row r="7508" spans="1:7" ht="12" customHeight="1" outlineLevel="3" x14ac:dyDescent="0.2">
      <c r="A7508" s="14" t="s">
        <v>14777</v>
      </c>
      <c r="B7508" s="15" t="s">
        <v>14778</v>
      </c>
      <c r="C7508" s="16">
        <f>656.25/(1+B2)</f>
        <v>656.25</v>
      </c>
      <c r="D7508" s="17" t="s">
        <v>11</v>
      </c>
      <c r="E7508" s="17" t="s">
        <v>11</v>
      </c>
      <c r="F7508" s="18"/>
      <c r="G7508" s="36" t="str">
        <f>IF(ISNUMBER(F7508),C7508*F7508,"")</f>
        <v/>
      </c>
    </row>
    <row r="7509" spans="1:7" ht="12" customHeight="1" outlineLevel="3" x14ac:dyDescent="0.2">
      <c r="A7509" s="14" t="s">
        <v>14779</v>
      </c>
      <c r="B7509" s="15" t="s">
        <v>14780</v>
      </c>
      <c r="C7509" s="19">
        <f>1410/(1+B2)</f>
        <v>1410</v>
      </c>
      <c r="D7509" s="17" t="s">
        <v>11</v>
      </c>
      <c r="E7509" s="17"/>
      <c r="F7509" s="18"/>
      <c r="G7509" s="36" t="str">
        <f>IF(ISNUMBER(F7509),C7509*F7509,"")</f>
        <v/>
      </c>
    </row>
    <row r="7510" spans="1:7" ht="12" customHeight="1" outlineLevel="3" x14ac:dyDescent="0.2">
      <c r="A7510" s="14" t="s">
        <v>14781</v>
      </c>
      <c r="B7510" s="15" t="s">
        <v>14782</v>
      </c>
      <c r="C7510" s="19">
        <f>2854.85/(1+B2)</f>
        <v>2854.85</v>
      </c>
      <c r="D7510" s="17" t="s">
        <v>11</v>
      </c>
      <c r="E7510" s="17"/>
      <c r="F7510" s="18"/>
      <c r="G7510" s="36" t="str">
        <f>IF(ISNUMBER(F7510),C7510*F7510,"")</f>
        <v/>
      </c>
    </row>
    <row r="7511" spans="1:7" ht="12" customHeight="1" outlineLevel="3" x14ac:dyDescent="0.2">
      <c r="A7511" s="14" t="s">
        <v>14783</v>
      </c>
      <c r="B7511" s="15" t="s">
        <v>14784</v>
      </c>
      <c r="C7511" s="19">
        <f>1532.67/(1+B2)</f>
        <v>1532.67</v>
      </c>
      <c r="D7511" s="17" t="s">
        <v>11</v>
      </c>
      <c r="E7511" s="17"/>
      <c r="F7511" s="18"/>
      <c r="G7511" s="36" t="str">
        <f>IF(ISNUMBER(F7511),C7511*F7511,"")</f>
        <v/>
      </c>
    </row>
    <row r="7512" spans="1:7" ht="12" customHeight="1" outlineLevel="3" x14ac:dyDescent="0.2">
      <c r="A7512" s="14" t="s">
        <v>14785</v>
      </c>
      <c r="B7512" s="15" t="s">
        <v>14786</v>
      </c>
      <c r="C7512" s="19">
        <f>2340.13/(1+B2)</f>
        <v>2340.13</v>
      </c>
      <c r="D7512" s="17" t="s">
        <v>11</v>
      </c>
      <c r="E7512" s="17"/>
      <c r="F7512" s="18"/>
      <c r="G7512" s="36" t="str">
        <f>IF(ISNUMBER(F7512),C7512*F7512,"")</f>
        <v/>
      </c>
    </row>
    <row r="7513" spans="1:7" s="1" customFormat="1" ht="12.95" customHeight="1" outlineLevel="2" x14ac:dyDescent="0.2">
      <c r="A7513" s="20"/>
      <c r="B7513" s="21" t="s">
        <v>14787</v>
      </c>
      <c r="C7513" s="22"/>
      <c r="D7513" s="22"/>
      <c r="E7513" s="22"/>
      <c r="F7513" s="22"/>
      <c r="G7513" s="37"/>
    </row>
    <row r="7514" spans="1:7" ht="12" customHeight="1" outlineLevel="3" x14ac:dyDescent="0.2">
      <c r="A7514" s="14" t="s">
        <v>14788</v>
      </c>
      <c r="B7514" s="15" t="s">
        <v>14789</v>
      </c>
      <c r="C7514" s="16">
        <f>154.58/(1+B2)</f>
        <v>154.58000000000001</v>
      </c>
      <c r="D7514" s="17" t="s">
        <v>11</v>
      </c>
      <c r="E7514" s="17" t="s">
        <v>14</v>
      </c>
      <c r="F7514" s="18"/>
      <c r="G7514" s="36" t="str">
        <f>IF(ISNUMBER(F7514),C7514*F7514,"")</f>
        <v/>
      </c>
    </row>
    <row r="7515" spans="1:7" ht="12" customHeight="1" outlineLevel="3" x14ac:dyDescent="0.2">
      <c r="A7515" s="14" t="s">
        <v>14790</v>
      </c>
      <c r="B7515" s="15" t="s">
        <v>14791</v>
      </c>
      <c r="C7515" s="16">
        <f>225/(1+B2)</f>
        <v>225</v>
      </c>
      <c r="D7515" s="17" t="s">
        <v>11</v>
      </c>
      <c r="E7515" s="17" t="s">
        <v>53</v>
      </c>
      <c r="F7515" s="18"/>
      <c r="G7515" s="36" t="str">
        <f>IF(ISNUMBER(F7515),C7515*F7515,"")</f>
        <v/>
      </c>
    </row>
    <row r="7516" spans="1:7" ht="12" customHeight="1" outlineLevel="3" x14ac:dyDescent="0.2">
      <c r="A7516" s="14" t="s">
        <v>14792</v>
      </c>
      <c r="B7516" s="15" t="s">
        <v>14793</v>
      </c>
      <c r="C7516" s="16">
        <f>312.5/(1+B2)</f>
        <v>312.5</v>
      </c>
      <c r="D7516" s="17" t="s">
        <v>11</v>
      </c>
      <c r="E7516" s="17" t="s">
        <v>53</v>
      </c>
      <c r="F7516" s="18"/>
      <c r="G7516" s="36" t="str">
        <f>IF(ISNUMBER(F7516),C7516*F7516,"")</f>
        <v/>
      </c>
    </row>
    <row r="7517" spans="1:7" ht="12" customHeight="1" outlineLevel="3" x14ac:dyDescent="0.2">
      <c r="A7517" s="14" t="s">
        <v>14794</v>
      </c>
      <c r="B7517" s="15" t="s">
        <v>14795</v>
      </c>
      <c r="C7517" s="16">
        <f>401.25/(1+B2)</f>
        <v>401.25</v>
      </c>
      <c r="D7517" s="17" t="s">
        <v>11</v>
      </c>
      <c r="E7517" s="17"/>
      <c r="F7517" s="18"/>
      <c r="G7517" s="36" t="str">
        <f>IF(ISNUMBER(F7517),C7517*F7517,"")</f>
        <v/>
      </c>
    </row>
    <row r="7518" spans="1:7" ht="12" customHeight="1" outlineLevel="3" x14ac:dyDescent="0.2">
      <c r="A7518" s="14" t="s">
        <v>14796</v>
      </c>
      <c r="B7518" s="15" t="s">
        <v>14797</v>
      </c>
      <c r="C7518" s="16">
        <f>125/(1+B2)</f>
        <v>125</v>
      </c>
      <c r="D7518" s="17" t="s">
        <v>11</v>
      </c>
      <c r="E7518" s="17" t="s">
        <v>53</v>
      </c>
      <c r="F7518" s="18"/>
      <c r="G7518" s="36" t="str">
        <f>IF(ISNUMBER(F7518),C7518*F7518,"")</f>
        <v/>
      </c>
    </row>
    <row r="7519" spans="1:7" ht="12" customHeight="1" outlineLevel="3" x14ac:dyDescent="0.2">
      <c r="A7519" s="14" t="s">
        <v>14798</v>
      </c>
      <c r="B7519" s="15" t="s">
        <v>14799</v>
      </c>
      <c r="C7519" s="16">
        <f>226.25/(1+B2)</f>
        <v>226.25</v>
      </c>
      <c r="D7519" s="17" t="s">
        <v>11</v>
      </c>
      <c r="E7519" s="17"/>
      <c r="F7519" s="18"/>
      <c r="G7519" s="36" t="str">
        <f>IF(ISNUMBER(F7519),C7519*F7519,"")</f>
        <v/>
      </c>
    </row>
    <row r="7520" spans="1:7" ht="12" customHeight="1" outlineLevel="3" x14ac:dyDescent="0.2">
      <c r="A7520" s="14" t="s">
        <v>14800</v>
      </c>
      <c r="B7520" s="15" t="s">
        <v>14801</v>
      </c>
      <c r="C7520" s="16">
        <f>538.75/(1+B2)</f>
        <v>538.75</v>
      </c>
      <c r="D7520" s="17" t="s">
        <v>11</v>
      </c>
      <c r="E7520" s="17" t="s">
        <v>11</v>
      </c>
      <c r="F7520" s="18"/>
      <c r="G7520" s="36" t="str">
        <f>IF(ISNUMBER(F7520),C7520*F7520,"")</f>
        <v/>
      </c>
    </row>
    <row r="7521" spans="1:7" ht="12" customHeight="1" outlineLevel="3" x14ac:dyDescent="0.2">
      <c r="A7521" s="14" t="s">
        <v>14802</v>
      </c>
      <c r="B7521" s="15" t="s">
        <v>14803</v>
      </c>
      <c r="C7521" s="16">
        <f>176.25/(1+B2)</f>
        <v>176.25</v>
      </c>
      <c r="D7521" s="17" t="s">
        <v>11</v>
      </c>
      <c r="E7521" s="17" t="s">
        <v>14</v>
      </c>
      <c r="F7521" s="18"/>
      <c r="G7521" s="36" t="str">
        <f>IF(ISNUMBER(F7521),C7521*F7521,"")</f>
        <v/>
      </c>
    </row>
    <row r="7522" spans="1:7" ht="12" customHeight="1" outlineLevel="3" x14ac:dyDescent="0.2">
      <c r="A7522" s="14" t="s">
        <v>14804</v>
      </c>
      <c r="B7522" s="15" t="s">
        <v>14805</v>
      </c>
      <c r="C7522" s="16">
        <f>216.25/(1+B2)</f>
        <v>216.25</v>
      </c>
      <c r="D7522" s="17" t="s">
        <v>11</v>
      </c>
      <c r="E7522" s="17" t="s">
        <v>11</v>
      </c>
      <c r="F7522" s="18"/>
      <c r="G7522" s="36" t="str">
        <f>IF(ISNUMBER(F7522),C7522*F7522,"")</f>
        <v/>
      </c>
    </row>
    <row r="7523" spans="1:7" ht="12" customHeight="1" outlineLevel="3" x14ac:dyDescent="0.2">
      <c r="A7523" s="14" t="s">
        <v>14806</v>
      </c>
      <c r="B7523" s="15" t="s">
        <v>14807</v>
      </c>
      <c r="C7523" s="16">
        <f>116.25/(1+B2)</f>
        <v>116.25</v>
      </c>
      <c r="D7523" s="17" t="s">
        <v>11</v>
      </c>
      <c r="E7523" s="17" t="s">
        <v>53</v>
      </c>
      <c r="F7523" s="18"/>
      <c r="G7523" s="36" t="str">
        <f>IF(ISNUMBER(F7523),C7523*F7523,"")</f>
        <v/>
      </c>
    </row>
    <row r="7524" spans="1:7" ht="12" customHeight="1" outlineLevel="3" x14ac:dyDescent="0.2">
      <c r="A7524" s="14" t="s">
        <v>14808</v>
      </c>
      <c r="B7524" s="15" t="s">
        <v>14809</v>
      </c>
      <c r="C7524" s="16">
        <f>123.75/(1+B2)</f>
        <v>123.75</v>
      </c>
      <c r="D7524" s="17" t="s">
        <v>11</v>
      </c>
      <c r="E7524" s="17" t="s">
        <v>53</v>
      </c>
      <c r="F7524" s="18"/>
      <c r="G7524" s="36" t="str">
        <f>IF(ISNUMBER(F7524),C7524*F7524,"")</f>
        <v/>
      </c>
    </row>
    <row r="7525" spans="1:7" ht="12" customHeight="1" outlineLevel="3" x14ac:dyDescent="0.2">
      <c r="A7525" s="14" t="s">
        <v>14810</v>
      </c>
      <c r="B7525" s="15" t="s">
        <v>14811</v>
      </c>
      <c r="C7525" s="16">
        <f>130/(1+B2)</f>
        <v>130</v>
      </c>
      <c r="D7525" s="17" t="s">
        <v>11</v>
      </c>
      <c r="E7525" s="17" t="s">
        <v>53</v>
      </c>
      <c r="F7525" s="18"/>
      <c r="G7525" s="36" t="str">
        <f>IF(ISNUMBER(F7525),C7525*F7525,"")</f>
        <v/>
      </c>
    </row>
    <row r="7526" spans="1:7" ht="12" customHeight="1" outlineLevel="3" x14ac:dyDescent="0.2">
      <c r="A7526" s="14" t="s">
        <v>14812</v>
      </c>
      <c r="B7526" s="15" t="s">
        <v>14813</v>
      </c>
      <c r="C7526" s="16">
        <f>161.25/(1+B2)</f>
        <v>161.25</v>
      </c>
      <c r="D7526" s="17" t="s">
        <v>11</v>
      </c>
      <c r="E7526" s="17" t="s">
        <v>53</v>
      </c>
      <c r="F7526" s="18"/>
      <c r="G7526" s="36" t="str">
        <f>IF(ISNUMBER(F7526),C7526*F7526,"")</f>
        <v/>
      </c>
    </row>
    <row r="7527" spans="1:7" ht="12" customHeight="1" outlineLevel="3" x14ac:dyDescent="0.2">
      <c r="A7527" s="14" t="s">
        <v>14814</v>
      </c>
      <c r="B7527" s="15" t="s">
        <v>14815</v>
      </c>
      <c r="C7527" s="16">
        <f>216.25/(1+B2)</f>
        <v>216.25</v>
      </c>
      <c r="D7527" s="17" t="s">
        <v>11</v>
      </c>
      <c r="E7527" s="17" t="s">
        <v>53</v>
      </c>
      <c r="F7527" s="18"/>
      <c r="G7527" s="36" t="str">
        <f>IF(ISNUMBER(F7527),C7527*F7527,"")</f>
        <v/>
      </c>
    </row>
    <row r="7528" spans="1:7" ht="12" customHeight="1" outlineLevel="3" x14ac:dyDescent="0.2">
      <c r="A7528" s="14" t="s">
        <v>14816</v>
      </c>
      <c r="B7528" s="15" t="s">
        <v>14817</v>
      </c>
      <c r="C7528" s="16">
        <f>228.75/(1+B2)</f>
        <v>228.75</v>
      </c>
      <c r="D7528" s="17" t="s">
        <v>11</v>
      </c>
      <c r="E7528" s="17"/>
      <c r="F7528" s="18"/>
      <c r="G7528" s="36" t="str">
        <f>IF(ISNUMBER(F7528),C7528*F7528,"")</f>
        <v/>
      </c>
    </row>
    <row r="7529" spans="1:7" ht="12" customHeight="1" outlineLevel="3" x14ac:dyDescent="0.2">
      <c r="A7529" s="14" t="s">
        <v>14818</v>
      </c>
      <c r="B7529" s="15" t="s">
        <v>14819</v>
      </c>
      <c r="C7529" s="16">
        <f>272.5/(1+B2)</f>
        <v>272.5</v>
      </c>
      <c r="D7529" s="17" t="s">
        <v>11</v>
      </c>
      <c r="E7529" s="17" t="s">
        <v>53</v>
      </c>
      <c r="F7529" s="18"/>
      <c r="G7529" s="36" t="str">
        <f>IF(ISNUMBER(F7529),C7529*F7529,"")</f>
        <v/>
      </c>
    </row>
    <row r="7530" spans="1:7" ht="24" customHeight="1" outlineLevel="3" x14ac:dyDescent="0.2">
      <c r="A7530" s="14" t="s">
        <v>14820</v>
      </c>
      <c r="B7530" s="15" t="s">
        <v>14821</v>
      </c>
      <c r="C7530" s="16">
        <f>193.75/(1+B2)</f>
        <v>193.75</v>
      </c>
      <c r="D7530" s="17" t="s">
        <v>11</v>
      </c>
      <c r="E7530" s="17" t="s">
        <v>53</v>
      </c>
      <c r="F7530" s="18"/>
      <c r="G7530" s="36" t="str">
        <f>IF(ISNUMBER(F7530),C7530*F7530,"")</f>
        <v/>
      </c>
    </row>
    <row r="7531" spans="1:7" ht="24" customHeight="1" outlineLevel="3" x14ac:dyDescent="0.2">
      <c r="A7531" s="14" t="s">
        <v>14822</v>
      </c>
      <c r="B7531" s="15" t="s">
        <v>14823</v>
      </c>
      <c r="C7531" s="16">
        <f>212.5/(1+B2)</f>
        <v>212.5</v>
      </c>
      <c r="D7531" s="17" t="s">
        <v>11</v>
      </c>
      <c r="E7531" s="17" t="s">
        <v>14</v>
      </c>
      <c r="F7531" s="18"/>
      <c r="G7531" s="36" t="str">
        <f>IF(ISNUMBER(F7531),C7531*F7531,"")</f>
        <v/>
      </c>
    </row>
    <row r="7532" spans="1:7" ht="12" customHeight="1" outlineLevel="3" x14ac:dyDescent="0.2">
      <c r="A7532" s="14" t="s">
        <v>14824</v>
      </c>
      <c r="B7532" s="15" t="s">
        <v>14825</v>
      </c>
      <c r="C7532" s="16">
        <f>237.5/(1+B2)</f>
        <v>237.5</v>
      </c>
      <c r="D7532" s="17" t="s">
        <v>11</v>
      </c>
      <c r="E7532" s="17" t="s">
        <v>14</v>
      </c>
      <c r="F7532" s="18"/>
      <c r="G7532" s="36" t="str">
        <f>IF(ISNUMBER(F7532),C7532*F7532,"")</f>
        <v/>
      </c>
    </row>
    <row r="7533" spans="1:7" ht="12" customHeight="1" outlineLevel="3" x14ac:dyDescent="0.2">
      <c r="A7533" s="14" t="s">
        <v>14826</v>
      </c>
      <c r="B7533" s="15" t="s">
        <v>14827</v>
      </c>
      <c r="C7533" s="16">
        <f>292.5/(1+B2)</f>
        <v>292.5</v>
      </c>
      <c r="D7533" s="17" t="s">
        <v>11</v>
      </c>
      <c r="E7533" s="17" t="s">
        <v>14</v>
      </c>
      <c r="F7533" s="18"/>
      <c r="G7533" s="36" t="str">
        <f>IF(ISNUMBER(F7533),C7533*F7533,"")</f>
        <v/>
      </c>
    </row>
    <row r="7534" spans="1:7" ht="12" customHeight="1" outlineLevel="3" x14ac:dyDescent="0.2">
      <c r="A7534" s="14" t="s">
        <v>14828</v>
      </c>
      <c r="B7534" s="15" t="s">
        <v>14829</v>
      </c>
      <c r="C7534" s="16">
        <f>207.14/(1+B2)</f>
        <v>207.14</v>
      </c>
      <c r="D7534" s="17" t="s">
        <v>11</v>
      </c>
      <c r="E7534" s="17" t="s">
        <v>11</v>
      </c>
      <c r="F7534" s="18"/>
      <c r="G7534" s="36" t="str">
        <f>IF(ISNUMBER(F7534),C7534*F7534,"")</f>
        <v/>
      </c>
    </row>
    <row r="7535" spans="1:7" ht="12" customHeight="1" outlineLevel="3" x14ac:dyDescent="0.2">
      <c r="A7535" s="14" t="s">
        <v>14830</v>
      </c>
      <c r="B7535" s="15" t="s">
        <v>14831</v>
      </c>
      <c r="C7535" s="16">
        <f>113.75/(1+B2)</f>
        <v>113.75</v>
      </c>
      <c r="D7535" s="17" t="s">
        <v>11</v>
      </c>
      <c r="E7535" s="17" t="s">
        <v>106</v>
      </c>
      <c r="F7535" s="18"/>
      <c r="G7535" s="36" t="str">
        <f>IF(ISNUMBER(F7535),C7535*F7535,"")</f>
        <v/>
      </c>
    </row>
    <row r="7536" spans="1:7" ht="12" customHeight="1" outlineLevel="3" x14ac:dyDescent="0.2">
      <c r="A7536" s="14" t="s">
        <v>14832</v>
      </c>
      <c r="B7536" s="15" t="s">
        <v>14833</v>
      </c>
      <c r="C7536" s="16">
        <f>125/(1+B2)</f>
        <v>125</v>
      </c>
      <c r="D7536" s="17" t="s">
        <v>11</v>
      </c>
      <c r="E7536" s="17" t="s">
        <v>53</v>
      </c>
      <c r="F7536" s="18"/>
      <c r="G7536" s="36" t="str">
        <f>IF(ISNUMBER(F7536),C7536*F7536,"")</f>
        <v/>
      </c>
    </row>
    <row r="7537" spans="1:7" ht="12" customHeight="1" outlineLevel="3" x14ac:dyDescent="0.2">
      <c r="A7537" s="14" t="s">
        <v>14834</v>
      </c>
      <c r="B7537" s="15" t="s">
        <v>14835</v>
      </c>
      <c r="C7537" s="16">
        <f>150/(1+B2)</f>
        <v>150</v>
      </c>
      <c r="D7537" s="17" t="s">
        <v>11</v>
      </c>
      <c r="E7537" s="17" t="s">
        <v>53</v>
      </c>
      <c r="F7537" s="18"/>
      <c r="G7537" s="36" t="str">
        <f>IF(ISNUMBER(F7537),C7537*F7537,"")</f>
        <v/>
      </c>
    </row>
    <row r="7538" spans="1:7" ht="12" customHeight="1" outlineLevel="3" x14ac:dyDescent="0.2">
      <c r="A7538" s="14" t="s">
        <v>14836</v>
      </c>
      <c r="B7538" s="15" t="s">
        <v>14837</v>
      </c>
      <c r="C7538" s="16">
        <f>193.75/(1+B2)</f>
        <v>193.75</v>
      </c>
      <c r="D7538" s="17" t="s">
        <v>11</v>
      </c>
      <c r="E7538" s="17" t="s">
        <v>53</v>
      </c>
      <c r="F7538" s="18"/>
      <c r="G7538" s="36" t="str">
        <f>IF(ISNUMBER(F7538),C7538*F7538,"")</f>
        <v/>
      </c>
    </row>
    <row r="7539" spans="1:7" ht="12" customHeight="1" outlineLevel="3" x14ac:dyDescent="0.2">
      <c r="A7539" s="14" t="s">
        <v>14838</v>
      </c>
      <c r="B7539" s="15" t="s">
        <v>14839</v>
      </c>
      <c r="C7539" s="16">
        <f>237.5/(1+B2)</f>
        <v>237.5</v>
      </c>
      <c r="D7539" s="17" t="s">
        <v>11</v>
      </c>
      <c r="E7539" s="17" t="s">
        <v>53</v>
      </c>
      <c r="F7539" s="18"/>
      <c r="G7539" s="36" t="str">
        <f>IF(ISNUMBER(F7539),C7539*F7539,"")</f>
        <v/>
      </c>
    </row>
    <row r="7540" spans="1:7" ht="12" customHeight="1" outlineLevel="3" x14ac:dyDescent="0.2">
      <c r="A7540" s="14" t="s">
        <v>14840</v>
      </c>
      <c r="B7540" s="15" t="s">
        <v>14841</v>
      </c>
      <c r="C7540" s="16">
        <f>103.75/(1+B2)</f>
        <v>103.75</v>
      </c>
      <c r="D7540" s="17" t="s">
        <v>11</v>
      </c>
      <c r="E7540" s="17" t="s">
        <v>11</v>
      </c>
      <c r="F7540" s="18"/>
      <c r="G7540" s="36" t="str">
        <f>IF(ISNUMBER(F7540),C7540*F7540,"")</f>
        <v/>
      </c>
    </row>
    <row r="7541" spans="1:7" ht="12" customHeight="1" outlineLevel="3" x14ac:dyDescent="0.2">
      <c r="A7541" s="14" t="s">
        <v>14842</v>
      </c>
      <c r="B7541" s="15" t="s">
        <v>14843</v>
      </c>
      <c r="C7541" s="16">
        <f>115/(1+B2)</f>
        <v>115</v>
      </c>
      <c r="D7541" s="17" t="s">
        <v>11</v>
      </c>
      <c r="E7541" s="17" t="s">
        <v>53</v>
      </c>
      <c r="F7541" s="18"/>
      <c r="G7541" s="36" t="str">
        <f>IF(ISNUMBER(F7541),C7541*F7541,"")</f>
        <v/>
      </c>
    </row>
    <row r="7542" spans="1:7" ht="12" customHeight="1" outlineLevel="3" x14ac:dyDescent="0.2">
      <c r="A7542" s="14" t="s">
        <v>14844</v>
      </c>
      <c r="B7542" s="15" t="s">
        <v>14845</v>
      </c>
      <c r="C7542" s="16">
        <f>183.75/(1+B2)</f>
        <v>183.75</v>
      </c>
      <c r="D7542" s="17" t="s">
        <v>11</v>
      </c>
      <c r="E7542" s="17" t="s">
        <v>53</v>
      </c>
      <c r="F7542" s="18"/>
      <c r="G7542" s="36" t="str">
        <f>IF(ISNUMBER(F7542),C7542*F7542,"")</f>
        <v/>
      </c>
    </row>
    <row r="7543" spans="1:7" ht="12" customHeight="1" outlineLevel="3" x14ac:dyDescent="0.2">
      <c r="A7543" s="14" t="s">
        <v>14846</v>
      </c>
      <c r="B7543" s="15" t="s">
        <v>14847</v>
      </c>
      <c r="C7543" s="16">
        <f>228.75/(1+B2)</f>
        <v>228.75</v>
      </c>
      <c r="D7543" s="17" t="s">
        <v>11</v>
      </c>
      <c r="E7543" s="17" t="s">
        <v>14</v>
      </c>
      <c r="F7543" s="18"/>
      <c r="G7543" s="36" t="str">
        <f>IF(ISNUMBER(F7543),C7543*F7543,"")</f>
        <v/>
      </c>
    </row>
    <row r="7544" spans="1:7" s="1" customFormat="1" ht="12.95" customHeight="1" outlineLevel="2" x14ac:dyDescent="0.2">
      <c r="A7544" s="20"/>
      <c r="B7544" s="21" t="s">
        <v>14848</v>
      </c>
      <c r="C7544" s="22"/>
      <c r="D7544" s="22"/>
      <c r="E7544" s="22"/>
      <c r="F7544" s="22"/>
      <c r="G7544" s="37"/>
    </row>
    <row r="7545" spans="1:7" ht="12" customHeight="1" outlineLevel="3" x14ac:dyDescent="0.2">
      <c r="A7545" s="14" t="s">
        <v>14849</v>
      </c>
      <c r="B7545" s="15" t="s">
        <v>14850</v>
      </c>
      <c r="C7545" s="19">
        <f>1419.06/(1+B2)</f>
        <v>1419.06</v>
      </c>
      <c r="D7545" s="17" t="s">
        <v>11</v>
      </c>
      <c r="E7545" s="17"/>
      <c r="F7545" s="18"/>
      <c r="G7545" s="36" t="str">
        <f>IF(ISNUMBER(F7545),C7545*F7545,"")</f>
        <v/>
      </c>
    </row>
    <row r="7546" spans="1:7" ht="12" customHeight="1" outlineLevel="3" x14ac:dyDescent="0.2">
      <c r="A7546" s="14" t="s">
        <v>14851</v>
      </c>
      <c r="B7546" s="15" t="s">
        <v>14852</v>
      </c>
      <c r="C7546" s="19">
        <f>1859.07/(1+B2)</f>
        <v>1859.07</v>
      </c>
      <c r="D7546" s="17" t="s">
        <v>11</v>
      </c>
      <c r="E7546" s="17"/>
      <c r="F7546" s="18"/>
      <c r="G7546" s="36" t="str">
        <f>IF(ISNUMBER(F7546),C7546*F7546,"")</f>
        <v/>
      </c>
    </row>
    <row r="7547" spans="1:7" ht="12" customHeight="1" outlineLevel="3" x14ac:dyDescent="0.2">
      <c r="A7547" s="14" t="s">
        <v>14853</v>
      </c>
      <c r="B7547" s="15" t="s">
        <v>14854</v>
      </c>
      <c r="C7547" s="19">
        <f>2069.08/(1+B2)</f>
        <v>2069.08</v>
      </c>
      <c r="D7547" s="17" t="s">
        <v>11</v>
      </c>
      <c r="E7547" s="17" t="s">
        <v>11</v>
      </c>
      <c r="F7547" s="18"/>
      <c r="G7547" s="36" t="str">
        <f>IF(ISNUMBER(F7547),C7547*F7547,"")</f>
        <v/>
      </c>
    </row>
    <row r="7548" spans="1:7" ht="12" customHeight="1" outlineLevel="3" x14ac:dyDescent="0.2">
      <c r="A7548" s="14" t="s">
        <v>14855</v>
      </c>
      <c r="B7548" s="15" t="s">
        <v>14856</v>
      </c>
      <c r="C7548" s="19">
        <f>2046.08/(1+B2)</f>
        <v>2046.08</v>
      </c>
      <c r="D7548" s="17" t="s">
        <v>11</v>
      </c>
      <c r="E7548" s="17"/>
      <c r="F7548" s="18"/>
      <c r="G7548" s="36" t="str">
        <f>IF(ISNUMBER(F7548),C7548*F7548,"")</f>
        <v/>
      </c>
    </row>
    <row r="7549" spans="1:7" ht="12" customHeight="1" outlineLevel="3" x14ac:dyDescent="0.2">
      <c r="A7549" s="14" t="s">
        <v>14857</v>
      </c>
      <c r="B7549" s="15" t="s">
        <v>14858</v>
      </c>
      <c r="C7549" s="19">
        <f>2928.27/(1+B2)</f>
        <v>2928.27</v>
      </c>
      <c r="D7549" s="17" t="s">
        <v>11</v>
      </c>
      <c r="E7549" s="17"/>
      <c r="F7549" s="18"/>
      <c r="G7549" s="36" t="str">
        <f>IF(ISNUMBER(F7549),C7549*F7549,"")</f>
        <v/>
      </c>
    </row>
    <row r="7550" spans="1:7" ht="12" customHeight="1" outlineLevel="3" x14ac:dyDescent="0.2">
      <c r="A7550" s="14" t="s">
        <v>14859</v>
      </c>
      <c r="B7550" s="15" t="s">
        <v>14860</v>
      </c>
      <c r="C7550" s="19">
        <f>3130.77/(1+B2)</f>
        <v>3130.77</v>
      </c>
      <c r="D7550" s="17" t="s">
        <v>11</v>
      </c>
      <c r="E7550" s="17" t="s">
        <v>11</v>
      </c>
      <c r="F7550" s="18"/>
      <c r="G7550" s="36" t="str">
        <f>IF(ISNUMBER(F7550),C7550*F7550,"")</f>
        <v/>
      </c>
    </row>
    <row r="7551" spans="1:7" ht="12" customHeight="1" outlineLevel="3" x14ac:dyDescent="0.2">
      <c r="A7551" s="14" t="s">
        <v>14861</v>
      </c>
      <c r="B7551" s="15" t="s">
        <v>14862</v>
      </c>
      <c r="C7551" s="19">
        <f>3265.77/(1+B2)</f>
        <v>3265.77</v>
      </c>
      <c r="D7551" s="17" t="s">
        <v>11</v>
      </c>
      <c r="E7551" s="17"/>
      <c r="F7551" s="18"/>
      <c r="G7551" s="36" t="str">
        <f>IF(ISNUMBER(F7551),C7551*F7551,"")</f>
        <v/>
      </c>
    </row>
    <row r="7552" spans="1:7" ht="12" customHeight="1" outlineLevel="3" x14ac:dyDescent="0.2">
      <c r="A7552" s="14" t="s">
        <v>14863</v>
      </c>
      <c r="B7552" s="15" t="s">
        <v>14864</v>
      </c>
      <c r="C7552" s="19">
        <f>1699.72/(1+B2)</f>
        <v>1699.72</v>
      </c>
      <c r="D7552" s="17" t="s">
        <v>11</v>
      </c>
      <c r="E7552" s="17"/>
      <c r="F7552" s="18"/>
      <c r="G7552" s="36" t="str">
        <f>IF(ISNUMBER(F7552),C7552*F7552,"")</f>
        <v/>
      </c>
    </row>
    <row r="7553" spans="1:7" ht="12" customHeight="1" outlineLevel="3" x14ac:dyDescent="0.2">
      <c r="A7553" s="14" t="s">
        <v>14865</v>
      </c>
      <c r="B7553" s="15" t="s">
        <v>14866</v>
      </c>
      <c r="C7553" s="19">
        <f>2887.77/(1+B2)</f>
        <v>2887.77</v>
      </c>
      <c r="D7553" s="17" t="s">
        <v>11</v>
      </c>
      <c r="E7553" s="17"/>
      <c r="F7553" s="18"/>
      <c r="G7553" s="36" t="str">
        <f>IF(ISNUMBER(F7553),C7553*F7553,"")</f>
        <v/>
      </c>
    </row>
    <row r="7554" spans="1:7" ht="12" customHeight="1" outlineLevel="3" x14ac:dyDescent="0.2">
      <c r="A7554" s="14" t="s">
        <v>14867</v>
      </c>
      <c r="B7554" s="15" t="s">
        <v>14868</v>
      </c>
      <c r="C7554" s="19">
        <f>2119.08/(1+B2)</f>
        <v>2119.08</v>
      </c>
      <c r="D7554" s="17" t="s">
        <v>11</v>
      </c>
      <c r="E7554" s="17"/>
      <c r="F7554" s="18"/>
      <c r="G7554" s="36" t="str">
        <f>IF(ISNUMBER(F7554),C7554*F7554,"")</f>
        <v/>
      </c>
    </row>
    <row r="7555" spans="1:7" ht="12" customHeight="1" outlineLevel="3" x14ac:dyDescent="0.2">
      <c r="A7555" s="14" t="s">
        <v>14869</v>
      </c>
      <c r="B7555" s="15" t="s">
        <v>14870</v>
      </c>
      <c r="C7555" s="19">
        <f>1025/(1+B2)</f>
        <v>1025</v>
      </c>
      <c r="D7555" s="17" t="s">
        <v>11</v>
      </c>
      <c r="E7555" s="17"/>
      <c r="F7555" s="18"/>
      <c r="G7555" s="36" t="str">
        <f>IF(ISNUMBER(F7555),C7555*F7555,"")</f>
        <v/>
      </c>
    </row>
    <row r="7556" spans="1:7" ht="12" customHeight="1" outlineLevel="3" x14ac:dyDescent="0.2">
      <c r="A7556" s="14" t="s">
        <v>14871</v>
      </c>
      <c r="B7556" s="15" t="s">
        <v>14872</v>
      </c>
      <c r="C7556" s="16">
        <f>739.03/(1+B2)</f>
        <v>739.03</v>
      </c>
      <c r="D7556" s="17"/>
      <c r="E7556" s="17" t="s">
        <v>11</v>
      </c>
      <c r="F7556" s="18"/>
      <c r="G7556" s="36" t="str">
        <f>IF(ISNUMBER(F7556),C7556*F7556,"")</f>
        <v/>
      </c>
    </row>
    <row r="7557" spans="1:7" ht="12" customHeight="1" outlineLevel="3" x14ac:dyDescent="0.2">
      <c r="A7557" s="14" t="s">
        <v>14873</v>
      </c>
      <c r="B7557" s="15" t="s">
        <v>14874</v>
      </c>
      <c r="C7557" s="16">
        <f>559.02/(1+B2)</f>
        <v>559.02</v>
      </c>
      <c r="D7557" s="17" t="s">
        <v>11</v>
      </c>
      <c r="E7557" s="17"/>
      <c r="F7557" s="18"/>
      <c r="G7557" s="36" t="str">
        <f>IF(ISNUMBER(F7557),C7557*F7557,"")</f>
        <v/>
      </c>
    </row>
    <row r="7558" spans="1:7" ht="12" customHeight="1" outlineLevel="3" x14ac:dyDescent="0.2">
      <c r="A7558" s="14" t="s">
        <v>14875</v>
      </c>
      <c r="B7558" s="15" t="s">
        <v>14876</v>
      </c>
      <c r="C7558" s="16">
        <f>559.02/(1+B2)</f>
        <v>559.02</v>
      </c>
      <c r="D7558" s="17" t="s">
        <v>11</v>
      </c>
      <c r="E7558" s="17"/>
      <c r="F7558" s="18"/>
      <c r="G7558" s="36" t="str">
        <f>IF(ISNUMBER(F7558),C7558*F7558,"")</f>
        <v/>
      </c>
    </row>
    <row r="7559" spans="1:7" ht="12" customHeight="1" outlineLevel="3" x14ac:dyDescent="0.2">
      <c r="A7559" s="14" t="s">
        <v>14877</v>
      </c>
      <c r="B7559" s="15" t="s">
        <v>14878</v>
      </c>
      <c r="C7559" s="19">
        <f>1579.06/(1+B2)</f>
        <v>1579.06</v>
      </c>
      <c r="D7559" s="17" t="s">
        <v>11</v>
      </c>
      <c r="E7559" s="17"/>
      <c r="F7559" s="18"/>
      <c r="G7559" s="36" t="str">
        <f>IF(ISNUMBER(F7559),C7559*F7559,"")</f>
        <v/>
      </c>
    </row>
    <row r="7560" spans="1:7" ht="12" customHeight="1" outlineLevel="3" x14ac:dyDescent="0.2">
      <c r="A7560" s="14" t="s">
        <v>14879</v>
      </c>
      <c r="B7560" s="15" t="s">
        <v>14880</v>
      </c>
      <c r="C7560" s="19">
        <f>1579.06/(1+B2)</f>
        <v>1579.06</v>
      </c>
      <c r="D7560" s="17" t="s">
        <v>11</v>
      </c>
      <c r="E7560" s="17"/>
      <c r="F7560" s="18"/>
      <c r="G7560" s="36" t="str">
        <f>IF(ISNUMBER(F7560),C7560*F7560,"")</f>
        <v/>
      </c>
    </row>
    <row r="7561" spans="1:7" ht="12" customHeight="1" outlineLevel="3" x14ac:dyDescent="0.2">
      <c r="A7561" s="14" t="s">
        <v>14881</v>
      </c>
      <c r="B7561" s="15" t="s">
        <v>14882</v>
      </c>
      <c r="C7561" s="16">
        <f>969.04/(1+B2)</f>
        <v>969.04</v>
      </c>
      <c r="D7561" s="17" t="s">
        <v>11</v>
      </c>
      <c r="E7561" s="17"/>
      <c r="F7561" s="18"/>
      <c r="G7561" s="36" t="str">
        <f>IF(ISNUMBER(F7561),C7561*F7561,"")</f>
        <v/>
      </c>
    </row>
    <row r="7562" spans="1:7" ht="12" customHeight="1" outlineLevel="3" x14ac:dyDescent="0.2">
      <c r="A7562" s="14" t="s">
        <v>14883</v>
      </c>
      <c r="B7562" s="15" t="s">
        <v>14884</v>
      </c>
      <c r="C7562" s="19">
        <f>1039.04/(1+B2)</f>
        <v>1039.04</v>
      </c>
      <c r="D7562" s="17" t="s">
        <v>11</v>
      </c>
      <c r="E7562" s="17"/>
      <c r="F7562" s="18"/>
      <c r="G7562" s="36" t="str">
        <f>IF(ISNUMBER(F7562),C7562*F7562,"")</f>
        <v/>
      </c>
    </row>
    <row r="7563" spans="1:7" ht="12" customHeight="1" outlineLevel="3" x14ac:dyDescent="0.2">
      <c r="A7563" s="14" t="s">
        <v>14885</v>
      </c>
      <c r="B7563" s="15" t="s">
        <v>14886</v>
      </c>
      <c r="C7563" s="16">
        <f>559.02/(1+B2)</f>
        <v>559.02</v>
      </c>
      <c r="D7563" s="17" t="s">
        <v>11</v>
      </c>
      <c r="E7563" s="17"/>
      <c r="F7563" s="18"/>
      <c r="G7563" s="36" t="str">
        <f>IF(ISNUMBER(F7563),C7563*F7563,"")</f>
        <v/>
      </c>
    </row>
    <row r="7564" spans="1:7" ht="12" customHeight="1" outlineLevel="3" x14ac:dyDescent="0.2">
      <c r="A7564" s="14" t="s">
        <v>14887</v>
      </c>
      <c r="B7564" s="15" t="s">
        <v>14888</v>
      </c>
      <c r="C7564" s="19">
        <f>1619.06/(1+B2)</f>
        <v>1619.06</v>
      </c>
      <c r="D7564" s="17" t="s">
        <v>11</v>
      </c>
      <c r="E7564" s="17"/>
      <c r="F7564" s="18"/>
      <c r="G7564" s="36" t="str">
        <f>IF(ISNUMBER(F7564),C7564*F7564,"")</f>
        <v/>
      </c>
    </row>
    <row r="7565" spans="1:7" ht="12" customHeight="1" outlineLevel="3" x14ac:dyDescent="0.2">
      <c r="A7565" s="14" t="s">
        <v>14889</v>
      </c>
      <c r="B7565" s="15" t="s">
        <v>14890</v>
      </c>
      <c r="C7565" s="16">
        <f>815.33/(1+B2)</f>
        <v>815.33</v>
      </c>
      <c r="D7565" s="17" t="s">
        <v>11</v>
      </c>
      <c r="E7565" s="17" t="s">
        <v>53</v>
      </c>
      <c r="F7565" s="18"/>
      <c r="G7565" s="36" t="str">
        <f>IF(ISNUMBER(F7565),C7565*F7565,"")</f>
        <v/>
      </c>
    </row>
    <row r="7566" spans="1:7" ht="12" customHeight="1" outlineLevel="3" x14ac:dyDescent="0.2">
      <c r="A7566" s="14" t="s">
        <v>14891</v>
      </c>
      <c r="B7566" s="15" t="s">
        <v>14892</v>
      </c>
      <c r="C7566" s="16">
        <f>628.95/(1+B2)</f>
        <v>628.95000000000005</v>
      </c>
      <c r="D7566" s="17" t="s">
        <v>11</v>
      </c>
      <c r="E7566" s="17" t="s">
        <v>53</v>
      </c>
      <c r="F7566" s="18"/>
      <c r="G7566" s="36" t="str">
        <f>IF(ISNUMBER(F7566),C7566*F7566,"")</f>
        <v/>
      </c>
    </row>
    <row r="7567" spans="1:7" ht="12" customHeight="1" outlineLevel="3" x14ac:dyDescent="0.2">
      <c r="A7567" s="14" t="s">
        <v>14893</v>
      </c>
      <c r="B7567" s="15" t="s">
        <v>14894</v>
      </c>
      <c r="C7567" s="19">
        <f>1484.41/(1+B2)</f>
        <v>1484.41</v>
      </c>
      <c r="D7567" s="17" t="s">
        <v>11</v>
      </c>
      <c r="E7567" s="17" t="s">
        <v>11</v>
      </c>
      <c r="F7567" s="18"/>
      <c r="G7567" s="36" t="str">
        <f>IF(ISNUMBER(F7567),C7567*F7567,"")</f>
        <v/>
      </c>
    </row>
    <row r="7568" spans="1:7" ht="12" customHeight="1" outlineLevel="3" x14ac:dyDescent="0.2">
      <c r="A7568" s="14" t="s">
        <v>14895</v>
      </c>
      <c r="B7568" s="15" t="s">
        <v>14896</v>
      </c>
      <c r="C7568" s="19">
        <f>1194.99/(1+B2)</f>
        <v>1194.99</v>
      </c>
      <c r="D7568" s="17" t="s">
        <v>11</v>
      </c>
      <c r="E7568" s="17" t="s">
        <v>106</v>
      </c>
      <c r="F7568" s="18"/>
      <c r="G7568" s="36" t="str">
        <f>IF(ISNUMBER(F7568),C7568*F7568,"")</f>
        <v/>
      </c>
    </row>
    <row r="7569" spans="1:7" ht="12" customHeight="1" outlineLevel="3" x14ac:dyDescent="0.2">
      <c r="A7569" s="14" t="s">
        <v>14897</v>
      </c>
      <c r="B7569" s="15" t="s">
        <v>14898</v>
      </c>
      <c r="C7569" s="19">
        <f>2124.42/(1+B2)</f>
        <v>2124.42</v>
      </c>
      <c r="D7569" s="17" t="s">
        <v>11</v>
      </c>
      <c r="E7569" s="17" t="s">
        <v>11</v>
      </c>
      <c r="F7569" s="18"/>
      <c r="G7569" s="36" t="str">
        <f>IF(ISNUMBER(F7569),C7569*F7569,"")</f>
        <v/>
      </c>
    </row>
    <row r="7570" spans="1:7" ht="12" customHeight="1" outlineLevel="3" x14ac:dyDescent="0.2">
      <c r="A7570" s="14" t="s">
        <v>14899</v>
      </c>
      <c r="B7570" s="15" t="s">
        <v>14900</v>
      </c>
      <c r="C7570" s="16">
        <f>799.03/(1+B2)</f>
        <v>799.03</v>
      </c>
      <c r="D7570" s="17" t="s">
        <v>11</v>
      </c>
      <c r="E7570" s="17" t="s">
        <v>11</v>
      </c>
      <c r="F7570" s="18"/>
      <c r="G7570" s="36" t="str">
        <f>IF(ISNUMBER(F7570),C7570*F7570,"")</f>
        <v/>
      </c>
    </row>
    <row r="7571" spans="1:7" ht="12" customHeight="1" outlineLevel="3" x14ac:dyDescent="0.2">
      <c r="A7571" s="14" t="s">
        <v>14901</v>
      </c>
      <c r="B7571" s="15" t="s">
        <v>14902</v>
      </c>
      <c r="C7571" s="19">
        <f>1459.06/(1+B2)</f>
        <v>1459.06</v>
      </c>
      <c r="D7571" s="17" t="s">
        <v>11</v>
      </c>
      <c r="E7571" s="17"/>
      <c r="F7571" s="18"/>
      <c r="G7571" s="36" t="str">
        <f>IF(ISNUMBER(F7571),C7571*F7571,"")</f>
        <v/>
      </c>
    </row>
    <row r="7572" spans="1:7" ht="12" customHeight="1" outlineLevel="3" x14ac:dyDescent="0.2">
      <c r="A7572" s="14" t="s">
        <v>14903</v>
      </c>
      <c r="B7572" s="15" t="s">
        <v>14904</v>
      </c>
      <c r="C7572" s="19">
        <f>4101.46/(1+B2)</f>
        <v>4101.46</v>
      </c>
      <c r="D7572" s="17" t="s">
        <v>11</v>
      </c>
      <c r="E7572" s="17"/>
      <c r="F7572" s="18"/>
      <c r="G7572" s="36" t="str">
        <f>IF(ISNUMBER(F7572),C7572*F7572,"")</f>
        <v/>
      </c>
    </row>
    <row r="7573" spans="1:7" ht="12" customHeight="1" outlineLevel="3" x14ac:dyDescent="0.2">
      <c r="A7573" s="14" t="s">
        <v>14905</v>
      </c>
      <c r="B7573" s="15" t="s">
        <v>14906</v>
      </c>
      <c r="C7573" s="19">
        <f>4342.17/(1+B2)</f>
        <v>4342.17</v>
      </c>
      <c r="D7573" s="17" t="s">
        <v>11</v>
      </c>
      <c r="E7573" s="17"/>
      <c r="F7573" s="18"/>
      <c r="G7573" s="36" t="str">
        <f>IF(ISNUMBER(F7573),C7573*F7573,"")</f>
        <v/>
      </c>
    </row>
    <row r="7574" spans="1:7" ht="12" customHeight="1" outlineLevel="3" x14ac:dyDescent="0.2">
      <c r="A7574" s="14" t="s">
        <v>14907</v>
      </c>
      <c r="B7574" s="15" t="s">
        <v>14908</v>
      </c>
      <c r="C7574" s="16">
        <f>629.03/(1+B2)</f>
        <v>629.03</v>
      </c>
      <c r="D7574" s="17" t="s">
        <v>11</v>
      </c>
      <c r="E7574" s="17" t="s">
        <v>11</v>
      </c>
      <c r="F7574" s="18"/>
      <c r="G7574" s="36" t="str">
        <f>IF(ISNUMBER(F7574),C7574*F7574,"")</f>
        <v/>
      </c>
    </row>
    <row r="7575" spans="1:7" ht="12" customHeight="1" outlineLevel="3" x14ac:dyDescent="0.2">
      <c r="A7575" s="14" t="s">
        <v>14909</v>
      </c>
      <c r="B7575" s="15" t="s">
        <v>14910</v>
      </c>
      <c r="C7575" s="16">
        <f>619.02/(1+B2)</f>
        <v>619.02</v>
      </c>
      <c r="D7575" s="17" t="s">
        <v>11</v>
      </c>
      <c r="E7575" s="17"/>
      <c r="F7575" s="18"/>
      <c r="G7575" s="36" t="str">
        <f>IF(ISNUMBER(F7575),C7575*F7575,"")</f>
        <v/>
      </c>
    </row>
    <row r="7576" spans="1:7" ht="12" customHeight="1" outlineLevel="3" x14ac:dyDescent="0.2">
      <c r="A7576" s="14" t="s">
        <v>14911</v>
      </c>
      <c r="B7576" s="15" t="s">
        <v>14912</v>
      </c>
      <c r="C7576" s="19">
        <f>1149.05/(1+B2)</f>
        <v>1149.05</v>
      </c>
      <c r="D7576" s="17" t="s">
        <v>11</v>
      </c>
      <c r="E7576" s="17"/>
      <c r="F7576" s="18"/>
      <c r="G7576" s="36" t="str">
        <f>IF(ISNUMBER(F7576),C7576*F7576,"")</f>
        <v/>
      </c>
    </row>
    <row r="7577" spans="1:7" ht="12" customHeight="1" outlineLevel="3" x14ac:dyDescent="0.2">
      <c r="A7577" s="14" t="s">
        <v>14913</v>
      </c>
      <c r="B7577" s="15" t="s">
        <v>14914</v>
      </c>
      <c r="C7577" s="16">
        <f>612.5/(1+B2)</f>
        <v>612.5</v>
      </c>
      <c r="D7577" s="17" t="s">
        <v>11</v>
      </c>
      <c r="E7577" s="17"/>
      <c r="F7577" s="18"/>
      <c r="G7577" s="36" t="str">
        <f>IF(ISNUMBER(F7577),C7577*F7577,"")</f>
        <v/>
      </c>
    </row>
    <row r="7578" spans="1:7" ht="12" customHeight="1" outlineLevel="3" x14ac:dyDescent="0.2">
      <c r="A7578" s="14" t="s">
        <v>14915</v>
      </c>
      <c r="B7578" s="15" t="s">
        <v>14916</v>
      </c>
      <c r="C7578" s="19">
        <f>1297.5/(1+B2)</f>
        <v>1297.5</v>
      </c>
      <c r="D7578" s="17" t="s">
        <v>11</v>
      </c>
      <c r="E7578" s="17"/>
      <c r="F7578" s="18"/>
      <c r="G7578" s="36" t="str">
        <f>IF(ISNUMBER(F7578),C7578*F7578,"")</f>
        <v/>
      </c>
    </row>
    <row r="7579" spans="1:7" ht="12" customHeight="1" outlineLevel="3" x14ac:dyDescent="0.2">
      <c r="A7579" s="14" t="s">
        <v>14917</v>
      </c>
      <c r="B7579" s="15" t="s">
        <v>14918</v>
      </c>
      <c r="C7579" s="19">
        <f>2329.09/(1+B2)</f>
        <v>2329.09</v>
      </c>
      <c r="D7579" s="17" t="s">
        <v>11</v>
      </c>
      <c r="E7579" s="17"/>
      <c r="F7579" s="18"/>
      <c r="G7579" s="36" t="str">
        <f>IF(ISNUMBER(F7579),C7579*F7579,"")</f>
        <v/>
      </c>
    </row>
    <row r="7580" spans="1:7" ht="12" customHeight="1" outlineLevel="3" x14ac:dyDescent="0.2">
      <c r="A7580" s="14" t="s">
        <v>14919</v>
      </c>
      <c r="B7580" s="15" t="s">
        <v>14920</v>
      </c>
      <c r="C7580" s="16">
        <f>769.03/(1+B2)</f>
        <v>769.03</v>
      </c>
      <c r="D7580" s="17" t="s">
        <v>11</v>
      </c>
      <c r="E7580" s="17" t="s">
        <v>11</v>
      </c>
      <c r="F7580" s="18"/>
      <c r="G7580" s="36" t="str">
        <f>IF(ISNUMBER(F7580),C7580*F7580,"")</f>
        <v/>
      </c>
    </row>
    <row r="7581" spans="1:7" ht="12" customHeight="1" outlineLevel="3" x14ac:dyDescent="0.2">
      <c r="A7581" s="14" t="s">
        <v>14921</v>
      </c>
      <c r="B7581" s="15" t="s">
        <v>14922</v>
      </c>
      <c r="C7581" s="19">
        <f>1029.04/(1+B2)</f>
        <v>1029.04</v>
      </c>
      <c r="D7581" s="17" t="s">
        <v>11</v>
      </c>
      <c r="E7581" s="17"/>
      <c r="F7581" s="18"/>
      <c r="G7581" s="36" t="str">
        <f>IF(ISNUMBER(F7581),C7581*F7581,"")</f>
        <v/>
      </c>
    </row>
    <row r="7582" spans="1:7" ht="24" customHeight="1" outlineLevel="3" x14ac:dyDescent="0.2">
      <c r="A7582" s="14" t="s">
        <v>14923</v>
      </c>
      <c r="B7582" s="15" t="s">
        <v>14924</v>
      </c>
      <c r="C7582" s="16">
        <f>910.04/(1+B2)</f>
        <v>910.04</v>
      </c>
      <c r="D7582" s="17" t="s">
        <v>11</v>
      </c>
      <c r="E7582" s="17"/>
      <c r="F7582" s="18"/>
      <c r="G7582" s="36" t="str">
        <f>IF(ISNUMBER(F7582),C7582*F7582,"")</f>
        <v/>
      </c>
    </row>
    <row r="7583" spans="1:7" ht="12" customHeight="1" outlineLevel="3" x14ac:dyDescent="0.2">
      <c r="A7583" s="14" t="s">
        <v>14925</v>
      </c>
      <c r="B7583" s="15" t="s">
        <v>14926</v>
      </c>
      <c r="C7583" s="19">
        <f>1569.06/(1+B2)</f>
        <v>1569.06</v>
      </c>
      <c r="D7583" s="17" t="s">
        <v>11</v>
      </c>
      <c r="E7583" s="17"/>
      <c r="F7583" s="18"/>
      <c r="G7583" s="36" t="str">
        <f>IF(ISNUMBER(F7583),C7583*F7583,"")</f>
        <v/>
      </c>
    </row>
    <row r="7584" spans="1:7" ht="12" customHeight="1" outlineLevel="3" x14ac:dyDescent="0.2">
      <c r="A7584" s="14" t="s">
        <v>14927</v>
      </c>
      <c r="B7584" s="15" t="s">
        <v>14928</v>
      </c>
      <c r="C7584" s="19">
        <f>1579.06/(1+B2)</f>
        <v>1579.06</v>
      </c>
      <c r="D7584" s="17" t="s">
        <v>11</v>
      </c>
      <c r="E7584" s="17" t="s">
        <v>11</v>
      </c>
      <c r="F7584" s="18"/>
      <c r="G7584" s="36" t="str">
        <f>IF(ISNUMBER(F7584),C7584*F7584,"")</f>
        <v/>
      </c>
    </row>
    <row r="7585" spans="1:7" ht="12" customHeight="1" outlineLevel="3" x14ac:dyDescent="0.2">
      <c r="A7585" s="14" t="s">
        <v>14929</v>
      </c>
      <c r="B7585" s="15" t="s">
        <v>14930</v>
      </c>
      <c r="C7585" s="16">
        <f>599.51/(1+B2)</f>
        <v>599.51</v>
      </c>
      <c r="D7585" s="17" t="s">
        <v>11</v>
      </c>
      <c r="E7585" s="17" t="s">
        <v>11</v>
      </c>
      <c r="F7585" s="18"/>
      <c r="G7585" s="36" t="str">
        <f>IF(ISNUMBER(F7585),C7585*F7585,"")</f>
        <v/>
      </c>
    </row>
    <row r="7586" spans="1:7" ht="12" customHeight="1" outlineLevel="3" x14ac:dyDescent="0.2">
      <c r="A7586" s="14" t="s">
        <v>14931</v>
      </c>
      <c r="B7586" s="15" t="s">
        <v>14932</v>
      </c>
      <c r="C7586" s="19">
        <f>1783.65/(1+B2)</f>
        <v>1783.65</v>
      </c>
      <c r="D7586" s="17" t="s">
        <v>11</v>
      </c>
      <c r="E7586" s="17"/>
      <c r="F7586" s="18"/>
      <c r="G7586" s="36" t="str">
        <f>IF(ISNUMBER(F7586),C7586*F7586,"")</f>
        <v/>
      </c>
    </row>
    <row r="7587" spans="1:7" s="1" customFormat="1" ht="12.95" customHeight="1" outlineLevel="2" x14ac:dyDescent="0.2">
      <c r="A7587" s="20"/>
      <c r="B7587" s="21" t="s">
        <v>14933</v>
      </c>
      <c r="C7587" s="22"/>
      <c r="D7587" s="22"/>
      <c r="E7587" s="22"/>
      <c r="F7587" s="22"/>
      <c r="G7587" s="37"/>
    </row>
    <row r="7588" spans="1:7" ht="12" customHeight="1" outlineLevel="3" x14ac:dyDescent="0.2">
      <c r="A7588" s="14" t="s">
        <v>14934</v>
      </c>
      <c r="B7588" s="15" t="s">
        <v>14935</v>
      </c>
      <c r="C7588" s="19">
        <f>2915/(1+B2)</f>
        <v>2915</v>
      </c>
      <c r="D7588" s="17" t="s">
        <v>11</v>
      </c>
      <c r="E7588" s="17" t="s">
        <v>11</v>
      </c>
      <c r="F7588" s="18"/>
      <c r="G7588" s="36" t="str">
        <f>IF(ISNUMBER(F7588),C7588*F7588,"")</f>
        <v/>
      </c>
    </row>
    <row r="7589" spans="1:7" ht="12" customHeight="1" outlineLevel="3" x14ac:dyDescent="0.2">
      <c r="A7589" s="14" t="s">
        <v>14936</v>
      </c>
      <c r="B7589" s="15" t="s">
        <v>14937</v>
      </c>
      <c r="C7589" s="16">
        <f>340/(1+B2)</f>
        <v>340</v>
      </c>
      <c r="D7589" s="17" t="s">
        <v>11</v>
      </c>
      <c r="E7589" s="17"/>
      <c r="F7589" s="18"/>
      <c r="G7589" s="36" t="str">
        <f>IF(ISNUMBER(F7589),C7589*F7589,"")</f>
        <v/>
      </c>
    </row>
    <row r="7590" spans="1:7" ht="12" customHeight="1" outlineLevel="3" x14ac:dyDescent="0.2">
      <c r="A7590" s="14" t="s">
        <v>14938</v>
      </c>
      <c r="B7590" s="15" t="s">
        <v>14939</v>
      </c>
      <c r="C7590" s="16">
        <f>250/(1+B2)</f>
        <v>250</v>
      </c>
      <c r="D7590" s="17" t="s">
        <v>11</v>
      </c>
      <c r="E7590" s="17" t="s">
        <v>11</v>
      </c>
      <c r="F7590" s="18"/>
      <c r="G7590" s="36" t="str">
        <f>IF(ISNUMBER(F7590),C7590*F7590,"")</f>
        <v/>
      </c>
    </row>
    <row r="7591" spans="1:7" ht="12" customHeight="1" outlineLevel="3" x14ac:dyDescent="0.2">
      <c r="A7591" s="14" t="s">
        <v>14940</v>
      </c>
      <c r="B7591" s="15" t="s">
        <v>14941</v>
      </c>
      <c r="C7591" s="16">
        <f>226.25/(1+B2)</f>
        <v>226.25</v>
      </c>
      <c r="D7591" s="17" t="s">
        <v>11</v>
      </c>
      <c r="E7591" s="17" t="s">
        <v>11</v>
      </c>
      <c r="F7591" s="18"/>
      <c r="G7591" s="36" t="str">
        <f>IF(ISNUMBER(F7591),C7591*F7591,"")</f>
        <v/>
      </c>
    </row>
    <row r="7592" spans="1:7" ht="12" customHeight="1" outlineLevel="3" x14ac:dyDescent="0.2">
      <c r="A7592" s="14" t="s">
        <v>14942</v>
      </c>
      <c r="B7592" s="15" t="s">
        <v>14943</v>
      </c>
      <c r="C7592" s="16">
        <f>336.25/(1+B2)</f>
        <v>336.25</v>
      </c>
      <c r="D7592" s="17" t="s">
        <v>11</v>
      </c>
      <c r="E7592" s="17" t="s">
        <v>11</v>
      </c>
      <c r="F7592" s="18"/>
      <c r="G7592" s="36" t="str">
        <f>IF(ISNUMBER(F7592),C7592*F7592,"")</f>
        <v/>
      </c>
    </row>
    <row r="7593" spans="1:7" ht="12" customHeight="1" outlineLevel="3" x14ac:dyDescent="0.2">
      <c r="A7593" s="14" t="s">
        <v>14944</v>
      </c>
      <c r="B7593" s="15" t="s">
        <v>14945</v>
      </c>
      <c r="C7593" s="16">
        <f>93.08/(1+B2)</f>
        <v>93.08</v>
      </c>
      <c r="D7593" s="17" t="s">
        <v>11</v>
      </c>
      <c r="E7593" s="17" t="s">
        <v>53</v>
      </c>
      <c r="F7593" s="18"/>
      <c r="G7593" s="36" t="str">
        <f>IF(ISNUMBER(F7593),C7593*F7593,"")</f>
        <v/>
      </c>
    </row>
    <row r="7594" spans="1:7" ht="12" customHeight="1" outlineLevel="3" x14ac:dyDescent="0.2">
      <c r="A7594" s="14" t="s">
        <v>14946</v>
      </c>
      <c r="B7594" s="15" t="s">
        <v>14947</v>
      </c>
      <c r="C7594" s="16">
        <f>96.68/(1+B2)</f>
        <v>96.68</v>
      </c>
      <c r="D7594" s="17" t="s">
        <v>11</v>
      </c>
      <c r="E7594" s="17"/>
      <c r="F7594" s="18"/>
      <c r="G7594" s="36" t="str">
        <f>IF(ISNUMBER(F7594),C7594*F7594,"")</f>
        <v/>
      </c>
    </row>
    <row r="7595" spans="1:7" ht="12" customHeight="1" outlineLevel="3" x14ac:dyDescent="0.2">
      <c r="A7595" s="14" t="s">
        <v>14948</v>
      </c>
      <c r="B7595" s="15" t="s">
        <v>14949</v>
      </c>
      <c r="C7595" s="16">
        <f>198.59/(1+B2)</f>
        <v>198.59</v>
      </c>
      <c r="D7595" s="17" t="s">
        <v>11</v>
      </c>
      <c r="E7595" s="17" t="s">
        <v>53</v>
      </c>
      <c r="F7595" s="18"/>
      <c r="G7595" s="36" t="str">
        <f>IF(ISNUMBER(F7595),C7595*F7595,"")</f>
        <v/>
      </c>
    </row>
    <row r="7596" spans="1:7" ht="12" customHeight="1" outlineLevel="3" x14ac:dyDescent="0.2">
      <c r="A7596" s="14" t="s">
        <v>14950</v>
      </c>
      <c r="B7596" s="15" t="s">
        <v>14951</v>
      </c>
      <c r="C7596" s="16">
        <f>168.36/(1+B2)</f>
        <v>168.36</v>
      </c>
      <c r="D7596" s="17" t="s">
        <v>11</v>
      </c>
      <c r="E7596" s="17" t="s">
        <v>11</v>
      </c>
      <c r="F7596" s="18"/>
      <c r="G7596" s="36" t="str">
        <f>IF(ISNUMBER(F7596),C7596*F7596,"")</f>
        <v/>
      </c>
    </row>
    <row r="7597" spans="1:7" ht="12" customHeight="1" outlineLevel="3" x14ac:dyDescent="0.2">
      <c r="A7597" s="14" t="s">
        <v>14952</v>
      </c>
      <c r="B7597" s="15" t="s">
        <v>14953</v>
      </c>
      <c r="C7597" s="16">
        <f>116.51/(1+B2)</f>
        <v>116.51</v>
      </c>
      <c r="D7597" s="17" t="s">
        <v>11</v>
      </c>
      <c r="E7597" s="17"/>
      <c r="F7597" s="18"/>
      <c r="G7597" s="36" t="str">
        <f>IF(ISNUMBER(F7597),C7597*F7597,"")</f>
        <v/>
      </c>
    </row>
    <row r="7598" spans="1:7" ht="12" customHeight="1" outlineLevel="3" x14ac:dyDescent="0.2">
      <c r="A7598" s="14" t="s">
        <v>14954</v>
      </c>
      <c r="B7598" s="15" t="s">
        <v>14955</v>
      </c>
      <c r="C7598" s="16">
        <f>164.69/(1+B2)</f>
        <v>164.69</v>
      </c>
      <c r="D7598" s="17" t="s">
        <v>11</v>
      </c>
      <c r="E7598" s="17" t="s">
        <v>11</v>
      </c>
      <c r="F7598" s="18"/>
      <c r="G7598" s="36" t="str">
        <f>IF(ISNUMBER(F7598),C7598*F7598,"")</f>
        <v/>
      </c>
    </row>
    <row r="7599" spans="1:7" ht="12" customHeight="1" outlineLevel="3" x14ac:dyDescent="0.2">
      <c r="A7599" s="14" t="s">
        <v>14956</v>
      </c>
      <c r="B7599" s="15" t="s">
        <v>14957</v>
      </c>
      <c r="C7599" s="16">
        <f>195.98/(1+B2)</f>
        <v>195.98</v>
      </c>
      <c r="D7599" s="17" t="s">
        <v>11</v>
      </c>
      <c r="E7599" s="17"/>
      <c r="F7599" s="18"/>
      <c r="G7599" s="36" t="str">
        <f>IF(ISNUMBER(F7599),C7599*F7599,"")</f>
        <v/>
      </c>
    </row>
    <row r="7600" spans="1:7" ht="12" customHeight="1" outlineLevel="3" x14ac:dyDescent="0.2">
      <c r="A7600" s="14" t="s">
        <v>14958</v>
      </c>
      <c r="B7600" s="15" t="s">
        <v>14959</v>
      </c>
      <c r="C7600" s="16">
        <f>209.03/(1+B2)</f>
        <v>209.03</v>
      </c>
      <c r="D7600" s="17" t="s">
        <v>11</v>
      </c>
      <c r="E7600" s="17"/>
      <c r="F7600" s="18"/>
      <c r="G7600" s="36" t="str">
        <f>IF(ISNUMBER(F7600),C7600*F7600,"")</f>
        <v/>
      </c>
    </row>
    <row r="7601" spans="1:7" ht="12" customHeight="1" outlineLevel="3" x14ac:dyDescent="0.2">
      <c r="A7601" s="14" t="s">
        <v>14960</v>
      </c>
      <c r="B7601" s="15" t="s">
        <v>14961</v>
      </c>
      <c r="C7601" s="16">
        <f>220.73/(1+B2)</f>
        <v>220.73</v>
      </c>
      <c r="D7601" s="17" t="s">
        <v>11</v>
      </c>
      <c r="E7601" s="17"/>
      <c r="F7601" s="18"/>
      <c r="G7601" s="36" t="str">
        <f>IF(ISNUMBER(F7601),C7601*F7601,"")</f>
        <v/>
      </c>
    </row>
    <row r="7602" spans="1:7" ht="12" customHeight="1" outlineLevel="3" x14ac:dyDescent="0.2">
      <c r="A7602" s="14" t="s">
        <v>14962</v>
      </c>
      <c r="B7602" s="15" t="s">
        <v>14963</v>
      </c>
      <c r="C7602" s="16">
        <f>220.73/(1+B2)</f>
        <v>220.73</v>
      </c>
      <c r="D7602" s="17" t="s">
        <v>11</v>
      </c>
      <c r="E7602" s="17"/>
      <c r="F7602" s="18"/>
      <c r="G7602" s="36" t="str">
        <f>IF(ISNUMBER(F7602),C7602*F7602,"")</f>
        <v/>
      </c>
    </row>
    <row r="7603" spans="1:7" ht="12" customHeight="1" outlineLevel="3" x14ac:dyDescent="0.2">
      <c r="A7603" s="14" t="s">
        <v>14964</v>
      </c>
      <c r="B7603" s="15" t="s">
        <v>14965</v>
      </c>
      <c r="C7603" s="16">
        <f>257.75/(1+B2)</f>
        <v>257.75</v>
      </c>
      <c r="D7603" s="17" t="s">
        <v>11</v>
      </c>
      <c r="E7603" s="17"/>
      <c r="F7603" s="18"/>
      <c r="G7603" s="36" t="str">
        <f>IF(ISNUMBER(F7603),C7603*F7603,"")</f>
        <v/>
      </c>
    </row>
    <row r="7604" spans="1:7" ht="12" customHeight="1" outlineLevel="3" x14ac:dyDescent="0.2">
      <c r="A7604" s="14" t="s">
        <v>14966</v>
      </c>
      <c r="B7604" s="15" t="s">
        <v>14967</v>
      </c>
      <c r="C7604" s="16">
        <f>120.39/(1+B2)</f>
        <v>120.39</v>
      </c>
      <c r="D7604" s="17" t="s">
        <v>11</v>
      </c>
      <c r="E7604" s="17" t="s">
        <v>14</v>
      </c>
      <c r="F7604" s="18"/>
      <c r="G7604" s="36" t="str">
        <f>IF(ISNUMBER(F7604),C7604*F7604,"")</f>
        <v/>
      </c>
    </row>
    <row r="7605" spans="1:7" ht="12" customHeight="1" outlineLevel="3" x14ac:dyDescent="0.2">
      <c r="A7605" s="14" t="s">
        <v>14968</v>
      </c>
      <c r="B7605" s="15" t="s">
        <v>14969</v>
      </c>
      <c r="C7605" s="16">
        <f>9/(1+B2)</f>
        <v>9</v>
      </c>
      <c r="D7605" s="17" t="s">
        <v>53</v>
      </c>
      <c r="E7605" s="17"/>
      <c r="F7605" s="18"/>
      <c r="G7605" s="36" t="str">
        <f>IF(ISNUMBER(F7605),C7605*F7605,"")</f>
        <v/>
      </c>
    </row>
    <row r="7606" spans="1:7" ht="12" customHeight="1" outlineLevel="3" x14ac:dyDescent="0.2">
      <c r="A7606" s="14" t="s">
        <v>14970</v>
      </c>
      <c r="B7606" s="15" t="s">
        <v>14971</v>
      </c>
      <c r="C7606" s="16">
        <f>214.4/(1+B2)</f>
        <v>214.4</v>
      </c>
      <c r="D7606" s="17" t="s">
        <v>11</v>
      </c>
      <c r="E7606" s="17" t="s">
        <v>11</v>
      </c>
      <c r="F7606" s="18"/>
      <c r="G7606" s="36" t="str">
        <f>IF(ISNUMBER(F7606),C7606*F7606,"")</f>
        <v/>
      </c>
    </row>
    <row r="7607" spans="1:7" ht="12" customHeight="1" outlineLevel="3" x14ac:dyDescent="0.2">
      <c r="A7607" s="14" t="s">
        <v>14972</v>
      </c>
      <c r="B7607" s="15" t="s">
        <v>14973</v>
      </c>
      <c r="C7607" s="16">
        <f>250.11/(1+B2)</f>
        <v>250.11</v>
      </c>
      <c r="D7607" s="17" t="s">
        <v>11</v>
      </c>
      <c r="E7607" s="17"/>
      <c r="F7607" s="18"/>
      <c r="G7607" s="36" t="str">
        <f>IF(ISNUMBER(F7607),C7607*F7607,"")</f>
        <v/>
      </c>
    </row>
    <row r="7608" spans="1:7" ht="12" customHeight="1" outlineLevel="3" x14ac:dyDescent="0.2">
      <c r="A7608" s="14" t="s">
        <v>14974</v>
      </c>
      <c r="B7608" s="15" t="s">
        <v>14975</v>
      </c>
      <c r="C7608" s="16">
        <f>222.11/(1+B2)</f>
        <v>222.11</v>
      </c>
      <c r="D7608" s="17" t="s">
        <v>11</v>
      </c>
      <c r="E7608" s="17" t="s">
        <v>53</v>
      </c>
      <c r="F7608" s="18"/>
      <c r="G7608" s="36" t="str">
        <f>IF(ISNUMBER(F7608),C7608*F7608,"")</f>
        <v/>
      </c>
    </row>
    <row r="7609" spans="1:7" ht="12" customHeight="1" outlineLevel="3" x14ac:dyDescent="0.2">
      <c r="A7609" s="14" t="s">
        <v>14976</v>
      </c>
      <c r="B7609" s="15" t="s">
        <v>14977</v>
      </c>
      <c r="C7609" s="16">
        <f>225.15/(1+B2)</f>
        <v>225.15</v>
      </c>
      <c r="D7609" s="17" t="s">
        <v>14</v>
      </c>
      <c r="E7609" s="17" t="s">
        <v>53</v>
      </c>
      <c r="F7609" s="18"/>
      <c r="G7609" s="36" t="str">
        <f>IF(ISNUMBER(F7609),C7609*F7609,"")</f>
        <v/>
      </c>
    </row>
    <row r="7610" spans="1:7" ht="12" customHeight="1" outlineLevel="3" x14ac:dyDescent="0.2">
      <c r="A7610" s="14" t="s">
        <v>14978</v>
      </c>
      <c r="B7610" s="15" t="s">
        <v>14979</v>
      </c>
      <c r="C7610" s="16">
        <f>213.24/(1+B2)</f>
        <v>213.24</v>
      </c>
      <c r="D7610" s="17" t="s">
        <v>11</v>
      </c>
      <c r="E7610" s="17" t="s">
        <v>53</v>
      </c>
      <c r="F7610" s="18"/>
      <c r="G7610" s="36" t="str">
        <f>IF(ISNUMBER(F7610),C7610*F7610,"")</f>
        <v/>
      </c>
    </row>
    <row r="7611" spans="1:7" ht="12" customHeight="1" outlineLevel="3" x14ac:dyDescent="0.2">
      <c r="A7611" s="14" t="s">
        <v>14980</v>
      </c>
      <c r="B7611" s="15" t="s">
        <v>14981</v>
      </c>
      <c r="C7611" s="16">
        <f>126.25/(1+B2)</f>
        <v>126.25</v>
      </c>
      <c r="D7611" s="17" t="s">
        <v>14</v>
      </c>
      <c r="E7611" s="17" t="s">
        <v>14</v>
      </c>
      <c r="F7611" s="18"/>
      <c r="G7611" s="36" t="str">
        <f>IF(ISNUMBER(F7611),C7611*F7611,"")</f>
        <v/>
      </c>
    </row>
    <row r="7612" spans="1:7" ht="12" customHeight="1" outlineLevel="3" x14ac:dyDescent="0.2">
      <c r="A7612" s="14" t="s">
        <v>14982</v>
      </c>
      <c r="B7612" s="15" t="s">
        <v>14983</v>
      </c>
      <c r="C7612" s="16">
        <f>121.06/(1+B2)</f>
        <v>121.06</v>
      </c>
      <c r="D7612" s="17" t="s">
        <v>11</v>
      </c>
      <c r="E7612" s="17" t="s">
        <v>106</v>
      </c>
      <c r="F7612" s="18"/>
      <c r="G7612" s="36" t="str">
        <f>IF(ISNUMBER(F7612),C7612*F7612,"")</f>
        <v/>
      </c>
    </row>
    <row r="7613" spans="1:7" ht="12" customHeight="1" outlineLevel="3" x14ac:dyDescent="0.2">
      <c r="A7613" s="14" t="s">
        <v>14984</v>
      </c>
      <c r="B7613" s="15" t="s">
        <v>14985</v>
      </c>
      <c r="C7613" s="16">
        <f>80.86/(1+B2)</f>
        <v>80.86</v>
      </c>
      <c r="D7613" s="17" t="s">
        <v>14</v>
      </c>
      <c r="E7613" s="17" t="s">
        <v>106</v>
      </c>
      <c r="F7613" s="18"/>
      <c r="G7613" s="36" t="str">
        <f>IF(ISNUMBER(F7613),C7613*F7613,"")</f>
        <v/>
      </c>
    </row>
    <row r="7614" spans="1:7" s="1" customFormat="1" ht="12.95" customHeight="1" outlineLevel="2" x14ac:dyDescent="0.2">
      <c r="A7614" s="20"/>
      <c r="B7614" s="21" t="s">
        <v>14986</v>
      </c>
      <c r="C7614" s="22"/>
      <c r="D7614" s="22"/>
      <c r="E7614" s="22"/>
      <c r="F7614" s="22"/>
      <c r="G7614" s="37"/>
    </row>
    <row r="7615" spans="1:7" ht="12" customHeight="1" outlineLevel="3" x14ac:dyDescent="0.2">
      <c r="A7615" s="14" t="s">
        <v>14987</v>
      </c>
      <c r="B7615" s="15" t="s">
        <v>14988</v>
      </c>
      <c r="C7615" s="16">
        <f>635.24/(1+B2)</f>
        <v>635.24</v>
      </c>
      <c r="D7615" s="17" t="s">
        <v>11</v>
      </c>
      <c r="E7615" s="17"/>
      <c r="F7615" s="18"/>
      <c r="G7615" s="36" t="str">
        <f>IF(ISNUMBER(F7615),C7615*F7615,"")</f>
        <v/>
      </c>
    </row>
    <row r="7616" spans="1:7" ht="12" customHeight="1" outlineLevel="3" x14ac:dyDescent="0.2">
      <c r="A7616" s="14" t="s">
        <v>14989</v>
      </c>
      <c r="B7616" s="15" t="s">
        <v>14990</v>
      </c>
      <c r="C7616" s="16">
        <f>269.83/(1+B2)</f>
        <v>269.83</v>
      </c>
      <c r="D7616" s="17" t="s">
        <v>11</v>
      </c>
      <c r="E7616" s="17" t="s">
        <v>11</v>
      </c>
      <c r="F7616" s="18"/>
      <c r="G7616" s="36" t="str">
        <f>IF(ISNUMBER(F7616),C7616*F7616,"")</f>
        <v/>
      </c>
    </row>
    <row r="7617" spans="1:7" ht="12" customHeight="1" outlineLevel="3" x14ac:dyDescent="0.2">
      <c r="A7617" s="14" t="s">
        <v>14991</v>
      </c>
      <c r="B7617" s="15" t="s">
        <v>14992</v>
      </c>
      <c r="C7617" s="16">
        <f>327.84/(1+B2)</f>
        <v>327.84</v>
      </c>
      <c r="D7617" s="17" t="s">
        <v>11</v>
      </c>
      <c r="E7617" s="17" t="s">
        <v>11</v>
      </c>
      <c r="F7617" s="18"/>
      <c r="G7617" s="36" t="str">
        <f>IF(ISNUMBER(F7617),C7617*F7617,"")</f>
        <v/>
      </c>
    </row>
    <row r="7618" spans="1:7" ht="12" customHeight="1" outlineLevel="3" x14ac:dyDescent="0.2">
      <c r="A7618" s="14" t="s">
        <v>14993</v>
      </c>
      <c r="B7618" s="15" t="s">
        <v>14994</v>
      </c>
      <c r="C7618" s="16">
        <f>526.3/(1+B2)</f>
        <v>526.29999999999995</v>
      </c>
      <c r="D7618" s="17" t="s">
        <v>11</v>
      </c>
      <c r="E7618" s="17" t="s">
        <v>11</v>
      </c>
      <c r="F7618" s="18"/>
      <c r="G7618" s="36" t="str">
        <f>IF(ISNUMBER(F7618),C7618*F7618,"")</f>
        <v/>
      </c>
    </row>
    <row r="7619" spans="1:7" ht="24" customHeight="1" outlineLevel="3" x14ac:dyDescent="0.2">
      <c r="A7619" s="14" t="s">
        <v>14995</v>
      </c>
      <c r="B7619" s="15" t="s">
        <v>14996</v>
      </c>
      <c r="C7619" s="16">
        <f>207.36/(1+B2)</f>
        <v>207.36</v>
      </c>
      <c r="D7619" s="17" t="s">
        <v>11</v>
      </c>
      <c r="E7619" s="17"/>
      <c r="F7619" s="18"/>
      <c r="G7619" s="36" t="str">
        <f>IF(ISNUMBER(F7619),C7619*F7619,"")</f>
        <v/>
      </c>
    </row>
    <row r="7620" spans="1:7" ht="12" customHeight="1" outlineLevel="3" x14ac:dyDescent="0.2">
      <c r="A7620" s="14" t="s">
        <v>14997</v>
      </c>
      <c r="B7620" s="15" t="s">
        <v>14998</v>
      </c>
      <c r="C7620" s="16">
        <f>22.5/(1+B2)</f>
        <v>22.5</v>
      </c>
      <c r="D7620" s="17" t="s">
        <v>11</v>
      </c>
      <c r="E7620" s="17"/>
      <c r="F7620" s="18"/>
      <c r="G7620" s="36" t="str">
        <f>IF(ISNUMBER(F7620),C7620*F7620,"")</f>
        <v/>
      </c>
    </row>
    <row r="7621" spans="1:7" ht="24" customHeight="1" outlineLevel="3" x14ac:dyDescent="0.2">
      <c r="A7621" s="14" t="s">
        <v>14999</v>
      </c>
      <c r="B7621" s="15" t="s">
        <v>15000</v>
      </c>
      <c r="C7621" s="16">
        <f>253.08/(1+B2)</f>
        <v>253.08</v>
      </c>
      <c r="D7621" s="17" t="s">
        <v>11</v>
      </c>
      <c r="E7621" s="17"/>
      <c r="F7621" s="18"/>
      <c r="G7621" s="36" t="str">
        <f>IF(ISNUMBER(F7621),C7621*F7621,"")</f>
        <v/>
      </c>
    </row>
    <row r="7622" spans="1:7" ht="12" customHeight="1" outlineLevel="3" x14ac:dyDescent="0.2">
      <c r="A7622" s="14" t="s">
        <v>15001</v>
      </c>
      <c r="B7622" s="15" t="s">
        <v>15002</v>
      </c>
      <c r="C7622" s="16">
        <f>230.66/(1+B2)</f>
        <v>230.66</v>
      </c>
      <c r="D7622" s="17" t="s">
        <v>11</v>
      </c>
      <c r="E7622" s="17" t="s">
        <v>11</v>
      </c>
      <c r="F7622" s="18"/>
      <c r="G7622" s="36" t="str">
        <f>IF(ISNUMBER(F7622),C7622*F7622,"")</f>
        <v/>
      </c>
    </row>
    <row r="7623" spans="1:7" ht="12" customHeight="1" outlineLevel="3" x14ac:dyDescent="0.2">
      <c r="A7623" s="14" t="s">
        <v>15003</v>
      </c>
      <c r="B7623" s="15" t="s">
        <v>15004</v>
      </c>
      <c r="C7623" s="16">
        <f>272.17/(1+B2)</f>
        <v>272.17</v>
      </c>
      <c r="D7623" s="17" t="s">
        <v>11</v>
      </c>
      <c r="E7623" s="17" t="s">
        <v>11</v>
      </c>
      <c r="F7623" s="18"/>
      <c r="G7623" s="36" t="str">
        <f>IF(ISNUMBER(F7623),C7623*F7623,"")</f>
        <v/>
      </c>
    </row>
    <row r="7624" spans="1:7" ht="24" customHeight="1" outlineLevel="3" x14ac:dyDescent="0.2">
      <c r="A7624" s="14" t="s">
        <v>15005</v>
      </c>
      <c r="B7624" s="15" t="s">
        <v>15006</v>
      </c>
      <c r="C7624" s="16">
        <f>326.59/(1+B2)</f>
        <v>326.58999999999997</v>
      </c>
      <c r="D7624" s="17" t="s">
        <v>11</v>
      </c>
      <c r="E7624" s="17" t="s">
        <v>11</v>
      </c>
      <c r="F7624" s="18"/>
      <c r="G7624" s="36" t="str">
        <f>IF(ISNUMBER(F7624),C7624*F7624,"")</f>
        <v/>
      </c>
    </row>
    <row r="7625" spans="1:7" ht="12" customHeight="1" outlineLevel="3" x14ac:dyDescent="0.2">
      <c r="A7625" s="14" t="s">
        <v>15007</v>
      </c>
      <c r="B7625" s="15" t="s">
        <v>15008</v>
      </c>
      <c r="C7625" s="16">
        <f>123.88/(1+B2)</f>
        <v>123.88</v>
      </c>
      <c r="D7625" s="17" t="s">
        <v>11</v>
      </c>
      <c r="E7625" s="17"/>
      <c r="F7625" s="18"/>
      <c r="G7625" s="36" t="str">
        <f>IF(ISNUMBER(F7625),C7625*F7625,"")</f>
        <v/>
      </c>
    </row>
    <row r="7626" spans="1:7" ht="12" customHeight="1" outlineLevel="3" x14ac:dyDescent="0.2">
      <c r="A7626" s="14" t="s">
        <v>15009</v>
      </c>
      <c r="B7626" s="15" t="s">
        <v>15010</v>
      </c>
      <c r="C7626" s="16">
        <f>200.18/(1+B2)</f>
        <v>200.18</v>
      </c>
      <c r="D7626" s="17" t="s">
        <v>11</v>
      </c>
      <c r="E7626" s="17"/>
      <c r="F7626" s="18"/>
      <c r="G7626" s="36" t="str">
        <f>IF(ISNUMBER(F7626),C7626*F7626,"")</f>
        <v/>
      </c>
    </row>
    <row r="7627" spans="1:7" ht="24" customHeight="1" outlineLevel="3" x14ac:dyDescent="0.2">
      <c r="A7627" s="14" t="s">
        <v>15011</v>
      </c>
      <c r="B7627" s="15" t="s">
        <v>15012</v>
      </c>
      <c r="C7627" s="16">
        <f>164.86/(1+B2)</f>
        <v>164.86</v>
      </c>
      <c r="D7627" s="17" t="s">
        <v>11</v>
      </c>
      <c r="E7627" s="17"/>
      <c r="F7627" s="18"/>
      <c r="G7627" s="36" t="str">
        <f>IF(ISNUMBER(F7627),C7627*F7627,"")</f>
        <v/>
      </c>
    </row>
    <row r="7628" spans="1:7" s="1" customFormat="1" ht="12.95" customHeight="1" outlineLevel="2" x14ac:dyDescent="0.2">
      <c r="A7628" s="20"/>
      <c r="B7628" s="21" t="s">
        <v>15013</v>
      </c>
      <c r="C7628" s="22"/>
      <c r="D7628" s="22"/>
      <c r="E7628" s="22"/>
      <c r="F7628" s="22"/>
      <c r="G7628" s="37"/>
    </row>
    <row r="7629" spans="1:7" ht="12" customHeight="1" outlineLevel="3" x14ac:dyDescent="0.2">
      <c r="A7629" s="14" t="s">
        <v>15014</v>
      </c>
      <c r="B7629" s="15" t="s">
        <v>15015</v>
      </c>
      <c r="C7629" s="16">
        <f>82.82/(1+B2)</f>
        <v>82.82</v>
      </c>
      <c r="D7629" s="17" t="s">
        <v>11</v>
      </c>
      <c r="E7629" s="17"/>
      <c r="F7629" s="18"/>
      <c r="G7629" s="36" t="str">
        <f>IF(ISNUMBER(F7629),C7629*F7629,"")</f>
        <v/>
      </c>
    </row>
    <row r="7630" spans="1:7" ht="12" customHeight="1" outlineLevel="3" x14ac:dyDescent="0.2">
      <c r="A7630" s="14" t="s">
        <v>15016</v>
      </c>
      <c r="B7630" s="15" t="s">
        <v>15017</v>
      </c>
      <c r="C7630" s="16">
        <f>414.22/(1+B2)</f>
        <v>414.22</v>
      </c>
      <c r="D7630" s="17" t="s">
        <v>11</v>
      </c>
      <c r="E7630" s="17" t="s">
        <v>11</v>
      </c>
      <c r="F7630" s="18"/>
      <c r="G7630" s="36" t="str">
        <f>IF(ISNUMBER(F7630),C7630*F7630,"")</f>
        <v/>
      </c>
    </row>
    <row r="7631" spans="1:7" ht="12" customHeight="1" outlineLevel="3" x14ac:dyDescent="0.2">
      <c r="A7631" s="14" t="s">
        <v>15018</v>
      </c>
      <c r="B7631" s="15" t="s">
        <v>15019</v>
      </c>
      <c r="C7631" s="16">
        <f>413.23/(1+B2)</f>
        <v>413.23</v>
      </c>
      <c r="D7631" s="17" t="s">
        <v>11</v>
      </c>
      <c r="E7631" s="17"/>
      <c r="F7631" s="18"/>
      <c r="G7631" s="36" t="str">
        <f>IF(ISNUMBER(F7631),C7631*F7631,"")</f>
        <v/>
      </c>
    </row>
    <row r="7632" spans="1:7" ht="12" customHeight="1" outlineLevel="3" x14ac:dyDescent="0.2">
      <c r="A7632" s="14" t="s">
        <v>15020</v>
      </c>
      <c r="B7632" s="15" t="s">
        <v>15021</v>
      </c>
      <c r="C7632" s="16">
        <f>498.65/(1+B2)</f>
        <v>498.65</v>
      </c>
      <c r="D7632" s="17" t="s">
        <v>11</v>
      </c>
      <c r="E7632" s="17"/>
      <c r="F7632" s="18"/>
      <c r="G7632" s="36" t="str">
        <f>IF(ISNUMBER(F7632),C7632*F7632,"")</f>
        <v/>
      </c>
    </row>
    <row r="7633" spans="1:7" ht="12" customHeight="1" outlineLevel="3" x14ac:dyDescent="0.2">
      <c r="A7633" s="14" t="s">
        <v>15022</v>
      </c>
      <c r="B7633" s="15" t="s">
        <v>15023</v>
      </c>
      <c r="C7633" s="19">
        <f>2030.13/(1+B2)</f>
        <v>2030.13</v>
      </c>
      <c r="D7633" s="17" t="s">
        <v>11</v>
      </c>
      <c r="E7633" s="17"/>
      <c r="F7633" s="18"/>
      <c r="G7633" s="36" t="str">
        <f>IF(ISNUMBER(F7633),C7633*F7633,"")</f>
        <v/>
      </c>
    </row>
    <row r="7634" spans="1:7" ht="12" customHeight="1" outlineLevel="3" x14ac:dyDescent="0.2">
      <c r="A7634" s="14" t="s">
        <v>15024</v>
      </c>
      <c r="B7634" s="15" t="s">
        <v>15025</v>
      </c>
      <c r="C7634" s="19">
        <f>2495.6/(1+B2)</f>
        <v>2495.6</v>
      </c>
      <c r="D7634" s="17" t="s">
        <v>11</v>
      </c>
      <c r="E7634" s="17"/>
      <c r="F7634" s="18"/>
      <c r="G7634" s="36" t="str">
        <f>IF(ISNUMBER(F7634),C7634*F7634,"")</f>
        <v/>
      </c>
    </row>
    <row r="7635" spans="1:7" ht="12" customHeight="1" outlineLevel="3" x14ac:dyDescent="0.2">
      <c r="A7635" s="14" t="s">
        <v>15026</v>
      </c>
      <c r="B7635" s="15" t="s">
        <v>15027</v>
      </c>
      <c r="C7635" s="19">
        <f>1161.34/(1+B2)</f>
        <v>1161.3399999999999</v>
      </c>
      <c r="D7635" s="17" t="s">
        <v>11</v>
      </c>
      <c r="E7635" s="17" t="s">
        <v>14</v>
      </c>
      <c r="F7635" s="18"/>
      <c r="G7635" s="36" t="str">
        <f>IF(ISNUMBER(F7635),C7635*F7635,"")</f>
        <v/>
      </c>
    </row>
    <row r="7636" spans="1:7" ht="12" customHeight="1" outlineLevel="3" x14ac:dyDescent="0.2">
      <c r="A7636" s="14" t="s">
        <v>15028</v>
      </c>
      <c r="B7636" s="15" t="s">
        <v>15029</v>
      </c>
      <c r="C7636" s="19">
        <f>1662.64/(1+B2)</f>
        <v>1662.64</v>
      </c>
      <c r="D7636" s="17" t="s">
        <v>11</v>
      </c>
      <c r="E7636" s="17" t="s">
        <v>11</v>
      </c>
      <c r="F7636" s="18"/>
      <c r="G7636" s="36" t="str">
        <f>IF(ISNUMBER(F7636),C7636*F7636,"")</f>
        <v/>
      </c>
    </row>
    <row r="7637" spans="1:7" ht="12" customHeight="1" outlineLevel="3" x14ac:dyDescent="0.2">
      <c r="A7637" s="14" t="s">
        <v>15030</v>
      </c>
      <c r="B7637" s="15" t="s">
        <v>15031</v>
      </c>
      <c r="C7637" s="16">
        <f>167.29/(1+B2)</f>
        <v>167.29</v>
      </c>
      <c r="D7637" s="17" t="s">
        <v>11</v>
      </c>
      <c r="E7637" s="17" t="s">
        <v>11</v>
      </c>
      <c r="F7637" s="18"/>
      <c r="G7637" s="36" t="str">
        <f>IF(ISNUMBER(F7637),C7637*F7637,"")</f>
        <v/>
      </c>
    </row>
    <row r="7638" spans="1:7" ht="12" customHeight="1" outlineLevel="3" x14ac:dyDescent="0.2">
      <c r="A7638" s="14" t="s">
        <v>15032</v>
      </c>
      <c r="B7638" s="15" t="s">
        <v>15033</v>
      </c>
      <c r="C7638" s="16">
        <f>174.26/(1+B2)</f>
        <v>174.26</v>
      </c>
      <c r="D7638" s="17" t="s">
        <v>11</v>
      </c>
      <c r="E7638" s="17" t="s">
        <v>11</v>
      </c>
      <c r="F7638" s="18"/>
      <c r="G7638" s="36" t="str">
        <f>IF(ISNUMBER(F7638),C7638*F7638,"")</f>
        <v/>
      </c>
    </row>
    <row r="7639" spans="1:7" ht="12" customHeight="1" outlineLevel="3" x14ac:dyDescent="0.2">
      <c r="A7639" s="14" t="s">
        <v>15034</v>
      </c>
      <c r="B7639" s="15" t="s">
        <v>15035</v>
      </c>
      <c r="C7639" s="16">
        <f>137.14/(1+B2)</f>
        <v>137.13999999999999</v>
      </c>
      <c r="D7639" s="17" t="s">
        <v>11</v>
      </c>
      <c r="E7639" s="17"/>
      <c r="F7639" s="18"/>
      <c r="G7639" s="36" t="str">
        <f>IF(ISNUMBER(F7639),C7639*F7639,"")</f>
        <v/>
      </c>
    </row>
    <row r="7640" spans="1:7" ht="12" customHeight="1" outlineLevel="3" x14ac:dyDescent="0.2">
      <c r="A7640" s="14" t="s">
        <v>15036</v>
      </c>
      <c r="B7640" s="15" t="s">
        <v>15037</v>
      </c>
      <c r="C7640" s="16">
        <f>167.29/(1+B2)</f>
        <v>167.29</v>
      </c>
      <c r="D7640" s="17" t="s">
        <v>11</v>
      </c>
      <c r="E7640" s="17"/>
      <c r="F7640" s="18"/>
      <c r="G7640" s="36" t="str">
        <f>IF(ISNUMBER(F7640),C7640*F7640,"")</f>
        <v/>
      </c>
    </row>
    <row r="7641" spans="1:7" ht="12" customHeight="1" outlineLevel="3" x14ac:dyDescent="0.2">
      <c r="A7641" s="14" t="s">
        <v>15038</v>
      </c>
      <c r="B7641" s="15" t="s">
        <v>15039</v>
      </c>
      <c r="C7641" s="16">
        <f>112.5/(1+B2)</f>
        <v>112.5</v>
      </c>
      <c r="D7641" s="17" t="s">
        <v>11</v>
      </c>
      <c r="E7641" s="17" t="s">
        <v>11</v>
      </c>
      <c r="F7641" s="18"/>
      <c r="G7641" s="36" t="str">
        <f>IF(ISNUMBER(F7641),C7641*F7641,"")</f>
        <v/>
      </c>
    </row>
    <row r="7642" spans="1:7" ht="12" customHeight="1" outlineLevel="3" x14ac:dyDescent="0.2">
      <c r="A7642" s="14" t="s">
        <v>15040</v>
      </c>
      <c r="B7642" s="15" t="s">
        <v>15041</v>
      </c>
      <c r="C7642" s="16">
        <f>138.14/(1+B2)</f>
        <v>138.13999999999999</v>
      </c>
      <c r="D7642" s="17" t="s">
        <v>11</v>
      </c>
      <c r="E7642" s="17"/>
      <c r="F7642" s="18"/>
      <c r="G7642" s="36" t="str">
        <f>IF(ISNUMBER(F7642),C7642*F7642,"")</f>
        <v/>
      </c>
    </row>
    <row r="7643" spans="1:7" ht="12" customHeight="1" outlineLevel="3" x14ac:dyDescent="0.2">
      <c r="A7643" s="14" t="s">
        <v>15042</v>
      </c>
      <c r="B7643" s="15" t="s">
        <v>15043</v>
      </c>
      <c r="C7643" s="16">
        <f>140/(1+B2)</f>
        <v>140</v>
      </c>
      <c r="D7643" s="17" t="s">
        <v>11</v>
      </c>
      <c r="E7643" s="17" t="s">
        <v>11</v>
      </c>
      <c r="F7643" s="18"/>
      <c r="G7643" s="36" t="str">
        <f>IF(ISNUMBER(F7643),C7643*F7643,"")</f>
        <v/>
      </c>
    </row>
    <row r="7644" spans="1:7" ht="12" customHeight="1" outlineLevel="3" x14ac:dyDescent="0.2">
      <c r="A7644" s="14" t="s">
        <v>15044</v>
      </c>
      <c r="B7644" s="15" t="s">
        <v>15045</v>
      </c>
      <c r="C7644" s="16">
        <f>403.75/(1+B2)</f>
        <v>403.75</v>
      </c>
      <c r="D7644" s="17" t="s">
        <v>11</v>
      </c>
      <c r="E7644" s="17"/>
      <c r="F7644" s="18"/>
      <c r="G7644" s="36" t="str">
        <f>IF(ISNUMBER(F7644),C7644*F7644,"")</f>
        <v/>
      </c>
    </row>
    <row r="7645" spans="1:7" ht="12" customHeight="1" outlineLevel="3" x14ac:dyDescent="0.2">
      <c r="A7645" s="14" t="s">
        <v>15046</v>
      </c>
      <c r="B7645" s="15" t="s">
        <v>15047</v>
      </c>
      <c r="C7645" s="16">
        <f>195.7/(1+B2)</f>
        <v>195.7</v>
      </c>
      <c r="D7645" s="17" t="s">
        <v>11</v>
      </c>
      <c r="E7645" s="17" t="s">
        <v>11</v>
      </c>
      <c r="F7645" s="18"/>
      <c r="G7645" s="36" t="str">
        <f>IF(ISNUMBER(F7645),C7645*F7645,"")</f>
        <v/>
      </c>
    </row>
    <row r="7646" spans="1:7" ht="12" customHeight="1" outlineLevel="3" x14ac:dyDescent="0.2">
      <c r="A7646" s="14" t="s">
        <v>15048</v>
      </c>
      <c r="B7646" s="15" t="s">
        <v>15049</v>
      </c>
      <c r="C7646" s="16">
        <f>269.7/(1+B2)</f>
        <v>269.7</v>
      </c>
      <c r="D7646" s="17" t="s">
        <v>11</v>
      </c>
      <c r="E7646" s="17"/>
      <c r="F7646" s="18"/>
      <c r="G7646" s="36" t="str">
        <f>IF(ISNUMBER(F7646),C7646*F7646,"")</f>
        <v/>
      </c>
    </row>
    <row r="7647" spans="1:7" ht="12" customHeight="1" outlineLevel="3" x14ac:dyDescent="0.2">
      <c r="A7647" s="14" t="s">
        <v>15050</v>
      </c>
      <c r="B7647" s="15" t="s">
        <v>15051</v>
      </c>
      <c r="C7647" s="16">
        <f>314.11/(1+B2)</f>
        <v>314.11</v>
      </c>
      <c r="D7647" s="17" t="s">
        <v>11</v>
      </c>
      <c r="E7647" s="17" t="s">
        <v>11</v>
      </c>
      <c r="F7647" s="18"/>
      <c r="G7647" s="36" t="str">
        <f>IF(ISNUMBER(F7647),C7647*F7647,"")</f>
        <v/>
      </c>
    </row>
    <row r="7648" spans="1:7" ht="12" customHeight="1" outlineLevel="3" x14ac:dyDescent="0.2">
      <c r="A7648" s="14" t="s">
        <v>15052</v>
      </c>
      <c r="B7648" s="15" t="s">
        <v>15053</v>
      </c>
      <c r="C7648" s="16">
        <f>452.24/(1+B2)</f>
        <v>452.24</v>
      </c>
      <c r="D7648" s="17" t="s">
        <v>11</v>
      </c>
      <c r="E7648" s="17"/>
      <c r="F7648" s="18"/>
      <c r="G7648" s="36" t="str">
        <f>IF(ISNUMBER(F7648),C7648*F7648,"")</f>
        <v/>
      </c>
    </row>
    <row r="7649" spans="1:7" ht="12" customHeight="1" outlineLevel="3" x14ac:dyDescent="0.2">
      <c r="A7649" s="14" t="s">
        <v>15054</v>
      </c>
      <c r="B7649" s="15" t="s">
        <v>15055</v>
      </c>
      <c r="C7649" s="16">
        <f>75/(1+B2)</f>
        <v>75</v>
      </c>
      <c r="D7649" s="17" t="s">
        <v>11</v>
      </c>
      <c r="E7649" s="17" t="s">
        <v>11</v>
      </c>
      <c r="F7649" s="18"/>
      <c r="G7649" s="36" t="str">
        <f>IF(ISNUMBER(F7649),C7649*F7649,"")</f>
        <v/>
      </c>
    </row>
    <row r="7650" spans="1:7" ht="12" customHeight="1" outlineLevel="3" x14ac:dyDescent="0.2">
      <c r="A7650" s="14" t="s">
        <v>15056</v>
      </c>
      <c r="B7650" s="15" t="s">
        <v>15057</v>
      </c>
      <c r="C7650" s="16">
        <f>81.25/(1+B2)</f>
        <v>81.25</v>
      </c>
      <c r="D7650" s="17" t="s">
        <v>11</v>
      </c>
      <c r="E7650" s="17" t="s">
        <v>14</v>
      </c>
      <c r="F7650" s="18"/>
      <c r="G7650" s="36" t="str">
        <f>IF(ISNUMBER(F7650),C7650*F7650,"")</f>
        <v/>
      </c>
    </row>
    <row r="7651" spans="1:7" ht="12" customHeight="1" outlineLevel="3" x14ac:dyDescent="0.2">
      <c r="A7651" s="14" t="s">
        <v>15058</v>
      </c>
      <c r="B7651" s="15" t="s">
        <v>15059</v>
      </c>
      <c r="C7651" s="16">
        <f>62.5/(1+B2)</f>
        <v>62.5</v>
      </c>
      <c r="D7651" s="17" t="s">
        <v>11</v>
      </c>
      <c r="E7651" s="17" t="s">
        <v>11</v>
      </c>
      <c r="F7651" s="18"/>
      <c r="G7651" s="36" t="str">
        <f>IF(ISNUMBER(F7651),C7651*F7651,"")</f>
        <v/>
      </c>
    </row>
    <row r="7652" spans="1:7" ht="12" customHeight="1" outlineLevel="3" x14ac:dyDescent="0.2">
      <c r="A7652" s="14" t="s">
        <v>15060</v>
      </c>
      <c r="B7652" s="15" t="s">
        <v>15061</v>
      </c>
      <c r="C7652" s="16">
        <f>86.25/(1+B2)</f>
        <v>86.25</v>
      </c>
      <c r="D7652" s="17" t="s">
        <v>11</v>
      </c>
      <c r="E7652" s="17" t="s">
        <v>11</v>
      </c>
      <c r="F7652" s="18"/>
      <c r="G7652" s="36" t="str">
        <f>IF(ISNUMBER(F7652),C7652*F7652,"")</f>
        <v/>
      </c>
    </row>
    <row r="7653" spans="1:7" ht="12" customHeight="1" outlineLevel="3" x14ac:dyDescent="0.2">
      <c r="A7653" s="14" t="s">
        <v>15062</v>
      </c>
      <c r="B7653" s="15" t="s">
        <v>15063</v>
      </c>
      <c r="C7653" s="16">
        <f>110/(1+B2)</f>
        <v>110</v>
      </c>
      <c r="D7653" s="17" t="s">
        <v>11</v>
      </c>
      <c r="E7653" s="17" t="s">
        <v>11</v>
      </c>
      <c r="F7653" s="18"/>
      <c r="G7653" s="36" t="str">
        <f>IF(ISNUMBER(F7653),C7653*F7653,"")</f>
        <v/>
      </c>
    </row>
    <row r="7654" spans="1:7" s="1" customFormat="1" ht="15.95" customHeight="1" outlineLevel="1" x14ac:dyDescent="0.25">
      <c r="A7654" s="11"/>
      <c r="B7654" s="12" t="s">
        <v>15064</v>
      </c>
      <c r="C7654" s="13"/>
      <c r="D7654" s="13"/>
      <c r="E7654" s="13"/>
      <c r="F7654" s="13"/>
      <c r="G7654" s="35"/>
    </row>
    <row r="7655" spans="1:7" s="1" customFormat="1" ht="12.95" customHeight="1" outlineLevel="2" x14ac:dyDescent="0.2">
      <c r="A7655" s="20"/>
      <c r="B7655" s="21" t="s">
        <v>15065</v>
      </c>
      <c r="C7655" s="22"/>
      <c r="D7655" s="22"/>
      <c r="E7655" s="22"/>
      <c r="F7655" s="22"/>
      <c r="G7655" s="37"/>
    </row>
    <row r="7656" spans="1:7" ht="12" customHeight="1" outlineLevel="3" x14ac:dyDescent="0.2">
      <c r="A7656" s="14" t="s">
        <v>15066</v>
      </c>
      <c r="B7656" s="15" t="s">
        <v>15067</v>
      </c>
      <c r="C7656" s="19">
        <f>1196.53/(1+B2)</f>
        <v>1196.53</v>
      </c>
      <c r="D7656" s="17" t="s">
        <v>11</v>
      </c>
      <c r="E7656" s="17" t="s">
        <v>11</v>
      </c>
      <c r="F7656" s="18"/>
      <c r="G7656" s="36" t="str">
        <f>IF(ISNUMBER(F7656),C7656*F7656,"")</f>
        <v/>
      </c>
    </row>
    <row r="7657" spans="1:7" ht="12" customHeight="1" outlineLevel="3" x14ac:dyDescent="0.2">
      <c r="A7657" s="14" t="s">
        <v>15068</v>
      </c>
      <c r="B7657" s="15" t="s">
        <v>15069</v>
      </c>
      <c r="C7657" s="19">
        <f>1196.53/(1+B2)</f>
        <v>1196.53</v>
      </c>
      <c r="D7657" s="17" t="s">
        <v>11</v>
      </c>
      <c r="E7657" s="17"/>
      <c r="F7657" s="18"/>
      <c r="G7657" s="36" t="str">
        <f>IF(ISNUMBER(F7657),C7657*F7657,"")</f>
        <v/>
      </c>
    </row>
    <row r="7658" spans="1:7" ht="12" customHeight="1" outlineLevel="3" x14ac:dyDescent="0.2">
      <c r="A7658" s="14" t="s">
        <v>15070</v>
      </c>
      <c r="B7658" s="15" t="s">
        <v>15071</v>
      </c>
      <c r="C7658" s="19">
        <f>1382/(1+B2)</f>
        <v>1382</v>
      </c>
      <c r="D7658" s="17" t="s">
        <v>11</v>
      </c>
      <c r="E7658" s="17" t="s">
        <v>11</v>
      </c>
      <c r="F7658" s="18"/>
      <c r="G7658" s="36" t="str">
        <f>IF(ISNUMBER(F7658),C7658*F7658,"")</f>
        <v/>
      </c>
    </row>
    <row r="7659" spans="1:7" ht="12" customHeight="1" outlineLevel="3" x14ac:dyDescent="0.2">
      <c r="A7659" s="14" t="s">
        <v>15072</v>
      </c>
      <c r="B7659" s="15" t="s">
        <v>15073</v>
      </c>
      <c r="C7659" s="19">
        <f>4957.5/(1+B2)</f>
        <v>4957.5</v>
      </c>
      <c r="D7659" s="17" t="s">
        <v>11</v>
      </c>
      <c r="E7659" s="17"/>
      <c r="F7659" s="18"/>
      <c r="G7659" s="36" t="str">
        <f>IF(ISNUMBER(F7659),C7659*F7659,"")</f>
        <v/>
      </c>
    </row>
    <row r="7660" spans="1:7" ht="12" customHeight="1" outlineLevel="3" x14ac:dyDescent="0.2">
      <c r="A7660" s="14" t="s">
        <v>15074</v>
      </c>
      <c r="B7660" s="15" t="s">
        <v>15075</v>
      </c>
      <c r="C7660" s="19">
        <f>2407.5/(1+B2)</f>
        <v>2407.5</v>
      </c>
      <c r="D7660" s="17" t="s">
        <v>11</v>
      </c>
      <c r="E7660" s="17" t="s">
        <v>11</v>
      </c>
      <c r="F7660" s="18"/>
      <c r="G7660" s="36" t="str">
        <f>IF(ISNUMBER(F7660),C7660*F7660,"")</f>
        <v/>
      </c>
    </row>
    <row r="7661" spans="1:7" ht="12" customHeight="1" outlineLevel="3" x14ac:dyDescent="0.2">
      <c r="A7661" s="14" t="s">
        <v>15076</v>
      </c>
      <c r="B7661" s="15" t="s">
        <v>15077</v>
      </c>
      <c r="C7661" s="19">
        <f>2847.5/(1+B2)</f>
        <v>2847.5</v>
      </c>
      <c r="D7661" s="17" t="s">
        <v>11</v>
      </c>
      <c r="E7661" s="17" t="s">
        <v>11</v>
      </c>
      <c r="F7661" s="18"/>
      <c r="G7661" s="36" t="str">
        <f>IF(ISNUMBER(F7661),C7661*F7661,"")</f>
        <v/>
      </c>
    </row>
    <row r="7662" spans="1:7" ht="12" customHeight="1" outlineLevel="3" x14ac:dyDescent="0.2">
      <c r="A7662" s="14" t="s">
        <v>15078</v>
      </c>
      <c r="B7662" s="15" t="s">
        <v>15079</v>
      </c>
      <c r="C7662" s="19">
        <f>2628.75/(1+B2)</f>
        <v>2628.75</v>
      </c>
      <c r="D7662" s="17" t="s">
        <v>11</v>
      </c>
      <c r="E7662" s="17" t="s">
        <v>11</v>
      </c>
      <c r="F7662" s="18"/>
      <c r="G7662" s="36" t="str">
        <f>IF(ISNUMBER(F7662),C7662*F7662,"")</f>
        <v/>
      </c>
    </row>
    <row r="7663" spans="1:7" ht="12" customHeight="1" outlineLevel="3" x14ac:dyDescent="0.2">
      <c r="A7663" s="14" t="s">
        <v>15080</v>
      </c>
      <c r="B7663" s="15" t="s">
        <v>15081</v>
      </c>
      <c r="C7663" s="19">
        <f>3218.75/(1+B2)</f>
        <v>3218.75</v>
      </c>
      <c r="D7663" s="17" t="s">
        <v>11</v>
      </c>
      <c r="E7663" s="17" t="s">
        <v>11</v>
      </c>
      <c r="F7663" s="18"/>
      <c r="G7663" s="36" t="str">
        <f>IF(ISNUMBER(F7663),C7663*F7663,"")</f>
        <v/>
      </c>
    </row>
    <row r="7664" spans="1:7" ht="12" customHeight="1" outlineLevel="3" x14ac:dyDescent="0.2">
      <c r="A7664" s="14" t="s">
        <v>15082</v>
      </c>
      <c r="B7664" s="15" t="s">
        <v>15083</v>
      </c>
      <c r="C7664" s="19">
        <f>7215/(1+B2)</f>
        <v>7215</v>
      </c>
      <c r="D7664" s="17" t="s">
        <v>11</v>
      </c>
      <c r="E7664" s="17" t="s">
        <v>11</v>
      </c>
      <c r="F7664" s="18"/>
      <c r="G7664" s="36" t="str">
        <f>IF(ISNUMBER(F7664),C7664*F7664,"")</f>
        <v/>
      </c>
    </row>
    <row r="7665" spans="1:7" ht="12" customHeight="1" outlineLevel="3" x14ac:dyDescent="0.2">
      <c r="A7665" s="14" t="s">
        <v>15084</v>
      </c>
      <c r="B7665" s="15" t="s">
        <v>15085</v>
      </c>
      <c r="C7665" s="19">
        <f>4158/(1+B2)</f>
        <v>4158</v>
      </c>
      <c r="D7665" s="17" t="s">
        <v>11</v>
      </c>
      <c r="E7665" s="17" t="s">
        <v>11</v>
      </c>
      <c r="F7665" s="18"/>
      <c r="G7665" s="36" t="str">
        <f>IF(ISNUMBER(F7665),C7665*F7665,"")</f>
        <v/>
      </c>
    </row>
    <row r="7666" spans="1:7" ht="12" customHeight="1" outlineLevel="3" x14ac:dyDescent="0.2">
      <c r="A7666" s="14" t="s">
        <v>15086</v>
      </c>
      <c r="B7666" s="15" t="s">
        <v>15087</v>
      </c>
      <c r="C7666" s="19">
        <f>4158/(1+B2)</f>
        <v>4158</v>
      </c>
      <c r="D7666" s="17" t="s">
        <v>11</v>
      </c>
      <c r="E7666" s="17" t="s">
        <v>11</v>
      </c>
      <c r="F7666" s="18"/>
      <c r="G7666" s="36" t="str">
        <f>IF(ISNUMBER(F7666),C7666*F7666,"")</f>
        <v/>
      </c>
    </row>
    <row r="7667" spans="1:7" ht="12" customHeight="1" outlineLevel="3" x14ac:dyDescent="0.2">
      <c r="A7667" s="14" t="s">
        <v>15088</v>
      </c>
      <c r="B7667" s="15" t="s">
        <v>15089</v>
      </c>
      <c r="C7667" s="19">
        <f>10716/(1+B2)</f>
        <v>10716</v>
      </c>
      <c r="D7667" s="17" t="s">
        <v>11</v>
      </c>
      <c r="E7667" s="17"/>
      <c r="F7667" s="18"/>
      <c r="G7667" s="36" t="str">
        <f>IF(ISNUMBER(F7667),C7667*F7667,"")</f>
        <v/>
      </c>
    </row>
    <row r="7668" spans="1:7" ht="12" customHeight="1" outlineLevel="3" x14ac:dyDescent="0.2">
      <c r="A7668" s="14" t="s">
        <v>15090</v>
      </c>
      <c r="B7668" s="15" t="s">
        <v>15091</v>
      </c>
      <c r="C7668" s="19">
        <f>31780/(1+B2)</f>
        <v>31780</v>
      </c>
      <c r="D7668" s="17" t="s">
        <v>11</v>
      </c>
      <c r="E7668" s="17"/>
      <c r="F7668" s="18"/>
      <c r="G7668" s="36" t="str">
        <f>IF(ISNUMBER(F7668),C7668*F7668,"")</f>
        <v/>
      </c>
    </row>
    <row r="7669" spans="1:7" ht="12" customHeight="1" outlineLevel="3" x14ac:dyDescent="0.2">
      <c r="A7669" s="14" t="s">
        <v>15092</v>
      </c>
      <c r="B7669" s="15" t="s">
        <v>15093</v>
      </c>
      <c r="C7669" s="19">
        <f>14644.8/(1+B2)</f>
        <v>14644.8</v>
      </c>
      <c r="D7669" s="17" t="s">
        <v>11</v>
      </c>
      <c r="E7669" s="17"/>
      <c r="F7669" s="18"/>
      <c r="G7669" s="36" t="str">
        <f>IF(ISNUMBER(F7669),C7669*F7669,"")</f>
        <v/>
      </c>
    </row>
    <row r="7670" spans="1:7" ht="24" customHeight="1" outlineLevel="3" x14ac:dyDescent="0.2">
      <c r="A7670" s="14" t="s">
        <v>15094</v>
      </c>
      <c r="B7670" s="15" t="s">
        <v>15095</v>
      </c>
      <c r="C7670" s="19">
        <f>2321.25/(1+B2)</f>
        <v>2321.25</v>
      </c>
      <c r="D7670" s="17" t="s">
        <v>11</v>
      </c>
      <c r="E7670" s="17"/>
      <c r="F7670" s="18"/>
      <c r="G7670" s="36" t="str">
        <f>IF(ISNUMBER(F7670),C7670*F7670,"")</f>
        <v/>
      </c>
    </row>
    <row r="7671" spans="1:7" ht="12" customHeight="1" outlineLevel="3" x14ac:dyDescent="0.2">
      <c r="A7671" s="14" t="s">
        <v>15096</v>
      </c>
      <c r="B7671" s="15" t="s">
        <v>15097</v>
      </c>
      <c r="C7671" s="19">
        <f>6433.75/(1+B2)</f>
        <v>6433.75</v>
      </c>
      <c r="D7671" s="17" t="s">
        <v>11</v>
      </c>
      <c r="E7671" s="17" t="s">
        <v>11</v>
      </c>
      <c r="F7671" s="18"/>
      <c r="G7671" s="36" t="str">
        <f>IF(ISNUMBER(F7671),C7671*F7671,"")</f>
        <v/>
      </c>
    </row>
    <row r="7672" spans="1:7" ht="24" customHeight="1" outlineLevel="3" x14ac:dyDescent="0.2">
      <c r="A7672" s="14" t="s">
        <v>15098</v>
      </c>
      <c r="B7672" s="15" t="s">
        <v>15099</v>
      </c>
      <c r="C7672" s="19">
        <f>3832.5/(1+B2)</f>
        <v>3832.5</v>
      </c>
      <c r="D7672" s="17" t="s">
        <v>11</v>
      </c>
      <c r="E7672" s="17" t="s">
        <v>11</v>
      </c>
      <c r="F7672" s="18"/>
      <c r="G7672" s="36" t="str">
        <f>IF(ISNUMBER(F7672),C7672*F7672,"")</f>
        <v/>
      </c>
    </row>
    <row r="7673" spans="1:7" ht="12" customHeight="1" outlineLevel="3" x14ac:dyDescent="0.2">
      <c r="A7673" s="14" t="s">
        <v>15100</v>
      </c>
      <c r="B7673" s="15" t="s">
        <v>15101</v>
      </c>
      <c r="C7673" s="19">
        <f>5258.75/(1+B2)</f>
        <v>5258.75</v>
      </c>
      <c r="D7673" s="17" t="s">
        <v>11</v>
      </c>
      <c r="E7673" s="17" t="s">
        <v>11</v>
      </c>
      <c r="F7673" s="18"/>
      <c r="G7673" s="36" t="str">
        <f>IF(ISNUMBER(F7673),C7673*F7673,"")</f>
        <v/>
      </c>
    </row>
    <row r="7674" spans="1:7" ht="12" customHeight="1" outlineLevel="3" x14ac:dyDescent="0.2">
      <c r="A7674" s="14" t="s">
        <v>15102</v>
      </c>
      <c r="B7674" s="15" t="s">
        <v>15103</v>
      </c>
      <c r="C7674" s="19">
        <f>1713.15/(1+B2)</f>
        <v>1713.15</v>
      </c>
      <c r="D7674" s="17" t="s">
        <v>11</v>
      </c>
      <c r="E7674" s="17"/>
      <c r="F7674" s="18"/>
      <c r="G7674" s="36" t="str">
        <f>IF(ISNUMBER(F7674),C7674*F7674,"")</f>
        <v/>
      </c>
    </row>
    <row r="7675" spans="1:7" ht="12" customHeight="1" outlineLevel="3" x14ac:dyDescent="0.2">
      <c r="A7675" s="14" t="s">
        <v>15104</v>
      </c>
      <c r="B7675" s="15" t="s">
        <v>15105</v>
      </c>
      <c r="C7675" s="19">
        <f>1710.72/(1+B2)</f>
        <v>1710.72</v>
      </c>
      <c r="D7675" s="17" t="s">
        <v>11</v>
      </c>
      <c r="E7675" s="17"/>
      <c r="F7675" s="18"/>
      <c r="G7675" s="36" t="str">
        <f>IF(ISNUMBER(F7675),C7675*F7675,"")</f>
        <v/>
      </c>
    </row>
    <row r="7676" spans="1:7" ht="12" customHeight="1" outlineLevel="3" x14ac:dyDescent="0.2">
      <c r="A7676" s="14" t="s">
        <v>15106</v>
      </c>
      <c r="B7676" s="15" t="s">
        <v>15107</v>
      </c>
      <c r="C7676" s="19">
        <f>2796.25/(1+B2)</f>
        <v>2796.25</v>
      </c>
      <c r="D7676" s="17" t="s">
        <v>11</v>
      </c>
      <c r="E7676" s="17" t="s">
        <v>11</v>
      </c>
      <c r="F7676" s="18"/>
      <c r="G7676" s="36" t="str">
        <f>IF(ISNUMBER(F7676),C7676*F7676,"")</f>
        <v/>
      </c>
    </row>
    <row r="7677" spans="1:7" ht="12" customHeight="1" outlineLevel="3" x14ac:dyDescent="0.2">
      <c r="A7677" s="14" t="s">
        <v>15108</v>
      </c>
      <c r="B7677" s="15" t="s">
        <v>15109</v>
      </c>
      <c r="C7677" s="19">
        <f>6863.75/(1+B2)</f>
        <v>6863.75</v>
      </c>
      <c r="D7677" s="17" t="s">
        <v>11</v>
      </c>
      <c r="E7677" s="17" t="s">
        <v>11</v>
      </c>
      <c r="F7677" s="18"/>
      <c r="G7677" s="36" t="str">
        <f>IF(ISNUMBER(F7677),C7677*F7677,"")</f>
        <v/>
      </c>
    </row>
    <row r="7678" spans="1:7" ht="12" customHeight="1" outlineLevel="3" x14ac:dyDescent="0.2">
      <c r="A7678" s="14" t="s">
        <v>15110</v>
      </c>
      <c r="B7678" s="15" t="s">
        <v>15111</v>
      </c>
      <c r="C7678" s="19">
        <f>13570/(1+B2)</f>
        <v>13570</v>
      </c>
      <c r="D7678" s="17" t="s">
        <v>11</v>
      </c>
      <c r="E7678" s="17"/>
      <c r="F7678" s="18"/>
      <c r="G7678" s="36" t="str">
        <f>IF(ISNUMBER(F7678),C7678*F7678,"")</f>
        <v/>
      </c>
    </row>
    <row r="7679" spans="1:7" ht="12" customHeight="1" outlineLevel="3" x14ac:dyDescent="0.2">
      <c r="A7679" s="14" t="s">
        <v>15112</v>
      </c>
      <c r="B7679" s="15" t="s">
        <v>15113</v>
      </c>
      <c r="C7679" s="19">
        <f>10385/(1+B2)</f>
        <v>10385</v>
      </c>
      <c r="D7679" s="17" t="s">
        <v>11</v>
      </c>
      <c r="E7679" s="17" t="s">
        <v>11</v>
      </c>
      <c r="F7679" s="18"/>
      <c r="G7679" s="36" t="str">
        <f>IF(ISNUMBER(F7679),C7679*F7679,"")</f>
        <v/>
      </c>
    </row>
    <row r="7680" spans="1:7" ht="12" customHeight="1" outlineLevel="3" x14ac:dyDescent="0.2">
      <c r="A7680" s="14" t="s">
        <v>15114</v>
      </c>
      <c r="B7680" s="15" t="s">
        <v>15115</v>
      </c>
      <c r="C7680" s="19">
        <f>5527/(1+B2)</f>
        <v>5527</v>
      </c>
      <c r="D7680" s="17" t="s">
        <v>11</v>
      </c>
      <c r="E7680" s="17" t="s">
        <v>11</v>
      </c>
      <c r="F7680" s="18"/>
      <c r="G7680" s="36" t="str">
        <f>IF(ISNUMBER(F7680),C7680*F7680,"")</f>
        <v/>
      </c>
    </row>
    <row r="7681" spans="1:7" ht="12" customHeight="1" outlineLevel="3" x14ac:dyDescent="0.2">
      <c r="A7681" s="14" t="s">
        <v>15116</v>
      </c>
      <c r="B7681" s="15" t="s">
        <v>15117</v>
      </c>
      <c r="C7681" s="19">
        <f>11054/(1+B2)</f>
        <v>11054</v>
      </c>
      <c r="D7681" s="17" t="s">
        <v>11</v>
      </c>
      <c r="E7681" s="17"/>
      <c r="F7681" s="18"/>
      <c r="G7681" s="36" t="str">
        <f>IF(ISNUMBER(F7681),C7681*F7681,"")</f>
        <v/>
      </c>
    </row>
    <row r="7682" spans="1:7" ht="12" customHeight="1" outlineLevel="3" x14ac:dyDescent="0.2">
      <c r="A7682" s="14" t="s">
        <v>15118</v>
      </c>
      <c r="B7682" s="15" t="s">
        <v>15119</v>
      </c>
      <c r="C7682" s="19">
        <f>4753/(1+B2)</f>
        <v>4753</v>
      </c>
      <c r="D7682" s="17" t="s">
        <v>11</v>
      </c>
      <c r="E7682" s="17"/>
      <c r="F7682" s="18"/>
      <c r="G7682" s="36" t="str">
        <f>IF(ISNUMBER(F7682),C7682*F7682,"")</f>
        <v/>
      </c>
    </row>
    <row r="7683" spans="1:7" ht="12" customHeight="1" outlineLevel="3" x14ac:dyDescent="0.2">
      <c r="A7683" s="14" t="s">
        <v>15120</v>
      </c>
      <c r="B7683" s="15" t="s">
        <v>15121</v>
      </c>
      <c r="C7683" s="19">
        <f>5061.25/(1+B2)</f>
        <v>5061.25</v>
      </c>
      <c r="D7683" s="17" t="s">
        <v>11</v>
      </c>
      <c r="E7683" s="17"/>
      <c r="F7683" s="18"/>
      <c r="G7683" s="36" t="str">
        <f>IF(ISNUMBER(F7683),C7683*F7683,"")</f>
        <v/>
      </c>
    </row>
    <row r="7684" spans="1:7" ht="12" customHeight="1" outlineLevel="3" x14ac:dyDescent="0.2">
      <c r="A7684" s="14" t="s">
        <v>15122</v>
      </c>
      <c r="B7684" s="15" t="s">
        <v>15123</v>
      </c>
      <c r="C7684" s="19">
        <f>15110/(1+B2)</f>
        <v>15110</v>
      </c>
      <c r="D7684" s="17" t="s">
        <v>11</v>
      </c>
      <c r="E7684" s="17"/>
      <c r="F7684" s="18"/>
      <c r="G7684" s="36" t="str">
        <f>IF(ISNUMBER(F7684),C7684*F7684,"")</f>
        <v/>
      </c>
    </row>
    <row r="7685" spans="1:7" ht="12" customHeight="1" outlineLevel="3" x14ac:dyDescent="0.2">
      <c r="A7685" s="14" t="s">
        <v>15124</v>
      </c>
      <c r="B7685" s="15" t="s">
        <v>15125</v>
      </c>
      <c r="C7685" s="19">
        <f>3220.12/(1+B2)</f>
        <v>3220.12</v>
      </c>
      <c r="D7685" s="17" t="s">
        <v>11</v>
      </c>
      <c r="E7685" s="17" t="s">
        <v>11</v>
      </c>
      <c r="F7685" s="18"/>
      <c r="G7685" s="36" t="str">
        <f>IF(ISNUMBER(F7685),C7685*F7685,"")</f>
        <v/>
      </c>
    </row>
    <row r="7686" spans="1:7" ht="12" customHeight="1" outlineLevel="3" x14ac:dyDescent="0.2">
      <c r="A7686" s="14" t="s">
        <v>15126</v>
      </c>
      <c r="B7686" s="15" t="s">
        <v>15127</v>
      </c>
      <c r="C7686" s="19">
        <f>2263.75/(1+B2)</f>
        <v>2263.75</v>
      </c>
      <c r="D7686" s="17" t="s">
        <v>11</v>
      </c>
      <c r="E7686" s="17" t="s">
        <v>11</v>
      </c>
      <c r="F7686" s="18"/>
      <c r="G7686" s="36" t="str">
        <f>IF(ISNUMBER(F7686),C7686*F7686,"")</f>
        <v/>
      </c>
    </row>
    <row r="7687" spans="1:7" ht="12" customHeight="1" outlineLevel="3" x14ac:dyDescent="0.2">
      <c r="A7687" s="14" t="s">
        <v>15128</v>
      </c>
      <c r="B7687" s="15" t="s">
        <v>15129</v>
      </c>
      <c r="C7687" s="19">
        <f>3420/(1+B2)</f>
        <v>3420</v>
      </c>
      <c r="D7687" s="17" t="s">
        <v>11</v>
      </c>
      <c r="E7687" s="17"/>
      <c r="F7687" s="18"/>
      <c r="G7687" s="36" t="str">
        <f>IF(ISNUMBER(F7687),C7687*F7687,"")</f>
        <v/>
      </c>
    </row>
    <row r="7688" spans="1:7" ht="12" customHeight="1" outlineLevel="3" x14ac:dyDescent="0.2">
      <c r="A7688" s="14" t="s">
        <v>15130</v>
      </c>
      <c r="B7688" s="15" t="s">
        <v>15131</v>
      </c>
      <c r="C7688" s="19">
        <f>10290.63/(1+B2)</f>
        <v>10290.629999999999</v>
      </c>
      <c r="D7688" s="17" t="s">
        <v>11</v>
      </c>
      <c r="E7688" s="17" t="s">
        <v>11</v>
      </c>
      <c r="F7688" s="18"/>
      <c r="G7688" s="36" t="str">
        <f>IF(ISNUMBER(F7688),C7688*F7688,"")</f>
        <v/>
      </c>
    </row>
    <row r="7689" spans="1:7" ht="12" customHeight="1" outlineLevel="3" x14ac:dyDescent="0.2">
      <c r="A7689" s="14" t="s">
        <v>15132</v>
      </c>
      <c r="B7689" s="15" t="s">
        <v>15133</v>
      </c>
      <c r="C7689" s="19">
        <f>3960.16/(1+B2)</f>
        <v>3960.16</v>
      </c>
      <c r="D7689" s="17" t="s">
        <v>11</v>
      </c>
      <c r="E7689" s="17" t="s">
        <v>11</v>
      </c>
      <c r="F7689" s="18"/>
      <c r="G7689" s="36" t="str">
        <f>IF(ISNUMBER(F7689),C7689*F7689,"")</f>
        <v/>
      </c>
    </row>
    <row r="7690" spans="1:7" ht="12" customHeight="1" outlineLevel="3" x14ac:dyDescent="0.2">
      <c r="A7690" s="14" t="s">
        <v>15134</v>
      </c>
      <c r="B7690" s="15" t="s">
        <v>15135</v>
      </c>
      <c r="C7690" s="19">
        <f>4343.75/(1+B2)</f>
        <v>4343.75</v>
      </c>
      <c r="D7690" s="17" t="s">
        <v>11</v>
      </c>
      <c r="E7690" s="17"/>
      <c r="F7690" s="18"/>
      <c r="G7690" s="36" t="str">
        <f>IF(ISNUMBER(F7690),C7690*F7690,"")</f>
        <v/>
      </c>
    </row>
    <row r="7691" spans="1:7" s="1" customFormat="1" ht="12.95" customHeight="1" outlineLevel="2" x14ac:dyDescent="0.2">
      <c r="A7691" s="20"/>
      <c r="B7691" s="21" t="s">
        <v>15136</v>
      </c>
      <c r="C7691" s="22"/>
      <c r="D7691" s="22"/>
      <c r="E7691" s="22"/>
      <c r="F7691" s="22"/>
      <c r="G7691" s="37"/>
    </row>
    <row r="7692" spans="1:7" ht="24" customHeight="1" outlineLevel="3" x14ac:dyDescent="0.2">
      <c r="A7692" s="14" t="s">
        <v>15137</v>
      </c>
      <c r="B7692" s="15" t="s">
        <v>15138</v>
      </c>
      <c r="C7692" s="16">
        <f>132.98/(1+B2)</f>
        <v>132.97999999999999</v>
      </c>
      <c r="D7692" s="17" t="s">
        <v>11</v>
      </c>
      <c r="E7692" s="17"/>
      <c r="F7692" s="18"/>
      <c r="G7692" s="36" t="str">
        <f>IF(ISNUMBER(F7692),C7692*F7692,"")</f>
        <v/>
      </c>
    </row>
    <row r="7693" spans="1:7" ht="12" customHeight="1" outlineLevel="3" x14ac:dyDescent="0.2">
      <c r="A7693" s="14" t="s">
        <v>15139</v>
      </c>
      <c r="B7693" s="15" t="s">
        <v>15140</v>
      </c>
      <c r="C7693" s="16">
        <f>127.5/(1+B2)</f>
        <v>127.5</v>
      </c>
      <c r="D7693" s="17" t="s">
        <v>11</v>
      </c>
      <c r="E7693" s="17" t="s">
        <v>11</v>
      </c>
      <c r="F7693" s="18"/>
      <c r="G7693" s="36" t="str">
        <f>IF(ISNUMBER(F7693),C7693*F7693,"")</f>
        <v/>
      </c>
    </row>
    <row r="7694" spans="1:7" ht="12" customHeight="1" outlineLevel="3" x14ac:dyDescent="0.2">
      <c r="A7694" s="14" t="s">
        <v>15141</v>
      </c>
      <c r="B7694" s="15" t="s">
        <v>15142</v>
      </c>
      <c r="C7694" s="16">
        <f>2.18/(1+B2)</f>
        <v>2.1800000000000002</v>
      </c>
      <c r="D7694" s="17" t="s">
        <v>106</v>
      </c>
      <c r="E7694" s="17" t="s">
        <v>106</v>
      </c>
      <c r="F7694" s="18"/>
      <c r="G7694" s="36" t="str">
        <f>IF(ISNUMBER(F7694),C7694*F7694,"")</f>
        <v/>
      </c>
    </row>
    <row r="7695" spans="1:7" ht="12" customHeight="1" outlineLevel="3" x14ac:dyDescent="0.2">
      <c r="A7695" s="14" t="s">
        <v>15143</v>
      </c>
      <c r="B7695" s="15" t="s">
        <v>15144</v>
      </c>
      <c r="C7695" s="16">
        <f>7.5/(1+B2)</f>
        <v>7.5</v>
      </c>
      <c r="D7695" s="17" t="s">
        <v>11</v>
      </c>
      <c r="E7695" s="17"/>
      <c r="F7695" s="18"/>
      <c r="G7695" s="36" t="str">
        <f>IF(ISNUMBER(F7695),C7695*F7695,"")</f>
        <v/>
      </c>
    </row>
    <row r="7696" spans="1:7" ht="12" customHeight="1" outlineLevel="3" x14ac:dyDescent="0.2">
      <c r="A7696" s="14" t="s">
        <v>15145</v>
      </c>
      <c r="B7696" s="15" t="s">
        <v>15146</v>
      </c>
      <c r="C7696" s="16">
        <f>14.33/(1+B2)</f>
        <v>14.33</v>
      </c>
      <c r="D7696" s="17" t="s">
        <v>11</v>
      </c>
      <c r="E7696" s="17"/>
      <c r="F7696" s="18"/>
      <c r="G7696" s="36" t="str">
        <f>IF(ISNUMBER(F7696),C7696*F7696,"")</f>
        <v/>
      </c>
    </row>
    <row r="7697" spans="1:7" ht="12" customHeight="1" outlineLevel="3" x14ac:dyDescent="0.2">
      <c r="A7697" s="14" t="s">
        <v>15147</v>
      </c>
      <c r="B7697" s="15" t="s">
        <v>15148</v>
      </c>
      <c r="C7697" s="16">
        <f>38.28/(1+B2)</f>
        <v>38.28</v>
      </c>
      <c r="D7697" s="17" t="s">
        <v>11</v>
      </c>
      <c r="E7697" s="17"/>
      <c r="F7697" s="18"/>
      <c r="G7697" s="36" t="str">
        <f>IF(ISNUMBER(F7697),C7697*F7697,"")</f>
        <v/>
      </c>
    </row>
    <row r="7698" spans="1:7" ht="12" customHeight="1" outlineLevel="3" x14ac:dyDescent="0.2">
      <c r="A7698" s="14" t="s">
        <v>15149</v>
      </c>
      <c r="B7698" s="15" t="s">
        <v>15150</v>
      </c>
      <c r="C7698" s="16">
        <f>567.84/(1+B2)</f>
        <v>567.84</v>
      </c>
      <c r="D7698" s="17" t="s">
        <v>14</v>
      </c>
      <c r="E7698" s="17"/>
      <c r="F7698" s="18"/>
      <c r="G7698" s="36" t="str">
        <f>IF(ISNUMBER(F7698),C7698*F7698,"")</f>
        <v/>
      </c>
    </row>
    <row r="7699" spans="1:7" ht="12" customHeight="1" outlineLevel="3" x14ac:dyDescent="0.2">
      <c r="A7699" s="14" t="s">
        <v>15151</v>
      </c>
      <c r="B7699" s="15" t="s">
        <v>15152</v>
      </c>
      <c r="C7699" s="16">
        <f>600.6/(1+B2)</f>
        <v>600.6</v>
      </c>
      <c r="D7699" s="17" t="s">
        <v>14</v>
      </c>
      <c r="E7699" s="17"/>
      <c r="F7699" s="18"/>
      <c r="G7699" s="36" t="str">
        <f>IF(ISNUMBER(F7699),C7699*F7699,"")</f>
        <v/>
      </c>
    </row>
    <row r="7700" spans="1:7" ht="12" customHeight="1" outlineLevel="3" x14ac:dyDescent="0.2">
      <c r="A7700" s="14" t="s">
        <v>15153</v>
      </c>
      <c r="B7700" s="15" t="s">
        <v>15154</v>
      </c>
      <c r="C7700" s="16">
        <f>51.86/(1+B2)</f>
        <v>51.86</v>
      </c>
      <c r="D7700" s="17" t="s">
        <v>53</v>
      </c>
      <c r="E7700" s="17"/>
      <c r="F7700" s="18"/>
      <c r="G7700" s="36" t="str">
        <f>IF(ISNUMBER(F7700),C7700*F7700,"")</f>
        <v/>
      </c>
    </row>
    <row r="7701" spans="1:7" ht="12" customHeight="1" outlineLevel="3" x14ac:dyDescent="0.2">
      <c r="A7701" s="14" t="s">
        <v>15155</v>
      </c>
      <c r="B7701" s="15" t="s">
        <v>15156</v>
      </c>
      <c r="C7701" s="16">
        <f>75.84/(1+B2)</f>
        <v>75.84</v>
      </c>
      <c r="D7701" s="17" t="s">
        <v>14</v>
      </c>
      <c r="E7701" s="17"/>
      <c r="F7701" s="18"/>
      <c r="G7701" s="36" t="str">
        <f>IF(ISNUMBER(F7701),C7701*F7701,"")</f>
        <v/>
      </c>
    </row>
    <row r="7702" spans="1:7" ht="12" customHeight="1" outlineLevel="3" x14ac:dyDescent="0.2">
      <c r="A7702" s="14" t="s">
        <v>15157</v>
      </c>
      <c r="B7702" s="15" t="s">
        <v>15158</v>
      </c>
      <c r="C7702" s="16">
        <f>92.22/(1+B2)</f>
        <v>92.22</v>
      </c>
      <c r="D7702" s="17" t="s">
        <v>14</v>
      </c>
      <c r="E7702" s="17"/>
      <c r="F7702" s="18"/>
      <c r="G7702" s="36" t="str">
        <f>IF(ISNUMBER(F7702),C7702*F7702,"")</f>
        <v/>
      </c>
    </row>
    <row r="7703" spans="1:7" ht="12" customHeight="1" outlineLevel="3" x14ac:dyDescent="0.2">
      <c r="A7703" s="14" t="s">
        <v>15159</v>
      </c>
      <c r="B7703" s="15" t="s">
        <v>15160</v>
      </c>
      <c r="C7703" s="16">
        <f>167.59/(1+B2)</f>
        <v>167.59</v>
      </c>
      <c r="D7703" s="17" t="s">
        <v>53</v>
      </c>
      <c r="E7703" s="17"/>
      <c r="F7703" s="18"/>
      <c r="G7703" s="36" t="str">
        <f>IF(ISNUMBER(F7703),C7703*F7703,"")</f>
        <v/>
      </c>
    </row>
    <row r="7704" spans="1:7" ht="12" customHeight="1" outlineLevel="3" x14ac:dyDescent="0.2">
      <c r="A7704" s="14" t="s">
        <v>15161</v>
      </c>
      <c r="B7704" s="15" t="s">
        <v>15162</v>
      </c>
      <c r="C7704" s="16">
        <f>175.08/(1+B2)</f>
        <v>175.08</v>
      </c>
      <c r="D7704" s="17" t="s">
        <v>53</v>
      </c>
      <c r="E7704" s="17"/>
      <c r="F7704" s="18"/>
      <c r="G7704" s="36" t="str">
        <f>IF(ISNUMBER(F7704),C7704*F7704,"")</f>
        <v/>
      </c>
    </row>
    <row r="7705" spans="1:7" ht="12" customHeight="1" outlineLevel="3" x14ac:dyDescent="0.2">
      <c r="A7705" s="14" t="s">
        <v>15163</v>
      </c>
      <c r="B7705" s="15" t="s">
        <v>15164</v>
      </c>
      <c r="C7705" s="16">
        <f>229.79/(1+B2)</f>
        <v>229.79</v>
      </c>
      <c r="D7705" s="17" t="s">
        <v>11</v>
      </c>
      <c r="E7705" s="17"/>
      <c r="F7705" s="18"/>
      <c r="G7705" s="36" t="str">
        <f>IF(ISNUMBER(F7705),C7705*F7705,"")</f>
        <v/>
      </c>
    </row>
    <row r="7706" spans="1:7" ht="12" customHeight="1" outlineLevel="3" x14ac:dyDescent="0.2">
      <c r="A7706" s="14" t="s">
        <v>15165</v>
      </c>
      <c r="B7706" s="15" t="s">
        <v>15166</v>
      </c>
      <c r="C7706" s="16">
        <f>100.76/(1+B2)</f>
        <v>100.76</v>
      </c>
      <c r="D7706" s="17" t="s">
        <v>11</v>
      </c>
      <c r="E7706" s="17"/>
      <c r="F7706" s="18"/>
      <c r="G7706" s="36" t="str">
        <f>IF(ISNUMBER(F7706),C7706*F7706,"")</f>
        <v/>
      </c>
    </row>
    <row r="7707" spans="1:7" ht="12" customHeight="1" outlineLevel="3" x14ac:dyDescent="0.2">
      <c r="A7707" s="14" t="s">
        <v>15167</v>
      </c>
      <c r="B7707" s="15" t="s">
        <v>15168</v>
      </c>
      <c r="C7707" s="16">
        <f>54.39/(1+B2)</f>
        <v>54.39</v>
      </c>
      <c r="D7707" s="17" t="s">
        <v>14</v>
      </c>
      <c r="E7707" s="17"/>
      <c r="F7707" s="18"/>
      <c r="G7707" s="36" t="str">
        <f>IF(ISNUMBER(F7707),C7707*F7707,"")</f>
        <v/>
      </c>
    </row>
    <row r="7708" spans="1:7" ht="12" customHeight="1" outlineLevel="3" x14ac:dyDescent="0.2">
      <c r="A7708" s="14" t="s">
        <v>15169</v>
      </c>
      <c r="B7708" s="15" t="s">
        <v>15170</v>
      </c>
      <c r="C7708" s="16">
        <f>75.89/(1+B2)</f>
        <v>75.89</v>
      </c>
      <c r="D7708" s="17" t="s">
        <v>14</v>
      </c>
      <c r="E7708" s="17"/>
      <c r="F7708" s="18"/>
      <c r="G7708" s="36" t="str">
        <f>IF(ISNUMBER(F7708),C7708*F7708,"")</f>
        <v/>
      </c>
    </row>
    <row r="7709" spans="1:7" ht="12" customHeight="1" outlineLevel="3" x14ac:dyDescent="0.2">
      <c r="A7709" s="14" t="s">
        <v>15171</v>
      </c>
      <c r="B7709" s="15" t="s">
        <v>15172</v>
      </c>
      <c r="C7709" s="16">
        <f>163.39/(1+B2)</f>
        <v>163.38999999999999</v>
      </c>
      <c r="D7709" s="17" t="s">
        <v>53</v>
      </c>
      <c r="E7709" s="17"/>
      <c r="F7709" s="18"/>
      <c r="G7709" s="36" t="str">
        <f>IF(ISNUMBER(F7709),C7709*F7709,"")</f>
        <v/>
      </c>
    </row>
    <row r="7710" spans="1:7" ht="12" customHeight="1" outlineLevel="3" x14ac:dyDescent="0.2">
      <c r="A7710" s="14" t="s">
        <v>15173</v>
      </c>
      <c r="B7710" s="15" t="s">
        <v>15174</v>
      </c>
      <c r="C7710" s="16">
        <f>169.98/(1+B2)</f>
        <v>169.98</v>
      </c>
      <c r="D7710" s="17" t="s">
        <v>11</v>
      </c>
      <c r="E7710" s="17"/>
      <c r="F7710" s="18"/>
      <c r="G7710" s="36" t="str">
        <f>IF(ISNUMBER(F7710),C7710*F7710,"")</f>
        <v/>
      </c>
    </row>
    <row r="7711" spans="1:7" ht="12" customHeight="1" outlineLevel="3" x14ac:dyDescent="0.2">
      <c r="A7711" s="14" t="s">
        <v>15175</v>
      </c>
      <c r="B7711" s="15" t="s">
        <v>15176</v>
      </c>
      <c r="C7711" s="16">
        <f>229.79/(1+B2)</f>
        <v>229.79</v>
      </c>
      <c r="D7711" s="17" t="s">
        <v>14</v>
      </c>
      <c r="E7711" s="17"/>
      <c r="F7711" s="18"/>
      <c r="G7711" s="36" t="str">
        <f>IF(ISNUMBER(F7711),C7711*F7711,"")</f>
        <v/>
      </c>
    </row>
    <row r="7712" spans="1:7" s="1" customFormat="1" ht="15.95" customHeight="1" outlineLevel="1" x14ac:dyDescent="0.25">
      <c r="A7712" s="11"/>
      <c r="B7712" s="12" t="s">
        <v>15177</v>
      </c>
      <c r="C7712" s="13"/>
      <c r="D7712" s="13"/>
      <c r="E7712" s="13"/>
      <c r="F7712" s="13"/>
      <c r="G7712" s="35"/>
    </row>
    <row r="7713" spans="1:7" s="1" customFormat="1" ht="12.95" customHeight="1" outlineLevel="2" x14ac:dyDescent="0.2">
      <c r="A7713" s="20"/>
      <c r="B7713" s="21" t="s">
        <v>15178</v>
      </c>
      <c r="C7713" s="22"/>
      <c r="D7713" s="22"/>
      <c r="E7713" s="22"/>
      <c r="F7713" s="22"/>
      <c r="G7713" s="37"/>
    </row>
    <row r="7714" spans="1:7" ht="12" customHeight="1" outlineLevel="3" x14ac:dyDescent="0.2">
      <c r="A7714" s="14" t="s">
        <v>15179</v>
      </c>
      <c r="B7714" s="15" t="s">
        <v>15180</v>
      </c>
      <c r="C7714" s="16">
        <f>251.34/(1+B2)</f>
        <v>251.34</v>
      </c>
      <c r="D7714" s="17" t="s">
        <v>11</v>
      </c>
      <c r="E7714" s="17" t="s">
        <v>11</v>
      </c>
      <c r="F7714" s="18"/>
      <c r="G7714" s="36" t="str">
        <f>IF(ISNUMBER(F7714),C7714*F7714,"")</f>
        <v/>
      </c>
    </row>
    <row r="7715" spans="1:7" ht="12" customHeight="1" outlineLevel="3" x14ac:dyDescent="0.2">
      <c r="A7715" s="14" t="s">
        <v>15181</v>
      </c>
      <c r="B7715" s="15" t="s">
        <v>15182</v>
      </c>
      <c r="C7715" s="16">
        <f>272.05/(1+B2)</f>
        <v>272.05</v>
      </c>
      <c r="D7715" s="17" t="s">
        <v>11</v>
      </c>
      <c r="E7715" s="17"/>
      <c r="F7715" s="18"/>
      <c r="G7715" s="36" t="str">
        <f>IF(ISNUMBER(F7715),C7715*F7715,"")</f>
        <v/>
      </c>
    </row>
    <row r="7716" spans="1:7" ht="12" customHeight="1" outlineLevel="3" x14ac:dyDescent="0.2">
      <c r="A7716" s="14" t="s">
        <v>15183</v>
      </c>
      <c r="B7716" s="15" t="s">
        <v>15184</v>
      </c>
      <c r="C7716" s="16">
        <f>264.97/(1+B2)</f>
        <v>264.97000000000003</v>
      </c>
      <c r="D7716" s="17" t="s">
        <v>11</v>
      </c>
      <c r="E7716" s="17" t="s">
        <v>11</v>
      </c>
      <c r="F7716" s="18"/>
      <c r="G7716" s="36" t="str">
        <f>IF(ISNUMBER(F7716),C7716*F7716,"")</f>
        <v/>
      </c>
    </row>
    <row r="7717" spans="1:7" ht="12" customHeight="1" outlineLevel="3" x14ac:dyDescent="0.2">
      <c r="A7717" s="14" t="s">
        <v>15185</v>
      </c>
      <c r="B7717" s="15" t="s">
        <v>15186</v>
      </c>
      <c r="C7717" s="16">
        <f>234.14/(1+B2)</f>
        <v>234.14</v>
      </c>
      <c r="D7717" s="17" t="s">
        <v>11</v>
      </c>
      <c r="E7717" s="17"/>
      <c r="F7717" s="18"/>
      <c r="G7717" s="36" t="str">
        <f>IF(ISNUMBER(F7717),C7717*F7717,"")</f>
        <v/>
      </c>
    </row>
    <row r="7718" spans="1:7" ht="12" customHeight="1" outlineLevel="3" x14ac:dyDescent="0.2">
      <c r="A7718" s="14" t="s">
        <v>15187</v>
      </c>
      <c r="B7718" s="15" t="s">
        <v>15188</v>
      </c>
      <c r="C7718" s="16">
        <f>279.12/(1+B2)</f>
        <v>279.12</v>
      </c>
      <c r="D7718" s="17" t="s">
        <v>11</v>
      </c>
      <c r="E7718" s="17"/>
      <c r="F7718" s="18"/>
      <c r="G7718" s="36" t="str">
        <f>IF(ISNUMBER(F7718),C7718*F7718,"")</f>
        <v/>
      </c>
    </row>
    <row r="7719" spans="1:7" ht="12" customHeight="1" outlineLevel="3" x14ac:dyDescent="0.2">
      <c r="A7719" s="14" t="s">
        <v>15189</v>
      </c>
      <c r="B7719" s="15" t="s">
        <v>15190</v>
      </c>
      <c r="C7719" s="16">
        <f>481.77/(1+B2)</f>
        <v>481.77</v>
      </c>
      <c r="D7719" s="17" t="s">
        <v>11</v>
      </c>
      <c r="E7719" s="17"/>
      <c r="F7719" s="18"/>
      <c r="G7719" s="36" t="str">
        <f>IF(ISNUMBER(F7719),C7719*F7719,"")</f>
        <v/>
      </c>
    </row>
    <row r="7720" spans="1:7" ht="12" customHeight="1" outlineLevel="3" x14ac:dyDescent="0.2">
      <c r="A7720" s="14" t="s">
        <v>15191</v>
      </c>
      <c r="B7720" s="15" t="s">
        <v>15192</v>
      </c>
      <c r="C7720" s="19">
        <f>1134.11/(1+B2)</f>
        <v>1134.1099999999999</v>
      </c>
      <c r="D7720" s="17" t="s">
        <v>11</v>
      </c>
      <c r="E7720" s="17"/>
      <c r="F7720" s="18"/>
      <c r="G7720" s="36" t="str">
        <f>IF(ISNUMBER(F7720),C7720*F7720,"")</f>
        <v/>
      </c>
    </row>
    <row r="7721" spans="1:7" ht="12" customHeight="1" outlineLevel="3" x14ac:dyDescent="0.2">
      <c r="A7721" s="14" t="s">
        <v>15193</v>
      </c>
      <c r="B7721" s="15" t="s">
        <v>15194</v>
      </c>
      <c r="C7721" s="16">
        <f>274.33/(1+B2)</f>
        <v>274.33</v>
      </c>
      <c r="D7721" s="17" t="s">
        <v>11</v>
      </c>
      <c r="E7721" s="17" t="s">
        <v>11</v>
      </c>
      <c r="F7721" s="18"/>
      <c r="G7721" s="36" t="str">
        <f>IF(ISNUMBER(F7721),C7721*F7721,"")</f>
        <v/>
      </c>
    </row>
    <row r="7722" spans="1:7" ht="12" customHeight="1" outlineLevel="3" x14ac:dyDescent="0.2">
      <c r="A7722" s="14" t="s">
        <v>15195</v>
      </c>
      <c r="B7722" s="15" t="s">
        <v>15196</v>
      </c>
      <c r="C7722" s="16">
        <f>312.53/(1+B2)</f>
        <v>312.52999999999997</v>
      </c>
      <c r="D7722" s="17" t="s">
        <v>11</v>
      </c>
      <c r="E7722" s="17" t="s">
        <v>11</v>
      </c>
      <c r="F7722" s="18"/>
      <c r="G7722" s="36" t="str">
        <f>IF(ISNUMBER(F7722),C7722*F7722,"")</f>
        <v/>
      </c>
    </row>
    <row r="7723" spans="1:7" ht="12" customHeight="1" outlineLevel="3" x14ac:dyDescent="0.2">
      <c r="A7723" s="14" t="s">
        <v>15197</v>
      </c>
      <c r="B7723" s="15" t="s">
        <v>15198</v>
      </c>
      <c r="C7723" s="16">
        <f>270.96/(1+B2)</f>
        <v>270.95999999999998</v>
      </c>
      <c r="D7723" s="17" t="s">
        <v>11</v>
      </c>
      <c r="E7723" s="17" t="s">
        <v>11</v>
      </c>
      <c r="F7723" s="18"/>
      <c r="G7723" s="36" t="str">
        <f>IF(ISNUMBER(F7723),C7723*F7723,"")</f>
        <v/>
      </c>
    </row>
    <row r="7724" spans="1:7" ht="12" customHeight="1" outlineLevel="3" x14ac:dyDescent="0.2">
      <c r="A7724" s="14" t="s">
        <v>15199</v>
      </c>
      <c r="B7724" s="15" t="s">
        <v>15200</v>
      </c>
      <c r="C7724" s="16">
        <f>290.46/(1+B2)</f>
        <v>290.45999999999998</v>
      </c>
      <c r="D7724" s="17" t="s">
        <v>11</v>
      </c>
      <c r="E7724" s="17" t="s">
        <v>11</v>
      </c>
      <c r="F7724" s="18"/>
      <c r="G7724" s="36" t="str">
        <f>IF(ISNUMBER(F7724),C7724*F7724,"")</f>
        <v/>
      </c>
    </row>
    <row r="7725" spans="1:7" ht="12" customHeight="1" outlineLevel="3" x14ac:dyDescent="0.2">
      <c r="A7725" s="14" t="s">
        <v>15201</v>
      </c>
      <c r="B7725" s="15" t="s">
        <v>15202</v>
      </c>
      <c r="C7725" s="16">
        <f>352.21/(1+B2)</f>
        <v>352.21</v>
      </c>
      <c r="D7725" s="17" t="s">
        <v>14</v>
      </c>
      <c r="E7725" s="17"/>
      <c r="F7725" s="18"/>
      <c r="G7725" s="36" t="str">
        <f>IF(ISNUMBER(F7725),C7725*F7725,"")</f>
        <v/>
      </c>
    </row>
    <row r="7726" spans="1:7" ht="12" customHeight="1" outlineLevel="3" x14ac:dyDescent="0.2">
      <c r="A7726" s="14" t="s">
        <v>15203</v>
      </c>
      <c r="B7726" s="15" t="s">
        <v>15204</v>
      </c>
      <c r="C7726" s="16">
        <f>465.31/(1+B2)</f>
        <v>465.31</v>
      </c>
      <c r="D7726" s="17" t="s">
        <v>11</v>
      </c>
      <c r="E7726" s="17" t="s">
        <v>11</v>
      </c>
      <c r="F7726" s="18"/>
      <c r="G7726" s="36" t="str">
        <f>IF(ISNUMBER(F7726),C7726*F7726,"")</f>
        <v/>
      </c>
    </row>
    <row r="7727" spans="1:7" ht="12" customHeight="1" outlineLevel="3" x14ac:dyDescent="0.2">
      <c r="A7727" s="14" t="s">
        <v>15205</v>
      </c>
      <c r="B7727" s="15" t="s">
        <v>15206</v>
      </c>
      <c r="C7727" s="16">
        <f>842.91/(1+B2)</f>
        <v>842.91</v>
      </c>
      <c r="D7727" s="17" t="s">
        <v>11</v>
      </c>
      <c r="E7727" s="17" t="s">
        <v>11</v>
      </c>
      <c r="F7727" s="18"/>
      <c r="G7727" s="36" t="str">
        <f>IF(ISNUMBER(F7727),C7727*F7727,"")</f>
        <v/>
      </c>
    </row>
    <row r="7728" spans="1:7" ht="12" customHeight="1" outlineLevel="3" x14ac:dyDescent="0.2">
      <c r="A7728" s="14" t="s">
        <v>15207</v>
      </c>
      <c r="B7728" s="15" t="s">
        <v>15208</v>
      </c>
      <c r="C7728" s="16">
        <f>873.96/(1+B2)</f>
        <v>873.96</v>
      </c>
      <c r="D7728" s="17" t="s">
        <v>11</v>
      </c>
      <c r="E7728" s="17"/>
      <c r="F7728" s="18"/>
      <c r="G7728" s="36" t="str">
        <f>IF(ISNUMBER(F7728),C7728*F7728,"")</f>
        <v/>
      </c>
    </row>
    <row r="7729" spans="1:7" ht="12" customHeight="1" outlineLevel="3" x14ac:dyDescent="0.2">
      <c r="A7729" s="14" t="s">
        <v>15209</v>
      </c>
      <c r="B7729" s="15" t="s">
        <v>15210</v>
      </c>
      <c r="C7729" s="16">
        <f>99.66/(1+B2)</f>
        <v>99.66</v>
      </c>
      <c r="D7729" s="17" t="s">
        <v>11</v>
      </c>
      <c r="E7729" s="17" t="s">
        <v>11</v>
      </c>
      <c r="F7729" s="18"/>
      <c r="G7729" s="36" t="str">
        <f>IF(ISNUMBER(F7729),C7729*F7729,"")</f>
        <v/>
      </c>
    </row>
    <row r="7730" spans="1:7" ht="12" customHeight="1" outlineLevel="3" x14ac:dyDescent="0.2">
      <c r="A7730" s="14" t="s">
        <v>15211</v>
      </c>
      <c r="B7730" s="15" t="s">
        <v>15212</v>
      </c>
      <c r="C7730" s="16">
        <f>246.55/(1+B2)</f>
        <v>246.55</v>
      </c>
      <c r="D7730" s="17" t="s">
        <v>11</v>
      </c>
      <c r="E7730" s="17" t="s">
        <v>11</v>
      </c>
      <c r="F7730" s="18"/>
      <c r="G7730" s="36" t="str">
        <f>IF(ISNUMBER(F7730),C7730*F7730,"")</f>
        <v/>
      </c>
    </row>
    <row r="7731" spans="1:7" s="1" customFormat="1" ht="12.95" customHeight="1" outlineLevel="2" x14ac:dyDescent="0.2">
      <c r="A7731" s="20"/>
      <c r="B7731" s="21" t="s">
        <v>15213</v>
      </c>
      <c r="C7731" s="22"/>
      <c r="D7731" s="22"/>
      <c r="E7731" s="22"/>
      <c r="F7731" s="22"/>
      <c r="G7731" s="37"/>
    </row>
    <row r="7732" spans="1:7" ht="24" customHeight="1" outlineLevel="3" x14ac:dyDescent="0.2">
      <c r="A7732" s="14" t="s">
        <v>15214</v>
      </c>
      <c r="B7732" s="15" t="s">
        <v>15215</v>
      </c>
      <c r="C7732" s="16">
        <f>194.12/(1+B2)</f>
        <v>194.12</v>
      </c>
      <c r="D7732" s="17" t="s">
        <v>11</v>
      </c>
      <c r="E7732" s="17" t="s">
        <v>11</v>
      </c>
      <c r="F7732" s="18"/>
      <c r="G7732" s="36" t="str">
        <f>IF(ISNUMBER(F7732),C7732*F7732,"")</f>
        <v/>
      </c>
    </row>
    <row r="7733" spans="1:7" ht="24" customHeight="1" outlineLevel="3" x14ac:dyDescent="0.2">
      <c r="A7733" s="14" t="s">
        <v>15216</v>
      </c>
      <c r="B7733" s="15" t="s">
        <v>15217</v>
      </c>
      <c r="C7733" s="16">
        <f>142.74/(1+B2)</f>
        <v>142.74</v>
      </c>
      <c r="D7733" s="17" t="s">
        <v>11</v>
      </c>
      <c r="E7733" s="17"/>
      <c r="F7733" s="18"/>
      <c r="G7733" s="36" t="str">
        <f>IF(ISNUMBER(F7733),C7733*F7733,"")</f>
        <v/>
      </c>
    </row>
    <row r="7734" spans="1:7" ht="12" customHeight="1" outlineLevel="3" x14ac:dyDescent="0.2">
      <c r="A7734" s="14" t="s">
        <v>15218</v>
      </c>
      <c r="B7734" s="15" t="s">
        <v>15219</v>
      </c>
      <c r="C7734" s="16">
        <f>72.19/(1+B2)</f>
        <v>72.19</v>
      </c>
      <c r="D7734" s="17" t="s">
        <v>11</v>
      </c>
      <c r="E7734" s="17" t="s">
        <v>11</v>
      </c>
      <c r="F7734" s="18"/>
      <c r="G7734" s="36" t="str">
        <f>IF(ISNUMBER(F7734),C7734*F7734,"")</f>
        <v/>
      </c>
    </row>
    <row r="7735" spans="1:7" ht="12" customHeight="1" outlineLevel="3" x14ac:dyDescent="0.2">
      <c r="A7735" s="14" t="s">
        <v>15220</v>
      </c>
      <c r="B7735" s="15" t="s">
        <v>15221</v>
      </c>
      <c r="C7735" s="16">
        <f>24.6/(1+B2)</f>
        <v>24.6</v>
      </c>
      <c r="D7735" s="17" t="s">
        <v>11</v>
      </c>
      <c r="E7735" s="17" t="s">
        <v>14</v>
      </c>
      <c r="F7735" s="18"/>
      <c r="G7735" s="36" t="str">
        <f>IF(ISNUMBER(F7735),C7735*F7735,"")</f>
        <v/>
      </c>
    </row>
    <row r="7736" spans="1:7" ht="12" customHeight="1" outlineLevel="3" x14ac:dyDescent="0.2">
      <c r="A7736" s="14" t="s">
        <v>15222</v>
      </c>
      <c r="B7736" s="15" t="s">
        <v>15223</v>
      </c>
      <c r="C7736" s="16">
        <f>563.69/(1+B2)</f>
        <v>563.69000000000005</v>
      </c>
      <c r="D7736" s="17" t="s">
        <v>11</v>
      </c>
      <c r="E7736" s="17" t="s">
        <v>11</v>
      </c>
      <c r="F7736" s="18"/>
      <c r="G7736" s="36" t="str">
        <f>IF(ISNUMBER(F7736),C7736*F7736,"")</f>
        <v/>
      </c>
    </row>
    <row r="7737" spans="1:7" ht="24" customHeight="1" outlineLevel="3" x14ac:dyDescent="0.2">
      <c r="A7737" s="14" t="s">
        <v>15224</v>
      </c>
      <c r="B7737" s="15" t="s">
        <v>15225</v>
      </c>
      <c r="C7737" s="16">
        <f>296.9/(1+B2)</f>
        <v>296.89999999999998</v>
      </c>
      <c r="D7737" s="17" t="s">
        <v>11</v>
      </c>
      <c r="E7737" s="17"/>
      <c r="F7737" s="18"/>
      <c r="G7737" s="36" t="str">
        <f>IF(ISNUMBER(F7737),C7737*F7737,"")</f>
        <v/>
      </c>
    </row>
    <row r="7738" spans="1:7" ht="12" customHeight="1" outlineLevel="3" x14ac:dyDescent="0.2">
      <c r="A7738" s="14" t="s">
        <v>15226</v>
      </c>
      <c r="B7738" s="15" t="s">
        <v>15227</v>
      </c>
      <c r="C7738" s="16">
        <f>148.45/(1+B2)</f>
        <v>148.44999999999999</v>
      </c>
      <c r="D7738" s="17" t="s">
        <v>11</v>
      </c>
      <c r="E7738" s="17"/>
      <c r="F7738" s="18"/>
      <c r="G7738" s="36" t="str">
        <f>IF(ISNUMBER(F7738),C7738*F7738,"")</f>
        <v/>
      </c>
    </row>
    <row r="7739" spans="1:7" ht="12" customHeight="1" outlineLevel="3" x14ac:dyDescent="0.2">
      <c r="A7739" s="14" t="s">
        <v>15228</v>
      </c>
      <c r="B7739" s="15" t="s">
        <v>15229</v>
      </c>
      <c r="C7739" s="16">
        <f>176.4/(1+B2)</f>
        <v>176.4</v>
      </c>
      <c r="D7739" s="17" t="s">
        <v>11</v>
      </c>
      <c r="E7739" s="17" t="s">
        <v>11</v>
      </c>
      <c r="F7739" s="18"/>
      <c r="G7739" s="36" t="str">
        <f>IF(ISNUMBER(F7739),C7739*F7739,"")</f>
        <v/>
      </c>
    </row>
    <row r="7740" spans="1:7" ht="12" customHeight="1" outlineLevel="3" x14ac:dyDescent="0.2">
      <c r="A7740" s="14" t="s">
        <v>15230</v>
      </c>
      <c r="B7740" s="15" t="s">
        <v>15231</v>
      </c>
      <c r="C7740" s="16">
        <f>90.04/(1+B2)</f>
        <v>90.04</v>
      </c>
      <c r="D7740" s="17" t="s">
        <v>11</v>
      </c>
      <c r="E7740" s="17"/>
      <c r="F7740" s="18"/>
      <c r="G7740" s="36" t="str">
        <f>IF(ISNUMBER(F7740),C7740*F7740,"")</f>
        <v/>
      </c>
    </row>
    <row r="7741" spans="1:7" ht="12" customHeight="1" outlineLevel="3" x14ac:dyDescent="0.2">
      <c r="A7741" s="14" t="s">
        <v>15232</v>
      </c>
      <c r="B7741" s="15" t="s">
        <v>15233</v>
      </c>
      <c r="C7741" s="16">
        <f>222.67/(1+B2)</f>
        <v>222.67</v>
      </c>
      <c r="D7741" s="17" t="s">
        <v>11</v>
      </c>
      <c r="E7741" s="17" t="s">
        <v>11</v>
      </c>
      <c r="F7741" s="18"/>
      <c r="G7741" s="36" t="str">
        <f>IF(ISNUMBER(F7741),C7741*F7741,"")</f>
        <v/>
      </c>
    </row>
    <row r="7742" spans="1:7" ht="24" customHeight="1" outlineLevel="3" x14ac:dyDescent="0.2">
      <c r="A7742" s="14" t="s">
        <v>15234</v>
      </c>
      <c r="B7742" s="15" t="s">
        <v>15235</v>
      </c>
      <c r="C7742" s="16">
        <f>228.38/(1+B2)</f>
        <v>228.38</v>
      </c>
      <c r="D7742" s="17" t="s">
        <v>11</v>
      </c>
      <c r="E7742" s="17"/>
      <c r="F7742" s="18"/>
      <c r="G7742" s="36" t="str">
        <f>IF(ISNUMBER(F7742),C7742*F7742,"")</f>
        <v/>
      </c>
    </row>
    <row r="7743" spans="1:7" ht="24" customHeight="1" outlineLevel="3" x14ac:dyDescent="0.2">
      <c r="A7743" s="14" t="s">
        <v>15236</v>
      </c>
      <c r="B7743" s="15" t="s">
        <v>15237</v>
      </c>
      <c r="C7743" s="16">
        <f>154.16/(1+B2)</f>
        <v>154.16</v>
      </c>
      <c r="D7743" s="17" t="s">
        <v>11</v>
      </c>
      <c r="E7743" s="17" t="s">
        <v>11</v>
      </c>
      <c r="F7743" s="18"/>
      <c r="G7743" s="36" t="str">
        <f>IF(ISNUMBER(F7743),C7743*F7743,"")</f>
        <v/>
      </c>
    </row>
    <row r="7744" spans="1:7" ht="12" customHeight="1" outlineLevel="3" x14ac:dyDescent="0.2">
      <c r="A7744" s="14" t="s">
        <v>15238</v>
      </c>
      <c r="B7744" s="15" t="s">
        <v>15239</v>
      </c>
      <c r="C7744" s="16">
        <f>211.26/(1+B2)</f>
        <v>211.26</v>
      </c>
      <c r="D7744" s="17" t="s">
        <v>11</v>
      </c>
      <c r="E7744" s="17" t="s">
        <v>11</v>
      </c>
      <c r="F7744" s="18"/>
      <c r="G7744" s="36" t="str">
        <f>IF(ISNUMBER(F7744),C7744*F7744,"")</f>
        <v/>
      </c>
    </row>
    <row r="7745" spans="1:7" ht="24" customHeight="1" outlineLevel="3" x14ac:dyDescent="0.2">
      <c r="A7745" s="14" t="s">
        <v>15240</v>
      </c>
      <c r="B7745" s="15" t="s">
        <v>15241</v>
      </c>
      <c r="C7745" s="16">
        <f>154.16/(1+B2)</f>
        <v>154.16</v>
      </c>
      <c r="D7745" s="17" t="s">
        <v>11</v>
      </c>
      <c r="E7745" s="17" t="s">
        <v>11</v>
      </c>
      <c r="F7745" s="18"/>
      <c r="G7745" s="36" t="str">
        <f>IF(ISNUMBER(F7745),C7745*F7745,"")</f>
        <v/>
      </c>
    </row>
    <row r="7746" spans="1:7" ht="12" customHeight="1" outlineLevel="3" x14ac:dyDescent="0.2">
      <c r="A7746" s="14" t="s">
        <v>15242</v>
      </c>
      <c r="B7746" s="15" t="s">
        <v>15243</v>
      </c>
      <c r="C7746" s="16">
        <f>228.38/(1+B2)</f>
        <v>228.38</v>
      </c>
      <c r="D7746" s="17" t="s">
        <v>11</v>
      </c>
      <c r="E7746" s="17" t="s">
        <v>11</v>
      </c>
      <c r="F7746" s="18"/>
      <c r="G7746" s="36" t="str">
        <f>IF(ISNUMBER(F7746),C7746*F7746,"")</f>
        <v/>
      </c>
    </row>
    <row r="7747" spans="1:7" ht="12" customHeight="1" outlineLevel="3" x14ac:dyDescent="0.2">
      <c r="A7747" s="14" t="s">
        <v>15244</v>
      </c>
      <c r="B7747" s="15" t="s">
        <v>15245</v>
      </c>
      <c r="C7747" s="16">
        <f>169.01/(1+B2)</f>
        <v>169.01</v>
      </c>
      <c r="D7747" s="17" t="s">
        <v>11</v>
      </c>
      <c r="E7747" s="17" t="s">
        <v>11</v>
      </c>
      <c r="F7747" s="18"/>
      <c r="G7747" s="36" t="str">
        <f>IF(ISNUMBER(F7747),C7747*F7747,"")</f>
        <v/>
      </c>
    </row>
    <row r="7748" spans="1:7" ht="24" customHeight="1" outlineLevel="3" x14ac:dyDescent="0.2">
      <c r="A7748" s="14" t="s">
        <v>15246</v>
      </c>
      <c r="B7748" s="15" t="s">
        <v>15247</v>
      </c>
      <c r="C7748" s="16">
        <f>268.36/(1+B2)</f>
        <v>268.36</v>
      </c>
      <c r="D7748" s="17" t="s">
        <v>11</v>
      </c>
      <c r="E7748" s="17" t="s">
        <v>11</v>
      </c>
      <c r="F7748" s="18"/>
      <c r="G7748" s="36" t="str">
        <f>IF(ISNUMBER(F7748),C7748*F7748,"")</f>
        <v/>
      </c>
    </row>
    <row r="7749" spans="1:7" ht="24" customHeight="1" outlineLevel="3" x14ac:dyDescent="0.2">
      <c r="A7749" s="14" t="s">
        <v>15248</v>
      </c>
      <c r="B7749" s="15" t="s">
        <v>15249</v>
      </c>
      <c r="C7749" s="16">
        <f>354/(1+B2)</f>
        <v>354</v>
      </c>
      <c r="D7749" s="17" t="s">
        <v>11</v>
      </c>
      <c r="E7749" s="17" t="s">
        <v>11</v>
      </c>
      <c r="F7749" s="18"/>
      <c r="G7749" s="36" t="str">
        <f>IF(ISNUMBER(F7749),C7749*F7749,"")</f>
        <v/>
      </c>
    </row>
    <row r="7750" spans="1:7" ht="24" customHeight="1" outlineLevel="3" x14ac:dyDescent="0.2">
      <c r="A7750" s="14" t="s">
        <v>15250</v>
      </c>
      <c r="B7750" s="15" t="s">
        <v>15251</v>
      </c>
      <c r="C7750" s="16">
        <f>302.6/(1+B2)</f>
        <v>302.60000000000002</v>
      </c>
      <c r="D7750" s="17" t="s">
        <v>11</v>
      </c>
      <c r="E7750" s="17" t="s">
        <v>11</v>
      </c>
      <c r="F7750" s="18"/>
      <c r="G7750" s="36" t="str">
        <f>IF(ISNUMBER(F7750),C7750*F7750,"")</f>
        <v/>
      </c>
    </row>
    <row r="7751" spans="1:7" ht="24" customHeight="1" outlineLevel="3" x14ac:dyDescent="0.2">
      <c r="A7751" s="14" t="s">
        <v>15252</v>
      </c>
      <c r="B7751" s="15" t="s">
        <v>15253</v>
      </c>
      <c r="C7751" s="16">
        <f>177/(1+B2)</f>
        <v>177</v>
      </c>
      <c r="D7751" s="17" t="s">
        <v>11</v>
      </c>
      <c r="E7751" s="17"/>
      <c r="F7751" s="18"/>
      <c r="G7751" s="36" t="str">
        <f>IF(ISNUMBER(F7751),C7751*F7751,"")</f>
        <v/>
      </c>
    </row>
    <row r="7752" spans="1:7" ht="12" customHeight="1" outlineLevel="3" x14ac:dyDescent="0.2">
      <c r="A7752" s="14" t="s">
        <v>15254</v>
      </c>
      <c r="B7752" s="15" t="s">
        <v>15255</v>
      </c>
      <c r="C7752" s="16">
        <f>342.58/(1+B2)</f>
        <v>342.58</v>
      </c>
      <c r="D7752" s="17" t="s">
        <v>11</v>
      </c>
      <c r="E7752" s="17"/>
      <c r="F7752" s="18"/>
      <c r="G7752" s="36" t="str">
        <f>IF(ISNUMBER(F7752),C7752*F7752,"")</f>
        <v/>
      </c>
    </row>
    <row r="7753" spans="1:7" ht="12" customHeight="1" outlineLevel="3" x14ac:dyDescent="0.2">
      <c r="A7753" s="14" t="s">
        <v>15256</v>
      </c>
      <c r="B7753" s="15" t="s">
        <v>15257</v>
      </c>
      <c r="C7753" s="16">
        <f>277.33/(1+B2)</f>
        <v>277.33</v>
      </c>
      <c r="D7753" s="17" t="s">
        <v>11</v>
      </c>
      <c r="E7753" s="17"/>
      <c r="F7753" s="18"/>
      <c r="G7753" s="36" t="str">
        <f>IF(ISNUMBER(F7753),C7753*F7753,"")</f>
        <v/>
      </c>
    </row>
    <row r="7754" spans="1:7" ht="12" customHeight="1" outlineLevel="3" x14ac:dyDescent="0.2">
      <c r="A7754" s="14" t="s">
        <v>15258</v>
      </c>
      <c r="B7754" s="15" t="s">
        <v>15259</v>
      </c>
      <c r="C7754" s="16">
        <f>219.84/(1+B2)</f>
        <v>219.84</v>
      </c>
      <c r="D7754" s="17" t="s">
        <v>11</v>
      </c>
      <c r="E7754" s="17"/>
      <c r="F7754" s="18"/>
      <c r="G7754" s="36" t="str">
        <f>IF(ISNUMBER(F7754),C7754*F7754,"")</f>
        <v/>
      </c>
    </row>
    <row r="7755" spans="1:7" ht="12" customHeight="1" outlineLevel="3" x14ac:dyDescent="0.2">
      <c r="A7755" s="14" t="s">
        <v>15260</v>
      </c>
      <c r="B7755" s="15" t="s">
        <v>15261</v>
      </c>
      <c r="C7755" s="16">
        <f>212.77/(1+B2)</f>
        <v>212.77</v>
      </c>
      <c r="D7755" s="17" t="s">
        <v>11</v>
      </c>
      <c r="E7755" s="17"/>
      <c r="F7755" s="18"/>
      <c r="G7755" s="36" t="str">
        <f>IF(ISNUMBER(F7755),C7755*F7755,"")</f>
        <v/>
      </c>
    </row>
    <row r="7756" spans="1:7" ht="12" customHeight="1" outlineLevel="3" x14ac:dyDescent="0.2">
      <c r="A7756" s="14" t="s">
        <v>15262</v>
      </c>
      <c r="B7756" s="15" t="s">
        <v>15263</v>
      </c>
      <c r="C7756" s="16">
        <f>352.78/(1+B2)</f>
        <v>352.78</v>
      </c>
      <c r="D7756" s="17" t="s">
        <v>11</v>
      </c>
      <c r="E7756" s="17"/>
      <c r="F7756" s="18"/>
      <c r="G7756" s="36" t="str">
        <f>IF(ISNUMBER(F7756),C7756*F7756,"")</f>
        <v/>
      </c>
    </row>
    <row r="7757" spans="1:7" ht="24" customHeight="1" outlineLevel="3" x14ac:dyDescent="0.2">
      <c r="A7757" s="14" t="s">
        <v>15264</v>
      </c>
      <c r="B7757" s="15" t="s">
        <v>15265</v>
      </c>
      <c r="C7757" s="16">
        <f>248.26/(1+B2)</f>
        <v>248.26</v>
      </c>
      <c r="D7757" s="17" t="s">
        <v>11</v>
      </c>
      <c r="E7757" s="17"/>
      <c r="F7757" s="18"/>
      <c r="G7757" s="36" t="str">
        <f>IF(ISNUMBER(F7757),C7757*F7757,"")</f>
        <v/>
      </c>
    </row>
    <row r="7758" spans="1:7" ht="24" customHeight="1" outlineLevel="3" x14ac:dyDescent="0.2">
      <c r="A7758" s="14" t="s">
        <v>15266</v>
      </c>
      <c r="B7758" s="15" t="s">
        <v>15267</v>
      </c>
      <c r="C7758" s="16">
        <f>718.63/(1+B2)</f>
        <v>718.63</v>
      </c>
      <c r="D7758" s="17" t="s">
        <v>11</v>
      </c>
      <c r="E7758" s="17" t="s">
        <v>14</v>
      </c>
      <c r="F7758" s="18"/>
      <c r="G7758" s="36" t="str">
        <f>IF(ISNUMBER(F7758),C7758*F7758,"")</f>
        <v/>
      </c>
    </row>
    <row r="7759" spans="1:7" ht="12" customHeight="1" outlineLevel="3" x14ac:dyDescent="0.2">
      <c r="A7759" s="14" t="s">
        <v>15268</v>
      </c>
      <c r="B7759" s="15" t="s">
        <v>15269</v>
      </c>
      <c r="C7759" s="16">
        <f>173.54/(1+B2)</f>
        <v>173.54</v>
      </c>
      <c r="D7759" s="17" t="s">
        <v>11</v>
      </c>
      <c r="E7759" s="17"/>
      <c r="F7759" s="18"/>
      <c r="G7759" s="36" t="str">
        <f>IF(ISNUMBER(F7759),C7759*F7759,"")</f>
        <v/>
      </c>
    </row>
    <row r="7760" spans="1:7" ht="12" customHeight="1" outlineLevel="3" x14ac:dyDescent="0.2">
      <c r="A7760" s="14" t="s">
        <v>15270</v>
      </c>
      <c r="B7760" s="15" t="s">
        <v>15271</v>
      </c>
      <c r="C7760" s="16">
        <f>240.19/(1+B2)</f>
        <v>240.19</v>
      </c>
      <c r="D7760" s="17" t="s">
        <v>11</v>
      </c>
      <c r="E7760" s="17"/>
      <c r="F7760" s="18"/>
      <c r="G7760" s="36" t="str">
        <f>IF(ISNUMBER(F7760),C7760*F7760,"")</f>
        <v/>
      </c>
    </row>
    <row r="7761" spans="1:7" ht="12" customHeight="1" outlineLevel="3" x14ac:dyDescent="0.2">
      <c r="A7761" s="14" t="s">
        <v>15272</v>
      </c>
      <c r="B7761" s="15" t="s">
        <v>15273</v>
      </c>
      <c r="C7761" s="16">
        <f>224.21/(1+B2)</f>
        <v>224.21</v>
      </c>
      <c r="D7761" s="17" t="s">
        <v>11</v>
      </c>
      <c r="E7761" s="17" t="s">
        <v>14</v>
      </c>
      <c r="F7761" s="18"/>
      <c r="G7761" s="36" t="str">
        <f>IF(ISNUMBER(F7761),C7761*F7761,"")</f>
        <v/>
      </c>
    </row>
    <row r="7762" spans="1:7" ht="12" customHeight="1" outlineLevel="3" x14ac:dyDescent="0.2">
      <c r="A7762" s="14" t="s">
        <v>15274</v>
      </c>
      <c r="B7762" s="15" t="s">
        <v>15275</v>
      </c>
      <c r="C7762" s="16">
        <f>265.11/(1+B2)</f>
        <v>265.11</v>
      </c>
      <c r="D7762" s="17" t="s">
        <v>11</v>
      </c>
      <c r="E7762" s="17"/>
      <c r="F7762" s="18"/>
      <c r="G7762" s="36" t="str">
        <f>IF(ISNUMBER(F7762),C7762*F7762,"")</f>
        <v/>
      </c>
    </row>
    <row r="7763" spans="1:7" ht="12" customHeight="1" outlineLevel="3" x14ac:dyDescent="0.2">
      <c r="A7763" s="14" t="s">
        <v>15276</v>
      </c>
      <c r="B7763" s="15" t="s">
        <v>15277</v>
      </c>
      <c r="C7763" s="16">
        <f>201.46/(1+B2)</f>
        <v>201.46</v>
      </c>
      <c r="D7763" s="17" t="s">
        <v>11</v>
      </c>
      <c r="E7763" s="17"/>
      <c r="F7763" s="18"/>
      <c r="G7763" s="36" t="str">
        <f>IF(ISNUMBER(F7763),C7763*F7763,"")</f>
        <v/>
      </c>
    </row>
    <row r="7764" spans="1:7" ht="12" customHeight="1" outlineLevel="3" x14ac:dyDescent="0.2">
      <c r="A7764" s="14" t="s">
        <v>15278</v>
      </c>
      <c r="B7764" s="15" t="s">
        <v>15279</v>
      </c>
      <c r="C7764" s="16">
        <f>115.7/(1+B2)</f>
        <v>115.7</v>
      </c>
      <c r="D7764" s="17" t="s">
        <v>11</v>
      </c>
      <c r="E7764" s="17"/>
      <c r="F7764" s="18"/>
      <c r="G7764" s="36" t="str">
        <f>IF(ISNUMBER(F7764),C7764*F7764,"")</f>
        <v/>
      </c>
    </row>
    <row r="7765" spans="1:7" ht="12" customHeight="1" outlineLevel="3" x14ac:dyDescent="0.2">
      <c r="A7765" s="14" t="s">
        <v>15280</v>
      </c>
      <c r="B7765" s="15" t="s">
        <v>15281</v>
      </c>
      <c r="C7765" s="16">
        <f>78.02/(1+B2)</f>
        <v>78.02</v>
      </c>
      <c r="D7765" s="17" t="s">
        <v>11</v>
      </c>
      <c r="E7765" s="17" t="s">
        <v>11</v>
      </c>
      <c r="F7765" s="18"/>
      <c r="G7765" s="36" t="str">
        <f>IF(ISNUMBER(F7765),C7765*F7765,"")</f>
        <v/>
      </c>
    </row>
    <row r="7766" spans="1:7" ht="12" customHeight="1" outlineLevel="3" x14ac:dyDescent="0.2">
      <c r="A7766" s="14" t="s">
        <v>15282</v>
      </c>
      <c r="B7766" s="15" t="s">
        <v>15283</v>
      </c>
      <c r="C7766" s="16">
        <f>289.25/(1+B2)</f>
        <v>289.25</v>
      </c>
      <c r="D7766" s="17" t="s">
        <v>11</v>
      </c>
      <c r="E7766" s="17"/>
      <c r="F7766" s="18"/>
      <c r="G7766" s="36" t="str">
        <f>IF(ISNUMBER(F7766),C7766*F7766,"")</f>
        <v/>
      </c>
    </row>
    <row r="7767" spans="1:7" ht="12" customHeight="1" outlineLevel="3" x14ac:dyDescent="0.2">
      <c r="A7767" s="14" t="s">
        <v>15284</v>
      </c>
      <c r="B7767" s="15" t="s">
        <v>15285</v>
      </c>
      <c r="C7767" s="16">
        <f>213.65/(1+B2)</f>
        <v>213.65</v>
      </c>
      <c r="D7767" s="17" t="s">
        <v>11</v>
      </c>
      <c r="E7767" s="17" t="s">
        <v>11</v>
      </c>
      <c r="F7767" s="18"/>
      <c r="G7767" s="36" t="str">
        <f>IF(ISNUMBER(F7767),C7767*F7767,"")</f>
        <v/>
      </c>
    </row>
    <row r="7768" spans="1:7" ht="12" customHeight="1" outlineLevel="3" x14ac:dyDescent="0.2">
      <c r="A7768" s="14" t="s">
        <v>15286</v>
      </c>
      <c r="B7768" s="15" t="s">
        <v>15287</v>
      </c>
      <c r="C7768" s="16">
        <f>136.64/(1+B2)</f>
        <v>136.63999999999999</v>
      </c>
      <c r="D7768" s="17" t="s">
        <v>11</v>
      </c>
      <c r="E7768" s="17" t="s">
        <v>11</v>
      </c>
      <c r="F7768" s="18"/>
      <c r="G7768" s="36" t="str">
        <f>IF(ISNUMBER(F7768),C7768*F7768,"")</f>
        <v/>
      </c>
    </row>
    <row r="7769" spans="1:7" ht="12" customHeight="1" outlineLevel="3" x14ac:dyDescent="0.2">
      <c r="A7769" s="14" t="s">
        <v>15288</v>
      </c>
      <c r="B7769" s="15" t="s">
        <v>15289</v>
      </c>
      <c r="C7769" s="16">
        <f>169.58/(1+B2)</f>
        <v>169.58</v>
      </c>
      <c r="D7769" s="17" t="s">
        <v>11</v>
      </c>
      <c r="E7769" s="17"/>
      <c r="F7769" s="18"/>
      <c r="G7769" s="36" t="str">
        <f>IF(ISNUMBER(F7769),C7769*F7769,"")</f>
        <v/>
      </c>
    </row>
    <row r="7770" spans="1:7" ht="12" customHeight="1" outlineLevel="3" x14ac:dyDescent="0.2">
      <c r="A7770" s="14" t="s">
        <v>15290</v>
      </c>
      <c r="B7770" s="15" t="s">
        <v>15291</v>
      </c>
      <c r="C7770" s="16">
        <f>77.23/(1+B2)</f>
        <v>77.23</v>
      </c>
      <c r="D7770" s="17" t="s">
        <v>11</v>
      </c>
      <c r="E7770" s="17" t="s">
        <v>14</v>
      </c>
      <c r="F7770" s="18"/>
      <c r="G7770" s="36" t="str">
        <f>IF(ISNUMBER(F7770),C7770*F7770,"")</f>
        <v/>
      </c>
    </row>
    <row r="7771" spans="1:7" ht="12" customHeight="1" outlineLevel="3" x14ac:dyDescent="0.2">
      <c r="A7771" s="14" t="s">
        <v>15292</v>
      </c>
      <c r="B7771" s="15" t="s">
        <v>15293</v>
      </c>
      <c r="C7771" s="16">
        <f>300.2/(1+B2)</f>
        <v>300.2</v>
      </c>
      <c r="D7771" s="17" t="s">
        <v>11</v>
      </c>
      <c r="E7771" s="17"/>
      <c r="F7771" s="18"/>
      <c r="G7771" s="36" t="str">
        <f>IF(ISNUMBER(F7771),C7771*F7771,"")</f>
        <v/>
      </c>
    </row>
    <row r="7772" spans="1:7" ht="12" customHeight="1" outlineLevel="3" x14ac:dyDescent="0.2">
      <c r="A7772" s="14" t="s">
        <v>15294</v>
      </c>
      <c r="B7772" s="15" t="s">
        <v>15295</v>
      </c>
      <c r="C7772" s="16">
        <f>81.37/(1+B2)</f>
        <v>81.37</v>
      </c>
      <c r="D7772" s="17" t="s">
        <v>11</v>
      </c>
      <c r="E7772" s="17"/>
      <c r="F7772" s="18"/>
      <c r="G7772" s="36" t="str">
        <f>IF(ISNUMBER(F7772),C7772*F7772,"")</f>
        <v/>
      </c>
    </row>
    <row r="7773" spans="1:7" ht="12" customHeight="1" outlineLevel="3" x14ac:dyDescent="0.2">
      <c r="A7773" s="14" t="s">
        <v>15296</v>
      </c>
      <c r="B7773" s="15" t="s">
        <v>15297</v>
      </c>
      <c r="C7773" s="19">
        <f>1058.96/(1+B2)</f>
        <v>1058.96</v>
      </c>
      <c r="D7773" s="17" t="s">
        <v>11</v>
      </c>
      <c r="E7773" s="17"/>
      <c r="F7773" s="18"/>
      <c r="G7773" s="36" t="str">
        <f>IF(ISNUMBER(F7773),C7773*F7773,"")</f>
        <v/>
      </c>
    </row>
    <row r="7774" spans="1:7" ht="24" customHeight="1" outlineLevel="3" x14ac:dyDescent="0.2">
      <c r="A7774" s="14" t="s">
        <v>15298</v>
      </c>
      <c r="B7774" s="15" t="s">
        <v>15299</v>
      </c>
      <c r="C7774" s="16">
        <f>117.6/(1+B2)</f>
        <v>117.6</v>
      </c>
      <c r="D7774" s="17" t="s">
        <v>11</v>
      </c>
      <c r="E7774" s="17" t="s">
        <v>11</v>
      </c>
      <c r="F7774" s="18"/>
      <c r="G7774" s="36" t="str">
        <f>IF(ISNUMBER(F7774),C7774*F7774,"")</f>
        <v/>
      </c>
    </row>
    <row r="7775" spans="1:7" ht="24" customHeight="1" outlineLevel="3" x14ac:dyDescent="0.2">
      <c r="A7775" s="14" t="s">
        <v>15300</v>
      </c>
      <c r="B7775" s="15" t="s">
        <v>15301</v>
      </c>
      <c r="C7775" s="16">
        <f>359.33/(1+B2)</f>
        <v>359.33</v>
      </c>
      <c r="D7775" s="17" t="s">
        <v>11</v>
      </c>
      <c r="E7775" s="17"/>
      <c r="F7775" s="18"/>
      <c r="G7775" s="36" t="str">
        <f>IF(ISNUMBER(F7775),C7775*F7775,"")</f>
        <v/>
      </c>
    </row>
    <row r="7776" spans="1:7" ht="24" customHeight="1" outlineLevel="3" x14ac:dyDescent="0.2">
      <c r="A7776" s="14" t="s">
        <v>15302</v>
      </c>
      <c r="B7776" s="15" t="s">
        <v>15303</v>
      </c>
      <c r="C7776" s="16">
        <f>209.58/(1+B2)</f>
        <v>209.58</v>
      </c>
      <c r="D7776" s="17" t="s">
        <v>11</v>
      </c>
      <c r="E7776" s="17" t="s">
        <v>11</v>
      </c>
      <c r="F7776" s="18"/>
      <c r="G7776" s="36" t="str">
        <f>IF(ISNUMBER(F7776),C7776*F7776,"")</f>
        <v/>
      </c>
    </row>
    <row r="7777" spans="1:7" ht="24" customHeight="1" outlineLevel="3" x14ac:dyDescent="0.2">
      <c r="A7777" s="14" t="s">
        <v>15304</v>
      </c>
      <c r="B7777" s="15" t="s">
        <v>15305</v>
      </c>
      <c r="C7777" s="16">
        <f>365.85/(1+B2)</f>
        <v>365.85</v>
      </c>
      <c r="D7777" s="17" t="s">
        <v>11</v>
      </c>
      <c r="E7777" s="17"/>
      <c r="F7777" s="18"/>
      <c r="G7777" s="36" t="str">
        <f>IF(ISNUMBER(F7777),C7777*F7777,"")</f>
        <v/>
      </c>
    </row>
    <row r="7778" spans="1:7" ht="24" customHeight="1" outlineLevel="3" x14ac:dyDescent="0.2">
      <c r="A7778" s="14" t="s">
        <v>15306</v>
      </c>
      <c r="B7778" s="15" t="s">
        <v>15307</v>
      </c>
      <c r="C7778" s="16">
        <f>378.93/(1+B2)</f>
        <v>378.93</v>
      </c>
      <c r="D7778" s="17" t="s">
        <v>11</v>
      </c>
      <c r="E7778" s="17"/>
      <c r="F7778" s="18"/>
      <c r="G7778" s="36" t="str">
        <f>IF(ISNUMBER(F7778),C7778*F7778,"")</f>
        <v/>
      </c>
    </row>
    <row r="7779" spans="1:7" ht="24" customHeight="1" outlineLevel="3" x14ac:dyDescent="0.2">
      <c r="A7779" s="14" t="s">
        <v>15308</v>
      </c>
      <c r="B7779" s="15" t="s">
        <v>15309</v>
      </c>
      <c r="C7779" s="16">
        <f>162.38/(1+B2)</f>
        <v>162.38</v>
      </c>
      <c r="D7779" s="17" t="s">
        <v>11</v>
      </c>
      <c r="E7779" s="17"/>
      <c r="F7779" s="18"/>
      <c r="G7779" s="36" t="str">
        <f>IF(ISNUMBER(F7779),C7779*F7779,"")</f>
        <v/>
      </c>
    </row>
    <row r="7780" spans="1:7" ht="12" customHeight="1" outlineLevel="3" x14ac:dyDescent="0.2">
      <c r="A7780" s="14" t="s">
        <v>15310</v>
      </c>
      <c r="B7780" s="15" t="s">
        <v>15311</v>
      </c>
      <c r="C7780" s="16">
        <f>849.3/(1+B2)</f>
        <v>849.3</v>
      </c>
      <c r="D7780" s="17" t="s">
        <v>11</v>
      </c>
      <c r="E7780" s="17" t="s">
        <v>11</v>
      </c>
      <c r="F7780" s="18"/>
      <c r="G7780" s="36" t="str">
        <f>IF(ISNUMBER(F7780),C7780*F7780,"")</f>
        <v/>
      </c>
    </row>
    <row r="7781" spans="1:7" ht="24" customHeight="1" outlineLevel="3" x14ac:dyDescent="0.2">
      <c r="A7781" s="14" t="s">
        <v>15312</v>
      </c>
      <c r="B7781" s="15" t="s">
        <v>15313</v>
      </c>
      <c r="C7781" s="16">
        <f>209.06/(1+B2)</f>
        <v>209.06</v>
      </c>
      <c r="D7781" s="17" t="s">
        <v>11</v>
      </c>
      <c r="E7781" s="17"/>
      <c r="F7781" s="18"/>
      <c r="G7781" s="36" t="str">
        <f>IF(ISNUMBER(F7781),C7781*F7781,"")</f>
        <v/>
      </c>
    </row>
    <row r="7782" spans="1:7" ht="24" customHeight="1" outlineLevel="3" x14ac:dyDescent="0.2">
      <c r="A7782" s="14" t="s">
        <v>15314</v>
      </c>
      <c r="B7782" s="15" t="s">
        <v>15315</v>
      </c>
      <c r="C7782" s="16">
        <f>189.45/(1+B2)</f>
        <v>189.45</v>
      </c>
      <c r="D7782" s="17" t="s">
        <v>11</v>
      </c>
      <c r="E7782" s="17" t="s">
        <v>11</v>
      </c>
      <c r="F7782" s="18"/>
      <c r="G7782" s="36" t="str">
        <f>IF(ISNUMBER(F7782),C7782*F7782,"")</f>
        <v/>
      </c>
    </row>
    <row r="7783" spans="1:7" ht="24" customHeight="1" outlineLevel="3" x14ac:dyDescent="0.2">
      <c r="A7783" s="14" t="s">
        <v>15316</v>
      </c>
      <c r="B7783" s="15" t="s">
        <v>15317</v>
      </c>
      <c r="C7783" s="16">
        <f>466.37/(1+B2)</f>
        <v>466.37</v>
      </c>
      <c r="D7783" s="17" t="s">
        <v>11</v>
      </c>
      <c r="E7783" s="17"/>
      <c r="F7783" s="18"/>
      <c r="G7783" s="36" t="str">
        <f>IF(ISNUMBER(F7783),C7783*F7783,"")</f>
        <v/>
      </c>
    </row>
    <row r="7784" spans="1:7" ht="24" customHeight="1" outlineLevel="3" x14ac:dyDescent="0.2">
      <c r="A7784" s="14" t="s">
        <v>15318</v>
      </c>
      <c r="B7784" s="15" t="s">
        <v>15319</v>
      </c>
      <c r="C7784" s="16">
        <f>587.15/(1+B2)</f>
        <v>587.15</v>
      </c>
      <c r="D7784" s="17" t="s">
        <v>11</v>
      </c>
      <c r="E7784" s="17"/>
      <c r="F7784" s="18"/>
      <c r="G7784" s="36" t="str">
        <f>IF(ISNUMBER(F7784),C7784*F7784,"")</f>
        <v/>
      </c>
    </row>
    <row r="7785" spans="1:7" ht="12" customHeight="1" outlineLevel="3" x14ac:dyDescent="0.2">
      <c r="A7785" s="14" t="s">
        <v>15320</v>
      </c>
      <c r="B7785" s="15" t="s">
        <v>15321</v>
      </c>
      <c r="C7785" s="16">
        <f>499.69/(1+B2)</f>
        <v>499.69</v>
      </c>
      <c r="D7785" s="17" t="s">
        <v>11</v>
      </c>
      <c r="E7785" s="17"/>
      <c r="F7785" s="18"/>
      <c r="G7785" s="36" t="str">
        <f>IF(ISNUMBER(F7785),C7785*F7785,"")</f>
        <v/>
      </c>
    </row>
    <row r="7786" spans="1:7" ht="12" customHeight="1" outlineLevel="3" x14ac:dyDescent="0.2">
      <c r="A7786" s="14" t="s">
        <v>15322</v>
      </c>
      <c r="B7786" s="15" t="s">
        <v>15323</v>
      </c>
      <c r="C7786" s="16">
        <f>196.01/(1+B2)</f>
        <v>196.01</v>
      </c>
      <c r="D7786" s="17" t="s">
        <v>11</v>
      </c>
      <c r="E7786" s="17"/>
      <c r="F7786" s="18"/>
      <c r="G7786" s="36" t="str">
        <f>IF(ISNUMBER(F7786),C7786*F7786,"")</f>
        <v/>
      </c>
    </row>
    <row r="7787" spans="1:7" ht="24" customHeight="1" outlineLevel="3" x14ac:dyDescent="0.2">
      <c r="A7787" s="14" t="s">
        <v>15324</v>
      </c>
      <c r="B7787" s="15" t="s">
        <v>15325</v>
      </c>
      <c r="C7787" s="19">
        <f>1353.32/(1+B2)</f>
        <v>1353.32</v>
      </c>
      <c r="D7787" s="17" t="s">
        <v>11</v>
      </c>
      <c r="E7787" s="17"/>
      <c r="F7787" s="18"/>
      <c r="G7787" s="36" t="str">
        <f>IF(ISNUMBER(F7787),C7787*F7787,"")</f>
        <v/>
      </c>
    </row>
    <row r="7788" spans="1:7" ht="12" customHeight="1" outlineLevel="3" x14ac:dyDescent="0.2">
      <c r="A7788" s="14" t="s">
        <v>15326</v>
      </c>
      <c r="B7788" s="15" t="s">
        <v>15327</v>
      </c>
      <c r="C7788" s="16">
        <f>84.73/(1+B2)</f>
        <v>84.73</v>
      </c>
      <c r="D7788" s="17" t="s">
        <v>11</v>
      </c>
      <c r="E7788" s="17"/>
      <c r="F7788" s="18"/>
      <c r="G7788" s="36" t="str">
        <f>IF(ISNUMBER(F7788),C7788*F7788,"")</f>
        <v/>
      </c>
    </row>
    <row r="7789" spans="1:7" ht="12" customHeight="1" outlineLevel="3" x14ac:dyDescent="0.2">
      <c r="A7789" s="14" t="s">
        <v>15328</v>
      </c>
      <c r="B7789" s="15" t="s">
        <v>15329</v>
      </c>
      <c r="C7789" s="16">
        <f>54.16/(1+B2)</f>
        <v>54.16</v>
      </c>
      <c r="D7789" s="17" t="s">
        <v>11</v>
      </c>
      <c r="E7789" s="17" t="s">
        <v>11</v>
      </c>
      <c r="F7789" s="18"/>
      <c r="G7789" s="36" t="str">
        <f>IF(ISNUMBER(F7789),C7789*F7789,"")</f>
        <v/>
      </c>
    </row>
    <row r="7790" spans="1:7" ht="24" customHeight="1" outlineLevel="3" x14ac:dyDescent="0.2">
      <c r="A7790" s="14" t="s">
        <v>15330</v>
      </c>
      <c r="B7790" s="15" t="s">
        <v>15331</v>
      </c>
      <c r="C7790" s="16">
        <f>55.96/(1+B2)</f>
        <v>55.96</v>
      </c>
      <c r="D7790" s="17" t="s">
        <v>11</v>
      </c>
      <c r="E7790" s="17" t="s">
        <v>11</v>
      </c>
      <c r="F7790" s="18"/>
      <c r="G7790" s="36" t="str">
        <f>IF(ISNUMBER(F7790),C7790*F7790,"")</f>
        <v/>
      </c>
    </row>
    <row r="7791" spans="1:7" ht="12" customHeight="1" outlineLevel="3" x14ac:dyDescent="0.2">
      <c r="A7791" s="14" t="s">
        <v>15332</v>
      </c>
      <c r="B7791" s="15" t="s">
        <v>15333</v>
      </c>
      <c r="C7791" s="16">
        <f>104.88/(1+B2)</f>
        <v>104.88</v>
      </c>
      <c r="D7791" s="17" t="s">
        <v>11</v>
      </c>
      <c r="E7791" s="17"/>
      <c r="F7791" s="18"/>
      <c r="G7791" s="36" t="str">
        <f>IF(ISNUMBER(F7791),C7791*F7791,"")</f>
        <v/>
      </c>
    </row>
    <row r="7792" spans="1:7" ht="12" customHeight="1" outlineLevel="3" x14ac:dyDescent="0.2">
      <c r="A7792" s="14" t="s">
        <v>15334</v>
      </c>
      <c r="B7792" s="15" t="s">
        <v>15335</v>
      </c>
      <c r="C7792" s="16">
        <f>30.45/(1+B2)</f>
        <v>30.45</v>
      </c>
      <c r="D7792" s="17" t="s">
        <v>11</v>
      </c>
      <c r="E7792" s="17" t="s">
        <v>11</v>
      </c>
      <c r="F7792" s="18"/>
      <c r="G7792" s="36" t="str">
        <f>IF(ISNUMBER(F7792),C7792*F7792,"")</f>
        <v/>
      </c>
    </row>
    <row r="7793" spans="1:7" ht="12" customHeight="1" outlineLevel="3" x14ac:dyDescent="0.2">
      <c r="A7793" s="14" t="s">
        <v>15336</v>
      </c>
      <c r="B7793" s="15" t="s">
        <v>15337</v>
      </c>
      <c r="C7793" s="16">
        <f>476.56/(1+B2)</f>
        <v>476.56</v>
      </c>
      <c r="D7793" s="17" t="s">
        <v>11</v>
      </c>
      <c r="E7793" s="17" t="s">
        <v>14</v>
      </c>
      <c r="F7793" s="18"/>
      <c r="G7793" s="36" t="str">
        <f>IF(ISNUMBER(F7793),C7793*F7793,"")</f>
        <v/>
      </c>
    </row>
    <row r="7794" spans="1:7" ht="24" customHeight="1" outlineLevel="3" x14ac:dyDescent="0.2">
      <c r="A7794" s="14" t="s">
        <v>15338</v>
      </c>
      <c r="B7794" s="15" t="s">
        <v>15339</v>
      </c>
      <c r="C7794" s="16">
        <f>359.33/(1+B2)</f>
        <v>359.33</v>
      </c>
      <c r="D7794" s="17" t="s">
        <v>11</v>
      </c>
      <c r="E7794" s="17"/>
      <c r="F7794" s="18"/>
      <c r="G7794" s="36" t="str">
        <f>IF(ISNUMBER(F7794),C7794*F7794,"")</f>
        <v/>
      </c>
    </row>
    <row r="7795" spans="1:7" ht="24" customHeight="1" outlineLevel="3" x14ac:dyDescent="0.2">
      <c r="A7795" s="14" t="s">
        <v>15340</v>
      </c>
      <c r="B7795" s="15" t="s">
        <v>15341</v>
      </c>
      <c r="C7795" s="16">
        <f>156.79/(1+B2)</f>
        <v>156.79</v>
      </c>
      <c r="D7795" s="17" t="s">
        <v>11</v>
      </c>
      <c r="E7795" s="17" t="s">
        <v>11</v>
      </c>
      <c r="F7795" s="18"/>
      <c r="G7795" s="36" t="str">
        <f>IF(ISNUMBER(F7795),C7795*F7795,"")</f>
        <v/>
      </c>
    </row>
    <row r="7796" spans="1:7" ht="24" customHeight="1" outlineLevel="3" x14ac:dyDescent="0.2">
      <c r="A7796" s="14" t="s">
        <v>15342</v>
      </c>
      <c r="B7796" s="15" t="s">
        <v>15343</v>
      </c>
      <c r="C7796" s="16">
        <f>235.19/(1+B2)</f>
        <v>235.19</v>
      </c>
      <c r="D7796" s="17" t="s">
        <v>11</v>
      </c>
      <c r="E7796" s="17" t="s">
        <v>11</v>
      </c>
      <c r="F7796" s="18"/>
      <c r="G7796" s="36" t="str">
        <f>IF(ISNUMBER(F7796),C7796*F7796,"")</f>
        <v/>
      </c>
    </row>
    <row r="7797" spans="1:7" s="1" customFormat="1" ht="12.95" customHeight="1" outlineLevel="2" x14ac:dyDescent="0.2">
      <c r="A7797" s="20"/>
      <c r="B7797" s="21" t="s">
        <v>15344</v>
      </c>
      <c r="C7797" s="22"/>
      <c r="D7797" s="22"/>
      <c r="E7797" s="22"/>
      <c r="F7797" s="22"/>
      <c r="G7797" s="37"/>
    </row>
    <row r="7798" spans="1:7" ht="12" customHeight="1" outlineLevel="3" x14ac:dyDescent="0.2">
      <c r="A7798" s="14" t="s">
        <v>15345</v>
      </c>
      <c r="B7798" s="15" t="s">
        <v>15346</v>
      </c>
      <c r="C7798" s="16">
        <f>354.6/(1+B2)</f>
        <v>354.6</v>
      </c>
      <c r="D7798" s="17" t="s">
        <v>11</v>
      </c>
      <c r="E7798" s="17"/>
      <c r="F7798" s="18"/>
      <c r="G7798" s="36" t="str">
        <f>IF(ISNUMBER(F7798),C7798*F7798,"")</f>
        <v/>
      </c>
    </row>
    <row r="7799" spans="1:7" ht="12" customHeight="1" outlineLevel="3" x14ac:dyDescent="0.2">
      <c r="A7799" s="14" t="s">
        <v>15347</v>
      </c>
      <c r="B7799" s="15" t="s">
        <v>15348</v>
      </c>
      <c r="C7799" s="16">
        <f>354.6/(1+B2)</f>
        <v>354.6</v>
      </c>
      <c r="D7799" s="17" t="s">
        <v>11</v>
      </c>
      <c r="E7799" s="17"/>
      <c r="F7799" s="18"/>
      <c r="G7799" s="36" t="str">
        <f>IF(ISNUMBER(F7799),C7799*F7799,"")</f>
        <v/>
      </c>
    </row>
    <row r="7800" spans="1:7" ht="12" customHeight="1" outlineLevel="3" x14ac:dyDescent="0.2">
      <c r="A7800" s="14" t="s">
        <v>15349</v>
      </c>
      <c r="B7800" s="15" t="s">
        <v>15350</v>
      </c>
      <c r="C7800" s="16">
        <f>354.6/(1+B2)</f>
        <v>354.6</v>
      </c>
      <c r="D7800" s="17" t="s">
        <v>11</v>
      </c>
      <c r="E7800" s="17"/>
      <c r="F7800" s="18"/>
      <c r="G7800" s="36" t="str">
        <f>IF(ISNUMBER(F7800),C7800*F7800,"")</f>
        <v/>
      </c>
    </row>
    <row r="7801" spans="1:7" ht="12" customHeight="1" outlineLevel="3" x14ac:dyDescent="0.2">
      <c r="A7801" s="14" t="s">
        <v>15351</v>
      </c>
      <c r="B7801" s="15" t="s">
        <v>15352</v>
      </c>
      <c r="C7801" s="16">
        <f>272.02/(1+B2)</f>
        <v>272.02</v>
      </c>
      <c r="D7801" s="17" t="s">
        <v>11</v>
      </c>
      <c r="E7801" s="17"/>
      <c r="F7801" s="18"/>
      <c r="G7801" s="36" t="str">
        <f>IF(ISNUMBER(F7801),C7801*F7801,"")</f>
        <v/>
      </c>
    </row>
    <row r="7802" spans="1:7" ht="12" customHeight="1" outlineLevel="3" x14ac:dyDescent="0.2">
      <c r="A7802" s="14" t="s">
        <v>15353</v>
      </c>
      <c r="B7802" s="15" t="s">
        <v>15354</v>
      </c>
      <c r="C7802" s="16">
        <f>331.51/(1+B2)</f>
        <v>331.51</v>
      </c>
      <c r="D7802" s="17" t="s">
        <v>11</v>
      </c>
      <c r="E7802" s="17"/>
      <c r="F7802" s="18"/>
      <c r="G7802" s="36" t="str">
        <f>IF(ISNUMBER(F7802),C7802*F7802,"")</f>
        <v/>
      </c>
    </row>
    <row r="7803" spans="1:7" ht="12" customHeight="1" outlineLevel="3" x14ac:dyDescent="0.2">
      <c r="A7803" s="14" t="s">
        <v>15355</v>
      </c>
      <c r="B7803" s="15" t="s">
        <v>15356</v>
      </c>
      <c r="C7803" s="16">
        <f>783.75/(1+B2)</f>
        <v>783.75</v>
      </c>
      <c r="D7803" s="17" t="s">
        <v>11</v>
      </c>
      <c r="E7803" s="17"/>
      <c r="F7803" s="18"/>
      <c r="G7803" s="36" t="str">
        <f>IF(ISNUMBER(F7803),C7803*F7803,"")</f>
        <v/>
      </c>
    </row>
    <row r="7804" spans="1:7" ht="12" customHeight="1" outlineLevel="3" x14ac:dyDescent="0.2">
      <c r="A7804" s="14" t="s">
        <v>15357</v>
      </c>
      <c r="B7804" s="15" t="s">
        <v>15358</v>
      </c>
      <c r="C7804" s="16">
        <f>71.72/(1+B2)</f>
        <v>71.72</v>
      </c>
      <c r="D7804" s="17" t="s">
        <v>11</v>
      </c>
      <c r="E7804" s="17"/>
      <c r="F7804" s="18"/>
      <c r="G7804" s="36" t="str">
        <f>IF(ISNUMBER(F7804),C7804*F7804,"")</f>
        <v/>
      </c>
    </row>
    <row r="7805" spans="1:7" s="1" customFormat="1" ht="12.95" customHeight="1" outlineLevel="2" x14ac:dyDescent="0.2">
      <c r="A7805" s="20"/>
      <c r="B7805" s="21" t="s">
        <v>15359</v>
      </c>
      <c r="C7805" s="22"/>
      <c r="D7805" s="22"/>
      <c r="E7805" s="22"/>
      <c r="F7805" s="22"/>
      <c r="G7805" s="37"/>
    </row>
    <row r="7806" spans="1:7" ht="12" customHeight="1" outlineLevel="3" x14ac:dyDescent="0.2">
      <c r="A7806" s="14" t="s">
        <v>15360</v>
      </c>
      <c r="B7806" s="15" t="s">
        <v>15361</v>
      </c>
      <c r="C7806" s="16">
        <f>369.23/(1+B2)</f>
        <v>369.23</v>
      </c>
      <c r="D7806" s="17" t="s">
        <v>11</v>
      </c>
      <c r="E7806" s="17"/>
      <c r="F7806" s="18"/>
      <c r="G7806" s="36" t="str">
        <f>IF(ISNUMBER(F7806),C7806*F7806,"")</f>
        <v/>
      </c>
    </row>
    <row r="7807" spans="1:7" ht="12" customHeight="1" outlineLevel="3" x14ac:dyDescent="0.2">
      <c r="A7807" s="14" t="s">
        <v>15362</v>
      </c>
      <c r="B7807" s="15" t="s">
        <v>15363</v>
      </c>
      <c r="C7807" s="16">
        <f>420.25/(1+B2)</f>
        <v>420.25</v>
      </c>
      <c r="D7807" s="17" t="s">
        <v>11</v>
      </c>
      <c r="E7807" s="17"/>
      <c r="F7807" s="18"/>
      <c r="G7807" s="36" t="str">
        <f>IF(ISNUMBER(F7807),C7807*F7807,"")</f>
        <v/>
      </c>
    </row>
    <row r="7808" spans="1:7" ht="12" customHeight="1" outlineLevel="3" x14ac:dyDescent="0.2">
      <c r="A7808" s="14" t="s">
        <v>15364</v>
      </c>
      <c r="B7808" s="15" t="s">
        <v>15365</v>
      </c>
      <c r="C7808" s="16">
        <f>763.14/(1+B2)</f>
        <v>763.14</v>
      </c>
      <c r="D7808" s="17" t="s">
        <v>11</v>
      </c>
      <c r="E7808" s="17"/>
      <c r="F7808" s="18"/>
      <c r="G7808" s="36" t="str">
        <f>IF(ISNUMBER(F7808),C7808*F7808,"")</f>
        <v/>
      </c>
    </row>
    <row r="7809" spans="1:7" ht="12" customHeight="1" outlineLevel="3" x14ac:dyDescent="0.2">
      <c r="A7809" s="14" t="s">
        <v>15366</v>
      </c>
      <c r="B7809" s="15" t="s">
        <v>15367</v>
      </c>
      <c r="C7809" s="16">
        <f>260.34/(1+B2)</f>
        <v>260.33999999999997</v>
      </c>
      <c r="D7809" s="17" t="s">
        <v>11</v>
      </c>
      <c r="E7809" s="17"/>
      <c r="F7809" s="18"/>
      <c r="G7809" s="36" t="str">
        <f>IF(ISNUMBER(F7809),C7809*F7809,"")</f>
        <v/>
      </c>
    </row>
    <row r="7810" spans="1:7" ht="12" customHeight="1" outlineLevel="3" x14ac:dyDescent="0.2">
      <c r="A7810" s="14" t="s">
        <v>15368</v>
      </c>
      <c r="B7810" s="15" t="s">
        <v>15369</v>
      </c>
      <c r="C7810" s="16">
        <f>288.69/(1+B2)</f>
        <v>288.69</v>
      </c>
      <c r="D7810" s="17" t="s">
        <v>11</v>
      </c>
      <c r="E7810" s="17"/>
      <c r="F7810" s="18"/>
      <c r="G7810" s="36" t="str">
        <f>IF(ISNUMBER(F7810),C7810*F7810,"")</f>
        <v/>
      </c>
    </row>
    <row r="7811" spans="1:7" ht="24" customHeight="1" outlineLevel="3" x14ac:dyDescent="0.2">
      <c r="A7811" s="14" t="s">
        <v>15370</v>
      </c>
      <c r="B7811" s="15" t="s">
        <v>15371</v>
      </c>
      <c r="C7811" s="16">
        <f>432.5/(1+B2)</f>
        <v>432.5</v>
      </c>
      <c r="D7811" s="17" t="s">
        <v>11</v>
      </c>
      <c r="E7811" s="17" t="s">
        <v>14</v>
      </c>
      <c r="F7811" s="18"/>
      <c r="G7811" s="36" t="str">
        <f>IF(ISNUMBER(F7811),C7811*F7811,"")</f>
        <v/>
      </c>
    </row>
    <row r="7812" spans="1:7" s="1" customFormat="1" ht="12.95" customHeight="1" outlineLevel="2" x14ac:dyDescent="0.2">
      <c r="A7812" s="20"/>
      <c r="B7812" s="21" t="s">
        <v>15372</v>
      </c>
      <c r="C7812" s="22"/>
      <c r="D7812" s="22"/>
      <c r="E7812" s="22"/>
      <c r="F7812" s="22"/>
      <c r="G7812" s="37"/>
    </row>
    <row r="7813" spans="1:7" ht="24" customHeight="1" outlineLevel="3" x14ac:dyDescent="0.2">
      <c r="A7813" s="14" t="s">
        <v>15373</v>
      </c>
      <c r="B7813" s="15" t="s">
        <v>15374</v>
      </c>
      <c r="C7813" s="16">
        <f>344.19/(1+B2)</f>
        <v>344.19</v>
      </c>
      <c r="D7813" s="17" t="s">
        <v>11</v>
      </c>
      <c r="E7813" s="17"/>
      <c r="F7813" s="18"/>
      <c r="G7813" s="36" t="str">
        <f>IF(ISNUMBER(F7813),C7813*F7813,"")</f>
        <v/>
      </c>
    </row>
    <row r="7814" spans="1:7" ht="12" customHeight="1" outlineLevel="3" x14ac:dyDescent="0.2">
      <c r="A7814" s="14" t="s">
        <v>15375</v>
      </c>
      <c r="B7814" s="15" t="s">
        <v>15376</v>
      </c>
      <c r="C7814" s="16">
        <f>91.66/(1+B2)</f>
        <v>91.66</v>
      </c>
      <c r="D7814" s="17" t="s">
        <v>11</v>
      </c>
      <c r="E7814" s="17"/>
      <c r="F7814" s="18"/>
      <c r="G7814" s="36" t="str">
        <f>IF(ISNUMBER(F7814),C7814*F7814,"")</f>
        <v/>
      </c>
    </row>
    <row r="7815" spans="1:7" ht="12" customHeight="1" outlineLevel="3" x14ac:dyDescent="0.2">
      <c r="A7815" s="14" t="s">
        <v>15377</v>
      </c>
      <c r="B7815" s="15" t="s">
        <v>15378</v>
      </c>
      <c r="C7815" s="16">
        <f>138.34/(1+B2)</f>
        <v>138.34</v>
      </c>
      <c r="D7815" s="17" t="s">
        <v>11</v>
      </c>
      <c r="E7815" s="17"/>
      <c r="F7815" s="18"/>
      <c r="G7815" s="36" t="str">
        <f>IF(ISNUMBER(F7815),C7815*F7815,"")</f>
        <v/>
      </c>
    </row>
    <row r="7816" spans="1:7" ht="12" customHeight="1" outlineLevel="3" x14ac:dyDescent="0.2">
      <c r="A7816" s="14" t="s">
        <v>15379</v>
      </c>
      <c r="B7816" s="15" t="s">
        <v>15380</v>
      </c>
      <c r="C7816" s="16">
        <f>241.53/(1+B2)</f>
        <v>241.53</v>
      </c>
      <c r="D7816" s="17" t="s">
        <v>11</v>
      </c>
      <c r="E7816" s="17"/>
      <c r="F7816" s="18"/>
      <c r="G7816" s="36" t="str">
        <f>IF(ISNUMBER(F7816),C7816*F7816,"")</f>
        <v/>
      </c>
    </row>
    <row r="7817" spans="1:7" ht="12" customHeight="1" outlineLevel="3" x14ac:dyDescent="0.2">
      <c r="A7817" s="14" t="s">
        <v>15381</v>
      </c>
      <c r="B7817" s="15" t="s">
        <v>15382</v>
      </c>
      <c r="C7817" s="16">
        <f>118.81/(1+B2)</f>
        <v>118.81</v>
      </c>
      <c r="D7817" s="17" t="s">
        <v>11</v>
      </c>
      <c r="E7817" s="17"/>
      <c r="F7817" s="18"/>
      <c r="G7817" s="36" t="str">
        <f>IF(ISNUMBER(F7817),C7817*F7817,"")</f>
        <v/>
      </c>
    </row>
    <row r="7818" spans="1:7" ht="24" customHeight="1" outlineLevel="3" x14ac:dyDescent="0.2">
      <c r="A7818" s="14" t="s">
        <v>15383</v>
      </c>
      <c r="B7818" s="15" t="s">
        <v>15384</v>
      </c>
      <c r="C7818" s="16">
        <f>354.05/(1+B2)</f>
        <v>354.05</v>
      </c>
      <c r="D7818" s="17" t="s">
        <v>11</v>
      </c>
      <c r="E7818" s="17"/>
      <c r="F7818" s="18"/>
      <c r="G7818" s="36" t="str">
        <f>IF(ISNUMBER(F7818),C7818*F7818,"")</f>
        <v/>
      </c>
    </row>
    <row r="7819" spans="1:7" ht="12" customHeight="1" outlineLevel="3" x14ac:dyDescent="0.2">
      <c r="A7819" s="14" t="s">
        <v>15385</v>
      </c>
      <c r="B7819" s="15" t="s">
        <v>15386</v>
      </c>
      <c r="C7819" s="16">
        <f>338.1/(1+B2)</f>
        <v>338.1</v>
      </c>
      <c r="D7819" s="17" t="s">
        <v>11</v>
      </c>
      <c r="E7819" s="17"/>
      <c r="F7819" s="18"/>
      <c r="G7819" s="36" t="str">
        <f>IF(ISNUMBER(F7819),C7819*F7819,"")</f>
        <v/>
      </c>
    </row>
    <row r="7820" spans="1:7" ht="24" customHeight="1" outlineLevel="3" x14ac:dyDescent="0.2">
      <c r="A7820" s="14" t="s">
        <v>15387</v>
      </c>
      <c r="B7820" s="15" t="s">
        <v>15388</v>
      </c>
      <c r="C7820" s="16">
        <f>516.33/(1+B2)</f>
        <v>516.33000000000004</v>
      </c>
      <c r="D7820" s="17" t="s">
        <v>11</v>
      </c>
      <c r="E7820" s="17"/>
      <c r="F7820" s="18"/>
      <c r="G7820" s="36" t="str">
        <f>IF(ISNUMBER(F7820),C7820*F7820,"")</f>
        <v/>
      </c>
    </row>
    <row r="7821" spans="1:7" ht="24" customHeight="1" outlineLevel="3" x14ac:dyDescent="0.2">
      <c r="A7821" s="14" t="s">
        <v>15389</v>
      </c>
      <c r="B7821" s="15" t="s">
        <v>15390</v>
      </c>
      <c r="C7821" s="16">
        <f>192.83/(1+B2)</f>
        <v>192.83</v>
      </c>
      <c r="D7821" s="17" t="s">
        <v>11</v>
      </c>
      <c r="E7821" s="17"/>
      <c r="F7821" s="18"/>
      <c r="G7821" s="36" t="str">
        <f>IF(ISNUMBER(F7821),C7821*F7821,"")</f>
        <v/>
      </c>
    </row>
    <row r="7822" spans="1:7" ht="12" customHeight="1" outlineLevel="3" x14ac:dyDescent="0.2">
      <c r="A7822" s="14" t="s">
        <v>15391</v>
      </c>
      <c r="B7822" s="15" t="s">
        <v>15392</v>
      </c>
      <c r="C7822" s="16">
        <f>218.71/(1+B2)</f>
        <v>218.71</v>
      </c>
      <c r="D7822" s="17" t="s">
        <v>11</v>
      </c>
      <c r="E7822" s="17" t="s">
        <v>14</v>
      </c>
      <c r="F7822" s="18"/>
      <c r="G7822" s="36" t="str">
        <f>IF(ISNUMBER(F7822),C7822*F7822,"")</f>
        <v/>
      </c>
    </row>
    <row r="7823" spans="1:7" ht="12" customHeight="1" outlineLevel="3" x14ac:dyDescent="0.2">
      <c r="A7823" s="14" t="s">
        <v>15393</v>
      </c>
      <c r="B7823" s="15" t="s">
        <v>15394</v>
      </c>
      <c r="C7823" s="16">
        <f>278.84/(1+B2)</f>
        <v>278.83999999999997</v>
      </c>
      <c r="D7823" s="17" t="s">
        <v>11</v>
      </c>
      <c r="E7823" s="17" t="s">
        <v>11</v>
      </c>
      <c r="F7823" s="18"/>
      <c r="G7823" s="36" t="str">
        <f>IF(ISNUMBER(F7823),C7823*F7823,"")</f>
        <v/>
      </c>
    </row>
    <row r="7824" spans="1:7" ht="24" customHeight="1" outlineLevel="3" x14ac:dyDescent="0.2">
      <c r="A7824" s="14" t="s">
        <v>15395</v>
      </c>
      <c r="B7824" s="15" t="s">
        <v>15396</v>
      </c>
      <c r="C7824" s="16">
        <f>248.26/(1+B2)</f>
        <v>248.26</v>
      </c>
      <c r="D7824" s="17" t="s">
        <v>11</v>
      </c>
      <c r="E7824" s="17" t="s">
        <v>11</v>
      </c>
      <c r="F7824" s="18"/>
      <c r="G7824" s="36" t="str">
        <f>IF(ISNUMBER(F7824),C7824*F7824,"")</f>
        <v/>
      </c>
    </row>
    <row r="7825" spans="1:7" ht="12" customHeight="1" outlineLevel="3" x14ac:dyDescent="0.2">
      <c r="A7825" s="14" t="s">
        <v>15397</v>
      </c>
      <c r="B7825" s="15" t="s">
        <v>15398</v>
      </c>
      <c r="C7825" s="19">
        <f>1897.05/(1+B2)</f>
        <v>1897.05</v>
      </c>
      <c r="D7825" s="17" t="s">
        <v>11</v>
      </c>
      <c r="E7825" s="17"/>
      <c r="F7825" s="18"/>
      <c r="G7825" s="36" t="str">
        <f>IF(ISNUMBER(F7825),C7825*F7825,"")</f>
        <v/>
      </c>
    </row>
    <row r="7826" spans="1:7" ht="12" customHeight="1" outlineLevel="3" x14ac:dyDescent="0.2">
      <c r="A7826" s="14" t="s">
        <v>15399</v>
      </c>
      <c r="B7826" s="15" t="s">
        <v>15400</v>
      </c>
      <c r="C7826" s="16">
        <f>329.35/(1+B2)</f>
        <v>329.35</v>
      </c>
      <c r="D7826" s="17" t="s">
        <v>11</v>
      </c>
      <c r="E7826" s="17"/>
      <c r="F7826" s="18"/>
      <c r="G7826" s="36" t="str">
        <f>IF(ISNUMBER(F7826),C7826*F7826,"")</f>
        <v/>
      </c>
    </row>
    <row r="7827" spans="1:7" ht="24" customHeight="1" outlineLevel="3" x14ac:dyDescent="0.2">
      <c r="A7827" s="14" t="s">
        <v>15401</v>
      </c>
      <c r="B7827" s="15" t="s">
        <v>15402</v>
      </c>
      <c r="C7827" s="16">
        <f>561.86/(1+B2)</f>
        <v>561.86</v>
      </c>
      <c r="D7827" s="17" t="s">
        <v>11</v>
      </c>
      <c r="E7827" s="17" t="s">
        <v>11</v>
      </c>
      <c r="F7827" s="18"/>
      <c r="G7827" s="36" t="str">
        <f>IF(ISNUMBER(F7827),C7827*F7827,"")</f>
        <v/>
      </c>
    </row>
    <row r="7828" spans="1:7" s="1" customFormat="1" ht="15.95" customHeight="1" outlineLevel="1" x14ac:dyDescent="0.25">
      <c r="A7828" s="11"/>
      <c r="B7828" s="12" t="s">
        <v>15403</v>
      </c>
      <c r="C7828" s="13"/>
      <c r="D7828" s="13"/>
      <c r="E7828" s="13"/>
      <c r="F7828" s="13"/>
      <c r="G7828" s="35"/>
    </row>
    <row r="7829" spans="1:7" ht="12" customHeight="1" outlineLevel="2" x14ac:dyDescent="0.2">
      <c r="A7829" s="14" t="s">
        <v>15404</v>
      </c>
      <c r="B7829" s="15" t="s">
        <v>15405</v>
      </c>
      <c r="C7829" s="16">
        <f>16.27/(1+B2)</f>
        <v>16.27</v>
      </c>
      <c r="D7829" s="17" t="s">
        <v>53</v>
      </c>
      <c r="E7829" s="17"/>
      <c r="F7829" s="18"/>
      <c r="G7829" s="36" t="str">
        <f>IF(ISNUMBER(F7829),C7829*F7829,"")</f>
        <v/>
      </c>
    </row>
    <row r="7830" spans="1:7" ht="12" customHeight="1" outlineLevel="2" x14ac:dyDescent="0.2">
      <c r="A7830" s="14" t="s">
        <v>15406</v>
      </c>
      <c r="B7830" s="15" t="s">
        <v>15407</v>
      </c>
      <c r="C7830" s="16">
        <f>16.27/(1+B2)</f>
        <v>16.27</v>
      </c>
      <c r="D7830" s="17" t="s">
        <v>11</v>
      </c>
      <c r="E7830" s="17"/>
      <c r="F7830" s="18"/>
      <c r="G7830" s="36" t="str">
        <f>IF(ISNUMBER(F7830),C7830*F7830,"")</f>
        <v/>
      </c>
    </row>
    <row r="7831" spans="1:7" ht="12" customHeight="1" outlineLevel="2" x14ac:dyDescent="0.2">
      <c r="A7831" s="14" t="s">
        <v>15408</v>
      </c>
      <c r="B7831" s="15" t="s">
        <v>15409</v>
      </c>
      <c r="C7831" s="16">
        <f>16.27/(1+B2)</f>
        <v>16.27</v>
      </c>
      <c r="D7831" s="17" t="s">
        <v>53</v>
      </c>
      <c r="E7831" s="17"/>
      <c r="F7831" s="18"/>
      <c r="G7831" s="36" t="str">
        <f>IF(ISNUMBER(F7831),C7831*F7831,"")</f>
        <v/>
      </c>
    </row>
    <row r="7832" spans="1:7" ht="12" customHeight="1" outlineLevel="2" x14ac:dyDescent="0.2">
      <c r="A7832" s="14" t="s">
        <v>15410</v>
      </c>
      <c r="B7832" s="15" t="s">
        <v>15411</v>
      </c>
      <c r="C7832" s="16">
        <f>16.27/(1+B2)</f>
        <v>16.27</v>
      </c>
      <c r="D7832" s="17" t="s">
        <v>11</v>
      </c>
      <c r="E7832" s="17"/>
      <c r="F7832" s="18"/>
      <c r="G7832" s="36" t="str">
        <f>IF(ISNUMBER(F7832),C7832*F7832,"")</f>
        <v/>
      </c>
    </row>
    <row r="7833" spans="1:7" ht="12" customHeight="1" outlineLevel="2" x14ac:dyDescent="0.2">
      <c r="A7833" s="14" t="s">
        <v>15412</v>
      </c>
      <c r="B7833" s="15" t="s">
        <v>15413</v>
      </c>
      <c r="C7833" s="16">
        <f>16.27/(1+B2)</f>
        <v>16.27</v>
      </c>
      <c r="D7833" s="17" t="s">
        <v>14</v>
      </c>
      <c r="E7833" s="17"/>
      <c r="F7833" s="18"/>
      <c r="G7833" s="36" t="str">
        <f>IF(ISNUMBER(F7833),C7833*F7833,"")</f>
        <v/>
      </c>
    </row>
    <row r="7834" spans="1:7" ht="12" customHeight="1" outlineLevel="2" x14ac:dyDescent="0.2">
      <c r="A7834" s="14" t="s">
        <v>15414</v>
      </c>
      <c r="B7834" s="15" t="s">
        <v>15415</v>
      </c>
      <c r="C7834" s="16">
        <f>17.09/(1+B2)</f>
        <v>17.09</v>
      </c>
      <c r="D7834" s="17" t="s">
        <v>53</v>
      </c>
      <c r="E7834" s="17"/>
      <c r="F7834" s="18"/>
      <c r="G7834" s="36" t="str">
        <f>IF(ISNUMBER(F7834),C7834*F7834,"")</f>
        <v/>
      </c>
    </row>
    <row r="7835" spans="1:7" ht="12" customHeight="1" outlineLevel="2" x14ac:dyDescent="0.2">
      <c r="A7835" s="14" t="s">
        <v>15416</v>
      </c>
      <c r="B7835" s="15" t="s">
        <v>15417</v>
      </c>
      <c r="C7835" s="16">
        <f>33.61/(1+B2)</f>
        <v>33.61</v>
      </c>
      <c r="D7835" s="17" t="s">
        <v>53</v>
      </c>
      <c r="E7835" s="17"/>
      <c r="F7835" s="18"/>
      <c r="G7835" s="36" t="str">
        <f>IF(ISNUMBER(F7835),C7835*F7835,"")</f>
        <v/>
      </c>
    </row>
    <row r="7836" spans="1:7" ht="12" customHeight="1" outlineLevel="2" x14ac:dyDescent="0.2">
      <c r="A7836" s="14" t="s">
        <v>15418</v>
      </c>
      <c r="B7836" s="15" t="s">
        <v>15419</v>
      </c>
      <c r="C7836" s="16">
        <f>33.61/(1+B2)</f>
        <v>33.61</v>
      </c>
      <c r="D7836" s="17" t="s">
        <v>11</v>
      </c>
      <c r="E7836" s="17"/>
      <c r="F7836" s="18"/>
      <c r="G7836" s="36" t="str">
        <f>IF(ISNUMBER(F7836),C7836*F7836,"")</f>
        <v/>
      </c>
    </row>
    <row r="7837" spans="1:7" ht="12" customHeight="1" outlineLevel="2" x14ac:dyDescent="0.2">
      <c r="A7837" s="14" t="s">
        <v>15420</v>
      </c>
      <c r="B7837" s="15" t="s">
        <v>15421</v>
      </c>
      <c r="C7837" s="16">
        <f>33.61/(1+B2)</f>
        <v>33.61</v>
      </c>
      <c r="D7837" s="17" t="s">
        <v>11</v>
      </c>
      <c r="E7837" s="17"/>
      <c r="F7837" s="18"/>
      <c r="G7837" s="36" t="str">
        <f>IF(ISNUMBER(F7837),C7837*F7837,"")</f>
        <v/>
      </c>
    </row>
    <row r="7838" spans="1:7" ht="12" customHeight="1" outlineLevel="2" x14ac:dyDescent="0.2">
      <c r="A7838" s="14" t="s">
        <v>15422</v>
      </c>
      <c r="B7838" s="15" t="s">
        <v>15423</v>
      </c>
      <c r="C7838" s="16">
        <f>33.61/(1+B2)</f>
        <v>33.61</v>
      </c>
      <c r="D7838" s="17" t="s">
        <v>11</v>
      </c>
      <c r="E7838" s="17"/>
      <c r="F7838" s="18"/>
      <c r="G7838" s="36" t="str">
        <f>IF(ISNUMBER(F7838),C7838*F7838,"")</f>
        <v/>
      </c>
    </row>
    <row r="7839" spans="1:7" ht="12" customHeight="1" outlineLevel="2" x14ac:dyDescent="0.2">
      <c r="A7839" s="14" t="s">
        <v>15424</v>
      </c>
      <c r="B7839" s="15" t="s">
        <v>15425</v>
      </c>
      <c r="C7839" s="16">
        <f>33.61/(1+B2)</f>
        <v>33.61</v>
      </c>
      <c r="D7839" s="17" t="s">
        <v>53</v>
      </c>
      <c r="E7839" s="17"/>
      <c r="F7839" s="18"/>
      <c r="G7839" s="36" t="str">
        <f>IF(ISNUMBER(F7839),C7839*F7839,"")</f>
        <v/>
      </c>
    </row>
    <row r="7840" spans="1:7" ht="12" customHeight="1" outlineLevel="2" x14ac:dyDescent="0.2">
      <c r="A7840" s="14" t="s">
        <v>15426</v>
      </c>
      <c r="B7840" s="15" t="s">
        <v>15427</v>
      </c>
      <c r="C7840" s="16">
        <f>33.61/(1+B2)</f>
        <v>33.61</v>
      </c>
      <c r="D7840" s="17" t="s">
        <v>53</v>
      </c>
      <c r="E7840" s="17"/>
      <c r="F7840" s="18"/>
      <c r="G7840" s="36" t="str">
        <f>IF(ISNUMBER(F7840),C7840*F7840,"")</f>
        <v/>
      </c>
    </row>
    <row r="7841" spans="1:7" ht="12" customHeight="1" outlineLevel="2" x14ac:dyDescent="0.2">
      <c r="A7841" s="14" t="s">
        <v>15428</v>
      </c>
      <c r="B7841" s="15" t="s">
        <v>15429</v>
      </c>
      <c r="C7841" s="16">
        <f>42.72/(1+B2)</f>
        <v>42.72</v>
      </c>
      <c r="D7841" s="17" t="s">
        <v>11</v>
      </c>
      <c r="E7841" s="17"/>
      <c r="F7841" s="18"/>
      <c r="G7841" s="36" t="str">
        <f>IF(ISNUMBER(F7841),C7841*F7841,"")</f>
        <v/>
      </c>
    </row>
    <row r="7842" spans="1:7" ht="12" customHeight="1" outlineLevel="2" x14ac:dyDescent="0.2">
      <c r="A7842" s="14" t="s">
        <v>15430</v>
      </c>
      <c r="B7842" s="15" t="s">
        <v>15431</v>
      </c>
      <c r="C7842" s="16">
        <f>42.72/(1+B2)</f>
        <v>42.72</v>
      </c>
      <c r="D7842" s="17" t="s">
        <v>11</v>
      </c>
      <c r="E7842" s="17"/>
      <c r="F7842" s="18"/>
      <c r="G7842" s="36" t="str">
        <f>IF(ISNUMBER(F7842),C7842*F7842,"")</f>
        <v/>
      </c>
    </row>
    <row r="7843" spans="1:7" ht="12" customHeight="1" outlineLevel="2" x14ac:dyDescent="0.2">
      <c r="A7843" s="14" t="s">
        <v>15432</v>
      </c>
      <c r="B7843" s="15" t="s">
        <v>15433</v>
      </c>
      <c r="C7843" s="16">
        <f>42.72/(1+B2)</f>
        <v>42.72</v>
      </c>
      <c r="D7843" s="17" t="s">
        <v>11</v>
      </c>
      <c r="E7843" s="17"/>
      <c r="F7843" s="18"/>
      <c r="G7843" s="36" t="str">
        <f>IF(ISNUMBER(F7843),C7843*F7843,"")</f>
        <v/>
      </c>
    </row>
    <row r="7844" spans="1:7" ht="12" customHeight="1" outlineLevel="2" x14ac:dyDescent="0.2">
      <c r="A7844" s="14" t="s">
        <v>15434</v>
      </c>
      <c r="B7844" s="15" t="s">
        <v>15435</v>
      </c>
      <c r="C7844" s="16">
        <f>42.72/(1+B2)</f>
        <v>42.72</v>
      </c>
      <c r="D7844" s="17" t="s">
        <v>11</v>
      </c>
      <c r="E7844" s="17"/>
      <c r="F7844" s="18"/>
      <c r="G7844" s="36" t="str">
        <f>IF(ISNUMBER(F7844),C7844*F7844,"")</f>
        <v/>
      </c>
    </row>
    <row r="7845" spans="1:7" ht="12" customHeight="1" outlineLevel="2" x14ac:dyDescent="0.2">
      <c r="A7845" s="14" t="s">
        <v>15436</v>
      </c>
      <c r="B7845" s="15" t="s">
        <v>15437</v>
      </c>
      <c r="C7845" s="16">
        <f>42.72/(1+B2)</f>
        <v>42.72</v>
      </c>
      <c r="D7845" s="17" t="s">
        <v>53</v>
      </c>
      <c r="E7845" s="17"/>
      <c r="F7845" s="18"/>
      <c r="G7845" s="36" t="str">
        <f>IF(ISNUMBER(F7845),C7845*F7845,"")</f>
        <v/>
      </c>
    </row>
    <row r="7846" spans="1:7" ht="12" customHeight="1" outlineLevel="2" x14ac:dyDescent="0.2">
      <c r="A7846" s="14" t="s">
        <v>15438</v>
      </c>
      <c r="B7846" s="15" t="s">
        <v>15439</v>
      </c>
      <c r="C7846" s="16">
        <f>42.72/(1+B2)</f>
        <v>42.72</v>
      </c>
      <c r="D7846" s="17" t="s">
        <v>53</v>
      </c>
      <c r="E7846" s="17"/>
      <c r="F7846" s="18"/>
      <c r="G7846" s="36" t="str">
        <f>IF(ISNUMBER(F7846),C7846*F7846,"")</f>
        <v/>
      </c>
    </row>
    <row r="7847" spans="1:7" ht="12" customHeight="1" outlineLevel="2" x14ac:dyDescent="0.2">
      <c r="A7847" s="14" t="s">
        <v>15440</v>
      </c>
      <c r="B7847" s="15" t="s">
        <v>15441</v>
      </c>
      <c r="C7847" s="16">
        <f>178.04/(1+B2)</f>
        <v>178.04</v>
      </c>
      <c r="D7847" s="17" t="s">
        <v>53</v>
      </c>
      <c r="E7847" s="17" t="s">
        <v>106</v>
      </c>
      <c r="F7847" s="18"/>
      <c r="G7847" s="36" t="str">
        <f>IF(ISNUMBER(F7847),C7847*F7847,"")</f>
        <v/>
      </c>
    </row>
    <row r="7848" spans="1:7" ht="12" customHeight="1" outlineLevel="2" x14ac:dyDescent="0.2">
      <c r="A7848" s="14" t="s">
        <v>15442</v>
      </c>
      <c r="B7848" s="15" t="s">
        <v>15443</v>
      </c>
      <c r="C7848" s="16">
        <f>178.08/(1+B2)</f>
        <v>178.08</v>
      </c>
      <c r="D7848" s="17" t="s">
        <v>14</v>
      </c>
      <c r="E7848" s="17" t="s">
        <v>53</v>
      </c>
      <c r="F7848" s="18"/>
      <c r="G7848" s="36" t="str">
        <f>IF(ISNUMBER(F7848),C7848*F7848,"")</f>
        <v/>
      </c>
    </row>
    <row r="7849" spans="1:7" ht="12" customHeight="1" outlineLevel="2" x14ac:dyDescent="0.2">
      <c r="A7849" s="14" t="s">
        <v>15444</v>
      </c>
      <c r="B7849" s="15" t="s">
        <v>15445</v>
      </c>
      <c r="C7849" s="16">
        <f>34.49/(1+B2)</f>
        <v>34.49</v>
      </c>
      <c r="D7849" s="17" t="s">
        <v>14</v>
      </c>
      <c r="E7849" s="17"/>
      <c r="F7849" s="18"/>
      <c r="G7849" s="36" t="str">
        <f>IF(ISNUMBER(F7849),C7849*F7849,"")</f>
        <v/>
      </c>
    </row>
    <row r="7850" spans="1:7" ht="12" customHeight="1" outlineLevel="2" x14ac:dyDescent="0.2">
      <c r="A7850" s="14" t="s">
        <v>15446</v>
      </c>
      <c r="B7850" s="15" t="s">
        <v>15447</v>
      </c>
      <c r="C7850" s="16">
        <f>88.01/(1+B2)</f>
        <v>88.01</v>
      </c>
      <c r="D7850" s="17" t="s">
        <v>11</v>
      </c>
      <c r="E7850" s="17"/>
      <c r="F7850" s="18"/>
      <c r="G7850" s="36" t="str">
        <f>IF(ISNUMBER(F7850),C7850*F7850,"")</f>
        <v/>
      </c>
    </row>
    <row r="7851" spans="1:7" ht="12" customHeight="1" outlineLevel="2" x14ac:dyDescent="0.2">
      <c r="A7851" s="14" t="s">
        <v>15448</v>
      </c>
      <c r="B7851" s="15" t="s">
        <v>15449</v>
      </c>
      <c r="C7851" s="16">
        <f>18.63/(1+B2)</f>
        <v>18.63</v>
      </c>
      <c r="D7851" s="17" t="s">
        <v>14</v>
      </c>
      <c r="E7851" s="17" t="s">
        <v>14</v>
      </c>
      <c r="F7851" s="18"/>
      <c r="G7851" s="36" t="str">
        <f>IF(ISNUMBER(F7851),C7851*F7851,"")</f>
        <v/>
      </c>
    </row>
    <row r="7852" spans="1:7" ht="12" customHeight="1" outlineLevel="2" x14ac:dyDescent="0.2">
      <c r="A7852" s="14" t="s">
        <v>15450</v>
      </c>
      <c r="B7852" s="15" t="s">
        <v>15451</v>
      </c>
      <c r="C7852" s="16">
        <f>18.28/(1+B2)</f>
        <v>18.28</v>
      </c>
      <c r="D7852" s="17" t="s">
        <v>11</v>
      </c>
      <c r="E7852" s="17" t="s">
        <v>11</v>
      </c>
      <c r="F7852" s="18"/>
      <c r="G7852" s="36" t="str">
        <f>IF(ISNUMBER(F7852),C7852*F7852,"")</f>
        <v/>
      </c>
    </row>
    <row r="7853" spans="1:7" ht="12" customHeight="1" outlineLevel="2" x14ac:dyDescent="0.2">
      <c r="A7853" s="14" t="s">
        <v>15452</v>
      </c>
      <c r="B7853" s="15" t="s">
        <v>15453</v>
      </c>
      <c r="C7853" s="16">
        <f>18.95/(1+B2)</f>
        <v>18.95</v>
      </c>
      <c r="D7853" s="17" t="s">
        <v>11</v>
      </c>
      <c r="E7853" s="17" t="s">
        <v>11</v>
      </c>
      <c r="F7853" s="18"/>
      <c r="G7853" s="36" t="str">
        <f>IF(ISNUMBER(F7853),C7853*F7853,"")</f>
        <v/>
      </c>
    </row>
    <row r="7854" spans="1:7" ht="12" customHeight="1" outlineLevel="2" x14ac:dyDescent="0.2">
      <c r="A7854" s="14" t="s">
        <v>15454</v>
      </c>
      <c r="B7854" s="15" t="s">
        <v>15455</v>
      </c>
      <c r="C7854" s="16">
        <f>59.87/(1+B2)</f>
        <v>59.87</v>
      </c>
      <c r="D7854" s="17" t="s">
        <v>53</v>
      </c>
      <c r="E7854" s="17" t="s">
        <v>53</v>
      </c>
      <c r="F7854" s="18"/>
      <c r="G7854" s="36" t="str">
        <f>IF(ISNUMBER(F7854),C7854*F7854,"")</f>
        <v/>
      </c>
    </row>
    <row r="7855" spans="1:7" ht="12" customHeight="1" outlineLevel="2" x14ac:dyDescent="0.2">
      <c r="A7855" s="14" t="s">
        <v>15456</v>
      </c>
      <c r="B7855" s="15" t="s">
        <v>15457</v>
      </c>
      <c r="C7855" s="16">
        <f>51.58/(1+B2)</f>
        <v>51.58</v>
      </c>
      <c r="D7855" s="17" t="s">
        <v>14</v>
      </c>
      <c r="E7855" s="17" t="s">
        <v>106</v>
      </c>
      <c r="F7855" s="18"/>
      <c r="G7855" s="36" t="str">
        <f>IF(ISNUMBER(F7855),C7855*F7855,"")</f>
        <v/>
      </c>
    </row>
    <row r="7856" spans="1:7" ht="12" customHeight="1" outlineLevel="2" x14ac:dyDescent="0.2">
      <c r="A7856" s="14" t="s">
        <v>15458</v>
      </c>
      <c r="B7856" s="15" t="s">
        <v>15459</v>
      </c>
      <c r="C7856" s="16">
        <f>104.95/(1+B2)</f>
        <v>104.95</v>
      </c>
      <c r="D7856" s="17" t="s">
        <v>53</v>
      </c>
      <c r="E7856" s="17"/>
      <c r="F7856" s="18"/>
      <c r="G7856" s="36" t="str">
        <f>IF(ISNUMBER(F7856),C7856*F7856,"")</f>
        <v/>
      </c>
    </row>
    <row r="7857" spans="1:7" ht="12" customHeight="1" outlineLevel="2" x14ac:dyDescent="0.2">
      <c r="A7857" s="14" t="s">
        <v>15460</v>
      </c>
      <c r="B7857" s="15" t="s">
        <v>15461</v>
      </c>
      <c r="C7857" s="16">
        <f>46.76/(1+B2)</f>
        <v>46.76</v>
      </c>
      <c r="D7857" s="17" t="s">
        <v>11</v>
      </c>
      <c r="E7857" s="17" t="s">
        <v>53</v>
      </c>
      <c r="F7857" s="18"/>
      <c r="G7857" s="36" t="str">
        <f>IF(ISNUMBER(F7857),C7857*F7857,"")</f>
        <v/>
      </c>
    </row>
    <row r="7858" spans="1:7" ht="12" customHeight="1" outlineLevel="2" x14ac:dyDescent="0.2">
      <c r="A7858" s="14" t="s">
        <v>15462</v>
      </c>
      <c r="B7858" s="15" t="s">
        <v>15463</v>
      </c>
      <c r="C7858" s="16">
        <f>140.26/(1+B2)</f>
        <v>140.26</v>
      </c>
      <c r="D7858" s="17" t="s">
        <v>11</v>
      </c>
      <c r="E7858" s="17" t="s">
        <v>11</v>
      </c>
      <c r="F7858" s="18"/>
      <c r="G7858" s="36" t="str">
        <f>IF(ISNUMBER(F7858),C7858*F7858,"")</f>
        <v/>
      </c>
    </row>
    <row r="7859" spans="1:7" ht="12" customHeight="1" outlineLevel="2" x14ac:dyDescent="0.2">
      <c r="A7859" s="14" t="s">
        <v>15464</v>
      </c>
      <c r="B7859" s="15" t="s">
        <v>15465</v>
      </c>
      <c r="C7859" s="16">
        <f>69.86/(1+B2)</f>
        <v>69.86</v>
      </c>
      <c r="D7859" s="17" t="s">
        <v>14</v>
      </c>
      <c r="E7859" s="17" t="s">
        <v>53</v>
      </c>
      <c r="F7859" s="18"/>
      <c r="G7859" s="36" t="str">
        <f>IF(ISNUMBER(F7859),C7859*F7859,"")</f>
        <v/>
      </c>
    </row>
    <row r="7860" spans="1:7" ht="12" customHeight="1" outlineLevel="2" x14ac:dyDescent="0.2">
      <c r="A7860" s="14" t="s">
        <v>15466</v>
      </c>
      <c r="B7860" s="15" t="s">
        <v>15467</v>
      </c>
      <c r="C7860" s="16">
        <f>186.83/(1+B2)</f>
        <v>186.83</v>
      </c>
      <c r="D7860" s="17" t="s">
        <v>53</v>
      </c>
      <c r="E7860" s="17"/>
      <c r="F7860" s="18"/>
      <c r="G7860" s="36" t="str">
        <f>IF(ISNUMBER(F7860),C7860*F7860,"")</f>
        <v/>
      </c>
    </row>
    <row r="7861" spans="1:7" ht="12" customHeight="1" outlineLevel="2" x14ac:dyDescent="0.2">
      <c r="A7861" s="14" t="s">
        <v>15468</v>
      </c>
      <c r="B7861" s="15" t="s">
        <v>15469</v>
      </c>
      <c r="C7861" s="16">
        <f>23.3/(1+B2)</f>
        <v>23.3</v>
      </c>
      <c r="D7861" s="17" t="s">
        <v>53</v>
      </c>
      <c r="E7861" s="17" t="s">
        <v>11</v>
      </c>
      <c r="F7861" s="18"/>
      <c r="G7861" s="36" t="str">
        <f>IF(ISNUMBER(F7861),C7861*F7861,"")</f>
        <v/>
      </c>
    </row>
    <row r="7862" spans="1:7" ht="12" customHeight="1" outlineLevel="2" x14ac:dyDescent="0.2">
      <c r="A7862" s="14" t="s">
        <v>15470</v>
      </c>
      <c r="B7862" s="15" t="s">
        <v>15471</v>
      </c>
      <c r="C7862" s="16">
        <f>83.29/(1+B2)</f>
        <v>83.29</v>
      </c>
      <c r="D7862" s="17" t="s">
        <v>14</v>
      </c>
      <c r="E7862" s="17" t="s">
        <v>106</v>
      </c>
      <c r="F7862" s="18"/>
      <c r="G7862" s="36" t="str">
        <f>IF(ISNUMBER(F7862),C7862*F7862,"")</f>
        <v/>
      </c>
    </row>
    <row r="7863" spans="1:7" ht="12" customHeight="1" outlineLevel="2" x14ac:dyDescent="0.2">
      <c r="A7863" s="14" t="s">
        <v>15472</v>
      </c>
      <c r="B7863" s="15" t="s">
        <v>15473</v>
      </c>
      <c r="C7863" s="16">
        <f>69.83/(1+B2)</f>
        <v>69.83</v>
      </c>
      <c r="D7863" s="17" t="s">
        <v>53</v>
      </c>
      <c r="E7863" s="17" t="s">
        <v>53</v>
      </c>
      <c r="F7863" s="18"/>
      <c r="G7863" s="36" t="str">
        <f>IF(ISNUMBER(F7863),C7863*F7863,"")</f>
        <v/>
      </c>
    </row>
    <row r="7864" spans="1:7" ht="12" customHeight="1" outlineLevel="2" x14ac:dyDescent="0.2">
      <c r="A7864" s="14" t="s">
        <v>15474</v>
      </c>
      <c r="B7864" s="15" t="s">
        <v>15475</v>
      </c>
      <c r="C7864" s="16">
        <f>158.79/(1+B2)</f>
        <v>158.79</v>
      </c>
      <c r="D7864" s="17" t="s">
        <v>14</v>
      </c>
      <c r="E7864" s="17" t="s">
        <v>53</v>
      </c>
      <c r="F7864" s="18"/>
      <c r="G7864" s="36" t="str">
        <f>IF(ISNUMBER(F7864),C7864*F7864,"")</f>
        <v/>
      </c>
    </row>
    <row r="7865" spans="1:7" ht="12" customHeight="1" outlineLevel="2" x14ac:dyDescent="0.2">
      <c r="A7865" s="14" t="s">
        <v>15476</v>
      </c>
      <c r="B7865" s="15" t="s">
        <v>15477</v>
      </c>
      <c r="C7865" s="16">
        <f>219.35/(1+B2)</f>
        <v>219.35</v>
      </c>
      <c r="D7865" s="17" t="s">
        <v>11</v>
      </c>
      <c r="E7865" s="17" t="s">
        <v>14</v>
      </c>
      <c r="F7865" s="18"/>
      <c r="G7865" s="36" t="str">
        <f>IF(ISNUMBER(F7865),C7865*F7865,"")</f>
        <v/>
      </c>
    </row>
    <row r="7866" spans="1:7" ht="12" customHeight="1" outlineLevel="2" x14ac:dyDescent="0.2">
      <c r="A7866" s="14" t="s">
        <v>15478</v>
      </c>
      <c r="B7866" s="15" t="s">
        <v>15479</v>
      </c>
      <c r="C7866" s="16">
        <f>250.1/(1+B2)</f>
        <v>250.1</v>
      </c>
      <c r="D7866" s="17" t="s">
        <v>11</v>
      </c>
      <c r="E7866" s="17" t="s">
        <v>11</v>
      </c>
      <c r="F7866" s="18"/>
      <c r="G7866" s="36" t="str">
        <f>IF(ISNUMBER(F7866),C7866*F7866,"")</f>
        <v/>
      </c>
    </row>
    <row r="7867" spans="1:7" ht="12" customHeight="1" outlineLevel="2" x14ac:dyDescent="0.2">
      <c r="A7867" s="14" t="s">
        <v>15480</v>
      </c>
      <c r="B7867" s="15" t="s">
        <v>15481</v>
      </c>
      <c r="C7867" s="16">
        <f>437.37/(1+B2)</f>
        <v>437.37</v>
      </c>
      <c r="D7867" s="17" t="s">
        <v>11</v>
      </c>
      <c r="E7867" s="17" t="s">
        <v>11</v>
      </c>
      <c r="F7867" s="18"/>
      <c r="G7867" s="36" t="str">
        <f>IF(ISNUMBER(F7867),C7867*F7867,"")</f>
        <v/>
      </c>
    </row>
    <row r="7868" spans="1:7" ht="12" customHeight="1" outlineLevel="2" x14ac:dyDescent="0.2">
      <c r="A7868" s="14" t="s">
        <v>15482</v>
      </c>
      <c r="B7868" s="15" t="s">
        <v>15483</v>
      </c>
      <c r="C7868" s="16">
        <f>66.7/(1+B2)</f>
        <v>66.7</v>
      </c>
      <c r="D7868" s="17" t="s">
        <v>11</v>
      </c>
      <c r="E7868" s="17"/>
      <c r="F7868" s="18"/>
      <c r="G7868" s="36" t="str">
        <f>IF(ISNUMBER(F7868),C7868*F7868,"")</f>
        <v/>
      </c>
    </row>
    <row r="7869" spans="1:7" ht="12" customHeight="1" outlineLevel="2" x14ac:dyDescent="0.2">
      <c r="A7869" s="14" t="s">
        <v>15484</v>
      </c>
      <c r="B7869" s="15" t="s">
        <v>15485</v>
      </c>
      <c r="C7869" s="16">
        <f>99.49/(1+B2)</f>
        <v>99.49</v>
      </c>
      <c r="D7869" s="17" t="s">
        <v>11</v>
      </c>
      <c r="E7869" s="17"/>
      <c r="F7869" s="18"/>
      <c r="G7869" s="36" t="str">
        <f>IF(ISNUMBER(F7869),C7869*F7869,"")</f>
        <v/>
      </c>
    </row>
    <row r="7870" spans="1:7" s="1" customFormat="1" ht="15.95" customHeight="1" outlineLevel="1" x14ac:dyDescent="0.25">
      <c r="A7870" s="11"/>
      <c r="B7870" s="12" t="s">
        <v>15486</v>
      </c>
      <c r="C7870" s="13"/>
      <c r="D7870" s="13"/>
      <c r="E7870" s="13"/>
      <c r="F7870" s="13"/>
      <c r="G7870" s="35"/>
    </row>
    <row r="7871" spans="1:7" s="1" customFormat="1" ht="12.95" customHeight="1" outlineLevel="2" x14ac:dyDescent="0.2">
      <c r="A7871" s="20"/>
      <c r="B7871" s="21" t="s">
        <v>15487</v>
      </c>
      <c r="C7871" s="22"/>
      <c r="D7871" s="22"/>
      <c r="E7871" s="22"/>
      <c r="F7871" s="22"/>
      <c r="G7871" s="37"/>
    </row>
    <row r="7872" spans="1:7" ht="12" customHeight="1" outlineLevel="3" x14ac:dyDescent="0.2">
      <c r="A7872" s="14" t="s">
        <v>15488</v>
      </c>
      <c r="B7872" s="15" t="s">
        <v>15489</v>
      </c>
      <c r="C7872" s="16">
        <f>85.25/(1+B2)</f>
        <v>85.25</v>
      </c>
      <c r="D7872" s="17" t="s">
        <v>11</v>
      </c>
      <c r="E7872" s="17"/>
      <c r="F7872" s="18"/>
      <c r="G7872" s="36" t="str">
        <f>IF(ISNUMBER(F7872),C7872*F7872,"")</f>
        <v/>
      </c>
    </row>
    <row r="7873" spans="1:7" ht="12" customHeight="1" outlineLevel="3" x14ac:dyDescent="0.2">
      <c r="A7873" s="14" t="s">
        <v>15490</v>
      </c>
      <c r="B7873" s="15" t="s">
        <v>15491</v>
      </c>
      <c r="C7873" s="16">
        <f>103.94/(1+B2)</f>
        <v>103.94</v>
      </c>
      <c r="D7873" s="17" t="s">
        <v>14</v>
      </c>
      <c r="E7873" s="17" t="s">
        <v>11</v>
      </c>
      <c r="F7873" s="18"/>
      <c r="G7873" s="36" t="str">
        <f>IF(ISNUMBER(F7873),C7873*F7873,"")</f>
        <v/>
      </c>
    </row>
    <row r="7874" spans="1:7" ht="12" customHeight="1" outlineLevel="3" x14ac:dyDescent="0.2">
      <c r="A7874" s="14" t="s">
        <v>15492</v>
      </c>
      <c r="B7874" s="15" t="s">
        <v>15493</v>
      </c>
      <c r="C7874" s="16">
        <f>123.21/(1+B2)</f>
        <v>123.21</v>
      </c>
      <c r="D7874" s="17" t="s">
        <v>11</v>
      </c>
      <c r="E7874" s="17"/>
      <c r="F7874" s="18"/>
      <c r="G7874" s="36" t="str">
        <f>IF(ISNUMBER(F7874),C7874*F7874,"")</f>
        <v/>
      </c>
    </row>
    <row r="7875" spans="1:7" ht="12" customHeight="1" outlineLevel="3" x14ac:dyDescent="0.2">
      <c r="A7875" s="14" t="s">
        <v>15494</v>
      </c>
      <c r="B7875" s="15" t="s">
        <v>15495</v>
      </c>
      <c r="C7875" s="16">
        <f>114.56/(1+B2)</f>
        <v>114.56</v>
      </c>
      <c r="D7875" s="17" t="s">
        <v>14</v>
      </c>
      <c r="E7875" s="17" t="s">
        <v>53</v>
      </c>
      <c r="F7875" s="18"/>
      <c r="G7875" s="36" t="str">
        <f>IF(ISNUMBER(F7875),C7875*F7875,"")</f>
        <v/>
      </c>
    </row>
    <row r="7876" spans="1:7" ht="12" customHeight="1" outlineLevel="3" x14ac:dyDescent="0.2">
      <c r="A7876" s="14" t="s">
        <v>15496</v>
      </c>
      <c r="B7876" s="15" t="s">
        <v>15497</v>
      </c>
      <c r="C7876" s="16">
        <f>123.21/(1+B2)</f>
        <v>123.21</v>
      </c>
      <c r="D7876" s="17" t="s">
        <v>11</v>
      </c>
      <c r="E7876" s="17"/>
      <c r="F7876" s="18"/>
      <c r="G7876" s="36" t="str">
        <f>IF(ISNUMBER(F7876),C7876*F7876,"")</f>
        <v/>
      </c>
    </row>
    <row r="7877" spans="1:7" ht="12" customHeight="1" outlineLevel="3" x14ac:dyDescent="0.2">
      <c r="A7877" s="14" t="s">
        <v>15498</v>
      </c>
      <c r="B7877" s="15" t="s">
        <v>15499</v>
      </c>
      <c r="C7877" s="16">
        <f>129.8/(1+B2)</f>
        <v>129.80000000000001</v>
      </c>
      <c r="D7877" s="17" t="s">
        <v>11</v>
      </c>
      <c r="E7877" s="17"/>
      <c r="F7877" s="18"/>
      <c r="G7877" s="36" t="str">
        <f>IF(ISNUMBER(F7877),C7877*F7877,"")</f>
        <v/>
      </c>
    </row>
    <row r="7878" spans="1:7" ht="12" customHeight="1" outlineLevel="3" x14ac:dyDescent="0.2">
      <c r="A7878" s="14" t="s">
        <v>15500</v>
      </c>
      <c r="B7878" s="15" t="s">
        <v>15501</v>
      </c>
      <c r="C7878" s="16">
        <f>89.72/(1+B2)</f>
        <v>89.72</v>
      </c>
      <c r="D7878" s="17" t="s">
        <v>11</v>
      </c>
      <c r="E7878" s="17"/>
      <c r="F7878" s="18"/>
      <c r="G7878" s="36" t="str">
        <f>IF(ISNUMBER(F7878),C7878*F7878,"")</f>
        <v/>
      </c>
    </row>
    <row r="7879" spans="1:7" ht="12" customHeight="1" outlineLevel="3" x14ac:dyDescent="0.2">
      <c r="A7879" s="14" t="s">
        <v>15502</v>
      </c>
      <c r="B7879" s="15" t="s">
        <v>15503</v>
      </c>
      <c r="C7879" s="16">
        <f>103.55/(1+B2)</f>
        <v>103.55</v>
      </c>
      <c r="D7879" s="17" t="s">
        <v>11</v>
      </c>
      <c r="E7879" s="17"/>
      <c r="F7879" s="18"/>
      <c r="G7879" s="36" t="str">
        <f>IF(ISNUMBER(F7879),C7879*F7879,"")</f>
        <v/>
      </c>
    </row>
    <row r="7880" spans="1:7" ht="12" customHeight="1" outlineLevel="3" x14ac:dyDescent="0.2">
      <c r="A7880" s="14" t="s">
        <v>15504</v>
      </c>
      <c r="B7880" s="15" t="s">
        <v>15505</v>
      </c>
      <c r="C7880" s="16">
        <f>106.86/(1+B2)</f>
        <v>106.86</v>
      </c>
      <c r="D7880" s="17" t="s">
        <v>11</v>
      </c>
      <c r="E7880" s="17"/>
      <c r="F7880" s="18"/>
      <c r="G7880" s="36" t="str">
        <f>IF(ISNUMBER(F7880),C7880*F7880,"")</f>
        <v/>
      </c>
    </row>
    <row r="7881" spans="1:7" ht="12" customHeight="1" outlineLevel="3" x14ac:dyDescent="0.2">
      <c r="A7881" s="14" t="s">
        <v>15506</v>
      </c>
      <c r="B7881" s="15" t="s">
        <v>15507</v>
      </c>
      <c r="C7881" s="16">
        <f>226/(1+B2)</f>
        <v>226</v>
      </c>
      <c r="D7881" s="17" t="s">
        <v>11</v>
      </c>
      <c r="E7881" s="17"/>
      <c r="F7881" s="18"/>
      <c r="G7881" s="36" t="str">
        <f>IF(ISNUMBER(F7881),C7881*F7881,"")</f>
        <v/>
      </c>
    </row>
    <row r="7882" spans="1:7" ht="12" customHeight="1" outlineLevel="3" x14ac:dyDescent="0.2">
      <c r="A7882" s="14" t="s">
        <v>15508</v>
      </c>
      <c r="B7882" s="15" t="s">
        <v>15509</v>
      </c>
      <c r="C7882" s="16">
        <f>329.95/(1+B2)</f>
        <v>329.95</v>
      </c>
      <c r="D7882" s="17" t="s">
        <v>11</v>
      </c>
      <c r="E7882" s="17"/>
      <c r="F7882" s="18"/>
      <c r="G7882" s="36" t="str">
        <f>IF(ISNUMBER(F7882),C7882*F7882,"")</f>
        <v/>
      </c>
    </row>
    <row r="7883" spans="1:7" ht="12" customHeight="1" outlineLevel="3" x14ac:dyDescent="0.2">
      <c r="A7883" s="14" t="s">
        <v>15510</v>
      </c>
      <c r="B7883" s="15" t="s">
        <v>15511</v>
      </c>
      <c r="C7883" s="16">
        <f>295.67/(1+B2)</f>
        <v>295.67</v>
      </c>
      <c r="D7883" s="17" t="s">
        <v>11</v>
      </c>
      <c r="E7883" s="17" t="s">
        <v>11</v>
      </c>
      <c r="F7883" s="18"/>
      <c r="G7883" s="36" t="str">
        <f>IF(ISNUMBER(F7883),C7883*F7883,"")</f>
        <v/>
      </c>
    </row>
    <row r="7884" spans="1:7" ht="12" customHeight="1" outlineLevel="3" x14ac:dyDescent="0.2">
      <c r="A7884" s="14" t="s">
        <v>15512</v>
      </c>
      <c r="B7884" s="15" t="s">
        <v>15513</v>
      </c>
      <c r="C7884" s="16">
        <f>245.61/(1+B2)</f>
        <v>245.61</v>
      </c>
      <c r="D7884" s="17" t="s">
        <v>11</v>
      </c>
      <c r="E7884" s="17"/>
      <c r="F7884" s="18"/>
      <c r="G7884" s="36" t="str">
        <f>IF(ISNUMBER(F7884),C7884*F7884,"")</f>
        <v/>
      </c>
    </row>
    <row r="7885" spans="1:7" ht="12" customHeight="1" outlineLevel="3" x14ac:dyDescent="0.2">
      <c r="A7885" s="14" t="s">
        <v>15514</v>
      </c>
      <c r="B7885" s="15" t="s">
        <v>15515</v>
      </c>
      <c r="C7885" s="16">
        <f>373.91/(1+B2)</f>
        <v>373.91</v>
      </c>
      <c r="D7885" s="17" t="s">
        <v>11</v>
      </c>
      <c r="E7885" s="17"/>
      <c r="F7885" s="18"/>
      <c r="G7885" s="36" t="str">
        <f>IF(ISNUMBER(F7885),C7885*F7885,"")</f>
        <v/>
      </c>
    </row>
    <row r="7886" spans="1:7" ht="12" customHeight="1" outlineLevel="3" x14ac:dyDescent="0.2">
      <c r="A7886" s="14" t="s">
        <v>15516</v>
      </c>
      <c r="B7886" s="15" t="s">
        <v>15517</v>
      </c>
      <c r="C7886" s="16">
        <f>339.3/(1+B2)</f>
        <v>339.3</v>
      </c>
      <c r="D7886" s="17" t="s">
        <v>11</v>
      </c>
      <c r="E7886" s="17"/>
      <c r="F7886" s="18"/>
      <c r="G7886" s="36" t="str">
        <f>IF(ISNUMBER(F7886),C7886*F7886,"")</f>
        <v/>
      </c>
    </row>
    <row r="7887" spans="1:7" ht="12" customHeight="1" outlineLevel="3" x14ac:dyDescent="0.2">
      <c r="A7887" s="14" t="s">
        <v>15518</v>
      </c>
      <c r="B7887" s="15" t="s">
        <v>15519</v>
      </c>
      <c r="C7887" s="16">
        <f>341.73/(1+B2)</f>
        <v>341.73</v>
      </c>
      <c r="D7887" s="17" t="s">
        <v>11</v>
      </c>
      <c r="E7887" s="17"/>
      <c r="F7887" s="18"/>
      <c r="G7887" s="36" t="str">
        <f>IF(ISNUMBER(F7887),C7887*F7887,"")</f>
        <v/>
      </c>
    </row>
    <row r="7888" spans="1:7" ht="12" customHeight="1" outlineLevel="3" x14ac:dyDescent="0.2">
      <c r="A7888" s="14" t="s">
        <v>15520</v>
      </c>
      <c r="B7888" s="15" t="s">
        <v>15521</v>
      </c>
      <c r="C7888" s="16">
        <f>410.43/(1+B2)</f>
        <v>410.43</v>
      </c>
      <c r="D7888" s="17" t="s">
        <v>11</v>
      </c>
      <c r="E7888" s="17"/>
      <c r="F7888" s="18"/>
      <c r="G7888" s="36" t="str">
        <f>IF(ISNUMBER(F7888),C7888*F7888,"")</f>
        <v/>
      </c>
    </row>
    <row r="7889" spans="1:7" ht="12" customHeight="1" outlineLevel="3" x14ac:dyDescent="0.2">
      <c r="A7889" s="14" t="s">
        <v>15522</v>
      </c>
      <c r="B7889" s="15" t="s">
        <v>15523</v>
      </c>
      <c r="C7889" s="16">
        <f>78.38/(1+B2)</f>
        <v>78.38</v>
      </c>
      <c r="D7889" s="17" t="s">
        <v>14</v>
      </c>
      <c r="E7889" s="17" t="s">
        <v>106</v>
      </c>
      <c r="F7889" s="18"/>
      <c r="G7889" s="36" t="str">
        <f>IF(ISNUMBER(F7889),C7889*F7889,"")</f>
        <v/>
      </c>
    </row>
    <row r="7890" spans="1:7" ht="12" customHeight="1" outlineLevel="3" x14ac:dyDescent="0.2">
      <c r="A7890" s="14" t="s">
        <v>15524</v>
      </c>
      <c r="B7890" s="15" t="s">
        <v>15525</v>
      </c>
      <c r="C7890" s="16">
        <f>78.38/(1+B2)</f>
        <v>78.38</v>
      </c>
      <c r="D7890" s="17" t="s">
        <v>11</v>
      </c>
      <c r="E7890" s="17" t="s">
        <v>53</v>
      </c>
      <c r="F7890" s="18"/>
      <c r="G7890" s="36" t="str">
        <f>IF(ISNUMBER(F7890),C7890*F7890,"")</f>
        <v/>
      </c>
    </row>
    <row r="7891" spans="1:7" ht="12" customHeight="1" outlineLevel="3" x14ac:dyDescent="0.2">
      <c r="A7891" s="14" t="s">
        <v>15526</v>
      </c>
      <c r="B7891" s="15" t="s">
        <v>15527</v>
      </c>
      <c r="C7891" s="16">
        <f>39.2/(1+B2)</f>
        <v>39.200000000000003</v>
      </c>
      <c r="D7891" s="17" t="s">
        <v>11</v>
      </c>
      <c r="E7891" s="17" t="s">
        <v>106</v>
      </c>
      <c r="F7891" s="18"/>
      <c r="G7891" s="36" t="str">
        <f>IF(ISNUMBER(F7891),C7891*F7891,"")</f>
        <v/>
      </c>
    </row>
    <row r="7892" spans="1:7" ht="12" customHeight="1" outlineLevel="3" x14ac:dyDescent="0.2">
      <c r="A7892" s="14" t="s">
        <v>15528</v>
      </c>
      <c r="B7892" s="15" t="s">
        <v>15529</v>
      </c>
      <c r="C7892" s="16">
        <f>178/(1+B2)</f>
        <v>178</v>
      </c>
      <c r="D7892" s="17" t="s">
        <v>14</v>
      </c>
      <c r="E7892" s="17"/>
      <c r="F7892" s="18"/>
      <c r="G7892" s="36" t="str">
        <f>IF(ISNUMBER(F7892),C7892*F7892,"")</f>
        <v/>
      </c>
    </row>
    <row r="7893" spans="1:7" ht="12" customHeight="1" outlineLevel="3" x14ac:dyDescent="0.2">
      <c r="A7893" s="14" t="s">
        <v>15530</v>
      </c>
      <c r="B7893" s="15" t="s">
        <v>15531</v>
      </c>
      <c r="C7893" s="16">
        <f>155.59/(1+B2)</f>
        <v>155.59</v>
      </c>
      <c r="D7893" s="17" t="s">
        <v>11</v>
      </c>
      <c r="E7893" s="17" t="s">
        <v>53</v>
      </c>
      <c r="F7893" s="18"/>
      <c r="G7893" s="36" t="str">
        <f>IF(ISNUMBER(F7893),C7893*F7893,"")</f>
        <v/>
      </c>
    </row>
    <row r="7894" spans="1:7" ht="12" customHeight="1" outlineLevel="3" x14ac:dyDescent="0.2">
      <c r="A7894" s="14" t="s">
        <v>15532</v>
      </c>
      <c r="B7894" s="15" t="s">
        <v>15533</v>
      </c>
      <c r="C7894" s="16">
        <f>188.35/(1+B2)</f>
        <v>188.35</v>
      </c>
      <c r="D7894" s="17" t="s">
        <v>14</v>
      </c>
      <c r="E7894" s="17" t="s">
        <v>11</v>
      </c>
      <c r="F7894" s="18"/>
      <c r="G7894" s="36" t="str">
        <f>IF(ISNUMBER(F7894),C7894*F7894,"")</f>
        <v/>
      </c>
    </row>
    <row r="7895" spans="1:7" ht="12" customHeight="1" outlineLevel="3" x14ac:dyDescent="0.2">
      <c r="A7895" s="14" t="s">
        <v>15534</v>
      </c>
      <c r="B7895" s="15" t="s">
        <v>15535</v>
      </c>
      <c r="C7895" s="16">
        <f>161.48/(1+B2)</f>
        <v>161.47999999999999</v>
      </c>
      <c r="D7895" s="17" t="s">
        <v>11</v>
      </c>
      <c r="E7895" s="17" t="s">
        <v>106</v>
      </c>
      <c r="F7895" s="18"/>
      <c r="G7895" s="36" t="str">
        <f>IF(ISNUMBER(F7895),C7895*F7895,"")</f>
        <v/>
      </c>
    </row>
    <row r="7896" spans="1:7" ht="12" customHeight="1" outlineLevel="3" x14ac:dyDescent="0.2">
      <c r="A7896" s="14" t="s">
        <v>15536</v>
      </c>
      <c r="B7896" s="15" t="s">
        <v>15537</v>
      </c>
      <c r="C7896" s="16">
        <f>187.35/(1+B2)</f>
        <v>187.35</v>
      </c>
      <c r="D7896" s="17" t="s">
        <v>14</v>
      </c>
      <c r="E7896" s="17" t="s">
        <v>53</v>
      </c>
      <c r="F7896" s="18"/>
      <c r="G7896" s="36" t="str">
        <f>IF(ISNUMBER(F7896),C7896*F7896,"")</f>
        <v/>
      </c>
    </row>
    <row r="7897" spans="1:7" ht="12" customHeight="1" outlineLevel="3" x14ac:dyDescent="0.2">
      <c r="A7897" s="14" t="s">
        <v>15538</v>
      </c>
      <c r="B7897" s="15" t="s">
        <v>15539</v>
      </c>
      <c r="C7897" s="16">
        <f>225.18/(1+B2)</f>
        <v>225.18</v>
      </c>
      <c r="D7897" s="17" t="s">
        <v>11</v>
      </c>
      <c r="E7897" s="17" t="s">
        <v>14</v>
      </c>
      <c r="F7897" s="18"/>
      <c r="G7897" s="36" t="str">
        <f>IF(ISNUMBER(F7897),C7897*F7897,"")</f>
        <v/>
      </c>
    </row>
    <row r="7898" spans="1:7" ht="12" customHeight="1" outlineLevel="3" x14ac:dyDescent="0.2">
      <c r="A7898" s="14" t="s">
        <v>15540</v>
      </c>
      <c r="B7898" s="15" t="s">
        <v>15541</v>
      </c>
      <c r="C7898" s="16">
        <f>94.75/(1+B2)</f>
        <v>94.75</v>
      </c>
      <c r="D7898" s="17" t="s">
        <v>11</v>
      </c>
      <c r="E7898" s="17"/>
      <c r="F7898" s="18"/>
      <c r="G7898" s="36" t="str">
        <f>IF(ISNUMBER(F7898),C7898*F7898,"")</f>
        <v/>
      </c>
    </row>
    <row r="7899" spans="1:7" ht="12" customHeight="1" outlineLevel="3" x14ac:dyDescent="0.2">
      <c r="A7899" s="14" t="s">
        <v>15542</v>
      </c>
      <c r="B7899" s="15" t="s">
        <v>15543</v>
      </c>
      <c r="C7899" s="16">
        <f>383.01/(1+B2)</f>
        <v>383.01</v>
      </c>
      <c r="D7899" s="17" t="s">
        <v>11</v>
      </c>
      <c r="E7899" s="17"/>
      <c r="F7899" s="18"/>
      <c r="G7899" s="36" t="str">
        <f>IF(ISNUMBER(F7899),C7899*F7899,"")</f>
        <v/>
      </c>
    </row>
    <row r="7900" spans="1:7" ht="12" customHeight="1" outlineLevel="3" x14ac:dyDescent="0.2">
      <c r="A7900" s="14" t="s">
        <v>15544</v>
      </c>
      <c r="B7900" s="15" t="s">
        <v>15545</v>
      </c>
      <c r="C7900" s="16">
        <f>379.54/(1+B2)</f>
        <v>379.54</v>
      </c>
      <c r="D7900" s="17" t="s">
        <v>11</v>
      </c>
      <c r="E7900" s="17"/>
      <c r="F7900" s="18"/>
      <c r="G7900" s="36" t="str">
        <f>IF(ISNUMBER(F7900),C7900*F7900,"")</f>
        <v/>
      </c>
    </row>
    <row r="7901" spans="1:7" ht="12" customHeight="1" outlineLevel="3" x14ac:dyDescent="0.2">
      <c r="A7901" s="14" t="s">
        <v>15546</v>
      </c>
      <c r="B7901" s="15" t="s">
        <v>15547</v>
      </c>
      <c r="C7901" s="16">
        <f>374.65/(1+B2)</f>
        <v>374.65</v>
      </c>
      <c r="D7901" s="17" t="s">
        <v>14</v>
      </c>
      <c r="E7901" s="17" t="s">
        <v>11</v>
      </c>
      <c r="F7901" s="18"/>
      <c r="G7901" s="36" t="str">
        <f>IF(ISNUMBER(F7901),C7901*F7901,"")</f>
        <v/>
      </c>
    </row>
    <row r="7902" spans="1:7" ht="12" customHeight="1" outlineLevel="3" x14ac:dyDescent="0.2">
      <c r="A7902" s="14" t="s">
        <v>15548</v>
      </c>
      <c r="B7902" s="15" t="s">
        <v>15549</v>
      </c>
      <c r="C7902" s="16">
        <f>374.63/(1+B2)</f>
        <v>374.63</v>
      </c>
      <c r="D7902" s="17" t="s">
        <v>11</v>
      </c>
      <c r="E7902" s="17"/>
      <c r="F7902" s="18"/>
      <c r="G7902" s="36" t="str">
        <f>IF(ISNUMBER(F7902),C7902*F7902,"")</f>
        <v/>
      </c>
    </row>
    <row r="7903" spans="1:7" ht="12" customHeight="1" outlineLevel="3" x14ac:dyDescent="0.2">
      <c r="A7903" s="14" t="s">
        <v>15550</v>
      </c>
      <c r="B7903" s="15" t="s">
        <v>15551</v>
      </c>
      <c r="C7903" s="16">
        <f>384.64/(1+B2)</f>
        <v>384.64</v>
      </c>
      <c r="D7903" s="17" t="s">
        <v>11</v>
      </c>
      <c r="E7903" s="17"/>
      <c r="F7903" s="18"/>
      <c r="G7903" s="36" t="str">
        <f>IF(ISNUMBER(F7903),C7903*F7903,"")</f>
        <v/>
      </c>
    </row>
    <row r="7904" spans="1:7" ht="12" customHeight="1" outlineLevel="3" x14ac:dyDescent="0.2">
      <c r="A7904" s="14" t="s">
        <v>15552</v>
      </c>
      <c r="B7904" s="15" t="s">
        <v>15553</v>
      </c>
      <c r="C7904" s="16">
        <f>450.76/(1+B2)</f>
        <v>450.76</v>
      </c>
      <c r="D7904" s="17" t="s">
        <v>11</v>
      </c>
      <c r="E7904" s="17"/>
      <c r="F7904" s="18"/>
      <c r="G7904" s="36" t="str">
        <f>IF(ISNUMBER(F7904),C7904*F7904,"")</f>
        <v/>
      </c>
    </row>
    <row r="7905" spans="1:7" ht="12" customHeight="1" outlineLevel="3" x14ac:dyDescent="0.2">
      <c r="A7905" s="14" t="s">
        <v>15554</v>
      </c>
      <c r="B7905" s="15" t="s">
        <v>15555</v>
      </c>
      <c r="C7905" s="16">
        <f>454.84/(1+B2)</f>
        <v>454.84</v>
      </c>
      <c r="D7905" s="17" t="s">
        <v>11</v>
      </c>
      <c r="E7905" s="17"/>
      <c r="F7905" s="18"/>
      <c r="G7905" s="36" t="str">
        <f>IF(ISNUMBER(F7905),C7905*F7905,"")</f>
        <v/>
      </c>
    </row>
    <row r="7906" spans="1:7" ht="12" customHeight="1" outlineLevel="3" x14ac:dyDescent="0.2">
      <c r="A7906" s="14" t="s">
        <v>15556</v>
      </c>
      <c r="B7906" s="15" t="s">
        <v>15557</v>
      </c>
      <c r="C7906" s="16">
        <f>235.09/(1+B2)</f>
        <v>235.09</v>
      </c>
      <c r="D7906" s="17" t="s">
        <v>11</v>
      </c>
      <c r="E7906" s="17"/>
      <c r="F7906" s="18"/>
      <c r="G7906" s="36" t="str">
        <f>IF(ISNUMBER(F7906),C7906*F7906,"")</f>
        <v/>
      </c>
    </row>
    <row r="7907" spans="1:7" ht="12" customHeight="1" outlineLevel="3" x14ac:dyDescent="0.2">
      <c r="A7907" s="14" t="s">
        <v>15558</v>
      </c>
      <c r="B7907" s="15" t="s">
        <v>15559</v>
      </c>
      <c r="C7907" s="16">
        <f>513.05/(1+B2)</f>
        <v>513.04999999999995</v>
      </c>
      <c r="D7907" s="17" t="s">
        <v>11</v>
      </c>
      <c r="E7907" s="17"/>
      <c r="F7907" s="18"/>
      <c r="G7907" s="36" t="str">
        <f>IF(ISNUMBER(F7907),C7907*F7907,"")</f>
        <v/>
      </c>
    </row>
    <row r="7908" spans="1:7" ht="12" customHeight="1" outlineLevel="3" x14ac:dyDescent="0.2">
      <c r="A7908" s="14" t="s">
        <v>15560</v>
      </c>
      <c r="B7908" s="15" t="s">
        <v>15561</v>
      </c>
      <c r="C7908" s="16">
        <f>575.6/(1+B2)</f>
        <v>575.6</v>
      </c>
      <c r="D7908" s="17" t="s">
        <v>11</v>
      </c>
      <c r="E7908" s="17"/>
      <c r="F7908" s="18"/>
      <c r="G7908" s="36" t="str">
        <f>IF(ISNUMBER(F7908),C7908*F7908,"")</f>
        <v/>
      </c>
    </row>
    <row r="7909" spans="1:7" ht="12" customHeight="1" outlineLevel="3" x14ac:dyDescent="0.2">
      <c r="A7909" s="14" t="s">
        <v>15562</v>
      </c>
      <c r="B7909" s="15" t="s">
        <v>15563</v>
      </c>
      <c r="C7909" s="16">
        <f>698.29/(1+B2)</f>
        <v>698.29</v>
      </c>
      <c r="D7909" s="17" t="s">
        <v>11</v>
      </c>
      <c r="E7909" s="17"/>
      <c r="F7909" s="18"/>
      <c r="G7909" s="36" t="str">
        <f>IF(ISNUMBER(F7909),C7909*F7909,"")</f>
        <v/>
      </c>
    </row>
    <row r="7910" spans="1:7" ht="12" customHeight="1" outlineLevel="3" x14ac:dyDescent="0.2">
      <c r="A7910" s="14" t="s">
        <v>15564</v>
      </c>
      <c r="B7910" s="15" t="s">
        <v>15565</v>
      </c>
      <c r="C7910" s="16">
        <f>422.14/(1+B2)</f>
        <v>422.14</v>
      </c>
      <c r="D7910" s="17" t="s">
        <v>11</v>
      </c>
      <c r="E7910" s="17"/>
      <c r="F7910" s="18"/>
      <c r="G7910" s="36" t="str">
        <f>IF(ISNUMBER(F7910),C7910*F7910,"")</f>
        <v/>
      </c>
    </row>
    <row r="7911" spans="1:7" ht="12" customHeight="1" outlineLevel="3" x14ac:dyDescent="0.2">
      <c r="A7911" s="14" t="s">
        <v>15566</v>
      </c>
      <c r="B7911" s="15" t="s">
        <v>15567</v>
      </c>
      <c r="C7911" s="16">
        <f>250/(1+B2)</f>
        <v>250</v>
      </c>
      <c r="D7911" s="17" t="s">
        <v>11</v>
      </c>
      <c r="E7911" s="17"/>
      <c r="F7911" s="18"/>
      <c r="G7911" s="36" t="str">
        <f>IF(ISNUMBER(F7911),C7911*F7911,"")</f>
        <v/>
      </c>
    </row>
    <row r="7912" spans="1:7" ht="12" customHeight="1" outlineLevel="3" x14ac:dyDescent="0.2">
      <c r="A7912" s="14" t="s">
        <v>15568</v>
      </c>
      <c r="B7912" s="15" t="s">
        <v>15569</v>
      </c>
      <c r="C7912" s="16">
        <f>250/(1+B2)</f>
        <v>250</v>
      </c>
      <c r="D7912" s="17" t="s">
        <v>11</v>
      </c>
      <c r="E7912" s="17"/>
      <c r="F7912" s="18"/>
      <c r="G7912" s="36" t="str">
        <f>IF(ISNUMBER(F7912),C7912*F7912,"")</f>
        <v/>
      </c>
    </row>
    <row r="7913" spans="1:7" ht="12" customHeight="1" outlineLevel="3" x14ac:dyDescent="0.2">
      <c r="A7913" s="14" t="s">
        <v>15570</v>
      </c>
      <c r="B7913" s="15" t="s">
        <v>15571</v>
      </c>
      <c r="C7913" s="16">
        <f>70.58/(1+B2)</f>
        <v>70.58</v>
      </c>
      <c r="D7913" s="17" t="s">
        <v>11</v>
      </c>
      <c r="E7913" s="17"/>
      <c r="F7913" s="18"/>
      <c r="G7913" s="36" t="str">
        <f>IF(ISNUMBER(F7913),C7913*F7913,"")</f>
        <v/>
      </c>
    </row>
    <row r="7914" spans="1:7" ht="12" customHeight="1" outlineLevel="3" x14ac:dyDescent="0.2">
      <c r="A7914" s="14" t="s">
        <v>15572</v>
      </c>
      <c r="B7914" s="15" t="s">
        <v>15573</v>
      </c>
      <c r="C7914" s="16">
        <f>174.64/(1+B2)</f>
        <v>174.64</v>
      </c>
      <c r="D7914" s="17" t="s">
        <v>11</v>
      </c>
      <c r="E7914" s="17"/>
      <c r="F7914" s="18"/>
      <c r="G7914" s="36" t="str">
        <f>IF(ISNUMBER(F7914),C7914*F7914,"")</f>
        <v/>
      </c>
    </row>
    <row r="7915" spans="1:7" s="1" customFormat="1" ht="12.95" customHeight="1" outlineLevel="2" x14ac:dyDescent="0.2">
      <c r="A7915" s="20"/>
      <c r="B7915" s="21" t="s">
        <v>15574</v>
      </c>
      <c r="C7915" s="22"/>
      <c r="D7915" s="22"/>
      <c r="E7915" s="22"/>
      <c r="F7915" s="22"/>
      <c r="G7915" s="37"/>
    </row>
    <row r="7916" spans="1:7" ht="12" customHeight="1" outlineLevel="3" x14ac:dyDescent="0.2">
      <c r="A7916" s="14" t="s">
        <v>15575</v>
      </c>
      <c r="B7916" s="15" t="s">
        <v>15576</v>
      </c>
      <c r="C7916" s="16">
        <f>55.62/(1+B2)</f>
        <v>55.62</v>
      </c>
      <c r="D7916" s="17" t="s">
        <v>53</v>
      </c>
      <c r="E7916" s="17"/>
      <c r="F7916" s="18"/>
      <c r="G7916" s="36" t="str">
        <f>IF(ISNUMBER(F7916),C7916*F7916,"")</f>
        <v/>
      </c>
    </row>
    <row r="7917" spans="1:7" ht="12" customHeight="1" outlineLevel="3" x14ac:dyDescent="0.2">
      <c r="A7917" s="14" t="s">
        <v>15577</v>
      </c>
      <c r="B7917" s="15" t="s">
        <v>15578</v>
      </c>
      <c r="C7917" s="16">
        <f>43.66/(1+B2)</f>
        <v>43.66</v>
      </c>
      <c r="D7917" s="17" t="s">
        <v>14</v>
      </c>
      <c r="E7917" s="17"/>
      <c r="F7917" s="18"/>
      <c r="G7917" s="36" t="str">
        <f>IF(ISNUMBER(F7917),C7917*F7917,"")</f>
        <v/>
      </c>
    </row>
    <row r="7918" spans="1:7" ht="12" customHeight="1" outlineLevel="3" x14ac:dyDescent="0.2">
      <c r="A7918" s="14" t="s">
        <v>15579</v>
      </c>
      <c r="B7918" s="15" t="s">
        <v>15580</v>
      </c>
      <c r="C7918" s="16">
        <f>9.33/(1+B2)</f>
        <v>9.33</v>
      </c>
      <c r="D7918" s="17" t="s">
        <v>11</v>
      </c>
      <c r="E7918" s="17" t="s">
        <v>11</v>
      </c>
      <c r="F7918" s="18"/>
      <c r="G7918" s="36" t="str">
        <f>IF(ISNUMBER(F7918),C7918*F7918,"")</f>
        <v/>
      </c>
    </row>
    <row r="7919" spans="1:7" ht="12" customHeight="1" outlineLevel="3" x14ac:dyDescent="0.2">
      <c r="A7919" s="14" t="s">
        <v>15581</v>
      </c>
      <c r="B7919" s="15" t="s">
        <v>15582</v>
      </c>
      <c r="C7919" s="16">
        <f>19.46/(1+B2)</f>
        <v>19.46</v>
      </c>
      <c r="D7919" s="17" t="s">
        <v>53</v>
      </c>
      <c r="E7919" s="17" t="s">
        <v>14</v>
      </c>
      <c r="F7919" s="18"/>
      <c r="G7919" s="36" t="str">
        <f>IF(ISNUMBER(F7919),C7919*F7919,"")</f>
        <v/>
      </c>
    </row>
    <row r="7920" spans="1:7" ht="12" customHeight="1" outlineLevel="3" x14ac:dyDescent="0.2">
      <c r="A7920" s="14" t="s">
        <v>15583</v>
      </c>
      <c r="B7920" s="15" t="s">
        <v>15584</v>
      </c>
      <c r="C7920" s="16">
        <f>24.98/(1+B2)</f>
        <v>24.98</v>
      </c>
      <c r="D7920" s="17" t="s">
        <v>11</v>
      </c>
      <c r="E7920" s="17" t="s">
        <v>14</v>
      </c>
      <c r="F7920" s="18"/>
      <c r="G7920" s="36" t="str">
        <f>IF(ISNUMBER(F7920),C7920*F7920,"")</f>
        <v/>
      </c>
    </row>
    <row r="7921" spans="1:7" ht="12" customHeight="1" outlineLevel="3" x14ac:dyDescent="0.2">
      <c r="A7921" s="14" t="s">
        <v>15585</v>
      </c>
      <c r="B7921" s="15" t="s">
        <v>15586</v>
      </c>
      <c r="C7921" s="16">
        <f>43.45/(1+B2)</f>
        <v>43.45</v>
      </c>
      <c r="D7921" s="17" t="s">
        <v>11</v>
      </c>
      <c r="E7921" s="17"/>
      <c r="F7921" s="18"/>
      <c r="G7921" s="36" t="str">
        <f>IF(ISNUMBER(F7921),C7921*F7921,"")</f>
        <v/>
      </c>
    </row>
    <row r="7922" spans="1:7" ht="12" customHeight="1" outlineLevel="3" x14ac:dyDescent="0.2">
      <c r="A7922" s="14" t="s">
        <v>15587</v>
      </c>
      <c r="B7922" s="15" t="s">
        <v>15588</v>
      </c>
      <c r="C7922" s="16">
        <f>54.95/(1+B2)</f>
        <v>54.95</v>
      </c>
      <c r="D7922" s="17" t="s">
        <v>11</v>
      </c>
      <c r="E7922" s="17"/>
      <c r="F7922" s="18"/>
      <c r="G7922" s="36" t="str">
        <f>IF(ISNUMBER(F7922),C7922*F7922,"")</f>
        <v/>
      </c>
    </row>
    <row r="7923" spans="1:7" ht="12" customHeight="1" outlineLevel="3" x14ac:dyDescent="0.2">
      <c r="A7923" s="14" t="s">
        <v>15589</v>
      </c>
      <c r="B7923" s="15" t="s">
        <v>15590</v>
      </c>
      <c r="C7923" s="16">
        <f>55.58/(1+B2)</f>
        <v>55.58</v>
      </c>
      <c r="D7923" s="17" t="s">
        <v>14</v>
      </c>
      <c r="E7923" s="17" t="s">
        <v>53</v>
      </c>
      <c r="F7923" s="18"/>
      <c r="G7923" s="36" t="str">
        <f>IF(ISNUMBER(F7923),C7923*F7923,"")</f>
        <v/>
      </c>
    </row>
    <row r="7924" spans="1:7" ht="12" customHeight="1" outlineLevel="3" x14ac:dyDescent="0.2">
      <c r="A7924" s="14" t="s">
        <v>15591</v>
      </c>
      <c r="B7924" s="15" t="s">
        <v>15592</v>
      </c>
      <c r="C7924" s="16">
        <f>72.5/(1+B2)</f>
        <v>72.5</v>
      </c>
      <c r="D7924" s="17" t="s">
        <v>14</v>
      </c>
      <c r="E7924" s="17"/>
      <c r="F7924" s="18"/>
      <c r="G7924" s="36" t="str">
        <f>IF(ISNUMBER(F7924),C7924*F7924,"")</f>
        <v/>
      </c>
    </row>
    <row r="7925" spans="1:7" ht="12" customHeight="1" outlineLevel="3" x14ac:dyDescent="0.2">
      <c r="A7925" s="14" t="s">
        <v>15593</v>
      </c>
      <c r="B7925" s="15" t="s">
        <v>15594</v>
      </c>
      <c r="C7925" s="16">
        <f>47.8/(1+B2)</f>
        <v>47.8</v>
      </c>
      <c r="D7925" s="17" t="s">
        <v>11</v>
      </c>
      <c r="E7925" s="17"/>
      <c r="F7925" s="18"/>
      <c r="G7925" s="36" t="str">
        <f>IF(ISNUMBER(F7925),C7925*F7925,"")</f>
        <v/>
      </c>
    </row>
    <row r="7926" spans="1:7" ht="12" customHeight="1" outlineLevel="3" x14ac:dyDescent="0.2">
      <c r="A7926" s="14" t="s">
        <v>15595</v>
      </c>
      <c r="B7926" s="15" t="s">
        <v>15596</v>
      </c>
      <c r="C7926" s="16">
        <f>123.88/(1+B2)</f>
        <v>123.88</v>
      </c>
      <c r="D7926" s="17" t="s">
        <v>14</v>
      </c>
      <c r="E7926" s="17"/>
      <c r="F7926" s="18"/>
      <c r="G7926" s="36" t="str">
        <f>IF(ISNUMBER(F7926),C7926*F7926,"")</f>
        <v/>
      </c>
    </row>
    <row r="7927" spans="1:7" ht="12" customHeight="1" outlineLevel="3" x14ac:dyDescent="0.2">
      <c r="A7927" s="14" t="s">
        <v>15597</v>
      </c>
      <c r="B7927" s="15" t="s">
        <v>15598</v>
      </c>
      <c r="C7927" s="16">
        <f>41.8/(1+B2)</f>
        <v>41.8</v>
      </c>
      <c r="D7927" s="17" t="s">
        <v>11</v>
      </c>
      <c r="E7927" s="17"/>
      <c r="F7927" s="18"/>
      <c r="G7927" s="36" t="str">
        <f>IF(ISNUMBER(F7927),C7927*F7927,"")</f>
        <v/>
      </c>
    </row>
    <row r="7928" spans="1:7" ht="12" customHeight="1" outlineLevel="3" x14ac:dyDescent="0.2">
      <c r="A7928" s="14" t="s">
        <v>15599</v>
      </c>
      <c r="B7928" s="15" t="s">
        <v>15600</v>
      </c>
      <c r="C7928" s="16">
        <f>40.42/(1+B2)</f>
        <v>40.42</v>
      </c>
      <c r="D7928" s="17" t="s">
        <v>14</v>
      </c>
      <c r="E7928" s="17"/>
      <c r="F7928" s="18"/>
      <c r="G7928" s="36" t="str">
        <f>IF(ISNUMBER(F7928),C7928*F7928,"")</f>
        <v/>
      </c>
    </row>
    <row r="7929" spans="1:7" s="1" customFormat="1" ht="12.95" customHeight="1" outlineLevel="2" x14ac:dyDescent="0.2">
      <c r="A7929" s="20"/>
      <c r="B7929" s="21" t="s">
        <v>15601</v>
      </c>
      <c r="C7929" s="22"/>
      <c r="D7929" s="22"/>
      <c r="E7929" s="22"/>
      <c r="F7929" s="22"/>
      <c r="G7929" s="37"/>
    </row>
    <row r="7930" spans="1:7" ht="12" customHeight="1" outlineLevel="3" x14ac:dyDescent="0.2">
      <c r="A7930" s="14" t="s">
        <v>15602</v>
      </c>
      <c r="B7930" s="15" t="s">
        <v>15603</v>
      </c>
      <c r="C7930" s="16">
        <f>480.91/(1+B2)</f>
        <v>480.91</v>
      </c>
      <c r="D7930" s="17" t="s">
        <v>11</v>
      </c>
      <c r="E7930" s="17"/>
      <c r="F7930" s="18"/>
      <c r="G7930" s="36" t="str">
        <f>IF(ISNUMBER(F7930),C7930*F7930,"")</f>
        <v/>
      </c>
    </row>
    <row r="7931" spans="1:7" ht="12" customHeight="1" outlineLevel="3" x14ac:dyDescent="0.2">
      <c r="A7931" s="14" t="s">
        <v>15604</v>
      </c>
      <c r="B7931" s="15" t="s">
        <v>15605</v>
      </c>
      <c r="C7931" s="16">
        <f>152.73/(1+B2)</f>
        <v>152.72999999999999</v>
      </c>
      <c r="D7931" s="17" t="s">
        <v>11</v>
      </c>
      <c r="E7931" s="17"/>
      <c r="F7931" s="18"/>
      <c r="G7931" s="36" t="str">
        <f>IF(ISNUMBER(F7931),C7931*F7931,"")</f>
        <v/>
      </c>
    </row>
    <row r="7932" spans="1:7" ht="12" customHeight="1" outlineLevel="3" x14ac:dyDescent="0.2">
      <c r="A7932" s="14" t="s">
        <v>15606</v>
      </c>
      <c r="B7932" s="15" t="s">
        <v>15607</v>
      </c>
      <c r="C7932" s="16">
        <f>297.24/(1+B2)</f>
        <v>297.24</v>
      </c>
      <c r="D7932" s="17" t="s">
        <v>11</v>
      </c>
      <c r="E7932" s="17"/>
      <c r="F7932" s="18"/>
      <c r="G7932" s="36" t="str">
        <f>IF(ISNUMBER(F7932),C7932*F7932,"")</f>
        <v/>
      </c>
    </row>
    <row r="7933" spans="1:7" ht="12" customHeight="1" outlineLevel="3" x14ac:dyDescent="0.2">
      <c r="A7933" s="14" t="s">
        <v>15608</v>
      </c>
      <c r="B7933" s="15" t="s">
        <v>15609</v>
      </c>
      <c r="C7933" s="16">
        <f>182.85/(1+B2)</f>
        <v>182.85</v>
      </c>
      <c r="D7933" s="17" t="s">
        <v>11</v>
      </c>
      <c r="E7933" s="17"/>
      <c r="F7933" s="18"/>
      <c r="G7933" s="36" t="str">
        <f>IF(ISNUMBER(F7933),C7933*F7933,"")</f>
        <v/>
      </c>
    </row>
    <row r="7934" spans="1:7" ht="12" customHeight="1" outlineLevel="3" x14ac:dyDescent="0.2">
      <c r="A7934" s="14" t="s">
        <v>15610</v>
      </c>
      <c r="B7934" s="15" t="s">
        <v>15611</v>
      </c>
      <c r="C7934" s="16">
        <f>283.54/(1+B2)</f>
        <v>283.54000000000002</v>
      </c>
      <c r="D7934" s="17" t="s">
        <v>11</v>
      </c>
      <c r="E7934" s="17"/>
      <c r="F7934" s="18"/>
      <c r="G7934" s="36" t="str">
        <f>IF(ISNUMBER(F7934),C7934*F7934,"")</f>
        <v/>
      </c>
    </row>
    <row r="7935" spans="1:7" ht="12" customHeight="1" outlineLevel="3" x14ac:dyDescent="0.2">
      <c r="A7935" s="14" t="s">
        <v>15612</v>
      </c>
      <c r="B7935" s="15" t="s">
        <v>15613</v>
      </c>
      <c r="C7935" s="16">
        <f>341.5/(1+B2)</f>
        <v>341.5</v>
      </c>
      <c r="D7935" s="17" t="s">
        <v>11</v>
      </c>
      <c r="E7935" s="17"/>
      <c r="F7935" s="18"/>
      <c r="G7935" s="36" t="str">
        <f>IF(ISNUMBER(F7935),C7935*F7935,"")</f>
        <v/>
      </c>
    </row>
    <row r="7936" spans="1:7" ht="12" customHeight="1" outlineLevel="3" x14ac:dyDescent="0.2">
      <c r="A7936" s="14" t="s">
        <v>15614</v>
      </c>
      <c r="B7936" s="15" t="s">
        <v>15615</v>
      </c>
      <c r="C7936" s="16">
        <f>307.65/(1+B2)</f>
        <v>307.64999999999998</v>
      </c>
      <c r="D7936" s="17" t="s">
        <v>11</v>
      </c>
      <c r="E7936" s="17" t="s">
        <v>11</v>
      </c>
      <c r="F7936" s="18"/>
      <c r="G7936" s="36" t="str">
        <f>IF(ISNUMBER(F7936),C7936*F7936,"")</f>
        <v/>
      </c>
    </row>
    <row r="7937" spans="1:7" ht="12" customHeight="1" outlineLevel="3" x14ac:dyDescent="0.2">
      <c r="A7937" s="14" t="s">
        <v>15616</v>
      </c>
      <c r="B7937" s="15" t="s">
        <v>15617</v>
      </c>
      <c r="C7937" s="16">
        <f>162.75/(1+B2)</f>
        <v>162.75</v>
      </c>
      <c r="D7937" s="17" t="s">
        <v>11</v>
      </c>
      <c r="E7937" s="17"/>
      <c r="F7937" s="18"/>
      <c r="G7937" s="36" t="str">
        <f>IF(ISNUMBER(F7937),C7937*F7937,"")</f>
        <v/>
      </c>
    </row>
    <row r="7938" spans="1:7" ht="12" customHeight="1" outlineLevel="3" x14ac:dyDescent="0.2">
      <c r="A7938" s="14" t="s">
        <v>15618</v>
      </c>
      <c r="B7938" s="15" t="s">
        <v>15619</v>
      </c>
      <c r="C7938" s="16">
        <f>180.18/(1+B2)</f>
        <v>180.18</v>
      </c>
      <c r="D7938" s="17" t="s">
        <v>11</v>
      </c>
      <c r="E7938" s="17" t="s">
        <v>11</v>
      </c>
      <c r="F7938" s="18"/>
      <c r="G7938" s="36" t="str">
        <f>IF(ISNUMBER(F7938),C7938*F7938,"")</f>
        <v/>
      </c>
    </row>
    <row r="7939" spans="1:7" ht="12" customHeight="1" outlineLevel="3" x14ac:dyDescent="0.2">
      <c r="A7939" s="14" t="s">
        <v>15620</v>
      </c>
      <c r="B7939" s="15" t="s">
        <v>15621</v>
      </c>
      <c r="C7939" s="16">
        <f>198.21/(1+B2)</f>
        <v>198.21</v>
      </c>
      <c r="D7939" s="17" t="s">
        <v>11</v>
      </c>
      <c r="E7939" s="17" t="s">
        <v>11</v>
      </c>
      <c r="F7939" s="18"/>
      <c r="G7939" s="36" t="str">
        <f>IF(ISNUMBER(F7939),C7939*F7939,"")</f>
        <v/>
      </c>
    </row>
    <row r="7940" spans="1:7" ht="12" customHeight="1" outlineLevel="3" x14ac:dyDescent="0.2">
      <c r="A7940" s="14" t="s">
        <v>15622</v>
      </c>
      <c r="B7940" s="15" t="s">
        <v>15623</v>
      </c>
      <c r="C7940" s="16">
        <f>201.45/(1+B2)</f>
        <v>201.45</v>
      </c>
      <c r="D7940" s="17" t="s">
        <v>11</v>
      </c>
      <c r="E7940" s="17" t="s">
        <v>11</v>
      </c>
      <c r="F7940" s="18"/>
      <c r="G7940" s="36" t="str">
        <f>IF(ISNUMBER(F7940),C7940*F7940,"")</f>
        <v/>
      </c>
    </row>
    <row r="7941" spans="1:7" ht="12" customHeight="1" outlineLevel="3" x14ac:dyDescent="0.2">
      <c r="A7941" s="14" t="s">
        <v>15624</v>
      </c>
      <c r="B7941" s="15" t="s">
        <v>15625</v>
      </c>
      <c r="C7941" s="16">
        <f>230.04/(1+B2)</f>
        <v>230.04</v>
      </c>
      <c r="D7941" s="17" t="s">
        <v>11</v>
      </c>
      <c r="E7941" s="17" t="s">
        <v>11</v>
      </c>
      <c r="F7941" s="18"/>
      <c r="G7941" s="36" t="str">
        <f>IF(ISNUMBER(F7941),C7941*F7941,"")</f>
        <v/>
      </c>
    </row>
    <row r="7942" spans="1:7" ht="12" customHeight="1" outlineLevel="3" x14ac:dyDescent="0.2">
      <c r="A7942" s="14" t="s">
        <v>15626</v>
      </c>
      <c r="B7942" s="15" t="s">
        <v>15627</v>
      </c>
      <c r="C7942" s="16">
        <f>227.84/(1+B2)</f>
        <v>227.84</v>
      </c>
      <c r="D7942" s="17" t="s">
        <v>11</v>
      </c>
      <c r="E7942" s="17"/>
      <c r="F7942" s="18"/>
      <c r="G7942" s="36" t="str">
        <f>IF(ISNUMBER(F7942),C7942*F7942,"")</f>
        <v/>
      </c>
    </row>
    <row r="7943" spans="1:7" ht="12" customHeight="1" outlineLevel="3" x14ac:dyDescent="0.2">
      <c r="A7943" s="14" t="s">
        <v>15628</v>
      </c>
      <c r="B7943" s="15" t="s">
        <v>15629</v>
      </c>
      <c r="C7943" s="16">
        <f>260.55/(1+B2)</f>
        <v>260.55</v>
      </c>
      <c r="D7943" s="17" t="s">
        <v>11</v>
      </c>
      <c r="E7943" s="17"/>
      <c r="F7943" s="18"/>
      <c r="G7943" s="36" t="str">
        <f>IF(ISNUMBER(F7943),C7943*F7943,"")</f>
        <v/>
      </c>
    </row>
    <row r="7944" spans="1:7" s="1" customFormat="1" ht="12.95" customHeight="1" outlineLevel="2" x14ac:dyDescent="0.2">
      <c r="A7944" s="20"/>
      <c r="B7944" s="21" t="s">
        <v>15630</v>
      </c>
      <c r="C7944" s="22"/>
      <c r="D7944" s="22"/>
      <c r="E7944" s="22"/>
      <c r="F7944" s="22"/>
      <c r="G7944" s="37"/>
    </row>
    <row r="7945" spans="1:7" ht="12" customHeight="1" outlineLevel="3" x14ac:dyDescent="0.2">
      <c r="A7945" s="14" t="s">
        <v>15631</v>
      </c>
      <c r="B7945" s="15" t="s">
        <v>15632</v>
      </c>
      <c r="C7945" s="16">
        <f>78.41/(1+B2)</f>
        <v>78.41</v>
      </c>
      <c r="D7945" s="17" t="s">
        <v>11</v>
      </c>
      <c r="E7945" s="17"/>
      <c r="F7945" s="18"/>
      <c r="G7945" s="36" t="str">
        <f>IF(ISNUMBER(F7945),C7945*F7945,"")</f>
        <v/>
      </c>
    </row>
    <row r="7946" spans="1:7" ht="12" customHeight="1" outlineLevel="3" x14ac:dyDescent="0.2">
      <c r="A7946" s="14" t="s">
        <v>15633</v>
      </c>
      <c r="B7946" s="15" t="s">
        <v>15634</v>
      </c>
      <c r="C7946" s="16">
        <f>33.51/(1+B2)</f>
        <v>33.51</v>
      </c>
      <c r="D7946" s="17" t="s">
        <v>53</v>
      </c>
      <c r="E7946" s="17" t="s">
        <v>106</v>
      </c>
      <c r="F7946" s="18"/>
      <c r="G7946" s="36" t="str">
        <f>IF(ISNUMBER(F7946),C7946*F7946,"")</f>
        <v/>
      </c>
    </row>
    <row r="7947" spans="1:7" ht="12" customHeight="1" outlineLevel="3" x14ac:dyDescent="0.2">
      <c r="A7947" s="14" t="s">
        <v>15635</v>
      </c>
      <c r="B7947" s="15" t="s">
        <v>15636</v>
      </c>
      <c r="C7947" s="16">
        <f>43.5/(1+B2)</f>
        <v>43.5</v>
      </c>
      <c r="D7947" s="17" t="s">
        <v>14</v>
      </c>
      <c r="E7947" s="17"/>
      <c r="F7947" s="18"/>
      <c r="G7947" s="36" t="str">
        <f>IF(ISNUMBER(F7947),C7947*F7947,"")</f>
        <v/>
      </c>
    </row>
    <row r="7948" spans="1:7" ht="12" customHeight="1" outlineLevel="3" x14ac:dyDescent="0.2">
      <c r="A7948" s="14" t="s">
        <v>15637</v>
      </c>
      <c r="B7948" s="15" t="s">
        <v>15638</v>
      </c>
      <c r="C7948" s="16">
        <f>75.76/(1+B2)</f>
        <v>75.760000000000005</v>
      </c>
      <c r="D7948" s="17" t="s">
        <v>14</v>
      </c>
      <c r="E7948" s="17"/>
      <c r="F7948" s="18"/>
      <c r="G7948" s="36" t="str">
        <f>IF(ISNUMBER(F7948),C7948*F7948,"")</f>
        <v/>
      </c>
    </row>
    <row r="7949" spans="1:7" ht="12" customHeight="1" outlineLevel="3" x14ac:dyDescent="0.2">
      <c r="A7949" s="14" t="s">
        <v>15639</v>
      </c>
      <c r="B7949" s="15" t="s">
        <v>15640</v>
      </c>
      <c r="C7949" s="16">
        <f>75.76/(1+B2)</f>
        <v>75.760000000000005</v>
      </c>
      <c r="D7949" s="17" t="s">
        <v>11</v>
      </c>
      <c r="E7949" s="17" t="s">
        <v>11</v>
      </c>
      <c r="F7949" s="18"/>
      <c r="G7949" s="36" t="str">
        <f>IF(ISNUMBER(F7949),C7949*F7949,"")</f>
        <v/>
      </c>
    </row>
    <row r="7950" spans="1:7" ht="12" customHeight="1" outlineLevel="3" x14ac:dyDescent="0.2">
      <c r="A7950" s="14" t="s">
        <v>15641</v>
      </c>
      <c r="B7950" s="15" t="s">
        <v>15642</v>
      </c>
      <c r="C7950" s="16">
        <f>63.75/(1+B2)</f>
        <v>63.75</v>
      </c>
      <c r="D7950" s="17" t="s">
        <v>11</v>
      </c>
      <c r="E7950" s="17"/>
      <c r="F7950" s="18"/>
      <c r="G7950" s="36" t="str">
        <f>IF(ISNUMBER(F7950),C7950*F7950,"")</f>
        <v/>
      </c>
    </row>
    <row r="7951" spans="1:7" ht="12" customHeight="1" outlineLevel="3" x14ac:dyDescent="0.2">
      <c r="A7951" s="14" t="s">
        <v>15643</v>
      </c>
      <c r="B7951" s="15" t="s">
        <v>15644</v>
      </c>
      <c r="C7951" s="16">
        <f>133.48/(1+B2)</f>
        <v>133.47999999999999</v>
      </c>
      <c r="D7951" s="17" t="s">
        <v>11</v>
      </c>
      <c r="E7951" s="17"/>
      <c r="F7951" s="18"/>
      <c r="G7951" s="36" t="str">
        <f>IF(ISNUMBER(F7951),C7951*F7951,"")</f>
        <v/>
      </c>
    </row>
    <row r="7952" spans="1:7" ht="12" customHeight="1" outlineLevel="3" x14ac:dyDescent="0.2">
      <c r="A7952" s="14" t="s">
        <v>15645</v>
      </c>
      <c r="B7952" s="15" t="s">
        <v>15646</v>
      </c>
      <c r="C7952" s="16">
        <f>18.75/(1+B2)</f>
        <v>18.75</v>
      </c>
      <c r="D7952" s="17" t="s">
        <v>14</v>
      </c>
      <c r="E7952" s="17"/>
      <c r="F7952" s="18"/>
      <c r="G7952" s="36" t="str">
        <f>IF(ISNUMBER(F7952),C7952*F7952,"")</f>
        <v/>
      </c>
    </row>
    <row r="7953" spans="1:7" ht="24" customHeight="1" outlineLevel="3" x14ac:dyDescent="0.2">
      <c r="A7953" s="14" t="s">
        <v>15647</v>
      </c>
      <c r="B7953" s="15" t="s">
        <v>15648</v>
      </c>
      <c r="C7953" s="16">
        <f>15.8/(1+B2)</f>
        <v>15.8</v>
      </c>
      <c r="D7953" s="17" t="s">
        <v>53</v>
      </c>
      <c r="E7953" s="17" t="s">
        <v>106</v>
      </c>
      <c r="F7953" s="18"/>
      <c r="G7953" s="36" t="str">
        <f>IF(ISNUMBER(F7953),C7953*F7953,"")</f>
        <v/>
      </c>
    </row>
    <row r="7954" spans="1:7" ht="12" customHeight="1" outlineLevel="3" x14ac:dyDescent="0.2">
      <c r="A7954" s="14" t="s">
        <v>15649</v>
      </c>
      <c r="B7954" s="15" t="s">
        <v>15650</v>
      </c>
      <c r="C7954" s="16">
        <f>20.48/(1+B2)</f>
        <v>20.48</v>
      </c>
      <c r="D7954" s="17" t="s">
        <v>53</v>
      </c>
      <c r="E7954" s="17" t="s">
        <v>106</v>
      </c>
      <c r="F7954" s="18"/>
      <c r="G7954" s="36" t="str">
        <f>IF(ISNUMBER(F7954),C7954*F7954,"")</f>
        <v/>
      </c>
    </row>
    <row r="7955" spans="1:7" ht="12" customHeight="1" outlineLevel="3" x14ac:dyDescent="0.2">
      <c r="A7955" s="14" t="s">
        <v>15651</v>
      </c>
      <c r="B7955" s="15" t="s">
        <v>15652</v>
      </c>
      <c r="C7955" s="16">
        <f>49.15/(1+B2)</f>
        <v>49.15</v>
      </c>
      <c r="D7955" s="17" t="s">
        <v>53</v>
      </c>
      <c r="E7955" s="17"/>
      <c r="F7955" s="18"/>
      <c r="G7955" s="36" t="str">
        <f>IF(ISNUMBER(F7955),C7955*F7955,"")</f>
        <v/>
      </c>
    </row>
    <row r="7956" spans="1:7" ht="12" customHeight="1" outlineLevel="3" x14ac:dyDescent="0.2">
      <c r="A7956" s="14" t="s">
        <v>15653</v>
      </c>
      <c r="B7956" s="15" t="s">
        <v>15654</v>
      </c>
      <c r="C7956" s="16">
        <f>37.41/(1+B2)</f>
        <v>37.409999999999997</v>
      </c>
      <c r="D7956" s="17" t="s">
        <v>53</v>
      </c>
      <c r="E7956" s="17" t="s">
        <v>11</v>
      </c>
      <c r="F7956" s="18"/>
      <c r="G7956" s="36" t="str">
        <f>IF(ISNUMBER(F7956),C7956*F7956,"")</f>
        <v/>
      </c>
    </row>
    <row r="7957" spans="1:7" ht="12" customHeight="1" outlineLevel="3" x14ac:dyDescent="0.2">
      <c r="A7957" s="14" t="s">
        <v>15655</v>
      </c>
      <c r="B7957" s="15" t="s">
        <v>15656</v>
      </c>
      <c r="C7957" s="16">
        <f>62.78/(1+B2)</f>
        <v>62.78</v>
      </c>
      <c r="D7957" s="17" t="s">
        <v>11</v>
      </c>
      <c r="E7957" s="17"/>
      <c r="F7957" s="18"/>
      <c r="G7957" s="36" t="str">
        <f>IF(ISNUMBER(F7957),C7957*F7957,"")</f>
        <v/>
      </c>
    </row>
    <row r="7958" spans="1:7" ht="12" customHeight="1" outlineLevel="3" x14ac:dyDescent="0.2">
      <c r="A7958" s="14" t="s">
        <v>15657</v>
      </c>
      <c r="B7958" s="15" t="s">
        <v>15658</v>
      </c>
      <c r="C7958" s="16">
        <f>66.49/(1+B2)</f>
        <v>66.489999999999995</v>
      </c>
      <c r="D7958" s="17" t="s">
        <v>53</v>
      </c>
      <c r="E7958" s="17"/>
      <c r="F7958" s="18"/>
      <c r="G7958" s="36" t="str">
        <f>IF(ISNUMBER(F7958),C7958*F7958,"")</f>
        <v/>
      </c>
    </row>
    <row r="7959" spans="1:7" ht="12" customHeight="1" outlineLevel="3" x14ac:dyDescent="0.2">
      <c r="A7959" s="14" t="s">
        <v>15659</v>
      </c>
      <c r="B7959" s="15" t="s">
        <v>15660</v>
      </c>
      <c r="C7959" s="16">
        <f>49.16/(1+B2)</f>
        <v>49.16</v>
      </c>
      <c r="D7959" s="17" t="s">
        <v>53</v>
      </c>
      <c r="E7959" s="17" t="s">
        <v>53</v>
      </c>
      <c r="F7959" s="18"/>
      <c r="G7959" s="36" t="str">
        <f>IF(ISNUMBER(F7959),C7959*F7959,"")</f>
        <v/>
      </c>
    </row>
    <row r="7960" spans="1:7" ht="12" customHeight="1" outlineLevel="3" x14ac:dyDescent="0.2">
      <c r="A7960" s="14" t="s">
        <v>15661</v>
      </c>
      <c r="B7960" s="15" t="s">
        <v>15662</v>
      </c>
      <c r="C7960" s="16">
        <f>49.16/(1+B2)</f>
        <v>49.16</v>
      </c>
      <c r="D7960" s="17" t="s">
        <v>53</v>
      </c>
      <c r="E7960" s="17" t="s">
        <v>53</v>
      </c>
      <c r="F7960" s="18"/>
      <c r="G7960" s="36" t="str">
        <f>IF(ISNUMBER(F7960),C7960*F7960,"")</f>
        <v/>
      </c>
    </row>
    <row r="7961" spans="1:7" ht="12" customHeight="1" outlineLevel="3" x14ac:dyDescent="0.2">
      <c r="A7961" s="14" t="s">
        <v>15663</v>
      </c>
      <c r="B7961" s="15" t="s">
        <v>15664</v>
      </c>
      <c r="C7961" s="16">
        <f>23.51/(1+B2)</f>
        <v>23.51</v>
      </c>
      <c r="D7961" s="17" t="s">
        <v>14</v>
      </c>
      <c r="E7961" s="17"/>
      <c r="F7961" s="18"/>
      <c r="G7961" s="36" t="str">
        <f>IF(ISNUMBER(F7961),C7961*F7961,"")</f>
        <v/>
      </c>
    </row>
    <row r="7962" spans="1:7" ht="12" customHeight="1" outlineLevel="3" x14ac:dyDescent="0.2">
      <c r="A7962" s="14" t="s">
        <v>15665</v>
      </c>
      <c r="B7962" s="15" t="s">
        <v>15666</v>
      </c>
      <c r="C7962" s="16">
        <f>38.25/(1+B2)</f>
        <v>38.25</v>
      </c>
      <c r="D7962" s="17" t="s">
        <v>11</v>
      </c>
      <c r="E7962" s="17" t="s">
        <v>106</v>
      </c>
      <c r="F7962" s="18"/>
      <c r="G7962" s="36" t="str">
        <f>IF(ISNUMBER(F7962),C7962*F7962,"")</f>
        <v/>
      </c>
    </row>
    <row r="7963" spans="1:7" ht="12" customHeight="1" outlineLevel="3" x14ac:dyDescent="0.2">
      <c r="A7963" s="14" t="s">
        <v>15667</v>
      </c>
      <c r="B7963" s="15" t="s">
        <v>15668</v>
      </c>
      <c r="C7963" s="16">
        <f>38.25/(1+B2)</f>
        <v>38.25</v>
      </c>
      <c r="D7963" s="17" t="s">
        <v>53</v>
      </c>
      <c r="E7963" s="17" t="s">
        <v>106</v>
      </c>
      <c r="F7963" s="18"/>
      <c r="G7963" s="36" t="str">
        <f>IF(ISNUMBER(F7963),C7963*F7963,"")</f>
        <v/>
      </c>
    </row>
    <row r="7964" spans="1:7" ht="12" customHeight="1" outlineLevel="3" x14ac:dyDescent="0.2">
      <c r="A7964" s="14" t="s">
        <v>15669</v>
      </c>
      <c r="B7964" s="15" t="s">
        <v>15670</v>
      </c>
      <c r="C7964" s="16">
        <f>58.73/(1+B2)</f>
        <v>58.73</v>
      </c>
      <c r="D7964" s="17" t="s">
        <v>53</v>
      </c>
      <c r="E7964" s="17"/>
      <c r="F7964" s="18"/>
      <c r="G7964" s="36" t="str">
        <f>IF(ISNUMBER(F7964),C7964*F7964,"")</f>
        <v/>
      </c>
    </row>
    <row r="7965" spans="1:7" ht="12" customHeight="1" outlineLevel="3" x14ac:dyDescent="0.2">
      <c r="A7965" s="14" t="s">
        <v>15671</v>
      </c>
      <c r="B7965" s="15" t="s">
        <v>15672</v>
      </c>
      <c r="C7965" s="16">
        <f>58.73/(1+B2)</f>
        <v>58.73</v>
      </c>
      <c r="D7965" s="17" t="s">
        <v>11</v>
      </c>
      <c r="E7965" s="17"/>
      <c r="F7965" s="18"/>
      <c r="G7965" s="36" t="str">
        <f>IF(ISNUMBER(F7965),C7965*F7965,"")</f>
        <v/>
      </c>
    </row>
    <row r="7966" spans="1:7" ht="12" customHeight="1" outlineLevel="3" x14ac:dyDescent="0.2">
      <c r="A7966" s="14" t="s">
        <v>15673</v>
      </c>
      <c r="B7966" s="15" t="s">
        <v>15674</v>
      </c>
      <c r="C7966" s="16">
        <f>61.43/(1+B2)</f>
        <v>61.43</v>
      </c>
      <c r="D7966" s="17" t="s">
        <v>14</v>
      </c>
      <c r="E7966" s="17"/>
      <c r="F7966" s="18"/>
      <c r="G7966" s="36" t="str">
        <f>IF(ISNUMBER(F7966),C7966*F7966,"")</f>
        <v/>
      </c>
    </row>
    <row r="7967" spans="1:7" s="1" customFormat="1" ht="12.95" customHeight="1" outlineLevel="2" x14ac:dyDescent="0.2">
      <c r="A7967" s="20"/>
      <c r="B7967" s="21" t="s">
        <v>15675</v>
      </c>
      <c r="C7967" s="22"/>
      <c r="D7967" s="22"/>
      <c r="E7967" s="22"/>
      <c r="F7967" s="22"/>
      <c r="G7967" s="37"/>
    </row>
    <row r="7968" spans="1:7" ht="12" customHeight="1" outlineLevel="3" x14ac:dyDescent="0.2">
      <c r="A7968" s="14" t="s">
        <v>15676</v>
      </c>
      <c r="B7968" s="15" t="s">
        <v>15677</v>
      </c>
      <c r="C7968" s="16">
        <f>15.88/(1+B2)</f>
        <v>15.88</v>
      </c>
      <c r="D7968" s="17" t="s">
        <v>53</v>
      </c>
      <c r="E7968" s="17" t="s">
        <v>106</v>
      </c>
      <c r="F7968" s="18"/>
      <c r="G7968" s="36" t="str">
        <f>IF(ISNUMBER(F7968),C7968*F7968,"")</f>
        <v/>
      </c>
    </row>
    <row r="7969" spans="1:7" ht="12" customHeight="1" outlineLevel="3" x14ac:dyDescent="0.2">
      <c r="A7969" s="14" t="s">
        <v>15678</v>
      </c>
      <c r="B7969" s="15" t="s">
        <v>15679</v>
      </c>
      <c r="C7969" s="16">
        <f>63.35/(1+B2)</f>
        <v>63.35</v>
      </c>
      <c r="D7969" s="17" t="s">
        <v>11</v>
      </c>
      <c r="E7969" s="17" t="s">
        <v>53</v>
      </c>
      <c r="F7969" s="18"/>
      <c r="G7969" s="36" t="str">
        <f>IF(ISNUMBER(F7969),C7969*F7969,"")</f>
        <v/>
      </c>
    </row>
    <row r="7970" spans="1:7" ht="12" customHeight="1" outlineLevel="3" x14ac:dyDescent="0.2">
      <c r="A7970" s="14" t="s">
        <v>15680</v>
      </c>
      <c r="B7970" s="15" t="s">
        <v>15681</v>
      </c>
      <c r="C7970" s="16">
        <f>73.5/(1+B2)</f>
        <v>73.5</v>
      </c>
      <c r="D7970" s="17" t="s">
        <v>11</v>
      </c>
      <c r="E7970" s="17" t="s">
        <v>14</v>
      </c>
      <c r="F7970" s="18"/>
      <c r="G7970" s="36" t="str">
        <f>IF(ISNUMBER(F7970),C7970*F7970,"")</f>
        <v/>
      </c>
    </row>
    <row r="7971" spans="1:7" ht="12" customHeight="1" outlineLevel="3" x14ac:dyDescent="0.2">
      <c r="A7971" s="14" t="s">
        <v>15682</v>
      </c>
      <c r="B7971" s="15" t="s">
        <v>15683</v>
      </c>
      <c r="C7971" s="16">
        <f>38.25/(1+B2)</f>
        <v>38.25</v>
      </c>
      <c r="D7971" s="17" t="s">
        <v>14</v>
      </c>
      <c r="E7971" s="17"/>
      <c r="F7971" s="18"/>
      <c r="G7971" s="36" t="str">
        <f>IF(ISNUMBER(F7971),C7971*F7971,"")</f>
        <v/>
      </c>
    </row>
    <row r="7972" spans="1:7" ht="12" customHeight="1" outlineLevel="3" x14ac:dyDescent="0.2">
      <c r="A7972" s="14" t="s">
        <v>15684</v>
      </c>
      <c r="B7972" s="15" t="s">
        <v>15685</v>
      </c>
      <c r="C7972" s="16">
        <f>33.43/(1+B2)</f>
        <v>33.43</v>
      </c>
      <c r="D7972" s="17" t="s">
        <v>14</v>
      </c>
      <c r="E7972" s="17"/>
      <c r="F7972" s="18"/>
      <c r="G7972" s="36" t="str">
        <f>IF(ISNUMBER(F7972),C7972*F7972,"")</f>
        <v/>
      </c>
    </row>
    <row r="7973" spans="1:7" ht="12" customHeight="1" outlineLevel="3" x14ac:dyDescent="0.2">
      <c r="A7973" s="14" t="s">
        <v>15686</v>
      </c>
      <c r="B7973" s="15" t="s">
        <v>15687</v>
      </c>
      <c r="C7973" s="16">
        <f>33.43/(1+B2)</f>
        <v>33.43</v>
      </c>
      <c r="D7973" s="17" t="s">
        <v>11</v>
      </c>
      <c r="E7973" s="17"/>
      <c r="F7973" s="18"/>
      <c r="G7973" s="36" t="str">
        <f>IF(ISNUMBER(F7973),C7973*F7973,"")</f>
        <v/>
      </c>
    </row>
    <row r="7974" spans="1:7" ht="12" customHeight="1" outlineLevel="3" x14ac:dyDescent="0.2">
      <c r="A7974" s="14" t="s">
        <v>15688</v>
      </c>
      <c r="B7974" s="15" t="s">
        <v>15689</v>
      </c>
      <c r="C7974" s="16">
        <f>36.25/(1+B2)</f>
        <v>36.25</v>
      </c>
      <c r="D7974" s="17" t="s">
        <v>14</v>
      </c>
      <c r="E7974" s="17" t="s">
        <v>11</v>
      </c>
      <c r="F7974" s="18"/>
      <c r="G7974" s="36" t="str">
        <f>IF(ISNUMBER(F7974),C7974*F7974,"")</f>
        <v/>
      </c>
    </row>
    <row r="7975" spans="1:7" ht="12" customHeight="1" outlineLevel="3" x14ac:dyDescent="0.2">
      <c r="A7975" s="14" t="s">
        <v>15690</v>
      </c>
      <c r="B7975" s="15" t="s">
        <v>15691</v>
      </c>
      <c r="C7975" s="16">
        <f>43.68/(1+B2)</f>
        <v>43.68</v>
      </c>
      <c r="D7975" s="17" t="s">
        <v>14</v>
      </c>
      <c r="E7975" s="17"/>
      <c r="F7975" s="18"/>
      <c r="G7975" s="36" t="str">
        <f>IF(ISNUMBER(F7975),C7975*F7975,"")</f>
        <v/>
      </c>
    </row>
    <row r="7976" spans="1:7" ht="12" customHeight="1" outlineLevel="3" x14ac:dyDescent="0.2">
      <c r="A7976" s="14" t="s">
        <v>15692</v>
      </c>
      <c r="B7976" s="15" t="s">
        <v>15693</v>
      </c>
      <c r="C7976" s="16">
        <f>58.05/(1+B2)</f>
        <v>58.05</v>
      </c>
      <c r="D7976" s="17" t="s">
        <v>11</v>
      </c>
      <c r="E7976" s="17"/>
      <c r="F7976" s="18"/>
      <c r="G7976" s="36" t="str">
        <f>IF(ISNUMBER(F7976),C7976*F7976,"")</f>
        <v/>
      </c>
    </row>
    <row r="7977" spans="1:7" ht="12" customHeight="1" outlineLevel="3" x14ac:dyDescent="0.2">
      <c r="A7977" s="14" t="s">
        <v>15694</v>
      </c>
      <c r="B7977" s="15" t="s">
        <v>15695</v>
      </c>
      <c r="C7977" s="16">
        <f>23.63/(1+B2)</f>
        <v>23.63</v>
      </c>
      <c r="D7977" s="17" t="s">
        <v>11</v>
      </c>
      <c r="E7977" s="17"/>
      <c r="F7977" s="18"/>
      <c r="G7977" s="36" t="str">
        <f>IF(ISNUMBER(F7977),C7977*F7977,"")</f>
        <v/>
      </c>
    </row>
    <row r="7978" spans="1:7" ht="12" customHeight="1" outlineLevel="3" x14ac:dyDescent="0.2">
      <c r="A7978" s="14" t="s">
        <v>15696</v>
      </c>
      <c r="B7978" s="15" t="s">
        <v>15697</v>
      </c>
      <c r="C7978" s="16">
        <f>10/(1+B2)</f>
        <v>10</v>
      </c>
      <c r="D7978" s="17" t="s">
        <v>14</v>
      </c>
      <c r="E7978" s="17"/>
      <c r="F7978" s="18"/>
      <c r="G7978" s="36" t="str">
        <f>IF(ISNUMBER(F7978),C7978*F7978,"")</f>
        <v/>
      </c>
    </row>
    <row r="7979" spans="1:7" s="1" customFormat="1" ht="12.95" customHeight="1" outlineLevel="2" x14ac:dyDescent="0.2">
      <c r="A7979" s="20"/>
      <c r="B7979" s="21" t="s">
        <v>15698</v>
      </c>
      <c r="C7979" s="22"/>
      <c r="D7979" s="22"/>
      <c r="E7979" s="22"/>
      <c r="F7979" s="22"/>
      <c r="G7979" s="37"/>
    </row>
    <row r="7980" spans="1:7" ht="12" customHeight="1" outlineLevel="3" x14ac:dyDescent="0.2">
      <c r="A7980" s="14" t="s">
        <v>15699</v>
      </c>
      <c r="B7980" s="15" t="s">
        <v>15700</v>
      </c>
      <c r="C7980" s="16">
        <f>24.08/(1+B2)</f>
        <v>24.08</v>
      </c>
      <c r="D7980" s="17" t="s">
        <v>11</v>
      </c>
      <c r="E7980" s="17" t="s">
        <v>14</v>
      </c>
      <c r="F7980" s="18"/>
      <c r="G7980" s="36" t="str">
        <f>IF(ISNUMBER(F7980),C7980*F7980,"")</f>
        <v/>
      </c>
    </row>
    <row r="7981" spans="1:7" ht="12" customHeight="1" outlineLevel="3" x14ac:dyDescent="0.2">
      <c r="A7981" s="14" t="s">
        <v>15701</v>
      </c>
      <c r="B7981" s="15" t="s">
        <v>15702</v>
      </c>
      <c r="C7981" s="16">
        <f>24.08/(1+B2)</f>
        <v>24.08</v>
      </c>
      <c r="D7981" s="17" t="s">
        <v>11</v>
      </c>
      <c r="E7981" s="17" t="s">
        <v>53</v>
      </c>
      <c r="F7981" s="18"/>
      <c r="G7981" s="36" t="str">
        <f>IF(ISNUMBER(F7981),C7981*F7981,"")</f>
        <v/>
      </c>
    </row>
    <row r="7982" spans="1:7" ht="12" customHeight="1" outlineLevel="3" x14ac:dyDescent="0.2">
      <c r="A7982" s="14" t="s">
        <v>15703</v>
      </c>
      <c r="B7982" s="15" t="s">
        <v>15704</v>
      </c>
      <c r="C7982" s="16">
        <f>23.7/(1+B2)</f>
        <v>23.7</v>
      </c>
      <c r="D7982" s="17" t="s">
        <v>11</v>
      </c>
      <c r="E7982" s="17" t="s">
        <v>14</v>
      </c>
      <c r="F7982" s="18"/>
      <c r="G7982" s="36" t="str">
        <f>IF(ISNUMBER(F7982),C7982*F7982,"")</f>
        <v/>
      </c>
    </row>
    <row r="7983" spans="1:7" ht="12" customHeight="1" outlineLevel="3" x14ac:dyDescent="0.2">
      <c r="A7983" s="14" t="s">
        <v>15705</v>
      </c>
      <c r="B7983" s="15" t="s">
        <v>15706</v>
      </c>
      <c r="C7983" s="16">
        <f>24.19/(1+B2)</f>
        <v>24.19</v>
      </c>
      <c r="D7983" s="17" t="s">
        <v>11</v>
      </c>
      <c r="E7983" s="17" t="s">
        <v>14</v>
      </c>
      <c r="F7983" s="18"/>
      <c r="G7983" s="36" t="str">
        <f>IF(ISNUMBER(F7983),C7983*F7983,"")</f>
        <v/>
      </c>
    </row>
    <row r="7984" spans="1:7" s="1" customFormat="1" ht="12.95" customHeight="1" outlineLevel="2" x14ac:dyDescent="0.2">
      <c r="A7984" s="20"/>
      <c r="B7984" s="21" t="s">
        <v>15707</v>
      </c>
      <c r="C7984" s="22"/>
      <c r="D7984" s="22"/>
      <c r="E7984" s="22"/>
      <c r="F7984" s="22"/>
      <c r="G7984" s="37"/>
    </row>
    <row r="7985" spans="1:7" ht="12" customHeight="1" outlineLevel="3" x14ac:dyDescent="0.2">
      <c r="A7985" s="14" t="s">
        <v>15708</v>
      </c>
      <c r="B7985" s="15" t="s">
        <v>15709</v>
      </c>
      <c r="C7985" s="16">
        <f>347.82/(1+B2)</f>
        <v>347.82</v>
      </c>
      <c r="D7985" s="17"/>
      <c r="E7985" s="17" t="s">
        <v>11</v>
      </c>
      <c r="F7985" s="18"/>
      <c r="G7985" s="36" t="str">
        <f>IF(ISNUMBER(F7985),C7985*F7985,"")</f>
        <v/>
      </c>
    </row>
    <row r="7986" spans="1:7" ht="12" customHeight="1" outlineLevel="3" x14ac:dyDescent="0.2">
      <c r="A7986" s="14" t="s">
        <v>15710</v>
      </c>
      <c r="B7986" s="15" t="s">
        <v>15711</v>
      </c>
      <c r="C7986" s="16">
        <f>398.59/(1+B2)</f>
        <v>398.59</v>
      </c>
      <c r="D7986" s="17"/>
      <c r="E7986" s="17" t="s">
        <v>11</v>
      </c>
      <c r="F7986" s="18"/>
      <c r="G7986" s="36" t="str">
        <f>IF(ISNUMBER(F7986),C7986*F7986,"")</f>
        <v/>
      </c>
    </row>
    <row r="7987" spans="1:7" ht="12" customHeight="1" outlineLevel="3" x14ac:dyDescent="0.2">
      <c r="A7987" s="14" t="s">
        <v>15712</v>
      </c>
      <c r="B7987" s="15" t="s">
        <v>15713</v>
      </c>
      <c r="C7987" s="16">
        <f>59.25/(1+B2)</f>
        <v>59.25</v>
      </c>
      <c r="D7987" s="17" t="s">
        <v>11</v>
      </c>
      <c r="E7987" s="17" t="s">
        <v>106</v>
      </c>
      <c r="F7987" s="18"/>
      <c r="G7987" s="36" t="str">
        <f>IF(ISNUMBER(F7987),C7987*F7987,"")</f>
        <v/>
      </c>
    </row>
    <row r="7988" spans="1:7" ht="12" customHeight="1" outlineLevel="3" x14ac:dyDescent="0.2">
      <c r="A7988" s="14" t="s">
        <v>15714</v>
      </c>
      <c r="B7988" s="15" t="s">
        <v>15715</v>
      </c>
      <c r="C7988" s="16">
        <f>59.25/(1+B2)</f>
        <v>59.25</v>
      </c>
      <c r="D7988" s="17" t="s">
        <v>11</v>
      </c>
      <c r="E7988" s="17" t="s">
        <v>106</v>
      </c>
      <c r="F7988" s="18"/>
      <c r="G7988" s="36" t="str">
        <f>IF(ISNUMBER(F7988),C7988*F7988,"")</f>
        <v/>
      </c>
    </row>
    <row r="7989" spans="1:7" ht="12" customHeight="1" outlineLevel="3" x14ac:dyDescent="0.2">
      <c r="A7989" s="14" t="s">
        <v>15716</v>
      </c>
      <c r="B7989" s="15" t="s">
        <v>15717</v>
      </c>
      <c r="C7989" s="16">
        <f>76.15/(1+B2)</f>
        <v>76.150000000000006</v>
      </c>
      <c r="D7989" s="17" t="s">
        <v>11</v>
      </c>
      <c r="E7989" s="17" t="s">
        <v>53</v>
      </c>
      <c r="F7989" s="18"/>
      <c r="G7989" s="36" t="str">
        <f>IF(ISNUMBER(F7989),C7989*F7989,"")</f>
        <v/>
      </c>
    </row>
    <row r="7990" spans="1:7" ht="12" customHeight="1" outlineLevel="3" x14ac:dyDescent="0.2">
      <c r="A7990" s="14" t="s">
        <v>15718</v>
      </c>
      <c r="B7990" s="15" t="s">
        <v>15719</v>
      </c>
      <c r="C7990" s="16">
        <f>76.43/(1+B2)</f>
        <v>76.430000000000007</v>
      </c>
      <c r="D7990" s="17" t="s">
        <v>11</v>
      </c>
      <c r="E7990" s="17" t="s">
        <v>53</v>
      </c>
      <c r="F7990" s="18"/>
      <c r="G7990" s="36" t="str">
        <f>IF(ISNUMBER(F7990),C7990*F7990,"")</f>
        <v/>
      </c>
    </row>
    <row r="7991" spans="1:7" ht="12" customHeight="1" outlineLevel="3" x14ac:dyDescent="0.2">
      <c r="A7991" s="14" t="s">
        <v>15720</v>
      </c>
      <c r="B7991" s="15" t="s">
        <v>15721</v>
      </c>
      <c r="C7991" s="16">
        <f>133.85/(1+B2)</f>
        <v>133.85</v>
      </c>
      <c r="D7991" s="17" t="s">
        <v>11</v>
      </c>
      <c r="E7991" s="17" t="s">
        <v>14</v>
      </c>
      <c r="F7991" s="18"/>
      <c r="G7991" s="36" t="str">
        <f>IF(ISNUMBER(F7991),C7991*F7991,"")</f>
        <v/>
      </c>
    </row>
    <row r="7992" spans="1:7" ht="12" customHeight="1" outlineLevel="3" x14ac:dyDescent="0.2">
      <c r="A7992" s="14" t="s">
        <v>15722</v>
      </c>
      <c r="B7992" s="15" t="s">
        <v>15723</v>
      </c>
      <c r="C7992" s="16">
        <f>178.35/(1+B2)</f>
        <v>178.35</v>
      </c>
      <c r="D7992" s="17" t="s">
        <v>11</v>
      </c>
      <c r="E7992" s="17" t="s">
        <v>14</v>
      </c>
      <c r="F7992" s="18"/>
      <c r="G7992" s="36" t="str">
        <f>IF(ISNUMBER(F7992),C7992*F7992,"")</f>
        <v/>
      </c>
    </row>
    <row r="7993" spans="1:7" ht="12" customHeight="1" outlineLevel="3" x14ac:dyDescent="0.2">
      <c r="A7993" s="14" t="s">
        <v>15724</v>
      </c>
      <c r="B7993" s="15" t="s">
        <v>15725</v>
      </c>
      <c r="C7993" s="16">
        <f>241.3/(1+B2)</f>
        <v>241.3</v>
      </c>
      <c r="D7993" s="17" t="s">
        <v>11</v>
      </c>
      <c r="E7993" s="17" t="s">
        <v>11</v>
      </c>
      <c r="F7993" s="18"/>
      <c r="G7993" s="36" t="str">
        <f>IF(ISNUMBER(F7993),C7993*F7993,"")</f>
        <v/>
      </c>
    </row>
    <row r="7994" spans="1:7" ht="12" customHeight="1" outlineLevel="3" x14ac:dyDescent="0.2">
      <c r="A7994" s="14" t="s">
        <v>15726</v>
      </c>
      <c r="B7994" s="15" t="s">
        <v>15727</v>
      </c>
      <c r="C7994" s="16">
        <f>163.75/(1+B2)</f>
        <v>163.75</v>
      </c>
      <c r="D7994" s="17"/>
      <c r="E7994" s="17" t="s">
        <v>11</v>
      </c>
      <c r="F7994" s="18"/>
      <c r="G7994" s="36" t="str">
        <f>IF(ISNUMBER(F7994),C7994*F7994,"")</f>
        <v/>
      </c>
    </row>
    <row r="7995" spans="1:7" ht="12" customHeight="1" outlineLevel="3" x14ac:dyDescent="0.2">
      <c r="A7995" s="14" t="s">
        <v>15728</v>
      </c>
      <c r="B7995" s="15" t="s">
        <v>15729</v>
      </c>
      <c r="C7995" s="16">
        <f>248.83/(1+B2)</f>
        <v>248.83</v>
      </c>
      <c r="D7995" s="17"/>
      <c r="E7995" s="17" t="s">
        <v>11</v>
      </c>
      <c r="F7995" s="18"/>
      <c r="G7995" s="36" t="str">
        <f>IF(ISNUMBER(F7995),C7995*F7995,"")</f>
        <v/>
      </c>
    </row>
    <row r="7996" spans="1:7" ht="12" customHeight="1" outlineLevel="3" x14ac:dyDescent="0.2">
      <c r="A7996" s="14" t="s">
        <v>15730</v>
      </c>
      <c r="B7996" s="15" t="s">
        <v>15731</v>
      </c>
      <c r="C7996" s="16">
        <f>189.8/(1+B2)</f>
        <v>189.8</v>
      </c>
      <c r="D7996" s="17"/>
      <c r="E7996" s="17" t="s">
        <v>11</v>
      </c>
      <c r="F7996" s="18"/>
      <c r="G7996" s="36" t="str">
        <f>IF(ISNUMBER(F7996),C7996*F7996,"")</f>
        <v/>
      </c>
    </row>
    <row r="7997" spans="1:7" ht="12" customHeight="1" outlineLevel="3" x14ac:dyDescent="0.2">
      <c r="A7997" s="14" t="s">
        <v>15732</v>
      </c>
      <c r="B7997" s="15" t="s">
        <v>15733</v>
      </c>
      <c r="C7997" s="16">
        <f>162.9/(1+B2)</f>
        <v>162.9</v>
      </c>
      <c r="D7997" s="17"/>
      <c r="E7997" s="17" t="s">
        <v>11</v>
      </c>
      <c r="F7997" s="18"/>
      <c r="G7997" s="36" t="str">
        <f>IF(ISNUMBER(F7997),C7997*F7997,"")</f>
        <v/>
      </c>
    </row>
    <row r="7998" spans="1:7" ht="12" customHeight="1" outlineLevel="3" x14ac:dyDescent="0.2">
      <c r="A7998" s="14" t="s">
        <v>15734</v>
      </c>
      <c r="B7998" s="15" t="s">
        <v>15735</v>
      </c>
      <c r="C7998" s="16">
        <f>33.4/(1+B2)</f>
        <v>33.4</v>
      </c>
      <c r="D7998" s="17" t="s">
        <v>11</v>
      </c>
      <c r="E7998" s="17" t="s">
        <v>14</v>
      </c>
      <c r="F7998" s="18"/>
      <c r="G7998" s="36" t="str">
        <f>IF(ISNUMBER(F7998),C7998*F7998,"")</f>
        <v/>
      </c>
    </row>
    <row r="7999" spans="1:7" ht="12" customHeight="1" outlineLevel="3" x14ac:dyDescent="0.2">
      <c r="A7999" s="14" t="s">
        <v>15736</v>
      </c>
      <c r="B7999" s="15" t="s">
        <v>15737</v>
      </c>
      <c r="C7999" s="16">
        <f>43.7/(1+B2)</f>
        <v>43.7</v>
      </c>
      <c r="D7999" s="17" t="s">
        <v>14</v>
      </c>
      <c r="E7999" s="17"/>
      <c r="F7999" s="18"/>
      <c r="G7999" s="36" t="str">
        <f>IF(ISNUMBER(F7999),C7999*F7999,"")</f>
        <v/>
      </c>
    </row>
    <row r="8000" spans="1:7" s="1" customFormat="1" ht="12.95" customHeight="1" outlineLevel="2" x14ac:dyDescent="0.2">
      <c r="A8000" s="20"/>
      <c r="B8000" s="21" t="s">
        <v>15738</v>
      </c>
      <c r="C8000" s="22"/>
      <c r="D8000" s="22"/>
      <c r="E8000" s="22"/>
      <c r="F8000" s="22"/>
      <c r="G8000" s="37"/>
    </row>
    <row r="8001" spans="1:7" ht="12" customHeight="1" outlineLevel="3" x14ac:dyDescent="0.2">
      <c r="A8001" s="14" t="s">
        <v>15739</v>
      </c>
      <c r="B8001" s="15" t="s">
        <v>15740</v>
      </c>
      <c r="C8001" s="16">
        <f>80.66/(1+B2)</f>
        <v>80.66</v>
      </c>
      <c r="D8001" s="17" t="s">
        <v>11</v>
      </c>
      <c r="E8001" s="17" t="s">
        <v>14</v>
      </c>
      <c r="F8001" s="18"/>
      <c r="G8001" s="36" t="str">
        <f>IF(ISNUMBER(F8001),C8001*F8001,"")</f>
        <v/>
      </c>
    </row>
    <row r="8002" spans="1:7" ht="12" customHeight="1" outlineLevel="3" x14ac:dyDescent="0.2">
      <c r="A8002" s="14" t="s">
        <v>15741</v>
      </c>
      <c r="B8002" s="15" t="s">
        <v>15742</v>
      </c>
      <c r="C8002" s="16">
        <f>35.48/(1+B2)</f>
        <v>35.479999999999997</v>
      </c>
      <c r="D8002" s="17" t="s">
        <v>53</v>
      </c>
      <c r="E8002" s="17" t="s">
        <v>11</v>
      </c>
      <c r="F8002" s="18"/>
      <c r="G8002" s="36" t="str">
        <f>IF(ISNUMBER(F8002),C8002*F8002,"")</f>
        <v/>
      </c>
    </row>
    <row r="8003" spans="1:7" ht="12" customHeight="1" outlineLevel="3" x14ac:dyDescent="0.2">
      <c r="A8003" s="14" t="s">
        <v>15743</v>
      </c>
      <c r="B8003" s="15" t="s">
        <v>15744</v>
      </c>
      <c r="C8003" s="16">
        <f>54.49/(1+B2)</f>
        <v>54.49</v>
      </c>
      <c r="D8003" s="17" t="s">
        <v>14</v>
      </c>
      <c r="E8003" s="17" t="s">
        <v>11</v>
      </c>
      <c r="F8003" s="18"/>
      <c r="G8003" s="36" t="str">
        <f>IF(ISNUMBER(F8003),C8003*F8003,"")</f>
        <v/>
      </c>
    </row>
    <row r="8004" spans="1:7" ht="12" customHeight="1" outlineLevel="3" x14ac:dyDescent="0.2">
      <c r="A8004" s="14" t="s">
        <v>15745</v>
      </c>
      <c r="B8004" s="15" t="s">
        <v>15746</v>
      </c>
      <c r="C8004" s="16">
        <f>73.95/(1+B2)</f>
        <v>73.95</v>
      </c>
      <c r="D8004" s="17" t="s">
        <v>53</v>
      </c>
      <c r="E8004" s="17"/>
      <c r="F8004" s="18"/>
      <c r="G8004" s="36" t="str">
        <f>IF(ISNUMBER(F8004),C8004*F8004,"")</f>
        <v/>
      </c>
    </row>
    <row r="8005" spans="1:7" ht="12" customHeight="1" outlineLevel="3" x14ac:dyDescent="0.2">
      <c r="A8005" s="14" t="s">
        <v>15747</v>
      </c>
      <c r="B8005" s="15" t="s">
        <v>15748</v>
      </c>
      <c r="C8005" s="16">
        <f>18.01/(1+B2)</f>
        <v>18.010000000000002</v>
      </c>
      <c r="D8005" s="17" t="s">
        <v>53</v>
      </c>
      <c r="E8005" s="17"/>
      <c r="F8005" s="18"/>
      <c r="G8005" s="36" t="str">
        <f>IF(ISNUMBER(F8005),C8005*F8005,"")</f>
        <v/>
      </c>
    </row>
    <row r="8006" spans="1:7" ht="12" customHeight="1" outlineLevel="3" x14ac:dyDescent="0.2">
      <c r="A8006" s="14" t="s">
        <v>15749</v>
      </c>
      <c r="B8006" s="15" t="s">
        <v>15750</v>
      </c>
      <c r="C8006" s="16">
        <f>41.01/(1+B2)</f>
        <v>41.01</v>
      </c>
      <c r="D8006" s="17" t="s">
        <v>53</v>
      </c>
      <c r="E8006" s="17" t="s">
        <v>14</v>
      </c>
      <c r="F8006" s="18"/>
      <c r="G8006" s="36" t="str">
        <f>IF(ISNUMBER(F8006),C8006*F8006,"")</f>
        <v/>
      </c>
    </row>
    <row r="8007" spans="1:7" ht="12" customHeight="1" outlineLevel="3" x14ac:dyDescent="0.2">
      <c r="A8007" s="14" t="s">
        <v>15751</v>
      </c>
      <c r="B8007" s="15" t="s">
        <v>15752</v>
      </c>
      <c r="C8007" s="16">
        <f>80.96/(1+B2)</f>
        <v>80.959999999999994</v>
      </c>
      <c r="D8007" s="17" t="s">
        <v>53</v>
      </c>
      <c r="E8007" s="17"/>
      <c r="F8007" s="18"/>
      <c r="G8007" s="36" t="str">
        <f>IF(ISNUMBER(F8007),C8007*F8007,"")</f>
        <v/>
      </c>
    </row>
    <row r="8008" spans="1:7" ht="12" customHeight="1" outlineLevel="3" x14ac:dyDescent="0.2">
      <c r="A8008" s="14" t="s">
        <v>15753</v>
      </c>
      <c r="B8008" s="15" t="s">
        <v>15754</v>
      </c>
      <c r="C8008" s="16">
        <f>40.03/(1+B2)</f>
        <v>40.03</v>
      </c>
      <c r="D8008" s="17" t="s">
        <v>106</v>
      </c>
      <c r="E8008" s="17"/>
      <c r="F8008" s="18"/>
      <c r="G8008" s="36" t="str">
        <f>IF(ISNUMBER(F8008),C8008*F8008,"")</f>
        <v/>
      </c>
    </row>
    <row r="8009" spans="1:7" ht="12" customHeight="1" outlineLevel="3" x14ac:dyDescent="0.2">
      <c r="A8009" s="14" t="s">
        <v>15755</v>
      </c>
      <c r="B8009" s="15" t="s">
        <v>15756</v>
      </c>
      <c r="C8009" s="16">
        <f>32.39/(1+B2)</f>
        <v>32.39</v>
      </c>
      <c r="D8009" s="17" t="s">
        <v>53</v>
      </c>
      <c r="E8009" s="17"/>
      <c r="F8009" s="18"/>
      <c r="G8009" s="36" t="str">
        <f>IF(ISNUMBER(F8009),C8009*F8009,"")</f>
        <v/>
      </c>
    </row>
    <row r="8010" spans="1:7" ht="12" customHeight="1" outlineLevel="3" x14ac:dyDescent="0.2">
      <c r="A8010" s="14" t="s">
        <v>15757</v>
      </c>
      <c r="B8010" s="15" t="s">
        <v>15758</v>
      </c>
      <c r="C8010" s="16">
        <f>16.12/(1+B2)</f>
        <v>16.12</v>
      </c>
      <c r="D8010" s="17" t="s">
        <v>53</v>
      </c>
      <c r="E8010" s="17"/>
      <c r="F8010" s="18"/>
      <c r="G8010" s="36" t="str">
        <f>IF(ISNUMBER(F8010),C8010*F8010,"")</f>
        <v/>
      </c>
    </row>
    <row r="8011" spans="1:7" ht="12" customHeight="1" outlineLevel="3" x14ac:dyDescent="0.2">
      <c r="A8011" s="14" t="s">
        <v>15759</v>
      </c>
      <c r="B8011" s="15" t="s">
        <v>15760</v>
      </c>
      <c r="C8011" s="16">
        <f>0.92/(1+B2)</f>
        <v>0.92</v>
      </c>
      <c r="D8011" s="17" t="s">
        <v>53</v>
      </c>
      <c r="E8011" s="17"/>
      <c r="F8011" s="18"/>
      <c r="G8011" s="36" t="str">
        <f>IF(ISNUMBER(F8011),C8011*F8011,"")</f>
        <v/>
      </c>
    </row>
    <row r="8012" spans="1:7" ht="12" customHeight="1" outlineLevel="3" x14ac:dyDescent="0.2">
      <c r="A8012" s="14" t="s">
        <v>15761</v>
      </c>
      <c r="B8012" s="15" t="s">
        <v>15762</v>
      </c>
      <c r="C8012" s="16">
        <f>1.53/(1+B2)</f>
        <v>1.53</v>
      </c>
      <c r="D8012" s="17" t="s">
        <v>106</v>
      </c>
      <c r="E8012" s="17" t="s">
        <v>106</v>
      </c>
      <c r="F8012" s="18"/>
      <c r="G8012" s="36" t="str">
        <f>IF(ISNUMBER(F8012),C8012*F8012,"")</f>
        <v/>
      </c>
    </row>
    <row r="8013" spans="1:7" ht="24" customHeight="1" outlineLevel="3" x14ac:dyDescent="0.2">
      <c r="A8013" s="14" t="s">
        <v>15763</v>
      </c>
      <c r="B8013" s="15" t="s">
        <v>15764</v>
      </c>
      <c r="C8013" s="16">
        <f>24.3/(1+B2)</f>
        <v>24.3</v>
      </c>
      <c r="D8013" s="17" t="s">
        <v>11</v>
      </c>
      <c r="E8013" s="17"/>
      <c r="F8013" s="18"/>
      <c r="G8013" s="36" t="str">
        <f>IF(ISNUMBER(F8013),C8013*F8013,"")</f>
        <v/>
      </c>
    </row>
    <row r="8014" spans="1:7" ht="12" customHeight="1" outlineLevel="3" x14ac:dyDescent="0.2">
      <c r="A8014" s="14" t="s">
        <v>15765</v>
      </c>
      <c r="B8014" s="15" t="s">
        <v>15766</v>
      </c>
      <c r="C8014" s="16">
        <f>2.28/(1+B2)</f>
        <v>2.2799999999999998</v>
      </c>
      <c r="D8014" s="17" t="s">
        <v>106</v>
      </c>
      <c r="E8014" s="17"/>
      <c r="F8014" s="18"/>
      <c r="G8014" s="36" t="str">
        <f>IF(ISNUMBER(F8014),C8014*F8014,"")</f>
        <v/>
      </c>
    </row>
    <row r="8015" spans="1:7" ht="12" customHeight="1" outlineLevel="3" x14ac:dyDescent="0.2">
      <c r="A8015" s="14" t="s">
        <v>15767</v>
      </c>
      <c r="B8015" s="15" t="s">
        <v>15768</v>
      </c>
      <c r="C8015" s="16">
        <f>3.04/(1+B2)</f>
        <v>3.04</v>
      </c>
      <c r="D8015" s="17" t="s">
        <v>53</v>
      </c>
      <c r="E8015" s="17" t="s">
        <v>53</v>
      </c>
      <c r="F8015" s="18"/>
      <c r="G8015" s="36" t="str">
        <f>IF(ISNUMBER(F8015),C8015*F8015,"")</f>
        <v/>
      </c>
    </row>
    <row r="8016" spans="1:7" ht="12" customHeight="1" outlineLevel="3" x14ac:dyDescent="0.2">
      <c r="A8016" s="14" t="s">
        <v>15769</v>
      </c>
      <c r="B8016" s="15" t="s">
        <v>15770</v>
      </c>
      <c r="C8016" s="16">
        <f>4.6/(1+B2)</f>
        <v>4.5999999999999996</v>
      </c>
      <c r="D8016" s="17" t="s">
        <v>53</v>
      </c>
      <c r="E8016" s="17" t="s">
        <v>53</v>
      </c>
      <c r="F8016" s="18"/>
      <c r="G8016" s="36" t="str">
        <f>IF(ISNUMBER(F8016),C8016*F8016,"")</f>
        <v/>
      </c>
    </row>
    <row r="8017" spans="1:7" ht="24" customHeight="1" outlineLevel="3" x14ac:dyDescent="0.2">
      <c r="A8017" s="14" t="s">
        <v>15771</v>
      </c>
      <c r="B8017" s="15" t="s">
        <v>15772</v>
      </c>
      <c r="C8017" s="16">
        <f>55.69/(1+B2)</f>
        <v>55.69</v>
      </c>
      <c r="D8017" s="17" t="s">
        <v>11</v>
      </c>
      <c r="E8017" s="17"/>
      <c r="F8017" s="18"/>
      <c r="G8017" s="36" t="str">
        <f>IF(ISNUMBER(F8017),C8017*F8017,"")</f>
        <v/>
      </c>
    </row>
    <row r="8018" spans="1:7" ht="12" customHeight="1" outlineLevel="3" x14ac:dyDescent="0.2">
      <c r="A8018" s="14" t="s">
        <v>15773</v>
      </c>
      <c r="B8018" s="15" t="s">
        <v>15774</v>
      </c>
      <c r="C8018" s="16">
        <f>23.38/(1+B2)</f>
        <v>23.38</v>
      </c>
      <c r="D8018" s="17" t="s">
        <v>11</v>
      </c>
      <c r="E8018" s="17"/>
      <c r="F8018" s="18"/>
      <c r="G8018" s="36" t="str">
        <f>IF(ISNUMBER(F8018),C8018*F8018,"")</f>
        <v/>
      </c>
    </row>
    <row r="8019" spans="1:7" ht="12" customHeight="1" outlineLevel="3" x14ac:dyDescent="0.2">
      <c r="A8019" s="14" t="s">
        <v>15775</v>
      </c>
      <c r="B8019" s="15" t="s">
        <v>15776</v>
      </c>
      <c r="C8019" s="16">
        <f>31.66/(1+B2)</f>
        <v>31.66</v>
      </c>
      <c r="D8019" s="17" t="s">
        <v>53</v>
      </c>
      <c r="E8019" s="17"/>
      <c r="F8019" s="18"/>
      <c r="G8019" s="36" t="str">
        <f>IF(ISNUMBER(F8019),C8019*F8019,"")</f>
        <v/>
      </c>
    </row>
    <row r="8020" spans="1:7" ht="12" customHeight="1" outlineLevel="3" x14ac:dyDescent="0.2">
      <c r="A8020" s="14" t="s">
        <v>15777</v>
      </c>
      <c r="B8020" s="15" t="s">
        <v>15778</v>
      </c>
      <c r="C8020" s="16">
        <f>32.06/(1+B2)</f>
        <v>32.06</v>
      </c>
      <c r="D8020" s="17" t="s">
        <v>53</v>
      </c>
      <c r="E8020" s="17" t="s">
        <v>53</v>
      </c>
      <c r="F8020" s="18"/>
      <c r="G8020" s="36" t="str">
        <f>IF(ISNUMBER(F8020),C8020*F8020,"")</f>
        <v/>
      </c>
    </row>
    <row r="8021" spans="1:7" ht="12" customHeight="1" outlineLevel="3" x14ac:dyDescent="0.2">
      <c r="A8021" s="14" t="s">
        <v>15779</v>
      </c>
      <c r="B8021" s="15" t="s">
        <v>15780</v>
      </c>
      <c r="C8021" s="16">
        <f>41.51/(1+B2)</f>
        <v>41.51</v>
      </c>
      <c r="D8021" s="17" t="s">
        <v>53</v>
      </c>
      <c r="E8021" s="17"/>
      <c r="F8021" s="18"/>
      <c r="G8021" s="36" t="str">
        <f>IF(ISNUMBER(F8021),C8021*F8021,"")</f>
        <v/>
      </c>
    </row>
    <row r="8022" spans="1:7" ht="12" customHeight="1" outlineLevel="3" x14ac:dyDescent="0.2">
      <c r="A8022" s="14" t="s">
        <v>15781</v>
      </c>
      <c r="B8022" s="15" t="s">
        <v>15782</v>
      </c>
      <c r="C8022" s="16">
        <f>16.73/(1+B2)</f>
        <v>16.73</v>
      </c>
      <c r="D8022" s="17" t="s">
        <v>53</v>
      </c>
      <c r="E8022" s="17"/>
      <c r="F8022" s="18"/>
      <c r="G8022" s="36" t="str">
        <f>IF(ISNUMBER(F8022),C8022*F8022,"")</f>
        <v/>
      </c>
    </row>
    <row r="8023" spans="1:7" ht="12" customHeight="1" outlineLevel="3" x14ac:dyDescent="0.2">
      <c r="A8023" s="14" t="s">
        <v>15783</v>
      </c>
      <c r="B8023" s="15" t="s">
        <v>15784</v>
      </c>
      <c r="C8023" s="16">
        <f>37.46/(1+B2)</f>
        <v>37.46</v>
      </c>
      <c r="D8023" s="17" t="s">
        <v>53</v>
      </c>
      <c r="E8023" s="17" t="s">
        <v>14</v>
      </c>
      <c r="F8023" s="18"/>
      <c r="G8023" s="36" t="str">
        <f>IF(ISNUMBER(F8023),C8023*F8023,"")</f>
        <v/>
      </c>
    </row>
    <row r="8024" spans="1:7" ht="12" customHeight="1" outlineLevel="3" x14ac:dyDescent="0.2">
      <c r="A8024" s="14" t="s">
        <v>15785</v>
      </c>
      <c r="B8024" s="15" t="s">
        <v>15786</v>
      </c>
      <c r="C8024" s="16">
        <f>49.95/(1+B2)</f>
        <v>49.95</v>
      </c>
      <c r="D8024" s="17" t="s">
        <v>11</v>
      </c>
      <c r="E8024" s="17" t="s">
        <v>53</v>
      </c>
      <c r="F8024" s="18"/>
      <c r="G8024" s="36" t="str">
        <f>IF(ISNUMBER(F8024),C8024*F8024,"")</f>
        <v/>
      </c>
    </row>
    <row r="8025" spans="1:7" ht="12" customHeight="1" outlineLevel="3" x14ac:dyDescent="0.2">
      <c r="A8025" s="14" t="s">
        <v>15787</v>
      </c>
      <c r="B8025" s="15" t="s">
        <v>15788</v>
      </c>
      <c r="C8025" s="16">
        <f>54.79/(1+B2)</f>
        <v>54.79</v>
      </c>
      <c r="D8025" s="17" t="s">
        <v>11</v>
      </c>
      <c r="E8025" s="17" t="s">
        <v>11</v>
      </c>
      <c r="F8025" s="18"/>
      <c r="G8025" s="36" t="str">
        <f>IF(ISNUMBER(F8025),C8025*F8025,"")</f>
        <v/>
      </c>
    </row>
    <row r="8026" spans="1:7" ht="12" customHeight="1" outlineLevel="3" x14ac:dyDescent="0.2">
      <c r="A8026" s="14" t="s">
        <v>15789</v>
      </c>
      <c r="B8026" s="15" t="s">
        <v>15790</v>
      </c>
      <c r="C8026" s="16">
        <f>32.06/(1+B2)</f>
        <v>32.06</v>
      </c>
      <c r="D8026" s="17" t="s">
        <v>14</v>
      </c>
      <c r="E8026" s="17" t="s">
        <v>53</v>
      </c>
      <c r="F8026" s="18"/>
      <c r="G8026" s="36" t="str">
        <f>IF(ISNUMBER(F8026),C8026*F8026,"")</f>
        <v/>
      </c>
    </row>
    <row r="8027" spans="1:7" ht="12" customHeight="1" outlineLevel="3" x14ac:dyDescent="0.2">
      <c r="A8027" s="14" t="s">
        <v>15791</v>
      </c>
      <c r="B8027" s="15" t="s">
        <v>15792</v>
      </c>
      <c r="C8027" s="16">
        <f>34.09/(1+B2)</f>
        <v>34.090000000000003</v>
      </c>
      <c r="D8027" s="17" t="s">
        <v>11</v>
      </c>
      <c r="E8027" s="17" t="s">
        <v>53</v>
      </c>
      <c r="F8027" s="18"/>
      <c r="G8027" s="36" t="str">
        <f>IF(ISNUMBER(F8027),C8027*F8027,"")</f>
        <v/>
      </c>
    </row>
    <row r="8028" spans="1:7" ht="12" customHeight="1" outlineLevel="3" x14ac:dyDescent="0.2">
      <c r="A8028" s="14" t="s">
        <v>15793</v>
      </c>
      <c r="B8028" s="15" t="s">
        <v>15794</v>
      </c>
      <c r="C8028" s="16">
        <f>61.44/(1+B2)</f>
        <v>61.44</v>
      </c>
      <c r="D8028" s="17" t="s">
        <v>11</v>
      </c>
      <c r="E8028" s="17"/>
      <c r="F8028" s="18"/>
      <c r="G8028" s="36" t="str">
        <f>IF(ISNUMBER(F8028),C8028*F8028,"")</f>
        <v/>
      </c>
    </row>
    <row r="8029" spans="1:7" ht="12" customHeight="1" outlineLevel="3" x14ac:dyDescent="0.2">
      <c r="A8029" s="14" t="s">
        <v>15795</v>
      </c>
      <c r="B8029" s="15" t="s">
        <v>15796</v>
      </c>
      <c r="C8029" s="16">
        <f>31.24/(1+B2)</f>
        <v>31.24</v>
      </c>
      <c r="D8029" s="17" t="s">
        <v>14</v>
      </c>
      <c r="E8029" s="17"/>
      <c r="F8029" s="18"/>
      <c r="G8029" s="36" t="str">
        <f>IF(ISNUMBER(F8029),C8029*F8029,"")</f>
        <v/>
      </c>
    </row>
    <row r="8030" spans="1:7" ht="12" customHeight="1" outlineLevel="3" x14ac:dyDescent="0.2">
      <c r="A8030" s="14" t="s">
        <v>15797</v>
      </c>
      <c r="B8030" s="15" t="s">
        <v>15798</v>
      </c>
      <c r="C8030" s="16">
        <f>31.24/(1+B2)</f>
        <v>31.24</v>
      </c>
      <c r="D8030" s="17" t="s">
        <v>11</v>
      </c>
      <c r="E8030" s="17"/>
      <c r="F8030" s="18"/>
      <c r="G8030" s="36" t="str">
        <f>IF(ISNUMBER(F8030),C8030*F8030,"")</f>
        <v/>
      </c>
    </row>
    <row r="8031" spans="1:7" ht="12" customHeight="1" outlineLevel="3" x14ac:dyDescent="0.2">
      <c r="A8031" s="14" t="s">
        <v>15799</v>
      </c>
      <c r="B8031" s="15" t="s">
        <v>15800</v>
      </c>
      <c r="C8031" s="16">
        <f>31.24/(1+B2)</f>
        <v>31.24</v>
      </c>
      <c r="D8031" s="17" t="s">
        <v>11</v>
      </c>
      <c r="E8031" s="17"/>
      <c r="F8031" s="18"/>
      <c r="G8031" s="36" t="str">
        <f>IF(ISNUMBER(F8031),C8031*F8031,"")</f>
        <v/>
      </c>
    </row>
    <row r="8032" spans="1:7" ht="12" customHeight="1" outlineLevel="3" x14ac:dyDescent="0.2">
      <c r="A8032" s="14" t="s">
        <v>15801</v>
      </c>
      <c r="B8032" s="15" t="s">
        <v>15802</v>
      </c>
      <c r="C8032" s="16">
        <f>30.36/(1+B2)</f>
        <v>30.36</v>
      </c>
      <c r="D8032" s="17" t="s">
        <v>11</v>
      </c>
      <c r="E8032" s="17"/>
      <c r="F8032" s="18"/>
      <c r="G8032" s="36" t="str">
        <f>IF(ISNUMBER(F8032),C8032*F8032,"")</f>
        <v/>
      </c>
    </row>
    <row r="8033" spans="1:7" ht="12" customHeight="1" outlineLevel="3" x14ac:dyDescent="0.2">
      <c r="A8033" s="14" t="s">
        <v>15803</v>
      </c>
      <c r="B8033" s="15" t="s">
        <v>15804</v>
      </c>
      <c r="C8033" s="16">
        <f>125.82/(1+B2)</f>
        <v>125.82</v>
      </c>
      <c r="D8033" s="17" t="s">
        <v>11</v>
      </c>
      <c r="E8033" s="17" t="s">
        <v>53</v>
      </c>
      <c r="F8033" s="18"/>
      <c r="G8033" s="36" t="str">
        <f>IF(ISNUMBER(F8033),C8033*F8033,"")</f>
        <v/>
      </c>
    </row>
    <row r="8034" spans="1:7" ht="12" customHeight="1" outlineLevel="3" x14ac:dyDescent="0.2">
      <c r="A8034" s="14" t="s">
        <v>15805</v>
      </c>
      <c r="B8034" s="15" t="s">
        <v>15806</v>
      </c>
      <c r="C8034" s="16">
        <f>135.48/(1+B2)</f>
        <v>135.47999999999999</v>
      </c>
      <c r="D8034" s="17" t="s">
        <v>11</v>
      </c>
      <c r="E8034" s="17" t="s">
        <v>14</v>
      </c>
      <c r="F8034" s="18"/>
      <c r="G8034" s="36" t="str">
        <f>IF(ISNUMBER(F8034),C8034*F8034,"")</f>
        <v/>
      </c>
    </row>
    <row r="8035" spans="1:7" ht="12" customHeight="1" outlineLevel="3" x14ac:dyDescent="0.2">
      <c r="A8035" s="14" t="s">
        <v>15807</v>
      </c>
      <c r="B8035" s="15" t="s">
        <v>15808</v>
      </c>
      <c r="C8035" s="16">
        <f>135.48/(1+B2)</f>
        <v>135.47999999999999</v>
      </c>
      <c r="D8035" s="17" t="s">
        <v>11</v>
      </c>
      <c r="E8035" s="17" t="s">
        <v>53</v>
      </c>
      <c r="F8035" s="18"/>
      <c r="G8035" s="36" t="str">
        <f>IF(ISNUMBER(F8035),C8035*F8035,"")</f>
        <v/>
      </c>
    </row>
    <row r="8036" spans="1:7" s="1" customFormat="1" ht="12.95" customHeight="1" outlineLevel="2" x14ac:dyDescent="0.2">
      <c r="A8036" s="20"/>
      <c r="B8036" s="21" t="s">
        <v>15809</v>
      </c>
      <c r="C8036" s="22"/>
      <c r="D8036" s="22"/>
      <c r="E8036" s="22"/>
      <c r="F8036" s="22"/>
      <c r="G8036" s="37"/>
    </row>
    <row r="8037" spans="1:7" ht="12" customHeight="1" outlineLevel="3" x14ac:dyDescent="0.2">
      <c r="A8037" s="14" t="s">
        <v>15810</v>
      </c>
      <c r="B8037" s="15" t="s">
        <v>15811</v>
      </c>
      <c r="C8037" s="16">
        <f>1.33/(1+B2)</f>
        <v>1.33</v>
      </c>
      <c r="D8037" s="17" t="s">
        <v>11</v>
      </c>
      <c r="E8037" s="17"/>
      <c r="F8037" s="18"/>
      <c r="G8037" s="36" t="str">
        <f>IF(ISNUMBER(F8037),C8037*F8037,"")</f>
        <v/>
      </c>
    </row>
    <row r="8038" spans="1:7" ht="12" customHeight="1" outlineLevel="3" x14ac:dyDescent="0.2">
      <c r="A8038" s="14" t="s">
        <v>15812</v>
      </c>
      <c r="B8038" s="15" t="s">
        <v>15813</v>
      </c>
      <c r="C8038" s="16">
        <f>7.49/(1+B2)</f>
        <v>7.49</v>
      </c>
      <c r="D8038" s="17" t="s">
        <v>14</v>
      </c>
      <c r="E8038" s="17"/>
      <c r="F8038" s="18"/>
      <c r="G8038" s="36" t="str">
        <f>IF(ISNUMBER(F8038),C8038*F8038,"")</f>
        <v/>
      </c>
    </row>
    <row r="8039" spans="1:7" ht="12" customHeight="1" outlineLevel="3" x14ac:dyDescent="0.2">
      <c r="A8039" s="14" t="s">
        <v>15814</v>
      </c>
      <c r="B8039" s="15" t="s">
        <v>15815</v>
      </c>
      <c r="C8039" s="16">
        <f>16.45/(1+B2)</f>
        <v>16.45</v>
      </c>
      <c r="D8039" s="17" t="s">
        <v>53</v>
      </c>
      <c r="E8039" s="17" t="s">
        <v>14</v>
      </c>
      <c r="F8039" s="18"/>
      <c r="G8039" s="36" t="str">
        <f>IF(ISNUMBER(F8039),C8039*F8039,"")</f>
        <v/>
      </c>
    </row>
    <row r="8040" spans="1:7" ht="12" customHeight="1" outlineLevel="3" x14ac:dyDescent="0.2">
      <c r="A8040" s="14" t="s">
        <v>15816</v>
      </c>
      <c r="B8040" s="15" t="s">
        <v>15817</v>
      </c>
      <c r="C8040" s="16">
        <f>8.92/(1+B2)</f>
        <v>8.92</v>
      </c>
      <c r="D8040" s="17" t="s">
        <v>11</v>
      </c>
      <c r="E8040" s="17"/>
      <c r="F8040" s="18"/>
      <c r="G8040" s="36" t="str">
        <f>IF(ISNUMBER(F8040),C8040*F8040,"")</f>
        <v/>
      </c>
    </row>
    <row r="8041" spans="1:7" ht="12" customHeight="1" outlineLevel="3" x14ac:dyDescent="0.2">
      <c r="A8041" s="14" t="s">
        <v>15818</v>
      </c>
      <c r="B8041" s="15" t="s">
        <v>15819</v>
      </c>
      <c r="C8041" s="16">
        <f>10.56/(1+B2)</f>
        <v>10.56</v>
      </c>
      <c r="D8041" s="17" t="s">
        <v>14</v>
      </c>
      <c r="E8041" s="17" t="s">
        <v>106</v>
      </c>
      <c r="F8041" s="18"/>
      <c r="G8041" s="36" t="str">
        <f>IF(ISNUMBER(F8041),C8041*F8041,"")</f>
        <v/>
      </c>
    </row>
    <row r="8042" spans="1:7" ht="12" customHeight="1" outlineLevel="3" x14ac:dyDescent="0.2">
      <c r="A8042" s="14" t="s">
        <v>15820</v>
      </c>
      <c r="B8042" s="15" t="s">
        <v>15821</v>
      </c>
      <c r="C8042" s="16">
        <f>12.69/(1+B2)</f>
        <v>12.69</v>
      </c>
      <c r="D8042" s="17" t="s">
        <v>11</v>
      </c>
      <c r="E8042" s="17"/>
      <c r="F8042" s="18"/>
      <c r="G8042" s="36" t="str">
        <f>IF(ISNUMBER(F8042),C8042*F8042,"")</f>
        <v/>
      </c>
    </row>
    <row r="8043" spans="1:7" ht="12" customHeight="1" outlineLevel="3" x14ac:dyDescent="0.2">
      <c r="A8043" s="14" t="s">
        <v>15822</v>
      </c>
      <c r="B8043" s="15" t="s">
        <v>15823</v>
      </c>
      <c r="C8043" s="16">
        <f>17.37/(1+B2)</f>
        <v>17.37</v>
      </c>
      <c r="D8043" s="17" t="s">
        <v>11</v>
      </c>
      <c r="E8043" s="17"/>
      <c r="F8043" s="18"/>
      <c r="G8043" s="36" t="str">
        <f>IF(ISNUMBER(F8043),C8043*F8043,"")</f>
        <v/>
      </c>
    </row>
    <row r="8044" spans="1:7" ht="12" customHeight="1" outlineLevel="3" x14ac:dyDescent="0.2">
      <c r="A8044" s="14" t="s">
        <v>15824</v>
      </c>
      <c r="B8044" s="15" t="s">
        <v>15825</v>
      </c>
      <c r="C8044" s="16">
        <f>17.8/(1+B2)</f>
        <v>17.8</v>
      </c>
      <c r="D8044" s="17" t="s">
        <v>11</v>
      </c>
      <c r="E8044" s="17"/>
      <c r="F8044" s="18"/>
      <c r="G8044" s="36" t="str">
        <f>IF(ISNUMBER(F8044),C8044*F8044,"")</f>
        <v/>
      </c>
    </row>
    <row r="8045" spans="1:7" ht="12" customHeight="1" outlineLevel="3" x14ac:dyDescent="0.2">
      <c r="A8045" s="14" t="s">
        <v>15826</v>
      </c>
      <c r="B8045" s="15" t="s">
        <v>15827</v>
      </c>
      <c r="C8045" s="16">
        <f>7.9/(1+B2)</f>
        <v>7.9</v>
      </c>
      <c r="D8045" s="17" t="s">
        <v>14</v>
      </c>
      <c r="E8045" s="17" t="s">
        <v>14</v>
      </c>
      <c r="F8045" s="18"/>
      <c r="G8045" s="36" t="str">
        <f>IF(ISNUMBER(F8045),C8045*F8045,"")</f>
        <v/>
      </c>
    </row>
    <row r="8046" spans="1:7" ht="12" customHeight="1" outlineLevel="3" x14ac:dyDescent="0.2">
      <c r="A8046" s="14" t="s">
        <v>15828</v>
      </c>
      <c r="B8046" s="15" t="s">
        <v>15829</v>
      </c>
      <c r="C8046" s="16">
        <f>75.24/(1+B2)</f>
        <v>75.239999999999995</v>
      </c>
      <c r="D8046" s="17" t="s">
        <v>11</v>
      </c>
      <c r="E8046" s="17"/>
      <c r="F8046" s="18"/>
      <c r="G8046" s="36" t="str">
        <f>IF(ISNUMBER(F8046),C8046*F8046,"")</f>
        <v/>
      </c>
    </row>
    <row r="8047" spans="1:7" ht="12" customHeight="1" outlineLevel="3" x14ac:dyDescent="0.2">
      <c r="A8047" s="14" t="s">
        <v>15830</v>
      </c>
      <c r="B8047" s="15" t="s">
        <v>15831</v>
      </c>
      <c r="C8047" s="16">
        <f>44.39/(1+B2)</f>
        <v>44.39</v>
      </c>
      <c r="D8047" s="17" t="s">
        <v>11</v>
      </c>
      <c r="E8047" s="17" t="s">
        <v>106</v>
      </c>
      <c r="F8047" s="18"/>
      <c r="G8047" s="36" t="str">
        <f>IF(ISNUMBER(F8047),C8047*F8047,"")</f>
        <v/>
      </c>
    </row>
    <row r="8048" spans="1:7" ht="12" customHeight="1" outlineLevel="3" x14ac:dyDescent="0.2">
      <c r="A8048" s="14" t="s">
        <v>15832</v>
      </c>
      <c r="B8048" s="15" t="s">
        <v>15833</v>
      </c>
      <c r="C8048" s="16">
        <f>10.99/(1+B2)</f>
        <v>10.99</v>
      </c>
      <c r="D8048" s="17" t="s">
        <v>14</v>
      </c>
      <c r="E8048" s="17" t="s">
        <v>53</v>
      </c>
      <c r="F8048" s="18"/>
      <c r="G8048" s="36" t="str">
        <f>IF(ISNUMBER(F8048),C8048*F8048,"")</f>
        <v/>
      </c>
    </row>
    <row r="8049" spans="1:7" ht="12" customHeight="1" outlineLevel="3" x14ac:dyDescent="0.2">
      <c r="A8049" s="14" t="s">
        <v>15834</v>
      </c>
      <c r="B8049" s="15" t="s">
        <v>15835</v>
      </c>
      <c r="C8049" s="16">
        <f>3.99/(1+B2)</f>
        <v>3.99</v>
      </c>
      <c r="D8049" s="17" t="s">
        <v>11</v>
      </c>
      <c r="E8049" s="17"/>
      <c r="F8049" s="18"/>
      <c r="G8049" s="36" t="str">
        <f>IF(ISNUMBER(F8049),C8049*F8049,"")</f>
        <v/>
      </c>
    </row>
    <row r="8050" spans="1:7" ht="12" customHeight="1" outlineLevel="3" x14ac:dyDescent="0.2">
      <c r="A8050" s="14" t="s">
        <v>15836</v>
      </c>
      <c r="B8050" s="15" t="s">
        <v>15837</v>
      </c>
      <c r="C8050" s="16">
        <f>23.36/(1+B2)</f>
        <v>23.36</v>
      </c>
      <c r="D8050" s="17" t="s">
        <v>14</v>
      </c>
      <c r="E8050" s="17" t="s">
        <v>53</v>
      </c>
      <c r="F8050" s="18"/>
      <c r="G8050" s="36" t="str">
        <f>IF(ISNUMBER(F8050),C8050*F8050,"")</f>
        <v/>
      </c>
    </row>
    <row r="8051" spans="1:7" ht="12" customHeight="1" outlineLevel="3" x14ac:dyDescent="0.2">
      <c r="A8051" s="14" t="s">
        <v>15838</v>
      </c>
      <c r="B8051" s="15" t="s">
        <v>15839</v>
      </c>
      <c r="C8051" s="16">
        <f>15.9/(1+B2)</f>
        <v>15.9</v>
      </c>
      <c r="D8051" s="17" t="s">
        <v>11</v>
      </c>
      <c r="E8051" s="17"/>
      <c r="F8051" s="18"/>
      <c r="G8051" s="36" t="str">
        <f>IF(ISNUMBER(F8051),C8051*F8051,"")</f>
        <v/>
      </c>
    </row>
    <row r="8052" spans="1:7" ht="12" customHeight="1" outlineLevel="3" x14ac:dyDescent="0.2">
      <c r="A8052" s="14" t="s">
        <v>15840</v>
      </c>
      <c r="B8052" s="15" t="s">
        <v>15841</v>
      </c>
      <c r="C8052" s="16">
        <f>23.98/(1+B2)</f>
        <v>23.98</v>
      </c>
      <c r="D8052" s="17" t="s">
        <v>11</v>
      </c>
      <c r="E8052" s="17"/>
      <c r="F8052" s="18"/>
      <c r="G8052" s="36" t="str">
        <f>IF(ISNUMBER(F8052),C8052*F8052,"")</f>
        <v/>
      </c>
    </row>
    <row r="8053" spans="1:7" ht="12" customHeight="1" outlineLevel="3" x14ac:dyDescent="0.2">
      <c r="A8053" s="14" t="s">
        <v>15842</v>
      </c>
      <c r="B8053" s="15" t="s">
        <v>15843</v>
      </c>
      <c r="C8053" s="16">
        <f>36.03/(1+B2)</f>
        <v>36.03</v>
      </c>
      <c r="D8053" s="17" t="s">
        <v>11</v>
      </c>
      <c r="E8053" s="17" t="s">
        <v>11</v>
      </c>
      <c r="F8053" s="18"/>
      <c r="G8053" s="36" t="str">
        <f>IF(ISNUMBER(F8053),C8053*F8053,"")</f>
        <v/>
      </c>
    </row>
    <row r="8054" spans="1:7" ht="12" customHeight="1" outlineLevel="3" x14ac:dyDescent="0.2">
      <c r="A8054" s="14" t="s">
        <v>15844</v>
      </c>
      <c r="B8054" s="15" t="s">
        <v>15845</v>
      </c>
      <c r="C8054" s="16">
        <f>41.82/(1+B2)</f>
        <v>41.82</v>
      </c>
      <c r="D8054" s="17" t="s">
        <v>11</v>
      </c>
      <c r="E8054" s="17"/>
      <c r="F8054" s="18"/>
      <c r="G8054" s="36" t="str">
        <f>IF(ISNUMBER(F8054),C8054*F8054,"")</f>
        <v/>
      </c>
    </row>
    <row r="8055" spans="1:7" ht="12" customHeight="1" outlineLevel="3" x14ac:dyDescent="0.2">
      <c r="A8055" s="14" t="s">
        <v>15846</v>
      </c>
      <c r="B8055" s="15" t="s">
        <v>15847</v>
      </c>
      <c r="C8055" s="16">
        <f>79.16/(1+B2)</f>
        <v>79.16</v>
      </c>
      <c r="D8055" s="17" t="s">
        <v>11</v>
      </c>
      <c r="E8055" s="17"/>
      <c r="F8055" s="18"/>
      <c r="G8055" s="36" t="str">
        <f>IF(ISNUMBER(F8055),C8055*F8055,"")</f>
        <v/>
      </c>
    </row>
    <row r="8056" spans="1:7" ht="12" customHeight="1" outlineLevel="3" x14ac:dyDescent="0.2">
      <c r="A8056" s="14" t="s">
        <v>15848</v>
      </c>
      <c r="B8056" s="15" t="s">
        <v>15849</v>
      </c>
      <c r="C8056" s="16">
        <f>110.58/(1+B2)</f>
        <v>110.58</v>
      </c>
      <c r="D8056" s="17" t="s">
        <v>11</v>
      </c>
      <c r="E8056" s="17" t="s">
        <v>11</v>
      </c>
      <c r="F8056" s="18"/>
      <c r="G8056" s="36" t="str">
        <f>IF(ISNUMBER(F8056),C8056*F8056,"")</f>
        <v/>
      </c>
    </row>
    <row r="8057" spans="1:7" ht="12" customHeight="1" outlineLevel="3" x14ac:dyDescent="0.2">
      <c r="A8057" s="14" t="s">
        <v>15850</v>
      </c>
      <c r="B8057" s="15" t="s">
        <v>15851</v>
      </c>
      <c r="C8057" s="16">
        <f>39.29/(1+B2)</f>
        <v>39.29</v>
      </c>
      <c r="D8057" s="17" t="s">
        <v>11</v>
      </c>
      <c r="E8057" s="17"/>
      <c r="F8057" s="18"/>
      <c r="G8057" s="36" t="str">
        <f>IF(ISNUMBER(F8057),C8057*F8057,"")</f>
        <v/>
      </c>
    </row>
    <row r="8058" spans="1:7" ht="12" customHeight="1" outlineLevel="3" x14ac:dyDescent="0.2">
      <c r="A8058" s="14" t="s">
        <v>15852</v>
      </c>
      <c r="B8058" s="15" t="s">
        <v>15853</v>
      </c>
      <c r="C8058" s="16">
        <f>82.35/(1+B2)</f>
        <v>82.35</v>
      </c>
      <c r="D8058" s="17" t="s">
        <v>11</v>
      </c>
      <c r="E8058" s="17"/>
      <c r="F8058" s="18"/>
      <c r="G8058" s="36" t="str">
        <f>IF(ISNUMBER(F8058),C8058*F8058,"")</f>
        <v/>
      </c>
    </row>
    <row r="8059" spans="1:7" ht="12" customHeight="1" outlineLevel="3" x14ac:dyDescent="0.2">
      <c r="A8059" s="14" t="s">
        <v>15854</v>
      </c>
      <c r="B8059" s="15" t="s">
        <v>15855</v>
      </c>
      <c r="C8059" s="16">
        <f>64.87/(1+B2)</f>
        <v>64.87</v>
      </c>
      <c r="D8059" s="17" t="s">
        <v>11</v>
      </c>
      <c r="E8059" s="17"/>
      <c r="F8059" s="18"/>
      <c r="G8059" s="36" t="str">
        <f>IF(ISNUMBER(F8059),C8059*F8059,"")</f>
        <v/>
      </c>
    </row>
    <row r="8060" spans="1:7" ht="12" customHeight="1" outlineLevel="3" x14ac:dyDescent="0.2">
      <c r="A8060" s="14" t="s">
        <v>15856</v>
      </c>
      <c r="B8060" s="15" t="s">
        <v>15857</v>
      </c>
      <c r="C8060" s="16">
        <f>14.1/(1+B2)</f>
        <v>14.1</v>
      </c>
      <c r="D8060" s="17" t="s">
        <v>53</v>
      </c>
      <c r="E8060" s="17"/>
      <c r="F8060" s="18"/>
      <c r="G8060" s="36" t="str">
        <f>IF(ISNUMBER(F8060),C8060*F8060,"")</f>
        <v/>
      </c>
    </row>
    <row r="8061" spans="1:7" ht="12" customHeight="1" outlineLevel="3" x14ac:dyDescent="0.2">
      <c r="A8061" s="14" t="s">
        <v>15858</v>
      </c>
      <c r="B8061" s="15" t="s">
        <v>15859</v>
      </c>
      <c r="C8061" s="16">
        <f>22.26/(1+B2)</f>
        <v>22.26</v>
      </c>
      <c r="D8061" s="17" t="s">
        <v>53</v>
      </c>
      <c r="E8061" s="17" t="s">
        <v>106</v>
      </c>
      <c r="F8061" s="18"/>
      <c r="G8061" s="36" t="str">
        <f>IF(ISNUMBER(F8061),C8061*F8061,"")</f>
        <v/>
      </c>
    </row>
    <row r="8062" spans="1:7" ht="12" customHeight="1" outlineLevel="3" x14ac:dyDescent="0.2">
      <c r="A8062" s="14" t="s">
        <v>15860</v>
      </c>
      <c r="B8062" s="15" t="s">
        <v>15861</v>
      </c>
      <c r="C8062" s="16">
        <f>27.53/(1+B2)</f>
        <v>27.53</v>
      </c>
      <c r="D8062" s="17" t="s">
        <v>11</v>
      </c>
      <c r="E8062" s="17" t="s">
        <v>53</v>
      </c>
      <c r="F8062" s="18"/>
      <c r="G8062" s="36" t="str">
        <f>IF(ISNUMBER(F8062),C8062*F8062,"")</f>
        <v/>
      </c>
    </row>
    <row r="8063" spans="1:7" ht="12" customHeight="1" outlineLevel="3" x14ac:dyDescent="0.2">
      <c r="A8063" s="14" t="s">
        <v>15862</v>
      </c>
      <c r="B8063" s="15" t="s">
        <v>15863</v>
      </c>
      <c r="C8063" s="16">
        <f>37.68/(1+B2)</f>
        <v>37.68</v>
      </c>
      <c r="D8063" s="17" t="s">
        <v>14</v>
      </c>
      <c r="E8063" s="17" t="s">
        <v>11</v>
      </c>
      <c r="F8063" s="18"/>
      <c r="G8063" s="36" t="str">
        <f>IF(ISNUMBER(F8063),C8063*F8063,"")</f>
        <v/>
      </c>
    </row>
    <row r="8064" spans="1:7" ht="12" customHeight="1" outlineLevel="3" x14ac:dyDescent="0.2">
      <c r="A8064" s="14" t="s">
        <v>15864</v>
      </c>
      <c r="B8064" s="15" t="s">
        <v>15865</v>
      </c>
      <c r="C8064" s="16">
        <f>33.83/(1+B2)</f>
        <v>33.83</v>
      </c>
      <c r="D8064" s="17" t="s">
        <v>14</v>
      </c>
      <c r="E8064" s="17"/>
      <c r="F8064" s="18"/>
      <c r="G8064" s="36" t="str">
        <f>IF(ISNUMBER(F8064),C8064*F8064,"")</f>
        <v/>
      </c>
    </row>
    <row r="8065" spans="1:7" ht="12" customHeight="1" outlineLevel="3" x14ac:dyDescent="0.2">
      <c r="A8065" s="14" t="s">
        <v>15866</v>
      </c>
      <c r="B8065" s="15" t="s">
        <v>15867</v>
      </c>
      <c r="C8065" s="16">
        <f>9.21/(1+B2)</f>
        <v>9.2100000000000009</v>
      </c>
      <c r="D8065" s="17" t="s">
        <v>53</v>
      </c>
      <c r="E8065" s="17" t="s">
        <v>106</v>
      </c>
      <c r="F8065" s="18"/>
      <c r="G8065" s="36" t="str">
        <f>IF(ISNUMBER(F8065),C8065*F8065,"")</f>
        <v/>
      </c>
    </row>
    <row r="8066" spans="1:7" ht="12" customHeight="1" outlineLevel="3" x14ac:dyDescent="0.2">
      <c r="A8066" s="14" t="s">
        <v>15868</v>
      </c>
      <c r="B8066" s="15" t="s">
        <v>15869</v>
      </c>
      <c r="C8066" s="16">
        <f>26.43/(1+B2)</f>
        <v>26.43</v>
      </c>
      <c r="D8066" s="17" t="s">
        <v>106</v>
      </c>
      <c r="E8066" s="17" t="s">
        <v>106</v>
      </c>
      <c r="F8066" s="18"/>
      <c r="G8066" s="36" t="str">
        <f>IF(ISNUMBER(F8066),C8066*F8066,"")</f>
        <v/>
      </c>
    </row>
    <row r="8067" spans="1:7" ht="12" customHeight="1" outlineLevel="3" x14ac:dyDescent="0.2">
      <c r="A8067" s="14" t="s">
        <v>15870</v>
      </c>
      <c r="B8067" s="15" t="s">
        <v>15871</v>
      </c>
      <c r="C8067" s="16">
        <f>29.48/(1+B2)</f>
        <v>29.48</v>
      </c>
      <c r="D8067" s="17" t="s">
        <v>53</v>
      </c>
      <c r="E8067" s="17" t="s">
        <v>53</v>
      </c>
      <c r="F8067" s="18"/>
      <c r="G8067" s="36" t="str">
        <f>IF(ISNUMBER(F8067),C8067*F8067,"")</f>
        <v/>
      </c>
    </row>
    <row r="8068" spans="1:7" ht="12" customHeight="1" outlineLevel="3" x14ac:dyDescent="0.2">
      <c r="A8068" s="14" t="s">
        <v>15872</v>
      </c>
      <c r="B8068" s="15" t="s">
        <v>15873</v>
      </c>
      <c r="C8068" s="16">
        <f>18.09/(1+B2)</f>
        <v>18.09</v>
      </c>
      <c r="D8068" s="17" t="s">
        <v>53</v>
      </c>
      <c r="E8068" s="17" t="s">
        <v>53</v>
      </c>
      <c r="F8068" s="18"/>
      <c r="G8068" s="36" t="str">
        <f>IF(ISNUMBER(F8068),C8068*F8068,"")</f>
        <v/>
      </c>
    </row>
    <row r="8069" spans="1:7" ht="12" customHeight="1" outlineLevel="3" x14ac:dyDescent="0.2">
      <c r="A8069" s="14" t="s">
        <v>15874</v>
      </c>
      <c r="B8069" s="15" t="s">
        <v>15875</v>
      </c>
      <c r="C8069" s="16">
        <f>29.8/(1+B2)</f>
        <v>29.8</v>
      </c>
      <c r="D8069" s="17" t="s">
        <v>11</v>
      </c>
      <c r="E8069" s="17"/>
      <c r="F8069" s="18"/>
      <c r="G8069" s="36" t="str">
        <f>IF(ISNUMBER(F8069),C8069*F8069,"")</f>
        <v/>
      </c>
    </row>
    <row r="8070" spans="1:7" ht="12" customHeight="1" outlineLevel="3" x14ac:dyDescent="0.2">
      <c r="A8070" s="14" t="s">
        <v>15876</v>
      </c>
      <c r="B8070" s="15" t="s">
        <v>15877</v>
      </c>
      <c r="C8070" s="16">
        <f>9.14/(1+B2)</f>
        <v>9.14</v>
      </c>
      <c r="D8070" s="17" t="s">
        <v>11</v>
      </c>
      <c r="E8070" s="17"/>
      <c r="F8070" s="18"/>
      <c r="G8070" s="36" t="str">
        <f>IF(ISNUMBER(F8070),C8070*F8070,"")</f>
        <v/>
      </c>
    </row>
    <row r="8071" spans="1:7" ht="12" customHeight="1" outlineLevel="3" x14ac:dyDescent="0.2">
      <c r="A8071" s="14" t="s">
        <v>15878</v>
      </c>
      <c r="B8071" s="15" t="s">
        <v>15879</v>
      </c>
      <c r="C8071" s="16">
        <f>7.79/(1+B2)</f>
        <v>7.79</v>
      </c>
      <c r="D8071" s="17" t="s">
        <v>11</v>
      </c>
      <c r="E8071" s="17"/>
      <c r="F8071" s="18"/>
      <c r="G8071" s="36" t="str">
        <f>IF(ISNUMBER(F8071),C8071*F8071,"")</f>
        <v/>
      </c>
    </row>
    <row r="8072" spans="1:7" ht="12" customHeight="1" outlineLevel="3" x14ac:dyDescent="0.2">
      <c r="A8072" s="14" t="s">
        <v>15880</v>
      </c>
      <c r="B8072" s="15" t="s">
        <v>15881</v>
      </c>
      <c r="C8072" s="16">
        <f>2.7/(1+B2)</f>
        <v>2.7</v>
      </c>
      <c r="D8072" s="17" t="s">
        <v>11</v>
      </c>
      <c r="E8072" s="17" t="s">
        <v>106</v>
      </c>
      <c r="F8072" s="18"/>
      <c r="G8072" s="36" t="str">
        <f>IF(ISNUMBER(F8072),C8072*F8072,"")</f>
        <v/>
      </c>
    </row>
    <row r="8073" spans="1:7" ht="12" customHeight="1" outlineLevel="3" x14ac:dyDescent="0.2">
      <c r="A8073" s="14" t="s">
        <v>15882</v>
      </c>
      <c r="B8073" s="15" t="s">
        <v>15883</v>
      </c>
      <c r="C8073" s="16">
        <f>21.54/(1+B2)</f>
        <v>21.54</v>
      </c>
      <c r="D8073" s="17" t="s">
        <v>14</v>
      </c>
      <c r="E8073" s="17"/>
      <c r="F8073" s="18"/>
      <c r="G8073" s="36" t="str">
        <f>IF(ISNUMBER(F8073),C8073*F8073,"")</f>
        <v/>
      </c>
    </row>
    <row r="8074" spans="1:7" s="1" customFormat="1" ht="12.95" customHeight="1" outlineLevel="2" x14ac:dyDescent="0.2">
      <c r="A8074" s="20"/>
      <c r="B8074" s="21" t="s">
        <v>15884</v>
      </c>
      <c r="C8074" s="22"/>
      <c r="D8074" s="22"/>
      <c r="E8074" s="22"/>
      <c r="F8074" s="22"/>
      <c r="G8074" s="37"/>
    </row>
    <row r="8075" spans="1:7" ht="12" customHeight="1" outlineLevel="3" x14ac:dyDescent="0.2">
      <c r="A8075" s="14" t="s">
        <v>15885</v>
      </c>
      <c r="B8075" s="15" t="s">
        <v>15886</v>
      </c>
      <c r="C8075" s="19">
        <f>1116.25/(1+B2)</f>
        <v>1116.25</v>
      </c>
      <c r="D8075" s="17" t="s">
        <v>11</v>
      </c>
      <c r="E8075" s="17" t="s">
        <v>11</v>
      </c>
      <c r="F8075" s="18"/>
      <c r="G8075" s="36" t="str">
        <f>IF(ISNUMBER(F8075),C8075*F8075,"")</f>
        <v/>
      </c>
    </row>
    <row r="8076" spans="1:7" s="1" customFormat="1" ht="12.95" customHeight="1" outlineLevel="2" x14ac:dyDescent="0.2">
      <c r="A8076" s="20"/>
      <c r="B8076" s="21" t="s">
        <v>15887</v>
      </c>
      <c r="C8076" s="22"/>
      <c r="D8076" s="22"/>
      <c r="E8076" s="22"/>
      <c r="F8076" s="22"/>
      <c r="G8076" s="37"/>
    </row>
    <row r="8077" spans="1:7" ht="12" customHeight="1" outlineLevel="3" x14ac:dyDescent="0.2">
      <c r="A8077" s="14" t="s">
        <v>15888</v>
      </c>
      <c r="B8077" s="15" t="s">
        <v>15889</v>
      </c>
      <c r="C8077" s="16">
        <f>45.79/(1+B2)</f>
        <v>45.79</v>
      </c>
      <c r="D8077" s="17" t="s">
        <v>14</v>
      </c>
      <c r="E8077" s="17" t="s">
        <v>11</v>
      </c>
      <c r="F8077" s="18"/>
      <c r="G8077" s="36" t="str">
        <f>IF(ISNUMBER(F8077),C8077*F8077,"")</f>
        <v/>
      </c>
    </row>
    <row r="8078" spans="1:7" ht="12" customHeight="1" outlineLevel="3" x14ac:dyDescent="0.2">
      <c r="A8078" s="14" t="s">
        <v>15890</v>
      </c>
      <c r="B8078" s="15" t="s">
        <v>15891</v>
      </c>
      <c r="C8078" s="16">
        <f>14.83/(1+B2)</f>
        <v>14.83</v>
      </c>
      <c r="D8078" s="17" t="s">
        <v>14</v>
      </c>
      <c r="E8078" s="17" t="s">
        <v>53</v>
      </c>
      <c r="F8078" s="18"/>
      <c r="G8078" s="36" t="str">
        <f>IF(ISNUMBER(F8078),C8078*F8078,"")</f>
        <v/>
      </c>
    </row>
    <row r="8079" spans="1:7" ht="12" customHeight="1" outlineLevel="3" x14ac:dyDescent="0.2">
      <c r="A8079" s="14" t="s">
        <v>15892</v>
      </c>
      <c r="B8079" s="15" t="s">
        <v>15893</v>
      </c>
      <c r="C8079" s="16">
        <f>17.7/(1+B2)</f>
        <v>17.7</v>
      </c>
      <c r="D8079" s="17" t="s">
        <v>53</v>
      </c>
      <c r="E8079" s="17" t="s">
        <v>106</v>
      </c>
      <c r="F8079" s="18"/>
      <c r="G8079" s="36" t="str">
        <f>IF(ISNUMBER(F8079),C8079*F8079,"")</f>
        <v/>
      </c>
    </row>
    <row r="8080" spans="1:7" ht="12" customHeight="1" outlineLevel="3" x14ac:dyDescent="0.2">
      <c r="A8080" s="14" t="s">
        <v>15894</v>
      </c>
      <c r="B8080" s="15" t="s">
        <v>15895</v>
      </c>
      <c r="C8080" s="16">
        <f>16.69/(1+B2)</f>
        <v>16.690000000000001</v>
      </c>
      <c r="D8080" s="17" t="s">
        <v>14</v>
      </c>
      <c r="E8080" s="17" t="s">
        <v>106</v>
      </c>
      <c r="F8080" s="18"/>
      <c r="G8080" s="36" t="str">
        <f>IF(ISNUMBER(F8080),C8080*F8080,"")</f>
        <v/>
      </c>
    </row>
    <row r="8081" spans="1:7" ht="12" customHeight="1" outlineLevel="3" x14ac:dyDescent="0.2">
      <c r="A8081" s="14" t="s">
        <v>15896</v>
      </c>
      <c r="B8081" s="15" t="s">
        <v>15897</v>
      </c>
      <c r="C8081" s="16">
        <f>32.4/(1+B2)</f>
        <v>32.4</v>
      </c>
      <c r="D8081" s="17" t="s">
        <v>14</v>
      </c>
      <c r="E8081" s="17" t="s">
        <v>14</v>
      </c>
      <c r="F8081" s="18"/>
      <c r="G8081" s="36" t="str">
        <f>IF(ISNUMBER(F8081),C8081*F8081,"")</f>
        <v/>
      </c>
    </row>
    <row r="8082" spans="1:7" ht="24" customHeight="1" outlineLevel="3" x14ac:dyDescent="0.2">
      <c r="A8082" s="14" t="s">
        <v>15898</v>
      </c>
      <c r="B8082" s="15" t="s">
        <v>15899</v>
      </c>
      <c r="C8082" s="16">
        <f>38.81/(1+B2)</f>
        <v>38.81</v>
      </c>
      <c r="D8082" s="17" t="s">
        <v>14</v>
      </c>
      <c r="E8082" s="17" t="s">
        <v>14</v>
      </c>
      <c r="F8082" s="18"/>
      <c r="G8082" s="36" t="str">
        <f>IF(ISNUMBER(F8082),C8082*F8082,"")</f>
        <v/>
      </c>
    </row>
    <row r="8083" spans="1:7" ht="12" customHeight="1" outlineLevel="3" x14ac:dyDescent="0.2">
      <c r="A8083" s="14" t="s">
        <v>15900</v>
      </c>
      <c r="B8083" s="15" t="s">
        <v>15901</v>
      </c>
      <c r="C8083" s="16">
        <f>28.26/(1+B2)</f>
        <v>28.26</v>
      </c>
      <c r="D8083" s="17" t="s">
        <v>53</v>
      </c>
      <c r="E8083" s="17" t="s">
        <v>106</v>
      </c>
      <c r="F8083" s="18"/>
      <c r="G8083" s="36" t="str">
        <f>IF(ISNUMBER(F8083),C8083*F8083,"")</f>
        <v/>
      </c>
    </row>
    <row r="8084" spans="1:7" ht="12" customHeight="1" outlineLevel="3" x14ac:dyDescent="0.2">
      <c r="A8084" s="14" t="s">
        <v>15902</v>
      </c>
      <c r="B8084" s="15" t="s">
        <v>15903</v>
      </c>
      <c r="C8084" s="16">
        <f>33.08/(1+B2)</f>
        <v>33.08</v>
      </c>
      <c r="D8084" s="17" t="s">
        <v>14</v>
      </c>
      <c r="E8084" s="17" t="s">
        <v>53</v>
      </c>
      <c r="F8084" s="18"/>
      <c r="G8084" s="36" t="str">
        <f>IF(ISNUMBER(F8084),C8084*F8084,"")</f>
        <v/>
      </c>
    </row>
    <row r="8085" spans="1:7" ht="12" customHeight="1" outlineLevel="3" x14ac:dyDescent="0.2">
      <c r="A8085" s="14" t="s">
        <v>15904</v>
      </c>
      <c r="B8085" s="15" t="s">
        <v>15905</v>
      </c>
      <c r="C8085" s="16">
        <f>33.64/(1+B2)</f>
        <v>33.64</v>
      </c>
      <c r="D8085" s="17" t="s">
        <v>14</v>
      </c>
      <c r="E8085" s="17" t="s">
        <v>53</v>
      </c>
      <c r="F8085" s="18"/>
      <c r="G8085" s="36" t="str">
        <f>IF(ISNUMBER(F8085),C8085*F8085,"")</f>
        <v/>
      </c>
    </row>
    <row r="8086" spans="1:7" ht="24" customHeight="1" outlineLevel="3" x14ac:dyDescent="0.2">
      <c r="A8086" s="14" t="s">
        <v>15906</v>
      </c>
      <c r="B8086" s="15" t="s">
        <v>15907</v>
      </c>
      <c r="C8086" s="16">
        <f>57.83/(1+B2)</f>
        <v>57.83</v>
      </c>
      <c r="D8086" s="17" t="s">
        <v>14</v>
      </c>
      <c r="E8086" s="17" t="s">
        <v>14</v>
      </c>
      <c r="F8086" s="18"/>
      <c r="G8086" s="36" t="str">
        <f>IF(ISNUMBER(F8086),C8086*F8086,"")</f>
        <v/>
      </c>
    </row>
    <row r="8087" spans="1:7" ht="24" customHeight="1" outlineLevel="3" x14ac:dyDescent="0.2">
      <c r="A8087" s="14" t="s">
        <v>15908</v>
      </c>
      <c r="B8087" s="15" t="s">
        <v>15909</v>
      </c>
      <c r="C8087" s="16">
        <f>59.14/(1+B2)</f>
        <v>59.14</v>
      </c>
      <c r="D8087" s="17" t="s">
        <v>11</v>
      </c>
      <c r="E8087" s="17"/>
      <c r="F8087" s="18"/>
      <c r="G8087" s="36" t="str">
        <f>IF(ISNUMBER(F8087),C8087*F8087,"")</f>
        <v/>
      </c>
    </row>
    <row r="8088" spans="1:7" ht="12" customHeight="1" outlineLevel="3" x14ac:dyDescent="0.2">
      <c r="A8088" s="14" t="s">
        <v>15910</v>
      </c>
      <c r="B8088" s="15" t="s">
        <v>15911</v>
      </c>
      <c r="C8088" s="16">
        <f>45.79/(1+B2)</f>
        <v>45.79</v>
      </c>
      <c r="D8088" s="17" t="s">
        <v>14</v>
      </c>
      <c r="E8088" s="17"/>
      <c r="F8088" s="18"/>
      <c r="G8088" s="36" t="str">
        <f>IF(ISNUMBER(F8088),C8088*F8088,"")</f>
        <v/>
      </c>
    </row>
    <row r="8089" spans="1:7" ht="12" customHeight="1" outlineLevel="3" x14ac:dyDescent="0.2">
      <c r="A8089" s="14" t="s">
        <v>15912</v>
      </c>
      <c r="B8089" s="15" t="s">
        <v>15913</v>
      </c>
      <c r="C8089" s="16">
        <f>7/(1+B2)</f>
        <v>7</v>
      </c>
      <c r="D8089" s="17" t="s">
        <v>11</v>
      </c>
      <c r="E8089" s="17" t="s">
        <v>106</v>
      </c>
      <c r="F8089" s="18"/>
      <c r="G8089" s="36" t="str">
        <f>IF(ISNUMBER(F8089),C8089*F8089,"")</f>
        <v/>
      </c>
    </row>
    <row r="8090" spans="1:7" ht="12" customHeight="1" outlineLevel="3" x14ac:dyDescent="0.2">
      <c r="A8090" s="14" t="s">
        <v>15914</v>
      </c>
      <c r="B8090" s="15" t="s">
        <v>15915</v>
      </c>
      <c r="C8090" s="16">
        <f>27.55/(1+B2)</f>
        <v>27.55</v>
      </c>
      <c r="D8090" s="17" t="s">
        <v>14</v>
      </c>
      <c r="E8090" s="17" t="s">
        <v>53</v>
      </c>
      <c r="F8090" s="18"/>
      <c r="G8090" s="36" t="str">
        <f>IF(ISNUMBER(F8090),C8090*F8090,"")</f>
        <v/>
      </c>
    </row>
    <row r="8091" spans="1:7" ht="12" customHeight="1" outlineLevel="3" x14ac:dyDescent="0.2">
      <c r="A8091" s="14" t="s">
        <v>15916</v>
      </c>
      <c r="B8091" s="15" t="s">
        <v>15917</v>
      </c>
      <c r="C8091" s="16">
        <f>13.23/(1+B2)</f>
        <v>13.23</v>
      </c>
      <c r="D8091" s="17" t="s">
        <v>11</v>
      </c>
      <c r="E8091" s="17"/>
      <c r="F8091" s="18"/>
      <c r="G8091" s="36" t="str">
        <f>IF(ISNUMBER(F8091),C8091*F8091,"")</f>
        <v/>
      </c>
    </row>
    <row r="8092" spans="1:7" ht="12" customHeight="1" outlineLevel="3" x14ac:dyDescent="0.2">
      <c r="A8092" s="14" t="s">
        <v>15918</v>
      </c>
      <c r="B8092" s="15" t="s">
        <v>15919</v>
      </c>
      <c r="C8092" s="16">
        <f>22.31/(1+B2)</f>
        <v>22.31</v>
      </c>
      <c r="D8092" s="17" t="s">
        <v>14</v>
      </c>
      <c r="E8092" s="17" t="s">
        <v>14</v>
      </c>
      <c r="F8092" s="18"/>
      <c r="G8092" s="36" t="str">
        <f>IF(ISNUMBER(F8092),C8092*F8092,"")</f>
        <v/>
      </c>
    </row>
    <row r="8093" spans="1:7" ht="12" customHeight="1" outlineLevel="3" x14ac:dyDescent="0.2">
      <c r="A8093" s="14" t="s">
        <v>15920</v>
      </c>
      <c r="B8093" s="15" t="s">
        <v>15921</v>
      </c>
      <c r="C8093" s="16">
        <f>17.44/(1+B2)</f>
        <v>17.440000000000001</v>
      </c>
      <c r="D8093" s="17" t="s">
        <v>11</v>
      </c>
      <c r="E8093" s="17"/>
      <c r="F8093" s="18"/>
      <c r="G8093" s="36" t="str">
        <f>IF(ISNUMBER(F8093),C8093*F8093,"")</f>
        <v/>
      </c>
    </row>
    <row r="8094" spans="1:7" ht="24" customHeight="1" outlineLevel="3" x14ac:dyDescent="0.2">
      <c r="A8094" s="14" t="s">
        <v>15922</v>
      </c>
      <c r="B8094" s="15" t="s">
        <v>15923</v>
      </c>
      <c r="C8094" s="16">
        <f>18.8/(1+B2)</f>
        <v>18.8</v>
      </c>
      <c r="D8094" s="17" t="s">
        <v>53</v>
      </c>
      <c r="E8094" s="17" t="s">
        <v>106</v>
      </c>
      <c r="F8094" s="18"/>
      <c r="G8094" s="36" t="str">
        <f>IF(ISNUMBER(F8094),C8094*F8094,"")</f>
        <v/>
      </c>
    </row>
    <row r="8095" spans="1:7" ht="12" customHeight="1" outlineLevel="3" x14ac:dyDescent="0.2">
      <c r="A8095" s="14" t="s">
        <v>15924</v>
      </c>
      <c r="B8095" s="15" t="s">
        <v>15925</v>
      </c>
      <c r="C8095" s="16">
        <f>14.46/(1+B2)</f>
        <v>14.46</v>
      </c>
      <c r="D8095" s="17" t="s">
        <v>14</v>
      </c>
      <c r="E8095" s="17" t="s">
        <v>53</v>
      </c>
      <c r="F8095" s="18"/>
      <c r="G8095" s="36" t="str">
        <f>IF(ISNUMBER(F8095),C8095*F8095,"")</f>
        <v/>
      </c>
    </row>
    <row r="8096" spans="1:7" ht="12" customHeight="1" outlineLevel="3" x14ac:dyDescent="0.2">
      <c r="A8096" s="14" t="s">
        <v>15926</v>
      </c>
      <c r="B8096" s="15" t="s">
        <v>15927</v>
      </c>
      <c r="C8096" s="16">
        <f>49.65/(1+B2)</f>
        <v>49.65</v>
      </c>
      <c r="D8096" s="17" t="s">
        <v>11</v>
      </c>
      <c r="E8096" s="17"/>
      <c r="F8096" s="18"/>
      <c r="G8096" s="36" t="str">
        <f>IF(ISNUMBER(F8096),C8096*F8096,"")</f>
        <v/>
      </c>
    </row>
    <row r="8097" spans="1:7" ht="12" customHeight="1" outlineLevel="3" x14ac:dyDescent="0.2">
      <c r="A8097" s="14" t="s">
        <v>15928</v>
      </c>
      <c r="B8097" s="15" t="s">
        <v>15929</v>
      </c>
      <c r="C8097" s="16">
        <f>22.5/(1+B2)</f>
        <v>22.5</v>
      </c>
      <c r="D8097" s="17" t="s">
        <v>53</v>
      </c>
      <c r="E8097" s="17"/>
      <c r="F8097" s="18"/>
      <c r="G8097" s="36" t="str">
        <f>IF(ISNUMBER(F8097),C8097*F8097,"")</f>
        <v/>
      </c>
    </row>
    <row r="8098" spans="1:7" ht="12" customHeight="1" outlineLevel="3" x14ac:dyDescent="0.2">
      <c r="A8098" s="14" t="s">
        <v>15930</v>
      </c>
      <c r="B8098" s="15" t="s">
        <v>15931</v>
      </c>
      <c r="C8098" s="16">
        <f>39.04/(1+B2)</f>
        <v>39.04</v>
      </c>
      <c r="D8098" s="17" t="s">
        <v>14</v>
      </c>
      <c r="E8098" s="17"/>
      <c r="F8098" s="18"/>
      <c r="G8098" s="36" t="str">
        <f>IF(ISNUMBER(F8098),C8098*F8098,"")</f>
        <v/>
      </c>
    </row>
    <row r="8099" spans="1:7" ht="12" customHeight="1" outlineLevel="3" x14ac:dyDescent="0.2">
      <c r="A8099" s="14" t="s">
        <v>15932</v>
      </c>
      <c r="B8099" s="15" t="s">
        <v>15933</v>
      </c>
      <c r="C8099" s="16">
        <f>13.53/(1+B2)</f>
        <v>13.53</v>
      </c>
      <c r="D8099" s="17" t="s">
        <v>11</v>
      </c>
      <c r="E8099" s="17"/>
      <c r="F8099" s="18"/>
      <c r="G8099" s="36" t="str">
        <f>IF(ISNUMBER(F8099),C8099*F8099,"")</f>
        <v/>
      </c>
    </row>
    <row r="8100" spans="1:7" ht="24" customHeight="1" outlineLevel="3" x14ac:dyDescent="0.2">
      <c r="A8100" s="14" t="s">
        <v>15934</v>
      </c>
      <c r="B8100" s="15" t="s">
        <v>15935</v>
      </c>
      <c r="C8100" s="16">
        <f>24.64/(1+B2)</f>
        <v>24.64</v>
      </c>
      <c r="D8100" s="17" t="s">
        <v>53</v>
      </c>
      <c r="E8100" s="17" t="s">
        <v>53</v>
      </c>
      <c r="F8100" s="18"/>
      <c r="G8100" s="36" t="str">
        <f>IF(ISNUMBER(F8100),C8100*F8100,"")</f>
        <v/>
      </c>
    </row>
    <row r="8101" spans="1:7" ht="12" customHeight="1" outlineLevel="3" x14ac:dyDescent="0.2">
      <c r="A8101" s="14" t="s">
        <v>15936</v>
      </c>
      <c r="B8101" s="15" t="s">
        <v>15937</v>
      </c>
      <c r="C8101" s="16">
        <f>27.45/(1+B2)</f>
        <v>27.45</v>
      </c>
      <c r="D8101" s="17" t="s">
        <v>53</v>
      </c>
      <c r="E8101" s="17" t="s">
        <v>106</v>
      </c>
      <c r="F8101" s="18"/>
      <c r="G8101" s="36" t="str">
        <f>IF(ISNUMBER(F8101),C8101*F8101,"")</f>
        <v/>
      </c>
    </row>
    <row r="8102" spans="1:7" ht="12" customHeight="1" outlineLevel="3" x14ac:dyDescent="0.2">
      <c r="A8102" s="14" t="s">
        <v>15938</v>
      </c>
      <c r="B8102" s="15" t="s">
        <v>15939</v>
      </c>
      <c r="C8102" s="16">
        <f>57.35/(1+B2)</f>
        <v>57.35</v>
      </c>
      <c r="D8102" s="17" t="s">
        <v>14</v>
      </c>
      <c r="E8102" s="17" t="s">
        <v>14</v>
      </c>
      <c r="F8102" s="18"/>
      <c r="G8102" s="36" t="str">
        <f>IF(ISNUMBER(F8102),C8102*F8102,"")</f>
        <v/>
      </c>
    </row>
    <row r="8103" spans="1:7" ht="24" customHeight="1" outlineLevel="3" x14ac:dyDescent="0.2">
      <c r="A8103" s="14" t="s">
        <v>15940</v>
      </c>
      <c r="B8103" s="15" t="s">
        <v>15941</v>
      </c>
      <c r="C8103" s="16">
        <f>34.09/(1+B2)</f>
        <v>34.090000000000003</v>
      </c>
      <c r="D8103" s="17" t="s">
        <v>11</v>
      </c>
      <c r="E8103" s="17" t="s">
        <v>53</v>
      </c>
      <c r="F8103" s="18"/>
      <c r="G8103" s="36" t="str">
        <f>IF(ISNUMBER(F8103),C8103*F8103,"")</f>
        <v/>
      </c>
    </row>
    <row r="8104" spans="1:7" ht="12" customHeight="1" outlineLevel="3" x14ac:dyDescent="0.2">
      <c r="A8104" s="14" t="s">
        <v>15942</v>
      </c>
      <c r="B8104" s="15" t="s">
        <v>15943</v>
      </c>
      <c r="C8104" s="16">
        <f>62.1/(1+B2)</f>
        <v>62.1</v>
      </c>
      <c r="D8104" s="17" t="s">
        <v>53</v>
      </c>
      <c r="E8104" s="17"/>
      <c r="F8104" s="18"/>
      <c r="G8104" s="36" t="str">
        <f>IF(ISNUMBER(F8104),C8104*F8104,"")</f>
        <v/>
      </c>
    </row>
    <row r="8105" spans="1:7" ht="12" customHeight="1" outlineLevel="3" x14ac:dyDescent="0.2">
      <c r="A8105" s="14" t="s">
        <v>15944</v>
      </c>
      <c r="B8105" s="15" t="s">
        <v>15945</v>
      </c>
      <c r="C8105" s="16">
        <f>62.1/(1+B2)</f>
        <v>62.1</v>
      </c>
      <c r="D8105" s="17" t="s">
        <v>14</v>
      </c>
      <c r="E8105" s="17"/>
      <c r="F8105" s="18"/>
      <c r="G8105" s="36" t="str">
        <f>IF(ISNUMBER(F8105),C8105*F8105,"")</f>
        <v/>
      </c>
    </row>
    <row r="8106" spans="1:7" ht="12" customHeight="1" outlineLevel="3" x14ac:dyDescent="0.2">
      <c r="A8106" s="14" t="s">
        <v>15946</v>
      </c>
      <c r="B8106" s="15" t="s">
        <v>15947</v>
      </c>
      <c r="C8106" s="16">
        <f>39.04/(1+B2)</f>
        <v>39.04</v>
      </c>
      <c r="D8106" s="17" t="s">
        <v>11</v>
      </c>
      <c r="E8106" s="17" t="s">
        <v>11</v>
      </c>
      <c r="F8106" s="18"/>
      <c r="G8106" s="36" t="str">
        <f>IF(ISNUMBER(F8106),C8106*F8106,"")</f>
        <v/>
      </c>
    </row>
    <row r="8107" spans="1:7" ht="12" customHeight="1" outlineLevel="3" x14ac:dyDescent="0.2">
      <c r="A8107" s="14" t="s">
        <v>15948</v>
      </c>
      <c r="B8107" s="15" t="s">
        <v>15949</v>
      </c>
      <c r="C8107" s="16">
        <f>128.31/(1+B2)</f>
        <v>128.31</v>
      </c>
      <c r="D8107" s="17" t="s">
        <v>11</v>
      </c>
      <c r="E8107" s="17"/>
      <c r="F8107" s="18"/>
      <c r="G8107" s="36" t="str">
        <f>IF(ISNUMBER(F8107),C8107*F8107,"")</f>
        <v/>
      </c>
    </row>
    <row r="8108" spans="1:7" ht="12" customHeight="1" outlineLevel="3" x14ac:dyDescent="0.2">
      <c r="A8108" s="14" t="s">
        <v>15950</v>
      </c>
      <c r="B8108" s="15" t="s">
        <v>15951</v>
      </c>
      <c r="C8108" s="16">
        <f>173.22/(1+B2)</f>
        <v>173.22</v>
      </c>
      <c r="D8108" s="17" t="s">
        <v>11</v>
      </c>
      <c r="E8108" s="17"/>
      <c r="F8108" s="18"/>
      <c r="G8108" s="36" t="str">
        <f>IF(ISNUMBER(F8108),C8108*F8108,"")</f>
        <v/>
      </c>
    </row>
    <row r="8109" spans="1:7" ht="12" customHeight="1" outlineLevel="3" x14ac:dyDescent="0.2">
      <c r="A8109" s="14" t="s">
        <v>15952</v>
      </c>
      <c r="B8109" s="15" t="s">
        <v>15953</v>
      </c>
      <c r="C8109" s="16">
        <f>173.22/(1+B2)</f>
        <v>173.22</v>
      </c>
      <c r="D8109" s="17" t="s">
        <v>11</v>
      </c>
      <c r="E8109" s="17"/>
      <c r="F8109" s="18"/>
      <c r="G8109" s="36" t="str">
        <f>IF(ISNUMBER(F8109),C8109*F8109,"")</f>
        <v/>
      </c>
    </row>
    <row r="8110" spans="1:7" ht="12" customHeight="1" outlineLevel="3" x14ac:dyDescent="0.2">
      <c r="A8110" s="14" t="s">
        <v>15954</v>
      </c>
      <c r="B8110" s="15" t="s">
        <v>15955</v>
      </c>
      <c r="C8110" s="16">
        <f>173.22/(1+B2)</f>
        <v>173.22</v>
      </c>
      <c r="D8110" s="17" t="s">
        <v>11</v>
      </c>
      <c r="E8110" s="17"/>
      <c r="F8110" s="18"/>
      <c r="G8110" s="36" t="str">
        <f>IF(ISNUMBER(F8110),C8110*F8110,"")</f>
        <v/>
      </c>
    </row>
    <row r="8111" spans="1:7" ht="12" customHeight="1" outlineLevel="3" x14ac:dyDescent="0.2">
      <c r="A8111" s="14" t="s">
        <v>15956</v>
      </c>
      <c r="B8111" s="15" t="s">
        <v>15957</v>
      </c>
      <c r="C8111" s="16">
        <f>173.22/(1+B2)</f>
        <v>173.22</v>
      </c>
      <c r="D8111" s="17" t="s">
        <v>11</v>
      </c>
      <c r="E8111" s="17"/>
      <c r="F8111" s="18"/>
      <c r="G8111" s="36" t="str">
        <f>IF(ISNUMBER(F8111),C8111*F8111,"")</f>
        <v/>
      </c>
    </row>
    <row r="8112" spans="1:7" s="1" customFormat="1" ht="12.95" customHeight="1" outlineLevel="2" x14ac:dyDescent="0.2">
      <c r="A8112" s="20"/>
      <c r="B8112" s="21" t="s">
        <v>15958</v>
      </c>
      <c r="C8112" s="22"/>
      <c r="D8112" s="22"/>
      <c r="E8112" s="22"/>
      <c r="F8112" s="22"/>
      <c r="G8112" s="37"/>
    </row>
    <row r="8113" spans="1:7" ht="12" customHeight="1" outlineLevel="3" x14ac:dyDescent="0.2">
      <c r="A8113" s="14" t="s">
        <v>15959</v>
      </c>
      <c r="B8113" s="15" t="s">
        <v>15960</v>
      </c>
      <c r="C8113" s="16">
        <f>1/(1+B2)</f>
        <v>1</v>
      </c>
      <c r="D8113" s="17" t="s">
        <v>11</v>
      </c>
      <c r="E8113" s="17"/>
      <c r="F8113" s="18"/>
      <c r="G8113" s="36" t="str">
        <f>IF(ISNUMBER(F8113),C8113*F8113,"")</f>
        <v/>
      </c>
    </row>
    <row r="8114" spans="1:7" ht="12" customHeight="1" outlineLevel="3" x14ac:dyDescent="0.2">
      <c r="A8114" s="14" t="s">
        <v>15961</v>
      </c>
      <c r="B8114" s="15" t="s">
        <v>15962</v>
      </c>
      <c r="C8114" s="16">
        <f>138.68/(1+B2)</f>
        <v>138.68</v>
      </c>
      <c r="D8114" s="17" t="s">
        <v>11</v>
      </c>
      <c r="E8114" s="17"/>
      <c r="F8114" s="18"/>
      <c r="G8114" s="36" t="str">
        <f>IF(ISNUMBER(F8114),C8114*F8114,"")</f>
        <v/>
      </c>
    </row>
    <row r="8115" spans="1:7" ht="12" customHeight="1" outlineLevel="3" x14ac:dyDescent="0.2">
      <c r="A8115" s="14" t="s">
        <v>15963</v>
      </c>
      <c r="B8115" s="15" t="s">
        <v>15964</v>
      </c>
      <c r="C8115" s="16">
        <f>136.86/(1+B2)</f>
        <v>136.86000000000001</v>
      </c>
      <c r="D8115" s="17" t="s">
        <v>11</v>
      </c>
      <c r="E8115" s="17" t="s">
        <v>14</v>
      </c>
      <c r="F8115" s="18"/>
      <c r="G8115" s="36" t="str">
        <f>IF(ISNUMBER(F8115),C8115*F8115,"")</f>
        <v/>
      </c>
    </row>
    <row r="8116" spans="1:7" ht="12" customHeight="1" outlineLevel="3" x14ac:dyDescent="0.2">
      <c r="A8116" s="14" t="s">
        <v>15965</v>
      </c>
      <c r="B8116" s="15" t="s">
        <v>15966</v>
      </c>
      <c r="C8116" s="16">
        <f>5.55/(1+B2)</f>
        <v>5.55</v>
      </c>
      <c r="D8116" s="17" t="s">
        <v>14</v>
      </c>
      <c r="E8116" s="17" t="s">
        <v>11</v>
      </c>
      <c r="F8116" s="18"/>
      <c r="G8116" s="36" t="str">
        <f>IF(ISNUMBER(F8116),C8116*F8116,"")</f>
        <v/>
      </c>
    </row>
    <row r="8117" spans="1:7" ht="12" customHeight="1" outlineLevel="3" x14ac:dyDescent="0.2">
      <c r="A8117" s="14" t="s">
        <v>15967</v>
      </c>
      <c r="B8117" s="15" t="s">
        <v>15968</v>
      </c>
      <c r="C8117" s="16">
        <f>14.01/(1+B2)</f>
        <v>14.01</v>
      </c>
      <c r="D8117" s="17" t="s">
        <v>11</v>
      </c>
      <c r="E8117" s="17"/>
      <c r="F8117" s="18"/>
      <c r="G8117" s="36" t="str">
        <f>IF(ISNUMBER(F8117),C8117*F8117,"")</f>
        <v/>
      </c>
    </row>
    <row r="8118" spans="1:7" ht="24" customHeight="1" outlineLevel="3" x14ac:dyDescent="0.2">
      <c r="A8118" s="14" t="s">
        <v>15969</v>
      </c>
      <c r="B8118" s="15" t="s">
        <v>15970</v>
      </c>
      <c r="C8118" s="16">
        <f>18.81/(1+B2)</f>
        <v>18.809999999999999</v>
      </c>
      <c r="D8118" s="17" t="s">
        <v>14</v>
      </c>
      <c r="E8118" s="17" t="s">
        <v>11</v>
      </c>
      <c r="F8118" s="18"/>
      <c r="G8118" s="36" t="str">
        <f>IF(ISNUMBER(F8118),C8118*F8118,"")</f>
        <v/>
      </c>
    </row>
    <row r="8119" spans="1:7" ht="24" customHeight="1" outlineLevel="3" x14ac:dyDescent="0.2">
      <c r="A8119" s="14" t="s">
        <v>15971</v>
      </c>
      <c r="B8119" s="15" t="s">
        <v>15972</v>
      </c>
      <c r="C8119" s="16">
        <f>26.54/(1+B2)</f>
        <v>26.54</v>
      </c>
      <c r="D8119" s="17" t="s">
        <v>11</v>
      </c>
      <c r="E8119" s="17" t="s">
        <v>14</v>
      </c>
      <c r="F8119" s="18"/>
      <c r="G8119" s="36" t="str">
        <f>IF(ISNUMBER(F8119),C8119*F8119,"")</f>
        <v/>
      </c>
    </row>
    <row r="8120" spans="1:7" ht="24" customHeight="1" outlineLevel="3" x14ac:dyDescent="0.2">
      <c r="A8120" s="14" t="s">
        <v>15973</v>
      </c>
      <c r="B8120" s="15" t="s">
        <v>15974</v>
      </c>
      <c r="C8120" s="16">
        <f>18.38/(1+B2)</f>
        <v>18.38</v>
      </c>
      <c r="D8120" s="17" t="s">
        <v>14</v>
      </c>
      <c r="E8120" s="17" t="s">
        <v>53</v>
      </c>
      <c r="F8120" s="18"/>
      <c r="G8120" s="36" t="str">
        <f>IF(ISNUMBER(F8120),C8120*F8120,"")</f>
        <v/>
      </c>
    </row>
    <row r="8121" spans="1:7" ht="12" customHeight="1" outlineLevel="3" x14ac:dyDescent="0.2">
      <c r="A8121" s="14" t="s">
        <v>15975</v>
      </c>
      <c r="B8121" s="15" t="s">
        <v>15976</v>
      </c>
      <c r="C8121" s="16">
        <f>10.99/(1+B2)</f>
        <v>10.99</v>
      </c>
      <c r="D8121" s="17" t="s">
        <v>53</v>
      </c>
      <c r="E8121" s="17" t="s">
        <v>106</v>
      </c>
      <c r="F8121" s="18"/>
      <c r="G8121" s="36" t="str">
        <f>IF(ISNUMBER(F8121),C8121*F8121,"")</f>
        <v/>
      </c>
    </row>
    <row r="8122" spans="1:7" ht="12" customHeight="1" outlineLevel="3" x14ac:dyDescent="0.2">
      <c r="A8122" s="14" t="s">
        <v>15977</v>
      </c>
      <c r="B8122" s="15" t="s">
        <v>15978</v>
      </c>
      <c r="C8122" s="16">
        <f>16.61/(1+B2)</f>
        <v>16.61</v>
      </c>
      <c r="D8122" s="17" t="s">
        <v>53</v>
      </c>
      <c r="E8122" s="17"/>
      <c r="F8122" s="18"/>
      <c r="G8122" s="36" t="str">
        <f>IF(ISNUMBER(F8122),C8122*F8122,"")</f>
        <v/>
      </c>
    </row>
    <row r="8123" spans="1:7" ht="12" customHeight="1" outlineLevel="3" x14ac:dyDescent="0.2">
      <c r="A8123" s="14" t="s">
        <v>15979</v>
      </c>
      <c r="B8123" s="15" t="s">
        <v>15980</v>
      </c>
      <c r="C8123" s="16">
        <f>2.18/(1+B2)</f>
        <v>2.1800000000000002</v>
      </c>
      <c r="D8123" s="17" t="s">
        <v>14</v>
      </c>
      <c r="E8123" s="17" t="s">
        <v>106</v>
      </c>
      <c r="F8123" s="18"/>
      <c r="G8123" s="36" t="str">
        <f>IF(ISNUMBER(F8123),C8123*F8123,"")</f>
        <v/>
      </c>
    </row>
    <row r="8124" spans="1:7" ht="12" customHeight="1" outlineLevel="3" x14ac:dyDescent="0.2">
      <c r="A8124" s="14" t="s">
        <v>15981</v>
      </c>
      <c r="B8124" s="15" t="s">
        <v>15982</v>
      </c>
      <c r="C8124" s="16">
        <f>5.18/(1+B2)</f>
        <v>5.18</v>
      </c>
      <c r="D8124" s="17" t="s">
        <v>11</v>
      </c>
      <c r="E8124" s="17"/>
      <c r="F8124" s="18"/>
      <c r="G8124" s="36" t="str">
        <f>IF(ISNUMBER(F8124),C8124*F8124,"")</f>
        <v/>
      </c>
    </row>
    <row r="8125" spans="1:7" ht="24" customHeight="1" outlineLevel="3" x14ac:dyDescent="0.2">
      <c r="A8125" s="14" t="s">
        <v>15983</v>
      </c>
      <c r="B8125" s="15" t="s">
        <v>15984</v>
      </c>
      <c r="C8125" s="16">
        <f>14.5/(1+B2)</f>
        <v>14.5</v>
      </c>
      <c r="D8125" s="17" t="s">
        <v>11</v>
      </c>
      <c r="E8125" s="17" t="s">
        <v>106</v>
      </c>
      <c r="F8125" s="18"/>
      <c r="G8125" s="36" t="str">
        <f>IF(ISNUMBER(F8125),C8125*F8125,"")</f>
        <v/>
      </c>
    </row>
    <row r="8126" spans="1:7" ht="24" customHeight="1" outlineLevel="3" x14ac:dyDescent="0.2">
      <c r="A8126" s="14" t="s">
        <v>15985</v>
      </c>
      <c r="B8126" s="15" t="s">
        <v>15986</v>
      </c>
      <c r="C8126" s="16">
        <f>20.01/(1+B2)</f>
        <v>20.010000000000002</v>
      </c>
      <c r="D8126" s="17" t="s">
        <v>14</v>
      </c>
      <c r="E8126" s="17"/>
      <c r="F8126" s="18"/>
      <c r="G8126" s="36" t="str">
        <f>IF(ISNUMBER(F8126),C8126*F8126,"")</f>
        <v/>
      </c>
    </row>
    <row r="8127" spans="1:7" s="1" customFormat="1" ht="12.95" customHeight="1" outlineLevel="2" x14ac:dyDescent="0.2">
      <c r="A8127" s="20"/>
      <c r="B8127" s="21" t="s">
        <v>15987</v>
      </c>
      <c r="C8127" s="22"/>
      <c r="D8127" s="22"/>
      <c r="E8127" s="22"/>
      <c r="F8127" s="22"/>
      <c r="G8127" s="37"/>
    </row>
    <row r="8128" spans="1:7" ht="12" customHeight="1" outlineLevel="3" x14ac:dyDescent="0.2">
      <c r="A8128" s="14" t="s">
        <v>15988</v>
      </c>
      <c r="B8128" s="15" t="s">
        <v>15989</v>
      </c>
      <c r="C8128" s="16">
        <f>55/(1+B2)</f>
        <v>55</v>
      </c>
      <c r="D8128" s="17" t="s">
        <v>11</v>
      </c>
      <c r="E8128" s="17"/>
      <c r="F8128" s="18"/>
      <c r="G8128" s="36" t="str">
        <f>IF(ISNUMBER(F8128),C8128*F8128,"")</f>
        <v/>
      </c>
    </row>
    <row r="8129" spans="1:7" ht="12" customHeight="1" outlineLevel="3" x14ac:dyDescent="0.2">
      <c r="A8129" s="14" t="s">
        <v>15990</v>
      </c>
      <c r="B8129" s="15" t="s">
        <v>15991</v>
      </c>
      <c r="C8129" s="16">
        <f>23.11/(1+B2)</f>
        <v>23.11</v>
      </c>
      <c r="D8129" s="17" t="s">
        <v>11</v>
      </c>
      <c r="E8129" s="17" t="s">
        <v>106</v>
      </c>
      <c r="F8129" s="18"/>
      <c r="G8129" s="36" t="str">
        <f>IF(ISNUMBER(F8129),C8129*F8129,"")</f>
        <v/>
      </c>
    </row>
    <row r="8130" spans="1:7" ht="12" customHeight="1" outlineLevel="3" x14ac:dyDescent="0.2">
      <c r="A8130" s="14" t="s">
        <v>15992</v>
      </c>
      <c r="B8130" s="15" t="s">
        <v>15993</v>
      </c>
      <c r="C8130" s="16">
        <f>69.34/(1+B2)</f>
        <v>69.34</v>
      </c>
      <c r="D8130" s="17" t="s">
        <v>11</v>
      </c>
      <c r="E8130" s="17" t="s">
        <v>14</v>
      </c>
      <c r="F8130" s="18"/>
      <c r="G8130" s="36" t="str">
        <f>IF(ISNUMBER(F8130),C8130*F8130,"")</f>
        <v/>
      </c>
    </row>
    <row r="8131" spans="1:7" ht="12" customHeight="1" outlineLevel="3" x14ac:dyDescent="0.2">
      <c r="A8131" s="14" t="s">
        <v>15994</v>
      </c>
      <c r="B8131" s="15" t="s">
        <v>15995</v>
      </c>
      <c r="C8131" s="16">
        <f>210.55/(1+B2)</f>
        <v>210.55</v>
      </c>
      <c r="D8131" s="17" t="s">
        <v>11</v>
      </c>
      <c r="E8131" s="17"/>
      <c r="F8131" s="18"/>
      <c r="G8131" s="36" t="str">
        <f>IF(ISNUMBER(F8131),C8131*F8131,"")</f>
        <v/>
      </c>
    </row>
    <row r="8132" spans="1:7" s="1" customFormat="1" ht="12.95" customHeight="1" outlineLevel="2" x14ac:dyDescent="0.2">
      <c r="A8132" s="20"/>
      <c r="B8132" s="21" t="s">
        <v>15996</v>
      </c>
      <c r="C8132" s="22"/>
      <c r="D8132" s="22"/>
      <c r="E8132" s="22"/>
      <c r="F8132" s="22"/>
      <c r="G8132" s="37"/>
    </row>
    <row r="8133" spans="1:7" ht="12" customHeight="1" outlineLevel="3" x14ac:dyDescent="0.2">
      <c r="A8133" s="14" t="s">
        <v>15997</v>
      </c>
      <c r="B8133" s="15" t="s">
        <v>15998</v>
      </c>
      <c r="C8133" s="16">
        <f>37.35/(1+B2)</f>
        <v>37.35</v>
      </c>
      <c r="D8133" s="17" t="s">
        <v>14</v>
      </c>
      <c r="E8133" s="17" t="s">
        <v>106</v>
      </c>
      <c r="F8133" s="18"/>
      <c r="G8133" s="36" t="str">
        <f>IF(ISNUMBER(F8133),C8133*F8133,"")</f>
        <v/>
      </c>
    </row>
    <row r="8134" spans="1:7" ht="12" customHeight="1" outlineLevel="3" x14ac:dyDescent="0.2">
      <c r="A8134" s="14" t="s">
        <v>15999</v>
      </c>
      <c r="B8134" s="15" t="s">
        <v>16000</v>
      </c>
      <c r="C8134" s="16">
        <f>7.68/(1+B2)</f>
        <v>7.68</v>
      </c>
      <c r="D8134" s="17" t="s">
        <v>11</v>
      </c>
      <c r="E8134" s="17"/>
      <c r="F8134" s="18"/>
      <c r="G8134" s="36" t="str">
        <f>IF(ISNUMBER(F8134),C8134*F8134,"")</f>
        <v/>
      </c>
    </row>
    <row r="8135" spans="1:7" ht="12" customHeight="1" outlineLevel="3" x14ac:dyDescent="0.2">
      <c r="A8135" s="14" t="s">
        <v>16001</v>
      </c>
      <c r="B8135" s="15" t="s">
        <v>16002</v>
      </c>
      <c r="C8135" s="16">
        <f>35.23/(1+B2)</f>
        <v>35.229999999999997</v>
      </c>
      <c r="D8135" s="17" t="s">
        <v>11</v>
      </c>
      <c r="E8135" s="17" t="s">
        <v>106</v>
      </c>
      <c r="F8135" s="18"/>
      <c r="G8135" s="36" t="str">
        <f>IF(ISNUMBER(F8135),C8135*F8135,"")</f>
        <v/>
      </c>
    </row>
    <row r="8136" spans="1:7" ht="12" customHeight="1" outlineLevel="3" x14ac:dyDescent="0.2">
      <c r="A8136" s="14" t="s">
        <v>16003</v>
      </c>
      <c r="B8136" s="15" t="s">
        <v>16004</v>
      </c>
      <c r="C8136" s="16">
        <f>496.3/(1+B2)</f>
        <v>496.3</v>
      </c>
      <c r="D8136" s="17" t="s">
        <v>11</v>
      </c>
      <c r="E8136" s="17"/>
      <c r="F8136" s="18"/>
      <c r="G8136" s="36" t="str">
        <f>IF(ISNUMBER(F8136),C8136*F8136,"")</f>
        <v/>
      </c>
    </row>
    <row r="8137" spans="1:7" s="1" customFormat="1" ht="12.95" customHeight="1" outlineLevel="2" x14ac:dyDescent="0.2">
      <c r="A8137" s="20"/>
      <c r="B8137" s="21" t="s">
        <v>16005</v>
      </c>
      <c r="C8137" s="22"/>
      <c r="D8137" s="22"/>
      <c r="E8137" s="22"/>
      <c r="F8137" s="22"/>
      <c r="G8137" s="37"/>
    </row>
    <row r="8138" spans="1:7" ht="12" customHeight="1" outlineLevel="3" x14ac:dyDescent="0.2">
      <c r="A8138" s="14" t="s">
        <v>16006</v>
      </c>
      <c r="B8138" s="15" t="s">
        <v>16007</v>
      </c>
      <c r="C8138" s="16">
        <f>87.92/(1+B2)</f>
        <v>87.92</v>
      </c>
      <c r="D8138" s="17" t="s">
        <v>11</v>
      </c>
      <c r="E8138" s="17" t="s">
        <v>11</v>
      </c>
      <c r="F8138" s="18"/>
      <c r="G8138" s="36" t="str">
        <f>IF(ISNUMBER(F8138),C8138*F8138,"")</f>
        <v/>
      </c>
    </row>
    <row r="8139" spans="1:7" ht="12" customHeight="1" outlineLevel="3" x14ac:dyDescent="0.2">
      <c r="A8139" s="14" t="s">
        <v>16008</v>
      </c>
      <c r="B8139" s="15" t="s">
        <v>16009</v>
      </c>
      <c r="C8139" s="16">
        <f>276.19/(1+B2)</f>
        <v>276.19</v>
      </c>
      <c r="D8139" s="17" t="s">
        <v>11</v>
      </c>
      <c r="E8139" s="17"/>
      <c r="F8139" s="18"/>
      <c r="G8139" s="36" t="str">
        <f>IF(ISNUMBER(F8139),C8139*F8139,"")</f>
        <v/>
      </c>
    </row>
    <row r="8140" spans="1:7" ht="12" customHeight="1" outlineLevel="3" x14ac:dyDescent="0.2">
      <c r="A8140" s="14" t="s">
        <v>16010</v>
      </c>
      <c r="B8140" s="15" t="s">
        <v>16011</v>
      </c>
      <c r="C8140" s="16">
        <f>318.25/(1+B2)</f>
        <v>318.25</v>
      </c>
      <c r="D8140" s="17" t="s">
        <v>11</v>
      </c>
      <c r="E8140" s="17" t="s">
        <v>11</v>
      </c>
      <c r="F8140" s="18"/>
      <c r="G8140" s="36" t="str">
        <f>IF(ISNUMBER(F8140),C8140*F8140,"")</f>
        <v/>
      </c>
    </row>
    <row r="8141" spans="1:7" ht="12" customHeight="1" outlineLevel="3" x14ac:dyDescent="0.2">
      <c r="A8141" s="14" t="s">
        <v>16012</v>
      </c>
      <c r="B8141" s="15" t="s">
        <v>16013</v>
      </c>
      <c r="C8141" s="16">
        <f>182.25/(1+B2)</f>
        <v>182.25</v>
      </c>
      <c r="D8141" s="17" t="s">
        <v>11</v>
      </c>
      <c r="E8141" s="17" t="s">
        <v>11</v>
      </c>
      <c r="F8141" s="18"/>
      <c r="G8141" s="36" t="str">
        <f>IF(ISNUMBER(F8141),C8141*F8141,"")</f>
        <v/>
      </c>
    </row>
    <row r="8142" spans="1:7" ht="12" customHeight="1" outlineLevel="3" x14ac:dyDescent="0.2">
      <c r="A8142" s="14" t="s">
        <v>16014</v>
      </c>
      <c r="B8142" s="15" t="s">
        <v>16015</v>
      </c>
      <c r="C8142" s="16">
        <f>243.61/(1+B2)</f>
        <v>243.61</v>
      </c>
      <c r="D8142" s="17" t="s">
        <v>11</v>
      </c>
      <c r="E8142" s="17" t="s">
        <v>11</v>
      </c>
      <c r="F8142" s="18"/>
      <c r="G8142" s="36" t="str">
        <f>IF(ISNUMBER(F8142),C8142*F8142,"")</f>
        <v/>
      </c>
    </row>
    <row r="8143" spans="1:7" ht="12" customHeight="1" outlineLevel="3" x14ac:dyDescent="0.2">
      <c r="A8143" s="14" t="s">
        <v>16016</v>
      </c>
      <c r="B8143" s="15" t="s">
        <v>16017</v>
      </c>
      <c r="C8143" s="16">
        <f>164.58/(1+B2)</f>
        <v>164.58</v>
      </c>
      <c r="D8143" s="17" t="s">
        <v>11</v>
      </c>
      <c r="E8143" s="17" t="s">
        <v>11</v>
      </c>
      <c r="F8143" s="18"/>
      <c r="G8143" s="36" t="str">
        <f>IF(ISNUMBER(F8143),C8143*F8143,"")</f>
        <v/>
      </c>
    </row>
    <row r="8144" spans="1:7" ht="12" customHeight="1" outlineLevel="3" x14ac:dyDescent="0.2">
      <c r="A8144" s="14" t="s">
        <v>16018</v>
      </c>
      <c r="B8144" s="15" t="s">
        <v>16019</v>
      </c>
      <c r="C8144" s="16">
        <f>193/(1+B2)</f>
        <v>193</v>
      </c>
      <c r="D8144" s="17" t="s">
        <v>11</v>
      </c>
      <c r="E8144" s="17"/>
      <c r="F8144" s="18"/>
      <c r="G8144" s="36" t="str">
        <f>IF(ISNUMBER(F8144),C8144*F8144,"")</f>
        <v/>
      </c>
    </row>
    <row r="8145" spans="1:7" ht="12" customHeight="1" outlineLevel="3" x14ac:dyDescent="0.2">
      <c r="A8145" s="14" t="s">
        <v>16020</v>
      </c>
      <c r="B8145" s="15" t="s">
        <v>16021</v>
      </c>
      <c r="C8145" s="16">
        <f>87.75/(1+B2)</f>
        <v>87.75</v>
      </c>
      <c r="D8145" s="17" t="s">
        <v>11</v>
      </c>
      <c r="E8145" s="17" t="s">
        <v>14</v>
      </c>
      <c r="F8145" s="18"/>
      <c r="G8145" s="36" t="str">
        <f>IF(ISNUMBER(F8145),C8145*F8145,"")</f>
        <v/>
      </c>
    </row>
    <row r="8146" spans="1:7" ht="12" customHeight="1" outlineLevel="3" x14ac:dyDescent="0.2">
      <c r="A8146" s="14" t="s">
        <v>16022</v>
      </c>
      <c r="B8146" s="15" t="s">
        <v>16023</v>
      </c>
      <c r="C8146" s="16">
        <f>93.94/(1+B2)</f>
        <v>93.94</v>
      </c>
      <c r="D8146" s="17" t="s">
        <v>14</v>
      </c>
      <c r="E8146" s="17"/>
      <c r="F8146" s="18"/>
      <c r="G8146" s="36" t="str">
        <f>IF(ISNUMBER(F8146),C8146*F8146,"")</f>
        <v/>
      </c>
    </row>
    <row r="8147" spans="1:7" ht="12" customHeight="1" outlineLevel="3" x14ac:dyDescent="0.2">
      <c r="A8147" s="14" t="s">
        <v>16024</v>
      </c>
      <c r="B8147" s="15" t="s">
        <v>16025</v>
      </c>
      <c r="C8147" s="16">
        <f>118.8/(1+B2)</f>
        <v>118.8</v>
      </c>
      <c r="D8147" s="17" t="s">
        <v>14</v>
      </c>
      <c r="E8147" s="17"/>
      <c r="F8147" s="18"/>
      <c r="G8147" s="36" t="str">
        <f>IF(ISNUMBER(F8147),C8147*F8147,"")</f>
        <v/>
      </c>
    </row>
    <row r="8148" spans="1:7" ht="12" customHeight="1" outlineLevel="3" x14ac:dyDescent="0.2">
      <c r="A8148" s="14" t="s">
        <v>16026</v>
      </c>
      <c r="B8148" s="15" t="s">
        <v>16027</v>
      </c>
      <c r="C8148" s="16">
        <f>58.75/(1+B2)</f>
        <v>58.75</v>
      </c>
      <c r="D8148" s="17" t="s">
        <v>11</v>
      </c>
      <c r="E8148" s="17"/>
      <c r="F8148" s="18"/>
      <c r="G8148" s="36" t="str">
        <f>IF(ISNUMBER(F8148),C8148*F8148,"")</f>
        <v/>
      </c>
    </row>
    <row r="8149" spans="1:7" s="1" customFormat="1" ht="12.95" customHeight="1" outlineLevel="2" x14ac:dyDescent="0.2">
      <c r="A8149" s="20"/>
      <c r="B8149" s="21" t="s">
        <v>16028</v>
      </c>
      <c r="C8149" s="22"/>
      <c r="D8149" s="22"/>
      <c r="E8149" s="22"/>
      <c r="F8149" s="22"/>
      <c r="G8149" s="37"/>
    </row>
    <row r="8150" spans="1:7" ht="12" customHeight="1" outlineLevel="3" x14ac:dyDescent="0.2">
      <c r="A8150" s="14" t="s">
        <v>16029</v>
      </c>
      <c r="B8150" s="15" t="s">
        <v>16030</v>
      </c>
      <c r="C8150" s="16">
        <f>155.69/(1+B2)</f>
        <v>155.69</v>
      </c>
      <c r="D8150" s="17" t="s">
        <v>11</v>
      </c>
      <c r="E8150" s="17"/>
      <c r="F8150" s="18"/>
      <c r="G8150" s="36" t="str">
        <f>IF(ISNUMBER(F8150),C8150*F8150,"")</f>
        <v/>
      </c>
    </row>
    <row r="8151" spans="1:7" ht="12" customHeight="1" outlineLevel="3" x14ac:dyDescent="0.2">
      <c r="A8151" s="14" t="s">
        <v>16031</v>
      </c>
      <c r="B8151" s="15" t="s">
        <v>16032</v>
      </c>
      <c r="C8151" s="16">
        <f>17.15/(1+B2)</f>
        <v>17.149999999999999</v>
      </c>
      <c r="D8151" s="17" t="s">
        <v>11</v>
      </c>
      <c r="E8151" s="17" t="s">
        <v>11</v>
      </c>
      <c r="F8151" s="18"/>
      <c r="G8151" s="36" t="str">
        <f>IF(ISNUMBER(F8151),C8151*F8151,"")</f>
        <v/>
      </c>
    </row>
    <row r="8152" spans="1:7" ht="12" customHeight="1" outlineLevel="3" x14ac:dyDescent="0.2">
      <c r="A8152" s="14" t="s">
        <v>16033</v>
      </c>
      <c r="B8152" s="15" t="s">
        <v>16034</v>
      </c>
      <c r="C8152" s="16">
        <f>16.81/(1+B2)</f>
        <v>16.809999999999999</v>
      </c>
      <c r="D8152" s="17" t="s">
        <v>14</v>
      </c>
      <c r="E8152" s="17"/>
      <c r="F8152" s="18"/>
      <c r="G8152" s="36" t="str">
        <f>IF(ISNUMBER(F8152),C8152*F8152,"")</f>
        <v/>
      </c>
    </row>
    <row r="8153" spans="1:7" ht="12" customHeight="1" outlineLevel="3" x14ac:dyDescent="0.2">
      <c r="A8153" s="14" t="s">
        <v>16035</v>
      </c>
      <c r="B8153" s="15" t="s">
        <v>16036</v>
      </c>
      <c r="C8153" s="16">
        <f>13.33/(1+B2)</f>
        <v>13.33</v>
      </c>
      <c r="D8153" s="17" t="s">
        <v>11</v>
      </c>
      <c r="E8153" s="17" t="s">
        <v>11</v>
      </c>
      <c r="F8153" s="18"/>
      <c r="G8153" s="36" t="str">
        <f>IF(ISNUMBER(F8153),C8153*F8153,"")</f>
        <v/>
      </c>
    </row>
    <row r="8154" spans="1:7" ht="12" customHeight="1" outlineLevel="3" x14ac:dyDescent="0.2">
      <c r="A8154" s="14" t="s">
        <v>16037</v>
      </c>
      <c r="B8154" s="15" t="s">
        <v>16038</v>
      </c>
      <c r="C8154" s="16">
        <f>20.98/(1+B2)</f>
        <v>20.98</v>
      </c>
      <c r="D8154" s="17" t="s">
        <v>11</v>
      </c>
      <c r="E8154" s="17"/>
      <c r="F8154" s="18"/>
      <c r="G8154" s="36" t="str">
        <f>IF(ISNUMBER(F8154),C8154*F8154,"")</f>
        <v/>
      </c>
    </row>
    <row r="8155" spans="1:7" ht="12" customHeight="1" outlineLevel="3" x14ac:dyDescent="0.2">
      <c r="A8155" s="14" t="s">
        <v>16039</v>
      </c>
      <c r="B8155" s="15" t="s">
        <v>16040</v>
      </c>
      <c r="C8155" s="16">
        <f>171.08/(1+B2)</f>
        <v>171.08</v>
      </c>
      <c r="D8155" s="17" t="s">
        <v>11</v>
      </c>
      <c r="E8155" s="17"/>
      <c r="F8155" s="18"/>
      <c r="G8155" s="36" t="str">
        <f>IF(ISNUMBER(F8155),C8155*F8155,"")</f>
        <v/>
      </c>
    </row>
    <row r="8156" spans="1:7" ht="12" customHeight="1" outlineLevel="3" x14ac:dyDescent="0.2">
      <c r="A8156" s="14" t="s">
        <v>16041</v>
      </c>
      <c r="B8156" s="15" t="s">
        <v>16042</v>
      </c>
      <c r="C8156" s="16">
        <f>12.26/(1+B2)</f>
        <v>12.26</v>
      </c>
      <c r="D8156" s="17" t="s">
        <v>11</v>
      </c>
      <c r="E8156" s="17"/>
      <c r="F8156" s="18"/>
      <c r="G8156" s="36" t="str">
        <f>IF(ISNUMBER(F8156),C8156*F8156,"")</f>
        <v/>
      </c>
    </row>
    <row r="8157" spans="1:7" ht="12" customHeight="1" outlineLevel="3" x14ac:dyDescent="0.2">
      <c r="A8157" s="14" t="s">
        <v>16043</v>
      </c>
      <c r="B8157" s="15" t="s">
        <v>16044</v>
      </c>
      <c r="C8157" s="16">
        <f>22.74/(1+B2)</f>
        <v>22.74</v>
      </c>
      <c r="D8157" s="17" t="s">
        <v>11</v>
      </c>
      <c r="E8157" s="17"/>
      <c r="F8157" s="18"/>
      <c r="G8157" s="36" t="str">
        <f>IF(ISNUMBER(F8157),C8157*F8157,"")</f>
        <v/>
      </c>
    </row>
    <row r="8158" spans="1:7" ht="12" customHeight="1" outlineLevel="3" x14ac:dyDescent="0.2">
      <c r="A8158" s="14" t="s">
        <v>16045</v>
      </c>
      <c r="B8158" s="15" t="s">
        <v>16046</v>
      </c>
      <c r="C8158" s="16">
        <f>25.7/(1+B2)</f>
        <v>25.7</v>
      </c>
      <c r="D8158" s="17" t="s">
        <v>11</v>
      </c>
      <c r="E8158" s="17"/>
      <c r="F8158" s="18"/>
      <c r="G8158" s="36" t="str">
        <f>IF(ISNUMBER(F8158),C8158*F8158,"")</f>
        <v/>
      </c>
    </row>
    <row r="8159" spans="1:7" ht="12" customHeight="1" outlineLevel="3" x14ac:dyDescent="0.2">
      <c r="A8159" s="14" t="s">
        <v>16047</v>
      </c>
      <c r="B8159" s="15" t="s">
        <v>16048</v>
      </c>
      <c r="C8159" s="16">
        <f>31.8/(1+B2)</f>
        <v>31.8</v>
      </c>
      <c r="D8159" s="17" t="s">
        <v>11</v>
      </c>
      <c r="E8159" s="17"/>
      <c r="F8159" s="18"/>
      <c r="G8159" s="36" t="str">
        <f>IF(ISNUMBER(F8159),C8159*F8159,"")</f>
        <v/>
      </c>
    </row>
    <row r="8160" spans="1:7" ht="12" customHeight="1" outlineLevel="3" x14ac:dyDescent="0.2">
      <c r="A8160" s="14" t="s">
        <v>16049</v>
      </c>
      <c r="B8160" s="15" t="s">
        <v>16050</v>
      </c>
      <c r="C8160" s="16">
        <f>37.6/(1+B2)</f>
        <v>37.6</v>
      </c>
      <c r="D8160" s="17" t="s">
        <v>11</v>
      </c>
      <c r="E8160" s="17" t="s">
        <v>11</v>
      </c>
      <c r="F8160" s="18"/>
      <c r="G8160" s="36" t="str">
        <f>IF(ISNUMBER(F8160),C8160*F8160,"")</f>
        <v/>
      </c>
    </row>
    <row r="8161" spans="1:7" ht="12" customHeight="1" outlineLevel="3" x14ac:dyDescent="0.2">
      <c r="A8161" s="14" t="s">
        <v>16051</v>
      </c>
      <c r="B8161" s="15" t="s">
        <v>16052</v>
      </c>
      <c r="C8161" s="16">
        <f>49.46/(1+B2)</f>
        <v>49.46</v>
      </c>
      <c r="D8161" s="17" t="s">
        <v>11</v>
      </c>
      <c r="E8161" s="17"/>
      <c r="F8161" s="18"/>
      <c r="G8161" s="36" t="str">
        <f>IF(ISNUMBER(F8161),C8161*F8161,"")</f>
        <v/>
      </c>
    </row>
    <row r="8162" spans="1:7" ht="12" customHeight="1" outlineLevel="3" x14ac:dyDescent="0.2">
      <c r="A8162" s="14" t="s">
        <v>16053</v>
      </c>
      <c r="B8162" s="15" t="s">
        <v>16054</v>
      </c>
      <c r="C8162" s="16">
        <f>30.24/(1+B2)</f>
        <v>30.24</v>
      </c>
      <c r="D8162" s="17" t="s">
        <v>11</v>
      </c>
      <c r="E8162" s="17"/>
      <c r="F8162" s="18"/>
      <c r="G8162" s="36" t="str">
        <f>IF(ISNUMBER(F8162),C8162*F8162,"")</f>
        <v/>
      </c>
    </row>
    <row r="8163" spans="1:7" ht="12" customHeight="1" outlineLevel="3" x14ac:dyDescent="0.2">
      <c r="A8163" s="14" t="s">
        <v>16055</v>
      </c>
      <c r="B8163" s="15" t="s">
        <v>16056</v>
      </c>
      <c r="C8163" s="16">
        <f>81.81/(1+B2)</f>
        <v>81.81</v>
      </c>
      <c r="D8163" s="17" t="s">
        <v>14</v>
      </c>
      <c r="E8163" s="17"/>
      <c r="F8163" s="18"/>
      <c r="G8163" s="36" t="str">
        <f>IF(ISNUMBER(F8163),C8163*F8163,"")</f>
        <v/>
      </c>
    </row>
    <row r="8164" spans="1:7" ht="12" customHeight="1" outlineLevel="3" x14ac:dyDescent="0.2">
      <c r="A8164" s="14" t="s">
        <v>16057</v>
      </c>
      <c r="B8164" s="15" t="s">
        <v>16058</v>
      </c>
      <c r="C8164" s="16">
        <f>13.99/(1+B2)</f>
        <v>13.99</v>
      </c>
      <c r="D8164" s="17" t="s">
        <v>11</v>
      </c>
      <c r="E8164" s="17" t="s">
        <v>14</v>
      </c>
      <c r="F8164" s="18"/>
      <c r="G8164" s="36" t="str">
        <f>IF(ISNUMBER(F8164),C8164*F8164,"")</f>
        <v/>
      </c>
    </row>
    <row r="8165" spans="1:7" ht="12" customHeight="1" outlineLevel="3" x14ac:dyDescent="0.2">
      <c r="A8165" s="14" t="s">
        <v>16059</v>
      </c>
      <c r="B8165" s="15" t="s">
        <v>16060</v>
      </c>
      <c r="C8165" s="16">
        <f>89.43/(1+B2)</f>
        <v>89.43</v>
      </c>
      <c r="D8165" s="17" t="s">
        <v>11</v>
      </c>
      <c r="E8165" s="17"/>
      <c r="F8165" s="18"/>
      <c r="G8165" s="36" t="str">
        <f>IF(ISNUMBER(F8165),C8165*F8165,"")</f>
        <v/>
      </c>
    </row>
    <row r="8166" spans="1:7" ht="12" customHeight="1" outlineLevel="3" x14ac:dyDescent="0.2">
      <c r="A8166" s="14" t="s">
        <v>16061</v>
      </c>
      <c r="B8166" s="15" t="s">
        <v>16062</v>
      </c>
      <c r="C8166" s="16">
        <f>9.61/(1+B2)</f>
        <v>9.61</v>
      </c>
      <c r="D8166" s="17" t="s">
        <v>14</v>
      </c>
      <c r="E8166" s="17"/>
      <c r="F8166" s="18"/>
      <c r="G8166" s="36" t="str">
        <f>IF(ISNUMBER(F8166),C8166*F8166,"")</f>
        <v/>
      </c>
    </row>
    <row r="8167" spans="1:7" ht="12" customHeight="1" outlineLevel="3" x14ac:dyDescent="0.2">
      <c r="A8167" s="14" t="s">
        <v>16063</v>
      </c>
      <c r="B8167" s="15" t="s">
        <v>16064</v>
      </c>
      <c r="C8167" s="16">
        <f>13.79/(1+B2)</f>
        <v>13.79</v>
      </c>
      <c r="D8167" s="17" t="s">
        <v>14</v>
      </c>
      <c r="E8167" s="17"/>
      <c r="F8167" s="18"/>
      <c r="G8167" s="36" t="str">
        <f>IF(ISNUMBER(F8167),C8167*F8167,"")</f>
        <v/>
      </c>
    </row>
    <row r="8168" spans="1:7" ht="12" customHeight="1" outlineLevel="3" x14ac:dyDescent="0.2">
      <c r="A8168" s="14" t="s">
        <v>16065</v>
      </c>
      <c r="B8168" s="15" t="s">
        <v>16066</v>
      </c>
      <c r="C8168" s="16">
        <f>16.78/(1+B2)</f>
        <v>16.78</v>
      </c>
      <c r="D8168" s="17" t="s">
        <v>11</v>
      </c>
      <c r="E8168" s="17"/>
      <c r="F8168" s="18"/>
      <c r="G8168" s="36" t="str">
        <f>IF(ISNUMBER(F8168),C8168*F8168,"")</f>
        <v/>
      </c>
    </row>
    <row r="8169" spans="1:7" ht="12" customHeight="1" outlineLevel="3" x14ac:dyDescent="0.2">
      <c r="A8169" s="14" t="s">
        <v>16067</v>
      </c>
      <c r="B8169" s="15" t="s">
        <v>16068</v>
      </c>
      <c r="C8169" s="16">
        <f>38.58/(1+B2)</f>
        <v>38.58</v>
      </c>
      <c r="D8169" s="17" t="s">
        <v>11</v>
      </c>
      <c r="E8169" s="17"/>
      <c r="F8169" s="18"/>
      <c r="G8169" s="36" t="str">
        <f>IF(ISNUMBER(F8169),C8169*F8169,"")</f>
        <v/>
      </c>
    </row>
    <row r="8170" spans="1:7" ht="12" customHeight="1" outlineLevel="3" x14ac:dyDescent="0.2">
      <c r="A8170" s="14" t="s">
        <v>16069</v>
      </c>
      <c r="B8170" s="15" t="s">
        <v>16070</v>
      </c>
      <c r="C8170" s="16">
        <f>100.58/(1+B2)</f>
        <v>100.58</v>
      </c>
      <c r="D8170" s="17" t="s">
        <v>11</v>
      </c>
      <c r="E8170" s="17"/>
      <c r="F8170" s="18"/>
      <c r="G8170" s="36" t="str">
        <f>IF(ISNUMBER(F8170),C8170*F8170,"")</f>
        <v/>
      </c>
    </row>
    <row r="8171" spans="1:7" ht="12" customHeight="1" outlineLevel="3" x14ac:dyDescent="0.2">
      <c r="A8171" s="14" t="s">
        <v>16071</v>
      </c>
      <c r="B8171" s="15" t="s">
        <v>16072</v>
      </c>
      <c r="C8171" s="16">
        <f>117.45/(1+B2)</f>
        <v>117.45</v>
      </c>
      <c r="D8171" s="17" t="s">
        <v>11</v>
      </c>
      <c r="E8171" s="17"/>
      <c r="F8171" s="18"/>
      <c r="G8171" s="36" t="str">
        <f>IF(ISNUMBER(F8171),C8171*F8171,"")</f>
        <v/>
      </c>
    </row>
    <row r="8172" spans="1:7" ht="12" customHeight="1" outlineLevel="3" x14ac:dyDescent="0.2">
      <c r="A8172" s="14" t="s">
        <v>16073</v>
      </c>
      <c r="B8172" s="15" t="s">
        <v>16074</v>
      </c>
      <c r="C8172" s="16">
        <f>67.15/(1+B2)</f>
        <v>67.150000000000006</v>
      </c>
      <c r="D8172" s="17" t="s">
        <v>11</v>
      </c>
      <c r="E8172" s="17"/>
      <c r="F8172" s="18"/>
      <c r="G8172" s="36" t="str">
        <f>IF(ISNUMBER(F8172),C8172*F8172,"")</f>
        <v/>
      </c>
    </row>
    <row r="8173" spans="1:7" ht="12" customHeight="1" outlineLevel="3" x14ac:dyDescent="0.2">
      <c r="A8173" s="14" t="s">
        <v>16075</v>
      </c>
      <c r="B8173" s="15" t="s">
        <v>16076</v>
      </c>
      <c r="C8173" s="16">
        <f>75.49/(1+B2)</f>
        <v>75.489999999999995</v>
      </c>
      <c r="D8173" s="17" t="s">
        <v>11</v>
      </c>
      <c r="E8173" s="17"/>
      <c r="F8173" s="18"/>
      <c r="G8173" s="36" t="str">
        <f>IF(ISNUMBER(F8173),C8173*F8173,"")</f>
        <v/>
      </c>
    </row>
    <row r="8174" spans="1:7" ht="12" customHeight="1" outlineLevel="3" x14ac:dyDescent="0.2">
      <c r="A8174" s="14" t="s">
        <v>16077</v>
      </c>
      <c r="B8174" s="15" t="s">
        <v>16078</v>
      </c>
      <c r="C8174" s="16">
        <f>53.27/(1+B2)</f>
        <v>53.27</v>
      </c>
      <c r="D8174" s="17" t="s">
        <v>11</v>
      </c>
      <c r="E8174" s="17"/>
      <c r="F8174" s="18"/>
      <c r="G8174" s="36" t="str">
        <f>IF(ISNUMBER(F8174),C8174*F8174,"")</f>
        <v/>
      </c>
    </row>
    <row r="8175" spans="1:7" ht="12" customHeight="1" outlineLevel="3" x14ac:dyDescent="0.2">
      <c r="A8175" s="14" t="s">
        <v>16079</v>
      </c>
      <c r="B8175" s="15" t="s">
        <v>16080</v>
      </c>
      <c r="C8175" s="16">
        <f>158.67/(1+B2)</f>
        <v>158.66999999999999</v>
      </c>
      <c r="D8175" s="17" t="s">
        <v>11</v>
      </c>
      <c r="E8175" s="17"/>
      <c r="F8175" s="18"/>
      <c r="G8175" s="36" t="str">
        <f>IF(ISNUMBER(F8175),C8175*F8175,"")</f>
        <v/>
      </c>
    </row>
    <row r="8176" spans="1:7" s="1" customFormat="1" ht="12.95" customHeight="1" outlineLevel="2" x14ac:dyDescent="0.2">
      <c r="A8176" s="20"/>
      <c r="B8176" s="21" t="s">
        <v>16081</v>
      </c>
      <c r="C8176" s="22"/>
      <c r="D8176" s="22"/>
      <c r="E8176" s="22"/>
      <c r="F8176" s="22"/>
      <c r="G8176" s="37"/>
    </row>
    <row r="8177" spans="1:7" ht="12" customHeight="1" outlineLevel="3" x14ac:dyDescent="0.2">
      <c r="A8177" s="14" t="s">
        <v>16082</v>
      </c>
      <c r="B8177" s="15" t="s">
        <v>16083</v>
      </c>
      <c r="C8177" s="16">
        <f>292.16/(1+B2)</f>
        <v>292.16000000000003</v>
      </c>
      <c r="D8177" s="17" t="s">
        <v>11</v>
      </c>
      <c r="E8177" s="17"/>
      <c r="F8177" s="18"/>
      <c r="G8177" s="36" t="str">
        <f>IF(ISNUMBER(F8177),C8177*F8177,"")</f>
        <v/>
      </c>
    </row>
    <row r="8178" spans="1:7" ht="12" customHeight="1" outlineLevel="3" x14ac:dyDescent="0.2">
      <c r="A8178" s="14" t="s">
        <v>16084</v>
      </c>
      <c r="B8178" s="15" t="s">
        <v>16085</v>
      </c>
      <c r="C8178" s="16">
        <f>378.7/(1+B2)</f>
        <v>378.7</v>
      </c>
      <c r="D8178" s="17" t="s">
        <v>11</v>
      </c>
      <c r="E8178" s="17"/>
      <c r="F8178" s="18"/>
      <c r="G8178" s="36" t="str">
        <f>IF(ISNUMBER(F8178),C8178*F8178,"")</f>
        <v/>
      </c>
    </row>
    <row r="8179" spans="1:7" ht="12" customHeight="1" outlineLevel="3" x14ac:dyDescent="0.2">
      <c r="A8179" s="14" t="s">
        <v>16086</v>
      </c>
      <c r="B8179" s="15" t="s">
        <v>16087</v>
      </c>
      <c r="C8179" s="16">
        <f>686.65/(1+B2)</f>
        <v>686.65</v>
      </c>
      <c r="D8179" s="17" t="s">
        <v>11</v>
      </c>
      <c r="E8179" s="17"/>
      <c r="F8179" s="18"/>
      <c r="G8179" s="36" t="str">
        <f>IF(ISNUMBER(F8179),C8179*F8179,"")</f>
        <v/>
      </c>
    </row>
    <row r="8180" spans="1:7" ht="12" customHeight="1" outlineLevel="3" x14ac:dyDescent="0.2">
      <c r="A8180" s="14" t="s">
        <v>16088</v>
      </c>
      <c r="B8180" s="15" t="s">
        <v>16089</v>
      </c>
      <c r="C8180" s="16">
        <f>764.85/(1+B2)</f>
        <v>764.85</v>
      </c>
      <c r="D8180" s="17" t="s">
        <v>11</v>
      </c>
      <c r="E8180" s="17"/>
      <c r="F8180" s="18"/>
      <c r="G8180" s="36" t="str">
        <f>IF(ISNUMBER(F8180),C8180*F8180,"")</f>
        <v/>
      </c>
    </row>
    <row r="8181" spans="1:7" ht="12" customHeight="1" outlineLevel="3" x14ac:dyDescent="0.2">
      <c r="A8181" s="14" t="s">
        <v>16090</v>
      </c>
      <c r="B8181" s="15" t="s">
        <v>16091</v>
      </c>
      <c r="C8181" s="16">
        <f>507.6/(1+B2)</f>
        <v>507.6</v>
      </c>
      <c r="D8181" s="17" t="s">
        <v>11</v>
      </c>
      <c r="E8181" s="17"/>
      <c r="F8181" s="18"/>
      <c r="G8181" s="36" t="str">
        <f>IF(ISNUMBER(F8181),C8181*F8181,"")</f>
        <v/>
      </c>
    </row>
    <row r="8182" spans="1:7" ht="12" customHeight="1" outlineLevel="3" x14ac:dyDescent="0.2">
      <c r="A8182" s="14" t="s">
        <v>16092</v>
      </c>
      <c r="B8182" s="15" t="s">
        <v>16093</v>
      </c>
      <c r="C8182" s="16">
        <f>292.16/(1+B2)</f>
        <v>292.16000000000003</v>
      </c>
      <c r="D8182" s="17" t="s">
        <v>11</v>
      </c>
      <c r="E8182" s="17" t="s">
        <v>11</v>
      </c>
      <c r="F8182" s="18"/>
      <c r="G8182" s="36" t="str">
        <f>IF(ISNUMBER(F8182),C8182*F8182,"")</f>
        <v/>
      </c>
    </row>
    <row r="8183" spans="1:7" ht="12" customHeight="1" outlineLevel="3" x14ac:dyDescent="0.2">
      <c r="A8183" s="14" t="s">
        <v>16094</v>
      </c>
      <c r="B8183" s="15" t="s">
        <v>16095</v>
      </c>
      <c r="C8183" s="16">
        <f>378.7/(1+B2)</f>
        <v>378.7</v>
      </c>
      <c r="D8183" s="17" t="s">
        <v>11</v>
      </c>
      <c r="E8183" s="17" t="s">
        <v>11</v>
      </c>
      <c r="F8183" s="18"/>
      <c r="G8183" s="36" t="str">
        <f>IF(ISNUMBER(F8183),C8183*F8183,"")</f>
        <v/>
      </c>
    </row>
    <row r="8184" spans="1:7" ht="12" customHeight="1" outlineLevel="3" x14ac:dyDescent="0.2">
      <c r="A8184" s="14" t="s">
        <v>16096</v>
      </c>
      <c r="B8184" s="15" t="s">
        <v>16097</v>
      </c>
      <c r="C8184" s="16">
        <f>686.65/(1+B2)</f>
        <v>686.65</v>
      </c>
      <c r="D8184" s="17" t="s">
        <v>11</v>
      </c>
      <c r="E8184" s="17" t="s">
        <v>11</v>
      </c>
      <c r="F8184" s="18"/>
      <c r="G8184" s="36" t="str">
        <f>IF(ISNUMBER(F8184),C8184*F8184,"")</f>
        <v/>
      </c>
    </row>
    <row r="8185" spans="1:7" ht="12" customHeight="1" outlineLevel="3" x14ac:dyDescent="0.2">
      <c r="A8185" s="14" t="s">
        <v>16098</v>
      </c>
      <c r="B8185" s="15" t="s">
        <v>16099</v>
      </c>
      <c r="C8185" s="16">
        <f>764.85/(1+B2)</f>
        <v>764.85</v>
      </c>
      <c r="D8185" s="17" t="s">
        <v>11</v>
      </c>
      <c r="E8185" s="17" t="s">
        <v>11</v>
      </c>
      <c r="F8185" s="18"/>
      <c r="G8185" s="36" t="str">
        <f>IF(ISNUMBER(F8185),C8185*F8185,"")</f>
        <v/>
      </c>
    </row>
    <row r="8186" spans="1:7" ht="12" customHeight="1" outlineLevel="3" x14ac:dyDescent="0.2">
      <c r="A8186" s="14" t="s">
        <v>16100</v>
      </c>
      <c r="B8186" s="15" t="s">
        <v>16101</v>
      </c>
      <c r="C8186" s="16">
        <f>803.24/(1+B2)</f>
        <v>803.24</v>
      </c>
      <c r="D8186" s="17" t="s">
        <v>11</v>
      </c>
      <c r="E8186" s="17" t="s">
        <v>11</v>
      </c>
      <c r="F8186" s="18"/>
      <c r="G8186" s="36" t="str">
        <f>IF(ISNUMBER(F8186),C8186*F8186,"")</f>
        <v/>
      </c>
    </row>
    <row r="8187" spans="1:7" ht="12" customHeight="1" outlineLevel="3" x14ac:dyDescent="0.2">
      <c r="A8187" s="14" t="s">
        <v>16102</v>
      </c>
      <c r="B8187" s="15" t="s">
        <v>16103</v>
      </c>
      <c r="C8187" s="16">
        <f>982.49/(1+B2)</f>
        <v>982.49</v>
      </c>
      <c r="D8187" s="17" t="s">
        <v>11</v>
      </c>
      <c r="E8187" s="17" t="s">
        <v>11</v>
      </c>
      <c r="F8187" s="18"/>
      <c r="G8187" s="36" t="str">
        <f>IF(ISNUMBER(F8187),C8187*F8187,"")</f>
        <v/>
      </c>
    </row>
    <row r="8188" spans="1:7" ht="12" customHeight="1" outlineLevel="3" x14ac:dyDescent="0.2">
      <c r="A8188" s="14" t="s">
        <v>16104</v>
      </c>
      <c r="B8188" s="15" t="s">
        <v>16105</v>
      </c>
      <c r="C8188" s="16">
        <f>247.85/(1+B2)</f>
        <v>247.85</v>
      </c>
      <c r="D8188" s="17" t="s">
        <v>11</v>
      </c>
      <c r="E8188" s="17" t="s">
        <v>11</v>
      </c>
      <c r="F8188" s="18"/>
      <c r="G8188" s="36" t="str">
        <f>IF(ISNUMBER(F8188),C8188*F8188,"")</f>
        <v/>
      </c>
    </row>
    <row r="8189" spans="1:7" ht="12" customHeight="1" outlineLevel="3" x14ac:dyDescent="0.2">
      <c r="A8189" s="14" t="s">
        <v>16106</v>
      </c>
      <c r="B8189" s="15" t="s">
        <v>16107</v>
      </c>
      <c r="C8189" s="16">
        <f>317.5/(1+B2)</f>
        <v>317.5</v>
      </c>
      <c r="D8189" s="17" t="s">
        <v>11</v>
      </c>
      <c r="E8189" s="17" t="s">
        <v>11</v>
      </c>
      <c r="F8189" s="18"/>
      <c r="G8189" s="36" t="str">
        <f>IF(ISNUMBER(F8189),C8189*F8189,"")</f>
        <v/>
      </c>
    </row>
    <row r="8190" spans="1:7" ht="12" customHeight="1" outlineLevel="3" x14ac:dyDescent="0.2">
      <c r="A8190" s="14" t="s">
        <v>16108</v>
      </c>
      <c r="B8190" s="15" t="s">
        <v>16109</v>
      </c>
      <c r="C8190" s="16">
        <f>351.13/(1+B2)</f>
        <v>351.13</v>
      </c>
      <c r="D8190" s="17" t="s">
        <v>11</v>
      </c>
      <c r="E8190" s="17"/>
      <c r="F8190" s="18"/>
      <c r="G8190" s="36" t="str">
        <f>IF(ISNUMBER(F8190),C8190*F8190,"")</f>
        <v/>
      </c>
    </row>
    <row r="8191" spans="1:7" ht="12" customHeight="1" outlineLevel="3" x14ac:dyDescent="0.2">
      <c r="A8191" s="14" t="s">
        <v>16110</v>
      </c>
      <c r="B8191" s="15" t="s">
        <v>16111</v>
      </c>
      <c r="C8191" s="16">
        <f>175.59/(1+B2)</f>
        <v>175.59</v>
      </c>
      <c r="D8191" s="17" t="s">
        <v>11</v>
      </c>
      <c r="E8191" s="17"/>
      <c r="F8191" s="18"/>
      <c r="G8191" s="36" t="str">
        <f>IF(ISNUMBER(F8191),C8191*F8191,"")</f>
        <v/>
      </c>
    </row>
    <row r="8192" spans="1:7" ht="12" customHeight="1" outlineLevel="3" x14ac:dyDescent="0.2">
      <c r="A8192" s="14" t="s">
        <v>16112</v>
      </c>
      <c r="B8192" s="15" t="s">
        <v>16113</v>
      </c>
      <c r="C8192" s="16">
        <f>331.91/(1+B2)</f>
        <v>331.91</v>
      </c>
      <c r="D8192" s="17" t="s">
        <v>11</v>
      </c>
      <c r="E8192" s="17"/>
      <c r="F8192" s="18"/>
      <c r="G8192" s="36" t="str">
        <f>IF(ISNUMBER(F8192),C8192*F8192,"")</f>
        <v/>
      </c>
    </row>
    <row r="8193" spans="1:7" s="1" customFormat="1" ht="12.95" customHeight="1" outlineLevel="2" x14ac:dyDescent="0.2">
      <c r="A8193" s="20"/>
      <c r="B8193" s="21" t="s">
        <v>16114</v>
      </c>
      <c r="C8193" s="22"/>
      <c r="D8193" s="22"/>
      <c r="E8193" s="22"/>
      <c r="F8193" s="22"/>
      <c r="G8193" s="37"/>
    </row>
    <row r="8194" spans="1:7" ht="12" customHeight="1" outlineLevel="3" x14ac:dyDescent="0.2">
      <c r="A8194" s="14" t="s">
        <v>16115</v>
      </c>
      <c r="B8194" s="15" t="s">
        <v>16116</v>
      </c>
      <c r="C8194" s="16">
        <f>148.68/(1+B2)</f>
        <v>148.68</v>
      </c>
      <c r="D8194" s="17" t="s">
        <v>11</v>
      </c>
      <c r="E8194" s="17"/>
      <c r="F8194" s="18"/>
      <c r="G8194" s="36" t="str">
        <f>IF(ISNUMBER(F8194),C8194*F8194,"")</f>
        <v/>
      </c>
    </row>
    <row r="8195" spans="1:7" ht="12" customHeight="1" outlineLevel="3" x14ac:dyDescent="0.2">
      <c r="A8195" s="14" t="s">
        <v>16117</v>
      </c>
      <c r="B8195" s="15" t="s">
        <v>16118</v>
      </c>
      <c r="C8195" s="16">
        <f>137.84/(1+B2)</f>
        <v>137.84</v>
      </c>
      <c r="D8195" s="17" t="s">
        <v>11</v>
      </c>
      <c r="E8195" s="17"/>
      <c r="F8195" s="18"/>
      <c r="G8195" s="36" t="str">
        <f>IF(ISNUMBER(F8195),C8195*F8195,"")</f>
        <v/>
      </c>
    </row>
    <row r="8196" spans="1:7" ht="12" customHeight="1" outlineLevel="3" x14ac:dyDescent="0.2">
      <c r="A8196" s="14" t="s">
        <v>16119</v>
      </c>
      <c r="B8196" s="15" t="s">
        <v>16120</v>
      </c>
      <c r="C8196" s="16">
        <f>147.38/(1+B2)</f>
        <v>147.38</v>
      </c>
      <c r="D8196" s="17" t="s">
        <v>11</v>
      </c>
      <c r="E8196" s="17"/>
      <c r="F8196" s="18"/>
      <c r="G8196" s="36" t="str">
        <f>IF(ISNUMBER(F8196),C8196*F8196,"")</f>
        <v/>
      </c>
    </row>
    <row r="8197" spans="1:7" ht="12" customHeight="1" outlineLevel="3" x14ac:dyDescent="0.2">
      <c r="A8197" s="14" t="s">
        <v>16121</v>
      </c>
      <c r="B8197" s="15" t="s">
        <v>16122</v>
      </c>
      <c r="C8197" s="16">
        <f>172.25/(1+B2)</f>
        <v>172.25</v>
      </c>
      <c r="D8197" s="17" t="s">
        <v>14</v>
      </c>
      <c r="E8197" s="17"/>
      <c r="F8197" s="18"/>
      <c r="G8197" s="36" t="str">
        <f>IF(ISNUMBER(F8197),C8197*F8197,"")</f>
        <v/>
      </c>
    </row>
    <row r="8198" spans="1:7" ht="12" customHeight="1" outlineLevel="3" x14ac:dyDescent="0.2">
      <c r="A8198" s="14" t="s">
        <v>16123</v>
      </c>
      <c r="B8198" s="15" t="s">
        <v>16124</v>
      </c>
      <c r="C8198" s="16">
        <f>60/(1+B2)</f>
        <v>60</v>
      </c>
      <c r="D8198" s="17" t="s">
        <v>11</v>
      </c>
      <c r="E8198" s="17"/>
      <c r="F8198" s="18"/>
      <c r="G8198" s="36" t="str">
        <f>IF(ISNUMBER(F8198),C8198*F8198,"")</f>
        <v/>
      </c>
    </row>
    <row r="8199" spans="1:7" ht="12" customHeight="1" outlineLevel="3" x14ac:dyDescent="0.2">
      <c r="A8199" s="14" t="s">
        <v>16125</v>
      </c>
      <c r="B8199" s="15" t="s">
        <v>16126</v>
      </c>
      <c r="C8199" s="16">
        <f>100.58/(1+B2)</f>
        <v>100.58</v>
      </c>
      <c r="D8199" s="17" t="s">
        <v>11</v>
      </c>
      <c r="E8199" s="17"/>
      <c r="F8199" s="18"/>
      <c r="G8199" s="36" t="str">
        <f>IF(ISNUMBER(F8199),C8199*F8199,"")</f>
        <v/>
      </c>
    </row>
    <row r="8200" spans="1:7" ht="12" customHeight="1" outlineLevel="3" x14ac:dyDescent="0.2">
      <c r="A8200" s="14" t="s">
        <v>16127</v>
      </c>
      <c r="B8200" s="15" t="s">
        <v>16128</v>
      </c>
      <c r="C8200" s="16">
        <f>100.58/(1+B2)</f>
        <v>100.58</v>
      </c>
      <c r="D8200" s="17" t="s">
        <v>11</v>
      </c>
      <c r="E8200" s="17"/>
      <c r="F8200" s="18"/>
      <c r="G8200" s="36" t="str">
        <f>IF(ISNUMBER(F8200),C8200*F8200,"")</f>
        <v/>
      </c>
    </row>
    <row r="8201" spans="1:7" ht="12" customHeight="1" outlineLevel="3" x14ac:dyDescent="0.2">
      <c r="A8201" s="14" t="s">
        <v>16129</v>
      </c>
      <c r="B8201" s="15" t="s">
        <v>16130</v>
      </c>
      <c r="C8201" s="16">
        <f>154.74/(1+B2)</f>
        <v>154.74</v>
      </c>
      <c r="D8201" s="17" t="s">
        <v>11</v>
      </c>
      <c r="E8201" s="17"/>
      <c r="F8201" s="18"/>
      <c r="G8201" s="36" t="str">
        <f>IF(ISNUMBER(F8201),C8201*F8201,"")</f>
        <v/>
      </c>
    </row>
    <row r="8202" spans="1:7" ht="12" customHeight="1" outlineLevel="3" x14ac:dyDescent="0.2">
      <c r="A8202" s="14" t="s">
        <v>16131</v>
      </c>
      <c r="B8202" s="15" t="s">
        <v>16132</v>
      </c>
      <c r="C8202" s="16">
        <f>89.15/(1+B2)</f>
        <v>89.15</v>
      </c>
      <c r="D8202" s="17" t="s">
        <v>11</v>
      </c>
      <c r="E8202" s="17"/>
      <c r="F8202" s="18"/>
      <c r="G8202" s="36" t="str">
        <f>IF(ISNUMBER(F8202),C8202*F8202,"")</f>
        <v/>
      </c>
    </row>
    <row r="8203" spans="1:7" ht="12" customHeight="1" outlineLevel="3" x14ac:dyDescent="0.2">
      <c r="A8203" s="14" t="s">
        <v>16133</v>
      </c>
      <c r="B8203" s="15" t="s">
        <v>16134</v>
      </c>
      <c r="C8203" s="16">
        <f>96.05/(1+B2)</f>
        <v>96.05</v>
      </c>
      <c r="D8203" s="17" t="s">
        <v>11</v>
      </c>
      <c r="E8203" s="17"/>
      <c r="F8203" s="18"/>
      <c r="G8203" s="36" t="str">
        <f>IF(ISNUMBER(F8203),C8203*F8203,"")</f>
        <v/>
      </c>
    </row>
    <row r="8204" spans="1:7" ht="12" customHeight="1" outlineLevel="3" x14ac:dyDescent="0.2">
      <c r="A8204" s="14" t="s">
        <v>16135</v>
      </c>
      <c r="B8204" s="15" t="s">
        <v>16136</v>
      </c>
      <c r="C8204" s="16">
        <f>312.82/(1+B2)</f>
        <v>312.82</v>
      </c>
      <c r="D8204" s="17" t="s">
        <v>11</v>
      </c>
      <c r="E8204" s="17"/>
      <c r="F8204" s="18"/>
      <c r="G8204" s="36" t="str">
        <f>IF(ISNUMBER(F8204),C8204*F8204,"")</f>
        <v/>
      </c>
    </row>
    <row r="8205" spans="1:7" s="1" customFormat="1" ht="12.95" customHeight="1" outlineLevel="2" x14ac:dyDescent="0.2">
      <c r="A8205" s="20"/>
      <c r="B8205" s="21" t="s">
        <v>16137</v>
      </c>
      <c r="C8205" s="22"/>
      <c r="D8205" s="22"/>
      <c r="E8205" s="22"/>
      <c r="F8205" s="22"/>
      <c r="G8205" s="37"/>
    </row>
    <row r="8206" spans="1:7" ht="12" customHeight="1" outlineLevel="3" x14ac:dyDescent="0.2">
      <c r="A8206" s="14" t="s">
        <v>16138</v>
      </c>
      <c r="B8206" s="15" t="s">
        <v>16139</v>
      </c>
      <c r="C8206" s="16">
        <f>36/(1+B2)</f>
        <v>36</v>
      </c>
      <c r="D8206" s="17" t="s">
        <v>11</v>
      </c>
      <c r="E8206" s="17"/>
      <c r="F8206" s="18"/>
      <c r="G8206" s="36" t="str">
        <f>IF(ISNUMBER(F8206),C8206*F8206,"")</f>
        <v/>
      </c>
    </row>
    <row r="8207" spans="1:7" ht="12" customHeight="1" outlineLevel="3" x14ac:dyDescent="0.2">
      <c r="A8207" s="14" t="s">
        <v>16140</v>
      </c>
      <c r="B8207" s="15" t="s">
        <v>16141</v>
      </c>
      <c r="C8207" s="16">
        <f>39.6/(1+B2)</f>
        <v>39.6</v>
      </c>
      <c r="D8207" s="17" t="s">
        <v>11</v>
      </c>
      <c r="E8207" s="17"/>
      <c r="F8207" s="18"/>
      <c r="G8207" s="36" t="str">
        <f>IF(ISNUMBER(F8207),C8207*F8207,"")</f>
        <v/>
      </c>
    </row>
    <row r="8208" spans="1:7" ht="12" customHeight="1" outlineLevel="3" x14ac:dyDescent="0.2">
      <c r="A8208" s="14" t="s">
        <v>16142</v>
      </c>
      <c r="B8208" s="15" t="s">
        <v>16143</v>
      </c>
      <c r="C8208" s="16">
        <f>4.45/(1+B2)</f>
        <v>4.45</v>
      </c>
      <c r="D8208" s="17" t="s">
        <v>106</v>
      </c>
      <c r="E8208" s="17" t="s">
        <v>106</v>
      </c>
      <c r="F8208" s="18"/>
      <c r="G8208" s="36" t="str">
        <f>IF(ISNUMBER(F8208),C8208*F8208,"")</f>
        <v/>
      </c>
    </row>
    <row r="8209" spans="1:7" ht="12" customHeight="1" outlineLevel="3" x14ac:dyDescent="0.2">
      <c r="A8209" s="14" t="s">
        <v>16144</v>
      </c>
      <c r="B8209" s="15" t="s">
        <v>16145</v>
      </c>
      <c r="C8209" s="16">
        <f>2.2/(1+B2)</f>
        <v>2.2000000000000002</v>
      </c>
      <c r="D8209" s="17" t="s">
        <v>106</v>
      </c>
      <c r="E8209" s="17" t="s">
        <v>106</v>
      </c>
      <c r="F8209" s="18"/>
      <c r="G8209" s="36" t="str">
        <f>IF(ISNUMBER(F8209),C8209*F8209,"")</f>
        <v/>
      </c>
    </row>
    <row r="8210" spans="1:7" ht="12" customHeight="1" outlineLevel="3" x14ac:dyDescent="0.2">
      <c r="A8210" s="14" t="s">
        <v>16146</v>
      </c>
      <c r="B8210" s="15" t="s">
        <v>16147</v>
      </c>
      <c r="C8210" s="16">
        <f>6.94/(1+B2)</f>
        <v>6.94</v>
      </c>
      <c r="D8210" s="17" t="s">
        <v>53</v>
      </c>
      <c r="E8210" s="17"/>
      <c r="F8210" s="18"/>
      <c r="G8210" s="36" t="str">
        <f>IF(ISNUMBER(F8210),C8210*F8210,"")</f>
        <v/>
      </c>
    </row>
    <row r="8211" spans="1:7" ht="12" customHeight="1" outlineLevel="3" x14ac:dyDescent="0.2">
      <c r="A8211" s="14" t="s">
        <v>16148</v>
      </c>
      <c r="B8211" s="15" t="s">
        <v>16149</v>
      </c>
      <c r="C8211" s="16">
        <f>12.3/(1+B2)</f>
        <v>12.3</v>
      </c>
      <c r="D8211" s="17" t="s">
        <v>14</v>
      </c>
      <c r="E8211" s="17"/>
      <c r="F8211" s="18"/>
      <c r="G8211" s="36" t="str">
        <f>IF(ISNUMBER(F8211),C8211*F8211,"")</f>
        <v/>
      </c>
    </row>
    <row r="8212" spans="1:7" ht="12" customHeight="1" outlineLevel="3" x14ac:dyDescent="0.2">
      <c r="A8212" s="14" t="s">
        <v>16150</v>
      </c>
      <c r="B8212" s="15" t="s">
        <v>16151</v>
      </c>
      <c r="C8212" s="16">
        <f>13.18/(1+B2)</f>
        <v>13.18</v>
      </c>
      <c r="D8212" s="17" t="s">
        <v>106</v>
      </c>
      <c r="E8212" s="17" t="s">
        <v>106</v>
      </c>
      <c r="F8212" s="18"/>
      <c r="G8212" s="36" t="str">
        <f>IF(ISNUMBER(F8212),C8212*F8212,"")</f>
        <v/>
      </c>
    </row>
    <row r="8213" spans="1:7" ht="12" customHeight="1" outlineLevel="3" x14ac:dyDescent="0.2">
      <c r="A8213" s="14" t="s">
        <v>16152</v>
      </c>
      <c r="B8213" s="15" t="s">
        <v>16153</v>
      </c>
      <c r="C8213" s="16">
        <f>12.06/(1+B2)</f>
        <v>12.06</v>
      </c>
      <c r="D8213" s="17" t="s">
        <v>106</v>
      </c>
      <c r="E8213" s="17" t="s">
        <v>11</v>
      </c>
      <c r="F8213" s="18"/>
      <c r="G8213" s="36" t="str">
        <f>IF(ISNUMBER(F8213),C8213*F8213,"")</f>
        <v/>
      </c>
    </row>
    <row r="8214" spans="1:7" ht="12" customHeight="1" outlineLevel="3" x14ac:dyDescent="0.2">
      <c r="A8214" s="14" t="s">
        <v>16154</v>
      </c>
      <c r="B8214" s="15" t="s">
        <v>16155</v>
      </c>
      <c r="C8214" s="16">
        <f>6.88/(1+B2)</f>
        <v>6.88</v>
      </c>
      <c r="D8214" s="17" t="s">
        <v>106</v>
      </c>
      <c r="E8214" s="17"/>
      <c r="F8214" s="18"/>
      <c r="G8214" s="36" t="str">
        <f>IF(ISNUMBER(F8214),C8214*F8214,"")</f>
        <v/>
      </c>
    </row>
    <row r="8215" spans="1:7" ht="12" customHeight="1" outlineLevel="3" x14ac:dyDescent="0.2">
      <c r="A8215" s="14" t="s">
        <v>16156</v>
      </c>
      <c r="B8215" s="15" t="s">
        <v>16157</v>
      </c>
      <c r="C8215" s="16">
        <f>42.73/(1+B2)</f>
        <v>42.73</v>
      </c>
      <c r="D8215" s="17" t="s">
        <v>53</v>
      </c>
      <c r="E8215" s="17"/>
      <c r="F8215" s="18"/>
      <c r="G8215" s="36" t="str">
        <f>IF(ISNUMBER(F8215),C8215*F8215,"")</f>
        <v/>
      </c>
    </row>
    <row r="8216" spans="1:7" ht="12" customHeight="1" outlineLevel="3" x14ac:dyDescent="0.2">
      <c r="A8216" s="14" t="s">
        <v>16158</v>
      </c>
      <c r="B8216" s="15" t="s">
        <v>16159</v>
      </c>
      <c r="C8216" s="16">
        <f>28.65/(1+B2)</f>
        <v>28.65</v>
      </c>
      <c r="D8216" s="17" t="s">
        <v>14</v>
      </c>
      <c r="E8216" s="17"/>
      <c r="F8216" s="18"/>
      <c r="G8216" s="36" t="str">
        <f>IF(ISNUMBER(F8216),C8216*F8216,"")</f>
        <v/>
      </c>
    </row>
    <row r="8217" spans="1:7" ht="12" customHeight="1" outlineLevel="3" x14ac:dyDescent="0.2">
      <c r="A8217" s="14" t="s">
        <v>16160</v>
      </c>
      <c r="B8217" s="15" t="s">
        <v>16161</v>
      </c>
      <c r="C8217" s="16">
        <f>28.19/(1+B2)</f>
        <v>28.19</v>
      </c>
      <c r="D8217" s="17" t="s">
        <v>53</v>
      </c>
      <c r="E8217" s="17"/>
      <c r="F8217" s="18"/>
      <c r="G8217" s="36" t="str">
        <f>IF(ISNUMBER(F8217),C8217*F8217,"")</f>
        <v/>
      </c>
    </row>
    <row r="8218" spans="1:7" ht="12" customHeight="1" outlineLevel="3" x14ac:dyDescent="0.2">
      <c r="A8218" s="14" t="s">
        <v>16162</v>
      </c>
      <c r="B8218" s="15" t="s">
        <v>16163</v>
      </c>
      <c r="C8218" s="16">
        <f>19.91/(1+B2)</f>
        <v>19.91</v>
      </c>
      <c r="D8218" s="17" t="s">
        <v>11</v>
      </c>
      <c r="E8218" s="17"/>
      <c r="F8218" s="18"/>
      <c r="G8218" s="36" t="str">
        <f>IF(ISNUMBER(F8218),C8218*F8218,"")</f>
        <v/>
      </c>
    </row>
    <row r="8219" spans="1:7" ht="12" customHeight="1" outlineLevel="3" x14ac:dyDescent="0.2">
      <c r="A8219" s="14" t="s">
        <v>16164</v>
      </c>
      <c r="B8219" s="15" t="s">
        <v>16165</v>
      </c>
      <c r="C8219" s="16">
        <f>22.6/(1+B2)</f>
        <v>22.6</v>
      </c>
      <c r="D8219" s="17" t="s">
        <v>11</v>
      </c>
      <c r="E8219" s="17"/>
      <c r="F8219" s="18"/>
      <c r="G8219" s="36" t="str">
        <f>IF(ISNUMBER(F8219),C8219*F8219,"")</f>
        <v/>
      </c>
    </row>
    <row r="8220" spans="1:7" ht="12" customHeight="1" outlineLevel="3" x14ac:dyDescent="0.2">
      <c r="A8220" s="14" t="s">
        <v>16166</v>
      </c>
      <c r="B8220" s="15" t="s">
        <v>16167</v>
      </c>
      <c r="C8220" s="16">
        <f>5.95/(1+B2)</f>
        <v>5.95</v>
      </c>
      <c r="D8220" s="17" t="s">
        <v>106</v>
      </c>
      <c r="E8220" s="17" t="s">
        <v>106</v>
      </c>
      <c r="F8220" s="18"/>
      <c r="G8220" s="36" t="str">
        <f>IF(ISNUMBER(F8220),C8220*F8220,"")</f>
        <v/>
      </c>
    </row>
    <row r="8221" spans="1:7" ht="12" customHeight="1" outlineLevel="3" x14ac:dyDescent="0.2">
      <c r="A8221" s="14" t="s">
        <v>16168</v>
      </c>
      <c r="B8221" s="15" t="s">
        <v>16169</v>
      </c>
      <c r="C8221" s="16">
        <f>6.18/(1+B2)</f>
        <v>6.18</v>
      </c>
      <c r="D8221" s="17" t="s">
        <v>53</v>
      </c>
      <c r="E8221" s="17"/>
      <c r="F8221" s="18"/>
      <c r="G8221" s="36" t="str">
        <f>IF(ISNUMBER(F8221),C8221*F8221,"")</f>
        <v/>
      </c>
    </row>
    <row r="8222" spans="1:7" ht="12" customHeight="1" outlineLevel="3" x14ac:dyDescent="0.2">
      <c r="A8222" s="14" t="s">
        <v>16170</v>
      </c>
      <c r="B8222" s="15" t="s">
        <v>16171</v>
      </c>
      <c r="C8222" s="16">
        <f>5.05/(1+B2)</f>
        <v>5.05</v>
      </c>
      <c r="D8222" s="17" t="s">
        <v>106</v>
      </c>
      <c r="E8222" s="17" t="s">
        <v>106</v>
      </c>
      <c r="F8222" s="18"/>
      <c r="G8222" s="36" t="str">
        <f>IF(ISNUMBER(F8222),C8222*F8222,"")</f>
        <v/>
      </c>
    </row>
    <row r="8223" spans="1:7" ht="12" customHeight="1" outlineLevel="3" x14ac:dyDescent="0.2">
      <c r="A8223" s="14" t="s">
        <v>16172</v>
      </c>
      <c r="B8223" s="15" t="s">
        <v>16173</v>
      </c>
      <c r="C8223" s="16">
        <f>17.21/(1+B2)</f>
        <v>17.21</v>
      </c>
      <c r="D8223" s="17" t="s">
        <v>11</v>
      </c>
      <c r="E8223" s="17" t="s">
        <v>11</v>
      </c>
      <c r="F8223" s="18"/>
      <c r="G8223" s="36" t="str">
        <f>IF(ISNUMBER(F8223),C8223*F8223,"")</f>
        <v/>
      </c>
    </row>
    <row r="8224" spans="1:7" ht="12" customHeight="1" outlineLevel="3" x14ac:dyDescent="0.2">
      <c r="A8224" s="14" t="s">
        <v>16174</v>
      </c>
      <c r="B8224" s="15" t="s">
        <v>16175</v>
      </c>
      <c r="C8224" s="16">
        <f>7.26/(1+B2)</f>
        <v>7.26</v>
      </c>
      <c r="D8224" s="17" t="s">
        <v>53</v>
      </c>
      <c r="E8224" s="17" t="s">
        <v>106</v>
      </c>
      <c r="F8224" s="18"/>
      <c r="G8224" s="36" t="str">
        <f>IF(ISNUMBER(F8224),C8224*F8224,"")</f>
        <v/>
      </c>
    </row>
    <row r="8225" spans="1:7" ht="12" customHeight="1" outlineLevel="3" x14ac:dyDescent="0.2">
      <c r="A8225" s="14" t="s">
        <v>16176</v>
      </c>
      <c r="B8225" s="15" t="s">
        <v>16177</v>
      </c>
      <c r="C8225" s="16">
        <f>7.53/(1+B2)</f>
        <v>7.53</v>
      </c>
      <c r="D8225" s="17" t="s">
        <v>106</v>
      </c>
      <c r="E8225" s="17"/>
      <c r="F8225" s="18"/>
      <c r="G8225" s="36" t="str">
        <f>IF(ISNUMBER(F8225),C8225*F8225,"")</f>
        <v/>
      </c>
    </row>
    <row r="8226" spans="1:7" ht="24" customHeight="1" outlineLevel="3" x14ac:dyDescent="0.2">
      <c r="A8226" s="14" t="s">
        <v>16178</v>
      </c>
      <c r="B8226" s="15" t="s">
        <v>16179</v>
      </c>
      <c r="C8226" s="16">
        <f>25.66/(1+B2)</f>
        <v>25.66</v>
      </c>
      <c r="D8226" s="17" t="s">
        <v>11</v>
      </c>
      <c r="E8226" s="17"/>
      <c r="F8226" s="18"/>
      <c r="G8226" s="36" t="str">
        <f>IF(ISNUMBER(F8226),C8226*F8226,"")</f>
        <v/>
      </c>
    </row>
    <row r="8227" spans="1:7" ht="12" customHeight="1" outlineLevel="3" x14ac:dyDescent="0.2">
      <c r="A8227" s="14" t="s">
        <v>16180</v>
      </c>
      <c r="B8227" s="15" t="s">
        <v>16181</v>
      </c>
      <c r="C8227" s="16">
        <f>7.72/(1+B2)</f>
        <v>7.72</v>
      </c>
      <c r="D8227" s="17" t="s">
        <v>53</v>
      </c>
      <c r="E8227" s="17" t="s">
        <v>53</v>
      </c>
      <c r="F8227" s="18"/>
      <c r="G8227" s="36" t="str">
        <f>IF(ISNUMBER(F8227),C8227*F8227,"")</f>
        <v/>
      </c>
    </row>
    <row r="8228" spans="1:7" ht="12" customHeight="1" outlineLevel="3" x14ac:dyDescent="0.2">
      <c r="A8228" s="14" t="s">
        <v>16182</v>
      </c>
      <c r="B8228" s="15" t="s">
        <v>16183</v>
      </c>
      <c r="C8228" s="16">
        <f>14.34/(1+B2)</f>
        <v>14.34</v>
      </c>
      <c r="D8228" s="17" t="s">
        <v>106</v>
      </c>
      <c r="E8228" s="17" t="s">
        <v>53</v>
      </c>
      <c r="F8228" s="18"/>
      <c r="G8228" s="36" t="str">
        <f>IF(ISNUMBER(F8228),C8228*F8228,"")</f>
        <v/>
      </c>
    </row>
    <row r="8229" spans="1:7" s="1" customFormat="1" ht="12.95" customHeight="1" outlineLevel="2" x14ac:dyDescent="0.2">
      <c r="A8229" s="20"/>
      <c r="B8229" s="21" t="s">
        <v>16184</v>
      </c>
      <c r="C8229" s="22"/>
      <c r="D8229" s="22"/>
      <c r="E8229" s="22"/>
      <c r="F8229" s="22"/>
      <c r="G8229" s="37"/>
    </row>
    <row r="8230" spans="1:7" ht="12" customHeight="1" outlineLevel="3" x14ac:dyDescent="0.2">
      <c r="A8230" s="14" t="s">
        <v>16185</v>
      </c>
      <c r="B8230" s="15" t="s">
        <v>16186</v>
      </c>
      <c r="C8230" s="16">
        <f>62.46/(1+B2)</f>
        <v>62.46</v>
      </c>
      <c r="D8230" s="17" t="s">
        <v>11</v>
      </c>
      <c r="E8230" s="17"/>
      <c r="F8230" s="18"/>
      <c r="G8230" s="36" t="str">
        <f>IF(ISNUMBER(F8230),C8230*F8230,"")</f>
        <v/>
      </c>
    </row>
    <row r="8231" spans="1:7" ht="12" customHeight="1" outlineLevel="3" x14ac:dyDescent="0.2">
      <c r="A8231" s="14" t="s">
        <v>16187</v>
      </c>
      <c r="B8231" s="15" t="s">
        <v>16188</v>
      </c>
      <c r="C8231" s="16">
        <f>161.75/(1+B2)</f>
        <v>161.75</v>
      </c>
      <c r="D8231" s="17" t="s">
        <v>14</v>
      </c>
      <c r="E8231" s="17"/>
      <c r="F8231" s="18"/>
      <c r="G8231" s="36" t="str">
        <f>IF(ISNUMBER(F8231),C8231*F8231,"")</f>
        <v/>
      </c>
    </row>
    <row r="8232" spans="1:7" ht="12" customHeight="1" outlineLevel="3" x14ac:dyDescent="0.2">
      <c r="A8232" s="14" t="s">
        <v>16189</v>
      </c>
      <c r="B8232" s="15" t="s">
        <v>16190</v>
      </c>
      <c r="C8232" s="16">
        <f>25.96/(1+B2)</f>
        <v>25.96</v>
      </c>
      <c r="D8232" s="17" t="s">
        <v>11</v>
      </c>
      <c r="E8232" s="17"/>
      <c r="F8232" s="18"/>
      <c r="G8232" s="36" t="str">
        <f>IF(ISNUMBER(F8232),C8232*F8232,"")</f>
        <v/>
      </c>
    </row>
    <row r="8233" spans="1:7" ht="12" customHeight="1" outlineLevel="3" x14ac:dyDescent="0.2">
      <c r="A8233" s="14" t="s">
        <v>16191</v>
      </c>
      <c r="B8233" s="15" t="s">
        <v>16192</v>
      </c>
      <c r="C8233" s="16">
        <f>284.36/(1+B2)</f>
        <v>284.36</v>
      </c>
      <c r="D8233" s="17" t="s">
        <v>11</v>
      </c>
      <c r="E8233" s="17" t="s">
        <v>11</v>
      </c>
      <c r="F8233" s="18"/>
      <c r="G8233" s="36" t="str">
        <f>IF(ISNUMBER(F8233),C8233*F8233,"")</f>
        <v/>
      </c>
    </row>
    <row r="8234" spans="1:7" ht="12" customHeight="1" outlineLevel="3" x14ac:dyDescent="0.2">
      <c r="A8234" s="14" t="s">
        <v>16193</v>
      </c>
      <c r="B8234" s="15" t="s">
        <v>16194</v>
      </c>
      <c r="C8234" s="16">
        <f>303.66/(1+B2)</f>
        <v>303.66000000000003</v>
      </c>
      <c r="D8234" s="17" t="s">
        <v>11</v>
      </c>
      <c r="E8234" s="17"/>
      <c r="F8234" s="18"/>
      <c r="G8234" s="36" t="str">
        <f>IF(ISNUMBER(F8234),C8234*F8234,"")</f>
        <v/>
      </c>
    </row>
    <row r="8235" spans="1:7" ht="12" customHeight="1" outlineLevel="3" x14ac:dyDescent="0.2">
      <c r="A8235" s="14" t="s">
        <v>16195</v>
      </c>
      <c r="B8235" s="15" t="s">
        <v>16196</v>
      </c>
      <c r="C8235" s="16">
        <f>328.84/(1+B2)</f>
        <v>328.84</v>
      </c>
      <c r="D8235" s="17" t="s">
        <v>11</v>
      </c>
      <c r="E8235" s="17"/>
      <c r="F8235" s="18"/>
      <c r="G8235" s="36" t="str">
        <f>IF(ISNUMBER(F8235),C8235*F8235,"")</f>
        <v/>
      </c>
    </row>
    <row r="8236" spans="1:7" ht="12" customHeight="1" outlineLevel="3" x14ac:dyDescent="0.2">
      <c r="A8236" s="14" t="s">
        <v>16197</v>
      </c>
      <c r="B8236" s="15" t="s">
        <v>16198</v>
      </c>
      <c r="C8236" s="16">
        <f>321.23/(1+B2)</f>
        <v>321.23</v>
      </c>
      <c r="D8236" s="17" t="s">
        <v>11</v>
      </c>
      <c r="E8236" s="17"/>
      <c r="F8236" s="18"/>
      <c r="G8236" s="36" t="str">
        <f>IF(ISNUMBER(F8236),C8236*F8236,"")</f>
        <v/>
      </c>
    </row>
    <row r="8237" spans="1:7" ht="12" customHeight="1" outlineLevel="3" x14ac:dyDescent="0.2">
      <c r="A8237" s="14" t="s">
        <v>16199</v>
      </c>
      <c r="B8237" s="15" t="s">
        <v>16200</v>
      </c>
      <c r="C8237" s="16">
        <f>338.2/(1+B2)</f>
        <v>338.2</v>
      </c>
      <c r="D8237" s="17" t="s">
        <v>11</v>
      </c>
      <c r="E8237" s="17"/>
      <c r="F8237" s="18"/>
      <c r="G8237" s="36" t="str">
        <f>IF(ISNUMBER(F8237),C8237*F8237,"")</f>
        <v/>
      </c>
    </row>
    <row r="8238" spans="1:7" ht="12" customHeight="1" outlineLevel="3" x14ac:dyDescent="0.2">
      <c r="A8238" s="14" t="s">
        <v>16201</v>
      </c>
      <c r="B8238" s="15" t="s">
        <v>16202</v>
      </c>
      <c r="C8238" s="16">
        <f>255.1/(1+B2)</f>
        <v>255.1</v>
      </c>
      <c r="D8238" s="17" t="s">
        <v>11</v>
      </c>
      <c r="E8238" s="17" t="s">
        <v>11</v>
      </c>
      <c r="F8238" s="18"/>
      <c r="G8238" s="36" t="str">
        <f>IF(ISNUMBER(F8238),C8238*F8238,"")</f>
        <v/>
      </c>
    </row>
    <row r="8239" spans="1:7" ht="12" customHeight="1" outlineLevel="3" x14ac:dyDescent="0.2">
      <c r="A8239" s="14" t="s">
        <v>16203</v>
      </c>
      <c r="B8239" s="15" t="s">
        <v>16204</v>
      </c>
      <c r="C8239" s="16">
        <f>70.23/(1+B2)</f>
        <v>70.23</v>
      </c>
      <c r="D8239" s="17" t="s">
        <v>11</v>
      </c>
      <c r="E8239" s="17"/>
      <c r="F8239" s="18"/>
      <c r="G8239" s="36" t="str">
        <f>IF(ISNUMBER(F8239),C8239*F8239,"")</f>
        <v/>
      </c>
    </row>
    <row r="8240" spans="1:7" ht="12" customHeight="1" outlineLevel="3" x14ac:dyDescent="0.2">
      <c r="A8240" s="14" t="s">
        <v>16205</v>
      </c>
      <c r="B8240" s="15" t="s">
        <v>16206</v>
      </c>
      <c r="C8240" s="16">
        <f>104.5/(1+B2)</f>
        <v>104.5</v>
      </c>
      <c r="D8240" s="17" t="s">
        <v>11</v>
      </c>
      <c r="E8240" s="17" t="s">
        <v>11</v>
      </c>
      <c r="F8240" s="18"/>
      <c r="G8240" s="36" t="str">
        <f>IF(ISNUMBER(F8240),C8240*F8240,"")</f>
        <v/>
      </c>
    </row>
    <row r="8241" spans="1:7" ht="12" customHeight="1" outlineLevel="3" x14ac:dyDescent="0.2">
      <c r="A8241" s="14" t="s">
        <v>16207</v>
      </c>
      <c r="B8241" s="15" t="s">
        <v>16208</v>
      </c>
      <c r="C8241" s="16">
        <f>29.64/(1+B2)</f>
        <v>29.64</v>
      </c>
      <c r="D8241" s="17" t="s">
        <v>11</v>
      </c>
      <c r="E8241" s="17" t="s">
        <v>53</v>
      </c>
      <c r="F8241" s="18"/>
      <c r="G8241" s="36" t="str">
        <f>IF(ISNUMBER(F8241),C8241*F8241,"")</f>
        <v/>
      </c>
    </row>
    <row r="8242" spans="1:7" ht="12" customHeight="1" outlineLevel="3" x14ac:dyDescent="0.2">
      <c r="A8242" s="14" t="s">
        <v>16209</v>
      </c>
      <c r="B8242" s="15" t="s">
        <v>16210</v>
      </c>
      <c r="C8242" s="16">
        <f>42.04/(1+B2)</f>
        <v>42.04</v>
      </c>
      <c r="D8242" s="17" t="s">
        <v>11</v>
      </c>
      <c r="E8242" s="17"/>
      <c r="F8242" s="18"/>
      <c r="G8242" s="36" t="str">
        <f>IF(ISNUMBER(F8242),C8242*F8242,"")</f>
        <v/>
      </c>
    </row>
    <row r="8243" spans="1:7" ht="12" customHeight="1" outlineLevel="3" x14ac:dyDescent="0.2">
      <c r="A8243" s="14" t="s">
        <v>16211</v>
      </c>
      <c r="B8243" s="15" t="s">
        <v>16212</v>
      </c>
      <c r="C8243" s="16">
        <f>51.83/(1+B2)</f>
        <v>51.83</v>
      </c>
      <c r="D8243" s="17" t="s">
        <v>14</v>
      </c>
      <c r="E8243" s="17" t="s">
        <v>106</v>
      </c>
      <c r="F8243" s="18"/>
      <c r="G8243" s="36" t="str">
        <f>IF(ISNUMBER(F8243),C8243*F8243,"")</f>
        <v/>
      </c>
    </row>
    <row r="8244" spans="1:7" ht="12" customHeight="1" outlineLevel="3" x14ac:dyDescent="0.2">
      <c r="A8244" s="14" t="s">
        <v>16213</v>
      </c>
      <c r="B8244" s="15" t="s">
        <v>16214</v>
      </c>
      <c r="C8244" s="16">
        <f>49.22/(1+B2)</f>
        <v>49.22</v>
      </c>
      <c r="D8244" s="17" t="s">
        <v>11</v>
      </c>
      <c r="E8244" s="17" t="s">
        <v>106</v>
      </c>
      <c r="F8244" s="18"/>
      <c r="G8244" s="36" t="str">
        <f>IF(ISNUMBER(F8244),C8244*F8244,"")</f>
        <v/>
      </c>
    </row>
    <row r="8245" spans="1:7" ht="12" customHeight="1" outlineLevel="3" x14ac:dyDescent="0.2">
      <c r="A8245" s="14" t="s">
        <v>16215</v>
      </c>
      <c r="B8245" s="15" t="s">
        <v>16216</v>
      </c>
      <c r="C8245" s="16">
        <f>39.99/(1+B2)</f>
        <v>39.99</v>
      </c>
      <c r="D8245" s="17" t="s">
        <v>11</v>
      </c>
      <c r="E8245" s="17"/>
      <c r="F8245" s="18"/>
      <c r="G8245" s="36" t="str">
        <f>IF(ISNUMBER(F8245),C8245*F8245,"")</f>
        <v/>
      </c>
    </row>
    <row r="8246" spans="1:7" ht="12" customHeight="1" outlineLevel="3" x14ac:dyDescent="0.2">
      <c r="A8246" s="14" t="s">
        <v>16217</v>
      </c>
      <c r="B8246" s="15" t="s">
        <v>16218</v>
      </c>
      <c r="C8246" s="16">
        <f>44.76/(1+B2)</f>
        <v>44.76</v>
      </c>
      <c r="D8246" s="17" t="s">
        <v>11</v>
      </c>
      <c r="E8246" s="17" t="s">
        <v>53</v>
      </c>
      <c r="F8246" s="18"/>
      <c r="G8246" s="36" t="str">
        <f>IF(ISNUMBER(F8246),C8246*F8246,"")</f>
        <v/>
      </c>
    </row>
    <row r="8247" spans="1:7" ht="12" customHeight="1" outlineLevel="3" x14ac:dyDescent="0.2">
      <c r="A8247" s="14" t="s">
        <v>16219</v>
      </c>
      <c r="B8247" s="15" t="s">
        <v>16220</v>
      </c>
      <c r="C8247" s="16">
        <f>46.5/(1+B2)</f>
        <v>46.5</v>
      </c>
      <c r="D8247" s="17" t="s">
        <v>11</v>
      </c>
      <c r="E8247" s="17" t="s">
        <v>53</v>
      </c>
      <c r="F8247" s="18"/>
      <c r="G8247" s="36" t="str">
        <f>IF(ISNUMBER(F8247),C8247*F8247,"")</f>
        <v/>
      </c>
    </row>
    <row r="8248" spans="1:7" ht="12" customHeight="1" outlineLevel="3" x14ac:dyDescent="0.2">
      <c r="A8248" s="14" t="s">
        <v>16221</v>
      </c>
      <c r="B8248" s="15" t="s">
        <v>16222</v>
      </c>
      <c r="C8248" s="16">
        <f>38.43/(1+B2)</f>
        <v>38.43</v>
      </c>
      <c r="D8248" s="17" t="s">
        <v>53</v>
      </c>
      <c r="E8248" s="17" t="s">
        <v>106</v>
      </c>
      <c r="F8248" s="18"/>
      <c r="G8248" s="36" t="str">
        <f>IF(ISNUMBER(F8248),C8248*F8248,"")</f>
        <v/>
      </c>
    </row>
    <row r="8249" spans="1:7" ht="24" customHeight="1" outlineLevel="3" x14ac:dyDescent="0.2">
      <c r="A8249" s="14" t="s">
        <v>16223</v>
      </c>
      <c r="B8249" s="15" t="s">
        <v>16224</v>
      </c>
      <c r="C8249" s="16">
        <f>43.94/(1+B2)</f>
        <v>43.94</v>
      </c>
      <c r="D8249" s="17" t="s">
        <v>53</v>
      </c>
      <c r="E8249" s="17" t="s">
        <v>53</v>
      </c>
      <c r="F8249" s="18"/>
      <c r="G8249" s="36" t="str">
        <f>IF(ISNUMBER(F8249),C8249*F8249,"")</f>
        <v/>
      </c>
    </row>
    <row r="8250" spans="1:7" ht="12" customHeight="1" outlineLevel="3" x14ac:dyDescent="0.2">
      <c r="A8250" s="14" t="s">
        <v>16225</v>
      </c>
      <c r="B8250" s="15" t="s">
        <v>16226</v>
      </c>
      <c r="C8250" s="16">
        <f>32.41/(1+B2)</f>
        <v>32.409999999999997</v>
      </c>
      <c r="D8250" s="17" t="s">
        <v>11</v>
      </c>
      <c r="E8250" s="17" t="s">
        <v>106</v>
      </c>
      <c r="F8250" s="18"/>
      <c r="G8250" s="36" t="str">
        <f>IF(ISNUMBER(F8250),C8250*F8250,"")</f>
        <v/>
      </c>
    </row>
    <row r="8251" spans="1:7" ht="12" customHeight="1" outlineLevel="3" x14ac:dyDescent="0.2">
      <c r="A8251" s="14" t="s">
        <v>16227</v>
      </c>
      <c r="B8251" s="15" t="s">
        <v>16228</v>
      </c>
      <c r="C8251" s="16">
        <f>54.41/(1+B2)</f>
        <v>54.41</v>
      </c>
      <c r="D8251" s="17" t="s">
        <v>11</v>
      </c>
      <c r="E8251" s="17"/>
      <c r="F8251" s="18"/>
      <c r="G8251" s="36" t="str">
        <f>IF(ISNUMBER(F8251),C8251*F8251,"")</f>
        <v/>
      </c>
    </row>
    <row r="8252" spans="1:7" ht="12" customHeight="1" outlineLevel="3" x14ac:dyDescent="0.2">
      <c r="A8252" s="14" t="s">
        <v>16229</v>
      </c>
      <c r="B8252" s="15" t="s">
        <v>16230</v>
      </c>
      <c r="C8252" s="16">
        <f>54.9/(1+B2)</f>
        <v>54.9</v>
      </c>
      <c r="D8252" s="17" t="s">
        <v>11</v>
      </c>
      <c r="E8252" s="17" t="s">
        <v>53</v>
      </c>
      <c r="F8252" s="18"/>
      <c r="G8252" s="36" t="str">
        <f>IF(ISNUMBER(F8252),C8252*F8252,"")</f>
        <v/>
      </c>
    </row>
    <row r="8253" spans="1:7" ht="12" customHeight="1" outlineLevel="3" x14ac:dyDescent="0.2">
      <c r="A8253" s="14" t="s">
        <v>16231</v>
      </c>
      <c r="B8253" s="15" t="s">
        <v>16232</v>
      </c>
      <c r="C8253" s="16">
        <f>48.69/(1+B2)</f>
        <v>48.69</v>
      </c>
      <c r="D8253" s="17" t="s">
        <v>14</v>
      </c>
      <c r="E8253" s="17"/>
      <c r="F8253" s="18"/>
      <c r="G8253" s="36" t="str">
        <f>IF(ISNUMBER(F8253),C8253*F8253,"")</f>
        <v/>
      </c>
    </row>
    <row r="8254" spans="1:7" s="1" customFormat="1" ht="12.95" customHeight="1" outlineLevel="2" x14ac:dyDescent="0.2">
      <c r="A8254" s="20"/>
      <c r="B8254" s="21" t="s">
        <v>16233</v>
      </c>
      <c r="C8254" s="22"/>
      <c r="D8254" s="22"/>
      <c r="E8254" s="22"/>
      <c r="F8254" s="22"/>
      <c r="G8254" s="37"/>
    </row>
    <row r="8255" spans="1:7" ht="24" customHeight="1" outlineLevel="3" x14ac:dyDescent="0.2">
      <c r="A8255" s="14" t="s">
        <v>16234</v>
      </c>
      <c r="B8255" s="15" t="s">
        <v>16235</v>
      </c>
      <c r="C8255" s="16">
        <f>112.6/(1+B2)</f>
        <v>112.6</v>
      </c>
      <c r="D8255" s="17" t="s">
        <v>11</v>
      </c>
      <c r="E8255" s="17"/>
      <c r="F8255" s="18"/>
      <c r="G8255" s="36" t="str">
        <f>IF(ISNUMBER(F8255),C8255*F8255,"")</f>
        <v/>
      </c>
    </row>
    <row r="8256" spans="1:7" ht="24" customHeight="1" outlineLevel="3" x14ac:dyDescent="0.2">
      <c r="A8256" s="14" t="s">
        <v>16236</v>
      </c>
      <c r="B8256" s="15" t="s">
        <v>16237</v>
      </c>
      <c r="C8256" s="16">
        <f>127.21/(1+B2)</f>
        <v>127.21</v>
      </c>
      <c r="D8256" s="17" t="s">
        <v>11</v>
      </c>
      <c r="E8256" s="17"/>
      <c r="F8256" s="18"/>
      <c r="G8256" s="36" t="str">
        <f>IF(ISNUMBER(F8256),C8256*F8256,"")</f>
        <v/>
      </c>
    </row>
    <row r="8257" spans="1:7" ht="12" customHeight="1" outlineLevel="3" x14ac:dyDescent="0.2">
      <c r="A8257" s="14" t="s">
        <v>16238</v>
      </c>
      <c r="B8257" s="15" t="s">
        <v>16239</v>
      </c>
      <c r="C8257" s="16">
        <f>137.9/(1+B2)</f>
        <v>137.9</v>
      </c>
      <c r="D8257" s="17" t="s">
        <v>11</v>
      </c>
      <c r="E8257" s="17" t="s">
        <v>11</v>
      </c>
      <c r="F8257" s="18"/>
      <c r="G8257" s="36" t="str">
        <f>IF(ISNUMBER(F8257),C8257*F8257,"")</f>
        <v/>
      </c>
    </row>
    <row r="8258" spans="1:7" ht="12" customHeight="1" outlineLevel="3" x14ac:dyDescent="0.2">
      <c r="A8258" s="14" t="s">
        <v>16240</v>
      </c>
      <c r="B8258" s="15" t="s">
        <v>16241</v>
      </c>
      <c r="C8258" s="16">
        <f>184.45/(1+B2)</f>
        <v>184.45</v>
      </c>
      <c r="D8258" s="17" t="s">
        <v>11</v>
      </c>
      <c r="E8258" s="17" t="s">
        <v>14</v>
      </c>
      <c r="F8258" s="18"/>
      <c r="G8258" s="36" t="str">
        <f>IF(ISNUMBER(F8258),C8258*F8258,"")</f>
        <v/>
      </c>
    </row>
    <row r="8259" spans="1:7" ht="12" customHeight="1" outlineLevel="3" x14ac:dyDescent="0.2">
      <c r="A8259" s="14" t="s">
        <v>16242</v>
      </c>
      <c r="B8259" s="15" t="s">
        <v>16243</v>
      </c>
      <c r="C8259" s="16">
        <f>167.91/(1+B2)</f>
        <v>167.91</v>
      </c>
      <c r="D8259" s="17" t="s">
        <v>11</v>
      </c>
      <c r="E8259" s="17" t="s">
        <v>11</v>
      </c>
      <c r="F8259" s="18"/>
      <c r="G8259" s="36" t="str">
        <f>IF(ISNUMBER(F8259),C8259*F8259,"")</f>
        <v/>
      </c>
    </row>
    <row r="8260" spans="1:7" ht="12" customHeight="1" outlineLevel="3" x14ac:dyDescent="0.2">
      <c r="A8260" s="14" t="s">
        <v>16244</v>
      </c>
      <c r="B8260" s="15" t="s">
        <v>16245</v>
      </c>
      <c r="C8260" s="16">
        <f>176.76/(1+B2)</f>
        <v>176.76</v>
      </c>
      <c r="D8260" s="17" t="s">
        <v>11</v>
      </c>
      <c r="E8260" s="17"/>
      <c r="F8260" s="18"/>
      <c r="G8260" s="36" t="str">
        <f>IF(ISNUMBER(F8260),C8260*F8260,"")</f>
        <v/>
      </c>
    </row>
    <row r="8261" spans="1:7" ht="12" customHeight="1" outlineLevel="3" x14ac:dyDescent="0.2">
      <c r="A8261" s="14" t="s">
        <v>16246</v>
      </c>
      <c r="B8261" s="15" t="s">
        <v>16247</v>
      </c>
      <c r="C8261" s="16">
        <f>207.76/(1+B2)</f>
        <v>207.76</v>
      </c>
      <c r="D8261" s="17" t="s">
        <v>11</v>
      </c>
      <c r="E8261" s="17" t="s">
        <v>11</v>
      </c>
      <c r="F8261" s="18"/>
      <c r="G8261" s="36" t="str">
        <f>IF(ISNUMBER(F8261),C8261*F8261,"")</f>
        <v/>
      </c>
    </row>
    <row r="8262" spans="1:7" ht="12" customHeight="1" outlineLevel="3" x14ac:dyDescent="0.2">
      <c r="A8262" s="14" t="s">
        <v>16248</v>
      </c>
      <c r="B8262" s="15" t="s">
        <v>16249</v>
      </c>
      <c r="C8262" s="16">
        <f>72.23/(1+B2)</f>
        <v>72.23</v>
      </c>
      <c r="D8262" s="17" t="s">
        <v>11</v>
      </c>
      <c r="E8262" s="17"/>
      <c r="F8262" s="18"/>
      <c r="G8262" s="36" t="str">
        <f>IF(ISNUMBER(F8262),C8262*F8262,"")</f>
        <v/>
      </c>
    </row>
    <row r="8263" spans="1:7" ht="12" customHeight="1" outlineLevel="3" x14ac:dyDescent="0.2">
      <c r="A8263" s="14" t="s">
        <v>16250</v>
      </c>
      <c r="B8263" s="15" t="s">
        <v>16251</v>
      </c>
      <c r="C8263" s="16">
        <f>60.75/(1+B2)</f>
        <v>60.75</v>
      </c>
      <c r="D8263" s="17" t="s">
        <v>14</v>
      </c>
      <c r="E8263" s="17" t="s">
        <v>14</v>
      </c>
      <c r="F8263" s="18"/>
      <c r="G8263" s="36" t="str">
        <f>IF(ISNUMBER(F8263),C8263*F8263,"")</f>
        <v/>
      </c>
    </row>
    <row r="8264" spans="1:7" ht="12" customHeight="1" outlineLevel="3" x14ac:dyDescent="0.2">
      <c r="A8264" s="14" t="s">
        <v>16252</v>
      </c>
      <c r="B8264" s="15" t="s">
        <v>16253</v>
      </c>
      <c r="C8264" s="16">
        <f>70.31/(1+B2)</f>
        <v>70.31</v>
      </c>
      <c r="D8264" s="17" t="s">
        <v>11</v>
      </c>
      <c r="E8264" s="17"/>
      <c r="F8264" s="18"/>
      <c r="G8264" s="36" t="str">
        <f>IF(ISNUMBER(F8264),C8264*F8264,"")</f>
        <v/>
      </c>
    </row>
    <row r="8265" spans="1:7" ht="12" customHeight="1" outlineLevel="3" x14ac:dyDescent="0.2">
      <c r="A8265" s="14" t="s">
        <v>16254</v>
      </c>
      <c r="B8265" s="15" t="s">
        <v>16255</v>
      </c>
      <c r="C8265" s="16">
        <f>82.13/(1+B2)</f>
        <v>82.13</v>
      </c>
      <c r="D8265" s="17" t="s">
        <v>11</v>
      </c>
      <c r="E8265" s="17" t="s">
        <v>14</v>
      </c>
      <c r="F8265" s="18"/>
      <c r="G8265" s="36" t="str">
        <f>IF(ISNUMBER(F8265),C8265*F8265,"")</f>
        <v/>
      </c>
    </row>
    <row r="8266" spans="1:7" ht="12" customHeight="1" outlineLevel="3" x14ac:dyDescent="0.2">
      <c r="A8266" s="14" t="s">
        <v>16256</v>
      </c>
      <c r="B8266" s="15" t="s">
        <v>16257</v>
      </c>
      <c r="C8266" s="16">
        <f>85.39/(1+B2)</f>
        <v>85.39</v>
      </c>
      <c r="D8266" s="17" t="s">
        <v>11</v>
      </c>
      <c r="E8266" s="17"/>
      <c r="F8266" s="18"/>
      <c r="G8266" s="36" t="str">
        <f>IF(ISNUMBER(F8266),C8266*F8266,"")</f>
        <v/>
      </c>
    </row>
    <row r="8267" spans="1:7" ht="12" customHeight="1" outlineLevel="3" x14ac:dyDescent="0.2">
      <c r="A8267" s="14" t="s">
        <v>16258</v>
      </c>
      <c r="B8267" s="15" t="s">
        <v>16259</v>
      </c>
      <c r="C8267" s="16">
        <f>95.29/(1+B2)</f>
        <v>95.29</v>
      </c>
      <c r="D8267" s="17" t="s">
        <v>53</v>
      </c>
      <c r="E8267" s="17"/>
      <c r="F8267" s="18"/>
      <c r="G8267" s="36" t="str">
        <f>IF(ISNUMBER(F8267),C8267*F8267,"")</f>
        <v/>
      </c>
    </row>
    <row r="8268" spans="1:7" ht="12" customHeight="1" outlineLevel="3" x14ac:dyDescent="0.2">
      <c r="A8268" s="14" t="s">
        <v>16260</v>
      </c>
      <c r="B8268" s="15" t="s">
        <v>16261</v>
      </c>
      <c r="C8268" s="16">
        <f>90.34/(1+B2)</f>
        <v>90.34</v>
      </c>
      <c r="D8268" s="17" t="s">
        <v>11</v>
      </c>
      <c r="E8268" s="17" t="s">
        <v>11</v>
      </c>
      <c r="F8268" s="18"/>
      <c r="G8268" s="36" t="str">
        <f>IF(ISNUMBER(F8268),C8268*F8268,"")</f>
        <v/>
      </c>
    </row>
    <row r="8269" spans="1:7" ht="12" customHeight="1" outlineLevel="3" x14ac:dyDescent="0.2">
      <c r="A8269" s="14" t="s">
        <v>16262</v>
      </c>
      <c r="B8269" s="15" t="s">
        <v>16263</v>
      </c>
      <c r="C8269" s="16">
        <f>100.13/(1+B2)</f>
        <v>100.13</v>
      </c>
      <c r="D8269" s="17" t="s">
        <v>11</v>
      </c>
      <c r="E8269" s="17"/>
      <c r="F8269" s="18"/>
      <c r="G8269" s="36" t="str">
        <f>IF(ISNUMBER(F8269),C8269*F8269,"")</f>
        <v/>
      </c>
    </row>
    <row r="8270" spans="1:7" ht="12" customHeight="1" outlineLevel="3" x14ac:dyDescent="0.2">
      <c r="A8270" s="14" t="s">
        <v>16264</v>
      </c>
      <c r="B8270" s="15" t="s">
        <v>16265</v>
      </c>
      <c r="C8270" s="16">
        <f>33.59/(1+B2)</f>
        <v>33.590000000000003</v>
      </c>
      <c r="D8270" s="17" t="s">
        <v>14</v>
      </c>
      <c r="E8270" s="17"/>
      <c r="F8270" s="18"/>
      <c r="G8270" s="36" t="str">
        <f>IF(ISNUMBER(F8270),C8270*F8270,"")</f>
        <v/>
      </c>
    </row>
    <row r="8271" spans="1:7" ht="12" customHeight="1" outlineLevel="3" x14ac:dyDescent="0.2">
      <c r="A8271" s="14" t="s">
        <v>16266</v>
      </c>
      <c r="B8271" s="15" t="s">
        <v>16267</v>
      </c>
      <c r="C8271" s="16">
        <f>33.59/(1+B2)</f>
        <v>33.590000000000003</v>
      </c>
      <c r="D8271" s="17" t="s">
        <v>14</v>
      </c>
      <c r="E8271" s="17"/>
      <c r="F8271" s="18"/>
      <c r="G8271" s="36" t="str">
        <f>IF(ISNUMBER(F8271),C8271*F8271,"")</f>
        <v/>
      </c>
    </row>
    <row r="8272" spans="1:7" ht="12" customHeight="1" outlineLevel="3" x14ac:dyDescent="0.2">
      <c r="A8272" s="14" t="s">
        <v>16268</v>
      </c>
      <c r="B8272" s="15" t="s">
        <v>16269</v>
      </c>
      <c r="C8272" s="16">
        <f>42/(1+B2)</f>
        <v>42</v>
      </c>
      <c r="D8272" s="17" t="s">
        <v>14</v>
      </c>
      <c r="E8272" s="17"/>
      <c r="F8272" s="18"/>
      <c r="G8272" s="36" t="str">
        <f>IF(ISNUMBER(F8272),C8272*F8272,"")</f>
        <v/>
      </c>
    </row>
    <row r="8273" spans="1:7" ht="12" customHeight="1" outlineLevel="3" x14ac:dyDescent="0.2">
      <c r="A8273" s="14" t="s">
        <v>16270</v>
      </c>
      <c r="B8273" s="15" t="s">
        <v>16271</v>
      </c>
      <c r="C8273" s="16">
        <f>42/(1+B2)</f>
        <v>42</v>
      </c>
      <c r="D8273" s="17" t="s">
        <v>14</v>
      </c>
      <c r="E8273" s="17"/>
      <c r="F8273" s="18"/>
      <c r="G8273" s="36" t="str">
        <f>IF(ISNUMBER(F8273),C8273*F8273,"")</f>
        <v/>
      </c>
    </row>
    <row r="8274" spans="1:7" ht="12" customHeight="1" outlineLevel="3" x14ac:dyDescent="0.2">
      <c r="A8274" s="14" t="s">
        <v>16272</v>
      </c>
      <c r="B8274" s="15" t="s">
        <v>16273</v>
      </c>
      <c r="C8274" s="16">
        <f>52.98/(1+B2)</f>
        <v>52.98</v>
      </c>
      <c r="D8274" s="17" t="s">
        <v>14</v>
      </c>
      <c r="E8274" s="17"/>
      <c r="F8274" s="18"/>
      <c r="G8274" s="36" t="str">
        <f>IF(ISNUMBER(F8274),C8274*F8274,"")</f>
        <v/>
      </c>
    </row>
    <row r="8275" spans="1:7" ht="12" customHeight="1" outlineLevel="3" x14ac:dyDescent="0.2">
      <c r="A8275" s="14" t="s">
        <v>16274</v>
      </c>
      <c r="B8275" s="15" t="s">
        <v>16275</v>
      </c>
      <c r="C8275" s="16">
        <f>52.98/(1+B2)</f>
        <v>52.98</v>
      </c>
      <c r="D8275" s="17" t="s">
        <v>14</v>
      </c>
      <c r="E8275" s="17"/>
      <c r="F8275" s="18"/>
      <c r="G8275" s="36" t="str">
        <f>IF(ISNUMBER(F8275),C8275*F8275,"")</f>
        <v/>
      </c>
    </row>
    <row r="8276" spans="1:7" ht="12" customHeight="1" outlineLevel="3" x14ac:dyDescent="0.2">
      <c r="A8276" s="14" t="s">
        <v>16276</v>
      </c>
      <c r="B8276" s="15" t="s">
        <v>16277</v>
      </c>
      <c r="C8276" s="16">
        <f>25.13/(1+B2)</f>
        <v>25.13</v>
      </c>
      <c r="D8276" s="17" t="s">
        <v>11</v>
      </c>
      <c r="E8276" s="17"/>
      <c r="F8276" s="18"/>
      <c r="G8276" s="36" t="str">
        <f>IF(ISNUMBER(F8276),C8276*F8276,"")</f>
        <v/>
      </c>
    </row>
    <row r="8277" spans="1:7" ht="12" customHeight="1" outlineLevel="3" x14ac:dyDescent="0.2">
      <c r="A8277" s="14" t="s">
        <v>16278</v>
      </c>
      <c r="B8277" s="15" t="s">
        <v>16279</v>
      </c>
      <c r="C8277" s="16">
        <f>23.4/(1+B2)</f>
        <v>23.4</v>
      </c>
      <c r="D8277" s="17" t="s">
        <v>14</v>
      </c>
      <c r="E8277" s="17" t="s">
        <v>53</v>
      </c>
      <c r="F8277" s="18"/>
      <c r="G8277" s="36" t="str">
        <f>IF(ISNUMBER(F8277),C8277*F8277,"")</f>
        <v/>
      </c>
    </row>
    <row r="8278" spans="1:7" ht="12" customHeight="1" outlineLevel="3" x14ac:dyDescent="0.2">
      <c r="A8278" s="14" t="s">
        <v>16280</v>
      </c>
      <c r="B8278" s="15" t="s">
        <v>16281</v>
      </c>
      <c r="C8278" s="16">
        <f>23.4/(1+B2)</f>
        <v>23.4</v>
      </c>
      <c r="D8278" s="17" t="s">
        <v>14</v>
      </c>
      <c r="E8278" s="17"/>
      <c r="F8278" s="18"/>
      <c r="G8278" s="36" t="str">
        <f>IF(ISNUMBER(F8278),C8278*F8278,"")</f>
        <v/>
      </c>
    </row>
    <row r="8279" spans="1:7" ht="12" customHeight="1" outlineLevel="3" x14ac:dyDescent="0.2">
      <c r="A8279" s="14" t="s">
        <v>16282</v>
      </c>
      <c r="B8279" s="15" t="s">
        <v>16283</v>
      </c>
      <c r="C8279" s="16">
        <f>69.45/(1+B2)</f>
        <v>69.45</v>
      </c>
      <c r="D8279" s="17" t="s">
        <v>11</v>
      </c>
      <c r="E8279" s="17"/>
      <c r="F8279" s="18"/>
      <c r="G8279" s="36" t="str">
        <f>IF(ISNUMBER(F8279),C8279*F8279,"")</f>
        <v/>
      </c>
    </row>
    <row r="8280" spans="1:7" ht="12" customHeight="1" outlineLevel="3" x14ac:dyDescent="0.2">
      <c r="A8280" s="14" t="s">
        <v>16284</v>
      </c>
      <c r="B8280" s="15" t="s">
        <v>16285</v>
      </c>
      <c r="C8280" s="16">
        <f>122.8/(1+B2)</f>
        <v>122.8</v>
      </c>
      <c r="D8280" s="17" t="s">
        <v>11</v>
      </c>
      <c r="E8280" s="17"/>
      <c r="F8280" s="18"/>
      <c r="G8280" s="36" t="str">
        <f>IF(ISNUMBER(F8280),C8280*F8280,"")</f>
        <v/>
      </c>
    </row>
    <row r="8281" spans="1:7" ht="12" customHeight="1" outlineLevel="3" x14ac:dyDescent="0.2">
      <c r="A8281" s="14" t="s">
        <v>16286</v>
      </c>
      <c r="B8281" s="15" t="s">
        <v>16287</v>
      </c>
      <c r="C8281" s="16">
        <f>336.06/(1+B2)</f>
        <v>336.06</v>
      </c>
      <c r="D8281" s="17" t="s">
        <v>11</v>
      </c>
      <c r="E8281" s="17"/>
      <c r="F8281" s="18"/>
      <c r="G8281" s="36" t="str">
        <f>IF(ISNUMBER(F8281),C8281*F8281,"")</f>
        <v/>
      </c>
    </row>
    <row r="8282" spans="1:7" ht="12" customHeight="1" outlineLevel="3" x14ac:dyDescent="0.2">
      <c r="A8282" s="14" t="s">
        <v>16288</v>
      </c>
      <c r="B8282" s="15" t="s">
        <v>16289</v>
      </c>
      <c r="C8282" s="16">
        <f>373.01/(1+B2)</f>
        <v>373.01</v>
      </c>
      <c r="D8282" s="17" t="s">
        <v>11</v>
      </c>
      <c r="E8282" s="17"/>
      <c r="F8282" s="18"/>
      <c r="G8282" s="36" t="str">
        <f>IF(ISNUMBER(F8282),C8282*F8282,"")</f>
        <v/>
      </c>
    </row>
    <row r="8283" spans="1:7" ht="12" customHeight="1" outlineLevel="3" x14ac:dyDescent="0.2">
      <c r="A8283" s="14" t="s">
        <v>16290</v>
      </c>
      <c r="B8283" s="15" t="s">
        <v>16291</v>
      </c>
      <c r="C8283" s="16">
        <f>153.96/(1+B2)</f>
        <v>153.96</v>
      </c>
      <c r="D8283" s="17" t="s">
        <v>14</v>
      </c>
      <c r="E8283" s="17" t="s">
        <v>11</v>
      </c>
      <c r="F8283" s="18"/>
      <c r="G8283" s="36" t="str">
        <f>IF(ISNUMBER(F8283),C8283*F8283,"")</f>
        <v/>
      </c>
    </row>
    <row r="8284" spans="1:7" ht="12" customHeight="1" outlineLevel="3" x14ac:dyDescent="0.2">
      <c r="A8284" s="14" t="s">
        <v>16292</v>
      </c>
      <c r="B8284" s="15" t="s">
        <v>16293</v>
      </c>
      <c r="C8284" s="16">
        <f>163.85/(1+B2)</f>
        <v>163.85</v>
      </c>
      <c r="D8284" s="17" t="s">
        <v>14</v>
      </c>
      <c r="E8284" s="17" t="s">
        <v>14</v>
      </c>
      <c r="F8284" s="18"/>
      <c r="G8284" s="36" t="str">
        <f>IF(ISNUMBER(F8284),C8284*F8284,"")</f>
        <v/>
      </c>
    </row>
    <row r="8285" spans="1:7" ht="12" customHeight="1" outlineLevel="3" x14ac:dyDescent="0.2">
      <c r="A8285" s="14" t="s">
        <v>16294</v>
      </c>
      <c r="B8285" s="15" t="s">
        <v>16295</v>
      </c>
      <c r="C8285" s="16">
        <f>187.55/(1+B2)</f>
        <v>187.55</v>
      </c>
      <c r="D8285" s="17" t="s">
        <v>11</v>
      </c>
      <c r="E8285" s="17" t="s">
        <v>53</v>
      </c>
      <c r="F8285" s="18"/>
      <c r="G8285" s="36" t="str">
        <f>IF(ISNUMBER(F8285),C8285*F8285,"")</f>
        <v/>
      </c>
    </row>
    <row r="8286" spans="1:7" ht="12" customHeight="1" outlineLevel="3" x14ac:dyDescent="0.2">
      <c r="A8286" s="14" t="s">
        <v>16296</v>
      </c>
      <c r="B8286" s="15" t="s">
        <v>16297</v>
      </c>
      <c r="C8286" s="16">
        <f>51.16/(1+B2)</f>
        <v>51.16</v>
      </c>
      <c r="D8286" s="17" t="s">
        <v>11</v>
      </c>
      <c r="E8286" s="17"/>
      <c r="F8286" s="18"/>
      <c r="G8286" s="36" t="str">
        <f>IF(ISNUMBER(F8286),C8286*F8286,"")</f>
        <v/>
      </c>
    </row>
    <row r="8287" spans="1:7" ht="12" customHeight="1" outlineLevel="3" x14ac:dyDescent="0.2">
      <c r="A8287" s="14" t="s">
        <v>16298</v>
      </c>
      <c r="B8287" s="15" t="s">
        <v>16299</v>
      </c>
      <c r="C8287" s="16">
        <f>63.96/(1+B2)</f>
        <v>63.96</v>
      </c>
      <c r="D8287" s="17" t="s">
        <v>11</v>
      </c>
      <c r="E8287" s="17"/>
      <c r="F8287" s="18"/>
      <c r="G8287" s="36" t="str">
        <f>IF(ISNUMBER(F8287),C8287*F8287,"")</f>
        <v/>
      </c>
    </row>
    <row r="8288" spans="1:7" ht="12" customHeight="1" outlineLevel="3" x14ac:dyDescent="0.2">
      <c r="A8288" s="14" t="s">
        <v>16300</v>
      </c>
      <c r="B8288" s="15" t="s">
        <v>16301</v>
      </c>
      <c r="C8288" s="16">
        <f>70.99/(1+B2)</f>
        <v>70.989999999999995</v>
      </c>
      <c r="D8288" s="17" t="s">
        <v>11</v>
      </c>
      <c r="E8288" s="17"/>
      <c r="F8288" s="18"/>
      <c r="G8288" s="36" t="str">
        <f>IF(ISNUMBER(F8288),C8288*F8288,"")</f>
        <v/>
      </c>
    </row>
    <row r="8289" spans="1:7" ht="12" customHeight="1" outlineLevel="3" x14ac:dyDescent="0.2">
      <c r="A8289" s="14" t="s">
        <v>16302</v>
      </c>
      <c r="B8289" s="15" t="s">
        <v>16303</v>
      </c>
      <c r="C8289" s="16">
        <f>86.4/(1+B2)</f>
        <v>86.4</v>
      </c>
      <c r="D8289" s="17" t="s">
        <v>11</v>
      </c>
      <c r="E8289" s="17" t="s">
        <v>14</v>
      </c>
      <c r="F8289" s="18"/>
      <c r="G8289" s="36" t="str">
        <f>IF(ISNUMBER(F8289),C8289*F8289,"")</f>
        <v/>
      </c>
    </row>
    <row r="8290" spans="1:7" ht="12" customHeight="1" outlineLevel="3" x14ac:dyDescent="0.2">
      <c r="A8290" s="14" t="s">
        <v>16304</v>
      </c>
      <c r="B8290" s="15" t="s">
        <v>16305</v>
      </c>
      <c r="C8290" s="16">
        <f>86.63/(1+B2)</f>
        <v>86.63</v>
      </c>
      <c r="D8290" s="17" t="s">
        <v>11</v>
      </c>
      <c r="E8290" s="17"/>
      <c r="F8290" s="18"/>
      <c r="G8290" s="36" t="str">
        <f>IF(ISNUMBER(F8290),C8290*F8290,"")</f>
        <v/>
      </c>
    </row>
    <row r="8291" spans="1:7" ht="12" customHeight="1" outlineLevel="3" x14ac:dyDescent="0.2">
      <c r="A8291" s="14" t="s">
        <v>16306</v>
      </c>
      <c r="B8291" s="15" t="s">
        <v>16307</v>
      </c>
      <c r="C8291" s="16">
        <f>107.66/(1+B2)</f>
        <v>107.66</v>
      </c>
      <c r="D8291" s="17" t="s">
        <v>11</v>
      </c>
      <c r="E8291" s="17" t="s">
        <v>11</v>
      </c>
      <c r="F8291" s="18"/>
      <c r="G8291" s="36" t="str">
        <f>IF(ISNUMBER(F8291),C8291*F8291,"")</f>
        <v/>
      </c>
    </row>
    <row r="8292" spans="1:7" ht="12" customHeight="1" outlineLevel="3" x14ac:dyDescent="0.2">
      <c r="A8292" s="14" t="s">
        <v>16308</v>
      </c>
      <c r="B8292" s="15" t="s">
        <v>16309</v>
      </c>
      <c r="C8292" s="16">
        <f>134.33/(1+B2)</f>
        <v>134.33000000000001</v>
      </c>
      <c r="D8292" s="17" t="s">
        <v>11</v>
      </c>
      <c r="E8292" s="17" t="s">
        <v>53</v>
      </c>
      <c r="F8292" s="18"/>
      <c r="G8292" s="36" t="str">
        <f>IF(ISNUMBER(F8292),C8292*F8292,"")</f>
        <v/>
      </c>
    </row>
    <row r="8293" spans="1:7" ht="12" customHeight="1" outlineLevel="3" x14ac:dyDescent="0.2">
      <c r="A8293" s="14" t="s">
        <v>16310</v>
      </c>
      <c r="B8293" s="15" t="s">
        <v>16311</v>
      </c>
      <c r="C8293" s="16">
        <f>91.58/(1+B2)</f>
        <v>91.58</v>
      </c>
      <c r="D8293" s="17" t="s">
        <v>11</v>
      </c>
      <c r="E8293" s="17"/>
      <c r="F8293" s="18"/>
      <c r="G8293" s="36" t="str">
        <f>IF(ISNUMBER(F8293),C8293*F8293,"")</f>
        <v/>
      </c>
    </row>
    <row r="8294" spans="1:7" ht="12" customHeight="1" outlineLevel="3" x14ac:dyDescent="0.2">
      <c r="A8294" s="14" t="s">
        <v>16312</v>
      </c>
      <c r="B8294" s="15" t="s">
        <v>16313</v>
      </c>
      <c r="C8294" s="16">
        <f>104.96/(1+B2)</f>
        <v>104.96</v>
      </c>
      <c r="D8294" s="17" t="s">
        <v>11</v>
      </c>
      <c r="E8294" s="17" t="s">
        <v>11</v>
      </c>
      <c r="F8294" s="18"/>
      <c r="G8294" s="36" t="str">
        <f>IF(ISNUMBER(F8294),C8294*F8294,"")</f>
        <v/>
      </c>
    </row>
    <row r="8295" spans="1:7" s="1" customFormat="1" ht="12.95" customHeight="1" outlineLevel="2" x14ac:dyDescent="0.2">
      <c r="A8295" s="20"/>
      <c r="B8295" s="21" t="s">
        <v>16314</v>
      </c>
      <c r="C8295" s="22"/>
      <c r="D8295" s="22"/>
      <c r="E8295" s="22"/>
      <c r="F8295" s="22"/>
      <c r="G8295" s="37"/>
    </row>
    <row r="8296" spans="1:7" ht="12" customHeight="1" outlineLevel="3" x14ac:dyDescent="0.2">
      <c r="A8296" s="14" t="s">
        <v>16315</v>
      </c>
      <c r="B8296" s="15" t="s">
        <v>16316</v>
      </c>
      <c r="C8296" s="16">
        <f>2.03/(1+B2)</f>
        <v>2.0299999999999998</v>
      </c>
      <c r="D8296" s="17" t="s">
        <v>11</v>
      </c>
      <c r="E8296" s="17"/>
      <c r="F8296" s="18"/>
      <c r="G8296" s="36" t="str">
        <f>IF(ISNUMBER(F8296),C8296*F8296,"")</f>
        <v/>
      </c>
    </row>
    <row r="8297" spans="1:7" ht="12" customHeight="1" outlineLevel="3" x14ac:dyDescent="0.2">
      <c r="A8297" s="14" t="s">
        <v>16317</v>
      </c>
      <c r="B8297" s="15" t="s">
        <v>16318</v>
      </c>
      <c r="C8297" s="16">
        <f>2.61/(1+B2)</f>
        <v>2.61</v>
      </c>
      <c r="D8297" s="17" t="s">
        <v>53</v>
      </c>
      <c r="E8297" s="17"/>
      <c r="F8297" s="18"/>
      <c r="G8297" s="36" t="str">
        <f>IF(ISNUMBER(F8297),C8297*F8297,"")</f>
        <v/>
      </c>
    </row>
    <row r="8298" spans="1:7" ht="12" customHeight="1" outlineLevel="3" x14ac:dyDescent="0.2">
      <c r="A8298" s="14" t="s">
        <v>16319</v>
      </c>
      <c r="B8298" s="15" t="s">
        <v>16320</v>
      </c>
      <c r="C8298" s="16">
        <f>3.28/(1+B2)</f>
        <v>3.28</v>
      </c>
      <c r="D8298" s="17" t="s">
        <v>53</v>
      </c>
      <c r="E8298" s="17"/>
      <c r="F8298" s="18"/>
      <c r="G8298" s="36" t="str">
        <f>IF(ISNUMBER(F8298),C8298*F8298,"")</f>
        <v/>
      </c>
    </row>
    <row r="8299" spans="1:7" ht="12" customHeight="1" outlineLevel="3" x14ac:dyDescent="0.2">
      <c r="A8299" s="14" t="s">
        <v>16321</v>
      </c>
      <c r="B8299" s="15" t="s">
        <v>16322</v>
      </c>
      <c r="C8299" s="16">
        <f>97.18/(1+B2)</f>
        <v>97.18</v>
      </c>
      <c r="D8299" s="17" t="s">
        <v>11</v>
      </c>
      <c r="E8299" s="17"/>
      <c r="F8299" s="18"/>
      <c r="G8299" s="36" t="str">
        <f>IF(ISNUMBER(F8299),C8299*F8299,"")</f>
        <v/>
      </c>
    </row>
    <row r="8300" spans="1:7" ht="12" customHeight="1" outlineLevel="3" x14ac:dyDescent="0.2">
      <c r="A8300" s="14" t="s">
        <v>16323</v>
      </c>
      <c r="B8300" s="15" t="s">
        <v>16324</v>
      </c>
      <c r="C8300" s="16">
        <f>3.98/(1+B2)</f>
        <v>3.98</v>
      </c>
      <c r="D8300" s="17" t="s">
        <v>11</v>
      </c>
      <c r="E8300" s="17"/>
      <c r="F8300" s="18"/>
      <c r="G8300" s="36" t="str">
        <f>IF(ISNUMBER(F8300),C8300*F8300,"")</f>
        <v/>
      </c>
    </row>
    <row r="8301" spans="1:7" ht="12" customHeight="1" outlineLevel="3" x14ac:dyDescent="0.2">
      <c r="A8301" s="14" t="s">
        <v>16325</v>
      </c>
      <c r="B8301" s="15" t="s">
        <v>16326</v>
      </c>
      <c r="C8301" s="16">
        <f>79.93/(1+B2)</f>
        <v>79.930000000000007</v>
      </c>
      <c r="D8301" s="17" t="s">
        <v>11</v>
      </c>
      <c r="E8301" s="17"/>
      <c r="F8301" s="18"/>
      <c r="G8301" s="36" t="str">
        <f>IF(ISNUMBER(F8301),C8301*F8301,"")</f>
        <v/>
      </c>
    </row>
    <row r="8302" spans="1:7" ht="12" customHeight="1" outlineLevel="3" x14ac:dyDescent="0.2">
      <c r="A8302" s="14" t="s">
        <v>16327</v>
      </c>
      <c r="B8302" s="15" t="s">
        <v>16328</v>
      </c>
      <c r="C8302" s="16">
        <f>14.41/(1+B2)</f>
        <v>14.41</v>
      </c>
      <c r="D8302" s="17" t="s">
        <v>14</v>
      </c>
      <c r="E8302" s="17"/>
      <c r="F8302" s="18"/>
      <c r="G8302" s="36" t="str">
        <f>IF(ISNUMBER(F8302),C8302*F8302,"")</f>
        <v/>
      </c>
    </row>
    <row r="8303" spans="1:7" ht="12" customHeight="1" outlineLevel="3" x14ac:dyDescent="0.2">
      <c r="A8303" s="14" t="s">
        <v>16329</v>
      </c>
      <c r="B8303" s="15" t="s">
        <v>16330</v>
      </c>
      <c r="C8303" s="16">
        <f>302.45/(1+B2)</f>
        <v>302.45</v>
      </c>
      <c r="D8303" s="17" t="s">
        <v>11</v>
      </c>
      <c r="E8303" s="17"/>
      <c r="F8303" s="18"/>
      <c r="G8303" s="36" t="str">
        <f>IF(ISNUMBER(F8303),C8303*F8303,"")</f>
        <v/>
      </c>
    </row>
    <row r="8304" spans="1:7" ht="12" customHeight="1" outlineLevel="3" x14ac:dyDescent="0.2">
      <c r="A8304" s="14" t="s">
        <v>16331</v>
      </c>
      <c r="B8304" s="15" t="s">
        <v>16332</v>
      </c>
      <c r="C8304" s="16">
        <f>325/(1+B2)</f>
        <v>325</v>
      </c>
      <c r="D8304" s="17"/>
      <c r="E8304" s="17" t="s">
        <v>14</v>
      </c>
      <c r="F8304" s="18"/>
      <c r="G8304" s="36" t="str">
        <f>IF(ISNUMBER(F8304),C8304*F8304,"")</f>
        <v/>
      </c>
    </row>
    <row r="8305" spans="1:7" ht="12" customHeight="1" outlineLevel="3" x14ac:dyDescent="0.2">
      <c r="A8305" s="14" t="s">
        <v>16333</v>
      </c>
      <c r="B8305" s="15" t="s">
        <v>16334</v>
      </c>
      <c r="C8305" s="16">
        <f>512.62/(1+B2)</f>
        <v>512.62</v>
      </c>
      <c r="D8305" s="17" t="s">
        <v>11</v>
      </c>
      <c r="E8305" s="17" t="s">
        <v>53</v>
      </c>
      <c r="F8305" s="18"/>
      <c r="G8305" s="36" t="str">
        <f>IF(ISNUMBER(F8305),C8305*F8305,"")</f>
        <v/>
      </c>
    </row>
    <row r="8306" spans="1:7" ht="12" customHeight="1" outlineLevel="3" x14ac:dyDescent="0.2">
      <c r="A8306" s="14" t="s">
        <v>16335</v>
      </c>
      <c r="B8306" s="15" t="s">
        <v>16336</v>
      </c>
      <c r="C8306" s="16">
        <f>343.44/(1+B2)</f>
        <v>343.44</v>
      </c>
      <c r="D8306" s="17" t="s">
        <v>11</v>
      </c>
      <c r="E8306" s="17" t="s">
        <v>11</v>
      </c>
      <c r="F8306" s="18"/>
      <c r="G8306" s="36" t="str">
        <f>IF(ISNUMBER(F8306),C8306*F8306,"")</f>
        <v/>
      </c>
    </row>
    <row r="8307" spans="1:7" ht="12" customHeight="1" outlineLevel="3" x14ac:dyDescent="0.2">
      <c r="A8307" s="14" t="s">
        <v>16337</v>
      </c>
      <c r="B8307" s="15" t="s">
        <v>16338</v>
      </c>
      <c r="C8307" s="16">
        <f>262.54/(1+B2)</f>
        <v>262.54000000000002</v>
      </c>
      <c r="D8307" s="17" t="s">
        <v>11</v>
      </c>
      <c r="E8307" s="17" t="s">
        <v>53</v>
      </c>
      <c r="F8307" s="18"/>
      <c r="G8307" s="36" t="str">
        <f>IF(ISNUMBER(F8307),C8307*F8307,"")</f>
        <v/>
      </c>
    </row>
    <row r="8308" spans="1:7" ht="12" customHeight="1" outlineLevel="3" x14ac:dyDescent="0.2">
      <c r="A8308" s="14" t="s">
        <v>16339</v>
      </c>
      <c r="B8308" s="15" t="s">
        <v>16340</v>
      </c>
      <c r="C8308" s="16">
        <f>28.38/(1+B2)</f>
        <v>28.38</v>
      </c>
      <c r="D8308" s="17"/>
      <c r="E8308" s="17" t="s">
        <v>11</v>
      </c>
      <c r="F8308" s="18"/>
      <c r="G8308" s="36" t="str">
        <f>IF(ISNUMBER(F8308),C8308*F8308,"")</f>
        <v/>
      </c>
    </row>
    <row r="8309" spans="1:7" ht="12" customHeight="1" outlineLevel="3" x14ac:dyDescent="0.2">
      <c r="A8309" s="14" t="s">
        <v>16341</v>
      </c>
      <c r="B8309" s="15" t="s">
        <v>16342</v>
      </c>
      <c r="C8309" s="16">
        <f>36.96/(1+B2)</f>
        <v>36.96</v>
      </c>
      <c r="D8309" s="17"/>
      <c r="E8309" s="17" t="s">
        <v>11</v>
      </c>
      <c r="F8309" s="18"/>
      <c r="G8309" s="36" t="str">
        <f>IF(ISNUMBER(F8309),C8309*F8309,"")</f>
        <v/>
      </c>
    </row>
    <row r="8310" spans="1:7" ht="12" customHeight="1" outlineLevel="3" x14ac:dyDescent="0.2">
      <c r="A8310" s="14" t="s">
        <v>16343</v>
      </c>
      <c r="B8310" s="15" t="s">
        <v>16344</v>
      </c>
      <c r="C8310" s="16">
        <f>6.89/(1+B2)</f>
        <v>6.89</v>
      </c>
      <c r="D8310" s="17" t="s">
        <v>53</v>
      </c>
      <c r="E8310" s="17"/>
      <c r="F8310" s="18"/>
      <c r="G8310" s="36" t="str">
        <f>IF(ISNUMBER(F8310),C8310*F8310,"")</f>
        <v/>
      </c>
    </row>
    <row r="8311" spans="1:7" s="1" customFormat="1" ht="12.95" customHeight="1" outlineLevel="2" x14ac:dyDescent="0.2">
      <c r="A8311" s="20"/>
      <c r="B8311" s="21" t="s">
        <v>16345</v>
      </c>
      <c r="C8311" s="22"/>
      <c r="D8311" s="22"/>
      <c r="E8311" s="22"/>
      <c r="F8311" s="22"/>
      <c r="G8311" s="37"/>
    </row>
    <row r="8312" spans="1:7" ht="12" customHeight="1" outlineLevel="3" x14ac:dyDescent="0.2">
      <c r="A8312" s="14" t="s">
        <v>16346</v>
      </c>
      <c r="B8312" s="15" t="s">
        <v>16347</v>
      </c>
      <c r="C8312" s="16">
        <f>112.61/(1+B2)</f>
        <v>112.61</v>
      </c>
      <c r="D8312" s="17" t="s">
        <v>11</v>
      </c>
      <c r="E8312" s="17"/>
      <c r="F8312" s="18"/>
      <c r="G8312" s="36" t="str">
        <f>IF(ISNUMBER(F8312),C8312*F8312,"")</f>
        <v/>
      </c>
    </row>
    <row r="8313" spans="1:7" ht="12" customHeight="1" outlineLevel="3" x14ac:dyDescent="0.2">
      <c r="A8313" s="14" t="s">
        <v>16348</v>
      </c>
      <c r="B8313" s="15" t="s">
        <v>16349</v>
      </c>
      <c r="C8313" s="16">
        <f>140.81/(1+B2)</f>
        <v>140.81</v>
      </c>
      <c r="D8313" s="17" t="s">
        <v>11</v>
      </c>
      <c r="E8313" s="17"/>
      <c r="F8313" s="18"/>
      <c r="G8313" s="36" t="str">
        <f>IF(ISNUMBER(F8313),C8313*F8313,"")</f>
        <v/>
      </c>
    </row>
    <row r="8314" spans="1:7" ht="12" customHeight="1" outlineLevel="3" x14ac:dyDescent="0.2">
      <c r="A8314" s="14" t="s">
        <v>16350</v>
      </c>
      <c r="B8314" s="15" t="s">
        <v>16351</v>
      </c>
      <c r="C8314" s="16">
        <f>141.01/(1+B2)</f>
        <v>141.01</v>
      </c>
      <c r="D8314" s="17" t="s">
        <v>53</v>
      </c>
      <c r="E8314" s="17" t="s">
        <v>11</v>
      </c>
      <c r="F8314" s="18"/>
      <c r="G8314" s="36" t="str">
        <f>IF(ISNUMBER(F8314),C8314*F8314,"")</f>
        <v/>
      </c>
    </row>
    <row r="8315" spans="1:7" ht="12" customHeight="1" outlineLevel="3" x14ac:dyDescent="0.2">
      <c r="A8315" s="14" t="s">
        <v>16352</v>
      </c>
      <c r="B8315" s="15" t="s">
        <v>16353</v>
      </c>
      <c r="C8315" s="16">
        <f>81.06/(1+B2)</f>
        <v>81.06</v>
      </c>
      <c r="D8315" s="17" t="s">
        <v>11</v>
      </c>
      <c r="E8315" s="17" t="s">
        <v>53</v>
      </c>
      <c r="F8315" s="18"/>
      <c r="G8315" s="36" t="str">
        <f>IF(ISNUMBER(F8315),C8315*F8315,"")</f>
        <v/>
      </c>
    </row>
    <row r="8316" spans="1:7" ht="12" customHeight="1" outlineLevel="3" x14ac:dyDescent="0.2">
      <c r="A8316" s="14" t="s">
        <v>16354</v>
      </c>
      <c r="B8316" s="15" t="s">
        <v>16355</v>
      </c>
      <c r="C8316" s="16">
        <f>96.93/(1+B2)</f>
        <v>96.93</v>
      </c>
      <c r="D8316" s="17" t="s">
        <v>14</v>
      </c>
      <c r="E8316" s="17"/>
      <c r="F8316" s="18"/>
      <c r="G8316" s="36" t="str">
        <f>IF(ISNUMBER(F8316),C8316*F8316,"")</f>
        <v/>
      </c>
    </row>
    <row r="8317" spans="1:7" ht="12" customHeight="1" outlineLevel="3" x14ac:dyDescent="0.2">
      <c r="A8317" s="14" t="s">
        <v>16356</v>
      </c>
      <c r="B8317" s="15" t="s">
        <v>16357</v>
      </c>
      <c r="C8317" s="16">
        <f>75.9/(1+B2)</f>
        <v>75.900000000000006</v>
      </c>
      <c r="D8317" s="17" t="s">
        <v>11</v>
      </c>
      <c r="E8317" s="17"/>
      <c r="F8317" s="18"/>
      <c r="G8317" s="36" t="str">
        <f>IF(ISNUMBER(F8317),C8317*F8317,"")</f>
        <v/>
      </c>
    </row>
    <row r="8318" spans="1:7" ht="12" customHeight="1" outlineLevel="3" x14ac:dyDescent="0.2">
      <c r="A8318" s="14" t="s">
        <v>16358</v>
      </c>
      <c r="B8318" s="15" t="s">
        <v>16359</v>
      </c>
      <c r="C8318" s="16">
        <f>136.85/(1+B2)</f>
        <v>136.85</v>
      </c>
      <c r="D8318" s="17" t="s">
        <v>11</v>
      </c>
      <c r="E8318" s="17"/>
      <c r="F8318" s="18"/>
      <c r="G8318" s="36" t="str">
        <f>IF(ISNUMBER(F8318),C8318*F8318,"")</f>
        <v/>
      </c>
    </row>
    <row r="8319" spans="1:7" ht="12" customHeight="1" outlineLevel="3" x14ac:dyDescent="0.2">
      <c r="A8319" s="14" t="s">
        <v>16360</v>
      </c>
      <c r="B8319" s="15" t="s">
        <v>16361</v>
      </c>
      <c r="C8319" s="16">
        <f>144.53/(1+B2)</f>
        <v>144.53</v>
      </c>
      <c r="D8319" s="17" t="s">
        <v>11</v>
      </c>
      <c r="E8319" s="17"/>
      <c r="F8319" s="18"/>
      <c r="G8319" s="36" t="str">
        <f>IF(ISNUMBER(F8319),C8319*F8319,"")</f>
        <v/>
      </c>
    </row>
    <row r="8320" spans="1:7" ht="12" customHeight="1" outlineLevel="3" x14ac:dyDescent="0.2">
      <c r="A8320" s="14" t="s">
        <v>16362</v>
      </c>
      <c r="B8320" s="15" t="s">
        <v>16363</v>
      </c>
      <c r="C8320" s="16">
        <f>137.78/(1+B2)</f>
        <v>137.78</v>
      </c>
      <c r="D8320" s="17" t="s">
        <v>11</v>
      </c>
      <c r="E8320" s="17"/>
      <c r="F8320" s="18"/>
      <c r="G8320" s="36" t="str">
        <f>IF(ISNUMBER(F8320),C8320*F8320,"")</f>
        <v/>
      </c>
    </row>
    <row r="8321" spans="1:7" ht="12" customHeight="1" outlineLevel="3" x14ac:dyDescent="0.2">
      <c r="A8321" s="14" t="s">
        <v>16364</v>
      </c>
      <c r="B8321" s="15" t="s">
        <v>16365</v>
      </c>
      <c r="C8321" s="16">
        <f>145.26/(1+B2)</f>
        <v>145.26</v>
      </c>
      <c r="D8321" s="17" t="s">
        <v>11</v>
      </c>
      <c r="E8321" s="17"/>
      <c r="F8321" s="18"/>
      <c r="G8321" s="36" t="str">
        <f>IF(ISNUMBER(F8321),C8321*F8321,"")</f>
        <v/>
      </c>
    </row>
    <row r="8322" spans="1:7" ht="12" customHeight="1" outlineLevel="3" x14ac:dyDescent="0.2">
      <c r="A8322" s="14" t="s">
        <v>16366</v>
      </c>
      <c r="B8322" s="15" t="s">
        <v>16367</v>
      </c>
      <c r="C8322" s="16">
        <f>200.38/(1+B2)</f>
        <v>200.38</v>
      </c>
      <c r="D8322" s="17" t="s">
        <v>11</v>
      </c>
      <c r="E8322" s="17"/>
      <c r="F8322" s="18"/>
      <c r="G8322" s="36" t="str">
        <f>IF(ISNUMBER(F8322),C8322*F8322,"")</f>
        <v/>
      </c>
    </row>
    <row r="8323" spans="1:7" ht="12" customHeight="1" outlineLevel="3" x14ac:dyDescent="0.2">
      <c r="A8323" s="14" t="s">
        <v>16368</v>
      </c>
      <c r="B8323" s="15" t="s">
        <v>16369</v>
      </c>
      <c r="C8323" s="16">
        <f>172.76/(1+B2)</f>
        <v>172.76</v>
      </c>
      <c r="D8323" s="17" t="s">
        <v>11</v>
      </c>
      <c r="E8323" s="17"/>
      <c r="F8323" s="18"/>
      <c r="G8323" s="36" t="str">
        <f>IF(ISNUMBER(F8323),C8323*F8323,"")</f>
        <v/>
      </c>
    </row>
    <row r="8324" spans="1:7" ht="12" customHeight="1" outlineLevel="3" x14ac:dyDescent="0.2">
      <c r="A8324" s="14" t="s">
        <v>16370</v>
      </c>
      <c r="B8324" s="15" t="s">
        <v>16371</v>
      </c>
      <c r="C8324" s="16">
        <f>105.4/(1+B2)</f>
        <v>105.4</v>
      </c>
      <c r="D8324" s="17" t="s">
        <v>11</v>
      </c>
      <c r="E8324" s="17"/>
      <c r="F8324" s="18"/>
      <c r="G8324" s="36" t="str">
        <f>IF(ISNUMBER(F8324),C8324*F8324,"")</f>
        <v/>
      </c>
    </row>
    <row r="8325" spans="1:7" ht="12" customHeight="1" outlineLevel="3" x14ac:dyDescent="0.2">
      <c r="A8325" s="14" t="s">
        <v>16372</v>
      </c>
      <c r="B8325" s="15" t="s">
        <v>16373</v>
      </c>
      <c r="C8325" s="16">
        <f>93.83/(1+B2)</f>
        <v>93.83</v>
      </c>
      <c r="D8325" s="17" t="s">
        <v>14</v>
      </c>
      <c r="E8325" s="17"/>
      <c r="F8325" s="18"/>
      <c r="G8325" s="36" t="str">
        <f>IF(ISNUMBER(F8325),C8325*F8325,"")</f>
        <v/>
      </c>
    </row>
    <row r="8326" spans="1:7" ht="12" customHeight="1" outlineLevel="3" x14ac:dyDescent="0.2">
      <c r="A8326" s="14" t="s">
        <v>16374</v>
      </c>
      <c r="B8326" s="15" t="s">
        <v>16375</v>
      </c>
      <c r="C8326" s="16">
        <f>95.01/(1+B2)</f>
        <v>95.01</v>
      </c>
      <c r="D8326" s="17" t="s">
        <v>11</v>
      </c>
      <c r="E8326" s="17"/>
      <c r="F8326" s="18"/>
      <c r="G8326" s="36" t="str">
        <f>IF(ISNUMBER(F8326),C8326*F8326,"")</f>
        <v/>
      </c>
    </row>
    <row r="8327" spans="1:7" ht="12" customHeight="1" outlineLevel="3" x14ac:dyDescent="0.2">
      <c r="A8327" s="14" t="s">
        <v>16376</v>
      </c>
      <c r="B8327" s="15" t="s">
        <v>16377</v>
      </c>
      <c r="C8327" s="16">
        <f>116.28/(1+B2)</f>
        <v>116.28</v>
      </c>
      <c r="D8327" s="17" t="s">
        <v>11</v>
      </c>
      <c r="E8327" s="17"/>
      <c r="F8327" s="18"/>
      <c r="G8327" s="36" t="str">
        <f>IF(ISNUMBER(F8327),C8327*F8327,"")</f>
        <v/>
      </c>
    </row>
    <row r="8328" spans="1:7" ht="12" customHeight="1" outlineLevel="3" x14ac:dyDescent="0.2">
      <c r="A8328" s="14" t="s">
        <v>16378</v>
      </c>
      <c r="B8328" s="15" t="s">
        <v>16379</v>
      </c>
      <c r="C8328" s="16">
        <f>77.51/(1+B2)</f>
        <v>77.510000000000005</v>
      </c>
      <c r="D8328" s="17" t="s">
        <v>11</v>
      </c>
      <c r="E8328" s="17"/>
      <c r="F8328" s="18"/>
      <c r="G8328" s="36" t="str">
        <f>IF(ISNUMBER(F8328),C8328*F8328,"")</f>
        <v/>
      </c>
    </row>
    <row r="8329" spans="1:7" ht="12" customHeight="1" outlineLevel="3" x14ac:dyDescent="0.2">
      <c r="A8329" s="14" t="s">
        <v>16380</v>
      </c>
      <c r="B8329" s="15" t="s">
        <v>16381</v>
      </c>
      <c r="C8329" s="16">
        <f>127.96/(1+B2)</f>
        <v>127.96</v>
      </c>
      <c r="D8329" s="17" t="s">
        <v>14</v>
      </c>
      <c r="E8329" s="17" t="s">
        <v>11</v>
      </c>
      <c r="F8329" s="18"/>
      <c r="G8329" s="36" t="str">
        <f>IF(ISNUMBER(F8329),C8329*F8329,"")</f>
        <v/>
      </c>
    </row>
    <row r="8330" spans="1:7" ht="12" customHeight="1" outlineLevel="3" x14ac:dyDescent="0.2">
      <c r="A8330" s="14" t="s">
        <v>16382</v>
      </c>
      <c r="B8330" s="15" t="s">
        <v>16383</v>
      </c>
      <c r="C8330" s="16">
        <f>160.06/(1+B2)</f>
        <v>160.06</v>
      </c>
      <c r="D8330" s="17" t="s">
        <v>11</v>
      </c>
      <c r="E8330" s="17" t="s">
        <v>53</v>
      </c>
      <c r="F8330" s="18"/>
      <c r="G8330" s="36" t="str">
        <f>IF(ISNUMBER(F8330),C8330*F8330,"")</f>
        <v/>
      </c>
    </row>
    <row r="8331" spans="1:7" ht="12" customHeight="1" outlineLevel="3" x14ac:dyDescent="0.2">
      <c r="A8331" s="14" t="s">
        <v>16384</v>
      </c>
      <c r="B8331" s="15" t="s">
        <v>16385</v>
      </c>
      <c r="C8331" s="16">
        <f>86.93/(1+B2)</f>
        <v>86.93</v>
      </c>
      <c r="D8331" s="17" t="s">
        <v>11</v>
      </c>
      <c r="E8331" s="17"/>
      <c r="F8331" s="18"/>
      <c r="G8331" s="36" t="str">
        <f>IF(ISNUMBER(F8331),C8331*F8331,"")</f>
        <v/>
      </c>
    </row>
    <row r="8332" spans="1:7" ht="12" customHeight="1" outlineLevel="3" x14ac:dyDescent="0.2">
      <c r="A8332" s="14" t="s">
        <v>16386</v>
      </c>
      <c r="B8332" s="15" t="s">
        <v>16387</v>
      </c>
      <c r="C8332" s="16">
        <f>64.14/(1+B2)</f>
        <v>64.14</v>
      </c>
      <c r="D8332" s="17" t="s">
        <v>11</v>
      </c>
      <c r="E8332" s="17" t="s">
        <v>11</v>
      </c>
      <c r="F8332" s="18"/>
      <c r="G8332" s="36" t="str">
        <f>IF(ISNUMBER(F8332),C8332*F8332,"")</f>
        <v/>
      </c>
    </row>
    <row r="8333" spans="1:7" ht="12" customHeight="1" outlineLevel="3" x14ac:dyDescent="0.2">
      <c r="A8333" s="14" t="s">
        <v>16388</v>
      </c>
      <c r="B8333" s="15" t="s">
        <v>16389</v>
      </c>
      <c r="C8333" s="16">
        <f>74.59/(1+B2)</f>
        <v>74.59</v>
      </c>
      <c r="D8333" s="17" t="s">
        <v>11</v>
      </c>
      <c r="E8333" s="17"/>
      <c r="F8333" s="18"/>
      <c r="G8333" s="36" t="str">
        <f>IF(ISNUMBER(F8333),C8333*F8333,"")</f>
        <v/>
      </c>
    </row>
    <row r="8334" spans="1:7" ht="12" customHeight="1" outlineLevel="3" x14ac:dyDescent="0.2">
      <c r="A8334" s="14" t="s">
        <v>16390</v>
      </c>
      <c r="B8334" s="15" t="s">
        <v>16391</v>
      </c>
      <c r="C8334" s="16">
        <f>94.78/(1+B2)</f>
        <v>94.78</v>
      </c>
      <c r="D8334" s="17" t="s">
        <v>11</v>
      </c>
      <c r="E8334" s="17"/>
      <c r="F8334" s="18"/>
      <c r="G8334" s="36" t="str">
        <f>IF(ISNUMBER(F8334),C8334*F8334,"")</f>
        <v/>
      </c>
    </row>
    <row r="8335" spans="1:7" ht="12" customHeight="1" outlineLevel="3" x14ac:dyDescent="0.2">
      <c r="A8335" s="14" t="s">
        <v>16392</v>
      </c>
      <c r="B8335" s="15" t="s">
        <v>16393</v>
      </c>
      <c r="C8335" s="16">
        <f>110.24/(1+B2)</f>
        <v>110.24</v>
      </c>
      <c r="D8335" s="17" t="s">
        <v>11</v>
      </c>
      <c r="E8335" s="17" t="s">
        <v>53</v>
      </c>
      <c r="F8335" s="18"/>
      <c r="G8335" s="36" t="str">
        <f>IF(ISNUMBER(F8335),C8335*F8335,"")</f>
        <v/>
      </c>
    </row>
    <row r="8336" spans="1:7" ht="12" customHeight="1" outlineLevel="3" x14ac:dyDescent="0.2">
      <c r="A8336" s="14" t="s">
        <v>16394</v>
      </c>
      <c r="B8336" s="15" t="s">
        <v>16395</v>
      </c>
      <c r="C8336" s="16">
        <f>126.3/(1+B2)</f>
        <v>126.3</v>
      </c>
      <c r="D8336" s="17" t="s">
        <v>53</v>
      </c>
      <c r="E8336" s="17" t="s">
        <v>53</v>
      </c>
      <c r="F8336" s="18"/>
      <c r="G8336" s="36" t="str">
        <f>IF(ISNUMBER(F8336),C8336*F8336,"")</f>
        <v/>
      </c>
    </row>
    <row r="8337" spans="1:7" ht="12" customHeight="1" outlineLevel="3" x14ac:dyDescent="0.2">
      <c r="A8337" s="14" t="s">
        <v>16396</v>
      </c>
      <c r="B8337" s="15" t="s">
        <v>16397</v>
      </c>
      <c r="C8337" s="16">
        <f>107.2/(1+B2)</f>
        <v>107.2</v>
      </c>
      <c r="D8337" s="17" t="s">
        <v>11</v>
      </c>
      <c r="E8337" s="17" t="s">
        <v>106</v>
      </c>
      <c r="F8337" s="18"/>
      <c r="G8337" s="36" t="str">
        <f>IF(ISNUMBER(F8337),C8337*F8337,"")</f>
        <v/>
      </c>
    </row>
    <row r="8338" spans="1:7" ht="12" customHeight="1" outlineLevel="3" x14ac:dyDescent="0.2">
      <c r="A8338" s="14" t="s">
        <v>16398</v>
      </c>
      <c r="B8338" s="15" t="s">
        <v>16399</v>
      </c>
      <c r="C8338" s="16">
        <f>144.5/(1+B2)</f>
        <v>144.5</v>
      </c>
      <c r="D8338" s="17" t="s">
        <v>11</v>
      </c>
      <c r="E8338" s="17" t="s">
        <v>53</v>
      </c>
      <c r="F8338" s="18"/>
      <c r="G8338" s="36" t="str">
        <f>IF(ISNUMBER(F8338),C8338*F8338,"")</f>
        <v/>
      </c>
    </row>
    <row r="8339" spans="1:7" ht="12" customHeight="1" outlineLevel="3" x14ac:dyDescent="0.2">
      <c r="A8339" s="14" t="s">
        <v>16400</v>
      </c>
      <c r="B8339" s="15" t="s">
        <v>16401</v>
      </c>
      <c r="C8339" s="16">
        <f>157.18/(1+B2)</f>
        <v>157.18</v>
      </c>
      <c r="D8339" s="17" t="s">
        <v>11</v>
      </c>
      <c r="E8339" s="17" t="s">
        <v>14</v>
      </c>
      <c r="F8339" s="18"/>
      <c r="G8339" s="36" t="str">
        <f>IF(ISNUMBER(F8339),C8339*F8339,"")</f>
        <v/>
      </c>
    </row>
    <row r="8340" spans="1:7" ht="12" customHeight="1" outlineLevel="3" x14ac:dyDescent="0.2">
      <c r="A8340" s="14" t="s">
        <v>16402</v>
      </c>
      <c r="B8340" s="15" t="s">
        <v>16403</v>
      </c>
      <c r="C8340" s="16">
        <f>189.48/(1+B2)</f>
        <v>189.48</v>
      </c>
      <c r="D8340" s="17" t="s">
        <v>11</v>
      </c>
      <c r="E8340" s="17" t="s">
        <v>14</v>
      </c>
      <c r="F8340" s="18"/>
      <c r="G8340" s="36" t="str">
        <f>IF(ISNUMBER(F8340),C8340*F8340,"")</f>
        <v/>
      </c>
    </row>
    <row r="8341" spans="1:7" ht="12" customHeight="1" outlineLevel="3" x14ac:dyDescent="0.2">
      <c r="A8341" s="14" t="s">
        <v>16404</v>
      </c>
      <c r="B8341" s="15" t="s">
        <v>16405</v>
      </c>
      <c r="C8341" s="16">
        <f>173.84/(1+B2)</f>
        <v>173.84</v>
      </c>
      <c r="D8341" s="17" t="s">
        <v>11</v>
      </c>
      <c r="E8341" s="17"/>
      <c r="F8341" s="18"/>
      <c r="G8341" s="36" t="str">
        <f>IF(ISNUMBER(F8341),C8341*F8341,"")</f>
        <v/>
      </c>
    </row>
    <row r="8342" spans="1:7" ht="12" customHeight="1" outlineLevel="3" x14ac:dyDescent="0.2">
      <c r="A8342" s="14" t="s">
        <v>16406</v>
      </c>
      <c r="B8342" s="15" t="s">
        <v>16407</v>
      </c>
      <c r="C8342" s="16">
        <f>207.64/(1+B2)</f>
        <v>207.64</v>
      </c>
      <c r="D8342" s="17" t="s">
        <v>11</v>
      </c>
      <c r="E8342" s="17" t="s">
        <v>53</v>
      </c>
      <c r="F8342" s="18"/>
      <c r="G8342" s="36" t="str">
        <f>IF(ISNUMBER(F8342),C8342*F8342,"")</f>
        <v/>
      </c>
    </row>
    <row r="8343" spans="1:7" ht="12" customHeight="1" outlineLevel="3" x14ac:dyDescent="0.2">
      <c r="A8343" s="14" t="s">
        <v>16408</v>
      </c>
      <c r="B8343" s="15" t="s">
        <v>16409</v>
      </c>
      <c r="C8343" s="16">
        <f>176.94/(1+B2)</f>
        <v>176.94</v>
      </c>
      <c r="D8343" s="17" t="s">
        <v>11</v>
      </c>
      <c r="E8343" s="17"/>
      <c r="F8343" s="18"/>
      <c r="G8343" s="36" t="str">
        <f>IF(ISNUMBER(F8343),C8343*F8343,"")</f>
        <v/>
      </c>
    </row>
    <row r="8344" spans="1:7" ht="12" customHeight="1" outlineLevel="3" x14ac:dyDescent="0.2">
      <c r="A8344" s="14" t="s">
        <v>16410</v>
      </c>
      <c r="B8344" s="15" t="s">
        <v>16411</v>
      </c>
      <c r="C8344" s="16">
        <f>296.78/(1+B2)</f>
        <v>296.77999999999997</v>
      </c>
      <c r="D8344" s="17" t="s">
        <v>11</v>
      </c>
      <c r="E8344" s="17" t="s">
        <v>14</v>
      </c>
      <c r="F8344" s="18"/>
      <c r="G8344" s="36" t="str">
        <f>IF(ISNUMBER(F8344),C8344*F8344,"")</f>
        <v/>
      </c>
    </row>
    <row r="8345" spans="1:7" ht="12" customHeight="1" outlineLevel="3" x14ac:dyDescent="0.2">
      <c r="A8345" s="14" t="s">
        <v>16412</v>
      </c>
      <c r="B8345" s="15" t="s">
        <v>16413</v>
      </c>
      <c r="C8345" s="16">
        <f>238.28/(1+B2)</f>
        <v>238.28</v>
      </c>
      <c r="D8345" s="17" t="s">
        <v>14</v>
      </c>
      <c r="E8345" s="17" t="s">
        <v>11</v>
      </c>
      <c r="F8345" s="18"/>
      <c r="G8345" s="36" t="str">
        <f>IF(ISNUMBER(F8345),C8345*F8345,"")</f>
        <v/>
      </c>
    </row>
    <row r="8346" spans="1:7" ht="12" customHeight="1" outlineLevel="3" x14ac:dyDescent="0.2">
      <c r="A8346" s="14" t="s">
        <v>16414</v>
      </c>
      <c r="B8346" s="15" t="s">
        <v>16415</v>
      </c>
      <c r="C8346" s="16">
        <f>305.55/(1+B2)</f>
        <v>305.55</v>
      </c>
      <c r="D8346" s="17" t="s">
        <v>14</v>
      </c>
      <c r="E8346" s="17"/>
      <c r="F8346" s="18"/>
      <c r="G8346" s="36" t="str">
        <f>IF(ISNUMBER(F8346),C8346*F8346,"")</f>
        <v/>
      </c>
    </row>
    <row r="8347" spans="1:7" ht="12" customHeight="1" outlineLevel="3" x14ac:dyDescent="0.2">
      <c r="A8347" s="14" t="s">
        <v>16416</v>
      </c>
      <c r="B8347" s="15" t="s">
        <v>16417</v>
      </c>
      <c r="C8347" s="16">
        <f>277.34/(1+B2)</f>
        <v>277.33999999999997</v>
      </c>
      <c r="D8347" s="17" t="s">
        <v>11</v>
      </c>
      <c r="E8347" s="17" t="s">
        <v>11</v>
      </c>
      <c r="F8347" s="18"/>
      <c r="G8347" s="36" t="str">
        <f>IF(ISNUMBER(F8347),C8347*F8347,"")</f>
        <v/>
      </c>
    </row>
    <row r="8348" spans="1:7" ht="12" customHeight="1" outlineLevel="3" x14ac:dyDescent="0.2">
      <c r="A8348" s="14" t="s">
        <v>16418</v>
      </c>
      <c r="B8348" s="15" t="s">
        <v>16419</v>
      </c>
      <c r="C8348" s="16">
        <f>368.08/(1+B2)</f>
        <v>368.08</v>
      </c>
      <c r="D8348" s="17" t="s">
        <v>11</v>
      </c>
      <c r="E8348" s="17" t="s">
        <v>14</v>
      </c>
      <c r="F8348" s="18"/>
      <c r="G8348" s="36" t="str">
        <f>IF(ISNUMBER(F8348),C8348*F8348,"")</f>
        <v/>
      </c>
    </row>
    <row r="8349" spans="1:7" ht="12" customHeight="1" outlineLevel="3" x14ac:dyDescent="0.2">
      <c r="A8349" s="14" t="s">
        <v>16420</v>
      </c>
      <c r="B8349" s="15" t="s">
        <v>16421</v>
      </c>
      <c r="C8349" s="16">
        <f>315.98/(1+B2)</f>
        <v>315.98</v>
      </c>
      <c r="D8349" s="17" t="s">
        <v>14</v>
      </c>
      <c r="E8349" s="17" t="s">
        <v>53</v>
      </c>
      <c r="F8349" s="18"/>
      <c r="G8349" s="36" t="str">
        <f>IF(ISNUMBER(F8349),C8349*F8349,"")</f>
        <v/>
      </c>
    </row>
    <row r="8350" spans="1:7" ht="12" customHeight="1" outlineLevel="3" x14ac:dyDescent="0.2">
      <c r="A8350" s="14" t="s">
        <v>16422</v>
      </c>
      <c r="B8350" s="15" t="s">
        <v>16423</v>
      </c>
      <c r="C8350" s="16">
        <f>372.06/(1+B2)</f>
        <v>372.06</v>
      </c>
      <c r="D8350" s="17" t="s">
        <v>11</v>
      </c>
      <c r="E8350" s="17" t="s">
        <v>14</v>
      </c>
      <c r="F8350" s="18"/>
      <c r="G8350" s="36" t="str">
        <f>IF(ISNUMBER(F8350),C8350*F8350,"")</f>
        <v/>
      </c>
    </row>
    <row r="8351" spans="1:7" ht="12" customHeight="1" outlineLevel="3" x14ac:dyDescent="0.2">
      <c r="A8351" s="14" t="s">
        <v>16424</v>
      </c>
      <c r="B8351" s="15" t="s">
        <v>16425</v>
      </c>
      <c r="C8351" s="16">
        <f>115.23/(1+B2)</f>
        <v>115.23</v>
      </c>
      <c r="D8351" s="17" t="s">
        <v>11</v>
      </c>
      <c r="E8351" s="17"/>
      <c r="F8351" s="18"/>
      <c r="G8351" s="36" t="str">
        <f>IF(ISNUMBER(F8351),C8351*F8351,"")</f>
        <v/>
      </c>
    </row>
    <row r="8352" spans="1:7" ht="12" customHeight="1" outlineLevel="3" x14ac:dyDescent="0.2">
      <c r="A8352" s="14" t="s">
        <v>16426</v>
      </c>
      <c r="B8352" s="15" t="s">
        <v>16427</v>
      </c>
      <c r="C8352" s="16">
        <f>81.82/(1+B2)</f>
        <v>81.819999999999993</v>
      </c>
      <c r="D8352" s="17" t="s">
        <v>53</v>
      </c>
      <c r="E8352" s="17"/>
      <c r="F8352" s="18"/>
      <c r="G8352" s="36" t="str">
        <f>IF(ISNUMBER(F8352),C8352*F8352,"")</f>
        <v/>
      </c>
    </row>
    <row r="8353" spans="1:7" ht="12" customHeight="1" outlineLevel="3" x14ac:dyDescent="0.2">
      <c r="A8353" s="14" t="s">
        <v>16428</v>
      </c>
      <c r="B8353" s="15" t="s">
        <v>16429</v>
      </c>
      <c r="C8353" s="16">
        <f>103.11/(1+B2)</f>
        <v>103.11</v>
      </c>
      <c r="D8353" s="17" t="s">
        <v>11</v>
      </c>
      <c r="E8353" s="17"/>
      <c r="F8353" s="18"/>
      <c r="G8353" s="36" t="str">
        <f>IF(ISNUMBER(F8353),C8353*F8353,"")</f>
        <v/>
      </c>
    </row>
    <row r="8354" spans="1:7" ht="12" customHeight="1" outlineLevel="3" x14ac:dyDescent="0.2">
      <c r="A8354" s="14" t="s">
        <v>16430</v>
      </c>
      <c r="B8354" s="15" t="s">
        <v>16431</v>
      </c>
      <c r="C8354" s="16">
        <f>101.86/(1+B2)</f>
        <v>101.86</v>
      </c>
      <c r="D8354" s="17" t="s">
        <v>11</v>
      </c>
      <c r="E8354" s="17"/>
      <c r="F8354" s="18"/>
      <c r="G8354" s="36" t="str">
        <f>IF(ISNUMBER(F8354),C8354*F8354,"")</f>
        <v/>
      </c>
    </row>
    <row r="8355" spans="1:7" ht="12" customHeight="1" outlineLevel="3" x14ac:dyDescent="0.2">
      <c r="A8355" s="14" t="s">
        <v>16432</v>
      </c>
      <c r="B8355" s="15" t="s">
        <v>16433</v>
      </c>
      <c r="C8355" s="16">
        <f>167.3/(1+B2)</f>
        <v>167.3</v>
      </c>
      <c r="D8355" s="17" t="s">
        <v>11</v>
      </c>
      <c r="E8355" s="17"/>
      <c r="F8355" s="18"/>
      <c r="G8355" s="36" t="str">
        <f>IF(ISNUMBER(F8355),C8355*F8355,"")</f>
        <v/>
      </c>
    </row>
    <row r="8356" spans="1:7" s="1" customFormat="1" ht="15.95" customHeight="1" outlineLevel="1" x14ac:dyDescent="0.25">
      <c r="A8356" s="11"/>
      <c r="B8356" s="12" t="s">
        <v>16434</v>
      </c>
      <c r="C8356" s="13"/>
      <c r="D8356" s="13"/>
      <c r="E8356" s="13"/>
      <c r="F8356" s="13"/>
      <c r="G8356" s="35"/>
    </row>
    <row r="8357" spans="1:7" ht="24" customHeight="1" outlineLevel="2" x14ac:dyDescent="0.2">
      <c r="A8357" s="14" t="s">
        <v>16435</v>
      </c>
      <c r="B8357" s="15" t="s">
        <v>16436</v>
      </c>
      <c r="C8357" s="16">
        <f>401.26/(1+B2)</f>
        <v>401.26</v>
      </c>
      <c r="D8357" s="17" t="s">
        <v>11</v>
      </c>
      <c r="E8357" s="17"/>
      <c r="F8357" s="18"/>
      <c r="G8357" s="36" t="str">
        <f>IF(ISNUMBER(F8357),C8357*F8357,"")</f>
        <v/>
      </c>
    </row>
    <row r="8358" spans="1:7" ht="12" customHeight="1" outlineLevel="2" x14ac:dyDescent="0.2">
      <c r="A8358" s="14" t="s">
        <v>16437</v>
      </c>
      <c r="B8358" s="15" t="s">
        <v>16438</v>
      </c>
      <c r="C8358" s="16">
        <f>266.55/(1+B2)</f>
        <v>266.55</v>
      </c>
      <c r="D8358" s="17" t="s">
        <v>11</v>
      </c>
      <c r="E8358" s="17"/>
      <c r="F8358" s="18"/>
      <c r="G8358" s="36" t="str">
        <f>IF(ISNUMBER(F8358),C8358*F8358,"")</f>
        <v/>
      </c>
    </row>
    <row r="8359" spans="1:7" ht="12" customHeight="1" outlineLevel="2" x14ac:dyDescent="0.2">
      <c r="A8359" s="14" t="s">
        <v>16439</v>
      </c>
      <c r="B8359" s="15" t="s">
        <v>16440</v>
      </c>
      <c r="C8359" s="16">
        <f>408.97/(1+B2)</f>
        <v>408.97</v>
      </c>
      <c r="D8359" s="17" t="s">
        <v>11</v>
      </c>
      <c r="E8359" s="17"/>
      <c r="F8359" s="18"/>
      <c r="G8359" s="36" t="str">
        <f>IF(ISNUMBER(F8359),C8359*F8359,"")</f>
        <v/>
      </c>
    </row>
    <row r="8360" spans="1:7" ht="24" customHeight="1" outlineLevel="2" x14ac:dyDescent="0.2">
      <c r="A8360" s="14" t="s">
        <v>16441</v>
      </c>
      <c r="B8360" s="15" t="s">
        <v>16442</v>
      </c>
      <c r="C8360" s="16">
        <f>88.65/(1+B2)</f>
        <v>88.65</v>
      </c>
      <c r="D8360" s="17" t="s">
        <v>11</v>
      </c>
      <c r="E8360" s="17"/>
      <c r="F8360" s="18"/>
      <c r="G8360" s="36" t="str">
        <f>IF(ISNUMBER(F8360),C8360*F8360,"")</f>
        <v/>
      </c>
    </row>
    <row r="8361" spans="1:7" ht="24" customHeight="1" outlineLevel="2" x14ac:dyDescent="0.2">
      <c r="A8361" s="14" t="s">
        <v>16443</v>
      </c>
      <c r="B8361" s="15" t="s">
        <v>16444</v>
      </c>
      <c r="C8361" s="16">
        <f>126.73/(1+B2)</f>
        <v>126.73</v>
      </c>
      <c r="D8361" s="17" t="s">
        <v>11</v>
      </c>
      <c r="E8361" s="17"/>
      <c r="F8361" s="18"/>
      <c r="G8361" s="36" t="str">
        <f>IF(ISNUMBER(F8361),C8361*F8361,"")</f>
        <v/>
      </c>
    </row>
    <row r="8362" spans="1:7" ht="24" customHeight="1" outlineLevel="2" x14ac:dyDescent="0.2">
      <c r="A8362" s="14" t="s">
        <v>16445</v>
      </c>
      <c r="B8362" s="15" t="s">
        <v>16446</v>
      </c>
      <c r="C8362" s="16">
        <f>72.68/(1+B2)</f>
        <v>72.680000000000007</v>
      </c>
      <c r="D8362" s="17" t="s">
        <v>14</v>
      </c>
      <c r="E8362" s="17"/>
      <c r="F8362" s="18"/>
      <c r="G8362" s="36" t="str">
        <f>IF(ISNUMBER(F8362),C8362*F8362,"")</f>
        <v/>
      </c>
    </row>
    <row r="8363" spans="1:7" ht="24" customHeight="1" outlineLevel="2" x14ac:dyDescent="0.2">
      <c r="A8363" s="14" t="s">
        <v>16447</v>
      </c>
      <c r="B8363" s="15" t="s">
        <v>16448</v>
      </c>
      <c r="C8363" s="16">
        <f>176.7/(1+B2)</f>
        <v>176.7</v>
      </c>
      <c r="D8363" s="17" t="s">
        <v>11</v>
      </c>
      <c r="E8363" s="17"/>
      <c r="F8363" s="18"/>
      <c r="G8363" s="36" t="str">
        <f>IF(ISNUMBER(F8363),C8363*F8363,"")</f>
        <v/>
      </c>
    </row>
    <row r="8364" spans="1:7" ht="12" customHeight="1" outlineLevel="2" x14ac:dyDescent="0.2">
      <c r="A8364" s="14" t="s">
        <v>16449</v>
      </c>
      <c r="B8364" s="15" t="s">
        <v>16450</v>
      </c>
      <c r="C8364" s="16">
        <f>147.31/(1+B2)</f>
        <v>147.31</v>
      </c>
      <c r="D8364" s="17" t="s">
        <v>14</v>
      </c>
      <c r="E8364" s="17"/>
      <c r="F8364" s="18"/>
      <c r="G8364" s="36" t="str">
        <f>IF(ISNUMBER(F8364),C8364*F8364,"")</f>
        <v/>
      </c>
    </row>
    <row r="8365" spans="1:7" ht="12" customHeight="1" outlineLevel="2" x14ac:dyDescent="0.2">
      <c r="A8365" s="14" t="s">
        <v>16451</v>
      </c>
      <c r="B8365" s="15" t="s">
        <v>16452</v>
      </c>
      <c r="C8365" s="16">
        <f>218.03/(1+B2)</f>
        <v>218.03</v>
      </c>
      <c r="D8365" s="17" t="s">
        <v>11</v>
      </c>
      <c r="E8365" s="17"/>
      <c r="F8365" s="18"/>
      <c r="G8365" s="36" t="str">
        <f>IF(ISNUMBER(F8365),C8365*F8365,"")</f>
        <v/>
      </c>
    </row>
    <row r="8366" spans="1:7" ht="12" customHeight="1" outlineLevel="2" x14ac:dyDescent="0.2">
      <c r="A8366" s="14" t="s">
        <v>16453</v>
      </c>
      <c r="B8366" s="15" t="s">
        <v>16454</v>
      </c>
      <c r="C8366" s="16">
        <f>293.51/(1+B2)</f>
        <v>293.51</v>
      </c>
      <c r="D8366" s="17" t="s">
        <v>11</v>
      </c>
      <c r="E8366" s="17"/>
      <c r="F8366" s="18"/>
      <c r="G8366" s="36" t="str">
        <f>IF(ISNUMBER(F8366),C8366*F8366,"")</f>
        <v/>
      </c>
    </row>
    <row r="8367" spans="1:7" ht="12" customHeight="1" outlineLevel="2" x14ac:dyDescent="0.2">
      <c r="A8367" s="14" t="s">
        <v>16455</v>
      </c>
      <c r="B8367" s="15" t="s">
        <v>16456</v>
      </c>
      <c r="C8367" s="16">
        <f>101.87/(1+B2)</f>
        <v>101.87</v>
      </c>
      <c r="D8367" s="17" t="s">
        <v>11</v>
      </c>
      <c r="E8367" s="17"/>
      <c r="F8367" s="18"/>
      <c r="G8367" s="36" t="str">
        <f>IF(ISNUMBER(F8367),C8367*F8367,"")</f>
        <v/>
      </c>
    </row>
    <row r="8368" spans="1:7" ht="12" customHeight="1" outlineLevel="2" x14ac:dyDescent="0.2">
      <c r="A8368" s="14" t="s">
        <v>16457</v>
      </c>
      <c r="B8368" s="15" t="s">
        <v>16458</v>
      </c>
      <c r="C8368" s="16">
        <f>117.37/(1+B2)</f>
        <v>117.37</v>
      </c>
      <c r="D8368" s="17" t="s">
        <v>11</v>
      </c>
      <c r="E8368" s="17"/>
      <c r="F8368" s="18"/>
      <c r="G8368" s="36" t="str">
        <f>IF(ISNUMBER(F8368),C8368*F8368,"")</f>
        <v/>
      </c>
    </row>
    <row r="8369" spans="1:7" ht="12" customHeight="1" outlineLevel="2" x14ac:dyDescent="0.2">
      <c r="A8369" s="14" t="s">
        <v>16459</v>
      </c>
      <c r="B8369" s="15" t="s">
        <v>16460</v>
      </c>
      <c r="C8369" s="16">
        <f>51.89/(1+B2)</f>
        <v>51.89</v>
      </c>
      <c r="D8369" s="17" t="s">
        <v>11</v>
      </c>
      <c r="E8369" s="17"/>
      <c r="F8369" s="18"/>
      <c r="G8369" s="36" t="str">
        <f>IF(ISNUMBER(F8369),C8369*F8369,"")</f>
        <v/>
      </c>
    </row>
    <row r="8370" spans="1:7" ht="12" customHeight="1" outlineLevel="2" x14ac:dyDescent="0.2">
      <c r="A8370" s="14" t="s">
        <v>16461</v>
      </c>
      <c r="B8370" s="15" t="s">
        <v>16462</v>
      </c>
      <c r="C8370" s="16">
        <f>37.89/(1+B2)</f>
        <v>37.89</v>
      </c>
      <c r="D8370" s="17" t="s">
        <v>11</v>
      </c>
      <c r="E8370" s="17"/>
      <c r="F8370" s="18"/>
      <c r="G8370" s="36" t="str">
        <f>IF(ISNUMBER(F8370),C8370*F8370,"")</f>
        <v/>
      </c>
    </row>
    <row r="8371" spans="1:7" ht="12" customHeight="1" outlineLevel="2" x14ac:dyDescent="0.2">
      <c r="A8371" s="14" t="s">
        <v>16463</v>
      </c>
      <c r="B8371" s="15" t="s">
        <v>16464</v>
      </c>
      <c r="C8371" s="16">
        <f>37.89/(1+B2)</f>
        <v>37.89</v>
      </c>
      <c r="D8371" s="17" t="s">
        <v>11</v>
      </c>
      <c r="E8371" s="17"/>
      <c r="F8371" s="18"/>
      <c r="G8371" s="36" t="str">
        <f>IF(ISNUMBER(F8371),C8371*F8371,"")</f>
        <v/>
      </c>
    </row>
    <row r="8372" spans="1:7" ht="12" customHeight="1" outlineLevel="2" x14ac:dyDescent="0.2">
      <c r="A8372" s="14" t="s">
        <v>16465</v>
      </c>
      <c r="B8372" s="15" t="s">
        <v>16466</v>
      </c>
      <c r="C8372" s="16">
        <f>37.89/(1+B2)</f>
        <v>37.89</v>
      </c>
      <c r="D8372" s="17" t="s">
        <v>11</v>
      </c>
      <c r="E8372" s="17"/>
      <c r="F8372" s="18"/>
      <c r="G8372" s="36" t="str">
        <f>IF(ISNUMBER(F8372),C8372*F8372,"")</f>
        <v/>
      </c>
    </row>
    <row r="8373" spans="1:7" ht="12" customHeight="1" outlineLevel="2" x14ac:dyDescent="0.2">
      <c r="A8373" s="14" t="s">
        <v>16467</v>
      </c>
      <c r="B8373" s="15" t="s">
        <v>16468</v>
      </c>
      <c r="C8373" s="16">
        <f>37.89/(1+B2)</f>
        <v>37.89</v>
      </c>
      <c r="D8373" s="17" t="s">
        <v>11</v>
      </c>
      <c r="E8373" s="17"/>
      <c r="F8373" s="18"/>
      <c r="G8373" s="36" t="str">
        <f>IF(ISNUMBER(F8373),C8373*F8373,"")</f>
        <v/>
      </c>
    </row>
    <row r="8374" spans="1:7" ht="12" customHeight="1" outlineLevel="2" x14ac:dyDescent="0.2">
      <c r="A8374" s="14" t="s">
        <v>16469</v>
      </c>
      <c r="B8374" s="15" t="s">
        <v>16470</v>
      </c>
      <c r="C8374" s="16">
        <f>37.89/(1+B2)</f>
        <v>37.89</v>
      </c>
      <c r="D8374" s="17" t="s">
        <v>11</v>
      </c>
      <c r="E8374" s="17"/>
      <c r="F8374" s="18"/>
      <c r="G8374" s="36" t="str">
        <f>IF(ISNUMBER(F8374),C8374*F8374,"")</f>
        <v/>
      </c>
    </row>
    <row r="8375" spans="1:7" ht="12" customHeight="1" outlineLevel="2" x14ac:dyDescent="0.2">
      <c r="A8375" s="14" t="s">
        <v>16471</v>
      </c>
      <c r="B8375" s="15" t="s">
        <v>16472</v>
      </c>
      <c r="C8375" s="16">
        <f>37.89/(1+B2)</f>
        <v>37.89</v>
      </c>
      <c r="D8375" s="17" t="s">
        <v>11</v>
      </c>
      <c r="E8375" s="17"/>
      <c r="F8375" s="18"/>
      <c r="G8375" s="36" t="str">
        <f>IF(ISNUMBER(F8375),C8375*F8375,"")</f>
        <v/>
      </c>
    </row>
    <row r="8376" spans="1:7" ht="12" customHeight="1" outlineLevel="2" x14ac:dyDescent="0.2">
      <c r="A8376" s="14" t="s">
        <v>16473</v>
      </c>
      <c r="B8376" s="15" t="s">
        <v>16474</v>
      </c>
      <c r="C8376" s="16">
        <f>37.89/(1+B2)</f>
        <v>37.89</v>
      </c>
      <c r="D8376" s="17" t="s">
        <v>11</v>
      </c>
      <c r="E8376" s="17"/>
      <c r="F8376" s="18"/>
      <c r="G8376" s="36" t="str">
        <f>IF(ISNUMBER(F8376),C8376*F8376,"")</f>
        <v/>
      </c>
    </row>
    <row r="8377" spans="1:7" ht="12" customHeight="1" outlineLevel="2" x14ac:dyDescent="0.2">
      <c r="A8377" s="14" t="s">
        <v>16475</v>
      </c>
      <c r="B8377" s="15" t="s">
        <v>16476</v>
      </c>
      <c r="C8377" s="16">
        <f>48.47/(1+B2)</f>
        <v>48.47</v>
      </c>
      <c r="D8377" s="17" t="s">
        <v>11</v>
      </c>
      <c r="E8377" s="17"/>
      <c r="F8377" s="18"/>
      <c r="G8377" s="36" t="str">
        <f>IF(ISNUMBER(F8377),C8377*F8377,"")</f>
        <v/>
      </c>
    </row>
    <row r="8378" spans="1:7" s="1" customFormat="1" ht="15.95" customHeight="1" x14ac:dyDescent="0.25">
      <c r="A8378" s="8"/>
      <c r="B8378" s="9" t="s">
        <v>16477</v>
      </c>
      <c r="C8378" s="10"/>
      <c r="D8378" s="10"/>
      <c r="E8378" s="10"/>
      <c r="F8378" s="10"/>
      <c r="G8378" s="34"/>
    </row>
    <row r="8379" spans="1:7" s="1" customFormat="1" ht="15.95" customHeight="1" outlineLevel="1" x14ac:dyDescent="0.25">
      <c r="A8379" s="11"/>
      <c r="B8379" s="12" t="s">
        <v>16478</v>
      </c>
      <c r="C8379" s="13"/>
      <c r="D8379" s="13"/>
      <c r="E8379" s="13"/>
      <c r="F8379" s="13"/>
      <c r="G8379" s="35"/>
    </row>
    <row r="8380" spans="1:7" ht="12" customHeight="1" outlineLevel="2" x14ac:dyDescent="0.2">
      <c r="A8380" s="14" t="s">
        <v>16479</v>
      </c>
      <c r="B8380" s="15" t="s">
        <v>16480</v>
      </c>
      <c r="C8380" s="19">
        <f>2267.96/(1+B2)</f>
        <v>2267.96</v>
      </c>
      <c r="D8380" s="17" t="s">
        <v>11</v>
      </c>
      <c r="E8380" s="17"/>
      <c r="F8380" s="18"/>
      <c r="G8380" s="36" t="str">
        <f>IF(ISNUMBER(F8380),C8380*F8380,"")</f>
        <v/>
      </c>
    </row>
    <row r="8381" spans="1:7" ht="12" customHeight="1" outlineLevel="2" x14ac:dyDescent="0.2">
      <c r="A8381" s="14" t="s">
        <v>16481</v>
      </c>
      <c r="B8381" s="15" t="s">
        <v>16482</v>
      </c>
      <c r="C8381" s="19">
        <f>2267.96/(1+B2)</f>
        <v>2267.96</v>
      </c>
      <c r="D8381" s="17" t="s">
        <v>11</v>
      </c>
      <c r="E8381" s="17"/>
      <c r="F8381" s="18"/>
      <c r="G8381" s="36" t="str">
        <f>IF(ISNUMBER(F8381),C8381*F8381,"")</f>
        <v/>
      </c>
    </row>
    <row r="8382" spans="1:7" ht="12" customHeight="1" outlineLevel="2" x14ac:dyDescent="0.2">
      <c r="A8382" s="14" t="s">
        <v>16483</v>
      </c>
      <c r="B8382" s="15" t="s">
        <v>16484</v>
      </c>
      <c r="C8382" s="19">
        <f>1921.7/(1+B2)</f>
        <v>1921.7</v>
      </c>
      <c r="D8382" s="17" t="s">
        <v>11</v>
      </c>
      <c r="E8382" s="17"/>
      <c r="F8382" s="18"/>
      <c r="G8382" s="36" t="str">
        <f>IF(ISNUMBER(F8382),C8382*F8382,"")</f>
        <v/>
      </c>
    </row>
    <row r="8383" spans="1:7" ht="12" customHeight="1" outlineLevel="2" x14ac:dyDescent="0.2">
      <c r="A8383" s="14" t="s">
        <v>16485</v>
      </c>
      <c r="B8383" s="15" t="s">
        <v>16486</v>
      </c>
      <c r="C8383" s="19">
        <f>2070.64/(1+B2)</f>
        <v>2070.64</v>
      </c>
      <c r="D8383" s="17" t="s">
        <v>11</v>
      </c>
      <c r="E8383" s="17"/>
      <c r="F8383" s="18"/>
      <c r="G8383" s="36" t="str">
        <f>IF(ISNUMBER(F8383),C8383*F8383,"")</f>
        <v/>
      </c>
    </row>
    <row r="8384" spans="1:7" ht="12" customHeight="1" outlineLevel="2" x14ac:dyDescent="0.2">
      <c r="A8384" s="14" t="s">
        <v>16487</v>
      </c>
      <c r="B8384" s="15" t="s">
        <v>16488</v>
      </c>
      <c r="C8384" s="19">
        <f>1807.55/(1+B2)</f>
        <v>1807.55</v>
      </c>
      <c r="D8384" s="17" t="s">
        <v>11</v>
      </c>
      <c r="E8384" s="17"/>
      <c r="F8384" s="18"/>
      <c r="G8384" s="36" t="str">
        <f>IF(ISNUMBER(F8384),C8384*F8384,"")</f>
        <v/>
      </c>
    </row>
    <row r="8385" spans="1:7" ht="12" customHeight="1" outlineLevel="2" x14ac:dyDescent="0.2">
      <c r="A8385" s="14" t="s">
        <v>16489</v>
      </c>
      <c r="B8385" s="15" t="s">
        <v>16490</v>
      </c>
      <c r="C8385" s="19">
        <f>1516.04/(1+B2)</f>
        <v>1516.04</v>
      </c>
      <c r="D8385" s="17" t="s">
        <v>11</v>
      </c>
      <c r="E8385" s="17"/>
      <c r="F8385" s="18"/>
      <c r="G8385" s="36" t="str">
        <f>IF(ISNUMBER(F8385),C8385*F8385,"")</f>
        <v/>
      </c>
    </row>
    <row r="8386" spans="1:7" ht="12" customHeight="1" outlineLevel="2" x14ac:dyDescent="0.2">
      <c r="A8386" s="14" t="s">
        <v>16491</v>
      </c>
      <c r="B8386" s="15" t="s">
        <v>16492</v>
      </c>
      <c r="C8386" s="19">
        <f>1538.43/(1+B2)</f>
        <v>1538.43</v>
      </c>
      <c r="D8386" s="17" t="s">
        <v>11</v>
      </c>
      <c r="E8386" s="17"/>
      <c r="F8386" s="18"/>
      <c r="G8386" s="36" t="str">
        <f>IF(ISNUMBER(F8386),C8386*F8386,"")</f>
        <v/>
      </c>
    </row>
    <row r="8387" spans="1:7" ht="12" customHeight="1" outlineLevel="2" x14ac:dyDescent="0.2">
      <c r="A8387" s="14" t="s">
        <v>16493</v>
      </c>
      <c r="B8387" s="15" t="s">
        <v>16494</v>
      </c>
      <c r="C8387" s="19">
        <f>1565.2/(1+B2)</f>
        <v>1565.2</v>
      </c>
      <c r="D8387" s="17" t="s">
        <v>11</v>
      </c>
      <c r="E8387" s="17"/>
      <c r="F8387" s="18"/>
      <c r="G8387" s="36" t="str">
        <f>IF(ISNUMBER(F8387),C8387*F8387,"")</f>
        <v/>
      </c>
    </row>
    <row r="8388" spans="1:7" ht="12" customHeight="1" outlineLevel="2" x14ac:dyDescent="0.2">
      <c r="A8388" s="14" t="s">
        <v>16495</v>
      </c>
      <c r="B8388" s="15" t="s">
        <v>16496</v>
      </c>
      <c r="C8388" s="16">
        <f>997.58/(1+B2)</f>
        <v>997.58</v>
      </c>
      <c r="D8388" s="17" t="s">
        <v>11</v>
      </c>
      <c r="E8388" s="17"/>
      <c r="F8388" s="18"/>
      <c r="G8388" s="36" t="str">
        <f>IF(ISNUMBER(F8388),C8388*F8388,"")</f>
        <v/>
      </c>
    </row>
    <row r="8389" spans="1:7" ht="12" customHeight="1" outlineLevel="2" x14ac:dyDescent="0.2">
      <c r="A8389" s="14" t="s">
        <v>16497</v>
      </c>
      <c r="B8389" s="15" t="s">
        <v>16498</v>
      </c>
      <c r="C8389" s="19">
        <f>1410.58/(1+B2)</f>
        <v>1410.58</v>
      </c>
      <c r="D8389" s="17" t="s">
        <v>11</v>
      </c>
      <c r="E8389" s="17"/>
      <c r="F8389" s="18"/>
      <c r="G8389" s="36" t="str">
        <f>IF(ISNUMBER(F8389),C8389*F8389,"")</f>
        <v/>
      </c>
    </row>
    <row r="8390" spans="1:7" ht="12" customHeight="1" outlineLevel="2" x14ac:dyDescent="0.2">
      <c r="A8390" s="14" t="s">
        <v>16499</v>
      </c>
      <c r="B8390" s="15" t="s">
        <v>16500</v>
      </c>
      <c r="C8390" s="16">
        <f>530.02/(1+B2)</f>
        <v>530.02</v>
      </c>
      <c r="D8390" s="17" t="s">
        <v>11</v>
      </c>
      <c r="E8390" s="17" t="s">
        <v>11</v>
      </c>
      <c r="F8390" s="18"/>
      <c r="G8390" s="36" t="str">
        <f>IF(ISNUMBER(F8390),C8390*F8390,"")</f>
        <v/>
      </c>
    </row>
    <row r="8391" spans="1:7" ht="12" customHeight="1" outlineLevel="2" x14ac:dyDescent="0.2">
      <c r="A8391" s="14" t="s">
        <v>16501</v>
      </c>
      <c r="B8391" s="15" t="s">
        <v>16502</v>
      </c>
      <c r="C8391" s="16">
        <f>839.03/(1+B2)</f>
        <v>839.03</v>
      </c>
      <c r="D8391" s="17" t="s">
        <v>11</v>
      </c>
      <c r="E8391" s="17" t="s">
        <v>11</v>
      </c>
      <c r="F8391" s="18"/>
      <c r="G8391" s="36" t="str">
        <f>IF(ISNUMBER(F8391),C8391*F8391,"")</f>
        <v/>
      </c>
    </row>
    <row r="8392" spans="1:7" ht="12" customHeight="1" outlineLevel="2" x14ac:dyDescent="0.2">
      <c r="A8392" s="14" t="s">
        <v>16503</v>
      </c>
      <c r="B8392" s="15" t="s">
        <v>16504</v>
      </c>
      <c r="C8392" s="16">
        <f>656.03/(1+B2)</f>
        <v>656.03</v>
      </c>
      <c r="D8392" s="17" t="s">
        <v>11</v>
      </c>
      <c r="E8392" s="17"/>
      <c r="F8392" s="18"/>
      <c r="G8392" s="36" t="str">
        <f>IF(ISNUMBER(F8392),C8392*F8392,"")</f>
        <v/>
      </c>
    </row>
    <row r="8393" spans="1:7" ht="12" customHeight="1" outlineLevel="2" x14ac:dyDescent="0.2">
      <c r="A8393" s="14" t="s">
        <v>16505</v>
      </c>
      <c r="B8393" s="15" t="s">
        <v>16506</v>
      </c>
      <c r="C8393" s="16">
        <f>656.03/(1+B2)</f>
        <v>656.03</v>
      </c>
      <c r="D8393" s="17" t="s">
        <v>11</v>
      </c>
      <c r="E8393" s="17"/>
      <c r="F8393" s="18"/>
      <c r="G8393" s="36" t="str">
        <f>IF(ISNUMBER(F8393),C8393*F8393,"")</f>
        <v/>
      </c>
    </row>
    <row r="8394" spans="1:7" ht="24" customHeight="1" outlineLevel="2" x14ac:dyDescent="0.2">
      <c r="A8394" s="14" t="s">
        <v>16507</v>
      </c>
      <c r="B8394" s="15" t="s">
        <v>16508</v>
      </c>
      <c r="C8394" s="16">
        <f>656.03/(1+B2)</f>
        <v>656.03</v>
      </c>
      <c r="D8394" s="17" t="s">
        <v>11</v>
      </c>
      <c r="E8394" s="17" t="s">
        <v>11</v>
      </c>
      <c r="F8394" s="18"/>
      <c r="G8394" s="36" t="str">
        <f>IF(ISNUMBER(F8394),C8394*F8394,"")</f>
        <v/>
      </c>
    </row>
    <row r="8395" spans="1:7" ht="12" customHeight="1" outlineLevel="2" x14ac:dyDescent="0.2">
      <c r="A8395" s="14" t="s">
        <v>16509</v>
      </c>
      <c r="B8395" s="15" t="s">
        <v>16510</v>
      </c>
      <c r="C8395" s="19">
        <f>1089.04/(1+B2)</f>
        <v>1089.04</v>
      </c>
      <c r="D8395" s="17" t="s">
        <v>11</v>
      </c>
      <c r="E8395" s="17"/>
      <c r="F8395" s="18"/>
      <c r="G8395" s="36" t="str">
        <f>IF(ISNUMBER(F8395),C8395*F8395,"")</f>
        <v/>
      </c>
    </row>
    <row r="8396" spans="1:7" ht="12" customHeight="1" outlineLevel="2" x14ac:dyDescent="0.2">
      <c r="A8396" s="14" t="s">
        <v>16511</v>
      </c>
      <c r="B8396" s="15" t="s">
        <v>16512</v>
      </c>
      <c r="C8396" s="19">
        <f>1476.2/(1+B2)</f>
        <v>1476.2</v>
      </c>
      <c r="D8396" s="17" t="s">
        <v>11</v>
      </c>
      <c r="E8396" s="17"/>
      <c r="F8396" s="18"/>
      <c r="G8396" s="36" t="str">
        <f>IF(ISNUMBER(F8396),C8396*F8396,"")</f>
        <v/>
      </c>
    </row>
    <row r="8397" spans="1:7" ht="12" customHeight="1" outlineLevel="2" x14ac:dyDescent="0.2">
      <c r="A8397" s="14" t="s">
        <v>16513</v>
      </c>
      <c r="B8397" s="15" t="s">
        <v>16514</v>
      </c>
      <c r="C8397" s="19">
        <f>1625.08/(1+B2)</f>
        <v>1625.08</v>
      </c>
      <c r="D8397" s="17" t="s">
        <v>11</v>
      </c>
      <c r="E8397" s="17"/>
      <c r="F8397" s="18"/>
      <c r="G8397" s="36" t="str">
        <f>IF(ISNUMBER(F8397),C8397*F8397,"")</f>
        <v/>
      </c>
    </row>
    <row r="8398" spans="1:7" ht="12" customHeight="1" outlineLevel="2" x14ac:dyDescent="0.2">
      <c r="A8398" s="14" t="s">
        <v>16515</v>
      </c>
      <c r="B8398" s="15" t="s">
        <v>16516</v>
      </c>
      <c r="C8398" s="19">
        <f>1812.25/(1+B2)</f>
        <v>1812.25</v>
      </c>
      <c r="D8398" s="17" t="s">
        <v>11</v>
      </c>
      <c r="E8398" s="17"/>
      <c r="F8398" s="18"/>
      <c r="G8398" s="36" t="str">
        <f>IF(ISNUMBER(F8398),C8398*F8398,"")</f>
        <v/>
      </c>
    </row>
    <row r="8399" spans="1:7" ht="12" customHeight="1" outlineLevel="2" x14ac:dyDescent="0.2">
      <c r="A8399" s="14" t="s">
        <v>16517</v>
      </c>
      <c r="B8399" s="15" t="s">
        <v>16518</v>
      </c>
      <c r="C8399" s="19">
        <f>2645.39/(1+B2)</f>
        <v>2645.39</v>
      </c>
      <c r="D8399" s="17" t="s">
        <v>11</v>
      </c>
      <c r="E8399" s="17"/>
      <c r="F8399" s="18"/>
      <c r="G8399" s="36" t="str">
        <f>IF(ISNUMBER(F8399),C8399*F8399,"")</f>
        <v/>
      </c>
    </row>
    <row r="8400" spans="1:7" ht="12" customHeight="1" outlineLevel="2" x14ac:dyDescent="0.2">
      <c r="A8400" s="14" t="s">
        <v>16519</v>
      </c>
      <c r="B8400" s="15" t="s">
        <v>16520</v>
      </c>
      <c r="C8400" s="19">
        <f>2637.56/(1+B2)</f>
        <v>2637.56</v>
      </c>
      <c r="D8400" s="17" t="s">
        <v>11</v>
      </c>
      <c r="E8400" s="17"/>
      <c r="F8400" s="18"/>
      <c r="G8400" s="36" t="str">
        <f>IF(ISNUMBER(F8400),C8400*F8400,"")</f>
        <v/>
      </c>
    </row>
    <row r="8401" spans="1:7" ht="12" customHeight="1" outlineLevel="2" x14ac:dyDescent="0.2">
      <c r="A8401" s="14" t="s">
        <v>16521</v>
      </c>
      <c r="B8401" s="15" t="s">
        <v>16522</v>
      </c>
      <c r="C8401" s="19">
        <f>1869.07/(1+B2)</f>
        <v>1869.07</v>
      </c>
      <c r="D8401" s="17" t="s">
        <v>11</v>
      </c>
      <c r="E8401" s="17"/>
      <c r="F8401" s="18"/>
      <c r="G8401" s="36" t="str">
        <f>IF(ISNUMBER(F8401),C8401*F8401,"")</f>
        <v/>
      </c>
    </row>
    <row r="8402" spans="1:7" ht="12" customHeight="1" outlineLevel="2" x14ac:dyDescent="0.2">
      <c r="A8402" s="14" t="s">
        <v>16523</v>
      </c>
      <c r="B8402" s="15" t="s">
        <v>16524</v>
      </c>
      <c r="C8402" s="19">
        <f>1735.61/(1+B2)</f>
        <v>1735.61</v>
      </c>
      <c r="D8402" s="17" t="s">
        <v>11</v>
      </c>
      <c r="E8402" s="17"/>
      <c r="F8402" s="18"/>
      <c r="G8402" s="36" t="str">
        <f>IF(ISNUMBER(F8402),C8402*F8402,"")</f>
        <v/>
      </c>
    </row>
    <row r="8403" spans="1:7" ht="24" customHeight="1" outlineLevel="2" x14ac:dyDescent="0.2">
      <c r="A8403" s="14" t="s">
        <v>16525</v>
      </c>
      <c r="B8403" s="15" t="s">
        <v>16526</v>
      </c>
      <c r="C8403" s="19">
        <f>2469.1/(1+B2)</f>
        <v>2469.1</v>
      </c>
      <c r="D8403" s="17" t="s">
        <v>11</v>
      </c>
      <c r="E8403" s="17"/>
      <c r="F8403" s="18"/>
      <c r="G8403" s="36" t="str">
        <f>IF(ISNUMBER(F8403),C8403*F8403,"")</f>
        <v/>
      </c>
    </row>
    <row r="8404" spans="1:7" ht="12" customHeight="1" outlineLevel="2" x14ac:dyDescent="0.2">
      <c r="A8404" s="14" t="s">
        <v>16527</v>
      </c>
      <c r="B8404" s="15" t="s">
        <v>16528</v>
      </c>
      <c r="C8404" s="19">
        <f>3594/(1+B2)</f>
        <v>3594</v>
      </c>
      <c r="D8404" s="17" t="s">
        <v>11</v>
      </c>
      <c r="E8404" s="17"/>
      <c r="F8404" s="18"/>
      <c r="G8404" s="36" t="str">
        <f>IF(ISNUMBER(F8404),C8404*F8404,"")</f>
        <v/>
      </c>
    </row>
    <row r="8405" spans="1:7" ht="12" customHeight="1" outlineLevel="2" x14ac:dyDescent="0.2">
      <c r="A8405" s="14" t="s">
        <v>16529</v>
      </c>
      <c r="B8405" s="15" t="s">
        <v>16530</v>
      </c>
      <c r="C8405" s="16">
        <f>643.75/(1+B2)</f>
        <v>643.75</v>
      </c>
      <c r="D8405" s="17" t="s">
        <v>11</v>
      </c>
      <c r="E8405" s="17" t="s">
        <v>53</v>
      </c>
      <c r="F8405" s="18"/>
      <c r="G8405" s="36" t="str">
        <f>IF(ISNUMBER(F8405),C8405*F8405,"")</f>
        <v/>
      </c>
    </row>
    <row r="8406" spans="1:7" ht="12" customHeight="1" outlineLevel="2" x14ac:dyDescent="0.2">
      <c r="A8406" s="14" t="s">
        <v>16531</v>
      </c>
      <c r="B8406" s="15" t="s">
        <v>16532</v>
      </c>
      <c r="C8406" s="19">
        <f>1142.64/(1+B2)</f>
        <v>1142.6400000000001</v>
      </c>
      <c r="D8406" s="17" t="s">
        <v>11</v>
      </c>
      <c r="E8406" s="17"/>
      <c r="F8406" s="18"/>
      <c r="G8406" s="36" t="str">
        <f>IF(ISNUMBER(F8406),C8406*F8406,"")</f>
        <v/>
      </c>
    </row>
    <row r="8407" spans="1:7" ht="12" customHeight="1" outlineLevel="2" x14ac:dyDescent="0.2">
      <c r="A8407" s="14" t="s">
        <v>16533</v>
      </c>
      <c r="B8407" s="15" t="s">
        <v>16534</v>
      </c>
      <c r="C8407" s="16">
        <f>622.5/(1+B2)</f>
        <v>622.5</v>
      </c>
      <c r="D8407" s="17" t="s">
        <v>11</v>
      </c>
      <c r="E8407" s="17" t="s">
        <v>11</v>
      </c>
      <c r="F8407" s="18"/>
      <c r="G8407" s="36" t="str">
        <f>IF(ISNUMBER(F8407),C8407*F8407,"")</f>
        <v/>
      </c>
    </row>
    <row r="8408" spans="1:7" ht="12" customHeight="1" outlineLevel="2" x14ac:dyDescent="0.2">
      <c r="A8408" s="14" t="s">
        <v>16535</v>
      </c>
      <c r="B8408" s="15" t="s">
        <v>16536</v>
      </c>
      <c r="C8408" s="16">
        <f>931.04/(1+B2)</f>
        <v>931.04</v>
      </c>
      <c r="D8408" s="17" t="s">
        <v>11</v>
      </c>
      <c r="E8408" s="17"/>
      <c r="F8408" s="18"/>
      <c r="G8408" s="36" t="str">
        <f>IF(ISNUMBER(F8408),C8408*F8408,"")</f>
        <v/>
      </c>
    </row>
    <row r="8409" spans="1:7" ht="12" customHeight="1" outlineLevel="2" x14ac:dyDescent="0.2">
      <c r="A8409" s="14" t="s">
        <v>16537</v>
      </c>
      <c r="B8409" s="15" t="s">
        <v>16538</v>
      </c>
      <c r="C8409" s="16">
        <f>940.04/(1+B2)</f>
        <v>940.04</v>
      </c>
      <c r="D8409" s="17" t="s">
        <v>11</v>
      </c>
      <c r="E8409" s="17" t="s">
        <v>11</v>
      </c>
      <c r="F8409" s="18"/>
      <c r="G8409" s="36" t="str">
        <f>IF(ISNUMBER(F8409),C8409*F8409,"")</f>
        <v/>
      </c>
    </row>
    <row r="8410" spans="1:7" ht="12" customHeight="1" outlineLevel="2" x14ac:dyDescent="0.2">
      <c r="A8410" s="14" t="s">
        <v>16539</v>
      </c>
      <c r="B8410" s="15" t="s">
        <v>16540</v>
      </c>
      <c r="C8410" s="16">
        <f>940.04/(1+B2)</f>
        <v>940.04</v>
      </c>
      <c r="D8410" s="17" t="s">
        <v>11</v>
      </c>
      <c r="E8410" s="17"/>
      <c r="F8410" s="18"/>
      <c r="G8410" s="36" t="str">
        <f>IF(ISNUMBER(F8410),C8410*F8410,"")</f>
        <v/>
      </c>
    </row>
    <row r="8411" spans="1:7" ht="12" customHeight="1" outlineLevel="2" x14ac:dyDescent="0.2">
      <c r="A8411" s="14" t="s">
        <v>16541</v>
      </c>
      <c r="B8411" s="15" t="s">
        <v>16542</v>
      </c>
      <c r="C8411" s="16">
        <f>895.04/(1+B2)</f>
        <v>895.04</v>
      </c>
      <c r="D8411" s="17" t="s">
        <v>11</v>
      </c>
      <c r="E8411" s="17" t="s">
        <v>11</v>
      </c>
      <c r="F8411" s="18"/>
      <c r="G8411" s="36" t="str">
        <f>IF(ISNUMBER(F8411),C8411*F8411,"")</f>
        <v/>
      </c>
    </row>
    <row r="8412" spans="1:7" ht="12" customHeight="1" outlineLevel="2" x14ac:dyDescent="0.2">
      <c r="A8412" s="14" t="s">
        <v>16543</v>
      </c>
      <c r="B8412" s="15" t="s">
        <v>16544</v>
      </c>
      <c r="C8412" s="16">
        <f>759.03/(1+B2)</f>
        <v>759.03</v>
      </c>
      <c r="D8412" s="17" t="s">
        <v>11</v>
      </c>
      <c r="E8412" s="17"/>
      <c r="F8412" s="18"/>
      <c r="G8412" s="36" t="str">
        <f>IF(ISNUMBER(F8412),C8412*F8412,"")</f>
        <v/>
      </c>
    </row>
    <row r="8413" spans="1:7" ht="12" customHeight="1" outlineLevel="2" x14ac:dyDescent="0.2">
      <c r="A8413" s="14" t="s">
        <v>16545</v>
      </c>
      <c r="B8413" s="15" t="s">
        <v>16546</v>
      </c>
      <c r="C8413" s="16">
        <f>839.03/(1+B2)</f>
        <v>839.03</v>
      </c>
      <c r="D8413" s="17" t="s">
        <v>11</v>
      </c>
      <c r="E8413" s="17" t="s">
        <v>11</v>
      </c>
      <c r="F8413" s="18"/>
      <c r="G8413" s="36" t="str">
        <f>IF(ISNUMBER(F8413),C8413*F8413,"")</f>
        <v/>
      </c>
    </row>
    <row r="8414" spans="1:7" ht="12" customHeight="1" outlineLevel="2" x14ac:dyDescent="0.2">
      <c r="A8414" s="14" t="s">
        <v>16547</v>
      </c>
      <c r="B8414" s="15" t="s">
        <v>16548</v>
      </c>
      <c r="C8414" s="19">
        <f>1019.04/(1+B2)</f>
        <v>1019.04</v>
      </c>
      <c r="D8414" s="17" t="s">
        <v>11</v>
      </c>
      <c r="E8414" s="17" t="s">
        <v>11</v>
      </c>
      <c r="F8414" s="18"/>
      <c r="G8414" s="36" t="str">
        <f>IF(ISNUMBER(F8414),C8414*F8414,"")</f>
        <v/>
      </c>
    </row>
    <row r="8415" spans="1:7" ht="12" customHeight="1" outlineLevel="2" x14ac:dyDescent="0.2">
      <c r="A8415" s="14" t="s">
        <v>16549</v>
      </c>
      <c r="B8415" s="15" t="s">
        <v>16550</v>
      </c>
      <c r="C8415" s="19">
        <f>1085.91/(1+B2)</f>
        <v>1085.9100000000001</v>
      </c>
      <c r="D8415" s="17" t="s">
        <v>11</v>
      </c>
      <c r="E8415" s="17" t="s">
        <v>11</v>
      </c>
      <c r="F8415" s="18"/>
      <c r="G8415" s="36" t="str">
        <f>IF(ISNUMBER(F8415),C8415*F8415,"")</f>
        <v/>
      </c>
    </row>
    <row r="8416" spans="1:7" ht="12" customHeight="1" outlineLevel="2" x14ac:dyDescent="0.2">
      <c r="A8416" s="14" t="s">
        <v>16551</v>
      </c>
      <c r="B8416" s="15" t="s">
        <v>16552</v>
      </c>
      <c r="C8416" s="16">
        <f>999.04/(1+B2)</f>
        <v>999.04</v>
      </c>
      <c r="D8416" s="17" t="s">
        <v>11</v>
      </c>
      <c r="E8416" s="17"/>
      <c r="F8416" s="18"/>
      <c r="G8416" s="36" t="str">
        <f>IF(ISNUMBER(F8416),C8416*F8416,"")</f>
        <v/>
      </c>
    </row>
    <row r="8417" spans="1:7" ht="12" customHeight="1" outlineLevel="2" x14ac:dyDescent="0.2">
      <c r="A8417" s="14" t="s">
        <v>16553</v>
      </c>
      <c r="B8417" s="15" t="s">
        <v>16554</v>
      </c>
      <c r="C8417" s="16">
        <f>809.03/(1+B2)</f>
        <v>809.03</v>
      </c>
      <c r="D8417" s="17" t="s">
        <v>11</v>
      </c>
      <c r="E8417" s="17"/>
      <c r="F8417" s="18"/>
      <c r="G8417" s="36" t="str">
        <f>IF(ISNUMBER(F8417),C8417*F8417,"")</f>
        <v/>
      </c>
    </row>
    <row r="8418" spans="1:7" ht="12" customHeight="1" outlineLevel="2" x14ac:dyDescent="0.2">
      <c r="A8418" s="14" t="s">
        <v>16555</v>
      </c>
      <c r="B8418" s="15" t="s">
        <v>16556</v>
      </c>
      <c r="C8418" s="16">
        <f>681.03/(1+B2)</f>
        <v>681.03</v>
      </c>
      <c r="D8418" s="17" t="s">
        <v>11</v>
      </c>
      <c r="E8418" s="17" t="s">
        <v>11</v>
      </c>
      <c r="F8418" s="18"/>
      <c r="G8418" s="36" t="str">
        <f>IF(ISNUMBER(F8418),C8418*F8418,"")</f>
        <v/>
      </c>
    </row>
    <row r="8419" spans="1:7" ht="12" customHeight="1" outlineLevel="2" x14ac:dyDescent="0.2">
      <c r="A8419" s="14" t="s">
        <v>16557</v>
      </c>
      <c r="B8419" s="15" t="s">
        <v>16558</v>
      </c>
      <c r="C8419" s="16">
        <f>629.03/(1+B2)</f>
        <v>629.03</v>
      </c>
      <c r="D8419" s="17" t="s">
        <v>11</v>
      </c>
      <c r="E8419" s="17" t="s">
        <v>11</v>
      </c>
      <c r="F8419" s="18"/>
      <c r="G8419" s="36" t="str">
        <f>IF(ISNUMBER(F8419),C8419*F8419,"")</f>
        <v/>
      </c>
    </row>
    <row r="8420" spans="1:7" ht="12" customHeight="1" outlineLevel="2" x14ac:dyDescent="0.2">
      <c r="A8420" s="14" t="s">
        <v>16559</v>
      </c>
      <c r="B8420" s="15" t="s">
        <v>16560</v>
      </c>
      <c r="C8420" s="16">
        <f>904.91/(1+B2)</f>
        <v>904.91</v>
      </c>
      <c r="D8420" s="17" t="s">
        <v>11</v>
      </c>
      <c r="E8420" s="17" t="s">
        <v>11</v>
      </c>
      <c r="F8420" s="18"/>
      <c r="G8420" s="36" t="str">
        <f>IF(ISNUMBER(F8420),C8420*F8420,"")</f>
        <v/>
      </c>
    </row>
    <row r="8421" spans="1:7" ht="24" customHeight="1" outlineLevel="2" x14ac:dyDescent="0.2">
      <c r="A8421" s="14" t="s">
        <v>16561</v>
      </c>
      <c r="B8421" s="15" t="s">
        <v>16562</v>
      </c>
      <c r="C8421" s="19">
        <f>1179.8/(1+B2)</f>
        <v>1179.8</v>
      </c>
      <c r="D8421" s="17" t="s">
        <v>11</v>
      </c>
      <c r="E8421" s="17"/>
      <c r="F8421" s="18"/>
      <c r="G8421" s="36" t="str">
        <f>IF(ISNUMBER(F8421),C8421*F8421,"")</f>
        <v/>
      </c>
    </row>
    <row r="8422" spans="1:7" ht="24" customHeight="1" outlineLevel="2" x14ac:dyDescent="0.2">
      <c r="A8422" s="14" t="s">
        <v>16563</v>
      </c>
      <c r="B8422" s="15" t="s">
        <v>16564</v>
      </c>
      <c r="C8422" s="19">
        <f>1143.78/(1+B2)</f>
        <v>1143.78</v>
      </c>
      <c r="D8422" s="17" t="s">
        <v>11</v>
      </c>
      <c r="E8422" s="17"/>
      <c r="F8422" s="18"/>
      <c r="G8422" s="36" t="str">
        <f>IF(ISNUMBER(F8422),C8422*F8422,"")</f>
        <v/>
      </c>
    </row>
    <row r="8423" spans="1:7" ht="24" customHeight="1" outlineLevel="2" x14ac:dyDescent="0.2">
      <c r="A8423" s="14" t="s">
        <v>16565</v>
      </c>
      <c r="B8423" s="15" t="s">
        <v>16566</v>
      </c>
      <c r="C8423" s="19">
        <f>1584.66/(1+B2)</f>
        <v>1584.66</v>
      </c>
      <c r="D8423" s="17" t="s">
        <v>11</v>
      </c>
      <c r="E8423" s="17"/>
      <c r="F8423" s="18"/>
      <c r="G8423" s="36" t="str">
        <f>IF(ISNUMBER(F8423),C8423*F8423,"")</f>
        <v/>
      </c>
    </row>
    <row r="8424" spans="1:7" ht="12" customHeight="1" outlineLevel="2" x14ac:dyDescent="0.2">
      <c r="A8424" s="14" t="s">
        <v>16567</v>
      </c>
      <c r="B8424" s="15" t="s">
        <v>16568</v>
      </c>
      <c r="C8424" s="19">
        <f>3146.23/(1+B2)</f>
        <v>3146.23</v>
      </c>
      <c r="D8424" s="17" t="s">
        <v>11</v>
      </c>
      <c r="E8424" s="17" t="s">
        <v>11</v>
      </c>
      <c r="F8424" s="18"/>
      <c r="G8424" s="36" t="str">
        <f>IF(ISNUMBER(F8424),C8424*F8424,"")</f>
        <v/>
      </c>
    </row>
    <row r="8425" spans="1:7" ht="12" customHeight="1" outlineLevel="2" x14ac:dyDescent="0.2">
      <c r="A8425" s="14" t="s">
        <v>16569</v>
      </c>
      <c r="B8425" s="15" t="s">
        <v>16570</v>
      </c>
      <c r="C8425" s="19">
        <f>2516.31/(1+B2)</f>
        <v>2516.31</v>
      </c>
      <c r="D8425" s="17" t="s">
        <v>11</v>
      </c>
      <c r="E8425" s="17"/>
      <c r="F8425" s="18"/>
      <c r="G8425" s="36" t="str">
        <f>IF(ISNUMBER(F8425),C8425*F8425,"")</f>
        <v/>
      </c>
    </row>
    <row r="8426" spans="1:7" ht="24" customHeight="1" outlineLevel="2" x14ac:dyDescent="0.2">
      <c r="A8426" s="14" t="s">
        <v>16571</v>
      </c>
      <c r="B8426" s="15" t="s">
        <v>16572</v>
      </c>
      <c r="C8426" s="16">
        <f>970.03/(1+B2)</f>
        <v>970.03</v>
      </c>
      <c r="D8426" s="17" t="s">
        <v>11</v>
      </c>
      <c r="E8426" s="17" t="s">
        <v>11</v>
      </c>
      <c r="F8426" s="18"/>
      <c r="G8426" s="36" t="str">
        <f>IF(ISNUMBER(F8426),C8426*F8426,"")</f>
        <v/>
      </c>
    </row>
    <row r="8427" spans="1:7" ht="24" customHeight="1" outlineLevel="2" x14ac:dyDescent="0.2">
      <c r="A8427" s="14" t="s">
        <v>16573</v>
      </c>
      <c r="B8427" s="15" t="s">
        <v>16574</v>
      </c>
      <c r="C8427" s="19">
        <f>3458.63/(1+B2)</f>
        <v>3458.63</v>
      </c>
      <c r="D8427" s="17" t="s">
        <v>11</v>
      </c>
      <c r="E8427" s="17" t="s">
        <v>11</v>
      </c>
      <c r="F8427" s="18"/>
      <c r="G8427" s="36" t="str">
        <f>IF(ISNUMBER(F8427),C8427*F8427,"")</f>
        <v/>
      </c>
    </row>
    <row r="8428" spans="1:7" ht="24" customHeight="1" outlineLevel="2" x14ac:dyDescent="0.2">
      <c r="A8428" s="14" t="s">
        <v>16575</v>
      </c>
      <c r="B8428" s="15" t="s">
        <v>16576</v>
      </c>
      <c r="C8428" s="19">
        <f>2701.78/(1+B2)</f>
        <v>2701.78</v>
      </c>
      <c r="D8428" s="17" t="s">
        <v>11</v>
      </c>
      <c r="E8428" s="17" t="s">
        <v>11</v>
      </c>
      <c r="F8428" s="18"/>
      <c r="G8428" s="36" t="str">
        <f>IF(ISNUMBER(F8428),C8428*F8428,"")</f>
        <v/>
      </c>
    </row>
    <row r="8429" spans="1:7" ht="24" customHeight="1" outlineLevel="2" x14ac:dyDescent="0.2">
      <c r="A8429" s="14" t="s">
        <v>16577</v>
      </c>
      <c r="B8429" s="15" t="s">
        <v>16578</v>
      </c>
      <c r="C8429" s="19">
        <f>1787.31/(1+B2)</f>
        <v>1787.31</v>
      </c>
      <c r="D8429" s="17" t="s">
        <v>11</v>
      </c>
      <c r="E8429" s="17" t="s">
        <v>11</v>
      </c>
      <c r="F8429" s="18"/>
      <c r="G8429" s="36" t="str">
        <f>IF(ISNUMBER(F8429),C8429*F8429,"")</f>
        <v/>
      </c>
    </row>
    <row r="8430" spans="1:7" ht="12" customHeight="1" outlineLevel="2" x14ac:dyDescent="0.2">
      <c r="A8430" s="14" t="s">
        <v>16579</v>
      </c>
      <c r="B8430" s="15" t="s">
        <v>16580</v>
      </c>
      <c r="C8430" s="19">
        <f>1686.08/(1+B2)</f>
        <v>1686.08</v>
      </c>
      <c r="D8430" s="17" t="s">
        <v>11</v>
      </c>
      <c r="E8430" s="17" t="s">
        <v>11</v>
      </c>
      <c r="F8430" s="18"/>
      <c r="G8430" s="36" t="str">
        <f>IF(ISNUMBER(F8430),C8430*F8430,"")</f>
        <v/>
      </c>
    </row>
    <row r="8431" spans="1:7" ht="12" customHeight="1" outlineLevel="2" x14ac:dyDescent="0.2">
      <c r="A8431" s="14" t="s">
        <v>16581</v>
      </c>
      <c r="B8431" s="15" t="s">
        <v>16582</v>
      </c>
      <c r="C8431" s="19">
        <f>1276.89/(1+B2)</f>
        <v>1276.8900000000001</v>
      </c>
      <c r="D8431" s="17" t="s">
        <v>11</v>
      </c>
      <c r="E8431" s="17" t="s">
        <v>11</v>
      </c>
      <c r="F8431" s="18"/>
      <c r="G8431" s="36" t="str">
        <f>IF(ISNUMBER(F8431),C8431*F8431,"")</f>
        <v/>
      </c>
    </row>
    <row r="8432" spans="1:7" ht="24" customHeight="1" outlineLevel="2" x14ac:dyDescent="0.2">
      <c r="A8432" s="14" t="s">
        <v>16583</v>
      </c>
      <c r="B8432" s="15" t="s">
        <v>16584</v>
      </c>
      <c r="C8432" s="19">
        <f>1602.47/(1+B2)</f>
        <v>1602.47</v>
      </c>
      <c r="D8432" s="17" t="s">
        <v>11</v>
      </c>
      <c r="E8432" s="17" t="s">
        <v>11</v>
      </c>
      <c r="F8432" s="18"/>
      <c r="G8432" s="36" t="str">
        <f>IF(ISNUMBER(F8432),C8432*F8432,"")</f>
        <v/>
      </c>
    </row>
    <row r="8433" spans="1:7" ht="24" customHeight="1" outlineLevel="2" x14ac:dyDescent="0.2">
      <c r="A8433" s="14" t="s">
        <v>16585</v>
      </c>
      <c r="B8433" s="15" t="s">
        <v>16586</v>
      </c>
      <c r="C8433" s="19">
        <f>1540.42/(1+B2)</f>
        <v>1540.42</v>
      </c>
      <c r="D8433" s="17" t="s">
        <v>11</v>
      </c>
      <c r="E8433" s="17" t="s">
        <v>11</v>
      </c>
      <c r="F8433" s="18"/>
      <c r="G8433" s="36" t="str">
        <f>IF(ISNUMBER(F8433),C8433*F8433,"")</f>
        <v/>
      </c>
    </row>
    <row r="8434" spans="1:7" ht="24" customHeight="1" outlineLevel="2" x14ac:dyDescent="0.2">
      <c r="A8434" s="14" t="s">
        <v>16587</v>
      </c>
      <c r="B8434" s="15" t="s">
        <v>16588</v>
      </c>
      <c r="C8434" s="19">
        <f>1822.31/(1+B2)</f>
        <v>1822.31</v>
      </c>
      <c r="D8434" s="17" t="s">
        <v>11</v>
      </c>
      <c r="E8434" s="17" t="s">
        <v>11</v>
      </c>
      <c r="F8434" s="18"/>
      <c r="G8434" s="36" t="str">
        <f>IF(ISNUMBER(F8434),C8434*F8434,"")</f>
        <v/>
      </c>
    </row>
    <row r="8435" spans="1:7" ht="24" customHeight="1" outlineLevel="2" x14ac:dyDescent="0.2">
      <c r="A8435" s="14" t="s">
        <v>16589</v>
      </c>
      <c r="B8435" s="15" t="s">
        <v>16590</v>
      </c>
      <c r="C8435" s="19">
        <f>1408.84/(1+B2)</f>
        <v>1408.84</v>
      </c>
      <c r="D8435" s="17" t="s">
        <v>11</v>
      </c>
      <c r="E8435" s="17"/>
      <c r="F8435" s="18"/>
      <c r="G8435" s="36" t="str">
        <f>IF(ISNUMBER(F8435),C8435*F8435,"")</f>
        <v/>
      </c>
    </row>
    <row r="8436" spans="1:7" ht="24" customHeight="1" outlineLevel="2" x14ac:dyDescent="0.2">
      <c r="A8436" s="14" t="s">
        <v>16591</v>
      </c>
      <c r="B8436" s="15" t="s">
        <v>16592</v>
      </c>
      <c r="C8436" s="19">
        <f>2385.76/(1+B2)</f>
        <v>2385.7600000000002</v>
      </c>
      <c r="D8436" s="17" t="s">
        <v>11</v>
      </c>
      <c r="E8436" s="17"/>
      <c r="F8436" s="18"/>
      <c r="G8436" s="36" t="str">
        <f>IF(ISNUMBER(F8436),C8436*F8436,"")</f>
        <v/>
      </c>
    </row>
    <row r="8437" spans="1:7" ht="24" customHeight="1" outlineLevel="2" x14ac:dyDescent="0.2">
      <c r="A8437" s="14" t="s">
        <v>16593</v>
      </c>
      <c r="B8437" s="15" t="s">
        <v>16594</v>
      </c>
      <c r="C8437" s="19">
        <f>2578.47/(1+B2)</f>
        <v>2578.4699999999998</v>
      </c>
      <c r="D8437" s="17" t="s">
        <v>11</v>
      </c>
      <c r="E8437" s="17"/>
      <c r="F8437" s="18"/>
      <c r="G8437" s="36" t="str">
        <f>IF(ISNUMBER(F8437),C8437*F8437,"")</f>
        <v/>
      </c>
    </row>
    <row r="8438" spans="1:7" ht="24" customHeight="1" outlineLevel="2" x14ac:dyDescent="0.2">
      <c r="A8438" s="14" t="s">
        <v>16595</v>
      </c>
      <c r="B8438" s="15" t="s">
        <v>16596</v>
      </c>
      <c r="C8438" s="19">
        <f>1598.39/(1+B2)</f>
        <v>1598.39</v>
      </c>
      <c r="D8438" s="17" t="s">
        <v>11</v>
      </c>
      <c r="E8438" s="17"/>
      <c r="F8438" s="18"/>
      <c r="G8438" s="36" t="str">
        <f>IF(ISNUMBER(F8438),C8438*F8438,"")</f>
        <v/>
      </c>
    </row>
    <row r="8439" spans="1:7" ht="12" customHeight="1" outlineLevel="2" x14ac:dyDescent="0.2">
      <c r="A8439" s="14" t="s">
        <v>16597</v>
      </c>
      <c r="B8439" s="15" t="s">
        <v>16598</v>
      </c>
      <c r="C8439" s="19">
        <f>2227.34/(1+B2)</f>
        <v>2227.34</v>
      </c>
      <c r="D8439" s="17" t="s">
        <v>11</v>
      </c>
      <c r="E8439" s="17"/>
      <c r="F8439" s="18"/>
      <c r="G8439" s="36" t="str">
        <f>IF(ISNUMBER(F8439),C8439*F8439,"")</f>
        <v/>
      </c>
    </row>
    <row r="8440" spans="1:7" ht="12" customHeight="1" outlineLevel="2" x14ac:dyDescent="0.2">
      <c r="A8440" s="14" t="s">
        <v>16599</v>
      </c>
      <c r="B8440" s="15" t="s">
        <v>16600</v>
      </c>
      <c r="C8440" s="19">
        <f>1231.31/(1+B2)</f>
        <v>1231.31</v>
      </c>
      <c r="D8440" s="17" t="s">
        <v>11</v>
      </c>
      <c r="E8440" s="17" t="s">
        <v>11</v>
      </c>
      <c r="F8440" s="18"/>
      <c r="G8440" s="36" t="str">
        <f>IF(ISNUMBER(F8440),C8440*F8440,"")</f>
        <v/>
      </c>
    </row>
    <row r="8441" spans="1:7" ht="12" customHeight="1" outlineLevel="2" x14ac:dyDescent="0.2">
      <c r="A8441" s="14" t="s">
        <v>16601</v>
      </c>
      <c r="B8441" s="15" t="s">
        <v>16602</v>
      </c>
      <c r="C8441" s="19">
        <f>1249.76/(1+B2)</f>
        <v>1249.76</v>
      </c>
      <c r="D8441" s="17" t="s">
        <v>11</v>
      </c>
      <c r="E8441" s="17"/>
      <c r="F8441" s="18"/>
      <c r="G8441" s="36" t="str">
        <f>IF(ISNUMBER(F8441),C8441*F8441,"")</f>
        <v/>
      </c>
    </row>
    <row r="8442" spans="1:7" ht="12" customHeight="1" outlineLevel="2" x14ac:dyDescent="0.2">
      <c r="A8442" s="14" t="s">
        <v>16603</v>
      </c>
      <c r="B8442" s="15" t="s">
        <v>16604</v>
      </c>
      <c r="C8442" s="19">
        <f>1163.34/(1+B2)</f>
        <v>1163.3399999999999</v>
      </c>
      <c r="D8442" s="17" t="s">
        <v>11</v>
      </c>
      <c r="E8442" s="17"/>
      <c r="F8442" s="18"/>
      <c r="G8442" s="36" t="str">
        <f>IF(ISNUMBER(F8442),C8442*F8442,"")</f>
        <v/>
      </c>
    </row>
    <row r="8443" spans="1:7" ht="24" customHeight="1" outlineLevel="2" x14ac:dyDescent="0.2">
      <c r="A8443" s="14" t="s">
        <v>16605</v>
      </c>
      <c r="B8443" s="15" t="s">
        <v>16606</v>
      </c>
      <c r="C8443" s="19">
        <f>1115.33/(1+B2)</f>
        <v>1115.33</v>
      </c>
      <c r="D8443" s="17" t="s">
        <v>11</v>
      </c>
      <c r="E8443" s="17"/>
      <c r="F8443" s="18"/>
      <c r="G8443" s="36" t="str">
        <f>IF(ISNUMBER(F8443),C8443*F8443,"")</f>
        <v/>
      </c>
    </row>
    <row r="8444" spans="1:7" ht="24" customHeight="1" outlineLevel="2" x14ac:dyDescent="0.2">
      <c r="A8444" s="14" t="s">
        <v>16607</v>
      </c>
      <c r="B8444" s="15" t="s">
        <v>16608</v>
      </c>
      <c r="C8444" s="19">
        <f>1127.23/(1+B2)</f>
        <v>1127.23</v>
      </c>
      <c r="D8444" s="17" t="s">
        <v>11</v>
      </c>
      <c r="E8444" s="17" t="s">
        <v>11</v>
      </c>
      <c r="F8444" s="18"/>
      <c r="G8444" s="36" t="str">
        <f>IF(ISNUMBER(F8444),C8444*F8444,"")</f>
        <v/>
      </c>
    </row>
    <row r="8445" spans="1:7" ht="24" customHeight="1" outlineLevel="2" x14ac:dyDescent="0.2">
      <c r="A8445" s="14" t="s">
        <v>16609</v>
      </c>
      <c r="B8445" s="15" t="s">
        <v>16610</v>
      </c>
      <c r="C8445" s="19">
        <f>1619.24/(1+B2)</f>
        <v>1619.24</v>
      </c>
      <c r="D8445" s="17" t="s">
        <v>11</v>
      </c>
      <c r="E8445" s="17"/>
      <c r="F8445" s="18"/>
      <c r="G8445" s="36" t="str">
        <f>IF(ISNUMBER(F8445),C8445*F8445,"")</f>
        <v/>
      </c>
    </row>
    <row r="8446" spans="1:7" ht="24" customHeight="1" outlineLevel="2" x14ac:dyDescent="0.2">
      <c r="A8446" s="14" t="s">
        <v>16611</v>
      </c>
      <c r="B8446" s="15" t="s">
        <v>16612</v>
      </c>
      <c r="C8446" s="19">
        <f>1598.69/(1+B2)</f>
        <v>1598.69</v>
      </c>
      <c r="D8446" s="17" t="s">
        <v>11</v>
      </c>
      <c r="E8446" s="17"/>
      <c r="F8446" s="18"/>
      <c r="G8446" s="36" t="str">
        <f>IF(ISNUMBER(F8446),C8446*F8446,"")</f>
        <v/>
      </c>
    </row>
    <row r="8447" spans="1:7" ht="12" customHeight="1" outlineLevel="2" x14ac:dyDescent="0.2">
      <c r="A8447" s="14" t="s">
        <v>16613</v>
      </c>
      <c r="B8447" s="15" t="s">
        <v>16614</v>
      </c>
      <c r="C8447" s="19">
        <f>1051.54/(1+B2)</f>
        <v>1051.54</v>
      </c>
      <c r="D8447" s="17" t="s">
        <v>11</v>
      </c>
      <c r="E8447" s="17" t="s">
        <v>11</v>
      </c>
      <c r="F8447" s="18"/>
      <c r="G8447" s="36" t="str">
        <f>IF(ISNUMBER(F8447),C8447*F8447,"")</f>
        <v/>
      </c>
    </row>
    <row r="8448" spans="1:7" ht="12" customHeight="1" outlineLevel="2" x14ac:dyDescent="0.2">
      <c r="A8448" s="14" t="s">
        <v>16615</v>
      </c>
      <c r="B8448" s="15" t="s">
        <v>16616</v>
      </c>
      <c r="C8448" s="19">
        <f>1015.79/(1+B2)</f>
        <v>1015.79</v>
      </c>
      <c r="D8448" s="17" t="s">
        <v>11</v>
      </c>
      <c r="E8448" s="17" t="s">
        <v>11</v>
      </c>
      <c r="F8448" s="18"/>
      <c r="G8448" s="36" t="str">
        <f>IF(ISNUMBER(F8448),C8448*F8448,"")</f>
        <v/>
      </c>
    </row>
    <row r="8449" spans="1:7" ht="12" customHeight="1" outlineLevel="2" x14ac:dyDescent="0.2">
      <c r="A8449" s="14" t="s">
        <v>16617</v>
      </c>
      <c r="B8449" s="15" t="s">
        <v>16618</v>
      </c>
      <c r="C8449" s="19">
        <f>1122.01/(1+B2)</f>
        <v>1122.01</v>
      </c>
      <c r="D8449" s="17" t="s">
        <v>11</v>
      </c>
      <c r="E8449" s="17"/>
      <c r="F8449" s="18"/>
      <c r="G8449" s="36" t="str">
        <f>IF(ISNUMBER(F8449),C8449*F8449,"")</f>
        <v/>
      </c>
    </row>
    <row r="8450" spans="1:7" ht="12" customHeight="1" outlineLevel="2" x14ac:dyDescent="0.2">
      <c r="A8450" s="14" t="s">
        <v>16619</v>
      </c>
      <c r="B8450" s="15" t="s">
        <v>16620</v>
      </c>
      <c r="C8450" s="16">
        <f>983.94/(1+B2)</f>
        <v>983.94</v>
      </c>
      <c r="D8450" s="17" t="s">
        <v>11</v>
      </c>
      <c r="E8450" s="17" t="s">
        <v>11</v>
      </c>
      <c r="F8450" s="18"/>
      <c r="G8450" s="36" t="str">
        <f>IF(ISNUMBER(F8450),C8450*F8450,"")</f>
        <v/>
      </c>
    </row>
    <row r="8451" spans="1:7" ht="12" customHeight="1" outlineLevel="2" x14ac:dyDescent="0.2">
      <c r="A8451" s="14" t="s">
        <v>16621</v>
      </c>
      <c r="B8451" s="15" t="s">
        <v>16622</v>
      </c>
      <c r="C8451" s="16">
        <f>820.63/(1+B2)</f>
        <v>820.63</v>
      </c>
      <c r="D8451" s="17" t="s">
        <v>11</v>
      </c>
      <c r="E8451" s="17" t="s">
        <v>11</v>
      </c>
      <c r="F8451" s="18"/>
      <c r="G8451" s="36" t="str">
        <f>IF(ISNUMBER(F8451),C8451*F8451,"")</f>
        <v/>
      </c>
    </row>
    <row r="8452" spans="1:7" ht="12" customHeight="1" outlineLevel="2" x14ac:dyDescent="0.2">
      <c r="A8452" s="14" t="s">
        <v>16623</v>
      </c>
      <c r="B8452" s="15" t="s">
        <v>16624</v>
      </c>
      <c r="C8452" s="16">
        <f>802.74/(1+B2)</f>
        <v>802.74</v>
      </c>
      <c r="D8452" s="17" t="s">
        <v>11</v>
      </c>
      <c r="E8452" s="17"/>
      <c r="F8452" s="18"/>
      <c r="G8452" s="36" t="str">
        <f>IF(ISNUMBER(F8452),C8452*F8452,"")</f>
        <v/>
      </c>
    </row>
    <row r="8453" spans="1:7" ht="24" customHeight="1" outlineLevel="2" x14ac:dyDescent="0.2">
      <c r="A8453" s="14" t="s">
        <v>16625</v>
      </c>
      <c r="B8453" s="15" t="s">
        <v>16626</v>
      </c>
      <c r="C8453" s="16">
        <f>534.23/(1+B2)</f>
        <v>534.23</v>
      </c>
      <c r="D8453" s="17" t="s">
        <v>11</v>
      </c>
      <c r="E8453" s="17" t="s">
        <v>106</v>
      </c>
      <c r="F8453" s="18"/>
      <c r="G8453" s="36" t="str">
        <f>IF(ISNUMBER(F8453),C8453*F8453,"")</f>
        <v/>
      </c>
    </row>
    <row r="8454" spans="1:7" ht="24" customHeight="1" outlineLevel="2" x14ac:dyDescent="0.2">
      <c r="A8454" s="14" t="s">
        <v>16627</v>
      </c>
      <c r="B8454" s="15" t="s">
        <v>16628</v>
      </c>
      <c r="C8454" s="19">
        <f>1186.8/(1+B2)</f>
        <v>1186.8</v>
      </c>
      <c r="D8454" s="17" t="s">
        <v>11</v>
      </c>
      <c r="E8454" s="17"/>
      <c r="F8454" s="18"/>
      <c r="G8454" s="36" t="str">
        <f>IF(ISNUMBER(F8454),C8454*F8454,"")</f>
        <v/>
      </c>
    </row>
    <row r="8455" spans="1:7" ht="24" customHeight="1" outlineLevel="2" x14ac:dyDescent="0.2">
      <c r="A8455" s="14" t="s">
        <v>16629</v>
      </c>
      <c r="B8455" s="15" t="s">
        <v>16630</v>
      </c>
      <c r="C8455" s="19">
        <f>1084.18/(1+B2)</f>
        <v>1084.18</v>
      </c>
      <c r="D8455" s="17" t="s">
        <v>11</v>
      </c>
      <c r="E8455" s="17"/>
      <c r="F8455" s="18"/>
      <c r="G8455" s="36" t="str">
        <f>IF(ISNUMBER(F8455),C8455*F8455,"")</f>
        <v/>
      </c>
    </row>
    <row r="8456" spans="1:7" ht="12" customHeight="1" outlineLevel="2" x14ac:dyDescent="0.2">
      <c r="A8456" s="14" t="s">
        <v>16631</v>
      </c>
      <c r="B8456" s="15" t="s">
        <v>16632</v>
      </c>
      <c r="C8456" s="19">
        <f>1820.81/(1+B2)</f>
        <v>1820.81</v>
      </c>
      <c r="D8456" s="17" t="s">
        <v>11</v>
      </c>
      <c r="E8456" s="17" t="s">
        <v>11</v>
      </c>
      <c r="F8456" s="18"/>
      <c r="G8456" s="36" t="str">
        <f>IF(ISNUMBER(F8456),C8456*F8456,"")</f>
        <v/>
      </c>
    </row>
    <row r="8457" spans="1:7" ht="24" customHeight="1" outlineLevel="2" x14ac:dyDescent="0.2">
      <c r="A8457" s="14" t="s">
        <v>16633</v>
      </c>
      <c r="B8457" s="15" t="s">
        <v>16634</v>
      </c>
      <c r="C8457" s="19">
        <f>1048.23/(1+B2)</f>
        <v>1048.23</v>
      </c>
      <c r="D8457" s="17" t="s">
        <v>11</v>
      </c>
      <c r="E8457" s="17"/>
      <c r="F8457" s="18"/>
      <c r="G8457" s="36" t="str">
        <f>IF(ISNUMBER(F8457),C8457*F8457,"")</f>
        <v/>
      </c>
    </row>
    <row r="8458" spans="1:7" ht="24" customHeight="1" outlineLevel="2" x14ac:dyDescent="0.2">
      <c r="A8458" s="14" t="s">
        <v>16635</v>
      </c>
      <c r="B8458" s="15" t="s">
        <v>16636</v>
      </c>
      <c r="C8458" s="19">
        <f>1508.29/(1+B2)</f>
        <v>1508.29</v>
      </c>
      <c r="D8458" s="17" t="s">
        <v>11</v>
      </c>
      <c r="E8458" s="17"/>
      <c r="F8458" s="18"/>
      <c r="G8458" s="36" t="str">
        <f>IF(ISNUMBER(F8458),C8458*F8458,"")</f>
        <v/>
      </c>
    </row>
    <row r="8459" spans="1:7" ht="24" customHeight="1" outlineLevel="2" x14ac:dyDescent="0.2">
      <c r="A8459" s="14" t="s">
        <v>16637</v>
      </c>
      <c r="B8459" s="15" t="s">
        <v>16638</v>
      </c>
      <c r="C8459" s="19">
        <f>1197.97/(1+B2)</f>
        <v>1197.97</v>
      </c>
      <c r="D8459" s="17" t="s">
        <v>11</v>
      </c>
      <c r="E8459" s="17" t="s">
        <v>11</v>
      </c>
      <c r="F8459" s="18"/>
      <c r="G8459" s="36" t="str">
        <f>IF(ISNUMBER(F8459),C8459*F8459,"")</f>
        <v/>
      </c>
    </row>
    <row r="8460" spans="1:7" ht="24" customHeight="1" outlineLevel="2" x14ac:dyDescent="0.2">
      <c r="A8460" s="14" t="s">
        <v>16639</v>
      </c>
      <c r="B8460" s="15" t="s">
        <v>16640</v>
      </c>
      <c r="C8460" s="16">
        <f>914.68/(1+B2)</f>
        <v>914.68</v>
      </c>
      <c r="D8460" s="17" t="s">
        <v>11</v>
      </c>
      <c r="E8460" s="17" t="s">
        <v>11</v>
      </c>
      <c r="F8460" s="18"/>
      <c r="G8460" s="36" t="str">
        <f>IF(ISNUMBER(F8460),C8460*F8460,"")</f>
        <v/>
      </c>
    </row>
    <row r="8461" spans="1:7" ht="24" customHeight="1" outlineLevel="2" x14ac:dyDescent="0.2">
      <c r="A8461" s="14" t="s">
        <v>16641</v>
      </c>
      <c r="B8461" s="15" t="s">
        <v>16642</v>
      </c>
      <c r="C8461" s="19">
        <f>1148.47/(1+B2)</f>
        <v>1148.47</v>
      </c>
      <c r="D8461" s="17" t="s">
        <v>11</v>
      </c>
      <c r="E8461" s="17"/>
      <c r="F8461" s="18"/>
      <c r="G8461" s="36" t="str">
        <f>IF(ISNUMBER(F8461),C8461*F8461,"")</f>
        <v/>
      </c>
    </row>
    <row r="8462" spans="1:7" ht="12" customHeight="1" outlineLevel="2" x14ac:dyDescent="0.2">
      <c r="A8462" s="14" t="s">
        <v>16643</v>
      </c>
      <c r="B8462" s="15" t="s">
        <v>16644</v>
      </c>
      <c r="C8462" s="19">
        <f>1484.5/(1+B2)</f>
        <v>1484.5</v>
      </c>
      <c r="D8462" s="17" t="s">
        <v>11</v>
      </c>
      <c r="E8462" s="17" t="s">
        <v>11</v>
      </c>
      <c r="F8462" s="18"/>
      <c r="G8462" s="36" t="str">
        <f>IF(ISNUMBER(F8462),C8462*F8462,"")</f>
        <v/>
      </c>
    </row>
    <row r="8463" spans="1:7" ht="12" customHeight="1" outlineLevel="2" x14ac:dyDescent="0.2">
      <c r="A8463" s="14" t="s">
        <v>16645</v>
      </c>
      <c r="B8463" s="15" t="s">
        <v>16646</v>
      </c>
      <c r="C8463" s="19">
        <f>1977.98/(1+B2)</f>
        <v>1977.98</v>
      </c>
      <c r="D8463" s="17" t="s">
        <v>11</v>
      </c>
      <c r="E8463" s="17"/>
      <c r="F8463" s="18"/>
      <c r="G8463" s="36" t="str">
        <f>IF(ISNUMBER(F8463),C8463*F8463,"")</f>
        <v/>
      </c>
    </row>
    <row r="8464" spans="1:7" ht="12" customHeight="1" outlineLevel="2" x14ac:dyDescent="0.2">
      <c r="A8464" s="14" t="s">
        <v>16647</v>
      </c>
      <c r="B8464" s="15" t="s">
        <v>16648</v>
      </c>
      <c r="C8464" s="16">
        <f>965.46/(1+B2)</f>
        <v>965.46</v>
      </c>
      <c r="D8464" s="17" t="s">
        <v>11</v>
      </c>
      <c r="E8464" s="17"/>
      <c r="F8464" s="18"/>
      <c r="G8464" s="36" t="str">
        <f>IF(ISNUMBER(F8464),C8464*F8464,"")</f>
        <v/>
      </c>
    </row>
    <row r="8465" spans="1:7" ht="12" customHeight="1" outlineLevel="2" x14ac:dyDescent="0.2">
      <c r="A8465" s="14" t="s">
        <v>16649</v>
      </c>
      <c r="B8465" s="15" t="s">
        <v>16650</v>
      </c>
      <c r="C8465" s="16">
        <f>908.94/(1+B2)</f>
        <v>908.94</v>
      </c>
      <c r="D8465" s="17" t="s">
        <v>11</v>
      </c>
      <c r="E8465" s="17"/>
      <c r="F8465" s="18"/>
      <c r="G8465" s="36" t="str">
        <f>IF(ISNUMBER(F8465),C8465*F8465,"")</f>
        <v/>
      </c>
    </row>
    <row r="8466" spans="1:7" ht="24" customHeight="1" outlineLevel="2" x14ac:dyDescent="0.2">
      <c r="A8466" s="14" t="s">
        <v>16651</v>
      </c>
      <c r="B8466" s="15" t="s">
        <v>16652</v>
      </c>
      <c r="C8466" s="16">
        <f>805.45/(1+B2)</f>
        <v>805.45</v>
      </c>
      <c r="D8466" s="17" t="s">
        <v>11</v>
      </c>
      <c r="E8466" s="17"/>
      <c r="F8466" s="18"/>
      <c r="G8466" s="36" t="str">
        <f>IF(ISNUMBER(F8466),C8466*F8466,"")</f>
        <v/>
      </c>
    </row>
    <row r="8467" spans="1:7" ht="24" customHeight="1" outlineLevel="2" x14ac:dyDescent="0.2">
      <c r="A8467" s="14" t="s">
        <v>16653</v>
      </c>
      <c r="B8467" s="15" t="s">
        <v>16654</v>
      </c>
      <c r="C8467" s="19">
        <f>2589.1/(1+B2)</f>
        <v>2589.1</v>
      </c>
      <c r="D8467" s="17" t="s">
        <v>11</v>
      </c>
      <c r="E8467" s="17"/>
      <c r="F8467" s="18"/>
      <c r="G8467" s="36" t="str">
        <f>IF(ISNUMBER(F8467),C8467*F8467,"")</f>
        <v/>
      </c>
    </row>
    <row r="8468" spans="1:7" ht="12" customHeight="1" outlineLevel="2" x14ac:dyDescent="0.2">
      <c r="A8468" s="14" t="s">
        <v>16655</v>
      </c>
      <c r="B8468" s="15" t="s">
        <v>16656</v>
      </c>
      <c r="C8468" s="19">
        <f>2589.1/(1+B2)</f>
        <v>2589.1</v>
      </c>
      <c r="D8468" s="17" t="s">
        <v>11</v>
      </c>
      <c r="E8468" s="17"/>
      <c r="F8468" s="18"/>
      <c r="G8468" s="36" t="str">
        <f>IF(ISNUMBER(F8468),C8468*F8468,"")</f>
        <v/>
      </c>
    </row>
    <row r="8469" spans="1:7" ht="12" customHeight="1" outlineLevel="2" x14ac:dyDescent="0.2">
      <c r="A8469" s="14" t="s">
        <v>16657</v>
      </c>
      <c r="B8469" s="15" t="s">
        <v>16658</v>
      </c>
      <c r="C8469" s="16">
        <f>484.02/(1+B2)</f>
        <v>484.02</v>
      </c>
      <c r="D8469" s="17" t="s">
        <v>11</v>
      </c>
      <c r="E8469" s="17"/>
      <c r="F8469" s="18"/>
      <c r="G8469" s="36" t="str">
        <f>IF(ISNUMBER(F8469),C8469*F8469,"")</f>
        <v/>
      </c>
    </row>
    <row r="8470" spans="1:7" ht="12" customHeight="1" outlineLevel="2" x14ac:dyDescent="0.2">
      <c r="A8470" s="14" t="s">
        <v>16659</v>
      </c>
      <c r="B8470" s="15" t="s">
        <v>16660</v>
      </c>
      <c r="C8470" s="16">
        <f>760.03/(1+B2)</f>
        <v>760.03</v>
      </c>
      <c r="D8470" s="17" t="s">
        <v>11</v>
      </c>
      <c r="E8470" s="17"/>
      <c r="F8470" s="18"/>
      <c r="G8470" s="36" t="str">
        <f>IF(ISNUMBER(F8470),C8470*F8470,"")</f>
        <v/>
      </c>
    </row>
    <row r="8471" spans="1:7" ht="12" customHeight="1" outlineLevel="2" x14ac:dyDescent="0.2">
      <c r="A8471" s="14" t="s">
        <v>16661</v>
      </c>
      <c r="B8471" s="15" t="s">
        <v>16662</v>
      </c>
      <c r="C8471" s="16">
        <f>868.03/(1+B2)</f>
        <v>868.03</v>
      </c>
      <c r="D8471" s="17" t="s">
        <v>11</v>
      </c>
      <c r="E8471" s="17"/>
      <c r="F8471" s="18"/>
      <c r="G8471" s="36" t="str">
        <f>IF(ISNUMBER(F8471),C8471*F8471,"")</f>
        <v/>
      </c>
    </row>
    <row r="8472" spans="1:7" ht="12" customHeight="1" outlineLevel="2" x14ac:dyDescent="0.2">
      <c r="A8472" s="14" t="s">
        <v>16663</v>
      </c>
      <c r="B8472" s="15" t="s">
        <v>16664</v>
      </c>
      <c r="C8472" s="16">
        <f>795.03/(1+B2)</f>
        <v>795.03</v>
      </c>
      <c r="D8472" s="17" t="s">
        <v>11</v>
      </c>
      <c r="E8472" s="17"/>
      <c r="F8472" s="18"/>
      <c r="G8472" s="36" t="str">
        <f>IF(ISNUMBER(F8472),C8472*F8472,"")</f>
        <v/>
      </c>
    </row>
    <row r="8473" spans="1:7" ht="12" customHeight="1" outlineLevel="2" x14ac:dyDescent="0.2">
      <c r="A8473" s="14" t="s">
        <v>16665</v>
      </c>
      <c r="B8473" s="15" t="s">
        <v>16666</v>
      </c>
      <c r="C8473" s="16">
        <f>789.16/(1+B2)</f>
        <v>789.16</v>
      </c>
      <c r="D8473" s="17" t="s">
        <v>11</v>
      </c>
      <c r="E8473" s="17" t="s">
        <v>11</v>
      </c>
      <c r="F8473" s="18"/>
      <c r="G8473" s="36" t="str">
        <f>IF(ISNUMBER(F8473),C8473*F8473,"")</f>
        <v/>
      </c>
    </row>
    <row r="8474" spans="1:7" ht="12" customHeight="1" outlineLevel="2" x14ac:dyDescent="0.2">
      <c r="A8474" s="14" t="s">
        <v>16667</v>
      </c>
      <c r="B8474" s="15" t="s">
        <v>16668</v>
      </c>
      <c r="C8474" s="16">
        <f>933.04/(1+B2)</f>
        <v>933.04</v>
      </c>
      <c r="D8474" s="17" t="s">
        <v>11</v>
      </c>
      <c r="E8474" s="17"/>
      <c r="F8474" s="18"/>
      <c r="G8474" s="36" t="str">
        <f>IF(ISNUMBER(F8474),C8474*F8474,"")</f>
        <v/>
      </c>
    </row>
    <row r="8475" spans="1:7" ht="12" customHeight="1" outlineLevel="2" x14ac:dyDescent="0.2">
      <c r="A8475" s="14" t="s">
        <v>16669</v>
      </c>
      <c r="B8475" s="15" t="s">
        <v>16670</v>
      </c>
      <c r="C8475" s="16">
        <f>899.04/(1+B2)</f>
        <v>899.04</v>
      </c>
      <c r="D8475" s="17" t="s">
        <v>11</v>
      </c>
      <c r="E8475" s="17" t="s">
        <v>11</v>
      </c>
      <c r="F8475" s="18"/>
      <c r="G8475" s="36" t="str">
        <f>IF(ISNUMBER(F8475),C8475*F8475,"")</f>
        <v/>
      </c>
    </row>
    <row r="8476" spans="1:7" ht="12" customHeight="1" outlineLevel="2" x14ac:dyDescent="0.2">
      <c r="A8476" s="14" t="s">
        <v>16671</v>
      </c>
      <c r="B8476" s="15" t="s">
        <v>16672</v>
      </c>
      <c r="C8476" s="19">
        <f>2066.08/(1+B2)</f>
        <v>2066.08</v>
      </c>
      <c r="D8476" s="17" t="s">
        <v>11</v>
      </c>
      <c r="E8476" s="17"/>
      <c r="F8476" s="18"/>
      <c r="G8476" s="36" t="str">
        <f>IF(ISNUMBER(F8476),C8476*F8476,"")</f>
        <v/>
      </c>
    </row>
    <row r="8477" spans="1:7" ht="12" customHeight="1" outlineLevel="2" x14ac:dyDescent="0.2">
      <c r="A8477" s="14" t="s">
        <v>16673</v>
      </c>
      <c r="B8477" s="15" t="s">
        <v>16674</v>
      </c>
      <c r="C8477" s="16">
        <f>553.02/(1+B2)</f>
        <v>553.02</v>
      </c>
      <c r="D8477" s="17" t="s">
        <v>11</v>
      </c>
      <c r="E8477" s="17"/>
      <c r="F8477" s="18"/>
      <c r="G8477" s="36" t="str">
        <f>IF(ISNUMBER(F8477),C8477*F8477,"")</f>
        <v/>
      </c>
    </row>
    <row r="8478" spans="1:7" ht="12" customHeight="1" outlineLevel="2" x14ac:dyDescent="0.2">
      <c r="A8478" s="14" t="s">
        <v>16675</v>
      </c>
      <c r="B8478" s="15" t="s">
        <v>16676</v>
      </c>
      <c r="C8478" s="16">
        <f>553.02/(1+B2)</f>
        <v>553.02</v>
      </c>
      <c r="D8478" s="17" t="s">
        <v>11</v>
      </c>
      <c r="E8478" s="17"/>
      <c r="F8478" s="18"/>
      <c r="G8478" s="36" t="str">
        <f>IF(ISNUMBER(F8478),C8478*F8478,"")</f>
        <v/>
      </c>
    </row>
    <row r="8479" spans="1:7" ht="12" customHeight="1" outlineLevel="2" x14ac:dyDescent="0.2">
      <c r="A8479" s="14" t="s">
        <v>16677</v>
      </c>
      <c r="B8479" s="15" t="s">
        <v>16678</v>
      </c>
      <c r="C8479" s="19">
        <f>1365.98/(1+B2)</f>
        <v>1365.98</v>
      </c>
      <c r="D8479" s="17" t="s">
        <v>11</v>
      </c>
      <c r="E8479" s="17"/>
      <c r="F8479" s="18"/>
      <c r="G8479" s="36" t="str">
        <f>IF(ISNUMBER(F8479),C8479*F8479,"")</f>
        <v/>
      </c>
    </row>
    <row r="8480" spans="1:7" ht="24" customHeight="1" outlineLevel="2" x14ac:dyDescent="0.2">
      <c r="A8480" s="14" t="s">
        <v>16679</v>
      </c>
      <c r="B8480" s="15" t="s">
        <v>16680</v>
      </c>
      <c r="C8480" s="16">
        <f>512.5/(1+B2)</f>
        <v>512.5</v>
      </c>
      <c r="D8480" s="17" t="s">
        <v>11</v>
      </c>
      <c r="E8480" s="17" t="s">
        <v>106</v>
      </c>
      <c r="F8480" s="18"/>
      <c r="G8480" s="36" t="str">
        <f>IF(ISNUMBER(F8480),C8480*F8480,"")</f>
        <v/>
      </c>
    </row>
    <row r="8481" spans="1:7" ht="12" customHeight="1" outlineLevel="2" x14ac:dyDescent="0.2">
      <c r="A8481" s="14" t="s">
        <v>16681</v>
      </c>
      <c r="B8481" s="15" t="s">
        <v>16682</v>
      </c>
      <c r="C8481" s="16">
        <f>950/(1+B2)</f>
        <v>950</v>
      </c>
      <c r="D8481" s="17" t="s">
        <v>11</v>
      </c>
      <c r="E8481" s="17"/>
      <c r="F8481" s="18"/>
      <c r="G8481" s="36" t="str">
        <f>IF(ISNUMBER(F8481),C8481*F8481,"")</f>
        <v/>
      </c>
    </row>
    <row r="8482" spans="1:7" ht="12" customHeight="1" outlineLevel="2" x14ac:dyDescent="0.2">
      <c r="A8482" s="14" t="s">
        <v>16683</v>
      </c>
      <c r="B8482" s="15" t="s">
        <v>16684</v>
      </c>
      <c r="C8482" s="19">
        <f>1312.52/(1+B2)</f>
        <v>1312.52</v>
      </c>
      <c r="D8482" s="17" t="s">
        <v>11</v>
      </c>
      <c r="E8482" s="17" t="s">
        <v>11</v>
      </c>
      <c r="F8482" s="18"/>
      <c r="G8482" s="36" t="str">
        <f>IF(ISNUMBER(F8482),C8482*F8482,"")</f>
        <v/>
      </c>
    </row>
    <row r="8483" spans="1:7" ht="12" customHeight="1" outlineLevel="2" x14ac:dyDescent="0.2">
      <c r="A8483" s="14" t="s">
        <v>16685</v>
      </c>
      <c r="B8483" s="15" t="s">
        <v>16686</v>
      </c>
      <c r="C8483" s="16">
        <f>950/(1+B2)</f>
        <v>950</v>
      </c>
      <c r="D8483" s="17" t="s">
        <v>11</v>
      </c>
      <c r="E8483" s="17"/>
      <c r="F8483" s="18"/>
      <c r="G8483" s="36" t="str">
        <f>IF(ISNUMBER(F8483),C8483*F8483,"")</f>
        <v/>
      </c>
    </row>
    <row r="8484" spans="1:7" ht="24" customHeight="1" outlineLevel="2" x14ac:dyDescent="0.2">
      <c r="A8484" s="14" t="s">
        <v>16687</v>
      </c>
      <c r="B8484" s="15" t="s">
        <v>16688</v>
      </c>
      <c r="C8484" s="16">
        <f>687.5/(1+B2)</f>
        <v>687.5</v>
      </c>
      <c r="D8484" s="17" t="s">
        <v>11</v>
      </c>
      <c r="E8484" s="17" t="s">
        <v>106</v>
      </c>
      <c r="F8484" s="18"/>
      <c r="G8484" s="36" t="str">
        <f>IF(ISNUMBER(F8484),C8484*F8484,"")</f>
        <v/>
      </c>
    </row>
    <row r="8485" spans="1:7" ht="12" customHeight="1" outlineLevel="2" x14ac:dyDescent="0.2">
      <c r="A8485" s="14" t="s">
        <v>16689</v>
      </c>
      <c r="B8485" s="15" t="s">
        <v>16690</v>
      </c>
      <c r="C8485" s="16">
        <f>329.01/(1+B2)</f>
        <v>329.01</v>
      </c>
      <c r="D8485" s="17" t="s">
        <v>11</v>
      </c>
      <c r="E8485" s="17"/>
      <c r="F8485" s="18"/>
      <c r="G8485" s="36" t="str">
        <f>IF(ISNUMBER(F8485),C8485*F8485,"")</f>
        <v/>
      </c>
    </row>
    <row r="8486" spans="1:7" ht="12" customHeight="1" outlineLevel="2" x14ac:dyDescent="0.2">
      <c r="A8486" s="14" t="s">
        <v>16691</v>
      </c>
      <c r="B8486" s="15" t="s">
        <v>16692</v>
      </c>
      <c r="C8486" s="19">
        <f>1412.01/(1+B2)</f>
        <v>1412.01</v>
      </c>
      <c r="D8486" s="17" t="s">
        <v>11</v>
      </c>
      <c r="E8486" s="17"/>
      <c r="F8486" s="18"/>
      <c r="G8486" s="36" t="str">
        <f>IF(ISNUMBER(F8486),C8486*F8486,"")</f>
        <v/>
      </c>
    </row>
    <row r="8487" spans="1:7" ht="12" customHeight="1" outlineLevel="2" x14ac:dyDescent="0.2">
      <c r="A8487" s="14" t="s">
        <v>16693</v>
      </c>
      <c r="B8487" s="15" t="s">
        <v>16694</v>
      </c>
      <c r="C8487" s="16">
        <f>559.02/(1+B2)</f>
        <v>559.02</v>
      </c>
      <c r="D8487" s="17" t="s">
        <v>11</v>
      </c>
      <c r="E8487" s="17" t="s">
        <v>11</v>
      </c>
      <c r="F8487" s="18"/>
      <c r="G8487" s="36" t="str">
        <f>IF(ISNUMBER(F8487),C8487*F8487,"")</f>
        <v/>
      </c>
    </row>
    <row r="8488" spans="1:7" ht="12" customHeight="1" outlineLevel="2" x14ac:dyDescent="0.2">
      <c r="A8488" s="14" t="s">
        <v>16695</v>
      </c>
      <c r="B8488" s="15" t="s">
        <v>16696</v>
      </c>
      <c r="C8488" s="16">
        <f>571.02/(1+B2)</f>
        <v>571.02</v>
      </c>
      <c r="D8488" s="17" t="s">
        <v>11</v>
      </c>
      <c r="E8488" s="17"/>
      <c r="F8488" s="18"/>
      <c r="G8488" s="36" t="str">
        <f>IF(ISNUMBER(F8488),C8488*F8488,"")</f>
        <v/>
      </c>
    </row>
    <row r="8489" spans="1:7" ht="12" customHeight="1" outlineLevel="2" x14ac:dyDescent="0.2">
      <c r="A8489" s="14" t="s">
        <v>16697</v>
      </c>
      <c r="B8489" s="15" t="s">
        <v>16698</v>
      </c>
      <c r="C8489" s="16">
        <f>911.99/(1+B2)</f>
        <v>911.99</v>
      </c>
      <c r="D8489" s="17" t="s">
        <v>11</v>
      </c>
      <c r="E8489" s="17"/>
      <c r="F8489" s="18"/>
      <c r="G8489" s="36" t="str">
        <f>IF(ISNUMBER(F8489),C8489*F8489,"")</f>
        <v/>
      </c>
    </row>
    <row r="8490" spans="1:7" ht="12" customHeight="1" outlineLevel="2" x14ac:dyDescent="0.2">
      <c r="A8490" s="14" t="s">
        <v>16699</v>
      </c>
      <c r="B8490" s="15" t="s">
        <v>16700</v>
      </c>
      <c r="C8490" s="16">
        <f>742.03/(1+B2)</f>
        <v>742.03</v>
      </c>
      <c r="D8490" s="17" t="s">
        <v>11</v>
      </c>
      <c r="E8490" s="17" t="s">
        <v>11</v>
      </c>
      <c r="F8490" s="18"/>
      <c r="G8490" s="36" t="str">
        <f>IF(ISNUMBER(F8490),C8490*F8490,"")</f>
        <v/>
      </c>
    </row>
    <row r="8491" spans="1:7" ht="12" customHeight="1" outlineLevel="2" x14ac:dyDescent="0.2">
      <c r="A8491" s="14" t="s">
        <v>16701</v>
      </c>
      <c r="B8491" s="15" t="s">
        <v>16702</v>
      </c>
      <c r="C8491" s="16">
        <f>799.03/(1+B2)</f>
        <v>799.03</v>
      </c>
      <c r="D8491" s="17" t="s">
        <v>11</v>
      </c>
      <c r="E8491" s="17" t="s">
        <v>11</v>
      </c>
      <c r="F8491" s="18"/>
      <c r="G8491" s="36" t="str">
        <f>IF(ISNUMBER(F8491),C8491*F8491,"")</f>
        <v/>
      </c>
    </row>
    <row r="8492" spans="1:7" ht="12" customHeight="1" outlineLevel="2" x14ac:dyDescent="0.2">
      <c r="A8492" s="14" t="s">
        <v>16703</v>
      </c>
      <c r="B8492" s="15" t="s">
        <v>16704</v>
      </c>
      <c r="C8492" s="16">
        <f>803.03/(1+B2)</f>
        <v>803.03</v>
      </c>
      <c r="D8492" s="17" t="s">
        <v>11</v>
      </c>
      <c r="E8492" s="17"/>
      <c r="F8492" s="18"/>
      <c r="G8492" s="36" t="str">
        <f>IF(ISNUMBER(F8492),C8492*F8492,"")</f>
        <v/>
      </c>
    </row>
    <row r="8493" spans="1:7" ht="12" customHeight="1" outlineLevel="2" x14ac:dyDescent="0.2">
      <c r="A8493" s="14" t="s">
        <v>16705</v>
      </c>
      <c r="B8493" s="15" t="s">
        <v>16706</v>
      </c>
      <c r="C8493" s="16">
        <f>799.03/(1+B2)</f>
        <v>799.03</v>
      </c>
      <c r="D8493" s="17" t="s">
        <v>11</v>
      </c>
      <c r="E8493" s="17"/>
      <c r="F8493" s="18"/>
      <c r="G8493" s="36" t="str">
        <f>IF(ISNUMBER(F8493),C8493*F8493,"")</f>
        <v/>
      </c>
    </row>
    <row r="8494" spans="1:7" ht="12" customHeight="1" outlineLevel="2" x14ac:dyDescent="0.2">
      <c r="A8494" s="14" t="s">
        <v>16707</v>
      </c>
      <c r="B8494" s="15" t="s">
        <v>16708</v>
      </c>
      <c r="C8494" s="16">
        <f>729.03/(1+B2)</f>
        <v>729.03</v>
      </c>
      <c r="D8494" s="17" t="s">
        <v>11</v>
      </c>
      <c r="E8494" s="17" t="s">
        <v>11</v>
      </c>
      <c r="F8494" s="18"/>
      <c r="G8494" s="36" t="str">
        <f>IF(ISNUMBER(F8494),C8494*F8494,"")</f>
        <v/>
      </c>
    </row>
    <row r="8495" spans="1:7" ht="12" customHeight="1" outlineLevel="2" x14ac:dyDescent="0.2">
      <c r="A8495" s="14" t="s">
        <v>16709</v>
      </c>
      <c r="B8495" s="15" t="s">
        <v>16710</v>
      </c>
      <c r="C8495" s="16">
        <f>759.03/(1+B2)</f>
        <v>759.03</v>
      </c>
      <c r="D8495" s="17" t="s">
        <v>11</v>
      </c>
      <c r="E8495" s="17" t="s">
        <v>11</v>
      </c>
      <c r="F8495" s="18"/>
      <c r="G8495" s="36" t="str">
        <f>IF(ISNUMBER(F8495),C8495*F8495,"")</f>
        <v/>
      </c>
    </row>
    <row r="8496" spans="1:7" ht="12" customHeight="1" outlineLevel="2" x14ac:dyDescent="0.2">
      <c r="A8496" s="14" t="s">
        <v>16711</v>
      </c>
      <c r="B8496" s="15" t="s">
        <v>16712</v>
      </c>
      <c r="C8496" s="16">
        <f>758.03/(1+B2)</f>
        <v>758.03</v>
      </c>
      <c r="D8496" s="17" t="s">
        <v>11</v>
      </c>
      <c r="E8496" s="17"/>
      <c r="F8496" s="18"/>
      <c r="G8496" s="36" t="str">
        <f>IF(ISNUMBER(F8496),C8496*F8496,"")</f>
        <v/>
      </c>
    </row>
    <row r="8497" spans="1:7" ht="12" customHeight="1" outlineLevel="2" x14ac:dyDescent="0.2">
      <c r="A8497" s="14" t="s">
        <v>16713</v>
      </c>
      <c r="B8497" s="15" t="s">
        <v>16714</v>
      </c>
      <c r="C8497" s="16">
        <f>929.04/(1+B2)</f>
        <v>929.04</v>
      </c>
      <c r="D8497" s="17" t="s">
        <v>11</v>
      </c>
      <c r="E8497" s="17" t="s">
        <v>11</v>
      </c>
      <c r="F8497" s="18"/>
      <c r="G8497" s="36" t="str">
        <f>IF(ISNUMBER(F8497),C8497*F8497,"")</f>
        <v/>
      </c>
    </row>
    <row r="8498" spans="1:7" ht="12" customHeight="1" outlineLevel="2" x14ac:dyDescent="0.2">
      <c r="A8498" s="14" t="s">
        <v>16715</v>
      </c>
      <c r="B8498" s="15" t="s">
        <v>16716</v>
      </c>
      <c r="C8498" s="16">
        <f>959.04/(1+B2)</f>
        <v>959.04</v>
      </c>
      <c r="D8498" s="17" t="s">
        <v>11</v>
      </c>
      <c r="E8498" s="17"/>
      <c r="F8498" s="18"/>
      <c r="G8498" s="36" t="str">
        <f>IF(ISNUMBER(F8498),C8498*F8498,"")</f>
        <v/>
      </c>
    </row>
    <row r="8499" spans="1:7" ht="12" customHeight="1" outlineLevel="2" x14ac:dyDescent="0.2">
      <c r="A8499" s="14" t="s">
        <v>16717</v>
      </c>
      <c r="B8499" s="15" t="s">
        <v>16718</v>
      </c>
      <c r="C8499" s="16">
        <f>988.08/(1+B2)</f>
        <v>988.08</v>
      </c>
      <c r="D8499" s="17" t="s">
        <v>11</v>
      </c>
      <c r="E8499" s="17"/>
      <c r="F8499" s="18"/>
      <c r="G8499" s="36" t="str">
        <f>IF(ISNUMBER(F8499),C8499*F8499,"")</f>
        <v/>
      </c>
    </row>
    <row r="8500" spans="1:7" ht="12" customHeight="1" outlineLevel="2" x14ac:dyDescent="0.2">
      <c r="A8500" s="14" t="s">
        <v>16719</v>
      </c>
      <c r="B8500" s="15" t="s">
        <v>16720</v>
      </c>
      <c r="C8500" s="19">
        <f>1019.04/(1+B2)</f>
        <v>1019.04</v>
      </c>
      <c r="D8500" s="17" t="s">
        <v>11</v>
      </c>
      <c r="E8500" s="17"/>
      <c r="F8500" s="18"/>
      <c r="G8500" s="36" t="str">
        <f>IF(ISNUMBER(F8500),C8500*F8500,"")</f>
        <v/>
      </c>
    </row>
    <row r="8501" spans="1:7" ht="12" customHeight="1" outlineLevel="2" x14ac:dyDescent="0.2">
      <c r="A8501" s="14" t="s">
        <v>16721</v>
      </c>
      <c r="B8501" s="15" t="s">
        <v>16722</v>
      </c>
      <c r="C8501" s="16">
        <f>879.04/(1+B2)</f>
        <v>879.04</v>
      </c>
      <c r="D8501" s="17" t="s">
        <v>11</v>
      </c>
      <c r="E8501" s="17"/>
      <c r="F8501" s="18"/>
      <c r="G8501" s="36" t="str">
        <f>IF(ISNUMBER(F8501),C8501*F8501,"")</f>
        <v/>
      </c>
    </row>
    <row r="8502" spans="1:7" ht="12" customHeight="1" outlineLevel="2" x14ac:dyDescent="0.2">
      <c r="A8502" s="14" t="s">
        <v>16723</v>
      </c>
      <c r="B8502" s="15" t="s">
        <v>16724</v>
      </c>
      <c r="C8502" s="16">
        <f>909.04/(1+B2)</f>
        <v>909.04</v>
      </c>
      <c r="D8502" s="17" t="s">
        <v>11</v>
      </c>
      <c r="E8502" s="17"/>
      <c r="F8502" s="18"/>
      <c r="G8502" s="36" t="str">
        <f>IF(ISNUMBER(F8502),C8502*F8502,"")</f>
        <v/>
      </c>
    </row>
    <row r="8503" spans="1:7" ht="12" customHeight="1" outlineLevel="2" x14ac:dyDescent="0.2">
      <c r="A8503" s="14" t="s">
        <v>16725</v>
      </c>
      <c r="B8503" s="15" t="s">
        <v>16726</v>
      </c>
      <c r="C8503" s="16">
        <f>909.04/(1+B2)</f>
        <v>909.04</v>
      </c>
      <c r="D8503" s="17" t="s">
        <v>11</v>
      </c>
      <c r="E8503" s="17"/>
      <c r="F8503" s="18"/>
      <c r="G8503" s="36" t="str">
        <f>IF(ISNUMBER(F8503),C8503*F8503,"")</f>
        <v/>
      </c>
    </row>
    <row r="8504" spans="1:7" ht="24" customHeight="1" outlineLevel="2" x14ac:dyDescent="0.2">
      <c r="A8504" s="14" t="s">
        <v>16727</v>
      </c>
      <c r="B8504" s="15" t="s">
        <v>16728</v>
      </c>
      <c r="C8504" s="19">
        <f>1039.04/(1+B2)</f>
        <v>1039.04</v>
      </c>
      <c r="D8504" s="17" t="s">
        <v>11</v>
      </c>
      <c r="E8504" s="17"/>
      <c r="F8504" s="18"/>
      <c r="G8504" s="36" t="str">
        <f>IF(ISNUMBER(F8504),C8504*F8504,"")</f>
        <v/>
      </c>
    </row>
    <row r="8505" spans="1:7" ht="24" customHeight="1" outlineLevel="2" x14ac:dyDescent="0.2">
      <c r="A8505" s="14" t="s">
        <v>16729</v>
      </c>
      <c r="B8505" s="15" t="s">
        <v>16730</v>
      </c>
      <c r="C8505" s="16">
        <f>906.04/(1+B2)</f>
        <v>906.04</v>
      </c>
      <c r="D8505" s="17" t="s">
        <v>11</v>
      </c>
      <c r="E8505" s="17"/>
      <c r="F8505" s="18"/>
      <c r="G8505" s="36" t="str">
        <f>IF(ISNUMBER(F8505),C8505*F8505,"")</f>
        <v/>
      </c>
    </row>
    <row r="8506" spans="1:7" ht="24" customHeight="1" outlineLevel="2" x14ac:dyDescent="0.2">
      <c r="A8506" s="14" t="s">
        <v>16731</v>
      </c>
      <c r="B8506" s="15" t="s">
        <v>16732</v>
      </c>
      <c r="C8506" s="19">
        <f>1368.53/(1+B2)</f>
        <v>1368.53</v>
      </c>
      <c r="D8506" s="17" t="s">
        <v>11</v>
      </c>
      <c r="E8506" s="17"/>
      <c r="F8506" s="18"/>
      <c r="G8506" s="36" t="str">
        <f>IF(ISNUMBER(F8506),C8506*F8506,"")</f>
        <v/>
      </c>
    </row>
    <row r="8507" spans="1:7" ht="12" customHeight="1" outlineLevel="2" x14ac:dyDescent="0.2">
      <c r="A8507" s="14" t="s">
        <v>16733</v>
      </c>
      <c r="B8507" s="15" t="s">
        <v>16734</v>
      </c>
      <c r="C8507" s="16">
        <f>979.04/(1+B2)</f>
        <v>979.04</v>
      </c>
      <c r="D8507" s="17" t="s">
        <v>11</v>
      </c>
      <c r="E8507" s="17" t="s">
        <v>11</v>
      </c>
      <c r="F8507" s="18"/>
      <c r="G8507" s="36" t="str">
        <f>IF(ISNUMBER(F8507),C8507*F8507,"")</f>
        <v/>
      </c>
    </row>
    <row r="8508" spans="1:7" ht="24" customHeight="1" outlineLevel="2" x14ac:dyDescent="0.2">
      <c r="A8508" s="14" t="s">
        <v>16735</v>
      </c>
      <c r="B8508" s="15" t="s">
        <v>16736</v>
      </c>
      <c r="C8508" s="19">
        <f>1069.04/(1+B2)</f>
        <v>1069.04</v>
      </c>
      <c r="D8508" s="17" t="s">
        <v>11</v>
      </c>
      <c r="E8508" s="17"/>
      <c r="F8508" s="18"/>
      <c r="G8508" s="36" t="str">
        <f>IF(ISNUMBER(F8508),C8508*F8508,"")</f>
        <v/>
      </c>
    </row>
    <row r="8509" spans="1:7" ht="24" customHeight="1" outlineLevel="2" x14ac:dyDescent="0.2">
      <c r="A8509" s="14" t="s">
        <v>16737</v>
      </c>
      <c r="B8509" s="15" t="s">
        <v>16738</v>
      </c>
      <c r="C8509" s="19">
        <f>1009.04/(1+B2)</f>
        <v>1009.04</v>
      </c>
      <c r="D8509" s="17" t="s">
        <v>11</v>
      </c>
      <c r="E8509" s="17" t="s">
        <v>11</v>
      </c>
      <c r="F8509" s="18"/>
      <c r="G8509" s="36" t="str">
        <f>IF(ISNUMBER(F8509),C8509*F8509,"")</f>
        <v/>
      </c>
    </row>
    <row r="8510" spans="1:7" ht="12" customHeight="1" outlineLevel="2" x14ac:dyDescent="0.2">
      <c r="A8510" s="14" t="s">
        <v>16739</v>
      </c>
      <c r="B8510" s="15" t="s">
        <v>16740</v>
      </c>
      <c r="C8510" s="16">
        <f>940.04/(1+B2)</f>
        <v>940.04</v>
      </c>
      <c r="D8510" s="17" t="s">
        <v>11</v>
      </c>
      <c r="E8510" s="17" t="s">
        <v>11</v>
      </c>
      <c r="F8510" s="18"/>
      <c r="G8510" s="36" t="str">
        <f>IF(ISNUMBER(F8510),C8510*F8510,"")</f>
        <v/>
      </c>
    </row>
    <row r="8511" spans="1:7" ht="12" customHeight="1" outlineLevel="2" x14ac:dyDescent="0.2">
      <c r="A8511" s="14" t="s">
        <v>16741</v>
      </c>
      <c r="B8511" s="15" t="s">
        <v>16742</v>
      </c>
      <c r="C8511" s="16">
        <f>679.03/(1+B2)</f>
        <v>679.03</v>
      </c>
      <c r="D8511" s="17" t="s">
        <v>11</v>
      </c>
      <c r="E8511" s="17" t="s">
        <v>11</v>
      </c>
      <c r="F8511" s="18"/>
      <c r="G8511" s="36" t="str">
        <f>IF(ISNUMBER(F8511),C8511*F8511,"")</f>
        <v/>
      </c>
    </row>
    <row r="8512" spans="1:7" ht="24" customHeight="1" outlineLevel="2" x14ac:dyDescent="0.2">
      <c r="A8512" s="14" t="s">
        <v>16743</v>
      </c>
      <c r="B8512" s="15" t="s">
        <v>16744</v>
      </c>
      <c r="C8512" s="19">
        <f>1016.04/(1+B2)</f>
        <v>1016.04</v>
      </c>
      <c r="D8512" s="17" t="s">
        <v>11</v>
      </c>
      <c r="E8512" s="17"/>
      <c r="F8512" s="18"/>
      <c r="G8512" s="36" t="str">
        <f>IF(ISNUMBER(F8512),C8512*F8512,"")</f>
        <v/>
      </c>
    </row>
    <row r="8513" spans="1:7" ht="24" customHeight="1" outlineLevel="2" x14ac:dyDescent="0.2">
      <c r="A8513" s="14" t="s">
        <v>16745</v>
      </c>
      <c r="B8513" s="15" t="s">
        <v>16746</v>
      </c>
      <c r="C8513" s="19">
        <f>1016.04/(1+B2)</f>
        <v>1016.04</v>
      </c>
      <c r="D8513" s="17" t="s">
        <v>11</v>
      </c>
      <c r="E8513" s="17"/>
      <c r="F8513" s="18"/>
      <c r="G8513" s="36" t="str">
        <f>IF(ISNUMBER(F8513),C8513*F8513,"")</f>
        <v/>
      </c>
    </row>
    <row r="8514" spans="1:7" ht="12" customHeight="1" outlineLevel="2" x14ac:dyDescent="0.2">
      <c r="A8514" s="14" t="s">
        <v>16747</v>
      </c>
      <c r="B8514" s="15" t="s">
        <v>16748</v>
      </c>
      <c r="C8514" s="16">
        <f>559.02/(1+B2)</f>
        <v>559.02</v>
      </c>
      <c r="D8514" s="17" t="s">
        <v>11</v>
      </c>
      <c r="E8514" s="17" t="s">
        <v>11</v>
      </c>
      <c r="F8514" s="18"/>
      <c r="G8514" s="36" t="str">
        <f>IF(ISNUMBER(F8514),C8514*F8514,"")</f>
        <v/>
      </c>
    </row>
    <row r="8515" spans="1:7" s="1" customFormat="1" ht="15.95" customHeight="1" outlineLevel="1" x14ac:dyDescent="0.25">
      <c r="A8515" s="11"/>
      <c r="B8515" s="12" t="s">
        <v>16749</v>
      </c>
      <c r="C8515" s="13"/>
      <c r="D8515" s="13"/>
      <c r="E8515" s="13"/>
      <c r="F8515" s="13"/>
      <c r="G8515" s="35"/>
    </row>
    <row r="8516" spans="1:7" ht="12" customHeight="1" outlineLevel="2" x14ac:dyDescent="0.2">
      <c r="A8516" s="14" t="s">
        <v>16750</v>
      </c>
      <c r="B8516" s="15" t="s">
        <v>16751</v>
      </c>
      <c r="C8516" s="16">
        <f>389.02/(1+B2)</f>
        <v>389.02</v>
      </c>
      <c r="D8516" s="17" t="s">
        <v>11</v>
      </c>
      <c r="E8516" s="17"/>
      <c r="F8516" s="18"/>
      <c r="G8516" s="36" t="str">
        <f>IF(ISNUMBER(F8516),C8516*F8516,"")</f>
        <v/>
      </c>
    </row>
    <row r="8517" spans="1:7" ht="12" customHeight="1" outlineLevel="2" x14ac:dyDescent="0.2">
      <c r="A8517" s="14" t="s">
        <v>16752</v>
      </c>
      <c r="B8517" s="15" t="s">
        <v>16753</v>
      </c>
      <c r="C8517" s="19">
        <f>1179.05/(1+B2)</f>
        <v>1179.05</v>
      </c>
      <c r="D8517" s="17" t="s">
        <v>11</v>
      </c>
      <c r="E8517" s="17"/>
      <c r="F8517" s="18"/>
      <c r="G8517" s="36" t="str">
        <f>IF(ISNUMBER(F8517),C8517*F8517,"")</f>
        <v/>
      </c>
    </row>
    <row r="8518" spans="1:7" ht="12" customHeight="1" outlineLevel="2" x14ac:dyDescent="0.2">
      <c r="A8518" s="14" t="s">
        <v>16754</v>
      </c>
      <c r="B8518" s="15" t="s">
        <v>16755</v>
      </c>
      <c r="C8518" s="19">
        <f>1009.04/(1+B2)</f>
        <v>1009.04</v>
      </c>
      <c r="D8518" s="17" t="s">
        <v>11</v>
      </c>
      <c r="E8518" s="17"/>
      <c r="F8518" s="18"/>
      <c r="G8518" s="36" t="str">
        <f>IF(ISNUMBER(F8518),C8518*F8518,"")</f>
        <v/>
      </c>
    </row>
    <row r="8519" spans="1:7" ht="12" customHeight="1" outlineLevel="2" x14ac:dyDescent="0.2">
      <c r="A8519" s="14" t="s">
        <v>16756</v>
      </c>
      <c r="B8519" s="15" t="s">
        <v>16757</v>
      </c>
      <c r="C8519" s="19">
        <f>1569.06/(1+B2)</f>
        <v>1569.06</v>
      </c>
      <c r="D8519" s="17" t="s">
        <v>11</v>
      </c>
      <c r="E8519" s="17"/>
      <c r="F8519" s="18"/>
      <c r="G8519" s="36" t="str">
        <f>IF(ISNUMBER(F8519),C8519*F8519,"")</f>
        <v/>
      </c>
    </row>
    <row r="8520" spans="1:7" ht="12" customHeight="1" outlineLevel="2" x14ac:dyDescent="0.2">
      <c r="A8520" s="14" t="s">
        <v>16758</v>
      </c>
      <c r="B8520" s="15" t="s">
        <v>16759</v>
      </c>
      <c r="C8520" s="16">
        <f>759.03/(1+B2)</f>
        <v>759.03</v>
      </c>
      <c r="D8520" s="17" t="s">
        <v>11</v>
      </c>
      <c r="E8520" s="17"/>
      <c r="F8520" s="18"/>
      <c r="G8520" s="36" t="str">
        <f>IF(ISNUMBER(F8520),C8520*F8520,"")</f>
        <v/>
      </c>
    </row>
    <row r="8521" spans="1:7" ht="24" customHeight="1" outlineLevel="2" x14ac:dyDescent="0.2">
      <c r="A8521" s="14" t="s">
        <v>16760</v>
      </c>
      <c r="B8521" s="15" t="s">
        <v>16761</v>
      </c>
      <c r="C8521" s="16">
        <f>469.02/(1+B2)</f>
        <v>469.02</v>
      </c>
      <c r="D8521" s="17" t="s">
        <v>11</v>
      </c>
      <c r="E8521" s="17"/>
      <c r="F8521" s="18"/>
      <c r="G8521" s="36" t="str">
        <f>IF(ISNUMBER(F8521),C8521*F8521,"")</f>
        <v/>
      </c>
    </row>
    <row r="8522" spans="1:7" ht="12" customHeight="1" outlineLevel="2" x14ac:dyDescent="0.2">
      <c r="A8522" s="14" t="s">
        <v>16762</v>
      </c>
      <c r="B8522" s="15" t="s">
        <v>16763</v>
      </c>
      <c r="C8522" s="16">
        <f>439.02/(1+B2)</f>
        <v>439.02</v>
      </c>
      <c r="D8522" s="17" t="s">
        <v>11</v>
      </c>
      <c r="E8522" s="17" t="s">
        <v>11</v>
      </c>
      <c r="F8522" s="18"/>
      <c r="G8522" s="36" t="str">
        <f>IF(ISNUMBER(F8522),C8522*F8522,"")</f>
        <v/>
      </c>
    </row>
    <row r="8523" spans="1:7" ht="12" customHeight="1" outlineLevel="2" x14ac:dyDescent="0.2">
      <c r="A8523" s="14" t="s">
        <v>16764</v>
      </c>
      <c r="B8523" s="15" t="s">
        <v>16765</v>
      </c>
      <c r="C8523" s="16">
        <f>469.02/(1+B2)</f>
        <v>469.02</v>
      </c>
      <c r="D8523" s="17" t="s">
        <v>11</v>
      </c>
      <c r="E8523" s="17"/>
      <c r="F8523" s="18"/>
      <c r="G8523" s="36" t="str">
        <f>IF(ISNUMBER(F8523),C8523*F8523,"")</f>
        <v/>
      </c>
    </row>
    <row r="8524" spans="1:7" ht="12" customHeight="1" outlineLevel="2" x14ac:dyDescent="0.2">
      <c r="A8524" s="14" t="s">
        <v>16766</v>
      </c>
      <c r="B8524" s="15" t="s">
        <v>16767</v>
      </c>
      <c r="C8524" s="16">
        <f>389.02/(1+B2)</f>
        <v>389.02</v>
      </c>
      <c r="D8524" s="17" t="s">
        <v>11</v>
      </c>
      <c r="E8524" s="17" t="s">
        <v>11</v>
      </c>
      <c r="F8524" s="18"/>
      <c r="G8524" s="36" t="str">
        <f>IF(ISNUMBER(F8524),C8524*F8524,"")</f>
        <v/>
      </c>
    </row>
    <row r="8525" spans="1:7" ht="12" customHeight="1" outlineLevel="2" x14ac:dyDescent="0.2">
      <c r="A8525" s="14" t="s">
        <v>16768</v>
      </c>
      <c r="B8525" s="15" t="s">
        <v>16769</v>
      </c>
      <c r="C8525" s="16">
        <f>525.02/(1+B2)</f>
        <v>525.02</v>
      </c>
      <c r="D8525" s="17" t="s">
        <v>11</v>
      </c>
      <c r="E8525" s="17" t="s">
        <v>11</v>
      </c>
      <c r="F8525" s="18"/>
      <c r="G8525" s="36" t="str">
        <f>IF(ISNUMBER(F8525),C8525*F8525,"")</f>
        <v/>
      </c>
    </row>
    <row r="8526" spans="1:7" ht="12" customHeight="1" outlineLevel="2" x14ac:dyDescent="0.2">
      <c r="A8526" s="14" t="s">
        <v>16770</v>
      </c>
      <c r="B8526" s="15" t="s">
        <v>16771</v>
      </c>
      <c r="C8526" s="16">
        <f>787.92/(1+B2)</f>
        <v>787.92</v>
      </c>
      <c r="D8526" s="17" t="s">
        <v>11</v>
      </c>
      <c r="E8526" s="17" t="s">
        <v>11</v>
      </c>
      <c r="F8526" s="18"/>
      <c r="G8526" s="36" t="str">
        <f>IF(ISNUMBER(F8526),C8526*F8526,"")</f>
        <v/>
      </c>
    </row>
    <row r="8527" spans="1:7" ht="12" customHeight="1" outlineLevel="2" x14ac:dyDescent="0.2">
      <c r="A8527" s="14" t="s">
        <v>16772</v>
      </c>
      <c r="B8527" s="15" t="s">
        <v>16773</v>
      </c>
      <c r="C8527" s="19">
        <f>1300.72/(1+B2)</f>
        <v>1300.72</v>
      </c>
      <c r="D8527" s="17" t="s">
        <v>11</v>
      </c>
      <c r="E8527" s="17"/>
      <c r="F8527" s="18"/>
      <c r="G8527" s="36" t="str">
        <f>IF(ISNUMBER(F8527),C8527*F8527,"")</f>
        <v/>
      </c>
    </row>
    <row r="8528" spans="1:7" ht="24" customHeight="1" outlineLevel="2" x14ac:dyDescent="0.2">
      <c r="A8528" s="14" t="s">
        <v>16774</v>
      </c>
      <c r="B8528" s="15" t="s">
        <v>16775</v>
      </c>
      <c r="C8528" s="16">
        <f>924.96/(1+B2)</f>
        <v>924.96</v>
      </c>
      <c r="D8528" s="17" t="s">
        <v>11</v>
      </c>
      <c r="E8528" s="17" t="s">
        <v>11</v>
      </c>
      <c r="F8528" s="18"/>
      <c r="G8528" s="36" t="str">
        <f>IF(ISNUMBER(F8528),C8528*F8528,"")</f>
        <v/>
      </c>
    </row>
    <row r="8529" spans="1:7" ht="12" customHeight="1" outlineLevel="2" x14ac:dyDescent="0.2">
      <c r="A8529" s="14" t="s">
        <v>16776</v>
      </c>
      <c r="B8529" s="15" t="s">
        <v>16777</v>
      </c>
      <c r="C8529" s="19">
        <f>1869.55/(1+B2)</f>
        <v>1869.55</v>
      </c>
      <c r="D8529" s="17" t="s">
        <v>11</v>
      </c>
      <c r="E8529" s="17"/>
      <c r="F8529" s="18"/>
      <c r="G8529" s="36" t="str">
        <f>IF(ISNUMBER(F8529),C8529*F8529,"")</f>
        <v/>
      </c>
    </row>
    <row r="8530" spans="1:7" ht="24" customHeight="1" outlineLevel="2" x14ac:dyDescent="0.2">
      <c r="A8530" s="14" t="s">
        <v>16778</v>
      </c>
      <c r="B8530" s="15" t="s">
        <v>16779</v>
      </c>
      <c r="C8530" s="19">
        <f>1040.15/(1+B2)</f>
        <v>1040.1500000000001</v>
      </c>
      <c r="D8530" s="17" t="s">
        <v>11</v>
      </c>
      <c r="E8530" s="17"/>
      <c r="F8530" s="18"/>
      <c r="G8530" s="36" t="str">
        <f>IF(ISNUMBER(F8530),C8530*F8530,"")</f>
        <v/>
      </c>
    </row>
    <row r="8531" spans="1:7" s="1" customFormat="1" ht="15.95" customHeight="1" outlineLevel="1" x14ac:dyDescent="0.25">
      <c r="A8531" s="11"/>
      <c r="B8531" s="12" t="s">
        <v>16780</v>
      </c>
      <c r="C8531" s="13"/>
      <c r="D8531" s="13"/>
      <c r="E8531" s="13"/>
      <c r="F8531" s="13"/>
      <c r="G8531" s="35"/>
    </row>
    <row r="8532" spans="1:7" ht="12" customHeight="1" outlineLevel="2" x14ac:dyDescent="0.2">
      <c r="A8532" s="14" t="s">
        <v>16781</v>
      </c>
      <c r="B8532" s="15" t="s">
        <v>16782</v>
      </c>
      <c r="C8532" s="19">
        <f>1048.99/(1+B2)</f>
        <v>1048.99</v>
      </c>
      <c r="D8532" s="17" t="s">
        <v>11</v>
      </c>
      <c r="E8532" s="17"/>
      <c r="F8532" s="18"/>
      <c r="G8532" s="36" t="str">
        <f>IF(ISNUMBER(F8532),C8532*F8532,"")</f>
        <v/>
      </c>
    </row>
    <row r="8533" spans="1:7" ht="12" customHeight="1" outlineLevel="2" x14ac:dyDescent="0.2">
      <c r="A8533" s="14" t="s">
        <v>16783</v>
      </c>
      <c r="B8533" s="15" t="s">
        <v>16784</v>
      </c>
      <c r="C8533" s="19">
        <f>1394.6/(1+B2)</f>
        <v>1394.6</v>
      </c>
      <c r="D8533" s="17" t="s">
        <v>11</v>
      </c>
      <c r="E8533" s="17"/>
      <c r="F8533" s="18"/>
      <c r="G8533" s="36" t="str">
        <f>IF(ISNUMBER(F8533),C8533*F8533,"")</f>
        <v/>
      </c>
    </row>
    <row r="8534" spans="1:7" ht="12" customHeight="1" outlineLevel="2" x14ac:dyDescent="0.2">
      <c r="A8534" s="14" t="s">
        <v>16785</v>
      </c>
      <c r="B8534" s="15" t="s">
        <v>16786</v>
      </c>
      <c r="C8534" s="19">
        <f>1325.75/(1+B2)</f>
        <v>1325.75</v>
      </c>
      <c r="D8534" s="17" t="s">
        <v>11</v>
      </c>
      <c r="E8534" s="17"/>
      <c r="F8534" s="18"/>
      <c r="G8534" s="36" t="str">
        <f>IF(ISNUMBER(F8534),C8534*F8534,"")</f>
        <v/>
      </c>
    </row>
    <row r="8535" spans="1:7" ht="12" customHeight="1" outlineLevel="2" x14ac:dyDescent="0.2">
      <c r="A8535" s="14" t="s">
        <v>16787</v>
      </c>
      <c r="B8535" s="15" t="s">
        <v>16788</v>
      </c>
      <c r="C8535" s="19">
        <f>1605.22/(1+B2)</f>
        <v>1605.22</v>
      </c>
      <c r="D8535" s="17" t="s">
        <v>11</v>
      </c>
      <c r="E8535" s="17"/>
      <c r="F8535" s="18"/>
      <c r="G8535" s="36" t="str">
        <f>IF(ISNUMBER(F8535),C8535*F8535,"")</f>
        <v/>
      </c>
    </row>
    <row r="8536" spans="1:7" ht="12" customHeight="1" outlineLevel="2" x14ac:dyDescent="0.2">
      <c r="A8536" s="14" t="s">
        <v>16789</v>
      </c>
      <c r="B8536" s="15" t="s">
        <v>16790</v>
      </c>
      <c r="C8536" s="16">
        <f>549.02/(1+B2)</f>
        <v>549.02</v>
      </c>
      <c r="D8536" s="17" t="s">
        <v>11</v>
      </c>
      <c r="E8536" s="17"/>
      <c r="F8536" s="18"/>
      <c r="G8536" s="36" t="str">
        <f>IF(ISNUMBER(F8536),C8536*F8536,"")</f>
        <v/>
      </c>
    </row>
    <row r="8537" spans="1:7" ht="12" customHeight="1" outlineLevel="2" x14ac:dyDescent="0.2">
      <c r="A8537" s="14" t="s">
        <v>16791</v>
      </c>
      <c r="B8537" s="15" t="s">
        <v>16792</v>
      </c>
      <c r="C8537" s="16">
        <f>876.19/(1+B2)</f>
        <v>876.19</v>
      </c>
      <c r="D8537" s="17" t="s">
        <v>11</v>
      </c>
      <c r="E8537" s="17"/>
      <c r="F8537" s="18"/>
      <c r="G8537" s="36" t="str">
        <f>IF(ISNUMBER(F8537),C8537*F8537,"")</f>
        <v/>
      </c>
    </row>
    <row r="8538" spans="1:7" ht="12" customHeight="1" outlineLevel="2" x14ac:dyDescent="0.2">
      <c r="A8538" s="14" t="s">
        <v>16793</v>
      </c>
      <c r="B8538" s="15" t="s">
        <v>16794</v>
      </c>
      <c r="C8538" s="19">
        <f>1078.69/(1+B2)</f>
        <v>1078.69</v>
      </c>
      <c r="D8538" s="17" t="s">
        <v>11</v>
      </c>
      <c r="E8538" s="17"/>
      <c r="F8538" s="18"/>
      <c r="G8538" s="36" t="str">
        <f>IF(ISNUMBER(F8538),C8538*F8538,"")</f>
        <v/>
      </c>
    </row>
    <row r="8539" spans="1:7" ht="12" customHeight="1" outlineLevel="2" x14ac:dyDescent="0.2">
      <c r="A8539" s="14" t="s">
        <v>16795</v>
      </c>
      <c r="B8539" s="15" t="s">
        <v>16796</v>
      </c>
      <c r="C8539" s="19">
        <f>1578.22/(1+B2)</f>
        <v>1578.22</v>
      </c>
      <c r="D8539" s="17" t="s">
        <v>11</v>
      </c>
      <c r="E8539" s="17"/>
      <c r="F8539" s="18"/>
      <c r="G8539" s="36" t="str">
        <f>IF(ISNUMBER(F8539),C8539*F8539,"")</f>
        <v/>
      </c>
    </row>
    <row r="8540" spans="1:7" ht="12" customHeight="1" outlineLevel="2" x14ac:dyDescent="0.2">
      <c r="A8540" s="14" t="s">
        <v>16797</v>
      </c>
      <c r="B8540" s="15" t="s">
        <v>16798</v>
      </c>
      <c r="C8540" s="19">
        <f>1888.73/(1+B2)</f>
        <v>1888.73</v>
      </c>
      <c r="D8540" s="17" t="s">
        <v>11</v>
      </c>
      <c r="E8540" s="17"/>
      <c r="F8540" s="18"/>
      <c r="G8540" s="36" t="str">
        <f>IF(ISNUMBER(F8540),C8540*F8540,"")</f>
        <v/>
      </c>
    </row>
    <row r="8541" spans="1:7" ht="12" customHeight="1" outlineLevel="2" x14ac:dyDescent="0.2">
      <c r="A8541" s="14" t="s">
        <v>16799</v>
      </c>
      <c r="B8541" s="15" t="s">
        <v>16800</v>
      </c>
      <c r="C8541" s="19">
        <f>1821.22/(1+B2)</f>
        <v>1821.22</v>
      </c>
      <c r="D8541" s="17" t="s">
        <v>11</v>
      </c>
      <c r="E8541" s="17"/>
      <c r="F8541" s="18"/>
      <c r="G8541" s="36" t="str">
        <f>IF(ISNUMBER(F8541),C8541*F8541,"")</f>
        <v/>
      </c>
    </row>
    <row r="8542" spans="1:7" ht="12" customHeight="1" outlineLevel="2" x14ac:dyDescent="0.2">
      <c r="A8542" s="14" t="s">
        <v>16801</v>
      </c>
      <c r="B8542" s="15" t="s">
        <v>16802</v>
      </c>
      <c r="C8542" s="19">
        <f>1699.72/(1+B2)</f>
        <v>1699.72</v>
      </c>
      <c r="D8542" s="17" t="s">
        <v>11</v>
      </c>
      <c r="E8542" s="17"/>
      <c r="F8542" s="18"/>
      <c r="G8542" s="36" t="str">
        <f>IF(ISNUMBER(F8542),C8542*F8542,"")</f>
        <v/>
      </c>
    </row>
    <row r="8543" spans="1:7" ht="12" customHeight="1" outlineLevel="2" x14ac:dyDescent="0.2">
      <c r="A8543" s="14" t="s">
        <v>16803</v>
      </c>
      <c r="B8543" s="15" t="s">
        <v>16804</v>
      </c>
      <c r="C8543" s="19">
        <f>2609.98/(1+B2)</f>
        <v>2609.98</v>
      </c>
      <c r="D8543" s="17" t="s">
        <v>11</v>
      </c>
      <c r="E8543" s="17"/>
      <c r="F8543" s="18"/>
      <c r="G8543" s="36" t="str">
        <f>IF(ISNUMBER(F8543),C8543*F8543,"")</f>
        <v/>
      </c>
    </row>
    <row r="8544" spans="1:7" ht="24" customHeight="1" outlineLevel="2" x14ac:dyDescent="0.2">
      <c r="A8544" s="14" t="s">
        <v>16805</v>
      </c>
      <c r="B8544" s="15" t="s">
        <v>16806</v>
      </c>
      <c r="C8544" s="16">
        <f>710.86/(1+B2)</f>
        <v>710.86</v>
      </c>
      <c r="D8544" s="17" t="s">
        <v>11</v>
      </c>
      <c r="E8544" s="17"/>
      <c r="F8544" s="18"/>
      <c r="G8544" s="36" t="str">
        <f>IF(ISNUMBER(F8544),C8544*F8544,"")</f>
        <v/>
      </c>
    </row>
    <row r="8545" spans="1:7" ht="12" customHeight="1" outlineLevel="2" x14ac:dyDescent="0.2">
      <c r="A8545" s="14" t="s">
        <v>16807</v>
      </c>
      <c r="B8545" s="15" t="s">
        <v>16808</v>
      </c>
      <c r="C8545" s="19">
        <f>1294.77/(1+B2)</f>
        <v>1294.77</v>
      </c>
      <c r="D8545" s="17" t="s">
        <v>11</v>
      </c>
      <c r="E8545" s="17"/>
      <c r="F8545" s="18"/>
      <c r="G8545" s="36" t="str">
        <f>IF(ISNUMBER(F8545),C8545*F8545,"")</f>
        <v/>
      </c>
    </row>
    <row r="8546" spans="1:7" ht="24" customHeight="1" outlineLevel="2" x14ac:dyDescent="0.2">
      <c r="A8546" s="14" t="s">
        <v>16809</v>
      </c>
      <c r="B8546" s="15" t="s">
        <v>16810</v>
      </c>
      <c r="C8546" s="19">
        <f>1034.45/(1+B2)</f>
        <v>1034.45</v>
      </c>
      <c r="D8546" s="17" t="s">
        <v>11</v>
      </c>
      <c r="E8546" s="17" t="s">
        <v>11</v>
      </c>
      <c r="F8546" s="18"/>
      <c r="G8546" s="36" t="str">
        <f>IF(ISNUMBER(F8546),C8546*F8546,"")</f>
        <v/>
      </c>
    </row>
    <row r="8547" spans="1:7" ht="12" customHeight="1" outlineLevel="2" x14ac:dyDescent="0.2">
      <c r="A8547" s="14" t="s">
        <v>16811</v>
      </c>
      <c r="B8547" s="15" t="s">
        <v>16812</v>
      </c>
      <c r="C8547" s="19">
        <f>1451.82/(1+B2)</f>
        <v>1451.82</v>
      </c>
      <c r="D8547" s="17" t="s">
        <v>11</v>
      </c>
      <c r="E8547" s="17"/>
      <c r="F8547" s="18"/>
      <c r="G8547" s="36" t="str">
        <f>IF(ISNUMBER(F8547),C8547*F8547,"")</f>
        <v/>
      </c>
    </row>
    <row r="8548" spans="1:7" ht="12" customHeight="1" outlineLevel="2" x14ac:dyDescent="0.2">
      <c r="A8548" s="14" t="s">
        <v>16813</v>
      </c>
      <c r="B8548" s="15" t="s">
        <v>16814</v>
      </c>
      <c r="C8548" s="16">
        <f>989.29/(1+B2)</f>
        <v>989.29</v>
      </c>
      <c r="D8548" s="17" t="s">
        <v>11</v>
      </c>
      <c r="E8548" s="17" t="s">
        <v>11</v>
      </c>
      <c r="F8548" s="18"/>
      <c r="G8548" s="36" t="str">
        <f>IF(ISNUMBER(F8548),C8548*F8548,"")</f>
        <v/>
      </c>
    </row>
    <row r="8549" spans="1:7" ht="24" customHeight="1" outlineLevel="2" x14ac:dyDescent="0.2">
      <c r="A8549" s="14" t="s">
        <v>16815</v>
      </c>
      <c r="B8549" s="15" t="s">
        <v>16816</v>
      </c>
      <c r="C8549" s="19">
        <f>1068.38/(1+B2)</f>
        <v>1068.3800000000001</v>
      </c>
      <c r="D8549" s="17" t="s">
        <v>11</v>
      </c>
      <c r="E8549" s="17" t="s">
        <v>11</v>
      </c>
      <c r="F8549" s="18"/>
      <c r="G8549" s="36" t="str">
        <f>IF(ISNUMBER(F8549),C8549*F8549,"")</f>
        <v/>
      </c>
    </row>
    <row r="8550" spans="1:7" ht="12" customHeight="1" outlineLevel="2" x14ac:dyDescent="0.2">
      <c r="A8550" s="14" t="s">
        <v>16817</v>
      </c>
      <c r="B8550" s="15" t="s">
        <v>16818</v>
      </c>
      <c r="C8550" s="19">
        <f>1315.73/(1+B2)</f>
        <v>1315.73</v>
      </c>
      <c r="D8550" s="17" t="s">
        <v>11</v>
      </c>
      <c r="E8550" s="17"/>
      <c r="F8550" s="18"/>
      <c r="G8550" s="36" t="str">
        <f>IF(ISNUMBER(F8550),C8550*F8550,"")</f>
        <v/>
      </c>
    </row>
    <row r="8551" spans="1:7" ht="12" customHeight="1" outlineLevel="2" x14ac:dyDescent="0.2">
      <c r="A8551" s="14" t="s">
        <v>16819</v>
      </c>
      <c r="B8551" s="15" t="s">
        <v>16820</v>
      </c>
      <c r="C8551" s="19">
        <f>1642.27/(1+B2)</f>
        <v>1642.27</v>
      </c>
      <c r="D8551" s="17" t="s">
        <v>11</v>
      </c>
      <c r="E8551" s="17"/>
      <c r="F8551" s="18"/>
      <c r="G8551" s="36" t="str">
        <f>IF(ISNUMBER(F8551),C8551*F8551,"")</f>
        <v/>
      </c>
    </row>
    <row r="8552" spans="1:7" ht="24" customHeight="1" outlineLevel="2" x14ac:dyDescent="0.2">
      <c r="A8552" s="14" t="s">
        <v>16821</v>
      </c>
      <c r="B8552" s="15" t="s">
        <v>16822</v>
      </c>
      <c r="C8552" s="19">
        <f>1032.92/(1+B2)</f>
        <v>1032.92</v>
      </c>
      <c r="D8552" s="17" t="s">
        <v>11</v>
      </c>
      <c r="E8552" s="17"/>
      <c r="F8552" s="18"/>
      <c r="G8552" s="36" t="str">
        <f>IF(ISNUMBER(F8552),C8552*F8552,"")</f>
        <v/>
      </c>
    </row>
    <row r="8553" spans="1:7" ht="12" customHeight="1" outlineLevel="2" x14ac:dyDescent="0.2">
      <c r="A8553" s="14" t="s">
        <v>16823</v>
      </c>
      <c r="B8553" s="15" t="s">
        <v>16824</v>
      </c>
      <c r="C8553" s="19">
        <f>2161.5/(1+B2)</f>
        <v>2161.5</v>
      </c>
      <c r="D8553" s="17" t="s">
        <v>11</v>
      </c>
      <c r="E8553" s="17"/>
      <c r="F8553" s="18"/>
      <c r="G8553" s="36" t="str">
        <f>IF(ISNUMBER(F8553),C8553*F8553,"")</f>
        <v/>
      </c>
    </row>
    <row r="8554" spans="1:7" ht="24" customHeight="1" outlineLevel="2" x14ac:dyDescent="0.2">
      <c r="A8554" s="14" t="s">
        <v>16825</v>
      </c>
      <c r="B8554" s="15" t="s">
        <v>16826</v>
      </c>
      <c r="C8554" s="19">
        <f>1632.95/(1+B2)</f>
        <v>1632.95</v>
      </c>
      <c r="D8554" s="17" t="s">
        <v>11</v>
      </c>
      <c r="E8554" s="17"/>
      <c r="F8554" s="18"/>
      <c r="G8554" s="36" t="str">
        <f>IF(ISNUMBER(F8554),C8554*F8554,"")</f>
        <v/>
      </c>
    </row>
    <row r="8555" spans="1:7" ht="12" customHeight="1" outlineLevel="2" x14ac:dyDescent="0.2">
      <c r="A8555" s="14" t="s">
        <v>16827</v>
      </c>
      <c r="B8555" s="15" t="s">
        <v>16828</v>
      </c>
      <c r="C8555" s="16">
        <f>324.64/(1+B2)</f>
        <v>324.64</v>
      </c>
      <c r="D8555" s="17" t="s">
        <v>11</v>
      </c>
      <c r="E8555" s="17"/>
      <c r="F8555" s="18"/>
      <c r="G8555" s="36" t="str">
        <f>IF(ISNUMBER(F8555),C8555*F8555,"")</f>
        <v/>
      </c>
    </row>
    <row r="8556" spans="1:7" ht="12" customHeight="1" outlineLevel="2" x14ac:dyDescent="0.2">
      <c r="A8556" s="14" t="s">
        <v>16829</v>
      </c>
      <c r="B8556" s="15" t="s">
        <v>16830</v>
      </c>
      <c r="C8556" s="16">
        <f>719.56/(1+B2)</f>
        <v>719.56</v>
      </c>
      <c r="D8556" s="17" t="s">
        <v>11</v>
      </c>
      <c r="E8556" s="17"/>
      <c r="F8556" s="18"/>
      <c r="G8556" s="36" t="str">
        <f>IF(ISNUMBER(F8556),C8556*F8556,"")</f>
        <v/>
      </c>
    </row>
    <row r="8557" spans="1:7" ht="12" customHeight="1" outlineLevel="2" x14ac:dyDescent="0.2">
      <c r="A8557" s="14" t="s">
        <v>16831</v>
      </c>
      <c r="B8557" s="15" t="s">
        <v>16832</v>
      </c>
      <c r="C8557" s="16">
        <f>909.53/(1+B2)</f>
        <v>909.53</v>
      </c>
      <c r="D8557" s="17" t="s">
        <v>11</v>
      </c>
      <c r="E8557" s="17"/>
      <c r="F8557" s="18"/>
      <c r="G8557" s="36" t="str">
        <f>IF(ISNUMBER(F8557),C8557*F8557,"")</f>
        <v/>
      </c>
    </row>
    <row r="8558" spans="1:7" ht="12" customHeight="1" outlineLevel="2" x14ac:dyDescent="0.2">
      <c r="A8558" s="14" t="s">
        <v>16833</v>
      </c>
      <c r="B8558" s="15" t="s">
        <v>16834</v>
      </c>
      <c r="C8558" s="16">
        <f>915.85/(1+B2)</f>
        <v>915.85</v>
      </c>
      <c r="D8558" s="17" t="s">
        <v>11</v>
      </c>
      <c r="E8558" s="17"/>
      <c r="F8558" s="18"/>
      <c r="G8558" s="36" t="str">
        <f>IF(ISNUMBER(F8558),C8558*F8558,"")</f>
        <v/>
      </c>
    </row>
    <row r="8559" spans="1:7" ht="12" customHeight="1" outlineLevel="2" x14ac:dyDescent="0.2">
      <c r="A8559" s="14" t="s">
        <v>16835</v>
      </c>
      <c r="B8559" s="15" t="s">
        <v>16836</v>
      </c>
      <c r="C8559" s="16">
        <f>466.18/(1+B2)</f>
        <v>466.18</v>
      </c>
      <c r="D8559" s="17" t="s">
        <v>11</v>
      </c>
      <c r="E8559" s="17" t="s">
        <v>11</v>
      </c>
      <c r="F8559" s="18"/>
      <c r="G8559" s="36" t="str">
        <f>IF(ISNUMBER(F8559),C8559*F8559,"")</f>
        <v/>
      </c>
    </row>
    <row r="8560" spans="1:7" ht="12" customHeight="1" outlineLevel="2" x14ac:dyDescent="0.2">
      <c r="A8560" s="14" t="s">
        <v>16837</v>
      </c>
      <c r="B8560" s="15" t="s">
        <v>16838</v>
      </c>
      <c r="C8560" s="19">
        <f>2845.56/(1+B2)</f>
        <v>2845.56</v>
      </c>
      <c r="D8560" s="17" t="s">
        <v>11</v>
      </c>
      <c r="E8560" s="17"/>
      <c r="F8560" s="18"/>
      <c r="G8560" s="36" t="str">
        <f>IF(ISNUMBER(F8560),C8560*F8560,"")</f>
        <v/>
      </c>
    </row>
    <row r="8561" spans="1:7" ht="12" customHeight="1" outlineLevel="2" x14ac:dyDescent="0.2">
      <c r="A8561" s="14" t="s">
        <v>16839</v>
      </c>
      <c r="B8561" s="15" t="s">
        <v>16840</v>
      </c>
      <c r="C8561" s="19">
        <f>2482.04/(1+B2)</f>
        <v>2482.04</v>
      </c>
      <c r="D8561" s="17" t="s">
        <v>11</v>
      </c>
      <c r="E8561" s="17"/>
      <c r="F8561" s="18"/>
      <c r="G8561" s="36" t="str">
        <f>IF(ISNUMBER(F8561),C8561*F8561,"")</f>
        <v/>
      </c>
    </row>
    <row r="8562" spans="1:7" s="1" customFormat="1" ht="15.95" customHeight="1" outlineLevel="1" x14ac:dyDescent="0.25">
      <c r="A8562" s="11"/>
      <c r="B8562" s="12" t="s">
        <v>16841</v>
      </c>
      <c r="C8562" s="13"/>
      <c r="D8562" s="13"/>
      <c r="E8562" s="13"/>
      <c r="F8562" s="13"/>
      <c r="G8562" s="35"/>
    </row>
    <row r="8563" spans="1:7" ht="12" customHeight="1" outlineLevel="2" x14ac:dyDescent="0.2">
      <c r="A8563" s="14" t="s">
        <v>16842</v>
      </c>
      <c r="B8563" s="15" t="s">
        <v>16843</v>
      </c>
      <c r="C8563" s="16">
        <f>947.65/(1+B2)</f>
        <v>947.65</v>
      </c>
      <c r="D8563" s="17" t="s">
        <v>11</v>
      </c>
      <c r="E8563" s="17"/>
      <c r="F8563" s="18"/>
      <c r="G8563" s="36" t="str">
        <f>IF(ISNUMBER(F8563),C8563*F8563,"")</f>
        <v/>
      </c>
    </row>
    <row r="8564" spans="1:7" ht="12" customHeight="1" outlineLevel="2" x14ac:dyDescent="0.2">
      <c r="A8564" s="14" t="s">
        <v>16844</v>
      </c>
      <c r="B8564" s="15" t="s">
        <v>16845</v>
      </c>
      <c r="C8564" s="16">
        <f>811.38/(1+B2)</f>
        <v>811.38</v>
      </c>
      <c r="D8564" s="17" t="s">
        <v>11</v>
      </c>
      <c r="E8564" s="17"/>
      <c r="F8564" s="18"/>
      <c r="G8564" s="36" t="str">
        <f>IF(ISNUMBER(F8564),C8564*F8564,"")</f>
        <v/>
      </c>
    </row>
    <row r="8565" spans="1:7" ht="12" customHeight="1" outlineLevel="2" x14ac:dyDescent="0.2">
      <c r="A8565" s="14" t="s">
        <v>16846</v>
      </c>
      <c r="B8565" s="15" t="s">
        <v>16847</v>
      </c>
      <c r="C8565" s="19">
        <f>1747.09/(1+B2)</f>
        <v>1747.09</v>
      </c>
      <c r="D8565" s="17" t="s">
        <v>11</v>
      </c>
      <c r="E8565" s="17"/>
      <c r="F8565" s="18"/>
      <c r="G8565" s="36" t="str">
        <f>IF(ISNUMBER(F8565),C8565*F8565,"")</f>
        <v/>
      </c>
    </row>
    <row r="8566" spans="1:7" ht="24" customHeight="1" outlineLevel="2" x14ac:dyDescent="0.2">
      <c r="A8566" s="14" t="s">
        <v>16848</v>
      </c>
      <c r="B8566" s="15" t="s">
        <v>16849</v>
      </c>
      <c r="C8566" s="19">
        <f>1464.61/(1+B2)</f>
        <v>1464.61</v>
      </c>
      <c r="D8566" s="17" t="s">
        <v>11</v>
      </c>
      <c r="E8566" s="17"/>
      <c r="F8566" s="18"/>
      <c r="G8566" s="36" t="str">
        <f>IF(ISNUMBER(F8566),C8566*F8566,"")</f>
        <v/>
      </c>
    </row>
    <row r="8567" spans="1:7" ht="12" customHeight="1" outlineLevel="2" x14ac:dyDescent="0.2">
      <c r="A8567" s="14" t="s">
        <v>16850</v>
      </c>
      <c r="B8567" s="15" t="s">
        <v>16851</v>
      </c>
      <c r="C8567" s="19">
        <f>2605.58/(1+B2)</f>
        <v>2605.58</v>
      </c>
      <c r="D8567" s="17" t="s">
        <v>11</v>
      </c>
      <c r="E8567" s="17"/>
      <c r="F8567" s="18"/>
      <c r="G8567" s="36" t="str">
        <f>IF(ISNUMBER(F8567),C8567*F8567,"")</f>
        <v/>
      </c>
    </row>
    <row r="8568" spans="1:7" ht="12" customHeight="1" outlineLevel="2" x14ac:dyDescent="0.2">
      <c r="A8568" s="14" t="s">
        <v>16852</v>
      </c>
      <c r="B8568" s="15" t="s">
        <v>16853</v>
      </c>
      <c r="C8568" s="19">
        <f>2030.48/(1+B2)</f>
        <v>2030.48</v>
      </c>
      <c r="D8568" s="17" t="s">
        <v>11</v>
      </c>
      <c r="E8568" s="17"/>
      <c r="F8568" s="18"/>
      <c r="G8568" s="36" t="str">
        <f>IF(ISNUMBER(F8568),C8568*F8568,"")</f>
        <v/>
      </c>
    </row>
    <row r="8569" spans="1:7" ht="12" customHeight="1" outlineLevel="2" x14ac:dyDescent="0.2">
      <c r="A8569" s="14" t="s">
        <v>16854</v>
      </c>
      <c r="B8569" s="15" t="s">
        <v>16855</v>
      </c>
      <c r="C8569" s="19">
        <f>1949.94/(1+B2)</f>
        <v>1949.94</v>
      </c>
      <c r="D8569" s="17" t="s">
        <v>11</v>
      </c>
      <c r="E8569" s="17"/>
      <c r="F8569" s="18"/>
      <c r="G8569" s="36" t="str">
        <f>IF(ISNUMBER(F8569),C8569*F8569,"")</f>
        <v/>
      </c>
    </row>
    <row r="8570" spans="1:7" ht="12" customHeight="1" outlineLevel="2" x14ac:dyDescent="0.2">
      <c r="A8570" s="14" t="s">
        <v>16856</v>
      </c>
      <c r="B8570" s="15" t="s">
        <v>16857</v>
      </c>
      <c r="C8570" s="19">
        <f>2257.29/(1+B2)</f>
        <v>2257.29</v>
      </c>
      <c r="D8570" s="17" t="s">
        <v>11</v>
      </c>
      <c r="E8570" s="17"/>
      <c r="F8570" s="18"/>
      <c r="G8570" s="36" t="str">
        <f>IF(ISNUMBER(F8570),C8570*F8570,"")</f>
        <v/>
      </c>
    </row>
    <row r="8571" spans="1:7" ht="12" customHeight="1" outlineLevel="2" x14ac:dyDescent="0.2">
      <c r="A8571" s="14" t="s">
        <v>16858</v>
      </c>
      <c r="B8571" s="15" t="s">
        <v>16859</v>
      </c>
      <c r="C8571" s="19">
        <f>2011.77/(1+B2)</f>
        <v>2011.77</v>
      </c>
      <c r="D8571" s="17" t="s">
        <v>11</v>
      </c>
      <c r="E8571" s="17"/>
      <c r="F8571" s="18"/>
      <c r="G8571" s="36" t="str">
        <f>IF(ISNUMBER(F8571),C8571*F8571,"")</f>
        <v/>
      </c>
    </row>
    <row r="8572" spans="1:7" ht="12" customHeight="1" outlineLevel="2" x14ac:dyDescent="0.2">
      <c r="A8572" s="14" t="s">
        <v>16860</v>
      </c>
      <c r="B8572" s="15" t="s">
        <v>16861</v>
      </c>
      <c r="C8572" s="19">
        <f>1281.2/(1+B2)</f>
        <v>1281.2</v>
      </c>
      <c r="D8572" s="17" t="s">
        <v>11</v>
      </c>
      <c r="E8572" s="17"/>
      <c r="F8572" s="18"/>
      <c r="G8572" s="36" t="str">
        <f>IF(ISNUMBER(F8572),C8572*F8572,"")</f>
        <v/>
      </c>
    </row>
    <row r="8573" spans="1:7" ht="12" customHeight="1" outlineLevel="2" x14ac:dyDescent="0.2">
      <c r="A8573" s="14" t="s">
        <v>16862</v>
      </c>
      <c r="B8573" s="15" t="s">
        <v>16863</v>
      </c>
      <c r="C8573" s="16">
        <f>924.04/(1+B2)</f>
        <v>924.04</v>
      </c>
      <c r="D8573" s="17" t="s">
        <v>11</v>
      </c>
      <c r="E8573" s="17"/>
      <c r="F8573" s="18"/>
      <c r="G8573" s="36" t="str">
        <f>IF(ISNUMBER(F8573),C8573*F8573,"")</f>
        <v/>
      </c>
    </row>
    <row r="8574" spans="1:7" ht="12" customHeight="1" outlineLevel="2" x14ac:dyDescent="0.2">
      <c r="A8574" s="14" t="s">
        <v>16864</v>
      </c>
      <c r="B8574" s="15" t="s">
        <v>16865</v>
      </c>
      <c r="C8574" s="19">
        <f>1285.25/(1+B2)</f>
        <v>1285.25</v>
      </c>
      <c r="D8574" s="17" t="s">
        <v>11</v>
      </c>
      <c r="E8574" s="17"/>
      <c r="F8574" s="18"/>
      <c r="G8574" s="36" t="str">
        <f>IF(ISNUMBER(F8574),C8574*F8574,"")</f>
        <v/>
      </c>
    </row>
    <row r="8575" spans="1:7" ht="12" customHeight="1" outlineLevel="2" x14ac:dyDescent="0.2">
      <c r="A8575" s="14" t="s">
        <v>16866</v>
      </c>
      <c r="B8575" s="15" t="s">
        <v>16867</v>
      </c>
      <c r="C8575" s="19">
        <f>1369.05/(1+B2)</f>
        <v>1369.05</v>
      </c>
      <c r="D8575" s="17" t="s">
        <v>11</v>
      </c>
      <c r="E8575" s="17"/>
      <c r="F8575" s="18"/>
      <c r="G8575" s="36" t="str">
        <f>IF(ISNUMBER(F8575),C8575*F8575,"")</f>
        <v/>
      </c>
    </row>
    <row r="8576" spans="1:7" ht="12" customHeight="1" outlineLevel="2" x14ac:dyDescent="0.2">
      <c r="A8576" s="14" t="s">
        <v>16868</v>
      </c>
      <c r="B8576" s="15" t="s">
        <v>16869</v>
      </c>
      <c r="C8576" s="19">
        <f>1289.05/(1+B2)</f>
        <v>1289.05</v>
      </c>
      <c r="D8576" s="17" t="s">
        <v>11</v>
      </c>
      <c r="E8576" s="17" t="s">
        <v>11</v>
      </c>
      <c r="F8576" s="18"/>
      <c r="G8576" s="36" t="str">
        <f>IF(ISNUMBER(F8576),C8576*F8576,"")</f>
        <v/>
      </c>
    </row>
    <row r="8577" spans="1:7" ht="12" customHeight="1" outlineLevel="2" x14ac:dyDescent="0.2">
      <c r="A8577" s="14" t="s">
        <v>16870</v>
      </c>
      <c r="B8577" s="15" t="s">
        <v>16871</v>
      </c>
      <c r="C8577" s="19">
        <f>1289.05/(1+B2)</f>
        <v>1289.05</v>
      </c>
      <c r="D8577" s="17" t="s">
        <v>11</v>
      </c>
      <c r="E8577" s="17" t="s">
        <v>11</v>
      </c>
      <c r="F8577" s="18"/>
      <c r="G8577" s="36" t="str">
        <f>IF(ISNUMBER(F8577),C8577*F8577,"")</f>
        <v/>
      </c>
    </row>
    <row r="8578" spans="1:7" ht="12" customHeight="1" outlineLevel="2" x14ac:dyDescent="0.2">
      <c r="A8578" s="14" t="s">
        <v>16872</v>
      </c>
      <c r="B8578" s="15" t="s">
        <v>16873</v>
      </c>
      <c r="C8578" s="19">
        <f>1605.29/(1+B2)</f>
        <v>1605.29</v>
      </c>
      <c r="D8578" s="17" t="s">
        <v>11</v>
      </c>
      <c r="E8578" s="17"/>
      <c r="F8578" s="18"/>
      <c r="G8578" s="36" t="str">
        <f>IF(ISNUMBER(F8578),C8578*F8578,"")</f>
        <v/>
      </c>
    </row>
    <row r="8579" spans="1:7" ht="24" customHeight="1" outlineLevel="2" x14ac:dyDescent="0.2">
      <c r="A8579" s="14" t="s">
        <v>16874</v>
      </c>
      <c r="B8579" s="15" t="s">
        <v>16875</v>
      </c>
      <c r="C8579" s="19">
        <f>1616.27/(1+B2)</f>
        <v>1616.27</v>
      </c>
      <c r="D8579" s="17" t="s">
        <v>11</v>
      </c>
      <c r="E8579" s="17"/>
      <c r="F8579" s="18"/>
      <c r="G8579" s="36" t="str">
        <f>IF(ISNUMBER(F8579),C8579*F8579,"")</f>
        <v/>
      </c>
    </row>
    <row r="8580" spans="1:7" ht="12" customHeight="1" outlineLevel="2" x14ac:dyDescent="0.2">
      <c r="A8580" s="14" t="s">
        <v>16876</v>
      </c>
      <c r="B8580" s="15" t="s">
        <v>16877</v>
      </c>
      <c r="C8580" s="16">
        <f>703.03/(1+B2)</f>
        <v>703.03</v>
      </c>
      <c r="D8580" s="17" t="s">
        <v>11</v>
      </c>
      <c r="E8580" s="17"/>
      <c r="F8580" s="18"/>
      <c r="G8580" s="36" t="str">
        <f>IF(ISNUMBER(F8580),C8580*F8580,"")</f>
        <v/>
      </c>
    </row>
    <row r="8581" spans="1:7" ht="12" customHeight="1" outlineLevel="2" x14ac:dyDescent="0.2">
      <c r="A8581" s="14" t="s">
        <v>16878</v>
      </c>
      <c r="B8581" s="15" t="s">
        <v>16879</v>
      </c>
      <c r="C8581" s="19">
        <f>1172.29/(1+B2)</f>
        <v>1172.29</v>
      </c>
      <c r="D8581" s="17" t="s">
        <v>11</v>
      </c>
      <c r="E8581" s="17"/>
      <c r="F8581" s="18"/>
      <c r="G8581" s="36" t="str">
        <f>IF(ISNUMBER(F8581),C8581*F8581,"")</f>
        <v/>
      </c>
    </row>
    <row r="8582" spans="1:7" ht="12" customHeight="1" outlineLevel="2" x14ac:dyDescent="0.2">
      <c r="A8582" s="14" t="s">
        <v>16880</v>
      </c>
      <c r="B8582" s="15" t="s">
        <v>16881</v>
      </c>
      <c r="C8582" s="16">
        <f>805.06/(1+B2)</f>
        <v>805.06</v>
      </c>
      <c r="D8582" s="17" t="s">
        <v>11</v>
      </c>
      <c r="E8582" s="17"/>
      <c r="F8582" s="18"/>
      <c r="G8582" s="36" t="str">
        <f>IF(ISNUMBER(F8582),C8582*F8582,"")</f>
        <v/>
      </c>
    </row>
    <row r="8583" spans="1:7" ht="12" customHeight="1" outlineLevel="2" x14ac:dyDescent="0.2">
      <c r="A8583" s="14" t="s">
        <v>16882</v>
      </c>
      <c r="B8583" s="15" t="s">
        <v>16883</v>
      </c>
      <c r="C8583" s="16">
        <f>968.42/(1+B2)</f>
        <v>968.42</v>
      </c>
      <c r="D8583" s="17" t="s">
        <v>11</v>
      </c>
      <c r="E8583" s="17"/>
      <c r="F8583" s="18"/>
      <c r="G8583" s="36" t="str">
        <f>IF(ISNUMBER(F8583),C8583*F8583,"")</f>
        <v/>
      </c>
    </row>
    <row r="8584" spans="1:7" ht="12" customHeight="1" outlineLevel="2" x14ac:dyDescent="0.2">
      <c r="A8584" s="14" t="s">
        <v>16884</v>
      </c>
      <c r="B8584" s="15" t="s">
        <v>16885</v>
      </c>
      <c r="C8584" s="19">
        <f>1334.6/(1+B2)</f>
        <v>1334.6</v>
      </c>
      <c r="D8584" s="17" t="s">
        <v>11</v>
      </c>
      <c r="E8584" s="17"/>
      <c r="F8584" s="18"/>
      <c r="G8584" s="36" t="str">
        <f>IF(ISNUMBER(F8584),C8584*F8584,"")</f>
        <v/>
      </c>
    </row>
    <row r="8585" spans="1:7" ht="12" customHeight="1" outlineLevel="2" x14ac:dyDescent="0.2">
      <c r="A8585" s="14" t="s">
        <v>16886</v>
      </c>
      <c r="B8585" s="15" t="s">
        <v>16887</v>
      </c>
      <c r="C8585" s="19">
        <f>1236.65/(1+B2)</f>
        <v>1236.6500000000001</v>
      </c>
      <c r="D8585" s="17" t="s">
        <v>11</v>
      </c>
      <c r="E8585" s="17"/>
      <c r="F8585" s="18"/>
      <c r="G8585" s="36" t="str">
        <f>IF(ISNUMBER(F8585),C8585*F8585,"")</f>
        <v/>
      </c>
    </row>
    <row r="8586" spans="1:7" ht="12" customHeight="1" outlineLevel="2" x14ac:dyDescent="0.2">
      <c r="A8586" s="14" t="s">
        <v>16888</v>
      </c>
      <c r="B8586" s="15" t="s">
        <v>16889</v>
      </c>
      <c r="C8586" s="19">
        <f>1313.21/(1+B2)</f>
        <v>1313.21</v>
      </c>
      <c r="D8586" s="17" t="s">
        <v>11</v>
      </c>
      <c r="E8586" s="17"/>
      <c r="F8586" s="18"/>
      <c r="G8586" s="36" t="str">
        <f>IF(ISNUMBER(F8586),C8586*F8586,"")</f>
        <v/>
      </c>
    </row>
    <row r="8587" spans="1:7" ht="12" customHeight="1" outlineLevel="2" x14ac:dyDescent="0.2">
      <c r="A8587" s="14" t="s">
        <v>16890</v>
      </c>
      <c r="B8587" s="15" t="s">
        <v>16891</v>
      </c>
      <c r="C8587" s="19">
        <f>1363.11/(1+B2)</f>
        <v>1363.11</v>
      </c>
      <c r="D8587" s="17" t="s">
        <v>11</v>
      </c>
      <c r="E8587" s="17"/>
      <c r="F8587" s="18"/>
      <c r="G8587" s="36" t="str">
        <f>IF(ISNUMBER(F8587),C8587*F8587,"")</f>
        <v/>
      </c>
    </row>
    <row r="8588" spans="1:7" ht="12" customHeight="1" outlineLevel="2" x14ac:dyDescent="0.2">
      <c r="A8588" s="14" t="s">
        <v>16892</v>
      </c>
      <c r="B8588" s="15" t="s">
        <v>16893</v>
      </c>
      <c r="C8588" s="19">
        <f>2049.74/(1+B2)</f>
        <v>2049.7399999999998</v>
      </c>
      <c r="D8588" s="17" t="s">
        <v>11</v>
      </c>
      <c r="E8588" s="17"/>
      <c r="F8588" s="18"/>
      <c r="G8588" s="36" t="str">
        <f>IF(ISNUMBER(F8588),C8588*F8588,"")</f>
        <v/>
      </c>
    </row>
    <row r="8589" spans="1:7" ht="12" customHeight="1" outlineLevel="2" x14ac:dyDescent="0.2">
      <c r="A8589" s="14" t="s">
        <v>16894</v>
      </c>
      <c r="B8589" s="15" t="s">
        <v>16895</v>
      </c>
      <c r="C8589" s="19">
        <f>2286.55/(1+B2)</f>
        <v>2286.5500000000002</v>
      </c>
      <c r="D8589" s="17" t="s">
        <v>11</v>
      </c>
      <c r="E8589" s="17"/>
      <c r="F8589" s="18"/>
      <c r="G8589" s="36" t="str">
        <f>IF(ISNUMBER(F8589),C8589*F8589,"")</f>
        <v/>
      </c>
    </row>
    <row r="8590" spans="1:7" ht="12" customHeight="1" outlineLevel="2" x14ac:dyDescent="0.2">
      <c r="A8590" s="14" t="s">
        <v>16896</v>
      </c>
      <c r="B8590" s="15" t="s">
        <v>16897</v>
      </c>
      <c r="C8590" s="19">
        <f>2217.33/(1+B2)</f>
        <v>2217.33</v>
      </c>
      <c r="D8590" s="17" t="s">
        <v>11</v>
      </c>
      <c r="E8590" s="17"/>
      <c r="F8590" s="18"/>
      <c r="G8590" s="36" t="str">
        <f>IF(ISNUMBER(F8590),C8590*F8590,"")</f>
        <v/>
      </c>
    </row>
    <row r="8591" spans="1:7" ht="12" customHeight="1" outlineLevel="2" x14ac:dyDescent="0.2">
      <c r="A8591" s="14" t="s">
        <v>16898</v>
      </c>
      <c r="B8591" s="15" t="s">
        <v>16899</v>
      </c>
      <c r="C8591" s="19">
        <f>2706.35/(1+B2)</f>
        <v>2706.35</v>
      </c>
      <c r="D8591" s="17" t="s">
        <v>11</v>
      </c>
      <c r="E8591" s="17"/>
      <c r="F8591" s="18"/>
      <c r="G8591" s="36" t="str">
        <f>IF(ISNUMBER(F8591),C8591*F8591,"")</f>
        <v/>
      </c>
    </row>
    <row r="8592" spans="1:7" ht="24" customHeight="1" outlineLevel="2" x14ac:dyDescent="0.2">
      <c r="A8592" s="14" t="s">
        <v>16900</v>
      </c>
      <c r="B8592" s="15" t="s">
        <v>16901</v>
      </c>
      <c r="C8592" s="19">
        <f>1259.61/(1+B2)</f>
        <v>1259.6099999999999</v>
      </c>
      <c r="D8592" s="17" t="s">
        <v>11</v>
      </c>
      <c r="E8592" s="17"/>
      <c r="F8592" s="18"/>
      <c r="G8592" s="36" t="str">
        <f>IF(ISNUMBER(F8592),C8592*F8592,"")</f>
        <v/>
      </c>
    </row>
    <row r="8593" spans="1:7" ht="12" customHeight="1" outlineLevel="2" x14ac:dyDescent="0.2">
      <c r="A8593" s="14" t="s">
        <v>16902</v>
      </c>
      <c r="B8593" s="15" t="s">
        <v>16903</v>
      </c>
      <c r="C8593" s="19">
        <f>1263.64/(1+B2)</f>
        <v>1263.6400000000001</v>
      </c>
      <c r="D8593" s="17" t="s">
        <v>11</v>
      </c>
      <c r="E8593" s="17"/>
      <c r="F8593" s="18"/>
      <c r="G8593" s="36" t="str">
        <f>IF(ISNUMBER(F8593),C8593*F8593,"")</f>
        <v/>
      </c>
    </row>
    <row r="8594" spans="1:7" ht="12" customHeight="1" outlineLevel="2" x14ac:dyDescent="0.2">
      <c r="A8594" s="14" t="s">
        <v>16904</v>
      </c>
      <c r="B8594" s="15" t="s">
        <v>16905</v>
      </c>
      <c r="C8594" s="16">
        <f>949.04/(1+B2)</f>
        <v>949.04</v>
      </c>
      <c r="D8594" s="17" t="s">
        <v>11</v>
      </c>
      <c r="E8594" s="17" t="s">
        <v>11</v>
      </c>
      <c r="F8594" s="18"/>
      <c r="G8594" s="36" t="str">
        <f>IF(ISNUMBER(F8594),C8594*F8594,"")</f>
        <v/>
      </c>
    </row>
    <row r="8595" spans="1:7" ht="12" customHeight="1" outlineLevel="2" x14ac:dyDescent="0.2">
      <c r="A8595" s="14" t="s">
        <v>16906</v>
      </c>
      <c r="B8595" s="15" t="s">
        <v>16907</v>
      </c>
      <c r="C8595" s="16">
        <f>951.04/(1+B2)</f>
        <v>951.04</v>
      </c>
      <c r="D8595" s="17" t="s">
        <v>11</v>
      </c>
      <c r="E8595" s="17"/>
      <c r="F8595" s="18"/>
      <c r="G8595" s="36" t="str">
        <f>IF(ISNUMBER(F8595),C8595*F8595,"")</f>
        <v/>
      </c>
    </row>
    <row r="8596" spans="1:7" ht="12" customHeight="1" outlineLevel="2" x14ac:dyDescent="0.2">
      <c r="A8596" s="14" t="s">
        <v>16908</v>
      </c>
      <c r="B8596" s="15" t="s">
        <v>16909</v>
      </c>
      <c r="C8596" s="16">
        <f>991.04/(1+B2)</f>
        <v>991.04</v>
      </c>
      <c r="D8596" s="17" t="s">
        <v>11</v>
      </c>
      <c r="E8596" s="17" t="s">
        <v>11</v>
      </c>
      <c r="F8596" s="18"/>
      <c r="G8596" s="36" t="str">
        <f>IF(ISNUMBER(F8596),C8596*F8596,"")</f>
        <v/>
      </c>
    </row>
    <row r="8597" spans="1:7" ht="12" customHeight="1" outlineLevel="2" x14ac:dyDescent="0.2">
      <c r="A8597" s="14" t="s">
        <v>16910</v>
      </c>
      <c r="B8597" s="15" t="s">
        <v>16911</v>
      </c>
      <c r="C8597" s="16">
        <f>991.04/(1+B2)</f>
        <v>991.04</v>
      </c>
      <c r="D8597" s="17" t="s">
        <v>11</v>
      </c>
      <c r="E8597" s="17" t="s">
        <v>11</v>
      </c>
      <c r="F8597" s="18"/>
      <c r="G8597" s="36" t="str">
        <f>IF(ISNUMBER(F8597),C8597*F8597,"")</f>
        <v/>
      </c>
    </row>
    <row r="8598" spans="1:7" ht="12" customHeight="1" outlineLevel="2" x14ac:dyDescent="0.2">
      <c r="A8598" s="14" t="s">
        <v>16912</v>
      </c>
      <c r="B8598" s="15" t="s">
        <v>16913</v>
      </c>
      <c r="C8598" s="19">
        <f>1235.05/(1+B2)</f>
        <v>1235.05</v>
      </c>
      <c r="D8598" s="17" t="s">
        <v>11</v>
      </c>
      <c r="E8598" s="17"/>
      <c r="F8598" s="18"/>
      <c r="G8598" s="36" t="str">
        <f>IF(ISNUMBER(F8598),C8598*F8598,"")</f>
        <v/>
      </c>
    </row>
    <row r="8599" spans="1:7" s="1" customFormat="1" ht="15.95" customHeight="1" outlineLevel="1" x14ac:dyDescent="0.25">
      <c r="A8599" s="11"/>
      <c r="B8599" s="12" t="s">
        <v>16914</v>
      </c>
      <c r="C8599" s="13"/>
      <c r="D8599" s="13"/>
      <c r="E8599" s="13"/>
      <c r="F8599" s="13"/>
      <c r="G8599" s="35"/>
    </row>
    <row r="8600" spans="1:7" ht="12" customHeight="1" outlineLevel="2" x14ac:dyDescent="0.2">
      <c r="A8600" s="14" t="s">
        <v>16915</v>
      </c>
      <c r="B8600" s="15" t="s">
        <v>16916</v>
      </c>
      <c r="C8600" s="19">
        <f>1132.69/(1+B2)</f>
        <v>1132.69</v>
      </c>
      <c r="D8600" s="17" t="s">
        <v>11</v>
      </c>
      <c r="E8600" s="17"/>
      <c r="F8600" s="18"/>
      <c r="G8600" s="36" t="str">
        <f>IF(ISNUMBER(F8600),C8600*F8600,"")</f>
        <v/>
      </c>
    </row>
    <row r="8601" spans="1:7" ht="12" customHeight="1" outlineLevel="2" x14ac:dyDescent="0.2">
      <c r="A8601" s="14" t="s">
        <v>16917</v>
      </c>
      <c r="B8601" s="15" t="s">
        <v>16918</v>
      </c>
      <c r="C8601" s="19">
        <f>1267.7/(1+B2)</f>
        <v>1267.7</v>
      </c>
      <c r="D8601" s="17" t="s">
        <v>11</v>
      </c>
      <c r="E8601" s="17"/>
      <c r="F8601" s="18"/>
      <c r="G8601" s="36" t="str">
        <f>IF(ISNUMBER(F8601),C8601*F8601,"")</f>
        <v/>
      </c>
    </row>
    <row r="8602" spans="1:7" ht="12" customHeight="1" outlineLevel="2" x14ac:dyDescent="0.2">
      <c r="A8602" s="14" t="s">
        <v>16919</v>
      </c>
      <c r="B8602" s="15" t="s">
        <v>16920</v>
      </c>
      <c r="C8602" s="16">
        <f>973.39/(1+B2)</f>
        <v>973.39</v>
      </c>
      <c r="D8602" s="17" t="s">
        <v>11</v>
      </c>
      <c r="E8602" s="17"/>
      <c r="F8602" s="18"/>
      <c r="G8602" s="36" t="str">
        <f>IF(ISNUMBER(F8602),C8602*F8602,"")</f>
        <v/>
      </c>
    </row>
    <row r="8603" spans="1:7" ht="24" customHeight="1" outlineLevel="2" x14ac:dyDescent="0.2">
      <c r="A8603" s="14" t="s">
        <v>16921</v>
      </c>
      <c r="B8603" s="15" t="s">
        <v>16922</v>
      </c>
      <c r="C8603" s="19">
        <f>1171.62/(1+B2)</f>
        <v>1171.6199999999999</v>
      </c>
      <c r="D8603" s="17" t="s">
        <v>11</v>
      </c>
      <c r="E8603" s="17"/>
      <c r="F8603" s="18"/>
      <c r="G8603" s="36" t="str">
        <f>IF(ISNUMBER(F8603),C8603*F8603,"")</f>
        <v/>
      </c>
    </row>
    <row r="8604" spans="1:7" ht="24" customHeight="1" outlineLevel="2" x14ac:dyDescent="0.2">
      <c r="A8604" s="14" t="s">
        <v>16923</v>
      </c>
      <c r="B8604" s="15" t="s">
        <v>16924</v>
      </c>
      <c r="C8604" s="19">
        <f>1800.99/(1+B2)</f>
        <v>1800.99</v>
      </c>
      <c r="D8604" s="17" t="s">
        <v>11</v>
      </c>
      <c r="E8604" s="17"/>
      <c r="F8604" s="18"/>
      <c r="G8604" s="36" t="str">
        <f>IF(ISNUMBER(F8604),C8604*F8604,"")</f>
        <v/>
      </c>
    </row>
    <row r="8605" spans="1:7" ht="12" customHeight="1" outlineLevel="2" x14ac:dyDescent="0.2">
      <c r="A8605" s="14" t="s">
        <v>16925</v>
      </c>
      <c r="B8605" s="15" t="s">
        <v>16926</v>
      </c>
      <c r="C8605" s="16">
        <f>929.04/(1+B2)</f>
        <v>929.04</v>
      </c>
      <c r="D8605" s="17" t="s">
        <v>11</v>
      </c>
      <c r="E8605" s="17"/>
      <c r="F8605" s="18"/>
      <c r="G8605" s="36" t="str">
        <f>IF(ISNUMBER(F8605),C8605*F8605,"")</f>
        <v/>
      </c>
    </row>
    <row r="8606" spans="1:7" ht="12" customHeight="1" outlineLevel="2" x14ac:dyDescent="0.2">
      <c r="A8606" s="14" t="s">
        <v>16927</v>
      </c>
      <c r="B8606" s="15" t="s">
        <v>16928</v>
      </c>
      <c r="C8606" s="16">
        <f>182.71/(1+B2)</f>
        <v>182.71</v>
      </c>
      <c r="D8606" s="17" t="s">
        <v>11</v>
      </c>
      <c r="E8606" s="17"/>
      <c r="F8606" s="18"/>
      <c r="G8606" s="36" t="str">
        <f>IF(ISNUMBER(F8606),C8606*F8606,"")</f>
        <v/>
      </c>
    </row>
    <row r="8607" spans="1:7" ht="12" customHeight="1" outlineLevel="2" x14ac:dyDescent="0.2">
      <c r="A8607" s="14" t="s">
        <v>16929</v>
      </c>
      <c r="B8607" s="15" t="s">
        <v>16930</v>
      </c>
      <c r="C8607" s="16">
        <f>879.56/(1+B2)</f>
        <v>879.56</v>
      </c>
      <c r="D8607" s="17" t="s">
        <v>11</v>
      </c>
      <c r="E8607" s="17"/>
      <c r="F8607" s="18"/>
      <c r="G8607" s="36" t="str">
        <f>IF(ISNUMBER(F8607),C8607*F8607,"")</f>
        <v/>
      </c>
    </row>
    <row r="8608" spans="1:7" ht="12" customHeight="1" outlineLevel="2" x14ac:dyDescent="0.2">
      <c r="A8608" s="14" t="s">
        <v>16931</v>
      </c>
      <c r="B8608" s="15" t="s">
        <v>16932</v>
      </c>
      <c r="C8608" s="16">
        <f>903.3/(1+B2)</f>
        <v>903.3</v>
      </c>
      <c r="D8608" s="17" t="s">
        <v>11</v>
      </c>
      <c r="E8608" s="17"/>
      <c r="F8608" s="18"/>
      <c r="G8608" s="36" t="str">
        <f>IF(ISNUMBER(F8608),C8608*F8608,"")</f>
        <v/>
      </c>
    </row>
    <row r="8609" spans="1:7" ht="12" customHeight="1" outlineLevel="2" x14ac:dyDescent="0.2">
      <c r="A8609" s="14" t="s">
        <v>16933</v>
      </c>
      <c r="B8609" s="15" t="s">
        <v>16934</v>
      </c>
      <c r="C8609" s="16">
        <f>487.5/(1+B2)</f>
        <v>487.5</v>
      </c>
      <c r="D8609" s="17" t="s">
        <v>11</v>
      </c>
      <c r="E8609" s="17" t="s">
        <v>11</v>
      </c>
      <c r="F8609" s="18"/>
      <c r="G8609" s="36" t="str">
        <f>IF(ISNUMBER(F8609),C8609*F8609,"")</f>
        <v/>
      </c>
    </row>
    <row r="8610" spans="1:7" ht="12" customHeight="1" outlineLevel="2" x14ac:dyDescent="0.2">
      <c r="A8610" s="14" t="s">
        <v>16935</v>
      </c>
      <c r="B8610" s="15" t="s">
        <v>16936</v>
      </c>
      <c r="C8610" s="16">
        <f>487.5/(1+B2)</f>
        <v>487.5</v>
      </c>
      <c r="D8610" s="17" t="s">
        <v>11</v>
      </c>
      <c r="E8610" s="17" t="s">
        <v>11</v>
      </c>
      <c r="F8610" s="18"/>
      <c r="G8610" s="36" t="str">
        <f>IF(ISNUMBER(F8610),C8610*F8610,"")</f>
        <v/>
      </c>
    </row>
    <row r="8611" spans="1:7" ht="12" customHeight="1" outlineLevel="2" x14ac:dyDescent="0.2">
      <c r="A8611" s="14" t="s">
        <v>16937</v>
      </c>
      <c r="B8611" s="15" t="s">
        <v>16938</v>
      </c>
      <c r="C8611" s="16">
        <f>928.87/(1+B2)</f>
        <v>928.87</v>
      </c>
      <c r="D8611" s="17" t="s">
        <v>11</v>
      </c>
      <c r="E8611" s="17"/>
      <c r="F8611" s="18"/>
      <c r="G8611" s="36" t="str">
        <f>IF(ISNUMBER(F8611),C8611*F8611,"")</f>
        <v/>
      </c>
    </row>
    <row r="8612" spans="1:7" ht="12" customHeight="1" outlineLevel="2" x14ac:dyDescent="0.2">
      <c r="A8612" s="14" t="s">
        <v>16939</v>
      </c>
      <c r="B8612" s="15" t="s">
        <v>16940</v>
      </c>
      <c r="C8612" s="16">
        <f>792.48/(1+B2)</f>
        <v>792.48</v>
      </c>
      <c r="D8612" s="17" t="s">
        <v>11</v>
      </c>
      <c r="E8612" s="17"/>
      <c r="F8612" s="18"/>
      <c r="G8612" s="36" t="str">
        <f>IF(ISNUMBER(F8612),C8612*F8612,"")</f>
        <v/>
      </c>
    </row>
    <row r="8613" spans="1:7" ht="12" customHeight="1" outlineLevel="2" x14ac:dyDescent="0.2">
      <c r="A8613" s="14" t="s">
        <v>16941</v>
      </c>
      <c r="B8613" s="15" t="s">
        <v>16942</v>
      </c>
      <c r="C8613" s="16">
        <f>739.03/(1+B2)</f>
        <v>739.03</v>
      </c>
      <c r="D8613" s="17" t="s">
        <v>11</v>
      </c>
      <c r="E8613" s="17"/>
      <c r="F8613" s="18"/>
      <c r="G8613" s="36" t="str">
        <f>IF(ISNUMBER(F8613),C8613*F8613,"")</f>
        <v/>
      </c>
    </row>
    <row r="8614" spans="1:7" ht="12" customHeight="1" outlineLevel="2" x14ac:dyDescent="0.2">
      <c r="A8614" s="14" t="s">
        <v>16943</v>
      </c>
      <c r="B8614" s="15" t="s">
        <v>16944</v>
      </c>
      <c r="C8614" s="19">
        <f>1272.38/(1+B2)</f>
        <v>1272.3800000000001</v>
      </c>
      <c r="D8614" s="17" t="s">
        <v>11</v>
      </c>
      <c r="E8614" s="17"/>
      <c r="F8614" s="18"/>
      <c r="G8614" s="36" t="str">
        <f>IF(ISNUMBER(F8614),C8614*F8614,"")</f>
        <v/>
      </c>
    </row>
    <row r="8615" spans="1:7" ht="12" customHeight="1" outlineLevel="2" x14ac:dyDescent="0.2">
      <c r="A8615" s="14" t="s">
        <v>16945</v>
      </c>
      <c r="B8615" s="15" t="s">
        <v>16946</v>
      </c>
      <c r="C8615" s="16">
        <f>687.18/(1+B2)</f>
        <v>687.18</v>
      </c>
      <c r="D8615" s="17" t="s">
        <v>11</v>
      </c>
      <c r="E8615" s="17"/>
      <c r="F8615" s="18"/>
      <c r="G8615" s="36" t="str">
        <f>IF(ISNUMBER(F8615),C8615*F8615,"")</f>
        <v/>
      </c>
    </row>
    <row r="8616" spans="1:7" ht="12" customHeight="1" outlineLevel="2" x14ac:dyDescent="0.2">
      <c r="A8616" s="14" t="s">
        <v>16947</v>
      </c>
      <c r="B8616" s="15" t="s">
        <v>16948</v>
      </c>
      <c r="C8616" s="16">
        <f>872.03/(1+B2)</f>
        <v>872.03</v>
      </c>
      <c r="D8616" s="17" t="s">
        <v>11</v>
      </c>
      <c r="E8616" s="17"/>
      <c r="F8616" s="18"/>
      <c r="G8616" s="36" t="str">
        <f>IF(ISNUMBER(F8616),C8616*F8616,"")</f>
        <v/>
      </c>
    </row>
    <row r="8617" spans="1:7" ht="12" customHeight="1" outlineLevel="2" x14ac:dyDescent="0.2">
      <c r="A8617" s="14" t="s">
        <v>16949</v>
      </c>
      <c r="B8617" s="15" t="s">
        <v>16950</v>
      </c>
      <c r="C8617" s="16">
        <f>687.18/(1+B2)</f>
        <v>687.18</v>
      </c>
      <c r="D8617" s="17" t="s">
        <v>11</v>
      </c>
      <c r="E8617" s="17"/>
      <c r="F8617" s="18"/>
      <c r="G8617" s="36" t="str">
        <f>IF(ISNUMBER(F8617),C8617*F8617,"")</f>
        <v/>
      </c>
    </row>
    <row r="8618" spans="1:7" ht="12" customHeight="1" outlineLevel="2" x14ac:dyDescent="0.2">
      <c r="A8618" s="14" t="s">
        <v>16951</v>
      </c>
      <c r="B8618" s="15" t="s">
        <v>16952</v>
      </c>
      <c r="C8618" s="16">
        <f>698.72/(1+B2)</f>
        <v>698.72</v>
      </c>
      <c r="D8618" s="17" t="s">
        <v>11</v>
      </c>
      <c r="E8618" s="17"/>
      <c r="F8618" s="18"/>
      <c r="G8618" s="36" t="str">
        <f>IF(ISNUMBER(F8618),C8618*F8618,"")</f>
        <v/>
      </c>
    </row>
    <row r="8619" spans="1:7" ht="12" customHeight="1" outlineLevel="2" x14ac:dyDescent="0.2">
      <c r="A8619" s="14" t="s">
        <v>16953</v>
      </c>
      <c r="B8619" s="15" t="s">
        <v>16954</v>
      </c>
      <c r="C8619" s="19">
        <f>1391.88/(1+B2)</f>
        <v>1391.88</v>
      </c>
      <c r="D8619" s="17" t="s">
        <v>11</v>
      </c>
      <c r="E8619" s="17" t="s">
        <v>11</v>
      </c>
      <c r="F8619" s="18"/>
      <c r="G8619" s="36" t="str">
        <f>IF(ISNUMBER(F8619),C8619*F8619,"")</f>
        <v/>
      </c>
    </row>
    <row r="8620" spans="1:7" ht="12" customHeight="1" outlineLevel="2" x14ac:dyDescent="0.2">
      <c r="A8620" s="14" t="s">
        <v>16955</v>
      </c>
      <c r="B8620" s="15" t="s">
        <v>16956</v>
      </c>
      <c r="C8620" s="19">
        <f>1103.8/(1+B2)</f>
        <v>1103.8</v>
      </c>
      <c r="D8620" s="17" t="s">
        <v>11</v>
      </c>
      <c r="E8620" s="17"/>
      <c r="F8620" s="18"/>
      <c r="G8620" s="36" t="str">
        <f>IF(ISNUMBER(F8620),C8620*F8620,"")</f>
        <v/>
      </c>
    </row>
    <row r="8621" spans="1:7" ht="12" customHeight="1" outlineLevel="2" x14ac:dyDescent="0.2">
      <c r="A8621" s="14" t="s">
        <v>16957</v>
      </c>
      <c r="B8621" s="15" t="s">
        <v>16958</v>
      </c>
      <c r="C8621" s="16">
        <f>815.14/(1+B2)</f>
        <v>815.14</v>
      </c>
      <c r="D8621" s="17" t="s">
        <v>11</v>
      </c>
      <c r="E8621" s="17"/>
      <c r="F8621" s="18"/>
      <c r="G8621" s="36" t="str">
        <f>IF(ISNUMBER(F8621),C8621*F8621,"")</f>
        <v/>
      </c>
    </row>
    <row r="8622" spans="1:7" ht="12" customHeight="1" outlineLevel="2" x14ac:dyDescent="0.2">
      <c r="A8622" s="14" t="s">
        <v>16959</v>
      </c>
      <c r="B8622" s="15" t="s">
        <v>16960</v>
      </c>
      <c r="C8622" s="16">
        <f>951.25/(1+B2)</f>
        <v>951.25</v>
      </c>
      <c r="D8622" s="17" t="s">
        <v>11</v>
      </c>
      <c r="E8622" s="17"/>
      <c r="F8622" s="18"/>
      <c r="G8622" s="36" t="str">
        <f>IF(ISNUMBER(F8622),C8622*F8622,"")</f>
        <v/>
      </c>
    </row>
    <row r="8623" spans="1:7" ht="12" customHeight="1" outlineLevel="2" x14ac:dyDescent="0.2">
      <c r="A8623" s="14" t="s">
        <v>16961</v>
      </c>
      <c r="B8623" s="15" t="s">
        <v>16962</v>
      </c>
      <c r="C8623" s="16">
        <f>860.45/(1+B2)</f>
        <v>860.45</v>
      </c>
      <c r="D8623" s="17" t="s">
        <v>11</v>
      </c>
      <c r="E8623" s="17" t="s">
        <v>11</v>
      </c>
      <c r="F8623" s="18"/>
      <c r="G8623" s="36" t="str">
        <f>IF(ISNUMBER(F8623),C8623*F8623,"")</f>
        <v/>
      </c>
    </row>
    <row r="8624" spans="1:7" ht="12" customHeight="1" outlineLevel="2" x14ac:dyDescent="0.2">
      <c r="A8624" s="14" t="s">
        <v>16963</v>
      </c>
      <c r="B8624" s="15" t="s">
        <v>16964</v>
      </c>
      <c r="C8624" s="16">
        <f>766.14/(1+B2)</f>
        <v>766.14</v>
      </c>
      <c r="D8624" s="17" t="s">
        <v>11</v>
      </c>
      <c r="E8624" s="17"/>
      <c r="F8624" s="18"/>
      <c r="G8624" s="36" t="str">
        <f>IF(ISNUMBER(F8624),C8624*F8624,"")</f>
        <v/>
      </c>
    </row>
    <row r="8625" spans="1:7" ht="12" customHeight="1" outlineLevel="2" x14ac:dyDescent="0.2">
      <c r="A8625" s="14" t="s">
        <v>16965</v>
      </c>
      <c r="B8625" s="15" t="s">
        <v>16966</v>
      </c>
      <c r="C8625" s="19">
        <f>1197.7/(1+B2)</f>
        <v>1197.7</v>
      </c>
      <c r="D8625" s="17" t="s">
        <v>11</v>
      </c>
      <c r="E8625" s="17"/>
      <c r="F8625" s="18"/>
      <c r="G8625" s="36" t="str">
        <f>IF(ISNUMBER(F8625),C8625*F8625,"")</f>
        <v/>
      </c>
    </row>
    <row r="8626" spans="1:7" ht="24" customHeight="1" outlineLevel="2" x14ac:dyDescent="0.2">
      <c r="A8626" s="14" t="s">
        <v>16967</v>
      </c>
      <c r="B8626" s="15" t="s">
        <v>16968</v>
      </c>
      <c r="C8626" s="19">
        <f>1002.48/(1+B2)</f>
        <v>1002.48</v>
      </c>
      <c r="D8626" s="17" t="s">
        <v>11</v>
      </c>
      <c r="E8626" s="17"/>
      <c r="F8626" s="18"/>
      <c r="G8626" s="36" t="str">
        <f>IF(ISNUMBER(F8626),C8626*F8626,"")</f>
        <v/>
      </c>
    </row>
    <row r="8627" spans="1:7" ht="24" customHeight="1" outlineLevel="2" x14ac:dyDescent="0.2">
      <c r="A8627" s="14" t="s">
        <v>16969</v>
      </c>
      <c r="B8627" s="15" t="s">
        <v>16970</v>
      </c>
      <c r="C8627" s="16">
        <f>906.75/(1+B2)</f>
        <v>906.75</v>
      </c>
      <c r="D8627" s="17" t="s">
        <v>11</v>
      </c>
      <c r="E8627" s="17"/>
      <c r="F8627" s="18"/>
      <c r="G8627" s="36" t="str">
        <f>IF(ISNUMBER(F8627),C8627*F8627,"")</f>
        <v/>
      </c>
    </row>
    <row r="8628" spans="1:7" ht="24" customHeight="1" outlineLevel="2" x14ac:dyDescent="0.2">
      <c r="A8628" s="14" t="s">
        <v>16971</v>
      </c>
      <c r="B8628" s="15" t="s">
        <v>16972</v>
      </c>
      <c r="C8628" s="16">
        <f>347.78/(1+B2)</f>
        <v>347.78</v>
      </c>
      <c r="D8628" s="17" t="s">
        <v>11</v>
      </c>
      <c r="E8628" s="17" t="s">
        <v>11</v>
      </c>
      <c r="F8628" s="18"/>
      <c r="G8628" s="36" t="str">
        <f>IF(ISNUMBER(F8628),C8628*F8628,"")</f>
        <v/>
      </c>
    </row>
    <row r="8629" spans="1:7" ht="12" customHeight="1" outlineLevel="2" x14ac:dyDescent="0.2">
      <c r="A8629" s="14" t="s">
        <v>16973</v>
      </c>
      <c r="B8629" s="15" t="s">
        <v>16974</v>
      </c>
      <c r="C8629" s="16">
        <f>956.19/(1+B2)</f>
        <v>956.19</v>
      </c>
      <c r="D8629" s="17" t="s">
        <v>11</v>
      </c>
      <c r="E8629" s="17"/>
      <c r="F8629" s="18"/>
      <c r="G8629" s="36" t="str">
        <f>IF(ISNUMBER(F8629),C8629*F8629,"")</f>
        <v/>
      </c>
    </row>
    <row r="8630" spans="1:7" ht="12" customHeight="1" outlineLevel="2" x14ac:dyDescent="0.2">
      <c r="A8630" s="14" t="s">
        <v>16975</v>
      </c>
      <c r="B8630" s="15" t="s">
        <v>16976</v>
      </c>
      <c r="C8630" s="16">
        <f>359.01/(1+B2)</f>
        <v>359.01</v>
      </c>
      <c r="D8630" s="17" t="s">
        <v>11</v>
      </c>
      <c r="E8630" s="17"/>
      <c r="F8630" s="18"/>
      <c r="G8630" s="36" t="str">
        <f>IF(ISNUMBER(F8630),C8630*F8630,"")</f>
        <v/>
      </c>
    </row>
    <row r="8631" spans="1:7" ht="24" customHeight="1" outlineLevel="2" x14ac:dyDescent="0.2">
      <c r="A8631" s="14" t="s">
        <v>16977</v>
      </c>
      <c r="B8631" s="15" t="s">
        <v>16978</v>
      </c>
      <c r="C8631" s="16">
        <f>236.96/(1+B2)</f>
        <v>236.96</v>
      </c>
      <c r="D8631" s="17" t="s">
        <v>11</v>
      </c>
      <c r="E8631" s="17"/>
      <c r="F8631" s="18"/>
      <c r="G8631" s="36" t="str">
        <f>IF(ISNUMBER(F8631),C8631*F8631,"")</f>
        <v/>
      </c>
    </row>
    <row r="8632" spans="1:7" ht="12" customHeight="1" outlineLevel="2" x14ac:dyDescent="0.2">
      <c r="A8632" s="14" t="s">
        <v>16979</v>
      </c>
      <c r="B8632" s="15" t="s">
        <v>16980</v>
      </c>
      <c r="C8632" s="16">
        <f>555.46/(1+B2)</f>
        <v>555.46</v>
      </c>
      <c r="D8632" s="17" t="s">
        <v>11</v>
      </c>
      <c r="E8632" s="17"/>
      <c r="F8632" s="18"/>
      <c r="G8632" s="36" t="str">
        <f>IF(ISNUMBER(F8632),C8632*F8632,"")</f>
        <v/>
      </c>
    </row>
    <row r="8633" spans="1:7" ht="12" customHeight="1" outlineLevel="2" x14ac:dyDescent="0.2">
      <c r="A8633" s="14" t="s">
        <v>16981</v>
      </c>
      <c r="B8633" s="15" t="s">
        <v>16982</v>
      </c>
      <c r="C8633" s="16">
        <f>285.06/(1+B2)</f>
        <v>285.06</v>
      </c>
      <c r="D8633" s="17" t="s">
        <v>11</v>
      </c>
      <c r="E8633" s="17"/>
      <c r="F8633" s="18"/>
      <c r="G8633" s="36" t="str">
        <f>IF(ISNUMBER(F8633),C8633*F8633,"")</f>
        <v/>
      </c>
    </row>
    <row r="8634" spans="1:7" ht="12" customHeight="1" outlineLevel="2" x14ac:dyDescent="0.2">
      <c r="A8634" s="14" t="s">
        <v>16983</v>
      </c>
      <c r="B8634" s="15" t="s">
        <v>16984</v>
      </c>
      <c r="C8634" s="16">
        <f>926.43/(1+B2)</f>
        <v>926.43</v>
      </c>
      <c r="D8634" s="17" t="s">
        <v>11</v>
      </c>
      <c r="E8634" s="17"/>
      <c r="F8634" s="18"/>
      <c r="G8634" s="36" t="str">
        <f>IF(ISNUMBER(F8634),C8634*F8634,"")</f>
        <v/>
      </c>
    </row>
    <row r="8635" spans="1:7" ht="12" customHeight="1" outlineLevel="2" x14ac:dyDescent="0.2">
      <c r="A8635" s="14" t="s">
        <v>16985</v>
      </c>
      <c r="B8635" s="15" t="s">
        <v>16986</v>
      </c>
      <c r="C8635" s="16">
        <f>828.37/(1+B2)</f>
        <v>828.37</v>
      </c>
      <c r="D8635" s="17" t="s">
        <v>11</v>
      </c>
      <c r="E8635" s="17"/>
      <c r="F8635" s="18"/>
      <c r="G8635" s="36" t="str">
        <f>IF(ISNUMBER(F8635),C8635*F8635,"")</f>
        <v/>
      </c>
    </row>
    <row r="8636" spans="1:7" ht="12" customHeight="1" outlineLevel="2" x14ac:dyDescent="0.2">
      <c r="A8636" s="14" t="s">
        <v>16987</v>
      </c>
      <c r="B8636" s="15" t="s">
        <v>16988</v>
      </c>
      <c r="C8636" s="19">
        <f>1283.99/(1+B2)</f>
        <v>1283.99</v>
      </c>
      <c r="D8636" s="17" t="s">
        <v>11</v>
      </c>
      <c r="E8636" s="17"/>
      <c r="F8636" s="18"/>
      <c r="G8636" s="36" t="str">
        <f>IF(ISNUMBER(F8636),C8636*F8636,"")</f>
        <v/>
      </c>
    </row>
    <row r="8637" spans="1:7" ht="12" customHeight="1" outlineLevel="2" x14ac:dyDescent="0.2">
      <c r="A8637" s="14" t="s">
        <v>16989</v>
      </c>
      <c r="B8637" s="15" t="s">
        <v>16990</v>
      </c>
      <c r="C8637" s="16">
        <f>383.24/(1+B2)</f>
        <v>383.24</v>
      </c>
      <c r="D8637" s="17" t="s">
        <v>11</v>
      </c>
      <c r="E8637" s="17" t="s">
        <v>11</v>
      </c>
      <c r="F8637" s="18"/>
      <c r="G8637" s="36" t="str">
        <f>IF(ISNUMBER(F8637),C8637*F8637,"")</f>
        <v/>
      </c>
    </row>
    <row r="8638" spans="1:7" ht="12" customHeight="1" outlineLevel="2" x14ac:dyDescent="0.2">
      <c r="A8638" s="14" t="s">
        <v>16991</v>
      </c>
      <c r="B8638" s="15" t="s">
        <v>16992</v>
      </c>
      <c r="C8638" s="16">
        <f>377.02/(1+B2)</f>
        <v>377.02</v>
      </c>
      <c r="D8638" s="17" t="s">
        <v>11</v>
      </c>
      <c r="E8638" s="17" t="s">
        <v>11</v>
      </c>
      <c r="F8638" s="18"/>
      <c r="G8638" s="36" t="str">
        <f>IF(ISNUMBER(F8638),C8638*F8638,"")</f>
        <v/>
      </c>
    </row>
    <row r="8639" spans="1:7" ht="12" customHeight="1" outlineLevel="2" x14ac:dyDescent="0.2">
      <c r="A8639" s="14" t="s">
        <v>16993</v>
      </c>
      <c r="B8639" s="15" t="s">
        <v>16994</v>
      </c>
      <c r="C8639" s="19">
        <f>1467.48/(1+B2)</f>
        <v>1467.48</v>
      </c>
      <c r="D8639" s="17" t="s">
        <v>11</v>
      </c>
      <c r="E8639" s="17"/>
      <c r="F8639" s="18"/>
      <c r="G8639" s="36" t="str">
        <f>IF(ISNUMBER(F8639),C8639*F8639,"")</f>
        <v/>
      </c>
    </row>
    <row r="8640" spans="1:7" ht="12" customHeight="1" outlineLevel="2" x14ac:dyDescent="0.2">
      <c r="A8640" s="14" t="s">
        <v>16995</v>
      </c>
      <c r="B8640" s="15" t="s">
        <v>16996</v>
      </c>
      <c r="C8640" s="16">
        <f>830.01/(1+B2)</f>
        <v>830.01</v>
      </c>
      <c r="D8640" s="17" t="s">
        <v>11</v>
      </c>
      <c r="E8640" s="17"/>
      <c r="F8640" s="18"/>
      <c r="G8640" s="36" t="str">
        <f>IF(ISNUMBER(F8640),C8640*F8640,"")</f>
        <v/>
      </c>
    </row>
    <row r="8641" spans="1:7" ht="12" customHeight="1" outlineLevel="2" x14ac:dyDescent="0.2">
      <c r="A8641" s="14" t="s">
        <v>16997</v>
      </c>
      <c r="B8641" s="15" t="s">
        <v>16998</v>
      </c>
      <c r="C8641" s="19">
        <f>1213.7/(1+B2)</f>
        <v>1213.7</v>
      </c>
      <c r="D8641" s="17" t="s">
        <v>11</v>
      </c>
      <c r="E8641" s="17"/>
      <c r="F8641" s="18"/>
      <c r="G8641" s="36" t="str">
        <f>IF(ISNUMBER(F8641),C8641*F8641,"")</f>
        <v/>
      </c>
    </row>
    <row r="8642" spans="1:7" s="1" customFormat="1" ht="15.95" customHeight="1" outlineLevel="1" x14ac:dyDescent="0.25">
      <c r="A8642" s="11"/>
      <c r="B8642" s="12" t="s">
        <v>16999</v>
      </c>
      <c r="C8642" s="13"/>
      <c r="D8642" s="13"/>
      <c r="E8642" s="13"/>
      <c r="F8642" s="13"/>
      <c r="G8642" s="35"/>
    </row>
    <row r="8643" spans="1:7" ht="24" customHeight="1" outlineLevel="2" x14ac:dyDescent="0.2">
      <c r="A8643" s="14" t="s">
        <v>17000</v>
      </c>
      <c r="B8643" s="15" t="s">
        <v>17001</v>
      </c>
      <c r="C8643" s="19">
        <f>1623.82/(1+B2)</f>
        <v>1623.82</v>
      </c>
      <c r="D8643" s="17" t="s">
        <v>11</v>
      </c>
      <c r="E8643" s="17"/>
      <c r="F8643" s="18"/>
      <c r="G8643" s="36" t="str">
        <f>IF(ISNUMBER(F8643),C8643*F8643,"")</f>
        <v/>
      </c>
    </row>
    <row r="8644" spans="1:7" s="1" customFormat="1" ht="15.95" customHeight="1" outlineLevel="1" x14ac:dyDescent="0.25">
      <c r="A8644" s="11"/>
      <c r="B8644" s="12" t="s">
        <v>17002</v>
      </c>
      <c r="C8644" s="13"/>
      <c r="D8644" s="13"/>
      <c r="E8644" s="13"/>
      <c r="F8644" s="13"/>
      <c r="G8644" s="35"/>
    </row>
    <row r="8645" spans="1:7" ht="12" customHeight="1" outlineLevel="2" x14ac:dyDescent="0.2">
      <c r="A8645" s="14" t="s">
        <v>17003</v>
      </c>
      <c r="B8645" s="15" t="s">
        <v>17004</v>
      </c>
      <c r="C8645" s="19">
        <f>1329.05/(1+B2)</f>
        <v>1329.05</v>
      </c>
      <c r="D8645" s="17" t="s">
        <v>11</v>
      </c>
      <c r="E8645" s="17" t="s">
        <v>11</v>
      </c>
      <c r="F8645" s="18"/>
      <c r="G8645" s="36" t="str">
        <f>IF(ISNUMBER(F8645),C8645*F8645,"")</f>
        <v/>
      </c>
    </row>
    <row r="8646" spans="1:7" ht="12" customHeight="1" outlineLevel="2" x14ac:dyDescent="0.2">
      <c r="A8646" s="14" t="s">
        <v>17005</v>
      </c>
      <c r="B8646" s="15" t="s">
        <v>17006</v>
      </c>
      <c r="C8646" s="19">
        <f>1059.04/(1+B2)</f>
        <v>1059.04</v>
      </c>
      <c r="D8646" s="17" t="s">
        <v>11</v>
      </c>
      <c r="E8646" s="17"/>
      <c r="F8646" s="18"/>
      <c r="G8646" s="36" t="str">
        <f>IF(ISNUMBER(F8646),C8646*F8646,"")</f>
        <v/>
      </c>
    </row>
    <row r="8647" spans="1:7" ht="12" customHeight="1" outlineLevel="2" x14ac:dyDescent="0.2">
      <c r="A8647" s="14" t="s">
        <v>17007</v>
      </c>
      <c r="B8647" s="15" t="s">
        <v>17008</v>
      </c>
      <c r="C8647" s="19">
        <f>1456.7/(1+B2)</f>
        <v>1456.7</v>
      </c>
      <c r="D8647" s="17" t="s">
        <v>11</v>
      </c>
      <c r="E8647" s="17"/>
      <c r="F8647" s="18"/>
      <c r="G8647" s="36" t="str">
        <f>IF(ISNUMBER(F8647),C8647*F8647,"")</f>
        <v/>
      </c>
    </row>
    <row r="8648" spans="1:7" ht="24" customHeight="1" outlineLevel="2" x14ac:dyDescent="0.2">
      <c r="A8648" s="14" t="s">
        <v>17009</v>
      </c>
      <c r="B8648" s="15" t="s">
        <v>17010</v>
      </c>
      <c r="C8648" s="19">
        <f>1449.06/(1+B2)</f>
        <v>1449.06</v>
      </c>
      <c r="D8648" s="17" t="s">
        <v>11</v>
      </c>
      <c r="E8648" s="17"/>
      <c r="F8648" s="18"/>
      <c r="G8648" s="36" t="str">
        <f>IF(ISNUMBER(F8648),C8648*F8648,"")</f>
        <v/>
      </c>
    </row>
    <row r="8649" spans="1:7" ht="12" customHeight="1" outlineLevel="2" x14ac:dyDescent="0.2">
      <c r="A8649" s="14" t="s">
        <v>17011</v>
      </c>
      <c r="B8649" s="15" t="s">
        <v>17012</v>
      </c>
      <c r="C8649" s="16">
        <f>893.76/(1+B2)</f>
        <v>893.76</v>
      </c>
      <c r="D8649" s="17" t="s">
        <v>11</v>
      </c>
      <c r="E8649" s="17"/>
      <c r="F8649" s="18"/>
      <c r="G8649" s="36" t="str">
        <f>IF(ISNUMBER(F8649),C8649*F8649,"")</f>
        <v/>
      </c>
    </row>
    <row r="8650" spans="1:7" ht="12" customHeight="1" outlineLevel="2" x14ac:dyDescent="0.2">
      <c r="A8650" s="14" t="s">
        <v>17013</v>
      </c>
      <c r="B8650" s="15" t="s">
        <v>17014</v>
      </c>
      <c r="C8650" s="16">
        <f>787.29/(1+B2)</f>
        <v>787.29</v>
      </c>
      <c r="D8650" s="17" t="s">
        <v>11</v>
      </c>
      <c r="E8650" s="17"/>
      <c r="F8650" s="18"/>
      <c r="G8650" s="36" t="str">
        <f>IF(ISNUMBER(F8650),C8650*F8650,"")</f>
        <v/>
      </c>
    </row>
    <row r="8651" spans="1:7" ht="24" customHeight="1" outlineLevel="2" x14ac:dyDescent="0.2">
      <c r="A8651" s="14" t="s">
        <v>17015</v>
      </c>
      <c r="B8651" s="15" t="s">
        <v>17016</v>
      </c>
      <c r="C8651" s="19">
        <f>1669.07/(1+B2)</f>
        <v>1669.07</v>
      </c>
      <c r="D8651" s="17" t="s">
        <v>11</v>
      </c>
      <c r="E8651" s="17"/>
      <c r="F8651" s="18"/>
      <c r="G8651" s="36" t="str">
        <f>IF(ISNUMBER(F8651),C8651*F8651,"")</f>
        <v/>
      </c>
    </row>
    <row r="8652" spans="1:7" ht="12" customHeight="1" outlineLevel="2" x14ac:dyDescent="0.2">
      <c r="A8652" s="14" t="s">
        <v>17017</v>
      </c>
      <c r="B8652" s="15" t="s">
        <v>17018</v>
      </c>
      <c r="C8652" s="19">
        <f>1089.04/(1+B2)</f>
        <v>1089.04</v>
      </c>
      <c r="D8652" s="17" t="s">
        <v>11</v>
      </c>
      <c r="E8652" s="17"/>
      <c r="F8652" s="18"/>
      <c r="G8652" s="36" t="str">
        <f>IF(ISNUMBER(F8652),C8652*F8652,"")</f>
        <v/>
      </c>
    </row>
    <row r="8653" spans="1:7" ht="12" customHeight="1" outlineLevel="2" x14ac:dyDescent="0.2">
      <c r="A8653" s="14" t="s">
        <v>17019</v>
      </c>
      <c r="B8653" s="15" t="s">
        <v>17020</v>
      </c>
      <c r="C8653" s="19">
        <f>2218.32/(1+B2)</f>
        <v>2218.3200000000002</v>
      </c>
      <c r="D8653" s="17" t="s">
        <v>11</v>
      </c>
      <c r="E8653" s="17" t="s">
        <v>11</v>
      </c>
      <c r="F8653" s="18"/>
      <c r="G8653" s="36" t="str">
        <f>IF(ISNUMBER(F8653),C8653*F8653,"")</f>
        <v/>
      </c>
    </row>
    <row r="8654" spans="1:7" ht="12" customHeight="1" outlineLevel="2" x14ac:dyDescent="0.2">
      <c r="A8654" s="14" t="s">
        <v>17021</v>
      </c>
      <c r="B8654" s="15" t="s">
        <v>17022</v>
      </c>
      <c r="C8654" s="16">
        <f>227.18/(1+B2)</f>
        <v>227.18</v>
      </c>
      <c r="D8654" s="17" t="s">
        <v>11</v>
      </c>
      <c r="E8654" s="17"/>
      <c r="F8654" s="18"/>
      <c r="G8654" s="36" t="str">
        <f>IF(ISNUMBER(F8654),C8654*F8654,"")</f>
        <v/>
      </c>
    </row>
    <row r="8655" spans="1:7" ht="24" customHeight="1" outlineLevel="2" x14ac:dyDescent="0.2">
      <c r="A8655" s="14" t="s">
        <v>17023</v>
      </c>
      <c r="B8655" s="15" t="s">
        <v>17024</v>
      </c>
      <c r="C8655" s="16">
        <f>659.03/(1+B2)</f>
        <v>659.03</v>
      </c>
      <c r="D8655" s="17" t="s">
        <v>11</v>
      </c>
      <c r="E8655" s="17"/>
      <c r="F8655" s="18"/>
      <c r="G8655" s="36" t="str">
        <f>IF(ISNUMBER(F8655),C8655*F8655,"")</f>
        <v/>
      </c>
    </row>
    <row r="8656" spans="1:7" ht="12" customHeight="1" outlineLevel="2" x14ac:dyDescent="0.2">
      <c r="A8656" s="14" t="s">
        <v>17025</v>
      </c>
      <c r="B8656" s="15" t="s">
        <v>17026</v>
      </c>
      <c r="C8656" s="16">
        <f>945.16/(1+B2)</f>
        <v>945.16</v>
      </c>
      <c r="D8656" s="17" t="s">
        <v>11</v>
      </c>
      <c r="E8656" s="17"/>
      <c r="F8656" s="18"/>
      <c r="G8656" s="36" t="str">
        <f>IF(ISNUMBER(F8656),C8656*F8656,"")</f>
        <v/>
      </c>
    </row>
    <row r="8657" spans="1:7" ht="12" customHeight="1" outlineLevel="2" x14ac:dyDescent="0.2">
      <c r="A8657" s="14" t="s">
        <v>17027</v>
      </c>
      <c r="B8657" s="15" t="s">
        <v>17028</v>
      </c>
      <c r="C8657" s="19">
        <f>1917.66/(1+B2)</f>
        <v>1917.66</v>
      </c>
      <c r="D8657" s="17" t="s">
        <v>11</v>
      </c>
      <c r="E8657" s="17"/>
      <c r="F8657" s="18"/>
      <c r="G8657" s="36" t="str">
        <f>IF(ISNUMBER(F8657),C8657*F8657,"")</f>
        <v/>
      </c>
    </row>
    <row r="8658" spans="1:7" ht="12" customHeight="1" outlineLevel="2" x14ac:dyDescent="0.2">
      <c r="A8658" s="14" t="s">
        <v>17029</v>
      </c>
      <c r="B8658" s="15" t="s">
        <v>17030</v>
      </c>
      <c r="C8658" s="19">
        <f>1674.38/(1+B2)</f>
        <v>1674.38</v>
      </c>
      <c r="D8658" s="17" t="s">
        <v>11</v>
      </c>
      <c r="E8658" s="17"/>
      <c r="F8658" s="18"/>
      <c r="G8658" s="36" t="str">
        <f>IF(ISNUMBER(F8658),C8658*F8658,"")</f>
        <v/>
      </c>
    </row>
    <row r="8659" spans="1:7" ht="12" customHeight="1" outlineLevel="2" x14ac:dyDescent="0.2">
      <c r="A8659" s="14" t="s">
        <v>17031</v>
      </c>
      <c r="B8659" s="15" t="s">
        <v>17032</v>
      </c>
      <c r="C8659" s="19">
        <f>1401/(1+B2)</f>
        <v>1401</v>
      </c>
      <c r="D8659" s="17" t="s">
        <v>11</v>
      </c>
      <c r="E8659" s="17"/>
      <c r="F8659" s="18"/>
      <c r="G8659" s="36" t="str">
        <f>IF(ISNUMBER(F8659),C8659*F8659,"")</f>
        <v/>
      </c>
    </row>
    <row r="8660" spans="1:7" ht="12" customHeight="1" outlineLevel="2" x14ac:dyDescent="0.2">
      <c r="A8660" s="14" t="s">
        <v>17033</v>
      </c>
      <c r="B8660" s="15" t="s">
        <v>17034</v>
      </c>
      <c r="C8660" s="19">
        <f>1509.56/(1+B2)</f>
        <v>1509.56</v>
      </c>
      <c r="D8660" s="17" t="s">
        <v>11</v>
      </c>
      <c r="E8660" s="17"/>
      <c r="F8660" s="18"/>
      <c r="G8660" s="36" t="str">
        <f>IF(ISNUMBER(F8660),C8660*F8660,"")</f>
        <v/>
      </c>
    </row>
    <row r="8661" spans="1:7" ht="12" customHeight="1" outlineLevel="2" x14ac:dyDescent="0.2">
      <c r="A8661" s="14" t="s">
        <v>17035</v>
      </c>
      <c r="B8661" s="15" t="s">
        <v>17036</v>
      </c>
      <c r="C8661" s="19">
        <f>2050.73/(1+B2)</f>
        <v>2050.73</v>
      </c>
      <c r="D8661" s="17" t="s">
        <v>11</v>
      </c>
      <c r="E8661" s="17"/>
      <c r="F8661" s="18"/>
      <c r="G8661" s="36" t="str">
        <f>IF(ISNUMBER(F8661),C8661*F8661,"")</f>
        <v/>
      </c>
    </row>
    <row r="8662" spans="1:7" ht="12" customHeight="1" outlineLevel="2" x14ac:dyDescent="0.2">
      <c r="A8662" s="14" t="s">
        <v>17037</v>
      </c>
      <c r="B8662" s="15" t="s">
        <v>17038</v>
      </c>
      <c r="C8662" s="19">
        <f>3319.79/(1+B2)</f>
        <v>3319.79</v>
      </c>
      <c r="D8662" s="17" t="s">
        <v>11</v>
      </c>
      <c r="E8662" s="17"/>
      <c r="F8662" s="18"/>
      <c r="G8662" s="36" t="str">
        <f>IF(ISNUMBER(F8662),C8662*F8662,"")</f>
        <v/>
      </c>
    </row>
    <row r="8663" spans="1:7" ht="12" customHeight="1" outlineLevel="2" x14ac:dyDescent="0.2">
      <c r="A8663" s="14" t="s">
        <v>17039</v>
      </c>
      <c r="B8663" s="15" t="s">
        <v>17040</v>
      </c>
      <c r="C8663" s="19">
        <f>1267.7/(1+B2)</f>
        <v>1267.7</v>
      </c>
      <c r="D8663" s="17" t="s">
        <v>11</v>
      </c>
      <c r="E8663" s="17"/>
      <c r="F8663" s="18"/>
      <c r="G8663" s="36" t="str">
        <f>IF(ISNUMBER(F8663),C8663*F8663,"")</f>
        <v/>
      </c>
    </row>
    <row r="8664" spans="1:7" ht="12" customHeight="1" outlineLevel="2" x14ac:dyDescent="0.2">
      <c r="A8664" s="14" t="s">
        <v>17041</v>
      </c>
      <c r="B8664" s="15" t="s">
        <v>17042</v>
      </c>
      <c r="C8664" s="19">
        <f>1050.67/(1+B2)</f>
        <v>1050.67</v>
      </c>
      <c r="D8664" s="17" t="s">
        <v>11</v>
      </c>
      <c r="E8664" s="17"/>
      <c r="F8664" s="18"/>
      <c r="G8664" s="36" t="str">
        <f>IF(ISNUMBER(F8664),C8664*F8664,"")</f>
        <v/>
      </c>
    </row>
    <row r="8665" spans="1:7" ht="12" customHeight="1" outlineLevel="2" x14ac:dyDescent="0.2">
      <c r="A8665" s="14" t="s">
        <v>17043</v>
      </c>
      <c r="B8665" s="15" t="s">
        <v>17044</v>
      </c>
      <c r="C8665" s="19">
        <f>1464.23/(1+B2)</f>
        <v>1464.23</v>
      </c>
      <c r="D8665" s="17" t="s">
        <v>11</v>
      </c>
      <c r="E8665" s="17"/>
      <c r="F8665" s="18"/>
      <c r="G8665" s="36" t="str">
        <f>IF(ISNUMBER(F8665),C8665*F8665,"")</f>
        <v/>
      </c>
    </row>
    <row r="8666" spans="1:7" ht="12" customHeight="1" outlineLevel="2" x14ac:dyDescent="0.2">
      <c r="A8666" s="14" t="s">
        <v>17045</v>
      </c>
      <c r="B8666" s="15" t="s">
        <v>17046</v>
      </c>
      <c r="C8666" s="19">
        <f>1408.1/(1+B2)</f>
        <v>1408.1</v>
      </c>
      <c r="D8666" s="17" t="s">
        <v>11</v>
      </c>
      <c r="E8666" s="17"/>
      <c r="F8666" s="18"/>
      <c r="G8666" s="36" t="str">
        <f>IF(ISNUMBER(F8666),C8666*F8666,"")</f>
        <v/>
      </c>
    </row>
    <row r="8667" spans="1:7" ht="24" customHeight="1" outlineLevel="2" x14ac:dyDescent="0.2">
      <c r="A8667" s="14" t="s">
        <v>17047</v>
      </c>
      <c r="B8667" s="15" t="s">
        <v>17048</v>
      </c>
      <c r="C8667" s="19">
        <f>1616.29/(1+B2)</f>
        <v>1616.29</v>
      </c>
      <c r="D8667" s="17" t="s">
        <v>11</v>
      </c>
      <c r="E8667" s="17"/>
      <c r="F8667" s="18"/>
      <c r="G8667" s="36" t="str">
        <f>IF(ISNUMBER(F8667),C8667*F8667,"")</f>
        <v/>
      </c>
    </row>
    <row r="8668" spans="1:7" ht="12" customHeight="1" outlineLevel="2" x14ac:dyDescent="0.2">
      <c r="A8668" s="14" t="s">
        <v>17049</v>
      </c>
      <c r="B8668" s="15" t="s">
        <v>17050</v>
      </c>
      <c r="C8668" s="19">
        <f>1805.02/(1+B2)</f>
        <v>1805.02</v>
      </c>
      <c r="D8668" s="17" t="s">
        <v>11</v>
      </c>
      <c r="E8668" s="17"/>
      <c r="F8668" s="18"/>
      <c r="G8668" s="36" t="str">
        <f>IF(ISNUMBER(F8668),C8668*F8668,"")</f>
        <v/>
      </c>
    </row>
    <row r="8669" spans="1:7" ht="12" customHeight="1" outlineLevel="2" x14ac:dyDescent="0.2">
      <c r="A8669" s="14" t="s">
        <v>17051</v>
      </c>
      <c r="B8669" s="15" t="s">
        <v>17052</v>
      </c>
      <c r="C8669" s="19">
        <f>1564.72/(1+B2)</f>
        <v>1564.72</v>
      </c>
      <c r="D8669" s="17" t="s">
        <v>11</v>
      </c>
      <c r="E8669" s="17"/>
      <c r="F8669" s="18"/>
      <c r="G8669" s="36" t="str">
        <f>IF(ISNUMBER(F8669),C8669*F8669,"")</f>
        <v/>
      </c>
    </row>
    <row r="8670" spans="1:7" ht="12" customHeight="1" outlineLevel="2" x14ac:dyDescent="0.2">
      <c r="A8670" s="14" t="s">
        <v>17053</v>
      </c>
      <c r="B8670" s="15" t="s">
        <v>17054</v>
      </c>
      <c r="C8670" s="19">
        <f>1037.04/(1+B2)</f>
        <v>1037.04</v>
      </c>
      <c r="D8670" s="17" t="s">
        <v>11</v>
      </c>
      <c r="E8670" s="17"/>
      <c r="F8670" s="18"/>
      <c r="G8670" s="36" t="str">
        <f>IF(ISNUMBER(F8670),C8670*F8670,"")</f>
        <v/>
      </c>
    </row>
    <row r="8671" spans="1:7" ht="12" customHeight="1" outlineLevel="2" x14ac:dyDescent="0.2">
      <c r="A8671" s="14" t="s">
        <v>17055</v>
      </c>
      <c r="B8671" s="15" t="s">
        <v>17056</v>
      </c>
      <c r="C8671" s="19">
        <f>1037.04/(1+B2)</f>
        <v>1037.04</v>
      </c>
      <c r="D8671" s="17" t="s">
        <v>11</v>
      </c>
      <c r="E8671" s="17" t="s">
        <v>11</v>
      </c>
      <c r="F8671" s="18"/>
      <c r="G8671" s="36" t="str">
        <f>IF(ISNUMBER(F8671),C8671*F8671,"")</f>
        <v/>
      </c>
    </row>
    <row r="8672" spans="1:7" ht="12" customHeight="1" outlineLevel="2" x14ac:dyDescent="0.2">
      <c r="A8672" s="14" t="s">
        <v>17057</v>
      </c>
      <c r="B8672" s="15" t="s">
        <v>17058</v>
      </c>
      <c r="C8672" s="16">
        <f>803.69/(1+B2)</f>
        <v>803.69</v>
      </c>
      <c r="D8672" s="17" t="s">
        <v>11</v>
      </c>
      <c r="E8672" s="17" t="s">
        <v>11</v>
      </c>
      <c r="F8672" s="18"/>
      <c r="G8672" s="36" t="str">
        <f>IF(ISNUMBER(F8672),C8672*F8672,"")</f>
        <v/>
      </c>
    </row>
    <row r="8673" spans="1:7" ht="12" customHeight="1" outlineLevel="2" x14ac:dyDescent="0.2">
      <c r="A8673" s="14" t="s">
        <v>17059</v>
      </c>
      <c r="B8673" s="15" t="s">
        <v>17060</v>
      </c>
      <c r="C8673" s="16">
        <f>824.43/(1+B2)</f>
        <v>824.43</v>
      </c>
      <c r="D8673" s="17" t="s">
        <v>11</v>
      </c>
      <c r="E8673" s="17"/>
      <c r="F8673" s="18"/>
      <c r="G8673" s="36" t="str">
        <f>IF(ISNUMBER(F8673),C8673*F8673,"")</f>
        <v/>
      </c>
    </row>
    <row r="8674" spans="1:7" ht="12" customHeight="1" outlineLevel="2" x14ac:dyDescent="0.2">
      <c r="A8674" s="14" t="s">
        <v>17061</v>
      </c>
      <c r="B8674" s="15" t="s">
        <v>17062</v>
      </c>
      <c r="C8674" s="19">
        <f>3059.12/(1+B2)</f>
        <v>3059.12</v>
      </c>
      <c r="D8674" s="17" t="s">
        <v>11</v>
      </c>
      <c r="E8674" s="17"/>
      <c r="F8674" s="18"/>
      <c r="G8674" s="36" t="str">
        <f>IF(ISNUMBER(F8674),C8674*F8674,"")</f>
        <v/>
      </c>
    </row>
    <row r="8675" spans="1:7" ht="12" customHeight="1" outlineLevel="2" x14ac:dyDescent="0.2">
      <c r="A8675" s="14" t="s">
        <v>17063</v>
      </c>
      <c r="B8675" s="15" t="s">
        <v>17064</v>
      </c>
      <c r="C8675" s="19">
        <f>1651.13/(1+B2)</f>
        <v>1651.13</v>
      </c>
      <c r="D8675" s="17" t="s">
        <v>11</v>
      </c>
      <c r="E8675" s="17"/>
      <c r="F8675" s="18"/>
      <c r="G8675" s="36" t="str">
        <f>IF(ISNUMBER(F8675),C8675*F8675,"")</f>
        <v/>
      </c>
    </row>
    <row r="8676" spans="1:7" ht="12" customHeight="1" outlineLevel="2" x14ac:dyDescent="0.2">
      <c r="A8676" s="14" t="s">
        <v>17065</v>
      </c>
      <c r="B8676" s="15" t="s">
        <v>17066</v>
      </c>
      <c r="C8676" s="19">
        <f>2092.08/(1+B2)</f>
        <v>2092.08</v>
      </c>
      <c r="D8676" s="17" t="s">
        <v>11</v>
      </c>
      <c r="E8676" s="17"/>
      <c r="F8676" s="18"/>
      <c r="G8676" s="36" t="str">
        <f>IF(ISNUMBER(F8676),C8676*F8676,"")</f>
        <v/>
      </c>
    </row>
    <row r="8677" spans="1:7" ht="12" customHeight="1" outlineLevel="2" x14ac:dyDescent="0.2">
      <c r="A8677" s="14" t="s">
        <v>17067</v>
      </c>
      <c r="B8677" s="15" t="s">
        <v>17068</v>
      </c>
      <c r="C8677" s="19">
        <f>2189.09/(1+B2)</f>
        <v>2189.09</v>
      </c>
      <c r="D8677" s="17" t="s">
        <v>11</v>
      </c>
      <c r="E8677" s="17"/>
      <c r="F8677" s="18"/>
      <c r="G8677" s="36" t="str">
        <f>IF(ISNUMBER(F8677),C8677*F8677,"")</f>
        <v/>
      </c>
    </row>
    <row r="8678" spans="1:7" ht="12" customHeight="1" outlineLevel="2" x14ac:dyDescent="0.2">
      <c r="A8678" s="14" t="s">
        <v>17069</v>
      </c>
      <c r="B8678" s="15" t="s">
        <v>17070</v>
      </c>
      <c r="C8678" s="19">
        <f>1370.3/(1+B2)</f>
        <v>1370.3</v>
      </c>
      <c r="D8678" s="17" t="s">
        <v>11</v>
      </c>
      <c r="E8678" s="17"/>
      <c r="F8678" s="18"/>
      <c r="G8678" s="36" t="str">
        <f>IF(ISNUMBER(F8678),C8678*F8678,"")</f>
        <v/>
      </c>
    </row>
    <row r="8679" spans="1:7" ht="12" customHeight="1" outlineLevel="2" x14ac:dyDescent="0.2">
      <c r="A8679" s="14" t="s">
        <v>17071</v>
      </c>
      <c r="B8679" s="15" t="s">
        <v>17072</v>
      </c>
      <c r="C8679" s="19">
        <f>1981.5/(1+B2)</f>
        <v>1981.5</v>
      </c>
      <c r="D8679" s="17" t="s">
        <v>11</v>
      </c>
      <c r="E8679" s="17"/>
      <c r="F8679" s="18"/>
      <c r="G8679" s="36" t="str">
        <f>IF(ISNUMBER(F8679),C8679*F8679,"")</f>
        <v/>
      </c>
    </row>
    <row r="8680" spans="1:7" ht="12" customHeight="1" outlineLevel="2" x14ac:dyDescent="0.2">
      <c r="A8680" s="14" t="s">
        <v>17073</v>
      </c>
      <c r="B8680" s="15" t="s">
        <v>17074</v>
      </c>
      <c r="C8680" s="19">
        <f>2927.85/(1+B2)</f>
        <v>2927.85</v>
      </c>
      <c r="D8680" s="17" t="s">
        <v>11</v>
      </c>
      <c r="E8680" s="17"/>
      <c r="F8680" s="18"/>
      <c r="G8680" s="36" t="str">
        <f>IF(ISNUMBER(F8680),C8680*F8680,"")</f>
        <v/>
      </c>
    </row>
    <row r="8681" spans="1:7" ht="24" customHeight="1" outlineLevel="2" x14ac:dyDescent="0.2">
      <c r="A8681" s="14" t="s">
        <v>17075</v>
      </c>
      <c r="B8681" s="15" t="s">
        <v>17076</v>
      </c>
      <c r="C8681" s="16">
        <f>976.42/(1+B2)</f>
        <v>976.42</v>
      </c>
      <c r="D8681" s="17" t="s">
        <v>11</v>
      </c>
      <c r="E8681" s="17"/>
      <c r="F8681" s="18"/>
      <c r="G8681" s="36" t="str">
        <f>IF(ISNUMBER(F8681),C8681*F8681,"")</f>
        <v/>
      </c>
    </row>
    <row r="8682" spans="1:7" ht="12" customHeight="1" outlineLevel="2" x14ac:dyDescent="0.2">
      <c r="A8682" s="14" t="s">
        <v>17077</v>
      </c>
      <c r="B8682" s="15" t="s">
        <v>17078</v>
      </c>
      <c r="C8682" s="19">
        <f>2884.23/(1+B2)</f>
        <v>2884.23</v>
      </c>
      <c r="D8682" s="17" t="s">
        <v>11</v>
      </c>
      <c r="E8682" s="17" t="s">
        <v>11</v>
      </c>
      <c r="F8682" s="18"/>
      <c r="G8682" s="36" t="str">
        <f>IF(ISNUMBER(F8682),C8682*F8682,"")</f>
        <v/>
      </c>
    </row>
    <row r="8683" spans="1:7" ht="12" customHeight="1" outlineLevel="2" x14ac:dyDescent="0.2">
      <c r="A8683" s="14" t="s">
        <v>17079</v>
      </c>
      <c r="B8683" s="15" t="s">
        <v>17080</v>
      </c>
      <c r="C8683" s="19">
        <f>1317.68/(1+B2)</f>
        <v>1317.68</v>
      </c>
      <c r="D8683" s="17" t="s">
        <v>11</v>
      </c>
      <c r="E8683" s="17"/>
      <c r="F8683" s="18"/>
      <c r="G8683" s="36" t="str">
        <f>IF(ISNUMBER(F8683),C8683*F8683,"")</f>
        <v/>
      </c>
    </row>
    <row r="8684" spans="1:7" ht="12" customHeight="1" outlineLevel="2" x14ac:dyDescent="0.2">
      <c r="A8684" s="14" t="s">
        <v>17081</v>
      </c>
      <c r="B8684" s="15" t="s">
        <v>17082</v>
      </c>
      <c r="C8684" s="19">
        <f>1623.5/(1+B2)</f>
        <v>1623.5</v>
      </c>
      <c r="D8684" s="17" t="s">
        <v>11</v>
      </c>
      <c r="E8684" s="17"/>
      <c r="F8684" s="18"/>
      <c r="G8684" s="36" t="str">
        <f>IF(ISNUMBER(F8684),C8684*F8684,"")</f>
        <v/>
      </c>
    </row>
    <row r="8685" spans="1:7" ht="12" customHeight="1" outlineLevel="2" x14ac:dyDescent="0.2">
      <c r="A8685" s="14" t="s">
        <v>17083</v>
      </c>
      <c r="B8685" s="15" t="s">
        <v>17084</v>
      </c>
      <c r="C8685" s="19">
        <f>1411.05/(1+B2)</f>
        <v>1411.05</v>
      </c>
      <c r="D8685" s="17" t="s">
        <v>11</v>
      </c>
      <c r="E8685" s="17"/>
      <c r="F8685" s="18"/>
      <c r="G8685" s="36" t="str">
        <f>IF(ISNUMBER(F8685),C8685*F8685,"")</f>
        <v/>
      </c>
    </row>
    <row r="8686" spans="1:7" ht="24" customHeight="1" outlineLevel="2" x14ac:dyDescent="0.2">
      <c r="A8686" s="14" t="s">
        <v>17085</v>
      </c>
      <c r="B8686" s="15" t="s">
        <v>17086</v>
      </c>
      <c r="C8686" s="19">
        <f>2937.59/(1+B2)</f>
        <v>2937.59</v>
      </c>
      <c r="D8686" s="17" t="s">
        <v>11</v>
      </c>
      <c r="E8686" s="17"/>
      <c r="F8686" s="18"/>
      <c r="G8686" s="36" t="str">
        <f>IF(ISNUMBER(F8686),C8686*F8686,"")</f>
        <v/>
      </c>
    </row>
    <row r="8687" spans="1:7" ht="12" customHeight="1" outlineLevel="2" x14ac:dyDescent="0.2">
      <c r="A8687" s="14" t="s">
        <v>17087</v>
      </c>
      <c r="B8687" s="15" t="s">
        <v>17088</v>
      </c>
      <c r="C8687" s="19">
        <f>2369.09/(1+B2)</f>
        <v>2369.09</v>
      </c>
      <c r="D8687" s="17" t="s">
        <v>11</v>
      </c>
      <c r="E8687" s="17"/>
      <c r="F8687" s="18"/>
      <c r="G8687" s="36" t="str">
        <f>IF(ISNUMBER(F8687),C8687*F8687,"")</f>
        <v/>
      </c>
    </row>
    <row r="8688" spans="1:7" ht="12" customHeight="1" outlineLevel="2" x14ac:dyDescent="0.2">
      <c r="A8688" s="14" t="s">
        <v>17089</v>
      </c>
      <c r="B8688" s="15" t="s">
        <v>17090</v>
      </c>
      <c r="C8688" s="19">
        <f>3911.11/(1+B2)</f>
        <v>3911.11</v>
      </c>
      <c r="D8688" s="17" t="s">
        <v>11</v>
      </c>
      <c r="E8688" s="17"/>
      <c r="F8688" s="18"/>
      <c r="G8688" s="36" t="str">
        <f>IF(ISNUMBER(F8688),C8688*F8688,"")</f>
        <v/>
      </c>
    </row>
    <row r="8689" spans="1:7" ht="12" customHeight="1" outlineLevel="2" x14ac:dyDescent="0.2">
      <c r="A8689" s="14" t="s">
        <v>17091</v>
      </c>
      <c r="B8689" s="15" t="s">
        <v>17092</v>
      </c>
      <c r="C8689" s="19">
        <f>2569.1/(1+B2)</f>
        <v>2569.1</v>
      </c>
      <c r="D8689" s="17" t="s">
        <v>11</v>
      </c>
      <c r="E8689" s="17"/>
      <c r="F8689" s="18"/>
      <c r="G8689" s="36" t="str">
        <f>IF(ISNUMBER(F8689),C8689*F8689,"")</f>
        <v/>
      </c>
    </row>
    <row r="8690" spans="1:7" ht="12" customHeight="1" outlineLevel="2" x14ac:dyDescent="0.2">
      <c r="A8690" s="14" t="s">
        <v>17093</v>
      </c>
      <c r="B8690" s="15" t="s">
        <v>17094</v>
      </c>
      <c r="C8690" s="19">
        <f>1841.07/(1+B2)</f>
        <v>1841.07</v>
      </c>
      <c r="D8690" s="17" t="s">
        <v>11</v>
      </c>
      <c r="E8690" s="17"/>
      <c r="F8690" s="18"/>
      <c r="G8690" s="36" t="str">
        <f>IF(ISNUMBER(F8690),C8690*F8690,"")</f>
        <v/>
      </c>
    </row>
    <row r="8691" spans="1:7" ht="24" customHeight="1" outlineLevel="2" x14ac:dyDescent="0.2">
      <c r="A8691" s="14" t="s">
        <v>17095</v>
      </c>
      <c r="B8691" s="15" t="s">
        <v>17096</v>
      </c>
      <c r="C8691" s="19">
        <f>2153.42/(1+B2)</f>
        <v>2153.42</v>
      </c>
      <c r="D8691" s="17" t="s">
        <v>11</v>
      </c>
      <c r="E8691" s="17"/>
      <c r="F8691" s="18"/>
      <c r="G8691" s="36" t="str">
        <f>IF(ISNUMBER(F8691),C8691*F8691,"")</f>
        <v/>
      </c>
    </row>
    <row r="8692" spans="1:7" ht="12" customHeight="1" outlineLevel="2" x14ac:dyDescent="0.2">
      <c r="A8692" s="14" t="s">
        <v>17097</v>
      </c>
      <c r="B8692" s="15" t="s">
        <v>17098</v>
      </c>
      <c r="C8692" s="19">
        <f>1959.08/(1+B2)</f>
        <v>1959.08</v>
      </c>
      <c r="D8692" s="17" t="s">
        <v>11</v>
      </c>
      <c r="E8692" s="17"/>
      <c r="F8692" s="18"/>
      <c r="G8692" s="36" t="str">
        <f>IF(ISNUMBER(F8692),C8692*F8692,"")</f>
        <v/>
      </c>
    </row>
    <row r="8693" spans="1:7" ht="12" customHeight="1" outlineLevel="2" x14ac:dyDescent="0.2">
      <c r="A8693" s="14" t="s">
        <v>17099</v>
      </c>
      <c r="B8693" s="15" t="s">
        <v>17100</v>
      </c>
      <c r="C8693" s="19">
        <f>1959.08/(1+B2)</f>
        <v>1959.08</v>
      </c>
      <c r="D8693" s="17" t="s">
        <v>11</v>
      </c>
      <c r="E8693" s="17"/>
      <c r="F8693" s="18"/>
      <c r="G8693" s="36" t="str">
        <f>IF(ISNUMBER(F8693),C8693*F8693,"")</f>
        <v/>
      </c>
    </row>
    <row r="8694" spans="1:7" ht="12" customHeight="1" outlineLevel="2" x14ac:dyDescent="0.2">
      <c r="A8694" s="14" t="s">
        <v>17101</v>
      </c>
      <c r="B8694" s="15" t="s">
        <v>17102</v>
      </c>
      <c r="C8694" s="19">
        <f>1959.08/(1+B2)</f>
        <v>1959.08</v>
      </c>
      <c r="D8694" s="17" t="s">
        <v>11</v>
      </c>
      <c r="E8694" s="17"/>
      <c r="F8694" s="18"/>
      <c r="G8694" s="36" t="str">
        <f>IF(ISNUMBER(F8694),C8694*F8694,"")</f>
        <v/>
      </c>
    </row>
    <row r="8695" spans="1:7" ht="12" customHeight="1" outlineLevel="2" x14ac:dyDescent="0.2">
      <c r="A8695" s="14" t="s">
        <v>17103</v>
      </c>
      <c r="B8695" s="15" t="s">
        <v>17104</v>
      </c>
      <c r="C8695" s="19">
        <f>1409.06/(1+B2)</f>
        <v>1409.06</v>
      </c>
      <c r="D8695" s="17" t="s">
        <v>11</v>
      </c>
      <c r="E8695" s="17"/>
      <c r="F8695" s="18"/>
      <c r="G8695" s="36" t="str">
        <f>IF(ISNUMBER(F8695),C8695*F8695,"")</f>
        <v/>
      </c>
    </row>
    <row r="8696" spans="1:7" ht="12" customHeight="1" outlineLevel="2" x14ac:dyDescent="0.2">
      <c r="A8696" s="14" t="s">
        <v>17105</v>
      </c>
      <c r="B8696" s="15" t="s">
        <v>17106</v>
      </c>
      <c r="C8696" s="19">
        <f>1557.97/(1+B2)</f>
        <v>1557.97</v>
      </c>
      <c r="D8696" s="17" t="s">
        <v>11</v>
      </c>
      <c r="E8696" s="17"/>
      <c r="F8696" s="18"/>
      <c r="G8696" s="36" t="str">
        <f>IF(ISNUMBER(F8696),C8696*F8696,"")</f>
        <v/>
      </c>
    </row>
    <row r="8697" spans="1:7" ht="12" customHeight="1" outlineLevel="2" x14ac:dyDescent="0.2">
      <c r="A8697" s="14" t="s">
        <v>17107</v>
      </c>
      <c r="B8697" s="15" t="s">
        <v>17108</v>
      </c>
      <c r="C8697" s="19">
        <f>2149.09/(1+B2)</f>
        <v>2149.09</v>
      </c>
      <c r="D8697" s="17" t="s">
        <v>11</v>
      </c>
      <c r="E8697" s="17"/>
      <c r="F8697" s="18"/>
      <c r="G8697" s="36" t="str">
        <f>IF(ISNUMBER(F8697),C8697*F8697,"")</f>
        <v/>
      </c>
    </row>
    <row r="8698" spans="1:7" ht="12" customHeight="1" outlineLevel="2" x14ac:dyDescent="0.2">
      <c r="A8698" s="14" t="s">
        <v>17109</v>
      </c>
      <c r="B8698" s="15" t="s">
        <v>17110</v>
      </c>
      <c r="C8698" s="16">
        <f>935.21/(1+B2)</f>
        <v>935.21</v>
      </c>
      <c r="D8698" s="17" t="s">
        <v>11</v>
      </c>
      <c r="E8698" s="17"/>
      <c r="F8698" s="18"/>
      <c r="G8698" s="36" t="str">
        <f>IF(ISNUMBER(F8698),C8698*F8698,"")</f>
        <v/>
      </c>
    </row>
    <row r="8699" spans="1:7" ht="24" customHeight="1" outlineLevel="2" x14ac:dyDescent="0.2">
      <c r="A8699" s="14" t="s">
        <v>17111</v>
      </c>
      <c r="B8699" s="15" t="s">
        <v>17112</v>
      </c>
      <c r="C8699" s="16">
        <f>942.71/(1+B2)</f>
        <v>942.71</v>
      </c>
      <c r="D8699" s="17" t="s">
        <v>11</v>
      </c>
      <c r="E8699" s="17"/>
      <c r="F8699" s="18"/>
      <c r="G8699" s="36" t="str">
        <f>IF(ISNUMBER(F8699),C8699*F8699,"")</f>
        <v/>
      </c>
    </row>
    <row r="8700" spans="1:7" ht="24" customHeight="1" outlineLevel="2" x14ac:dyDescent="0.2">
      <c r="A8700" s="14" t="s">
        <v>17113</v>
      </c>
      <c r="B8700" s="15" t="s">
        <v>17114</v>
      </c>
      <c r="C8700" s="19">
        <f>1496.79/(1+B2)</f>
        <v>1496.79</v>
      </c>
      <c r="D8700" s="17" t="s">
        <v>11</v>
      </c>
      <c r="E8700" s="17"/>
      <c r="F8700" s="18"/>
      <c r="G8700" s="36" t="str">
        <f>IF(ISNUMBER(F8700),C8700*F8700,"")</f>
        <v/>
      </c>
    </row>
    <row r="8701" spans="1:7" ht="12" customHeight="1" outlineLevel="2" x14ac:dyDescent="0.2">
      <c r="A8701" s="14" t="s">
        <v>17115</v>
      </c>
      <c r="B8701" s="15" t="s">
        <v>17116</v>
      </c>
      <c r="C8701" s="19">
        <f>1510.7/(1+B2)</f>
        <v>1510.7</v>
      </c>
      <c r="D8701" s="17" t="s">
        <v>11</v>
      </c>
      <c r="E8701" s="17"/>
      <c r="F8701" s="18"/>
      <c r="G8701" s="36" t="str">
        <f>IF(ISNUMBER(F8701),C8701*F8701,"")</f>
        <v/>
      </c>
    </row>
    <row r="8702" spans="1:7" ht="12" customHeight="1" outlineLevel="2" x14ac:dyDescent="0.2">
      <c r="A8702" s="14" t="s">
        <v>17117</v>
      </c>
      <c r="B8702" s="15" t="s">
        <v>17118</v>
      </c>
      <c r="C8702" s="19">
        <f>1584.12/(1+B2)</f>
        <v>1584.12</v>
      </c>
      <c r="D8702" s="17" t="s">
        <v>11</v>
      </c>
      <c r="E8702" s="17"/>
      <c r="F8702" s="18"/>
      <c r="G8702" s="36" t="str">
        <f>IF(ISNUMBER(F8702),C8702*F8702,"")</f>
        <v/>
      </c>
    </row>
    <row r="8703" spans="1:7" ht="12" customHeight="1" outlineLevel="2" x14ac:dyDescent="0.2">
      <c r="A8703" s="14" t="s">
        <v>17119</v>
      </c>
      <c r="B8703" s="15" t="s">
        <v>17120</v>
      </c>
      <c r="C8703" s="19">
        <f>1438.79/(1+B2)</f>
        <v>1438.79</v>
      </c>
      <c r="D8703" s="17" t="s">
        <v>11</v>
      </c>
      <c r="E8703" s="17"/>
      <c r="F8703" s="18"/>
      <c r="G8703" s="36" t="str">
        <f>IF(ISNUMBER(F8703),C8703*F8703,"")</f>
        <v/>
      </c>
    </row>
    <row r="8704" spans="1:7" ht="24" customHeight="1" outlineLevel="2" x14ac:dyDescent="0.2">
      <c r="A8704" s="14" t="s">
        <v>17121</v>
      </c>
      <c r="B8704" s="15" t="s">
        <v>17122</v>
      </c>
      <c r="C8704" s="19">
        <f>4106.81/(1+B2)</f>
        <v>4106.8100000000004</v>
      </c>
      <c r="D8704" s="17" t="s">
        <v>11</v>
      </c>
      <c r="E8704" s="17"/>
      <c r="F8704" s="18"/>
      <c r="G8704" s="36" t="str">
        <f>IF(ISNUMBER(F8704),C8704*F8704,"")</f>
        <v/>
      </c>
    </row>
    <row r="8705" spans="1:7" ht="12" customHeight="1" outlineLevel="2" x14ac:dyDescent="0.2">
      <c r="A8705" s="14" t="s">
        <v>17123</v>
      </c>
      <c r="B8705" s="15" t="s">
        <v>17124</v>
      </c>
      <c r="C8705" s="19">
        <f>1194.25/(1+B2)</f>
        <v>1194.25</v>
      </c>
      <c r="D8705" s="17" t="s">
        <v>11</v>
      </c>
      <c r="E8705" s="17"/>
      <c r="F8705" s="18"/>
      <c r="G8705" s="36" t="str">
        <f>IF(ISNUMBER(F8705),C8705*F8705,"")</f>
        <v/>
      </c>
    </row>
    <row r="8706" spans="1:7" ht="12" customHeight="1" outlineLevel="2" x14ac:dyDescent="0.2">
      <c r="A8706" s="14" t="s">
        <v>17125</v>
      </c>
      <c r="B8706" s="15" t="s">
        <v>17126</v>
      </c>
      <c r="C8706" s="19">
        <f>2259.38/(1+B2)</f>
        <v>2259.38</v>
      </c>
      <c r="D8706" s="17" t="s">
        <v>11</v>
      </c>
      <c r="E8706" s="17"/>
      <c r="F8706" s="18"/>
      <c r="G8706" s="36" t="str">
        <f>IF(ISNUMBER(F8706),C8706*F8706,"")</f>
        <v/>
      </c>
    </row>
    <row r="8707" spans="1:7" ht="12" customHeight="1" outlineLevel="2" x14ac:dyDescent="0.2">
      <c r="A8707" s="14" t="s">
        <v>17127</v>
      </c>
      <c r="B8707" s="15" t="s">
        <v>17128</v>
      </c>
      <c r="C8707" s="19">
        <f>2033.44/(1+B2)</f>
        <v>2033.44</v>
      </c>
      <c r="D8707" s="17" t="s">
        <v>11</v>
      </c>
      <c r="E8707" s="17"/>
      <c r="F8707" s="18"/>
      <c r="G8707" s="36" t="str">
        <f>IF(ISNUMBER(F8707),C8707*F8707,"")</f>
        <v/>
      </c>
    </row>
    <row r="8708" spans="1:7" ht="24" customHeight="1" outlineLevel="2" x14ac:dyDescent="0.2">
      <c r="A8708" s="14" t="s">
        <v>17129</v>
      </c>
      <c r="B8708" s="15" t="s">
        <v>17130</v>
      </c>
      <c r="C8708" s="19">
        <f>2139.09/(1+B2)</f>
        <v>2139.09</v>
      </c>
      <c r="D8708" s="17" t="s">
        <v>11</v>
      </c>
      <c r="E8708" s="17"/>
      <c r="F8708" s="18"/>
      <c r="G8708" s="36" t="str">
        <f>IF(ISNUMBER(F8708),C8708*F8708,"")</f>
        <v/>
      </c>
    </row>
    <row r="8709" spans="1:7" ht="12" customHeight="1" outlineLevel="2" x14ac:dyDescent="0.2">
      <c r="A8709" s="14" t="s">
        <v>17131</v>
      </c>
      <c r="B8709" s="15" t="s">
        <v>17132</v>
      </c>
      <c r="C8709" s="19">
        <f>2739.77/(1+B2)</f>
        <v>2739.77</v>
      </c>
      <c r="D8709" s="17" t="s">
        <v>11</v>
      </c>
      <c r="E8709" s="17"/>
      <c r="F8709" s="18"/>
      <c r="G8709" s="36" t="str">
        <f>IF(ISNUMBER(F8709),C8709*F8709,"")</f>
        <v/>
      </c>
    </row>
    <row r="8710" spans="1:7" ht="12" customHeight="1" outlineLevel="2" x14ac:dyDescent="0.2">
      <c r="A8710" s="14" t="s">
        <v>17133</v>
      </c>
      <c r="B8710" s="15" t="s">
        <v>17134</v>
      </c>
      <c r="C8710" s="19">
        <f>3873.3/(1+B2)</f>
        <v>3873.3</v>
      </c>
      <c r="D8710" s="17" t="s">
        <v>11</v>
      </c>
      <c r="E8710" s="17"/>
      <c r="F8710" s="18"/>
      <c r="G8710" s="36" t="str">
        <f>IF(ISNUMBER(F8710),C8710*F8710,"")</f>
        <v/>
      </c>
    </row>
    <row r="8711" spans="1:7" ht="12" customHeight="1" outlineLevel="2" x14ac:dyDescent="0.2">
      <c r="A8711" s="14" t="s">
        <v>17135</v>
      </c>
      <c r="B8711" s="15" t="s">
        <v>17136</v>
      </c>
      <c r="C8711" s="19">
        <f>4035.31/(1+B2)</f>
        <v>4035.31</v>
      </c>
      <c r="D8711" s="17" t="s">
        <v>11</v>
      </c>
      <c r="E8711" s="17"/>
      <c r="F8711" s="18"/>
      <c r="G8711" s="36" t="str">
        <f>IF(ISNUMBER(F8711),C8711*F8711,"")</f>
        <v/>
      </c>
    </row>
    <row r="8712" spans="1:7" ht="12" customHeight="1" outlineLevel="2" x14ac:dyDescent="0.2">
      <c r="A8712" s="14" t="s">
        <v>17137</v>
      </c>
      <c r="B8712" s="15" t="s">
        <v>17138</v>
      </c>
      <c r="C8712" s="19">
        <f>1795/(1+B2)</f>
        <v>1795</v>
      </c>
      <c r="D8712" s="17" t="s">
        <v>11</v>
      </c>
      <c r="E8712" s="17" t="s">
        <v>11</v>
      </c>
      <c r="F8712" s="18"/>
      <c r="G8712" s="36" t="str">
        <f>IF(ISNUMBER(F8712),C8712*F8712,"")</f>
        <v/>
      </c>
    </row>
    <row r="8713" spans="1:7" ht="12" customHeight="1" outlineLevel="2" x14ac:dyDescent="0.2">
      <c r="A8713" s="14" t="s">
        <v>17139</v>
      </c>
      <c r="B8713" s="15" t="s">
        <v>17140</v>
      </c>
      <c r="C8713" s="19">
        <f>3178.75/(1+B2)</f>
        <v>3178.75</v>
      </c>
      <c r="D8713" s="17" t="s">
        <v>11</v>
      </c>
      <c r="E8713" s="17"/>
      <c r="F8713" s="18"/>
      <c r="G8713" s="36" t="str">
        <f>IF(ISNUMBER(F8713),C8713*F8713,"")</f>
        <v/>
      </c>
    </row>
    <row r="8714" spans="1:7" ht="12" customHeight="1" outlineLevel="2" x14ac:dyDescent="0.2">
      <c r="A8714" s="14" t="s">
        <v>17141</v>
      </c>
      <c r="B8714" s="15" t="s">
        <v>17142</v>
      </c>
      <c r="C8714" s="19">
        <f>2578.1/(1+B2)</f>
        <v>2578.1</v>
      </c>
      <c r="D8714" s="17" t="s">
        <v>11</v>
      </c>
      <c r="E8714" s="17" t="s">
        <v>11</v>
      </c>
      <c r="F8714" s="18"/>
      <c r="G8714" s="36" t="str">
        <f>IF(ISNUMBER(F8714),C8714*F8714,"")</f>
        <v/>
      </c>
    </row>
    <row r="8715" spans="1:7" ht="12" customHeight="1" outlineLevel="2" x14ac:dyDescent="0.2">
      <c r="A8715" s="14" t="s">
        <v>17143</v>
      </c>
      <c r="B8715" s="15" t="s">
        <v>17144</v>
      </c>
      <c r="C8715" s="19">
        <f>2863.77/(1+B2)</f>
        <v>2863.77</v>
      </c>
      <c r="D8715" s="17" t="s">
        <v>11</v>
      </c>
      <c r="E8715" s="17"/>
      <c r="F8715" s="18"/>
      <c r="G8715" s="36" t="str">
        <f>IF(ISNUMBER(F8715),C8715*F8715,"")</f>
        <v/>
      </c>
    </row>
    <row r="8716" spans="1:7" s="1" customFormat="1" ht="15.95" customHeight="1" outlineLevel="1" x14ac:dyDescent="0.25">
      <c r="A8716" s="11"/>
      <c r="B8716" s="12" t="s">
        <v>17145</v>
      </c>
      <c r="C8716" s="13"/>
      <c r="D8716" s="13"/>
      <c r="E8716" s="13"/>
      <c r="F8716" s="13"/>
      <c r="G8716" s="35"/>
    </row>
    <row r="8717" spans="1:7" ht="12" customHeight="1" outlineLevel="2" x14ac:dyDescent="0.2">
      <c r="A8717" s="14" t="s">
        <v>17146</v>
      </c>
      <c r="B8717" s="15" t="s">
        <v>17147</v>
      </c>
      <c r="C8717" s="19">
        <f>1647.45/(1+B2)</f>
        <v>1647.45</v>
      </c>
      <c r="D8717" s="17" t="s">
        <v>11</v>
      </c>
      <c r="E8717" s="17"/>
      <c r="F8717" s="18"/>
      <c r="G8717" s="36" t="str">
        <f>IF(ISNUMBER(F8717),C8717*F8717,"")</f>
        <v/>
      </c>
    </row>
    <row r="8718" spans="1:7" ht="12" customHeight="1" outlineLevel="2" x14ac:dyDescent="0.2">
      <c r="A8718" s="14" t="s">
        <v>17148</v>
      </c>
      <c r="B8718" s="15" t="s">
        <v>17149</v>
      </c>
      <c r="C8718" s="19">
        <f>2139.09/(1+B2)</f>
        <v>2139.09</v>
      </c>
      <c r="D8718" s="17" t="s">
        <v>11</v>
      </c>
      <c r="E8718" s="17"/>
      <c r="F8718" s="18"/>
      <c r="G8718" s="36" t="str">
        <f>IF(ISNUMBER(F8718),C8718*F8718,"")</f>
        <v/>
      </c>
    </row>
    <row r="8719" spans="1:7" ht="12" customHeight="1" outlineLevel="2" x14ac:dyDescent="0.2">
      <c r="A8719" s="14" t="s">
        <v>17150</v>
      </c>
      <c r="B8719" s="15" t="s">
        <v>17151</v>
      </c>
      <c r="C8719" s="19">
        <f>2849.11/(1+B2)</f>
        <v>2849.11</v>
      </c>
      <c r="D8719" s="17" t="s">
        <v>11</v>
      </c>
      <c r="E8719" s="17"/>
      <c r="F8719" s="18"/>
      <c r="G8719" s="36" t="str">
        <f>IF(ISNUMBER(F8719),C8719*F8719,"")</f>
        <v/>
      </c>
    </row>
    <row r="8720" spans="1:7" ht="12" customHeight="1" outlineLevel="2" x14ac:dyDescent="0.2">
      <c r="A8720" s="14" t="s">
        <v>17152</v>
      </c>
      <c r="B8720" s="15" t="s">
        <v>17153</v>
      </c>
      <c r="C8720" s="19">
        <f>2307.24/(1+B2)</f>
        <v>2307.2399999999998</v>
      </c>
      <c r="D8720" s="17" t="s">
        <v>11</v>
      </c>
      <c r="E8720" s="17"/>
      <c r="F8720" s="18"/>
      <c r="G8720" s="36" t="str">
        <f>IF(ISNUMBER(F8720),C8720*F8720,"")</f>
        <v/>
      </c>
    </row>
    <row r="8721" spans="1:7" ht="12" customHeight="1" outlineLevel="2" x14ac:dyDescent="0.2">
      <c r="A8721" s="14" t="s">
        <v>17154</v>
      </c>
      <c r="B8721" s="15" t="s">
        <v>17155</v>
      </c>
      <c r="C8721" s="19">
        <f>1069.04/(1+B2)</f>
        <v>1069.04</v>
      </c>
      <c r="D8721" s="17" t="s">
        <v>11</v>
      </c>
      <c r="E8721" s="17"/>
      <c r="F8721" s="18"/>
      <c r="G8721" s="36" t="str">
        <f>IF(ISNUMBER(F8721),C8721*F8721,"")</f>
        <v/>
      </c>
    </row>
    <row r="8722" spans="1:7" ht="12" customHeight="1" outlineLevel="2" x14ac:dyDescent="0.2">
      <c r="A8722" s="14" t="s">
        <v>17156</v>
      </c>
      <c r="B8722" s="15" t="s">
        <v>17157</v>
      </c>
      <c r="C8722" s="19">
        <f>2351.79/(1+B2)</f>
        <v>2351.79</v>
      </c>
      <c r="D8722" s="17" t="s">
        <v>11</v>
      </c>
      <c r="E8722" s="17"/>
      <c r="F8722" s="18"/>
      <c r="G8722" s="36" t="str">
        <f>IF(ISNUMBER(F8722),C8722*F8722,"")</f>
        <v/>
      </c>
    </row>
    <row r="8723" spans="1:7" ht="12" customHeight="1" outlineLevel="2" x14ac:dyDescent="0.2">
      <c r="A8723" s="14" t="s">
        <v>17158</v>
      </c>
      <c r="B8723" s="15" t="s">
        <v>17159</v>
      </c>
      <c r="C8723" s="16">
        <f>966.34/(1+B2)</f>
        <v>966.34</v>
      </c>
      <c r="D8723" s="17" t="s">
        <v>11</v>
      </c>
      <c r="E8723" s="17"/>
      <c r="F8723" s="18"/>
      <c r="G8723" s="36" t="str">
        <f>IF(ISNUMBER(F8723),C8723*F8723,"")</f>
        <v/>
      </c>
    </row>
    <row r="8724" spans="1:7" ht="12" customHeight="1" outlineLevel="2" x14ac:dyDescent="0.2">
      <c r="A8724" s="14" t="s">
        <v>17160</v>
      </c>
      <c r="B8724" s="15" t="s">
        <v>17161</v>
      </c>
      <c r="C8724" s="16">
        <f>765.25/(1+B2)</f>
        <v>765.25</v>
      </c>
      <c r="D8724" s="17" t="s">
        <v>11</v>
      </c>
      <c r="E8724" s="17"/>
      <c r="F8724" s="18"/>
      <c r="G8724" s="36" t="str">
        <f>IF(ISNUMBER(F8724),C8724*F8724,"")</f>
        <v/>
      </c>
    </row>
    <row r="8725" spans="1:7" ht="12" customHeight="1" outlineLevel="2" x14ac:dyDescent="0.2">
      <c r="A8725" s="14" t="s">
        <v>17162</v>
      </c>
      <c r="B8725" s="15" t="s">
        <v>17163</v>
      </c>
      <c r="C8725" s="16">
        <f>958.74/(1+B2)</f>
        <v>958.74</v>
      </c>
      <c r="D8725" s="17" t="s">
        <v>11</v>
      </c>
      <c r="E8725" s="17"/>
      <c r="F8725" s="18"/>
      <c r="G8725" s="36" t="str">
        <f>IF(ISNUMBER(F8725),C8725*F8725,"")</f>
        <v/>
      </c>
    </row>
    <row r="8726" spans="1:7" ht="24" customHeight="1" outlineLevel="2" x14ac:dyDescent="0.2">
      <c r="A8726" s="14" t="s">
        <v>17164</v>
      </c>
      <c r="B8726" s="15" t="s">
        <v>17165</v>
      </c>
      <c r="C8726" s="19">
        <f>1484.5/(1+B2)</f>
        <v>1484.5</v>
      </c>
      <c r="D8726" s="17" t="s">
        <v>11</v>
      </c>
      <c r="E8726" s="17"/>
      <c r="F8726" s="18"/>
      <c r="G8726" s="36" t="str">
        <f>IF(ISNUMBER(F8726),C8726*F8726,"")</f>
        <v/>
      </c>
    </row>
    <row r="8727" spans="1:7" ht="12" customHeight="1" outlineLevel="2" x14ac:dyDescent="0.2">
      <c r="A8727" s="14" t="s">
        <v>17166</v>
      </c>
      <c r="B8727" s="15" t="s">
        <v>17167</v>
      </c>
      <c r="C8727" s="19">
        <f>2410.86/(1+B2)</f>
        <v>2410.86</v>
      </c>
      <c r="D8727" s="17" t="s">
        <v>11</v>
      </c>
      <c r="E8727" s="17"/>
      <c r="F8727" s="18"/>
      <c r="G8727" s="36" t="str">
        <f>IF(ISNUMBER(F8727),C8727*F8727,"")</f>
        <v/>
      </c>
    </row>
    <row r="8728" spans="1:7" ht="24" customHeight="1" outlineLevel="2" x14ac:dyDescent="0.2">
      <c r="A8728" s="14" t="s">
        <v>17168</v>
      </c>
      <c r="B8728" s="15" t="s">
        <v>17169</v>
      </c>
      <c r="C8728" s="19">
        <f>1865.24/(1+B2)</f>
        <v>1865.24</v>
      </c>
      <c r="D8728" s="17" t="s">
        <v>11</v>
      </c>
      <c r="E8728" s="17"/>
      <c r="F8728" s="18"/>
      <c r="G8728" s="36" t="str">
        <f>IF(ISNUMBER(F8728),C8728*F8728,"")</f>
        <v/>
      </c>
    </row>
    <row r="8729" spans="1:7" ht="24" customHeight="1" outlineLevel="2" x14ac:dyDescent="0.2">
      <c r="A8729" s="14" t="s">
        <v>17170</v>
      </c>
      <c r="B8729" s="15" t="s">
        <v>17171</v>
      </c>
      <c r="C8729" s="19">
        <f>1735.72/(1+B2)</f>
        <v>1735.72</v>
      </c>
      <c r="D8729" s="17" t="s">
        <v>11</v>
      </c>
      <c r="E8729" s="17"/>
      <c r="F8729" s="18"/>
      <c r="G8729" s="36" t="str">
        <f>IF(ISNUMBER(F8729),C8729*F8729,"")</f>
        <v/>
      </c>
    </row>
    <row r="8730" spans="1:7" ht="12" customHeight="1" outlineLevel="2" x14ac:dyDescent="0.2">
      <c r="A8730" s="14" t="s">
        <v>17172</v>
      </c>
      <c r="B8730" s="15" t="s">
        <v>17173</v>
      </c>
      <c r="C8730" s="19">
        <f>2038.66/(1+B2)</f>
        <v>2038.66</v>
      </c>
      <c r="D8730" s="17" t="s">
        <v>11</v>
      </c>
      <c r="E8730" s="17" t="s">
        <v>11</v>
      </c>
      <c r="F8730" s="18"/>
      <c r="G8730" s="36" t="str">
        <f>IF(ISNUMBER(F8730),C8730*F8730,"")</f>
        <v/>
      </c>
    </row>
    <row r="8731" spans="1:7" ht="12" customHeight="1" outlineLevel="2" x14ac:dyDescent="0.2">
      <c r="A8731" s="14" t="s">
        <v>17174</v>
      </c>
      <c r="B8731" s="15" t="s">
        <v>17175</v>
      </c>
      <c r="C8731" s="16">
        <f>814.03/(1+B2)</f>
        <v>814.03</v>
      </c>
      <c r="D8731" s="17" t="s">
        <v>11</v>
      </c>
      <c r="E8731" s="17"/>
      <c r="F8731" s="18"/>
      <c r="G8731" s="36" t="str">
        <f>IF(ISNUMBER(F8731),C8731*F8731,"")</f>
        <v/>
      </c>
    </row>
    <row r="8732" spans="1:7" ht="12" customHeight="1" outlineLevel="2" x14ac:dyDescent="0.2">
      <c r="A8732" s="14" t="s">
        <v>17176</v>
      </c>
      <c r="B8732" s="15" t="s">
        <v>17177</v>
      </c>
      <c r="C8732" s="16">
        <f>946.04/(1+B2)</f>
        <v>946.04</v>
      </c>
      <c r="D8732" s="17" t="s">
        <v>11</v>
      </c>
      <c r="E8732" s="17"/>
      <c r="F8732" s="18"/>
      <c r="G8732" s="36" t="str">
        <f>IF(ISNUMBER(F8732),C8732*F8732,"")</f>
        <v/>
      </c>
    </row>
    <row r="8733" spans="1:7" ht="12" customHeight="1" outlineLevel="2" x14ac:dyDescent="0.2">
      <c r="A8733" s="14" t="s">
        <v>17178</v>
      </c>
      <c r="B8733" s="15" t="s">
        <v>17179</v>
      </c>
      <c r="C8733" s="16">
        <f>819.03/(1+B2)</f>
        <v>819.03</v>
      </c>
      <c r="D8733" s="17" t="s">
        <v>11</v>
      </c>
      <c r="E8733" s="17"/>
      <c r="F8733" s="18"/>
      <c r="G8733" s="36" t="str">
        <f>IF(ISNUMBER(F8733),C8733*F8733,"")</f>
        <v/>
      </c>
    </row>
    <row r="8734" spans="1:7" ht="12" customHeight="1" outlineLevel="2" x14ac:dyDescent="0.2">
      <c r="A8734" s="14" t="s">
        <v>17180</v>
      </c>
      <c r="B8734" s="15" t="s">
        <v>17181</v>
      </c>
      <c r="C8734" s="19">
        <f>1795.19/(1+B2)</f>
        <v>1795.19</v>
      </c>
      <c r="D8734" s="17" t="s">
        <v>11</v>
      </c>
      <c r="E8734" s="17"/>
      <c r="F8734" s="18"/>
      <c r="G8734" s="36" t="str">
        <f>IF(ISNUMBER(F8734),C8734*F8734,"")</f>
        <v/>
      </c>
    </row>
    <row r="8735" spans="1:7" ht="12" customHeight="1" outlineLevel="2" x14ac:dyDescent="0.2">
      <c r="A8735" s="14" t="s">
        <v>17182</v>
      </c>
      <c r="B8735" s="15" t="s">
        <v>17183</v>
      </c>
      <c r="C8735" s="19">
        <f>1455.95/(1+B2)</f>
        <v>1455.95</v>
      </c>
      <c r="D8735" s="17" t="s">
        <v>11</v>
      </c>
      <c r="E8735" s="17"/>
      <c r="F8735" s="18"/>
      <c r="G8735" s="36" t="str">
        <f>IF(ISNUMBER(F8735),C8735*F8735,"")</f>
        <v/>
      </c>
    </row>
    <row r="8736" spans="1:7" ht="24" customHeight="1" outlineLevel="2" x14ac:dyDescent="0.2">
      <c r="A8736" s="14" t="s">
        <v>17184</v>
      </c>
      <c r="B8736" s="15" t="s">
        <v>17185</v>
      </c>
      <c r="C8736" s="16">
        <f>879.04/(1+B2)</f>
        <v>879.04</v>
      </c>
      <c r="D8736" s="17" t="s">
        <v>11</v>
      </c>
      <c r="E8736" s="17"/>
      <c r="F8736" s="18"/>
      <c r="G8736" s="36" t="str">
        <f>IF(ISNUMBER(F8736),C8736*F8736,"")</f>
        <v/>
      </c>
    </row>
    <row r="8737" spans="1:7" ht="12" customHeight="1" outlineLevel="2" x14ac:dyDescent="0.2">
      <c r="A8737" s="14" t="s">
        <v>17186</v>
      </c>
      <c r="B8737" s="15" t="s">
        <v>17187</v>
      </c>
      <c r="C8737" s="19">
        <f>1283.6/(1+B2)</f>
        <v>1283.5999999999999</v>
      </c>
      <c r="D8737" s="17" t="s">
        <v>11</v>
      </c>
      <c r="E8737" s="17"/>
      <c r="F8737" s="18"/>
      <c r="G8737" s="36" t="str">
        <f>IF(ISNUMBER(F8737),C8737*F8737,"")</f>
        <v/>
      </c>
    </row>
    <row r="8738" spans="1:7" ht="12" customHeight="1" outlineLevel="2" x14ac:dyDescent="0.2">
      <c r="A8738" s="14" t="s">
        <v>17188</v>
      </c>
      <c r="B8738" s="15" t="s">
        <v>17189</v>
      </c>
      <c r="C8738" s="19">
        <f>1319.05/(1+B2)</f>
        <v>1319.05</v>
      </c>
      <c r="D8738" s="17" t="s">
        <v>11</v>
      </c>
      <c r="E8738" s="17"/>
      <c r="F8738" s="18"/>
      <c r="G8738" s="36" t="str">
        <f>IF(ISNUMBER(F8738),C8738*F8738,"")</f>
        <v/>
      </c>
    </row>
    <row r="8739" spans="1:7" ht="12" customHeight="1" outlineLevel="2" x14ac:dyDescent="0.2">
      <c r="A8739" s="14" t="s">
        <v>17190</v>
      </c>
      <c r="B8739" s="15" t="s">
        <v>17191</v>
      </c>
      <c r="C8739" s="19">
        <f>1149.05/(1+B2)</f>
        <v>1149.05</v>
      </c>
      <c r="D8739" s="17" t="s">
        <v>11</v>
      </c>
      <c r="E8739" s="17"/>
      <c r="F8739" s="18"/>
      <c r="G8739" s="36" t="str">
        <f>IF(ISNUMBER(F8739),C8739*F8739,"")</f>
        <v/>
      </c>
    </row>
    <row r="8740" spans="1:7" ht="12" customHeight="1" outlineLevel="2" x14ac:dyDescent="0.2">
      <c r="A8740" s="14" t="s">
        <v>17192</v>
      </c>
      <c r="B8740" s="15" t="s">
        <v>17193</v>
      </c>
      <c r="C8740" s="19">
        <f>1651.07/(1+B2)</f>
        <v>1651.07</v>
      </c>
      <c r="D8740" s="17" t="s">
        <v>11</v>
      </c>
      <c r="E8740" s="17"/>
      <c r="F8740" s="18"/>
      <c r="G8740" s="36" t="str">
        <f>IF(ISNUMBER(F8740),C8740*F8740,"")</f>
        <v/>
      </c>
    </row>
    <row r="8741" spans="1:7" ht="24" customHeight="1" outlineLevel="2" x14ac:dyDescent="0.2">
      <c r="A8741" s="14" t="s">
        <v>17194</v>
      </c>
      <c r="B8741" s="15" t="s">
        <v>17195</v>
      </c>
      <c r="C8741" s="19">
        <f>1459.06/(1+B2)</f>
        <v>1459.06</v>
      </c>
      <c r="D8741" s="17" t="s">
        <v>11</v>
      </c>
      <c r="E8741" s="17"/>
      <c r="F8741" s="18"/>
      <c r="G8741" s="36" t="str">
        <f>IF(ISNUMBER(F8741),C8741*F8741,"")</f>
        <v/>
      </c>
    </row>
    <row r="8742" spans="1:7" ht="12" customHeight="1" outlineLevel="2" x14ac:dyDescent="0.2">
      <c r="A8742" s="14" t="s">
        <v>17196</v>
      </c>
      <c r="B8742" s="15" t="s">
        <v>17197</v>
      </c>
      <c r="C8742" s="19">
        <f>1649.07/(1+B2)</f>
        <v>1649.07</v>
      </c>
      <c r="D8742" s="17" t="s">
        <v>11</v>
      </c>
      <c r="E8742" s="17"/>
      <c r="F8742" s="18"/>
      <c r="G8742" s="36" t="str">
        <f>IF(ISNUMBER(F8742),C8742*F8742,"")</f>
        <v/>
      </c>
    </row>
    <row r="8743" spans="1:7" ht="12" customHeight="1" outlineLevel="2" x14ac:dyDescent="0.2">
      <c r="A8743" s="14" t="s">
        <v>17198</v>
      </c>
      <c r="B8743" s="15" t="s">
        <v>17199</v>
      </c>
      <c r="C8743" s="19">
        <f>1347.19/(1+B2)</f>
        <v>1347.19</v>
      </c>
      <c r="D8743" s="17" t="s">
        <v>11</v>
      </c>
      <c r="E8743" s="17"/>
      <c r="F8743" s="18"/>
      <c r="G8743" s="36" t="str">
        <f>IF(ISNUMBER(F8743),C8743*F8743,"")</f>
        <v/>
      </c>
    </row>
    <row r="8744" spans="1:7" ht="12" customHeight="1" outlineLevel="2" x14ac:dyDescent="0.2">
      <c r="A8744" s="14" t="s">
        <v>17200</v>
      </c>
      <c r="B8744" s="15" t="s">
        <v>17201</v>
      </c>
      <c r="C8744" s="19">
        <f>1429.52/(1+B2)</f>
        <v>1429.52</v>
      </c>
      <c r="D8744" s="17" t="s">
        <v>11</v>
      </c>
      <c r="E8744" s="17"/>
      <c r="F8744" s="18"/>
      <c r="G8744" s="36" t="str">
        <f>IF(ISNUMBER(F8744),C8744*F8744,"")</f>
        <v/>
      </c>
    </row>
    <row r="8745" spans="1:7" ht="12" customHeight="1" outlineLevel="2" x14ac:dyDescent="0.2">
      <c r="A8745" s="14" t="s">
        <v>17202</v>
      </c>
      <c r="B8745" s="15" t="s">
        <v>17203</v>
      </c>
      <c r="C8745" s="19">
        <f>1056.77/(1+B2)</f>
        <v>1056.77</v>
      </c>
      <c r="D8745" s="17" t="s">
        <v>11</v>
      </c>
      <c r="E8745" s="17"/>
      <c r="F8745" s="18"/>
      <c r="G8745" s="36" t="str">
        <f>IF(ISNUMBER(F8745),C8745*F8745,"")</f>
        <v/>
      </c>
    </row>
    <row r="8746" spans="1:7" ht="12" customHeight="1" outlineLevel="2" x14ac:dyDescent="0.2">
      <c r="A8746" s="14" t="s">
        <v>17204</v>
      </c>
      <c r="B8746" s="15" t="s">
        <v>17205</v>
      </c>
      <c r="C8746" s="16">
        <f>633.36/(1+B2)</f>
        <v>633.36</v>
      </c>
      <c r="D8746" s="17" t="s">
        <v>11</v>
      </c>
      <c r="E8746" s="17" t="s">
        <v>11</v>
      </c>
      <c r="F8746" s="18"/>
      <c r="G8746" s="36" t="str">
        <f>IF(ISNUMBER(F8746),C8746*F8746,"")</f>
        <v/>
      </c>
    </row>
    <row r="8747" spans="1:7" ht="24" customHeight="1" outlineLevel="2" x14ac:dyDescent="0.2">
      <c r="A8747" s="14" t="s">
        <v>17206</v>
      </c>
      <c r="B8747" s="15" t="s">
        <v>17207</v>
      </c>
      <c r="C8747" s="16">
        <f>830.16/(1+B2)</f>
        <v>830.16</v>
      </c>
      <c r="D8747" s="17" t="s">
        <v>11</v>
      </c>
      <c r="E8747" s="17"/>
      <c r="F8747" s="18"/>
      <c r="G8747" s="36" t="str">
        <f>IF(ISNUMBER(F8747),C8747*F8747,"")</f>
        <v/>
      </c>
    </row>
    <row r="8748" spans="1:7" ht="24" customHeight="1" outlineLevel="2" x14ac:dyDescent="0.2">
      <c r="A8748" s="14" t="s">
        <v>17208</v>
      </c>
      <c r="B8748" s="15" t="s">
        <v>17209</v>
      </c>
      <c r="C8748" s="19">
        <f>1823.38/(1+B2)</f>
        <v>1823.38</v>
      </c>
      <c r="D8748" s="17" t="s">
        <v>11</v>
      </c>
      <c r="E8748" s="17"/>
      <c r="F8748" s="18"/>
      <c r="G8748" s="36" t="str">
        <f>IF(ISNUMBER(F8748),C8748*F8748,"")</f>
        <v/>
      </c>
    </row>
    <row r="8749" spans="1:7" ht="24" customHeight="1" outlineLevel="2" x14ac:dyDescent="0.2">
      <c r="A8749" s="14" t="s">
        <v>17210</v>
      </c>
      <c r="B8749" s="15" t="s">
        <v>17211</v>
      </c>
      <c r="C8749" s="19">
        <f>1524.98/(1+B2)</f>
        <v>1524.98</v>
      </c>
      <c r="D8749" s="17" t="s">
        <v>11</v>
      </c>
      <c r="E8749" s="17"/>
      <c r="F8749" s="18"/>
      <c r="G8749" s="36" t="str">
        <f>IF(ISNUMBER(F8749),C8749*F8749,"")</f>
        <v/>
      </c>
    </row>
    <row r="8750" spans="1:7" ht="24" customHeight="1" outlineLevel="2" x14ac:dyDescent="0.2">
      <c r="A8750" s="14" t="s">
        <v>17212</v>
      </c>
      <c r="B8750" s="15" t="s">
        <v>17213</v>
      </c>
      <c r="C8750" s="19">
        <f>1136.06/(1+B2)</f>
        <v>1136.06</v>
      </c>
      <c r="D8750" s="17" t="s">
        <v>11</v>
      </c>
      <c r="E8750" s="17"/>
      <c r="F8750" s="18"/>
      <c r="G8750" s="36" t="str">
        <f>IF(ISNUMBER(F8750),C8750*F8750,"")</f>
        <v/>
      </c>
    </row>
    <row r="8751" spans="1:7" ht="12" customHeight="1" outlineLevel="2" x14ac:dyDescent="0.2">
      <c r="A8751" s="14" t="s">
        <v>17214</v>
      </c>
      <c r="B8751" s="15" t="s">
        <v>17215</v>
      </c>
      <c r="C8751" s="16">
        <f>942.08/(1+B2)</f>
        <v>942.08</v>
      </c>
      <c r="D8751" s="17" t="s">
        <v>11</v>
      </c>
      <c r="E8751" s="17"/>
      <c r="F8751" s="18"/>
      <c r="G8751" s="36" t="str">
        <f>IF(ISNUMBER(F8751),C8751*F8751,"")</f>
        <v/>
      </c>
    </row>
    <row r="8752" spans="1:7" ht="12" customHeight="1" outlineLevel="2" x14ac:dyDescent="0.2">
      <c r="A8752" s="14" t="s">
        <v>17216</v>
      </c>
      <c r="B8752" s="15" t="s">
        <v>17217</v>
      </c>
      <c r="C8752" s="16">
        <f>691.78/(1+B2)</f>
        <v>691.78</v>
      </c>
      <c r="D8752" s="17" t="s">
        <v>11</v>
      </c>
      <c r="E8752" s="17"/>
      <c r="F8752" s="18"/>
      <c r="G8752" s="36" t="str">
        <f>IF(ISNUMBER(F8752),C8752*F8752,"")</f>
        <v/>
      </c>
    </row>
    <row r="8753" spans="1:7" ht="12" customHeight="1" outlineLevel="2" x14ac:dyDescent="0.2">
      <c r="A8753" s="14" t="s">
        <v>17218</v>
      </c>
      <c r="B8753" s="15" t="s">
        <v>17219</v>
      </c>
      <c r="C8753" s="16">
        <f>754.27/(1+B2)</f>
        <v>754.27</v>
      </c>
      <c r="D8753" s="17" t="s">
        <v>11</v>
      </c>
      <c r="E8753" s="17"/>
      <c r="F8753" s="18"/>
      <c r="G8753" s="36" t="str">
        <f>IF(ISNUMBER(F8753),C8753*F8753,"")</f>
        <v/>
      </c>
    </row>
    <row r="8754" spans="1:7" ht="12" customHeight="1" outlineLevel="2" x14ac:dyDescent="0.2">
      <c r="A8754" s="14" t="s">
        <v>17220</v>
      </c>
      <c r="B8754" s="15" t="s">
        <v>17221</v>
      </c>
      <c r="C8754" s="16">
        <f>590.65/(1+B2)</f>
        <v>590.65</v>
      </c>
      <c r="D8754" s="17" t="s">
        <v>11</v>
      </c>
      <c r="E8754" s="17"/>
      <c r="F8754" s="18"/>
      <c r="G8754" s="36" t="str">
        <f>IF(ISNUMBER(F8754),C8754*F8754,"")</f>
        <v/>
      </c>
    </row>
    <row r="8755" spans="1:7" ht="12" customHeight="1" outlineLevel="2" x14ac:dyDescent="0.2">
      <c r="A8755" s="14" t="s">
        <v>17222</v>
      </c>
      <c r="B8755" s="15" t="s">
        <v>17223</v>
      </c>
      <c r="C8755" s="16">
        <f>769.73/(1+B2)</f>
        <v>769.73</v>
      </c>
      <c r="D8755" s="17" t="s">
        <v>11</v>
      </c>
      <c r="E8755" s="17" t="s">
        <v>11</v>
      </c>
      <c r="F8755" s="18"/>
      <c r="G8755" s="36" t="str">
        <f>IF(ISNUMBER(F8755),C8755*F8755,"")</f>
        <v/>
      </c>
    </row>
    <row r="8756" spans="1:7" ht="12" customHeight="1" outlineLevel="2" x14ac:dyDescent="0.2">
      <c r="A8756" s="14" t="s">
        <v>17224</v>
      </c>
      <c r="B8756" s="15" t="s">
        <v>17225</v>
      </c>
      <c r="C8756" s="19">
        <f>3009.12/(1+B2)</f>
        <v>3009.12</v>
      </c>
      <c r="D8756" s="17" t="s">
        <v>11</v>
      </c>
      <c r="E8756" s="17"/>
      <c r="F8756" s="18"/>
      <c r="G8756" s="36" t="str">
        <f>IF(ISNUMBER(F8756),C8756*F8756,"")</f>
        <v/>
      </c>
    </row>
    <row r="8757" spans="1:7" ht="12" customHeight="1" outlineLevel="2" x14ac:dyDescent="0.2">
      <c r="A8757" s="14" t="s">
        <v>17226</v>
      </c>
      <c r="B8757" s="15" t="s">
        <v>17227</v>
      </c>
      <c r="C8757" s="19">
        <f>3289.13/(1+B2)</f>
        <v>3289.13</v>
      </c>
      <c r="D8757" s="17" t="s">
        <v>11</v>
      </c>
      <c r="E8757" s="17"/>
      <c r="F8757" s="18"/>
      <c r="G8757" s="36" t="str">
        <f>IF(ISNUMBER(F8757),C8757*F8757,"")</f>
        <v/>
      </c>
    </row>
    <row r="8758" spans="1:7" ht="12" customHeight="1" outlineLevel="2" x14ac:dyDescent="0.2">
      <c r="A8758" s="14" t="s">
        <v>17228</v>
      </c>
      <c r="B8758" s="15" t="s">
        <v>17229</v>
      </c>
      <c r="C8758" s="19">
        <f>4529.18/(1+B2)</f>
        <v>4529.18</v>
      </c>
      <c r="D8758" s="17" t="s">
        <v>11</v>
      </c>
      <c r="E8758" s="17"/>
      <c r="F8758" s="18"/>
      <c r="G8758" s="36" t="str">
        <f>IF(ISNUMBER(F8758),C8758*F8758,"")</f>
        <v/>
      </c>
    </row>
    <row r="8759" spans="1:7" ht="12" customHeight="1" outlineLevel="2" x14ac:dyDescent="0.2">
      <c r="A8759" s="14" t="s">
        <v>17230</v>
      </c>
      <c r="B8759" s="15" t="s">
        <v>17231</v>
      </c>
      <c r="C8759" s="19">
        <f>4269.17/(1+B2)</f>
        <v>4269.17</v>
      </c>
      <c r="D8759" s="17" t="s">
        <v>11</v>
      </c>
      <c r="E8759" s="17"/>
      <c r="F8759" s="18"/>
      <c r="G8759" s="36" t="str">
        <f>IF(ISNUMBER(F8759),C8759*F8759,"")</f>
        <v/>
      </c>
    </row>
    <row r="8760" spans="1:7" ht="24" customHeight="1" outlineLevel="2" x14ac:dyDescent="0.2">
      <c r="A8760" s="14" t="s">
        <v>17232</v>
      </c>
      <c r="B8760" s="15" t="s">
        <v>17233</v>
      </c>
      <c r="C8760" s="19">
        <f>3976.56/(1+B2)</f>
        <v>3976.56</v>
      </c>
      <c r="D8760" s="17" t="s">
        <v>11</v>
      </c>
      <c r="E8760" s="17"/>
      <c r="F8760" s="18"/>
      <c r="G8760" s="36" t="str">
        <f>IF(ISNUMBER(F8760),C8760*F8760,"")</f>
        <v/>
      </c>
    </row>
    <row r="8761" spans="1:7" ht="12" customHeight="1" outlineLevel="2" x14ac:dyDescent="0.2">
      <c r="A8761" s="14" t="s">
        <v>17234</v>
      </c>
      <c r="B8761" s="15" t="s">
        <v>17235</v>
      </c>
      <c r="C8761" s="19">
        <f>2709.11/(1+B2)</f>
        <v>2709.11</v>
      </c>
      <c r="D8761" s="17" t="s">
        <v>11</v>
      </c>
      <c r="E8761" s="17"/>
      <c r="F8761" s="18"/>
      <c r="G8761" s="36" t="str">
        <f>IF(ISNUMBER(F8761),C8761*F8761,"")</f>
        <v/>
      </c>
    </row>
    <row r="8762" spans="1:7" ht="12" customHeight="1" outlineLevel="2" x14ac:dyDescent="0.2">
      <c r="A8762" s="14" t="s">
        <v>17236</v>
      </c>
      <c r="B8762" s="15" t="s">
        <v>17237</v>
      </c>
      <c r="C8762" s="19">
        <f>3227.3/(1+B2)</f>
        <v>3227.3</v>
      </c>
      <c r="D8762" s="17" t="s">
        <v>11</v>
      </c>
      <c r="E8762" s="17"/>
      <c r="F8762" s="18"/>
      <c r="G8762" s="36" t="str">
        <f>IF(ISNUMBER(F8762),C8762*F8762,"")</f>
        <v/>
      </c>
    </row>
    <row r="8763" spans="1:7" s="1" customFormat="1" ht="15.95" customHeight="1" outlineLevel="1" x14ac:dyDescent="0.25">
      <c r="A8763" s="11"/>
      <c r="B8763" s="12" t="s">
        <v>17238</v>
      </c>
      <c r="C8763" s="13"/>
      <c r="D8763" s="13"/>
      <c r="E8763" s="13"/>
      <c r="F8763" s="13"/>
      <c r="G8763" s="35"/>
    </row>
    <row r="8764" spans="1:7" ht="12" customHeight="1" outlineLevel="2" x14ac:dyDescent="0.2">
      <c r="A8764" s="14" t="s">
        <v>17239</v>
      </c>
      <c r="B8764" s="15" t="s">
        <v>17240</v>
      </c>
      <c r="C8764" s="16">
        <f>60.83/(1+B2)</f>
        <v>60.83</v>
      </c>
      <c r="D8764" s="17" t="s">
        <v>11</v>
      </c>
      <c r="E8764" s="17" t="s">
        <v>14</v>
      </c>
      <c r="F8764" s="18"/>
      <c r="G8764" s="36" t="str">
        <f>IF(ISNUMBER(F8764),C8764*F8764,"")</f>
        <v/>
      </c>
    </row>
    <row r="8765" spans="1:7" ht="12" customHeight="1" outlineLevel="2" x14ac:dyDescent="0.2">
      <c r="A8765" s="14" t="s">
        <v>17241</v>
      </c>
      <c r="B8765" s="15" t="s">
        <v>17242</v>
      </c>
      <c r="C8765" s="16">
        <f>109.59/(1+B2)</f>
        <v>109.59</v>
      </c>
      <c r="D8765" s="17" t="s">
        <v>11</v>
      </c>
      <c r="E8765" s="17" t="s">
        <v>11</v>
      </c>
      <c r="F8765" s="18"/>
      <c r="G8765" s="36" t="str">
        <f>IF(ISNUMBER(F8765),C8765*F8765,"")</f>
        <v/>
      </c>
    </row>
    <row r="8766" spans="1:7" ht="12" customHeight="1" outlineLevel="2" x14ac:dyDescent="0.2">
      <c r="A8766" s="14" t="s">
        <v>17243</v>
      </c>
      <c r="B8766" s="15" t="s">
        <v>17244</v>
      </c>
      <c r="C8766" s="16">
        <f>75.21/(1+B2)</f>
        <v>75.209999999999994</v>
      </c>
      <c r="D8766" s="17" t="s">
        <v>11</v>
      </c>
      <c r="E8766" s="17" t="s">
        <v>14</v>
      </c>
      <c r="F8766" s="18"/>
      <c r="G8766" s="36" t="str">
        <f>IF(ISNUMBER(F8766),C8766*F8766,"")</f>
        <v/>
      </c>
    </row>
    <row r="8767" spans="1:7" ht="12" customHeight="1" outlineLevel="2" x14ac:dyDescent="0.2">
      <c r="A8767" s="14" t="s">
        <v>17245</v>
      </c>
      <c r="B8767" s="15" t="s">
        <v>17246</v>
      </c>
      <c r="C8767" s="16">
        <f>148.45/(1+B2)</f>
        <v>148.44999999999999</v>
      </c>
      <c r="D8767" s="17" t="s">
        <v>11</v>
      </c>
      <c r="E8767" s="17" t="s">
        <v>11</v>
      </c>
      <c r="F8767" s="18"/>
      <c r="G8767" s="36" t="str">
        <f>IF(ISNUMBER(F8767),C8767*F8767,"")</f>
        <v/>
      </c>
    </row>
    <row r="8768" spans="1:7" ht="12" customHeight="1" outlineLevel="2" x14ac:dyDescent="0.2">
      <c r="A8768" s="14" t="s">
        <v>17247</v>
      </c>
      <c r="B8768" s="15" t="s">
        <v>17248</v>
      </c>
      <c r="C8768" s="16">
        <f>37.27/(1+B2)</f>
        <v>37.270000000000003</v>
      </c>
      <c r="D8768" s="17" t="s">
        <v>14</v>
      </c>
      <c r="E8768" s="17" t="s">
        <v>14</v>
      </c>
      <c r="F8768" s="18"/>
      <c r="G8768" s="36" t="str">
        <f>IF(ISNUMBER(F8768),C8768*F8768,"")</f>
        <v/>
      </c>
    </row>
    <row r="8769" spans="1:7" ht="12" customHeight="1" outlineLevel="2" x14ac:dyDescent="0.2">
      <c r="A8769" s="14" t="s">
        <v>17249</v>
      </c>
      <c r="B8769" s="15" t="s">
        <v>17250</v>
      </c>
      <c r="C8769" s="16">
        <f>80.76/(1+B2)</f>
        <v>80.760000000000005</v>
      </c>
      <c r="D8769" s="17" t="s">
        <v>11</v>
      </c>
      <c r="E8769" s="17" t="s">
        <v>14</v>
      </c>
      <c r="F8769" s="18"/>
      <c r="G8769" s="36" t="str">
        <f>IF(ISNUMBER(F8769),C8769*F8769,"")</f>
        <v/>
      </c>
    </row>
    <row r="8770" spans="1:7" ht="12" customHeight="1" outlineLevel="2" x14ac:dyDescent="0.2">
      <c r="A8770" s="14" t="s">
        <v>17251</v>
      </c>
      <c r="B8770" s="15" t="s">
        <v>17252</v>
      </c>
      <c r="C8770" s="16">
        <f>119.9/(1+B2)</f>
        <v>119.9</v>
      </c>
      <c r="D8770" s="17" t="s">
        <v>11</v>
      </c>
      <c r="E8770" s="17" t="s">
        <v>14</v>
      </c>
      <c r="F8770" s="18"/>
      <c r="G8770" s="36" t="str">
        <f>IF(ISNUMBER(F8770),C8770*F8770,"")</f>
        <v/>
      </c>
    </row>
    <row r="8771" spans="1:7" ht="12" customHeight="1" outlineLevel="2" x14ac:dyDescent="0.2">
      <c r="A8771" s="14" t="s">
        <v>17253</v>
      </c>
      <c r="B8771" s="15" t="s">
        <v>17254</v>
      </c>
      <c r="C8771" s="16">
        <f>165.58/(1+B2)</f>
        <v>165.58</v>
      </c>
      <c r="D8771" s="17" t="s">
        <v>11</v>
      </c>
      <c r="E8771" s="17" t="s">
        <v>11</v>
      </c>
      <c r="F8771" s="18"/>
      <c r="G8771" s="36" t="str">
        <f>IF(ISNUMBER(F8771),C8771*F8771,"")</f>
        <v/>
      </c>
    </row>
    <row r="8772" spans="1:7" ht="12" customHeight="1" outlineLevel="2" x14ac:dyDescent="0.2">
      <c r="A8772" s="14" t="s">
        <v>17255</v>
      </c>
      <c r="B8772" s="15" t="s">
        <v>17256</v>
      </c>
      <c r="C8772" s="16">
        <f>308.28/(1+B2)</f>
        <v>308.27999999999997</v>
      </c>
      <c r="D8772" s="17" t="s">
        <v>14</v>
      </c>
      <c r="E8772" s="17" t="s">
        <v>14</v>
      </c>
      <c r="F8772" s="18"/>
      <c r="G8772" s="36" t="str">
        <f>IF(ISNUMBER(F8772),C8772*F8772,"")</f>
        <v/>
      </c>
    </row>
    <row r="8773" spans="1:7" ht="12" customHeight="1" outlineLevel="2" x14ac:dyDescent="0.2">
      <c r="A8773" s="14" t="s">
        <v>17257</v>
      </c>
      <c r="B8773" s="15" t="s">
        <v>17258</v>
      </c>
      <c r="C8773" s="16">
        <f>108.38/(1+B2)</f>
        <v>108.38</v>
      </c>
      <c r="D8773" s="17" t="s">
        <v>11</v>
      </c>
      <c r="E8773" s="17" t="s">
        <v>11</v>
      </c>
      <c r="F8773" s="18"/>
      <c r="G8773" s="36" t="str">
        <f>IF(ISNUMBER(F8773),C8773*F8773,"")</f>
        <v/>
      </c>
    </row>
    <row r="8774" spans="1:7" ht="12" customHeight="1" outlineLevel="2" x14ac:dyDescent="0.2">
      <c r="A8774" s="14" t="s">
        <v>17259</v>
      </c>
      <c r="B8774" s="15" t="s">
        <v>17260</v>
      </c>
      <c r="C8774" s="16">
        <f>207.22/(1+B2)</f>
        <v>207.22</v>
      </c>
      <c r="D8774" s="17" t="s">
        <v>11</v>
      </c>
      <c r="E8774" s="17" t="s">
        <v>14</v>
      </c>
      <c r="F8774" s="18"/>
      <c r="G8774" s="36" t="str">
        <f>IF(ISNUMBER(F8774),C8774*F8774,"")</f>
        <v/>
      </c>
    </row>
    <row r="8775" spans="1:7" ht="24" customHeight="1" outlineLevel="2" x14ac:dyDescent="0.2">
      <c r="A8775" s="14" t="s">
        <v>17261</v>
      </c>
      <c r="B8775" s="15" t="s">
        <v>17262</v>
      </c>
      <c r="C8775" s="16">
        <f>159.01/(1+B2)</f>
        <v>159.01</v>
      </c>
      <c r="D8775" s="17" t="s">
        <v>11</v>
      </c>
      <c r="E8775" s="17" t="s">
        <v>14</v>
      </c>
      <c r="F8775" s="18"/>
      <c r="G8775" s="36" t="str">
        <f>IF(ISNUMBER(F8775),C8775*F8775,"")</f>
        <v/>
      </c>
    </row>
    <row r="8776" spans="1:7" ht="12" customHeight="1" outlineLevel="2" x14ac:dyDescent="0.2">
      <c r="A8776" s="14" t="s">
        <v>17263</v>
      </c>
      <c r="B8776" s="15" t="s">
        <v>17264</v>
      </c>
      <c r="C8776" s="16">
        <f>35.47/(1+B2)</f>
        <v>35.47</v>
      </c>
      <c r="D8776" s="17" t="s">
        <v>14</v>
      </c>
      <c r="E8776" s="17"/>
      <c r="F8776" s="18"/>
      <c r="G8776" s="36" t="str">
        <f>IF(ISNUMBER(F8776),C8776*F8776,"")</f>
        <v/>
      </c>
    </row>
    <row r="8777" spans="1:7" ht="12" customHeight="1" outlineLevel="2" x14ac:dyDescent="0.2">
      <c r="A8777" s="14" t="s">
        <v>17265</v>
      </c>
      <c r="B8777" s="15" t="s">
        <v>17266</v>
      </c>
      <c r="C8777" s="16">
        <f>311.56/(1+B2)</f>
        <v>311.56</v>
      </c>
      <c r="D8777" s="17" t="s">
        <v>11</v>
      </c>
      <c r="E8777" s="17" t="s">
        <v>11</v>
      </c>
      <c r="F8777" s="18"/>
      <c r="G8777" s="36" t="str">
        <f>IF(ISNUMBER(F8777),C8777*F8777,"")</f>
        <v/>
      </c>
    </row>
    <row r="8778" spans="1:7" ht="12" customHeight="1" outlineLevel="2" x14ac:dyDescent="0.2">
      <c r="A8778" s="14" t="s">
        <v>17267</v>
      </c>
      <c r="B8778" s="15" t="s">
        <v>17268</v>
      </c>
      <c r="C8778" s="16">
        <f>546.78/(1+B2)</f>
        <v>546.78</v>
      </c>
      <c r="D8778" s="17" t="s">
        <v>11</v>
      </c>
      <c r="E8778" s="17"/>
      <c r="F8778" s="18"/>
      <c r="G8778" s="36" t="str">
        <f>IF(ISNUMBER(F8778),C8778*F8778,"")</f>
        <v/>
      </c>
    </row>
    <row r="8779" spans="1:7" ht="12" customHeight="1" outlineLevel="2" x14ac:dyDescent="0.2">
      <c r="A8779" s="14" t="s">
        <v>17269</v>
      </c>
      <c r="B8779" s="15" t="s">
        <v>17270</v>
      </c>
      <c r="C8779" s="16">
        <f>546.78/(1+B2)</f>
        <v>546.78</v>
      </c>
      <c r="D8779" s="17" t="s">
        <v>11</v>
      </c>
      <c r="E8779" s="17"/>
      <c r="F8779" s="18"/>
      <c r="G8779" s="36" t="str">
        <f>IF(ISNUMBER(F8779),C8779*F8779,"")</f>
        <v/>
      </c>
    </row>
    <row r="8780" spans="1:7" ht="12" customHeight="1" outlineLevel="2" x14ac:dyDescent="0.2">
      <c r="A8780" s="14" t="s">
        <v>17271</v>
      </c>
      <c r="B8780" s="15" t="s">
        <v>17272</v>
      </c>
      <c r="C8780" s="16">
        <f>369.01/(1+B2)</f>
        <v>369.01</v>
      </c>
      <c r="D8780" s="17" t="s">
        <v>11</v>
      </c>
      <c r="E8780" s="17"/>
      <c r="F8780" s="18"/>
      <c r="G8780" s="36" t="str">
        <f>IF(ISNUMBER(F8780),C8780*F8780,"")</f>
        <v/>
      </c>
    </row>
    <row r="8781" spans="1:7" ht="12" customHeight="1" outlineLevel="2" x14ac:dyDescent="0.2">
      <c r="A8781" s="14" t="s">
        <v>17273</v>
      </c>
      <c r="B8781" s="15" t="s">
        <v>17274</v>
      </c>
      <c r="C8781" s="16">
        <f>737.03/(1+B2)</f>
        <v>737.03</v>
      </c>
      <c r="D8781" s="17" t="s">
        <v>11</v>
      </c>
      <c r="E8781" s="17"/>
      <c r="F8781" s="18"/>
      <c r="G8781" s="36" t="str">
        <f>IF(ISNUMBER(F8781),C8781*F8781,"")</f>
        <v/>
      </c>
    </row>
    <row r="8782" spans="1:7" ht="24" customHeight="1" outlineLevel="2" x14ac:dyDescent="0.2">
      <c r="A8782" s="14" t="s">
        <v>17275</v>
      </c>
      <c r="B8782" s="15" t="s">
        <v>17276</v>
      </c>
      <c r="C8782" s="16">
        <f>349.01/(1+B2)</f>
        <v>349.01</v>
      </c>
      <c r="D8782" s="17" t="s">
        <v>11</v>
      </c>
      <c r="E8782" s="17" t="s">
        <v>11</v>
      </c>
      <c r="F8782" s="18"/>
      <c r="G8782" s="36" t="str">
        <f>IF(ISNUMBER(F8782),C8782*F8782,"")</f>
        <v/>
      </c>
    </row>
    <row r="8783" spans="1:7" ht="12" customHeight="1" outlineLevel="2" x14ac:dyDescent="0.2">
      <c r="A8783" s="14" t="s">
        <v>17277</v>
      </c>
      <c r="B8783" s="15" t="s">
        <v>17278</v>
      </c>
      <c r="C8783" s="16">
        <f>276.35/(1+B2)</f>
        <v>276.35000000000002</v>
      </c>
      <c r="D8783" s="17" t="s">
        <v>11</v>
      </c>
      <c r="E8783" s="17" t="s">
        <v>11</v>
      </c>
      <c r="F8783" s="18"/>
      <c r="G8783" s="36" t="str">
        <f>IF(ISNUMBER(F8783),C8783*F8783,"")</f>
        <v/>
      </c>
    </row>
    <row r="8784" spans="1:7" ht="12" customHeight="1" outlineLevel="2" x14ac:dyDescent="0.2">
      <c r="A8784" s="14" t="s">
        <v>17279</v>
      </c>
      <c r="B8784" s="15" t="s">
        <v>17280</v>
      </c>
      <c r="C8784" s="16">
        <f>257.16/(1+B2)</f>
        <v>257.16000000000003</v>
      </c>
      <c r="D8784" s="17" t="s">
        <v>11</v>
      </c>
      <c r="E8784" s="17" t="s">
        <v>11</v>
      </c>
      <c r="F8784" s="18"/>
      <c r="G8784" s="36" t="str">
        <f>IF(ISNUMBER(F8784),C8784*F8784,"")</f>
        <v/>
      </c>
    </row>
    <row r="8785" spans="1:7" ht="24" customHeight="1" outlineLevel="2" x14ac:dyDescent="0.2">
      <c r="A8785" s="14" t="s">
        <v>17281</v>
      </c>
      <c r="B8785" s="15" t="s">
        <v>17282</v>
      </c>
      <c r="C8785" s="16">
        <f>228.42/(1+B2)</f>
        <v>228.42</v>
      </c>
      <c r="D8785" s="17" t="s">
        <v>11</v>
      </c>
      <c r="E8785" s="17"/>
      <c r="F8785" s="18"/>
      <c r="G8785" s="36" t="str">
        <f>IF(ISNUMBER(F8785),C8785*F8785,"")</f>
        <v/>
      </c>
    </row>
    <row r="8786" spans="1:7" ht="12" customHeight="1" outlineLevel="2" x14ac:dyDescent="0.2">
      <c r="A8786" s="14" t="s">
        <v>17283</v>
      </c>
      <c r="B8786" s="15" t="s">
        <v>17284</v>
      </c>
      <c r="C8786" s="16">
        <f>242.87/(1+B2)</f>
        <v>242.87</v>
      </c>
      <c r="D8786" s="17" t="s">
        <v>11</v>
      </c>
      <c r="E8786" s="17"/>
      <c r="F8786" s="18"/>
      <c r="G8786" s="36" t="str">
        <f>IF(ISNUMBER(F8786),C8786*F8786,"")</f>
        <v/>
      </c>
    </row>
    <row r="8787" spans="1:7" ht="12" customHeight="1" outlineLevel="2" x14ac:dyDescent="0.2">
      <c r="A8787" s="14" t="s">
        <v>17285</v>
      </c>
      <c r="B8787" s="15" t="s">
        <v>17286</v>
      </c>
      <c r="C8787" s="16">
        <f>329.85/(1+B2)</f>
        <v>329.85</v>
      </c>
      <c r="D8787" s="17" t="s">
        <v>11</v>
      </c>
      <c r="E8787" s="17"/>
      <c r="F8787" s="18"/>
      <c r="G8787" s="36" t="str">
        <f>IF(ISNUMBER(F8787),C8787*F8787,"")</f>
        <v/>
      </c>
    </row>
    <row r="8788" spans="1:7" ht="12" customHeight="1" outlineLevel="2" x14ac:dyDescent="0.2">
      <c r="A8788" s="14" t="s">
        <v>17287</v>
      </c>
      <c r="B8788" s="15" t="s">
        <v>17288</v>
      </c>
      <c r="C8788" s="16">
        <f>375.12/(1+B2)</f>
        <v>375.12</v>
      </c>
      <c r="D8788" s="17" t="s">
        <v>11</v>
      </c>
      <c r="E8788" s="17"/>
      <c r="F8788" s="18"/>
      <c r="G8788" s="36" t="str">
        <f>IF(ISNUMBER(F8788),C8788*F8788,"")</f>
        <v/>
      </c>
    </row>
    <row r="8789" spans="1:7" ht="12" customHeight="1" outlineLevel="2" x14ac:dyDescent="0.2">
      <c r="A8789" s="14" t="s">
        <v>17289</v>
      </c>
      <c r="B8789" s="15" t="s">
        <v>17290</v>
      </c>
      <c r="C8789" s="16">
        <f>348.29/(1+B2)</f>
        <v>348.29</v>
      </c>
      <c r="D8789" s="17" t="s">
        <v>11</v>
      </c>
      <c r="E8789" s="17" t="s">
        <v>11</v>
      </c>
      <c r="F8789" s="18"/>
      <c r="G8789" s="36" t="str">
        <f>IF(ISNUMBER(F8789),C8789*F8789,"")</f>
        <v/>
      </c>
    </row>
    <row r="8790" spans="1:7" ht="12" customHeight="1" outlineLevel="2" x14ac:dyDescent="0.2">
      <c r="A8790" s="14" t="s">
        <v>17291</v>
      </c>
      <c r="B8790" s="15" t="s">
        <v>17292</v>
      </c>
      <c r="C8790" s="16">
        <f>106/(1+B2)</f>
        <v>106</v>
      </c>
      <c r="D8790" s="17" t="s">
        <v>11</v>
      </c>
      <c r="E8790" s="17" t="s">
        <v>11</v>
      </c>
      <c r="F8790" s="18"/>
      <c r="G8790" s="36" t="str">
        <f>IF(ISNUMBER(F8790),C8790*F8790,"")</f>
        <v/>
      </c>
    </row>
    <row r="8791" spans="1:7" ht="12" customHeight="1" outlineLevel="2" x14ac:dyDescent="0.2">
      <c r="A8791" s="14" t="s">
        <v>17293</v>
      </c>
      <c r="B8791" s="15" t="s">
        <v>17294</v>
      </c>
      <c r="C8791" s="16">
        <f>252.01/(1+B2)</f>
        <v>252.01</v>
      </c>
      <c r="D8791" s="17" t="s">
        <v>11</v>
      </c>
      <c r="E8791" s="17" t="s">
        <v>11</v>
      </c>
      <c r="F8791" s="18"/>
      <c r="G8791" s="36" t="str">
        <f>IF(ISNUMBER(F8791),C8791*F8791,"")</f>
        <v/>
      </c>
    </row>
    <row r="8792" spans="1:7" ht="12" customHeight="1" outlineLevel="2" x14ac:dyDescent="0.2">
      <c r="A8792" s="14" t="s">
        <v>17295</v>
      </c>
      <c r="B8792" s="15" t="s">
        <v>17296</v>
      </c>
      <c r="C8792" s="19">
        <f>1228.43/(1+B2)</f>
        <v>1228.43</v>
      </c>
      <c r="D8792" s="17" t="s">
        <v>11</v>
      </c>
      <c r="E8792" s="17"/>
      <c r="F8792" s="18"/>
      <c r="G8792" s="36" t="str">
        <f>IF(ISNUMBER(F8792),C8792*F8792,"")</f>
        <v/>
      </c>
    </row>
    <row r="8793" spans="1:7" ht="12" customHeight="1" outlineLevel="2" x14ac:dyDescent="0.2">
      <c r="A8793" s="14" t="s">
        <v>17297</v>
      </c>
      <c r="B8793" s="15" t="s">
        <v>17298</v>
      </c>
      <c r="C8793" s="16">
        <f>605.56/(1+B2)</f>
        <v>605.55999999999995</v>
      </c>
      <c r="D8793" s="17" t="s">
        <v>11</v>
      </c>
      <c r="E8793" s="17" t="s">
        <v>11</v>
      </c>
      <c r="F8793" s="18"/>
      <c r="G8793" s="36" t="str">
        <f>IF(ISNUMBER(F8793),C8793*F8793,"")</f>
        <v/>
      </c>
    </row>
    <row r="8794" spans="1:7" ht="12" customHeight="1" outlineLevel="2" x14ac:dyDescent="0.2">
      <c r="A8794" s="14" t="s">
        <v>17299</v>
      </c>
      <c r="B8794" s="15" t="s">
        <v>17300</v>
      </c>
      <c r="C8794" s="19">
        <f>1007.14/(1+B2)</f>
        <v>1007.14</v>
      </c>
      <c r="D8794" s="17" t="s">
        <v>11</v>
      </c>
      <c r="E8794" s="17"/>
      <c r="F8794" s="18"/>
      <c r="G8794" s="36" t="str">
        <f>IF(ISNUMBER(F8794),C8794*F8794,"")</f>
        <v/>
      </c>
    </row>
    <row r="8795" spans="1:7" ht="12" customHeight="1" outlineLevel="2" x14ac:dyDescent="0.2">
      <c r="A8795" s="14" t="s">
        <v>17301</v>
      </c>
      <c r="B8795" s="15" t="s">
        <v>17302</v>
      </c>
      <c r="C8795" s="16">
        <f>848.88/(1+B2)</f>
        <v>848.88</v>
      </c>
      <c r="D8795" s="17" t="s">
        <v>11</v>
      </c>
      <c r="E8795" s="17"/>
      <c r="F8795" s="18"/>
      <c r="G8795" s="36" t="str">
        <f>IF(ISNUMBER(F8795),C8795*F8795,"")</f>
        <v/>
      </c>
    </row>
    <row r="8796" spans="1:7" ht="12" customHeight="1" outlineLevel="2" x14ac:dyDescent="0.2">
      <c r="A8796" s="14" t="s">
        <v>17303</v>
      </c>
      <c r="B8796" s="15" t="s">
        <v>17304</v>
      </c>
      <c r="C8796" s="16">
        <f>738.48/(1+B2)</f>
        <v>738.48</v>
      </c>
      <c r="D8796" s="17" t="s">
        <v>11</v>
      </c>
      <c r="E8796" s="17"/>
      <c r="F8796" s="18"/>
      <c r="G8796" s="36" t="str">
        <f>IF(ISNUMBER(F8796),C8796*F8796,"")</f>
        <v/>
      </c>
    </row>
    <row r="8797" spans="1:7" ht="12" customHeight="1" outlineLevel="2" x14ac:dyDescent="0.2">
      <c r="A8797" s="14" t="s">
        <v>17305</v>
      </c>
      <c r="B8797" s="15" t="s">
        <v>17306</v>
      </c>
      <c r="C8797" s="16">
        <f>681.09/(1+B2)</f>
        <v>681.09</v>
      </c>
      <c r="D8797" s="17" t="s">
        <v>11</v>
      </c>
      <c r="E8797" s="17" t="s">
        <v>11</v>
      </c>
      <c r="F8797" s="18"/>
      <c r="G8797" s="36" t="str">
        <f>IF(ISNUMBER(F8797),C8797*F8797,"")</f>
        <v/>
      </c>
    </row>
    <row r="8798" spans="1:7" ht="12" customHeight="1" outlineLevel="2" x14ac:dyDescent="0.2">
      <c r="A8798" s="14" t="s">
        <v>17307</v>
      </c>
      <c r="B8798" s="15" t="s">
        <v>17308</v>
      </c>
      <c r="C8798" s="19">
        <f>1024.69/(1+B2)</f>
        <v>1024.69</v>
      </c>
      <c r="D8798" s="17" t="s">
        <v>11</v>
      </c>
      <c r="E8798" s="17"/>
      <c r="F8798" s="18"/>
      <c r="G8798" s="36" t="str">
        <f>IF(ISNUMBER(F8798),C8798*F8798,"")</f>
        <v/>
      </c>
    </row>
    <row r="8799" spans="1:7" ht="12" customHeight="1" outlineLevel="2" x14ac:dyDescent="0.2">
      <c r="A8799" s="14" t="s">
        <v>17309</v>
      </c>
      <c r="B8799" s="15" t="s">
        <v>17310</v>
      </c>
      <c r="C8799" s="19">
        <f>1024.69/(1+B2)</f>
        <v>1024.69</v>
      </c>
      <c r="D8799" s="17" t="s">
        <v>11</v>
      </c>
      <c r="E8799" s="17"/>
      <c r="F8799" s="18"/>
      <c r="G8799" s="36" t="str">
        <f>IF(ISNUMBER(F8799),C8799*F8799,"")</f>
        <v/>
      </c>
    </row>
    <row r="8800" spans="1:7" ht="12" customHeight="1" outlineLevel="2" x14ac:dyDescent="0.2">
      <c r="A8800" s="14" t="s">
        <v>17311</v>
      </c>
      <c r="B8800" s="15" t="s">
        <v>17312</v>
      </c>
      <c r="C8800" s="19">
        <f>1186.7/(1+B2)</f>
        <v>1186.7</v>
      </c>
      <c r="D8800" s="17" t="s">
        <v>11</v>
      </c>
      <c r="E8800" s="17"/>
      <c r="F8800" s="18"/>
      <c r="G8800" s="36" t="str">
        <f>IF(ISNUMBER(F8800),C8800*F8800,"")</f>
        <v/>
      </c>
    </row>
    <row r="8801" spans="1:7" ht="12" customHeight="1" outlineLevel="2" x14ac:dyDescent="0.2">
      <c r="A8801" s="14" t="s">
        <v>17313</v>
      </c>
      <c r="B8801" s="15" t="s">
        <v>17314</v>
      </c>
      <c r="C8801" s="16">
        <f>509.02/(1+B2)</f>
        <v>509.02</v>
      </c>
      <c r="D8801" s="17" t="s">
        <v>11</v>
      </c>
      <c r="E8801" s="17"/>
      <c r="F8801" s="18"/>
      <c r="G8801" s="36" t="str">
        <f>IF(ISNUMBER(F8801),C8801*F8801,"")</f>
        <v/>
      </c>
    </row>
    <row r="8802" spans="1:7" ht="12" customHeight="1" outlineLevel="2" x14ac:dyDescent="0.2">
      <c r="A8802" s="14" t="s">
        <v>17315</v>
      </c>
      <c r="B8802" s="15" t="s">
        <v>17316</v>
      </c>
      <c r="C8802" s="16">
        <f>463.02/(1+B2)</f>
        <v>463.02</v>
      </c>
      <c r="D8802" s="17" t="s">
        <v>11</v>
      </c>
      <c r="E8802" s="17" t="s">
        <v>11</v>
      </c>
      <c r="F8802" s="18"/>
      <c r="G8802" s="36" t="str">
        <f>IF(ISNUMBER(F8802),C8802*F8802,"")</f>
        <v/>
      </c>
    </row>
    <row r="8803" spans="1:7" ht="12" customHeight="1" outlineLevel="2" x14ac:dyDescent="0.2">
      <c r="A8803" s="14" t="s">
        <v>17317</v>
      </c>
      <c r="B8803" s="15" t="s">
        <v>17318</v>
      </c>
      <c r="C8803" s="16">
        <f>449.02/(1+B2)</f>
        <v>449.02</v>
      </c>
      <c r="D8803" s="17" t="s">
        <v>11</v>
      </c>
      <c r="E8803" s="17"/>
      <c r="F8803" s="18"/>
      <c r="G8803" s="36" t="str">
        <f>IF(ISNUMBER(F8803),C8803*F8803,"")</f>
        <v/>
      </c>
    </row>
    <row r="8804" spans="1:7" ht="12" customHeight="1" outlineLevel="2" x14ac:dyDescent="0.2">
      <c r="A8804" s="14" t="s">
        <v>17319</v>
      </c>
      <c r="B8804" s="15" t="s">
        <v>17320</v>
      </c>
      <c r="C8804" s="16">
        <f>439.02/(1+B2)</f>
        <v>439.02</v>
      </c>
      <c r="D8804" s="17" t="s">
        <v>11</v>
      </c>
      <c r="E8804" s="17" t="s">
        <v>11</v>
      </c>
      <c r="F8804" s="18"/>
      <c r="G8804" s="36" t="str">
        <f>IF(ISNUMBER(F8804),C8804*F8804,"")</f>
        <v/>
      </c>
    </row>
    <row r="8805" spans="1:7" ht="12" customHeight="1" outlineLevel="2" x14ac:dyDescent="0.2">
      <c r="A8805" s="14" t="s">
        <v>17321</v>
      </c>
      <c r="B8805" s="15" t="s">
        <v>17322</v>
      </c>
      <c r="C8805" s="16">
        <f>442.02/(1+B2)</f>
        <v>442.02</v>
      </c>
      <c r="D8805" s="17" t="s">
        <v>11</v>
      </c>
      <c r="E8805" s="17"/>
      <c r="F8805" s="18"/>
      <c r="G8805" s="36" t="str">
        <f>IF(ISNUMBER(F8805),C8805*F8805,"")</f>
        <v/>
      </c>
    </row>
    <row r="8806" spans="1:7" ht="12" customHeight="1" outlineLevel="2" x14ac:dyDescent="0.2">
      <c r="A8806" s="14" t="s">
        <v>17323</v>
      </c>
      <c r="B8806" s="15" t="s">
        <v>17324</v>
      </c>
      <c r="C8806" s="16">
        <f>297.01/(1+B2)</f>
        <v>297.01</v>
      </c>
      <c r="D8806" s="17" t="s">
        <v>11</v>
      </c>
      <c r="E8806" s="17"/>
      <c r="F8806" s="18"/>
      <c r="G8806" s="36" t="str">
        <f>IF(ISNUMBER(F8806),C8806*F8806,"")</f>
        <v/>
      </c>
    </row>
    <row r="8807" spans="1:7" ht="12" customHeight="1" outlineLevel="2" x14ac:dyDescent="0.2">
      <c r="A8807" s="14" t="s">
        <v>17325</v>
      </c>
      <c r="B8807" s="15" t="s">
        <v>17326</v>
      </c>
      <c r="C8807" s="16">
        <f>490.82/(1+B2)</f>
        <v>490.82</v>
      </c>
      <c r="D8807" s="17" t="s">
        <v>11</v>
      </c>
      <c r="E8807" s="17" t="s">
        <v>11</v>
      </c>
      <c r="F8807" s="18"/>
      <c r="G8807" s="36" t="str">
        <f>IF(ISNUMBER(F8807),C8807*F8807,"")</f>
        <v/>
      </c>
    </row>
    <row r="8808" spans="1:7" ht="12" customHeight="1" outlineLevel="2" x14ac:dyDescent="0.2">
      <c r="A8808" s="14" t="s">
        <v>17327</v>
      </c>
      <c r="B8808" s="15" t="s">
        <v>17328</v>
      </c>
      <c r="C8808" s="16">
        <f>228.38/(1+B2)</f>
        <v>228.38</v>
      </c>
      <c r="D8808" s="17" t="s">
        <v>11</v>
      </c>
      <c r="E8808" s="17" t="s">
        <v>11</v>
      </c>
      <c r="F8808" s="18"/>
      <c r="G8808" s="36" t="str">
        <f>IF(ISNUMBER(F8808),C8808*F8808,"")</f>
        <v/>
      </c>
    </row>
    <row r="8809" spans="1:7" ht="12" customHeight="1" outlineLevel="2" x14ac:dyDescent="0.2">
      <c r="A8809" s="14" t="s">
        <v>17329</v>
      </c>
      <c r="B8809" s="15" t="s">
        <v>17330</v>
      </c>
      <c r="C8809" s="16">
        <f>610.25/(1+B2)</f>
        <v>610.25</v>
      </c>
      <c r="D8809" s="17" t="s">
        <v>11</v>
      </c>
      <c r="E8809" s="17"/>
      <c r="F8809" s="18"/>
      <c r="G8809" s="36" t="str">
        <f>IF(ISNUMBER(F8809),C8809*F8809,"")</f>
        <v/>
      </c>
    </row>
    <row r="8810" spans="1:7" ht="12" customHeight="1" outlineLevel="2" x14ac:dyDescent="0.2">
      <c r="A8810" s="14" t="s">
        <v>17331</v>
      </c>
      <c r="B8810" s="15" t="s">
        <v>17332</v>
      </c>
      <c r="C8810" s="16">
        <f>381.51/(1+B2)</f>
        <v>381.51</v>
      </c>
      <c r="D8810" s="17" t="s">
        <v>11</v>
      </c>
      <c r="E8810" s="17"/>
      <c r="F8810" s="18"/>
      <c r="G8810" s="36" t="str">
        <f>IF(ISNUMBER(F8810),C8810*F8810,"")</f>
        <v/>
      </c>
    </row>
    <row r="8811" spans="1:7" ht="12" customHeight="1" outlineLevel="2" x14ac:dyDescent="0.2">
      <c r="A8811" s="14" t="s">
        <v>17333</v>
      </c>
      <c r="B8811" s="15" t="s">
        <v>17334</v>
      </c>
      <c r="C8811" s="16">
        <f>653.68/(1+B2)</f>
        <v>653.67999999999995</v>
      </c>
      <c r="D8811" s="17" t="s">
        <v>11</v>
      </c>
      <c r="E8811" s="17" t="s">
        <v>11</v>
      </c>
      <c r="F8811" s="18"/>
      <c r="G8811" s="36" t="str">
        <f>IF(ISNUMBER(F8811),C8811*F8811,"")</f>
        <v/>
      </c>
    </row>
    <row r="8812" spans="1:7" ht="12" customHeight="1" outlineLevel="2" x14ac:dyDescent="0.2">
      <c r="A8812" s="14" t="s">
        <v>17335</v>
      </c>
      <c r="B8812" s="15" t="s">
        <v>17336</v>
      </c>
      <c r="C8812" s="16">
        <f>536.64/(1+B2)</f>
        <v>536.64</v>
      </c>
      <c r="D8812" s="17" t="s">
        <v>11</v>
      </c>
      <c r="E8812" s="17"/>
      <c r="F8812" s="18"/>
      <c r="G8812" s="36" t="str">
        <f>IF(ISNUMBER(F8812),C8812*F8812,"")</f>
        <v/>
      </c>
    </row>
    <row r="8813" spans="1:7" ht="12" customHeight="1" outlineLevel="2" x14ac:dyDescent="0.2">
      <c r="A8813" s="14" t="s">
        <v>17337</v>
      </c>
      <c r="B8813" s="15" t="s">
        <v>17338</v>
      </c>
      <c r="C8813" s="16">
        <f>432.65/(1+B2)</f>
        <v>432.65</v>
      </c>
      <c r="D8813" s="17" t="s">
        <v>11</v>
      </c>
      <c r="E8813" s="17" t="s">
        <v>11</v>
      </c>
      <c r="F8813" s="18"/>
      <c r="G8813" s="36" t="str">
        <f>IF(ISNUMBER(F8813),C8813*F8813,"")</f>
        <v/>
      </c>
    </row>
    <row r="8814" spans="1:7" ht="12" customHeight="1" outlineLevel="2" x14ac:dyDescent="0.2">
      <c r="A8814" s="14" t="s">
        <v>17339</v>
      </c>
      <c r="B8814" s="15" t="s">
        <v>17340</v>
      </c>
      <c r="C8814" s="16">
        <f>456.77/(1+B2)</f>
        <v>456.77</v>
      </c>
      <c r="D8814" s="17" t="s">
        <v>11</v>
      </c>
      <c r="E8814" s="17"/>
      <c r="F8814" s="18"/>
      <c r="G8814" s="36" t="str">
        <f>IF(ISNUMBER(F8814),C8814*F8814,"")</f>
        <v/>
      </c>
    </row>
    <row r="8815" spans="1:7" ht="24" customHeight="1" outlineLevel="2" x14ac:dyDescent="0.2">
      <c r="A8815" s="14" t="s">
        <v>17341</v>
      </c>
      <c r="B8815" s="15" t="s">
        <v>17342</v>
      </c>
      <c r="C8815" s="16">
        <f>560.41/(1+B2)</f>
        <v>560.41</v>
      </c>
      <c r="D8815" s="17" t="s">
        <v>11</v>
      </c>
      <c r="E8815" s="17"/>
      <c r="F8815" s="18"/>
      <c r="G8815" s="36" t="str">
        <f>IF(ISNUMBER(F8815),C8815*F8815,"")</f>
        <v/>
      </c>
    </row>
    <row r="8816" spans="1:7" ht="12" customHeight="1" outlineLevel="2" x14ac:dyDescent="0.2">
      <c r="A8816" s="14" t="s">
        <v>17343</v>
      </c>
      <c r="B8816" s="15" t="s">
        <v>17344</v>
      </c>
      <c r="C8816" s="16">
        <f>616.02/(1+B2)</f>
        <v>616.02</v>
      </c>
      <c r="D8816" s="17" t="s">
        <v>11</v>
      </c>
      <c r="E8816" s="17" t="s">
        <v>11</v>
      </c>
      <c r="F8816" s="18"/>
      <c r="G8816" s="36" t="str">
        <f>IF(ISNUMBER(F8816),C8816*F8816,"")</f>
        <v/>
      </c>
    </row>
    <row r="8817" spans="1:7" ht="24" customHeight="1" outlineLevel="2" x14ac:dyDescent="0.2">
      <c r="A8817" s="14" t="s">
        <v>17345</v>
      </c>
      <c r="B8817" s="15" t="s">
        <v>17346</v>
      </c>
      <c r="C8817" s="16">
        <f>424.02/(1+B2)</f>
        <v>424.02</v>
      </c>
      <c r="D8817" s="17" t="s">
        <v>11</v>
      </c>
      <c r="E8817" s="17"/>
      <c r="F8817" s="18"/>
      <c r="G8817" s="36" t="str">
        <f>IF(ISNUMBER(F8817),C8817*F8817,"")</f>
        <v/>
      </c>
    </row>
    <row r="8818" spans="1:7" ht="12" customHeight="1" outlineLevel="2" x14ac:dyDescent="0.2">
      <c r="A8818" s="14" t="s">
        <v>17347</v>
      </c>
      <c r="B8818" s="15" t="s">
        <v>17348</v>
      </c>
      <c r="C8818" s="16">
        <f>429.02/(1+B2)</f>
        <v>429.02</v>
      </c>
      <c r="D8818" s="17" t="s">
        <v>11</v>
      </c>
      <c r="E8818" s="17"/>
      <c r="F8818" s="18"/>
      <c r="G8818" s="36" t="str">
        <f>IF(ISNUMBER(F8818),C8818*F8818,"")</f>
        <v/>
      </c>
    </row>
    <row r="8819" spans="1:7" ht="12" customHeight="1" outlineLevel="2" x14ac:dyDescent="0.2">
      <c r="A8819" s="14" t="s">
        <v>17349</v>
      </c>
      <c r="B8819" s="15" t="s">
        <v>17350</v>
      </c>
      <c r="C8819" s="16">
        <f>503.02/(1+B2)</f>
        <v>503.02</v>
      </c>
      <c r="D8819" s="17" t="s">
        <v>11</v>
      </c>
      <c r="E8819" s="17"/>
      <c r="F8819" s="18"/>
      <c r="G8819" s="36" t="str">
        <f>IF(ISNUMBER(F8819),C8819*F8819,"")</f>
        <v/>
      </c>
    </row>
    <row r="8820" spans="1:7" ht="24" customHeight="1" outlineLevel="2" x14ac:dyDescent="0.2">
      <c r="A8820" s="14" t="s">
        <v>17351</v>
      </c>
      <c r="B8820" s="15" t="s">
        <v>17352</v>
      </c>
      <c r="C8820" s="16">
        <f>409.02/(1+B2)</f>
        <v>409.02</v>
      </c>
      <c r="D8820" s="17" t="s">
        <v>11</v>
      </c>
      <c r="E8820" s="17" t="s">
        <v>11</v>
      </c>
      <c r="F8820" s="18"/>
      <c r="G8820" s="36" t="str">
        <f>IF(ISNUMBER(F8820),C8820*F8820,"")</f>
        <v/>
      </c>
    </row>
    <row r="8821" spans="1:7" ht="24" customHeight="1" outlineLevel="2" x14ac:dyDescent="0.2">
      <c r="A8821" s="14" t="s">
        <v>17353</v>
      </c>
      <c r="B8821" s="15" t="s">
        <v>17354</v>
      </c>
      <c r="C8821" s="16">
        <f>459.02/(1+B2)</f>
        <v>459.02</v>
      </c>
      <c r="D8821" s="17" t="s">
        <v>11</v>
      </c>
      <c r="E8821" s="17"/>
      <c r="F8821" s="18"/>
      <c r="G8821" s="36" t="str">
        <f>IF(ISNUMBER(F8821),C8821*F8821,"")</f>
        <v/>
      </c>
    </row>
    <row r="8822" spans="1:7" ht="12" customHeight="1" outlineLevel="2" x14ac:dyDescent="0.2">
      <c r="A8822" s="14" t="s">
        <v>17355</v>
      </c>
      <c r="B8822" s="15" t="s">
        <v>17356</v>
      </c>
      <c r="C8822" s="16">
        <f>205.55/(1+B2)</f>
        <v>205.55</v>
      </c>
      <c r="D8822" s="17" t="s">
        <v>11</v>
      </c>
      <c r="E8822" s="17" t="s">
        <v>11</v>
      </c>
      <c r="F8822" s="18"/>
      <c r="G8822" s="36" t="str">
        <f>IF(ISNUMBER(F8822),C8822*F8822,"")</f>
        <v/>
      </c>
    </row>
    <row r="8823" spans="1:7" ht="12" customHeight="1" outlineLevel="2" x14ac:dyDescent="0.2">
      <c r="A8823" s="14" t="s">
        <v>17357</v>
      </c>
      <c r="B8823" s="15" t="s">
        <v>17358</v>
      </c>
      <c r="C8823" s="16">
        <f>701.22/(1+B2)</f>
        <v>701.22</v>
      </c>
      <c r="D8823" s="17" t="s">
        <v>11</v>
      </c>
      <c r="E8823" s="17"/>
      <c r="F8823" s="18"/>
      <c r="G8823" s="36" t="str">
        <f>IF(ISNUMBER(F8823),C8823*F8823,"")</f>
        <v/>
      </c>
    </row>
    <row r="8824" spans="1:7" ht="12" customHeight="1" outlineLevel="2" x14ac:dyDescent="0.2">
      <c r="A8824" s="14" t="s">
        <v>17359</v>
      </c>
      <c r="B8824" s="15" t="s">
        <v>17360</v>
      </c>
      <c r="C8824" s="16">
        <f>454.74/(1+B2)</f>
        <v>454.74</v>
      </c>
      <c r="D8824" s="17" t="s">
        <v>11</v>
      </c>
      <c r="E8824" s="17"/>
      <c r="F8824" s="18"/>
      <c r="G8824" s="36" t="str">
        <f>IF(ISNUMBER(F8824),C8824*F8824,"")</f>
        <v/>
      </c>
    </row>
    <row r="8825" spans="1:7" ht="12" customHeight="1" outlineLevel="2" x14ac:dyDescent="0.2">
      <c r="A8825" s="14" t="s">
        <v>17361</v>
      </c>
      <c r="B8825" s="15" t="s">
        <v>17362</v>
      </c>
      <c r="C8825" s="16">
        <f>454.74/(1+B2)</f>
        <v>454.74</v>
      </c>
      <c r="D8825" s="17" t="s">
        <v>11</v>
      </c>
      <c r="E8825" s="17" t="s">
        <v>11</v>
      </c>
      <c r="F8825" s="18"/>
      <c r="G8825" s="36" t="str">
        <f>IF(ISNUMBER(F8825),C8825*F8825,"")</f>
        <v/>
      </c>
    </row>
    <row r="8826" spans="1:7" ht="24" customHeight="1" outlineLevel="2" x14ac:dyDescent="0.2">
      <c r="A8826" s="14" t="s">
        <v>17363</v>
      </c>
      <c r="B8826" s="15" t="s">
        <v>17364</v>
      </c>
      <c r="C8826" s="16">
        <f>454.74/(1+B2)</f>
        <v>454.74</v>
      </c>
      <c r="D8826" s="17" t="s">
        <v>11</v>
      </c>
      <c r="E8826" s="17" t="s">
        <v>14</v>
      </c>
      <c r="F8826" s="18"/>
      <c r="G8826" s="36" t="str">
        <f>IF(ISNUMBER(F8826),C8826*F8826,"")</f>
        <v/>
      </c>
    </row>
    <row r="8827" spans="1:7" ht="12" customHeight="1" outlineLevel="2" x14ac:dyDescent="0.2">
      <c r="A8827" s="14" t="s">
        <v>17365</v>
      </c>
      <c r="B8827" s="15" t="s">
        <v>17366</v>
      </c>
      <c r="C8827" s="16">
        <f>454.74/(1+B2)</f>
        <v>454.74</v>
      </c>
      <c r="D8827" s="17" t="s">
        <v>11</v>
      </c>
      <c r="E8827" s="17" t="s">
        <v>11</v>
      </c>
      <c r="F8827" s="18"/>
      <c r="G8827" s="36" t="str">
        <f>IF(ISNUMBER(F8827),C8827*F8827,"")</f>
        <v/>
      </c>
    </row>
    <row r="8828" spans="1:7" ht="24" customHeight="1" outlineLevel="2" x14ac:dyDescent="0.2">
      <c r="A8828" s="14" t="s">
        <v>17367</v>
      </c>
      <c r="B8828" s="15" t="s">
        <v>17368</v>
      </c>
      <c r="C8828" s="16">
        <f>454.74/(1+B2)</f>
        <v>454.74</v>
      </c>
      <c r="D8828" s="17" t="s">
        <v>11</v>
      </c>
      <c r="E8828" s="17" t="s">
        <v>14</v>
      </c>
      <c r="F8828" s="18"/>
      <c r="G8828" s="36" t="str">
        <f>IF(ISNUMBER(F8828),C8828*F8828,"")</f>
        <v/>
      </c>
    </row>
    <row r="8829" spans="1:7" ht="12" customHeight="1" outlineLevel="2" x14ac:dyDescent="0.2">
      <c r="A8829" s="14" t="s">
        <v>17369</v>
      </c>
      <c r="B8829" s="15" t="s">
        <v>17370</v>
      </c>
      <c r="C8829" s="16">
        <f>454.74/(1+B2)</f>
        <v>454.74</v>
      </c>
      <c r="D8829" s="17" t="s">
        <v>11</v>
      </c>
      <c r="E8829" s="17" t="s">
        <v>14</v>
      </c>
      <c r="F8829" s="18"/>
      <c r="G8829" s="36" t="str">
        <f>IF(ISNUMBER(F8829),C8829*F8829,"")</f>
        <v/>
      </c>
    </row>
    <row r="8830" spans="1:7" ht="12" customHeight="1" outlineLevel="2" x14ac:dyDescent="0.2">
      <c r="A8830" s="14" t="s">
        <v>17371</v>
      </c>
      <c r="B8830" s="15" t="s">
        <v>17372</v>
      </c>
      <c r="C8830" s="16">
        <f>454.74/(1+B2)</f>
        <v>454.74</v>
      </c>
      <c r="D8830" s="17" t="s">
        <v>11</v>
      </c>
      <c r="E8830" s="17" t="s">
        <v>11</v>
      </c>
      <c r="F8830" s="18"/>
      <c r="G8830" s="36" t="str">
        <f>IF(ISNUMBER(F8830),C8830*F8830,"")</f>
        <v/>
      </c>
    </row>
    <row r="8831" spans="1:7" ht="12" customHeight="1" outlineLevel="2" x14ac:dyDescent="0.2">
      <c r="A8831" s="14" t="s">
        <v>17373</v>
      </c>
      <c r="B8831" s="15" t="s">
        <v>17374</v>
      </c>
      <c r="C8831" s="19">
        <f>1035.49/(1+B2)</f>
        <v>1035.49</v>
      </c>
      <c r="D8831" s="17" t="s">
        <v>11</v>
      </c>
      <c r="E8831" s="17"/>
      <c r="F8831" s="18"/>
      <c r="G8831" s="36" t="str">
        <f>IF(ISNUMBER(F8831),C8831*F8831,"")</f>
        <v/>
      </c>
    </row>
    <row r="8832" spans="1:7" ht="12" customHeight="1" outlineLevel="2" x14ac:dyDescent="0.2">
      <c r="A8832" s="14" t="s">
        <v>17375</v>
      </c>
      <c r="B8832" s="15" t="s">
        <v>17376</v>
      </c>
      <c r="C8832" s="16">
        <f>714.85/(1+B2)</f>
        <v>714.85</v>
      </c>
      <c r="D8832" s="17" t="s">
        <v>11</v>
      </c>
      <c r="E8832" s="17" t="s">
        <v>11</v>
      </c>
      <c r="F8832" s="18"/>
      <c r="G8832" s="36" t="str">
        <f>IF(ISNUMBER(F8832),C8832*F8832,"")</f>
        <v/>
      </c>
    </row>
    <row r="8833" spans="1:7" ht="12" customHeight="1" outlineLevel="2" x14ac:dyDescent="0.2">
      <c r="A8833" s="14" t="s">
        <v>17377</v>
      </c>
      <c r="B8833" s="15" t="s">
        <v>17378</v>
      </c>
      <c r="C8833" s="19">
        <f>2643.83/(1+B2)</f>
        <v>2643.83</v>
      </c>
      <c r="D8833" s="17" t="s">
        <v>11</v>
      </c>
      <c r="E8833" s="17"/>
      <c r="F8833" s="18"/>
      <c r="G8833" s="36" t="str">
        <f>IF(ISNUMBER(F8833),C8833*F8833,"")</f>
        <v/>
      </c>
    </row>
    <row r="8834" spans="1:7" ht="24" customHeight="1" outlineLevel="2" x14ac:dyDescent="0.2">
      <c r="A8834" s="14" t="s">
        <v>17379</v>
      </c>
      <c r="B8834" s="15" t="s">
        <v>17380</v>
      </c>
      <c r="C8834" s="19">
        <f>1089.04/(1+B2)</f>
        <v>1089.04</v>
      </c>
      <c r="D8834" s="17" t="s">
        <v>11</v>
      </c>
      <c r="E8834" s="17"/>
      <c r="F8834" s="18"/>
      <c r="G8834" s="36" t="str">
        <f>IF(ISNUMBER(F8834),C8834*F8834,"")</f>
        <v/>
      </c>
    </row>
    <row r="8835" spans="1:7" ht="12" customHeight="1" outlineLevel="2" x14ac:dyDescent="0.2">
      <c r="A8835" s="14" t="s">
        <v>17381</v>
      </c>
      <c r="B8835" s="15" t="s">
        <v>17382</v>
      </c>
      <c r="C8835" s="16">
        <f>855/(1+B2)</f>
        <v>855</v>
      </c>
      <c r="D8835" s="17" t="s">
        <v>11</v>
      </c>
      <c r="E8835" s="17"/>
      <c r="F8835" s="18"/>
      <c r="G8835" s="36" t="str">
        <f>IF(ISNUMBER(F8835),C8835*F8835,"")</f>
        <v/>
      </c>
    </row>
    <row r="8836" spans="1:7" ht="12" customHeight="1" outlineLevel="2" x14ac:dyDescent="0.2">
      <c r="A8836" s="14" t="s">
        <v>17383</v>
      </c>
      <c r="B8836" s="15" t="s">
        <v>17384</v>
      </c>
      <c r="C8836" s="16">
        <f>669.03/(1+B2)</f>
        <v>669.03</v>
      </c>
      <c r="D8836" s="17" t="s">
        <v>11</v>
      </c>
      <c r="E8836" s="17"/>
      <c r="F8836" s="18"/>
      <c r="G8836" s="36" t="str">
        <f>IF(ISNUMBER(F8836),C8836*F8836,"")</f>
        <v/>
      </c>
    </row>
    <row r="8837" spans="1:7" ht="12" customHeight="1" outlineLevel="2" x14ac:dyDescent="0.2">
      <c r="A8837" s="14" t="s">
        <v>17385</v>
      </c>
      <c r="B8837" s="15" t="s">
        <v>17386</v>
      </c>
      <c r="C8837" s="16">
        <f>819.03/(1+B2)</f>
        <v>819.03</v>
      </c>
      <c r="D8837" s="17" t="s">
        <v>11</v>
      </c>
      <c r="E8837" s="17"/>
      <c r="F8837" s="18"/>
      <c r="G8837" s="36" t="str">
        <f>IF(ISNUMBER(F8837),C8837*F8837,"")</f>
        <v/>
      </c>
    </row>
    <row r="8838" spans="1:7" ht="12" customHeight="1" outlineLevel="2" x14ac:dyDescent="0.2">
      <c r="A8838" s="14" t="s">
        <v>17387</v>
      </c>
      <c r="B8838" s="15" t="s">
        <v>17388</v>
      </c>
      <c r="C8838" s="19">
        <f>1057.44/(1+B2)</f>
        <v>1057.44</v>
      </c>
      <c r="D8838" s="17" t="s">
        <v>11</v>
      </c>
      <c r="E8838" s="17"/>
      <c r="F8838" s="18"/>
      <c r="G8838" s="36" t="str">
        <f>IF(ISNUMBER(F8838),C8838*F8838,"")</f>
        <v/>
      </c>
    </row>
    <row r="8839" spans="1:7" ht="12" customHeight="1" outlineLevel="2" x14ac:dyDescent="0.2">
      <c r="A8839" s="14" t="s">
        <v>17389</v>
      </c>
      <c r="B8839" s="15" t="s">
        <v>17390</v>
      </c>
      <c r="C8839" s="19">
        <f>1109.5/(1+B2)</f>
        <v>1109.5</v>
      </c>
      <c r="D8839" s="17" t="s">
        <v>11</v>
      </c>
      <c r="E8839" s="17"/>
      <c r="F8839" s="18"/>
      <c r="G8839" s="36" t="str">
        <f>IF(ISNUMBER(F8839),C8839*F8839,"")</f>
        <v/>
      </c>
    </row>
    <row r="8840" spans="1:7" ht="12" customHeight="1" outlineLevel="2" x14ac:dyDescent="0.2">
      <c r="A8840" s="14" t="s">
        <v>17391</v>
      </c>
      <c r="B8840" s="15" t="s">
        <v>17392</v>
      </c>
      <c r="C8840" s="16">
        <f>839.03/(1+B2)</f>
        <v>839.03</v>
      </c>
      <c r="D8840" s="17" t="s">
        <v>11</v>
      </c>
      <c r="E8840" s="17"/>
      <c r="F8840" s="18"/>
      <c r="G8840" s="36" t="str">
        <f>IF(ISNUMBER(F8840),C8840*F8840,"")</f>
        <v/>
      </c>
    </row>
    <row r="8841" spans="1:7" ht="12" customHeight="1" outlineLevel="2" x14ac:dyDescent="0.2">
      <c r="A8841" s="14" t="s">
        <v>17393</v>
      </c>
      <c r="B8841" s="15" t="s">
        <v>17394</v>
      </c>
      <c r="C8841" s="16">
        <f>699.03/(1+B2)</f>
        <v>699.03</v>
      </c>
      <c r="D8841" s="17" t="s">
        <v>11</v>
      </c>
      <c r="E8841" s="17"/>
      <c r="F8841" s="18"/>
      <c r="G8841" s="36" t="str">
        <f>IF(ISNUMBER(F8841),C8841*F8841,"")</f>
        <v/>
      </c>
    </row>
    <row r="8842" spans="1:7" ht="12" customHeight="1" outlineLevel="2" x14ac:dyDescent="0.2">
      <c r="A8842" s="14" t="s">
        <v>17395</v>
      </c>
      <c r="B8842" s="15" t="s">
        <v>17396</v>
      </c>
      <c r="C8842" s="16">
        <f>659.03/(1+B2)</f>
        <v>659.03</v>
      </c>
      <c r="D8842" s="17" t="s">
        <v>11</v>
      </c>
      <c r="E8842" s="17"/>
      <c r="F8842" s="18"/>
      <c r="G8842" s="36" t="str">
        <f>IF(ISNUMBER(F8842),C8842*F8842,"")</f>
        <v/>
      </c>
    </row>
    <row r="8843" spans="1:7" ht="12" customHeight="1" outlineLevel="2" x14ac:dyDescent="0.2">
      <c r="A8843" s="14" t="s">
        <v>17397</v>
      </c>
      <c r="B8843" s="15" t="s">
        <v>17398</v>
      </c>
      <c r="C8843" s="19">
        <f>1207.7/(1+B2)</f>
        <v>1207.7</v>
      </c>
      <c r="D8843" s="17" t="s">
        <v>11</v>
      </c>
      <c r="E8843" s="17"/>
      <c r="F8843" s="18"/>
      <c r="G8843" s="36" t="str">
        <f>IF(ISNUMBER(F8843),C8843*F8843,"")</f>
        <v/>
      </c>
    </row>
    <row r="8844" spans="1:7" ht="12" customHeight="1" outlineLevel="2" x14ac:dyDescent="0.2">
      <c r="A8844" s="14" t="s">
        <v>17399</v>
      </c>
      <c r="B8844" s="15" t="s">
        <v>17400</v>
      </c>
      <c r="C8844" s="16">
        <f>499.02/(1+B2)</f>
        <v>499.02</v>
      </c>
      <c r="D8844" s="17" t="s">
        <v>11</v>
      </c>
      <c r="E8844" s="17"/>
      <c r="F8844" s="18"/>
      <c r="G8844" s="36" t="str">
        <f>IF(ISNUMBER(F8844),C8844*F8844,"")</f>
        <v/>
      </c>
    </row>
    <row r="8845" spans="1:7" ht="12" customHeight="1" outlineLevel="2" x14ac:dyDescent="0.2">
      <c r="A8845" s="14" t="s">
        <v>17401</v>
      </c>
      <c r="B8845" s="15" t="s">
        <v>17402</v>
      </c>
      <c r="C8845" s="16">
        <f>643.5/(1+B2)</f>
        <v>643.5</v>
      </c>
      <c r="D8845" s="17" t="s">
        <v>11</v>
      </c>
      <c r="E8845" s="17" t="s">
        <v>11</v>
      </c>
      <c r="F8845" s="18"/>
      <c r="G8845" s="36" t="str">
        <f>IF(ISNUMBER(F8845),C8845*F8845,"")</f>
        <v/>
      </c>
    </row>
    <row r="8846" spans="1:7" ht="12" customHeight="1" outlineLevel="2" x14ac:dyDescent="0.2">
      <c r="A8846" s="14" t="s">
        <v>17403</v>
      </c>
      <c r="B8846" s="15" t="s">
        <v>17404</v>
      </c>
      <c r="C8846" s="16">
        <f>639.03/(1+B2)</f>
        <v>639.03</v>
      </c>
      <c r="D8846" s="17" t="s">
        <v>11</v>
      </c>
      <c r="E8846" s="17"/>
      <c r="F8846" s="18"/>
      <c r="G8846" s="36" t="str">
        <f>IF(ISNUMBER(F8846),C8846*F8846,"")</f>
        <v/>
      </c>
    </row>
    <row r="8847" spans="1:7" ht="24" customHeight="1" outlineLevel="2" x14ac:dyDescent="0.2">
      <c r="A8847" s="14" t="s">
        <v>17405</v>
      </c>
      <c r="B8847" s="15" t="s">
        <v>17406</v>
      </c>
      <c r="C8847" s="16">
        <f>570.96/(1+B2)</f>
        <v>570.96</v>
      </c>
      <c r="D8847" s="17" t="s">
        <v>11</v>
      </c>
      <c r="E8847" s="17" t="s">
        <v>11</v>
      </c>
      <c r="F8847" s="18"/>
      <c r="G8847" s="36" t="str">
        <f>IF(ISNUMBER(F8847),C8847*F8847,"")</f>
        <v/>
      </c>
    </row>
    <row r="8848" spans="1:7" ht="12" customHeight="1" outlineLevel="2" x14ac:dyDescent="0.2">
      <c r="A8848" s="14" t="s">
        <v>17407</v>
      </c>
      <c r="B8848" s="15" t="s">
        <v>17408</v>
      </c>
      <c r="C8848" s="16">
        <f>673.18/(1+B2)</f>
        <v>673.18</v>
      </c>
      <c r="D8848" s="17" t="s">
        <v>11</v>
      </c>
      <c r="E8848" s="17"/>
      <c r="F8848" s="18"/>
      <c r="G8848" s="36" t="str">
        <f>IF(ISNUMBER(F8848),C8848*F8848,"")</f>
        <v/>
      </c>
    </row>
    <row r="8849" spans="1:7" ht="12" customHeight="1" outlineLevel="2" x14ac:dyDescent="0.2">
      <c r="A8849" s="14" t="s">
        <v>17409</v>
      </c>
      <c r="B8849" s="15" t="s">
        <v>17410</v>
      </c>
      <c r="C8849" s="16">
        <f>752.05/(1+B2)</f>
        <v>752.05</v>
      </c>
      <c r="D8849" s="17" t="s">
        <v>11</v>
      </c>
      <c r="E8849" s="17" t="s">
        <v>11</v>
      </c>
      <c r="F8849" s="18"/>
      <c r="G8849" s="36" t="str">
        <f>IF(ISNUMBER(F8849),C8849*F8849,"")</f>
        <v/>
      </c>
    </row>
    <row r="8850" spans="1:7" ht="12" customHeight="1" outlineLevel="2" x14ac:dyDescent="0.2">
      <c r="A8850" s="14" t="s">
        <v>17411</v>
      </c>
      <c r="B8850" s="15" t="s">
        <v>17412</v>
      </c>
      <c r="C8850" s="16">
        <f>789.26/(1+B2)</f>
        <v>789.26</v>
      </c>
      <c r="D8850" s="17" t="s">
        <v>11</v>
      </c>
      <c r="E8850" s="17"/>
      <c r="F8850" s="18"/>
      <c r="G8850" s="36" t="str">
        <f>IF(ISNUMBER(F8850),C8850*F8850,"")</f>
        <v/>
      </c>
    </row>
    <row r="8851" spans="1:7" ht="24" customHeight="1" outlineLevel="2" x14ac:dyDescent="0.2">
      <c r="A8851" s="14" t="s">
        <v>17413</v>
      </c>
      <c r="B8851" s="15" t="s">
        <v>17414</v>
      </c>
      <c r="C8851" s="16">
        <f>673.18/(1+B2)</f>
        <v>673.18</v>
      </c>
      <c r="D8851" s="17" t="s">
        <v>11</v>
      </c>
      <c r="E8851" s="17"/>
      <c r="F8851" s="18"/>
      <c r="G8851" s="36" t="str">
        <f>IF(ISNUMBER(F8851),C8851*F8851,"")</f>
        <v/>
      </c>
    </row>
    <row r="8852" spans="1:7" ht="12" customHeight="1" outlineLevel="2" x14ac:dyDescent="0.2">
      <c r="A8852" s="14" t="s">
        <v>17415</v>
      </c>
      <c r="B8852" s="15" t="s">
        <v>17416</v>
      </c>
      <c r="C8852" s="16">
        <f>570.96/(1+B2)</f>
        <v>570.96</v>
      </c>
      <c r="D8852" s="17" t="s">
        <v>11</v>
      </c>
      <c r="E8852" s="17" t="s">
        <v>11</v>
      </c>
      <c r="F8852" s="18"/>
      <c r="G8852" s="36" t="str">
        <f>IF(ISNUMBER(F8852),C8852*F8852,"")</f>
        <v/>
      </c>
    </row>
    <row r="8853" spans="1:7" ht="24" customHeight="1" outlineLevel="2" x14ac:dyDescent="0.2">
      <c r="A8853" s="14" t="s">
        <v>17417</v>
      </c>
      <c r="B8853" s="15" t="s">
        <v>17418</v>
      </c>
      <c r="C8853" s="16">
        <f>716.77/(1+B2)</f>
        <v>716.77</v>
      </c>
      <c r="D8853" s="17" t="s">
        <v>11</v>
      </c>
      <c r="E8853" s="17"/>
      <c r="F8853" s="18"/>
      <c r="G8853" s="36" t="str">
        <f>IF(ISNUMBER(F8853),C8853*F8853,"")</f>
        <v/>
      </c>
    </row>
    <row r="8854" spans="1:7" ht="24" customHeight="1" outlineLevel="2" x14ac:dyDescent="0.2">
      <c r="A8854" s="14" t="s">
        <v>17419</v>
      </c>
      <c r="B8854" s="15" t="s">
        <v>17420</v>
      </c>
      <c r="C8854" s="16">
        <f>673.18/(1+B2)</f>
        <v>673.18</v>
      </c>
      <c r="D8854" s="17" t="s">
        <v>11</v>
      </c>
      <c r="E8854" s="17"/>
      <c r="F8854" s="18"/>
      <c r="G8854" s="36" t="str">
        <f>IF(ISNUMBER(F8854),C8854*F8854,"")</f>
        <v/>
      </c>
    </row>
    <row r="8855" spans="1:7" ht="24" customHeight="1" outlineLevel="2" x14ac:dyDescent="0.2">
      <c r="A8855" s="14" t="s">
        <v>17421</v>
      </c>
      <c r="B8855" s="15" t="s">
        <v>17422</v>
      </c>
      <c r="C8855" s="16">
        <f>633/(1+B2)</f>
        <v>633</v>
      </c>
      <c r="D8855" s="17" t="s">
        <v>11</v>
      </c>
      <c r="E8855" s="17"/>
      <c r="F8855" s="18"/>
      <c r="G8855" s="36" t="str">
        <f>IF(ISNUMBER(F8855),C8855*F8855,"")</f>
        <v/>
      </c>
    </row>
    <row r="8856" spans="1:7" ht="12" customHeight="1" outlineLevel="2" x14ac:dyDescent="0.2">
      <c r="A8856" s="14" t="s">
        <v>17423</v>
      </c>
      <c r="B8856" s="15" t="s">
        <v>17424</v>
      </c>
      <c r="C8856" s="19">
        <f>1032.95/(1+B2)</f>
        <v>1032.95</v>
      </c>
      <c r="D8856" s="17" t="s">
        <v>11</v>
      </c>
      <c r="E8856" s="17"/>
      <c r="F8856" s="18"/>
      <c r="G8856" s="36" t="str">
        <f>IF(ISNUMBER(F8856),C8856*F8856,"")</f>
        <v/>
      </c>
    </row>
    <row r="8857" spans="1:7" ht="12" customHeight="1" outlineLevel="2" x14ac:dyDescent="0.2">
      <c r="A8857" s="14" t="s">
        <v>17425</v>
      </c>
      <c r="B8857" s="15" t="s">
        <v>17426</v>
      </c>
      <c r="C8857" s="16">
        <f>673.18/(1+B2)</f>
        <v>673.18</v>
      </c>
      <c r="D8857" s="17" t="s">
        <v>11</v>
      </c>
      <c r="E8857" s="17"/>
      <c r="F8857" s="18"/>
      <c r="G8857" s="36" t="str">
        <f>IF(ISNUMBER(F8857),C8857*F8857,"")</f>
        <v/>
      </c>
    </row>
    <row r="8858" spans="1:7" ht="12" customHeight="1" outlineLevel="2" x14ac:dyDescent="0.2">
      <c r="A8858" s="14" t="s">
        <v>17427</v>
      </c>
      <c r="B8858" s="15" t="s">
        <v>17428</v>
      </c>
      <c r="C8858" s="16">
        <f>586.65/(1+B2)</f>
        <v>586.65</v>
      </c>
      <c r="D8858" s="17" t="s">
        <v>11</v>
      </c>
      <c r="E8858" s="17"/>
      <c r="F8858" s="18"/>
      <c r="G8858" s="36" t="str">
        <f>IF(ISNUMBER(F8858),C8858*F8858,"")</f>
        <v/>
      </c>
    </row>
    <row r="8859" spans="1:7" ht="12" customHeight="1" outlineLevel="2" x14ac:dyDescent="0.2">
      <c r="A8859" s="14" t="s">
        <v>17429</v>
      </c>
      <c r="B8859" s="15" t="s">
        <v>17430</v>
      </c>
      <c r="C8859" s="16">
        <f>703.39/(1+B2)</f>
        <v>703.39</v>
      </c>
      <c r="D8859" s="17" t="s">
        <v>11</v>
      </c>
      <c r="E8859" s="17"/>
      <c r="F8859" s="18"/>
      <c r="G8859" s="36" t="str">
        <f>IF(ISNUMBER(F8859),C8859*F8859,"")</f>
        <v/>
      </c>
    </row>
    <row r="8860" spans="1:7" ht="12" customHeight="1" outlineLevel="2" x14ac:dyDescent="0.2">
      <c r="A8860" s="14" t="s">
        <v>17431</v>
      </c>
      <c r="B8860" s="15" t="s">
        <v>17432</v>
      </c>
      <c r="C8860" s="16">
        <f>384.83/(1+B2)</f>
        <v>384.83</v>
      </c>
      <c r="D8860" s="17" t="s">
        <v>11</v>
      </c>
      <c r="E8860" s="17" t="s">
        <v>11</v>
      </c>
      <c r="F8860" s="18"/>
      <c r="G8860" s="36" t="str">
        <f>IF(ISNUMBER(F8860),C8860*F8860,"")</f>
        <v/>
      </c>
    </row>
    <row r="8861" spans="1:7" ht="12" customHeight="1" outlineLevel="2" x14ac:dyDescent="0.2">
      <c r="A8861" s="14" t="s">
        <v>17433</v>
      </c>
      <c r="B8861" s="15" t="s">
        <v>17434</v>
      </c>
      <c r="C8861" s="16">
        <f>300.61/(1+B2)</f>
        <v>300.61</v>
      </c>
      <c r="D8861" s="17" t="s">
        <v>11</v>
      </c>
      <c r="E8861" s="17" t="s">
        <v>11</v>
      </c>
      <c r="F8861" s="18"/>
      <c r="G8861" s="36" t="str">
        <f>IF(ISNUMBER(F8861),C8861*F8861,"")</f>
        <v/>
      </c>
    </row>
    <row r="8862" spans="1:7" s="1" customFormat="1" ht="15.95" customHeight="1" outlineLevel="1" x14ac:dyDescent="0.25">
      <c r="A8862" s="11"/>
      <c r="B8862" s="12" t="s">
        <v>17435</v>
      </c>
      <c r="C8862" s="13"/>
      <c r="D8862" s="13"/>
      <c r="E8862" s="13"/>
      <c r="F8862" s="13"/>
      <c r="G8862" s="35"/>
    </row>
    <row r="8863" spans="1:7" ht="12" customHeight="1" outlineLevel="2" x14ac:dyDescent="0.2">
      <c r="A8863" s="14" t="s">
        <v>17436</v>
      </c>
      <c r="B8863" s="15" t="s">
        <v>17437</v>
      </c>
      <c r="C8863" s="16">
        <f>192.01/(1+B2)</f>
        <v>192.01</v>
      </c>
      <c r="D8863" s="17" t="s">
        <v>11</v>
      </c>
      <c r="E8863" s="17" t="s">
        <v>11</v>
      </c>
      <c r="F8863" s="18"/>
      <c r="G8863" s="36" t="str">
        <f>IF(ISNUMBER(F8863),C8863*F8863,"")</f>
        <v/>
      </c>
    </row>
    <row r="8864" spans="1:7" ht="12" customHeight="1" outlineLevel="2" x14ac:dyDescent="0.2">
      <c r="A8864" s="14" t="s">
        <v>17438</v>
      </c>
      <c r="B8864" s="15" t="s">
        <v>17439</v>
      </c>
      <c r="C8864" s="16">
        <f>160.01/(1+B2)</f>
        <v>160.01</v>
      </c>
      <c r="D8864" s="17" t="s">
        <v>11</v>
      </c>
      <c r="E8864" s="17" t="s">
        <v>11</v>
      </c>
      <c r="F8864" s="18"/>
      <c r="G8864" s="36" t="str">
        <f>IF(ISNUMBER(F8864),C8864*F8864,"")</f>
        <v/>
      </c>
    </row>
    <row r="8865" spans="1:7" ht="12" customHeight="1" outlineLevel="2" x14ac:dyDescent="0.2">
      <c r="A8865" s="14" t="s">
        <v>17440</v>
      </c>
      <c r="B8865" s="15" t="s">
        <v>17441</v>
      </c>
      <c r="C8865" s="16">
        <f>398.02/(1+B2)</f>
        <v>398.02</v>
      </c>
      <c r="D8865" s="17" t="s">
        <v>11</v>
      </c>
      <c r="E8865" s="17"/>
      <c r="F8865" s="18"/>
      <c r="G8865" s="36" t="str">
        <f>IF(ISNUMBER(F8865),C8865*F8865,"")</f>
        <v/>
      </c>
    </row>
    <row r="8866" spans="1:7" ht="12" customHeight="1" outlineLevel="2" x14ac:dyDescent="0.2">
      <c r="A8866" s="14" t="s">
        <v>17442</v>
      </c>
      <c r="B8866" s="15" t="s">
        <v>17443</v>
      </c>
      <c r="C8866" s="16">
        <f>169.01/(1+B2)</f>
        <v>169.01</v>
      </c>
      <c r="D8866" s="17" t="s">
        <v>11</v>
      </c>
      <c r="E8866" s="17"/>
      <c r="F8866" s="18"/>
      <c r="G8866" s="36" t="str">
        <f>IF(ISNUMBER(F8866),C8866*F8866,"")</f>
        <v/>
      </c>
    </row>
    <row r="8867" spans="1:7" ht="12" customHeight="1" outlineLevel="2" x14ac:dyDescent="0.2">
      <c r="A8867" s="14" t="s">
        <v>17444</v>
      </c>
      <c r="B8867" s="15" t="s">
        <v>17445</v>
      </c>
      <c r="C8867" s="16">
        <f>129.03/(1+B2)</f>
        <v>129.03</v>
      </c>
      <c r="D8867" s="17" t="s">
        <v>11</v>
      </c>
      <c r="E8867" s="17" t="s">
        <v>53</v>
      </c>
      <c r="F8867" s="18"/>
      <c r="G8867" s="36" t="str">
        <f>IF(ISNUMBER(F8867),C8867*F8867,"")</f>
        <v/>
      </c>
    </row>
    <row r="8868" spans="1:7" ht="12" customHeight="1" outlineLevel="2" x14ac:dyDescent="0.2">
      <c r="A8868" s="14" t="s">
        <v>17446</v>
      </c>
      <c r="B8868" s="15" t="s">
        <v>17447</v>
      </c>
      <c r="C8868" s="16">
        <f>92.61/(1+B2)</f>
        <v>92.61</v>
      </c>
      <c r="D8868" s="17" t="s">
        <v>11</v>
      </c>
      <c r="E8868" s="17" t="s">
        <v>14</v>
      </c>
      <c r="F8868" s="18"/>
      <c r="G8868" s="36" t="str">
        <f>IF(ISNUMBER(F8868),C8868*F8868,"")</f>
        <v/>
      </c>
    </row>
    <row r="8869" spans="1:7" ht="12" customHeight="1" outlineLevel="2" x14ac:dyDescent="0.2">
      <c r="A8869" s="14" t="s">
        <v>17448</v>
      </c>
      <c r="B8869" s="15" t="s">
        <v>17449</v>
      </c>
      <c r="C8869" s="16">
        <f>181.45/(1+B2)</f>
        <v>181.45</v>
      </c>
      <c r="D8869" s="17" t="s">
        <v>14</v>
      </c>
      <c r="E8869" s="17" t="s">
        <v>11</v>
      </c>
      <c r="F8869" s="18"/>
      <c r="G8869" s="36" t="str">
        <f>IF(ISNUMBER(F8869),C8869*F8869,"")</f>
        <v/>
      </c>
    </row>
    <row r="8870" spans="1:7" ht="12" customHeight="1" outlineLevel="2" x14ac:dyDescent="0.2">
      <c r="A8870" s="14" t="s">
        <v>17450</v>
      </c>
      <c r="B8870" s="15" t="s">
        <v>17451</v>
      </c>
      <c r="C8870" s="16">
        <f>502.24/(1+B2)</f>
        <v>502.24</v>
      </c>
      <c r="D8870" s="17" t="s">
        <v>11</v>
      </c>
      <c r="E8870" s="17"/>
      <c r="F8870" s="18"/>
      <c r="G8870" s="36" t="str">
        <f>IF(ISNUMBER(F8870),C8870*F8870,"")</f>
        <v/>
      </c>
    </row>
    <row r="8871" spans="1:7" ht="12" customHeight="1" outlineLevel="2" x14ac:dyDescent="0.2">
      <c r="A8871" s="14" t="s">
        <v>17452</v>
      </c>
      <c r="B8871" s="15" t="s">
        <v>17453</v>
      </c>
      <c r="C8871" s="16">
        <f>501.66/(1+B2)</f>
        <v>501.66</v>
      </c>
      <c r="D8871" s="17" t="s">
        <v>11</v>
      </c>
      <c r="E8871" s="17"/>
      <c r="F8871" s="18"/>
      <c r="G8871" s="36" t="str">
        <f>IF(ISNUMBER(F8871),C8871*F8871,"")</f>
        <v/>
      </c>
    </row>
    <row r="8872" spans="1:7" ht="12" customHeight="1" outlineLevel="2" x14ac:dyDescent="0.2">
      <c r="A8872" s="14" t="s">
        <v>17454</v>
      </c>
      <c r="B8872" s="15" t="s">
        <v>17455</v>
      </c>
      <c r="C8872" s="16">
        <f>449.02/(1+B2)</f>
        <v>449.02</v>
      </c>
      <c r="D8872" s="17" t="s">
        <v>11</v>
      </c>
      <c r="E8872" s="17"/>
      <c r="F8872" s="18"/>
      <c r="G8872" s="36" t="str">
        <f>IF(ISNUMBER(F8872),C8872*F8872,"")</f>
        <v/>
      </c>
    </row>
    <row r="8873" spans="1:7" ht="24" customHeight="1" outlineLevel="2" x14ac:dyDescent="0.2">
      <c r="A8873" s="14" t="s">
        <v>17456</v>
      </c>
      <c r="B8873" s="15" t="s">
        <v>17457</v>
      </c>
      <c r="C8873" s="16">
        <f>273.54/(1+B2)</f>
        <v>273.54000000000002</v>
      </c>
      <c r="D8873" s="17" t="s">
        <v>11</v>
      </c>
      <c r="E8873" s="17"/>
      <c r="F8873" s="18"/>
      <c r="G8873" s="36" t="str">
        <f>IF(ISNUMBER(F8873),C8873*F8873,"")</f>
        <v/>
      </c>
    </row>
    <row r="8874" spans="1:7" ht="24" customHeight="1" outlineLevel="2" x14ac:dyDescent="0.2">
      <c r="A8874" s="14" t="s">
        <v>17458</v>
      </c>
      <c r="B8874" s="15" t="s">
        <v>17459</v>
      </c>
      <c r="C8874" s="19">
        <f>1902.32/(1+B2)</f>
        <v>1902.32</v>
      </c>
      <c r="D8874" s="17" t="s">
        <v>11</v>
      </c>
      <c r="E8874" s="17"/>
      <c r="F8874" s="18"/>
      <c r="G8874" s="36" t="str">
        <f>IF(ISNUMBER(F8874),C8874*F8874,"")</f>
        <v/>
      </c>
    </row>
    <row r="8875" spans="1:7" ht="12" customHeight="1" outlineLevel="2" x14ac:dyDescent="0.2">
      <c r="A8875" s="14" t="s">
        <v>17460</v>
      </c>
      <c r="B8875" s="15" t="s">
        <v>17461</v>
      </c>
      <c r="C8875" s="16">
        <f>289.27/(1+B2)</f>
        <v>289.27</v>
      </c>
      <c r="D8875" s="17" t="s">
        <v>11</v>
      </c>
      <c r="E8875" s="17"/>
      <c r="F8875" s="18"/>
      <c r="G8875" s="36" t="str">
        <f>IF(ISNUMBER(F8875),C8875*F8875,"")</f>
        <v/>
      </c>
    </row>
    <row r="8876" spans="1:7" ht="12" customHeight="1" outlineLevel="2" x14ac:dyDescent="0.2">
      <c r="A8876" s="14" t="s">
        <v>17462</v>
      </c>
      <c r="B8876" s="15" t="s">
        <v>17463</v>
      </c>
      <c r="C8876" s="16">
        <f>258.56/(1+B2)</f>
        <v>258.56</v>
      </c>
      <c r="D8876" s="17" t="s">
        <v>11</v>
      </c>
      <c r="E8876" s="17"/>
      <c r="F8876" s="18"/>
      <c r="G8876" s="36" t="str">
        <f>IF(ISNUMBER(F8876),C8876*F8876,"")</f>
        <v/>
      </c>
    </row>
    <row r="8877" spans="1:7" ht="24" customHeight="1" outlineLevel="2" x14ac:dyDescent="0.2">
      <c r="A8877" s="14" t="s">
        <v>17464</v>
      </c>
      <c r="B8877" s="15" t="s">
        <v>17465</v>
      </c>
      <c r="C8877" s="19">
        <f>2129.03/(1+B2)</f>
        <v>2129.0300000000002</v>
      </c>
      <c r="D8877" s="17" t="s">
        <v>11</v>
      </c>
      <c r="E8877" s="17"/>
      <c r="F8877" s="18"/>
      <c r="G8877" s="36" t="str">
        <f>IF(ISNUMBER(F8877),C8877*F8877,"")</f>
        <v/>
      </c>
    </row>
    <row r="8878" spans="1:7" s="1" customFormat="1" ht="15.95" customHeight="1" outlineLevel="1" x14ac:dyDescent="0.25">
      <c r="A8878" s="11"/>
      <c r="B8878" s="12" t="s">
        <v>17466</v>
      </c>
      <c r="C8878" s="13"/>
      <c r="D8878" s="13"/>
      <c r="E8878" s="13"/>
      <c r="F8878" s="13"/>
      <c r="G8878" s="35"/>
    </row>
    <row r="8879" spans="1:7" ht="12" customHeight="1" outlineLevel="2" x14ac:dyDescent="0.2">
      <c r="A8879" s="14" t="s">
        <v>17467</v>
      </c>
      <c r="B8879" s="15" t="s">
        <v>17468</v>
      </c>
      <c r="C8879" s="19">
        <f>1281.19/(1+B2)</f>
        <v>1281.19</v>
      </c>
      <c r="D8879" s="17" t="s">
        <v>11</v>
      </c>
      <c r="E8879" s="17" t="s">
        <v>106</v>
      </c>
      <c r="F8879" s="18"/>
      <c r="G8879" s="36" t="str">
        <f>IF(ISNUMBER(F8879),C8879*F8879,"")</f>
        <v/>
      </c>
    </row>
    <row r="8880" spans="1:7" ht="12" customHeight="1" outlineLevel="2" x14ac:dyDescent="0.2">
      <c r="A8880" s="14" t="s">
        <v>17469</v>
      </c>
      <c r="B8880" s="15" t="s">
        <v>17470</v>
      </c>
      <c r="C8880" s="19">
        <f>1502.7/(1+B2)</f>
        <v>1502.7</v>
      </c>
      <c r="D8880" s="17" t="s">
        <v>11</v>
      </c>
      <c r="E8880" s="17"/>
      <c r="F8880" s="18"/>
      <c r="G8880" s="36" t="str">
        <f>IF(ISNUMBER(F8880),C8880*F8880,"")</f>
        <v/>
      </c>
    </row>
    <row r="8881" spans="1:7" ht="12" customHeight="1" outlineLevel="2" x14ac:dyDescent="0.2">
      <c r="A8881" s="14" t="s">
        <v>17471</v>
      </c>
      <c r="B8881" s="15" t="s">
        <v>17472</v>
      </c>
      <c r="C8881" s="19">
        <f>1502.7/(1+B2)</f>
        <v>1502.7</v>
      </c>
      <c r="D8881" s="17" t="s">
        <v>11</v>
      </c>
      <c r="E8881" s="17"/>
      <c r="F8881" s="18"/>
      <c r="G8881" s="36" t="str">
        <f>IF(ISNUMBER(F8881),C8881*F8881,"")</f>
        <v/>
      </c>
    </row>
    <row r="8882" spans="1:7" ht="12" customHeight="1" outlineLevel="2" x14ac:dyDescent="0.2">
      <c r="A8882" s="14" t="s">
        <v>17473</v>
      </c>
      <c r="B8882" s="15" t="s">
        <v>17474</v>
      </c>
      <c r="C8882" s="19">
        <f>1502.7/(1+B2)</f>
        <v>1502.7</v>
      </c>
      <c r="D8882" s="17" t="s">
        <v>11</v>
      </c>
      <c r="E8882" s="17"/>
      <c r="F8882" s="18"/>
      <c r="G8882" s="36" t="str">
        <f>IF(ISNUMBER(F8882),C8882*F8882,"")</f>
        <v/>
      </c>
    </row>
    <row r="8883" spans="1:7" ht="12" customHeight="1" outlineLevel="2" x14ac:dyDescent="0.2">
      <c r="A8883" s="14" t="s">
        <v>17475</v>
      </c>
      <c r="B8883" s="15" t="s">
        <v>17476</v>
      </c>
      <c r="C8883" s="19">
        <f>1637.99/(1+B2)</f>
        <v>1637.99</v>
      </c>
      <c r="D8883" s="17" t="s">
        <v>11</v>
      </c>
      <c r="E8883" s="17" t="s">
        <v>11</v>
      </c>
      <c r="F8883" s="18"/>
      <c r="G8883" s="36" t="str">
        <f>IF(ISNUMBER(F8883),C8883*F8883,"")</f>
        <v/>
      </c>
    </row>
    <row r="8884" spans="1:7" ht="12" customHeight="1" outlineLevel="2" x14ac:dyDescent="0.2">
      <c r="A8884" s="14" t="s">
        <v>17477</v>
      </c>
      <c r="B8884" s="15" t="s">
        <v>17478</v>
      </c>
      <c r="C8884" s="19">
        <f>1197.48/(1+B2)</f>
        <v>1197.48</v>
      </c>
      <c r="D8884" s="17" t="s">
        <v>11</v>
      </c>
      <c r="E8884" s="17" t="s">
        <v>53</v>
      </c>
      <c r="F8884" s="18"/>
      <c r="G8884" s="36" t="str">
        <f>IF(ISNUMBER(F8884),C8884*F8884,"")</f>
        <v/>
      </c>
    </row>
    <row r="8885" spans="1:7" s="1" customFormat="1" ht="15.95" customHeight="1" x14ac:dyDescent="0.25">
      <c r="A8885" s="8"/>
      <c r="B8885" s="9" t="s">
        <v>17479</v>
      </c>
      <c r="C8885" s="10"/>
      <c r="D8885" s="10"/>
      <c r="E8885" s="10"/>
      <c r="F8885" s="10"/>
      <c r="G8885" s="34"/>
    </row>
    <row r="8886" spans="1:7" s="1" customFormat="1" ht="15.95" customHeight="1" outlineLevel="1" x14ac:dyDescent="0.25">
      <c r="A8886" s="11"/>
      <c r="B8886" s="12" t="s">
        <v>17480</v>
      </c>
      <c r="C8886" s="13"/>
      <c r="D8886" s="13"/>
      <c r="E8886" s="13"/>
      <c r="F8886" s="13"/>
      <c r="G8886" s="35"/>
    </row>
    <row r="8887" spans="1:7" ht="12" customHeight="1" outlineLevel="2" x14ac:dyDescent="0.2">
      <c r="A8887" s="14" t="s">
        <v>17481</v>
      </c>
      <c r="B8887" s="15" t="s">
        <v>17482</v>
      </c>
      <c r="C8887" s="16">
        <f>80/(1+B2)</f>
        <v>80</v>
      </c>
      <c r="D8887" s="17" t="s">
        <v>11</v>
      </c>
      <c r="E8887" s="17"/>
      <c r="F8887" s="18"/>
      <c r="G8887" s="36" t="str">
        <f>IF(ISNUMBER(F8887),C8887*F8887,"")</f>
        <v/>
      </c>
    </row>
    <row r="8888" spans="1:7" ht="12" customHeight="1" outlineLevel="2" x14ac:dyDescent="0.2">
      <c r="A8888" s="14" t="s">
        <v>17483</v>
      </c>
      <c r="B8888" s="15" t="s">
        <v>17484</v>
      </c>
      <c r="C8888" s="16">
        <f>124.24/(1+B2)</f>
        <v>124.24</v>
      </c>
      <c r="D8888" s="17" t="s">
        <v>11</v>
      </c>
      <c r="E8888" s="17"/>
      <c r="F8888" s="18"/>
      <c r="G8888" s="36" t="str">
        <f>IF(ISNUMBER(F8888),C8888*F8888,"")</f>
        <v/>
      </c>
    </row>
    <row r="8889" spans="1:7" ht="12" customHeight="1" outlineLevel="2" x14ac:dyDescent="0.2">
      <c r="A8889" s="14" t="s">
        <v>17485</v>
      </c>
      <c r="B8889" s="15" t="s">
        <v>17486</v>
      </c>
      <c r="C8889" s="16">
        <f>279.39/(1+B2)</f>
        <v>279.39</v>
      </c>
      <c r="D8889" s="17" t="s">
        <v>53</v>
      </c>
      <c r="E8889" s="17"/>
      <c r="F8889" s="18"/>
      <c r="G8889" s="36" t="str">
        <f>IF(ISNUMBER(F8889),C8889*F8889,"")</f>
        <v/>
      </c>
    </row>
    <row r="8890" spans="1:7" ht="12" customHeight="1" outlineLevel="2" x14ac:dyDescent="0.2">
      <c r="A8890" s="14" t="s">
        <v>17487</v>
      </c>
      <c r="B8890" s="15" t="s">
        <v>17488</v>
      </c>
      <c r="C8890" s="16">
        <f>223.62/(1+B2)</f>
        <v>223.62</v>
      </c>
      <c r="D8890" s="17" t="s">
        <v>11</v>
      </c>
      <c r="E8890" s="17" t="s">
        <v>11</v>
      </c>
      <c r="F8890" s="18"/>
      <c r="G8890" s="36" t="str">
        <f>IF(ISNUMBER(F8890),C8890*F8890,"")</f>
        <v/>
      </c>
    </row>
    <row r="8891" spans="1:7" ht="12" customHeight="1" outlineLevel="2" x14ac:dyDescent="0.2">
      <c r="A8891" s="14" t="s">
        <v>17489</v>
      </c>
      <c r="B8891" s="15" t="s">
        <v>17490</v>
      </c>
      <c r="C8891" s="16">
        <f>234.01/(1+B2)</f>
        <v>234.01</v>
      </c>
      <c r="D8891" s="17" t="s">
        <v>11</v>
      </c>
      <c r="E8891" s="17"/>
      <c r="F8891" s="18"/>
      <c r="G8891" s="36" t="str">
        <f>IF(ISNUMBER(F8891),C8891*F8891,"")</f>
        <v/>
      </c>
    </row>
    <row r="8892" spans="1:7" ht="12" customHeight="1" outlineLevel="2" x14ac:dyDescent="0.2">
      <c r="A8892" s="14" t="s">
        <v>17491</v>
      </c>
      <c r="B8892" s="15" t="s">
        <v>17492</v>
      </c>
      <c r="C8892" s="16">
        <f>296/(1+B2)</f>
        <v>296</v>
      </c>
      <c r="D8892" s="17" t="s">
        <v>11</v>
      </c>
      <c r="E8892" s="17"/>
      <c r="F8892" s="18"/>
      <c r="G8892" s="36" t="str">
        <f>IF(ISNUMBER(F8892),C8892*F8892,"")</f>
        <v/>
      </c>
    </row>
    <row r="8893" spans="1:7" ht="12" customHeight="1" outlineLevel="2" x14ac:dyDescent="0.2">
      <c r="A8893" s="14" t="s">
        <v>17493</v>
      </c>
      <c r="B8893" s="15" t="s">
        <v>17494</v>
      </c>
      <c r="C8893" s="16">
        <f>315/(1+B2)</f>
        <v>315</v>
      </c>
      <c r="D8893" s="17" t="s">
        <v>11</v>
      </c>
      <c r="E8893" s="17"/>
      <c r="F8893" s="18"/>
      <c r="G8893" s="36" t="str">
        <f>IF(ISNUMBER(F8893),C8893*F8893,"")</f>
        <v/>
      </c>
    </row>
    <row r="8894" spans="1:7" ht="12" customHeight="1" outlineLevel="2" x14ac:dyDescent="0.2">
      <c r="A8894" s="14" t="s">
        <v>17495</v>
      </c>
      <c r="B8894" s="15" t="s">
        <v>17496</v>
      </c>
      <c r="C8894" s="16">
        <f>160/(1+B2)</f>
        <v>160</v>
      </c>
      <c r="D8894" s="17" t="s">
        <v>11</v>
      </c>
      <c r="E8894" s="17"/>
      <c r="F8894" s="18"/>
      <c r="G8894" s="36" t="str">
        <f>IF(ISNUMBER(F8894),C8894*F8894,"")</f>
        <v/>
      </c>
    </row>
    <row r="8895" spans="1:7" ht="12" customHeight="1" outlineLevel="2" x14ac:dyDescent="0.2">
      <c r="A8895" s="14" t="s">
        <v>17497</v>
      </c>
      <c r="B8895" s="15" t="s">
        <v>17498</v>
      </c>
      <c r="C8895" s="16">
        <f>404.31/(1+B2)</f>
        <v>404.31</v>
      </c>
      <c r="D8895" s="17" t="s">
        <v>11</v>
      </c>
      <c r="E8895" s="17" t="s">
        <v>11</v>
      </c>
      <c r="F8895" s="18"/>
      <c r="G8895" s="36" t="str">
        <f>IF(ISNUMBER(F8895),C8895*F8895,"")</f>
        <v/>
      </c>
    </row>
    <row r="8896" spans="1:7" ht="12" customHeight="1" outlineLevel="2" x14ac:dyDescent="0.2">
      <c r="A8896" s="14" t="s">
        <v>17499</v>
      </c>
      <c r="B8896" s="15" t="s">
        <v>17500</v>
      </c>
      <c r="C8896" s="16">
        <f>43.39/(1+B2)</f>
        <v>43.39</v>
      </c>
      <c r="D8896" s="17" t="s">
        <v>14</v>
      </c>
      <c r="E8896" s="17"/>
      <c r="F8896" s="18"/>
      <c r="G8896" s="36" t="str">
        <f>IF(ISNUMBER(F8896),C8896*F8896,"")</f>
        <v/>
      </c>
    </row>
    <row r="8897" spans="1:7" ht="12" customHeight="1" outlineLevel="2" x14ac:dyDescent="0.2">
      <c r="A8897" s="14" t="s">
        <v>17501</v>
      </c>
      <c r="B8897" s="15" t="s">
        <v>17502</v>
      </c>
      <c r="C8897" s="16">
        <f>117.59/(1+B2)</f>
        <v>117.59</v>
      </c>
      <c r="D8897" s="17" t="s">
        <v>14</v>
      </c>
      <c r="E8897" s="17"/>
      <c r="F8897" s="18"/>
      <c r="G8897" s="36" t="str">
        <f>IF(ISNUMBER(F8897),C8897*F8897,"")</f>
        <v/>
      </c>
    </row>
    <row r="8898" spans="1:7" ht="12" customHeight="1" outlineLevel="2" x14ac:dyDescent="0.2">
      <c r="A8898" s="14" t="s">
        <v>17503</v>
      </c>
      <c r="B8898" s="15" t="s">
        <v>17504</v>
      </c>
      <c r="C8898" s="16">
        <f>295.32/(1+B2)</f>
        <v>295.32</v>
      </c>
      <c r="D8898" s="17" t="s">
        <v>11</v>
      </c>
      <c r="E8898" s="17"/>
      <c r="F8898" s="18"/>
      <c r="G8898" s="36" t="str">
        <f>IF(ISNUMBER(F8898),C8898*F8898,"")</f>
        <v/>
      </c>
    </row>
    <row r="8899" spans="1:7" ht="12" customHeight="1" outlineLevel="2" x14ac:dyDescent="0.2">
      <c r="A8899" s="14" t="s">
        <v>17505</v>
      </c>
      <c r="B8899" s="15" t="s">
        <v>17506</v>
      </c>
      <c r="C8899" s="16">
        <f>457.32/(1+B2)</f>
        <v>457.32</v>
      </c>
      <c r="D8899" s="17" t="s">
        <v>11</v>
      </c>
      <c r="E8899" s="17"/>
      <c r="F8899" s="18"/>
      <c r="G8899" s="36" t="str">
        <f>IF(ISNUMBER(F8899),C8899*F8899,"")</f>
        <v/>
      </c>
    </row>
    <row r="8900" spans="1:7" ht="24" customHeight="1" outlineLevel="2" x14ac:dyDescent="0.2">
      <c r="A8900" s="14" t="s">
        <v>17507</v>
      </c>
      <c r="B8900" s="15" t="s">
        <v>17508</v>
      </c>
      <c r="C8900" s="16">
        <f>208.85/(1+B2)</f>
        <v>208.85</v>
      </c>
      <c r="D8900" s="17" t="s">
        <v>11</v>
      </c>
      <c r="E8900" s="17"/>
      <c r="F8900" s="18"/>
      <c r="G8900" s="36" t="str">
        <f>IF(ISNUMBER(F8900),C8900*F8900,"")</f>
        <v/>
      </c>
    </row>
    <row r="8901" spans="1:7" ht="12" customHeight="1" outlineLevel="2" x14ac:dyDescent="0.2">
      <c r="A8901" s="14" t="s">
        <v>17509</v>
      </c>
      <c r="B8901" s="15" t="s">
        <v>17510</v>
      </c>
      <c r="C8901" s="16">
        <f>249.01/(1+B2)</f>
        <v>249.01</v>
      </c>
      <c r="D8901" s="17" t="s">
        <v>11</v>
      </c>
      <c r="E8901" s="17"/>
      <c r="F8901" s="18"/>
      <c r="G8901" s="36" t="str">
        <f>IF(ISNUMBER(F8901),C8901*F8901,"")</f>
        <v/>
      </c>
    </row>
    <row r="8902" spans="1:7" ht="24" customHeight="1" outlineLevel="2" x14ac:dyDescent="0.2">
      <c r="A8902" s="14" t="s">
        <v>17511</v>
      </c>
      <c r="B8902" s="15" t="s">
        <v>17512</v>
      </c>
      <c r="C8902" s="16">
        <f>587.98/(1+B2)</f>
        <v>587.98</v>
      </c>
      <c r="D8902" s="17" t="s">
        <v>11</v>
      </c>
      <c r="E8902" s="17"/>
      <c r="F8902" s="18"/>
      <c r="G8902" s="36" t="str">
        <f>IF(ISNUMBER(F8902),C8902*F8902,"")</f>
        <v/>
      </c>
    </row>
    <row r="8903" spans="1:7" ht="24" customHeight="1" outlineLevel="2" x14ac:dyDescent="0.2">
      <c r="A8903" s="14" t="s">
        <v>17513</v>
      </c>
      <c r="B8903" s="15" t="s">
        <v>17514</v>
      </c>
      <c r="C8903" s="16">
        <f>418.12/(1+B2)</f>
        <v>418.12</v>
      </c>
      <c r="D8903" s="17" t="s">
        <v>11</v>
      </c>
      <c r="E8903" s="17"/>
      <c r="F8903" s="18"/>
      <c r="G8903" s="36" t="str">
        <f>IF(ISNUMBER(F8903),C8903*F8903,"")</f>
        <v/>
      </c>
    </row>
    <row r="8904" spans="1:7" ht="24" customHeight="1" outlineLevel="2" x14ac:dyDescent="0.2">
      <c r="A8904" s="14" t="s">
        <v>17515</v>
      </c>
      <c r="B8904" s="15" t="s">
        <v>17516</v>
      </c>
      <c r="C8904" s="16">
        <f>653.32/(1+B2)</f>
        <v>653.32000000000005</v>
      </c>
      <c r="D8904" s="17" t="s">
        <v>11</v>
      </c>
      <c r="E8904" s="17"/>
      <c r="F8904" s="18"/>
      <c r="G8904" s="36" t="str">
        <f>IF(ISNUMBER(F8904),C8904*F8904,"")</f>
        <v/>
      </c>
    </row>
    <row r="8905" spans="1:7" ht="24" customHeight="1" outlineLevel="2" x14ac:dyDescent="0.2">
      <c r="A8905" s="14" t="s">
        <v>17517</v>
      </c>
      <c r="B8905" s="15" t="s">
        <v>17518</v>
      </c>
      <c r="C8905" s="16">
        <f>320.13/(1+B2)</f>
        <v>320.13</v>
      </c>
      <c r="D8905" s="17" t="s">
        <v>14</v>
      </c>
      <c r="E8905" s="17"/>
      <c r="F8905" s="18"/>
      <c r="G8905" s="36" t="str">
        <f>IF(ISNUMBER(F8905),C8905*F8905,"")</f>
        <v/>
      </c>
    </row>
    <row r="8906" spans="1:7" ht="24" customHeight="1" outlineLevel="2" x14ac:dyDescent="0.2">
      <c r="A8906" s="14" t="s">
        <v>17519</v>
      </c>
      <c r="B8906" s="15" t="s">
        <v>17520</v>
      </c>
      <c r="C8906" s="16">
        <f>248.26/(1+B2)</f>
        <v>248.26</v>
      </c>
      <c r="D8906" s="17" t="s">
        <v>14</v>
      </c>
      <c r="E8906" s="17"/>
      <c r="F8906" s="18"/>
      <c r="G8906" s="36" t="str">
        <f>IF(ISNUMBER(F8906),C8906*F8906,"")</f>
        <v/>
      </c>
    </row>
    <row r="8907" spans="1:7" ht="24" customHeight="1" outlineLevel="2" x14ac:dyDescent="0.2">
      <c r="A8907" s="14" t="s">
        <v>17521</v>
      </c>
      <c r="B8907" s="15" t="s">
        <v>17522</v>
      </c>
      <c r="C8907" s="16">
        <f>143.73/(1+B2)</f>
        <v>143.72999999999999</v>
      </c>
      <c r="D8907" s="17" t="s">
        <v>11</v>
      </c>
      <c r="E8907" s="17" t="s">
        <v>14</v>
      </c>
      <c r="F8907" s="18"/>
      <c r="G8907" s="36" t="str">
        <f>IF(ISNUMBER(F8907),C8907*F8907,"")</f>
        <v/>
      </c>
    </row>
    <row r="8908" spans="1:7" ht="24" customHeight="1" outlineLevel="2" x14ac:dyDescent="0.2">
      <c r="A8908" s="14" t="s">
        <v>17523</v>
      </c>
      <c r="B8908" s="15" t="s">
        <v>17524</v>
      </c>
      <c r="C8908" s="16">
        <f>307.5/(1+B2)</f>
        <v>307.5</v>
      </c>
      <c r="D8908" s="17" t="s">
        <v>11</v>
      </c>
      <c r="E8908" s="17"/>
      <c r="F8908" s="18"/>
      <c r="G8908" s="36" t="str">
        <f>IF(ISNUMBER(F8908),C8908*F8908,"")</f>
        <v/>
      </c>
    </row>
    <row r="8909" spans="1:7" ht="24" customHeight="1" outlineLevel="2" x14ac:dyDescent="0.2">
      <c r="A8909" s="14" t="s">
        <v>17525</v>
      </c>
      <c r="B8909" s="15" t="s">
        <v>17526</v>
      </c>
      <c r="C8909" s="16">
        <f>316.35/(1+B2)</f>
        <v>316.35000000000002</v>
      </c>
      <c r="D8909" s="17" t="s">
        <v>11</v>
      </c>
      <c r="E8909" s="17"/>
      <c r="F8909" s="18"/>
      <c r="G8909" s="36" t="str">
        <f>IF(ISNUMBER(F8909),C8909*F8909,"")</f>
        <v/>
      </c>
    </row>
    <row r="8910" spans="1:7" ht="24" customHeight="1" outlineLevel="2" x14ac:dyDescent="0.2">
      <c r="A8910" s="14" t="s">
        <v>17527</v>
      </c>
      <c r="B8910" s="15" t="s">
        <v>17528</v>
      </c>
      <c r="C8910" s="16">
        <f>326.66/(1+B2)</f>
        <v>326.66000000000003</v>
      </c>
      <c r="D8910" s="17" t="s">
        <v>11</v>
      </c>
      <c r="E8910" s="17" t="s">
        <v>11</v>
      </c>
      <c r="F8910" s="18"/>
      <c r="G8910" s="36" t="str">
        <f>IF(ISNUMBER(F8910),C8910*F8910,"")</f>
        <v/>
      </c>
    </row>
    <row r="8911" spans="1:7" ht="24" customHeight="1" outlineLevel="2" x14ac:dyDescent="0.2">
      <c r="A8911" s="14" t="s">
        <v>17529</v>
      </c>
      <c r="B8911" s="15" t="s">
        <v>17530</v>
      </c>
      <c r="C8911" s="16">
        <f>548.78/(1+B2)</f>
        <v>548.78</v>
      </c>
      <c r="D8911" s="17" t="s">
        <v>11</v>
      </c>
      <c r="E8911" s="17"/>
      <c r="F8911" s="18"/>
      <c r="G8911" s="36" t="str">
        <f>IF(ISNUMBER(F8911),C8911*F8911,"")</f>
        <v/>
      </c>
    </row>
    <row r="8912" spans="1:7" ht="24" customHeight="1" outlineLevel="2" x14ac:dyDescent="0.2">
      <c r="A8912" s="14" t="s">
        <v>17531</v>
      </c>
      <c r="B8912" s="15" t="s">
        <v>17532</v>
      </c>
      <c r="C8912" s="16">
        <f>451.06/(1+B2)</f>
        <v>451.06</v>
      </c>
      <c r="D8912" s="17" t="s">
        <v>11</v>
      </c>
      <c r="E8912" s="17"/>
      <c r="F8912" s="18"/>
      <c r="G8912" s="36" t="str">
        <f>IF(ISNUMBER(F8912),C8912*F8912,"")</f>
        <v/>
      </c>
    </row>
    <row r="8913" spans="1:7" ht="12" customHeight="1" outlineLevel="2" x14ac:dyDescent="0.2">
      <c r="A8913" s="14" t="s">
        <v>17533</v>
      </c>
      <c r="B8913" s="15" t="s">
        <v>17534</v>
      </c>
      <c r="C8913" s="16">
        <f>199.84/(1+B2)</f>
        <v>199.84</v>
      </c>
      <c r="D8913" s="17" t="s">
        <v>11</v>
      </c>
      <c r="E8913" s="17" t="s">
        <v>11</v>
      </c>
      <c r="F8913" s="18"/>
      <c r="G8913" s="36" t="str">
        <f>IF(ISNUMBER(F8913),C8913*F8913,"")</f>
        <v/>
      </c>
    </row>
    <row r="8914" spans="1:7" ht="12" customHeight="1" outlineLevel="2" x14ac:dyDescent="0.2">
      <c r="A8914" s="14" t="s">
        <v>17535</v>
      </c>
      <c r="B8914" s="15" t="s">
        <v>17536</v>
      </c>
      <c r="C8914" s="16">
        <f>127.16/(1+B2)</f>
        <v>127.16</v>
      </c>
      <c r="D8914" s="17" t="s">
        <v>11</v>
      </c>
      <c r="E8914" s="17" t="s">
        <v>11</v>
      </c>
      <c r="F8914" s="18"/>
      <c r="G8914" s="36" t="str">
        <f>IF(ISNUMBER(F8914),C8914*F8914,"")</f>
        <v/>
      </c>
    </row>
    <row r="8915" spans="1:7" ht="12" customHeight="1" outlineLevel="2" x14ac:dyDescent="0.2">
      <c r="A8915" s="14" t="s">
        <v>17537</v>
      </c>
      <c r="B8915" s="15" t="s">
        <v>17538</v>
      </c>
      <c r="C8915" s="16">
        <f>126.4/(1+B2)</f>
        <v>126.4</v>
      </c>
      <c r="D8915" s="17" t="s">
        <v>11</v>
      </c>
      <c r="E8915" s="17"/>
      <c r="F8915" s="18"/>
      <c r="G8915" s="36" t="str">
        <f>IF(ISNUMBER(F8915),C8915*F8915,"")</f>
        <v/>
      </c>
    </row>
    <row r="8916" spans="1:7" ht="12" customHeight="1" outlineLevel="2" x14ac:dyDescent="0.2">
      <c r="A8916" s="14" t="s">
        <v>17539</v>
      </c>
      <c r="B8916" s="15" t="s">
        <v>17540</v>
      </c>
      <c r="C8916" s="16">
        <f>125.42/(1+B2)</f>
        <v>125.42</v>
      </c>
      <c r="D8916" s="17" t="s">
        <v>11</v>
      </c>
      <c r="E8916" s="17" t="s">
        <v>11</v>
      </c>
      <c r="F8916" s="18"/>
      <c r="G8916" s="36" t="str">
        <f>IF(ISNUMBER(F8916),C8916*F8916,"")</f>
        <v/>
      </c>
    </row>
    <row r="8917" spans="1:7" ht="12" customHeight="1" outlineLevel="2" x14ac:dyDescent="0.2">
      <c r="A8917" s="14" t="s">
        <v>17541</v>
      </c>
      <c r="B8917" s="15" t="s">
        <v>17542</v>
      </c>
      <c r="C8917" s="16">
        <f>125.66/(1+B2)</f>
        <v>125.66</v>
      </c>
      <c r="D8917" s="17" t="s">
        <v>11</v>
      </c>
      <c r="E8917" s="17" t="s">
        <v>11</v>
      </c>
      <c r="F8917" s="18"/>
      <c r="G8917" s="36" t="str">
        <f>IF(ISNUMBER(F8917),C8917*F8917,"")</f>
        <v/>
      </c>
    </row>
    <row r="8918" spans="1:7" ht="24" customHeight="1" outlineLevel="2" x14ac:dyDescent="0.2">
      <c r="A8918" s="14" t="s">
        <v>17543</v>
      </c>
      <c r="B8918" s="15" t="s">
        <v>17544</v>
      </c>
      <c r="C8918" s="16">
        <f>261.31/(1+B2)</f>
        <v>261.31</v>
      </c>
      <c r="D8918" s="17" t="s">
        <v>11</v>
      </c>
      <c r="E8918" s="17"/>
      <c r="F8918" s="18"/>
      <c r="G8918" s="36" t="str">
        <f>IF(ISNUMBER(F8918),C8918*F8918,"")</f>
        <v/>
      </c>
    </row>
    <row r="8919" spans="1:7" ht="24" customHeight="1" outlineLevel="2" x14ac:dyDescent="0.2">
      <c r="A8919" s="14" t="s">
        <v>17545</v>
      </c>
      <c r="B8919" s="15" t="s">
        <v>17546</v>
      </c>
      <c r="C8919" s="16">
        <f>261.31/(1+B2)</f>
        <v>261.31</v>
      </c>
      <c r="D8919" s="17" t="s">
        <v>11</v>
      </c>
      <c r="E8919" s="17"/>
      <c r="F8919" s="18"/>
      <c r="G8919" s="36" t="str">
        <f>IF(ISNUMBER(F8919),C8919*F8919,"")</f>
        <v/>
      </c>
    </row>
    <row r="8920" spans="1:7" ht="12" customHeight="1" outlineLevel="2" x14ac:dyDescent="0.2">
      <c r="A8920" s="14" t="s">
        <v>17547</v>
      </c>
      <c r="B8920" s="15" t="s">
        <v>17548</v>
      </c>
      <c r="C8920" s="16">
        <f>247.49/(1+B2)</f>
        <v>247.49</v>
      </c>
      <c r="D8920" s="17" t="s">
        <v>11</v>
      </c>
      <c r="E8920" s="17"/>
      <c r="F8920" s="18"/>
      <c r="G8920" s="36" t="str">
        <f>IF(ISNUMBER(F8920),C8920*F8920,"")</f>
        <v/>
      </c>
    </row>
    <row r="8921" spans="1:7" ht="24" customHeight="1" outlineLevel="2" x14ac:dyDescent="0.2">
      <c r="A8921" s="14" t="s">
        <v>17549</v>
      </c>
      <c r="B8921" s="15" t="s">
        <v>17550</v>
      </c>
      <c r="C8921" s="16">
        <f>72.74/(1+B2)</f>
        <v>72.739999999999995</v>
      </c>
      <c r="D8921" s="17" t="s">
        <v>53</v>
      </c>
      <c r="E8921" s="17"/>
      <c r="F8921" s="18"/>
      <c r="G8921" s="36" t="str">
        <f>IF(ISNUMBER(F8921),C8921*F8921,"")</f>
        <v/>
      </c>
    </row>
    <row r="8922" spans="1:7" ht="12" customHeight="1" outlineLevel="2" x14ac:dyDescent="0.2">
      <c r="A8922" s="14" t="s">
        <v>17551</v>
      </c>
      <c r="B8922" s="15" t="s">
        <v>17552</v>
      </c>
      <c r="C8922" s="16">
        <f>318.68/(1+B2)</f>
        <v>318.68</v>
      </c>
      <c r="D8922" s="17" t="s">
        <v>11</v>
      </c>
      <c r="E8922" s="17"/>
      <c r="F8922" s="18"/>
      <c r="G8922" s="36" t="str">
        <f>IF(ISNUMBER(F8922),C8922*F8922,"")</f>
        <v/>
      </c>
    </row>
    <row r="8923" spans="1:7" ht="12" customHeight="1" outlineLevel="2" x14ac:dyDescent="0.2">
      <c r="A8923" s="14" t="s">
        <v>17553</v>
      </c>
      <c r="B8923" s="15" t="s">
        <v>17554</v>
      </c>
      <c r="C8923" s="19">
        <f>1177.99/(1+B2)</f>
        <v>1177.99</v>
      </c>
      <c r="D8923" s="17" t="s">
        <v>11</v>
      </c>
      <c r="E8923" s="17"/>
      <c r="F8923" s="18"/>
      <c r="G8923" s="36" t="str">
        <f>IF(ISNUMBER(F8923),C8923*F8923,"")</f>
        <v/>
      </c>
    </row>
    <row r="8924" spans="1:7" ht="12" customHeight="1" outlineLevel="2" x14ac:dyDescent="0.2">
      <c r="A8924" s="14" t="s">
        <v>17555</v>
      </c>
      <c r="B8924" s="15" t="s">
        <v>17556</v>
      </c>
      <c r="C8924" s="16">
        <f>461.43/(1+B2)</f>
        <v>461.43</v>
      </c>
      <c r="D8924" s="17" t="s">
        <v>11</v>
      </c>
      <c r="E8924" s="17"/>
      <c r="F8924" s="18"/>
      <c r="G8924" s="36" t="str">
        <f>IF(ISNUMBER(F8924),C8924*F8924,"")</f>
        <v/>
      </c>
    </row>
    <row r="8925" spans="1:7" ht="24" customHeight="1" outlineLevel="2" x14ac:dyDescent="0.2">
      <c r="A8925" s="14" t="s">
        <v>17557</v>
      </c>
      <c r="B8925" s="15" t="s">
        <v>17558</v>
      </c>
      <c r="C8925" s="16">
        <f>285.01/(1+B2)</f>
        <v>285.01</v>
      </c>
      <c r="D8925" s="17" t="s">
        <v>11</v>
      </c>
      <c r="E8925" s="17"/>
      <c r="F8925" s="18"/>
      <c r="G8925" s="36" t="str">
        <f>IF(ISNUMBER(F8925),C8925*F8925,"")</f>
        <v/>
      </c>
    </row>
    <row r="8926" spans="1:7" ht="24" customHeight="1" outlineLevel="2" x14ac:dyDescent="0.2">
      <c r="A8926" s="14" t="s">
        <v>17559</v>
      </c>
      <c r="B8926" s="15" t="s">
        <v>17560</v>
      </c>
      <c r="C8926" s="16">
        <f>457.32/(1+B2)</f>
        <v>457.32</v>
      </c>
      <c r="D8926" s="17" t="s">
        <v>11</v>
      </c>
      <c r="E8926" s="17"/>
      <c r="F8926" s="18"/>
      <c r="G8926" s="36" t="str">
        <f>IF(ISNUMBER(F8926),C8926*F8926,"")</f>
        <v/>
      </c>
    </row>
    <row r="8927" spans="1:7" ht="24" customHeight="1" outlineLevel="2" x14ac:dyDescent="0.2">
      <c r="A8927" s="14" t="s">
        <v>17561</v>
      </c>
      <c r="B8927" s="15" t="s">
        <v>17562</v>
      </c>
      <c r="C8927" s="16">
        <f>718.63/(1+B2)</f>
        <v>718.63</v>
      </c>
      <c r="D8927" s="17" t="s">
        <v>11</v>
      </c>
      <c r="E8927" s="17"/>
      <c r="F8927" s="18"/>
      <c r="G8927" s="36" t="str">
        <f>IF(ISNUMBER(F8927),C8927*F8927,"")</f>
        <v/>
      </c>
    </row>
    <row r="8928" spans="1:7" s="1" customFormat="1" ht="15.95" customHeight="1" outlineLevel="1" x14ac:dyDescent="0.25">
      <c r="A8928" s="11"/>
      <c r="B8928" s="12" t="s">
        <v>17563</v>
      </c>
      <c r="C8928" s="13"/>
      <c r="D8928" s="13"/>
      <c r="E8928" s="13"/>
      <c r="F8928" s="13"/>
      <c r="G8928" s="35"/>
    </row>
    <row r="8929" spans="1:7" ht="12" customHeight="1" outlineLevel="2" x14ac:dyDescent="0.2">
      <c r="A8929" s="14" t="s">
        <v>17564</v>
      </c>
      <c r="B8929" s="15" t="s">
        <v>17565</v>
      </c>
      <c r="C8929" s="19">
        <f>1509.86/(1+B2)</f>
        <v>1509.86</v>
      </c>
      <c r="D8929" s="17" t="s">
        <v>11</v>
      </c>
      <c r="E8929" s="17" t="s">
        <v>106</v>
      </c>
      <c r="F8929" s="18"/>
      <c r="G8929" s="36" t="str">
        <f>IF(ISNUMBER(F8929),C8929*F8929,"")</f>
        <v/>
      </c>
    </row>
    <row r="8930" spans="1:7" ht="24" customHeight="1" outlineLevel="2" x14ac:dyDescent="0.2">
      <c r="A8930" s="14" t="s">
        <v>17566</v>
      </c>
      <c r="B8930" s="15" t="s">
        <v>17567</v>
      </c>
      <c r="C8930" s="19">
        <f>1721.25/(1+B2)</f>
        <v>1721.25</v>
      </c>
      <c r="D8930" s="17" t="s">
        <v>11</v>
      </c>
      <c r="E8930" s="17" t="s">
        <v>106</v>
      </c>
      <c r="F8930" s="18"/>
      <c r="G8930" s="36" t="str">
        <f>IF(ISNUMBER(F8930),C8930*F8930,"")</f>
        <v/>
      </c>
    </row>
    <row r="8931" spans="1:7" ht="12" customHeight="1" outlineLevel="2" x14ac:dyDescent="0.2">
      <c r="A8931" s="14" t="s">
        <v>17568</v>
      </c>
      <c r="B8931" s="15" t="s">
        <v>17569</v>
      </c>
      <c r="C8931" s="19">
        <f>2145/(1+B2)</f>
        <v>2145</v>
      </c>
      <c r="D8931" s="17" t="s">
        <v>11</v>
      </c>
      <c r="E8931" s="17" t="s">
        <v>14</v>
      </c>
      <c r="F8931" s="18"/>
      <c r="G8931" s="36" t="str">
        <f>IF(ISNUMBER(F8931),C8931*F8931,"")</f>
        <v/>
      </c>
    </row>
    <row r="8932" spans="1:7" ht="12" customHeight="1" outlineLevel="2" x14ac:dyDescent="0.2">
      <c r="A8932" s="14" t="s">
        <v>17570</v>
      </c>
      <c r="B8932" s="15" t="s">
        <v>17571</v>
      </c>
      <c r="C8932" s="19">
        <f>2338/(1+B2)</f>
        <v>2338</v>
      </c>
      <c r="D8932" s="17" t="s">
        <v>11</v>
      </c>
      <c r="E8932" s="17"/>
      <c r="F8932" s="18"/>
      <c r="G8932" s="36" t="str">
        <f>IF(ISNUMBER(F8932),C8932*F8932,"")</f>
        <v/>
      </c>
    </row>
    <row r="8933" spans="1:7" ht="12" customHeight="1" outlineLevel="2" x14ac:dyDescent="0.2">
      <c r="A8933" s="14" t="s">
        <v>17572</v>
      </c>
      <c r="B8933" s="15" t="s">
        <v>17573</v>
      </c>
      <c r="C8933" s="19">
        <f>1595/(1+B2)</f>
        <v>1595</v>
      </c>
      <c r="D8933" s="17" t="s">
        <v>11</v>
      </c>
      <c r="E8933" s="17" t="s">
        <v>11</v>
      </c>
      <c r="F8933" s="18"/>
      <c r="G8933" s="36" t="str">
        <f>IF(ISNUMBER(F8933),C8933*F8933,"")</f>
        <v/>
      </c>
    </row>
    <row r="8934" spans="1:7" ht="12" customHeight="1" outlineLevel="2" x14ac:dyDescent="0.2">
      <c r="A8934" s="14" t="s">
        <v>17574</v>
      </c>
      <c r="B8934" s="15" t="s">
        <v>17575</v>
      </c>
      <c r="C8934" s="19">
        <f>1926/(1+B2)</f>
        <v>1926</v>
      </c>
      <c r="D8934" s="17" t="s">
        <v>11</v>
      </c>
      <c r="E8934" s="17" t="s">
        <v>11</v>
      </c>
      <c r="F8934" s="18"/>
      <c r="G8934" s="36" t="str">
        <f>IF(ISNUMBER(F8934),C8934*F8934,"")</f>
        <v/>
      </c>
    </row>
    <row r="8935" spans="1:7" ht="12" customHeight="1" outlineLevel="2" x14ac:dyDescent="0.2">
      <c r="A8935" s="14" t="s">
        <v>17576</v>
      </c>
      <c r="B8935" s="15" t="s">
        <v>17577</v>
      </c>
      <c r="C8935" s="19">
        <f>2274.81/(1+B2)</f>
        <v>2274.81</v>
      </c>
      <c r="D8935" s="17" t="s">
        <v>11</v>
      </c>
      <c r="E8935" s="17" t="s">
        <v>14</v>
      </c>
      <c r="F8935" s="18"/>
      <c r="G8935" s="36" t="str">
        <f>IF(ISNUMBER(F8935),C8935*F8935,"")</f>
        <v/>
      </c>
    </row>
    <row r="8936" spans="1:7" ht="12" customHeight="1" outlineLevel="2" x14ac:dyDescent="0.2">
      <c r="A8936" s="14" t="s">
        <v>17578</v>
      </c>
      <c r="B8936" s="15" t="s">
        <v>17579</v>
      </c>
      <c r="C8936" s="19">
        <f>2218/(1+B2)</f>
        <v>2218</v>
      </c>
      <c r="D8936" s="17" t="s">
        <v>11</v>
      </c>
      <c r="E8936" s="17" t="s">
        <v>14</v>
      </c>
      <c r="F8936" s="18"/>
      <c r="G8936" s="36" t="str">
        <f>IF(ISNUMBER(F8936),C8936*F8936,"")</f>
        <v/>
      </c>
    </row>
    <row r="8937" spans="1:7" ht="12" customHeight="1" outlineLevel="2" x14ac:dyDescent="0.2">
      <c r="A8937" s="14" t="s">
        <v>17580</v>
      </c>
      <c r="B8937" s="15" t="s">
        <v>17581</v>
      </c>
      <c r="C8937" s="16">
        <f>585.87/(1+B2)</f>
        <v>585.87</v>
      </c>
      <c r="D8937" s="17" t="s">
        <v>11</v>
      </c>
      <c r="E8937" s="17" t="s">
        <v>106</v>
      </c>
      <c r="F8937" s="18"/>
      <c r="G8937" s="36" t="str">
        <f>IF(ISNUMBER(F8937),C8937*F8937,"")</f>
        <v/>
      </c>
    </row>
    <row r="8938" spans="1:7" ht="12" customHeight="1" outlineLevel="2" x14ac:dyDescent="0.2">
      <c r="A8938" s="14" t="s">
        <v>17582</v>
      </c>
      <c r="B8938" s="15" t="s">
        <v>17583</v>
      </c>
      <c r="C8938" s="19">
        <f>2331.97/(1+B2)</f>
        <v>2331.9699999999998</v>
      </c>
      <c r="D8938" s="17" t="s">
        <v>11</v>
      </c>
      <c r="E8938" s="17" t="s">
        <v>14</v>
      </c>
      <c r="F8938" s="18"/>
      <c r="G8938" s="36" t="str">
        <f>IF(ISNUMBER(F8938),C8938*F8938,"")</f>
        <v/>
      </c>
    </row>
    <row r="8939" spans="1:7" ht="12" customHeight="1" outlineLevel="2" x14ac:dyDescent="0.2">
      <c r="A8939" s="14" t="s">
        <v>17584</v>
      </c>
      <c r="B8939" s="15" t="s">
        <v>17585</v>
      </c>
      <c r="C8939" s="19">
        <f>1870.49/(1+B2)</f>
        <v>1870.49</v>
      </c>
      <c r="D8939" s="17" t="s">
        <v>11</v>
      </c>
      <c r="E8939" s="17" t="s">
        <v>11</v>
      </c>
      <c r="F8939" s="18"/>
      <c r="G8939" s="36" t="str">
        <f>IF(ISNUMBER(F8939),C8939*F8939,"")</f>
        <v/>
      </c>
    </row>
    <row r="8940" spans="1:7" ht="12" customHeight="1" outlineLevel="2" x14ac:dyDescent="0.2">
      <c r="A8940" s="14" t="s">
        <v>17586</v>
      </c>
      <c r="B8940" s="15" t="s">
        <v>17587</v>
      </c>
      <c r="C8940" s="19">
        <f>1600/(1+B2)</f>
        <v>1600</v>
      </c>
      <c r="D8940" s="17" t="s">
        <v>11</v>
      </c>
      <c r="E8940" s="17" t="s">
        <v>11</v>
      </c>
      <c r="F8940" s="18"/>
      <c r="G8940" s="36" t="str">
        <f>IF(ISNUMBER(F8940),C8940*F8940,"")</f>
        <v/>
      </c>
    </row>
    <row r="8941" spans="1:7" ht="12" customHeight="1" outlineLevel="2" x14ac:dyDescent="0.2">
      <c r="A8941" s="14" t="s">
        <v>17588</v>
      </c>
      <c r="B8941" s="15" t="s">
        <v>17589</v>
      </c>
      <c r="C8941" s="19">
        <f>1937/(1+B2)</f>
        <v>1937</v>
      </c>
      <c r="D8941" s="17" t="s">
        <v>11</v>
      </c>
      <c r="E8941" s="17" t="s">
        <v>14</v>
      </c>
      <c r="F8941" s="18"/>
      <c r="G8941" s="36" t="str">
        <f>IF(ISNUMBER(F8941),C8941*F8941,"")</f>
        <v/>
      </c>
    </row>
    <row r="8942" spans="1:7" ht="12" customHeight="1" outlineLevel="2" x14ac:dyDescent="0.2">
      <c r="A8942" s="14" t="s">
        <v>17590</v>
      </c>
      <c r="B8942" s="15" t="s">
        <v>17591</v>
      </c>
      <c r="C8942" s="19">
        <f>1604/(1+B2)</f>
        <v>1604</v>
      </c>
      <c r="D8942" s="17" t="s">
        <v>11</v>
      </c>
      <c r="E8942" s="17" t="s">
        <v>11</v>
      </c>
      <c r="F8942" s="18"/>
      <c r="G8942" s="36" t="str">
        <f>IF(ISNUMBER(F8942),C8942*F8942,"")</f>
        <v/>
      </c>
    </row>
    <row r="8943" spans="1:7" ht="12" customHeight="1" outlineLevel="2" x14ac:dyDescent="0.2">
      <c r="A8943" s="14" t="s">
        <v>17592</v>
      </c>
      <c r="B8943" s="15" t="s">
        <v>17593</v>
      </c>
      <c r="C8943" s="19">
        <f>2075/(1+B2)</f>
        <v>2075</v>
      </c>
      <c r="D8943" s="17" t="s">
        <v>11</v>
      </c>
      <c r="E8943" s="17" t="s">
        <v>11</v>
      </c>
      <c r="F8943" s="18"/>
      <c r="G8943" s="36" t="str">
        <f>IF(ISNUMBER(F8943),C8943*F8943,"")</f>
        <v/>
      </c>
    </row>
    <row r="8944" spans="1:7" ht="12" customHeight="1" outlineLevel="2" x14ac:dyDescent="0.2">
      <c r="A8944" s="14" t="s">
        <v>17594</v>
      </c>
      <c r="B8944" s="15" t="s">
        <v>17595</v>
      </c>
      <c r="C8944" s="19">
        <f>2358.84/(1+B2)</f>
        <v>2358.84</v>
      </c>
      <c r="D8944" s="17" t="s">
        <v>11</v>
      </c>
      <c r="E8944" s="17" t="s">
        <v>11</v>
      </c>
      <c r="F8944" s="18"/>
      <c r="G8944" s="36" t="str">
        <f>IF(ISNUMBER(F8944),C8944*F8944,"")</f>
        <v/>
      </c>
    </row>
    <row r="8945" spans="1:7" ht="12" customHeight="1" outlineLevel="2" x14ac:dyDescent="0.2">
      <c r="A8945" s="14" t="s">
        <v>17596</v>
      </c>
      <c r="B8945" s="15" t="s">
        <v>17597</v>
      </c>
      <c r="C8945" s="19">
        <f>1033/(1+B2)</f>
        <v>1033</v>
      </c>
      <c r="D8945" s="17" t="s">
        <v>11</v>
      </c>
      <c r="E8945" s="17" t="s">
        <v>53</v>
      </c>
      <c r="F8945" s="18"/>
      <c r="G8945" s="36" t="str">
        <f>IF(ISNUMBER(F8945),C8945*F8945,"")</f>
        <v/>
      </c>
    </row>
    <row r="8946" spans="1:7" ht="12" customHeight="1" outlineLevel="2" x14ac:dyDescent="0.2">
      <c r="A8946" s="14" t="s">
        <v>17598</v>
      </c>
      <c r="B8946" s="15" t="s">
        <v>17599</v>
      </c>
      <c r="C8946" s="16">
        <f>793.82/(1+B2)</f>
        <v>793.82</v>
      </c>
      <c r="D8946" s="17" t="s">
        <v>11</v>
      </c>
      <c r="E8946" s="17" t="s">
        <v>14</v>
      </c>
      <c r="F8946" s="18"/>
      <c r="G8946" s="36" t="str">
        <f>IF(ISNUMBER(F8946),C8946*F8946,"")</f>
        <v/>
      </c>
    </row>
    <row r="8947" spans="1:7" ht="12" customHeight="1" outlineLevel="2" x14ac:dyDescent="0.2">
      <c r="A8947" s="14" t="s">
        <v>17600</v>
      </c>
      <c r="B8947" s="15" t="s">
        <v>17601</v>
      </c>
      <c r="C8947" s="19">
        <f>1300.34/(1+B2)</f>
        <v>1300.3399999999999</v>
      </c>
      <c r="D8947" s="17" t="s">
        <v>11</v>
      </c>
      <c r="E8947" s="17" t="s">
        <v>53</v>
      </c>
      <c r="F8947" s="18"/>
      <c r="G8947" s="36" t="str">
        <f>IF(ISNUMBER(F8947),C8947*F8947,"")</f>
        <v/>
      </c>
    </row>
    <row r="8948" spans="1:7" ht="12" customHeight="1" outlineLevel="2" x14ac:dyDescent="0.2">
      <c r="A8948" s="14" t="s">
        <v>17602</v>
      </c>
      <c r="B8948" s="15" t="s">
        <v>17603</v>
      </c>
      <c r="C8948" s="19">
        <f>1372.28/(1+B2)</f>
        <v>1372.28</v>
      </c>
      <c r="D8948" s="17" t="s">
        <v>11</v>
      </c>
      <c r="E8948" s="17" t="s">
        <v>53</v>
      </c>
      <c r="F8948" s="18"/>
      <c r="G8948" s="36" t="str">
        <f>IF(ISNUMBER(F8948),C8948*F8948,"")</f>
        <v/>
      </c>
    </row>
    <row r="8949" spans="1:7" ht="12" customHeight="1" outlineLevel="2" x14ac:dyDescent="0.2">
      <c r="A8949" s="14" t="s">
        <v>17604</v>
      </c>
      <c r="B8949" s="15" t="s">
        <v>17605</v>
      </c>
      <c r="C8949" s="19">
        <f>1400/(1+B2)</f>
        <v>1400</v>
      </c>
      <c r="D8949" s="17" t="s">
        <v>11</v>
      </c>
      <c r="E8949" s="17" t="s">
        <v>14</v>
      </c>
      <c r="F8949" s="18"/>
      <c r="G8949" s="36" t="str">
        <f>IF(ISNUMBER(F8949),C8949*F8949,"")</f>
        <v/>
      </c>
    </row>
    <row r="8950" spans="1:7" ht="12" customHeight="1" outlineLevel="2" x14ac:dyDescent="0.2">
      <c r="A8950" s="14" t="s">
        <v>17606</v>
      </c>
      <c r="B8950" s="15" t="s">
        <v>17607</v>
      </c>
      <c r="C8950" s="19">
        <f>2017/(1+B2)</f>
        <v>2017</v>
      </c>
      <c r="D8950" s="17" t="s">
        <v>11</v>
      </c>
      <c r="E8950" s="17"/>
      <c r="F8950" s="18"/>
      <c r="G8950" s="36" t="str">
        <f>IF(ISNUMBER(F8950),C8950*F8950,"")</f>
        <v/>
      </c>
    </row>
    <row r="8951" spans="1:7" ht="12" customHeight="1" outlineLevel="2" x14ac:dyDescent="0.2">
      <c r="A8951" s="14" t="s">
        <v>17608</v>
      </c>
      <c r="B8951" s="15" t="s">
        <v>17609</v>
      </c>
      <c r="C8951" s="19">
        <f>1509.86/(1+B2)</f>
        <v>1509.86</v>
      </c>
      <c r="D8951" s="17" t="s">
        <v>11</v>
      </c>
      <c r="E8951" s="17" t="s">
        <v>106</v>
      </c>
      <c r="F8951" s="18"/>
      <c r="G8951" s="36" t="str">
        <f>IF(ISNUMBER(F8951),C8951*F8951,"")</f>
        <v/>
      </c>
    </row>
    <row r="8952" spans="1:7" s="1" customFormat="1" ht="15.95" customHeight="1" outlineLevel="1" x14ac:dyDescent="0.25">
      <c r="A8952" s="11"/>
      <c r="B8952" s="12" t="s">
        <v>17610</v>
      </c>
      <c r="C8952" s="13"/>
      <c r="D8952" s="13"/>
      <c r="E8952" s="13"/>
      <c r="F8952" s="13"/>
      <c r="G8952" s="35"/>
    </row>
    <row r="8953" spans="1:7" ht="12" customHeight="1" outlineLevel="2" x14ac:dyDescent="0.2">
      <c r="A8953" s="14" t="s">
        <v>17611</v>
      </c>
      <c r="B8953" s="15" t="s">
        <v>17612</v>
      </c>
      <c r="C8953" s="16">
        <f>232.01/(1+B2)</f>
        <v>232.01</v>
      </c>
      <c r="D8953" s="17" t="s">
        <v>11</v>
      </c>
      <c r="E8953" s="17"/>
      <c r="F8953" s="18"/>
      <c r="G8953" s="36" t="str">
        <f>IF(ISNUMBER(F8953),C8953*F8953,"")</f>
        <v/>
      </c>
    </row>
    <row r="8954" spans="1:7" ht="12" customHeight="1" outlineLevel="2" x14ac:dyDescent="0.2">
      <c r="A8954" s="14" t="s">
        <v>17613</v>
      </c>
      <c r="B8954" s="15" t="s">
        <v>17614</v>
      </c>
      <c r="C8954" s="16">
        <f>327.01/(1+B2)</f>
        <v>327.01</v>
      </c>
      <c r="D8954" s="17" t="s">
        <v>11</v>
      </c>
      <c r="E8954" s="17"/>
      <c r="F8954" s="18"/>
      <c r="G8954" s="36" t="str">
        <f>IF(ISNUMBER(F8954),C8954*F8954,"")</f>
        <v/>
      </c>
    </row>
    <row r="8955" spans="1:7" ht="12" customHeight="1" outlineLevel="2" x14ac:dyDescent="0.2">
      <c r="A8955" s="14" t="s">
        <v>17615</v>
      </c>
      <c r="B8955" s="15" t="s">
        <v>17616</v>
      </c>
      <c r="C8955" s="16">
        <f>503.02/(1+B2)</f>
        <v>503.02</v>
      </c>
      <c r="D8955" s="17" t="s">
        <v>11</v>
      </c>
      <c r="E8955" s="17"/>
      <c r="F8955" s="18"/>
      <c r="G8955" s="36" t="str">
        <f>IF(ISNUMBER(F8955),C8955*F8955,"")</f>
        <v/>
      </c>
    </row>
    <row r="8956" spans="1:7" ht="12" customHeight="1" outlineLevel="2" x14ac:dyDescent="0.2">
      <c r="A8956" s="14" t="s">
        <v>17617</v>
      </c>
      <c r="B8956" s="15" t="s">
        <v>17618</v>
      </c>
      <c r="C8956" s="16">
        <f>889.04/(1+B2)</f>
        <v>889.04</v>
      </c>
      <c r="D8956" s="17" t="s">
        <v>11</v>
      </c>
      <c r="E8956" s="17"/>
      <c r="F8956" s="18"/>
      <c r="G8956" s="36" t="str">
        <f>IF(ISNUMBER(F8956),C8956*F8956,"")</f>
        <v/>
      </c>
    </row>
    <row r="8957" spans="1:7" s="1" customFormat="1" ht="15.95" customHeight="1" outlineLevel="1" x14ac:dyDescent="0.25">
      <c r="A8957" s="11"/>
      <c r="B8957" s="12" t="s">
        <v>17619</v>
      </c>
      <c r="C8957" s="13"/>
      <c r="D8957" s="13"/>
      <c r="E8957" s="13"/>
      <c r="F8957" s="13"/>
      <c r="G8957" s="35"/>
    </row>
    <row r="8958" spans="1:7" ht="12" customHeight="1" outlineLevel="2" x14ac:dyDescent="0.2">
      <c r="A8958" s="14" t="s">
        <v>17620</v>
      </c>
      <c r="B8958" s="15" t="s">
        <v>17621</v>
      </c>
      <c r="C8958" s="16">
        <f>10.79/(1+B2)</f>
        <v>10.79</v>
      </c>
      <c r="D8958" s="17" t="s">
        <v>11</v>
      </c>
      <c r="E8958" s="17" t="s">
        <v>53</v>
      </c>
      <c r="F8958" s="18"/>
      <c r="G8958" s="36" t="str">
        <f>IF(ISNUMBER(F8958),C8958*F8958,"")</f>
        <v/>
      </c>
    </row>
    <row r="8959" spans="1:7" ht="12" customHeight="1" outlineLevel="2" x14ac:dyDescent="0.2">
      <c r="A8959" s="14" t="s">
        <v>17622</v>
      </c>
      <c r="B8959" s="15" t="s">
        <v>17623</v>
      </c>
      <c r="C8959" s="16">
        <f>15.77/(1+B2)</f>
        <v>15.77</v>
      </c>
      <c r="D8959" s="17" t="s">
        <v>14</v>
      </c>
      <c r="E8959" s="17" t="s">
        <v>11</v>
      </c>
      <c r="F8959" s="18"/>
      <c r="G8959" s="36" t="str">
        <f>IF(ISNUMBER(F8959),C8959*F8959,"")</f>
        <v/>
      </c>
    </row>
    <row r="8960" spans="1:7" ht="12" customHeight="1" outlineLevel="2" x14ac:dyDescent="0.2">
      <c r="A8960" s="14" t="s">
        <v>17624</v>
      </c>
      <c r="B8960" s="15" t="s">
        <v>17625</v>
      </c>
      <c r="C8960" s="16">
        <f>20.99/(1+B2)</f>
        <v>20.99</v>
      </c>
      <c r="D8960" s="17" t="s">
        <v>11</v>
      </c>
      <c r="E8960" s="17"/>
      <c r="F8960" s="18"/>
      <c r="G8960" s="36" t="str">
        <f>IF(ISNUMBER(F8960),C8960*F8960,"")</f>
        <v/>
      </c>
    </row>
    <row r="8961" spans="1:7" s="1" customFormat="1" ht="15.95" customHeight="1" outlineLevel="1" x14ac:dyDescent="0.25">
      <c r="A8961" s="11"/>
      <c r="B8961" s="12" t="s">
        <v>17626</v>
      </c>
      <c r="C8961" s="13"/>
      <c r="D8961" s="13"/>
      <c r="E8961" s="13"/>
      <c r="F8961" s="13"/>
      <c r="G8961" s="35"/>
    </row>
    <row r="8962" spans="1:7" ht="12" customHeight="1" outlineLevel="2" x14ac:dyDescent="0.2">
      <c r="A8962" s="14" t="s">
        <v>17627</v>
      </c>
      <c r="B8962" s="15" t="s">
        <v>17628</v>
      </c>
      <c r="C8962" s="19">
        <f>1455/(1+B2)</f>
        <v>1455</v>
      </c>
      <c r="D8962" s="17" t="s">
        <v>11</v>
      </c>
      <c r="E8962" s="17"/>
      <c r="F8962" s="18"/>
      <c r="G8962" s="36" t="str">
        <f>IF(ISNUMBER(F8962),C8962*F8962,"")</f>
        <v/>
      </c>
    </row>
    <row r="8963" spans="1:7" ht="12" customHeight="1" outlineLevel="2" x14ac:dyDescent="0.2">
      <c r="A8963" s="14" t="s">
        <v>17629</v>
      </c>
      <c r="B8963" s="15" t="s">
        <v>17630</v>
      </c>
      <c r="C8963" s="19">
        <f>2608.96/(1+B2)</f>
        <v>2608.96</v>
      </c>
      <c r="D8963" s="17" t="s">
        <v>11</v>
      </c>
      <c r="E8963" s="17"/>
      <c r="F8963" s="18"/>
      <c r="G8963" s="36" t="str">
        <f>IF(ISNUMBER(F8963),C8963*F8963,"")</f>
        <v/>
      </c>
    </row>
    <row r="8964" spans="1:7" ht="12" customHeight="1" outlineLevel="2" x14ac:dyDescent="0.2">
      <c r="A8964" s="14" t="s">
        <v>17631</v>
      </c>
      <c r="B8964" s="15" t="s">
        <v>17632</v>
      </c>
      <c r="C8964" s="19">
        <f>1118.11/(1+B2)</f>
        <v>1118.1099999999999</v>
      </c>
      <c r="D8964" s="17" t="s">
        <v>11</v>
      </c>
      <c r="E8964" s="17"/>
      <c r="F8964" s="18"/>
      <c r="G8964" s="36" t="str">
        <f>IF(ISNUMBER(F8964),C8964*F8964,"")</f>
        <v/>
      </c>
    </row>
    <row r="8965" spans="1:7" ht="12" customHeight="1" outlineLevel="2" x14ac:dyDescent="0.2">
      <c r="A8965" s="14" t="s">
        <v>17633</v>
      </c>
      <c r="B8965" s="15" t="s">
        <v>17634</v>
      </c>
      <c r="C8965" s="16">
        <f>752/(1+B2)</f>
        <v>752</v>
      </c>
      <c r="D8965" s="17" t="s">
        <v>11</v>
      </c>
      <c r="E8965" s="17"/>
      <c r="F8965" s="18"/>
      <c r="G8965" s="36" t="str">
        <f>IF(ISNUMBER(F8965),C8965*F8965,"")</f>
        <v/>
      </c>
    </row>
    <row r="8966" spans="1:7" ht="12" customHeight="1" outlineLevel="2" x14ac:dyDescent="0.2">
      <c r="A8966" s="14" t="s">
        <v>17635</v>
      </c>
      <c r="B8966" s="15" t="s">
        <v>17636</v>
      </c>
      <c r="C8966" s="19">
        <f>1020/(1+B2)</f>
        <v>1020</v>
      </c>
      <c r="D8966" s="17" t="s">
        <v>11</v>
      </c>
      <c r="E8966" s="17"/>
      <c r="F8966" s="18"/>
      <c r="G8966" s="36" t="str">
        <f>IF(ISNUMBER(F8966),C8966*F8966,"")</f>
        <v/>
      </c>
    </row>
    <row r="8967" spans="1:7" ht="12" customHeight="1" outlineLevel="2" x14ac:dyDescent="0.2">
      <c r="A8967" s="14" t="s">
        <v>17637</v>
      </c>
      <c r="B8967" s="15" t="s">
        <v>17638</v>
      </c>
      <c r="C8967" s="16">
        <f>490.74/(1+B2)</f>
        <v>490.74</v>
      </c>
      <c r="D8967" s="17" t="s">
        <v>11</v>
      </c>
      <c r="E8967" s="17"/>
      <c r="F8967" s="18"/>
      <c r="G8967" s="36" t="str">
        <f>IF(ISNUMBER(F8967),C8967*F8967,"")</f>
        <v/>
      </c>
    </row>
    <row r="8968" spans="1:7" ht="12" customHeight="1" outlineLevel="2" x14ac:dyDescent="0.2">
      <c r="A8968" s="14" t="s">
        <v>17639</v>
      </c>
      <c r="B8968" s="15" t="s">
        <v>17640</v>
      </c>
      <c r="C8968" s="16">
        <f>622.34/(1+B2)</f>
        <v>622.34</v>
      </c>
      <c r="D8968" s="17" t="s">
        <v>11</v>
      </c>
      <c r="E8968" s="17" t="s">
        <v>11</v>
      </c>
      <c r="F8968" s="18"/>
      <c r="G8968" s="36" t="str">
        <f>IF(ISNUMBER(F8968),C8968*F8968,"")</f>
        <v/>
      </c>
    </row>
    <row r="8969" spans="1:7" s="1" customFormat="1" ht="15.95" customHeight="1" outlineLevel="1" x14ac:dyDescent="0.25">
      <c r="A8969" s="11"/>
      <c r="B8969" s="12" t="s">
        <v>17641</v>
      </c>
      <c r="C8969" s="13"/>
      <c r="D8969" s="13"/>
      <c r="E8969" s="13"/>
      <c r="F8969" s="13"/>
      <c r="G8969" s="35"/>
    </row>
    <row r="8970" spans="1:7" ht="12" customHeight="1" outlineLevel="2" x14ac:dyDescent="0.2">
      <c r="A8970" s="14" t="s">
        <v>17642</v>
      </c>
      <c r="B8970" s="15" t="s">
        <v>17643</v>
      </c>
      <c r="C8970" s="16">
        <f>87.15/(1+B2)</f>
        <v>87.15</v>
      </c>
      <c r="D8970" s="17" t="s">
        <v>14</v>
      </c>
      <c r="E8970" s="17" t="s">
        <v>106</v>
      </c>
      <c r="F8970" s="18"/>
      <c r="G8970" s="36" t="str">
        <f>IF(ISNUMBER(F8970),C8970*F8970,"")</f>
        <v/>
      </c>
    </row>
    <row r="8971" spans="1:7" ht="12" customHeight="1" outlineLevel="2" x14ac:dyDescent="0.2">
      <c r="A8971" s="14" t="s">
        <v>17644</v>
      </c>
      <c r="B8971" s="15" t="s">
        <v>17645</v>
      </c>
      <c r="C8971" s="16">
        <f>85/(1+B2)</f>
        <v>85</v>
      </c>
      <c r="D8971" s="17" t="s">
        <v>53</v>
      </c>
      <c r="E8971" s="17" t="s">
        <v>106</v>
      </c>
      <c r="F8971" s="18"/>
      <c r="G8971" s="36" t="str">
        <f>IF(ISNUMBER(F8971),C8971*F8971,"")</f>
        <v/>
      </c>
    </row>
    <row r="8972" spans="1:7" ht="12" customHeight="1" outlineLevel="2" x14ac:dyDescent="0.2">
      <c r="A8972" s="14" t="s">
        <v>17646</v>
      </c>
      <c r="B8972" s="15" t="s">
        <v>17647</v>
      </c>
      <c r="C8972" s="16">
        <f>237.54/(1+B2)</f>
        <v>237.54</v>
      </c>
      <c r="D8972" s="17" t="s">
        <v>11</v>
      </c>
      <c r="E8972" s="17" t="s">
        <v>106</v>
      </c>
      <c r="F8972" s="18"/>
      <c r="G8972" s="36" t="str">
        <f>IF(ISNUMBER(F8972),C8972*F8972,"")</f>
        <v/>
      </c>
    </row>
    <row r="8973" spans="1:7" ht="12" customHeight="1" outlineLevel="2" x14ac:dyDescent="0.2">
      <c r="A8973" s="14" t="s">
        <v>17648</v>
      </c>
      <c r="B8973" s="15" t="s">
        <v>17649</v>
      </c>
      <c r="C8973" s="16">
        <f>318.31/(1+B2)</f>
        <v>318.31</v>
      </c>
      <c r="D8973" s="17" t="s">
        <v>11</v>
      </c>
      <c r="E8973" s="17" t="s">
        <v>106</v>
      </c>
      <c r="F8973" s="18"/>
      <c r="G8973" s="36" t="str">
        <f>IF(ISNUMBER(F8973),C8973*F8973,"")</f>
        <v/>
      </c>
    </row>
    <row r="8974" spans="1:7" ht="12" customHeight="1" outlineLevel="2" x14ac:dyDescent="0.2">
      <c r="A8974" s="14" t="s">
        <v>17650</v>
      </c>
      <c r="B8974" s="15" t="s">
        <v>17651</v>
      </c>
      <c r="C8974" s="16">
        <f>257.35/(1+B2)</f>
        <v>257.35000000000002</v>
      </c>
      <c r="D8974" s="17" t="s">
        <v>14</v>
      </c>
      <c r="E8974" s="17" t="s">
        <v>53</v>
      </c>
      <c r="F8974" s="18"/>
      <c r="G8974" s="36" t="str">
        <f>IF(ISNUMBER(F8974),C8974*F8974,"")</f>
        <v/>
      </c>
    </row>
    <row r="8975" spans="1:7" ht="12" customHeight="1" outlineLevel="2" x14ac:dyDescent="0.2">
      <c r="A8975" s="14" t="s">
        <v>17652</v>
      </c>
      <c r="B8975" s="15" t="s">
        <v>17653</v>
      </c>
      <c r="C8975" s="16">
        <f>509.46/(1+B2)</f>
        <v>509.46</v>
      </c>
      <c r="D8975" s="17" t="s">
        <v>11</v>
      </c>
      <c r="E8975" s="17" t="s">
        <v>106</v>
      </c>
      <c r="F8975" s="18"/>
      <c r="G8975" s="36" t="str">
        <f>IF(ISNUMBER(F8975),C8975*F8975,"")</f>
        <v/>
      </c>
    </row>
    <row r="8976" spans="1:7" ht="12" customHeight="1" outlineLevel="2" x14ac:dyDescent="0.2">
      <c r="A8976" s="14" t="s">
        <v>17654</v>
      </c>
      <c r="B8976" s="15" t="s">
        <v>17655</v>
      </c>
      <c r="C8976" s="16">
        <f>93.6/(1+B2)</f>
        <v>93.6</v>
      </c>
      <c r="D8976" s="17" t="s">
        <v>106</v>
      </c>
      <c r="E8976" s="17" t="s">
        <v>106</v>
      </c>
      <c r="F8976" s="18"/>
      <c r="G8976" s="36" t="str">
        <f>IF(ISNUMBER(F8976),C8976*F8976,"")</f>
        <v/>
      </c>
    </row>
    <row r="8977" spans="1:7" ht="24" customHeight="1" outlineLevel="2" x14ac:dyDescent="0.2">
      <c r="A8977" s="14" t="s">
        <v>17656</v>
      </c>
      <c r="B8977" s="15" t="s">
        <v>17657</v>
      </c>
      <c r="C8977" s="19">
        <f>1905.12/(1+B2)</f>
        <v>1905.12</v>
      </c>
      <c r="D8977" s="17" t="s">
        <v>11</v>
      </c>
      <c r="E8977" s="17"/>
      <c r="F8977" s="18"/>
      <c r="G8977" s="36" t="str">
        <f>IF(ISNUMBER(F8977),C8977*F8977,"")</f>
        <v/>
      </c>
    </row>
    <row r="8978" spans="1:7" ht="12" customHeight="1" outlineLevel="2" x14ac:dyDescent="0.2">
      <c r="A8978" s="14" t="s">
        <v>17658</v>
      </c>
      <c r="B8978" s="15" t="s">
        <v>17659</v>
      </c>
      <c r="C8978" s="16">
        <f>361.1/(1+B2)</f>
        <v>361.1</v>
      </c>
      <c r="D8978" s="17" t="s">
        <v>11</v>
      </c>
      <c r="E8978" s="17" t="s">
        <v>53</v>
      </c>
      <c r="F8978" s="18"/>
      <c r="G8978" s="36" t="str">
        <f>IF(ISNUMBER(F8978),C8978*F8978,"")</f>
        <v/>
      </c>
    </row>
    <row r="8979" spans="1:7" ht="12" customHeight="1" outlineLevel="2" x14ac:dyDescent="0.2">
      <c r="A8979" s="14" t="s">
        <v>17660</v>
      </c>
      <c r="B8979" s="15" t="s">
        <v>17661</v>
      </c>
      <c r="C8979" s="16">
        <f>778.54/(1+B2)</f>
        <v>778.54</v>
      </c>
      <c r="D8979" s="17" t="s">
        <v>11</v>
      </c>
      <c r="E8979" s="17" t="s">
        <v>53</v>
      </c>
      <c r="F8979" s="18"/>
      <c r="G8979" s="36" t="str">
        <f>IF(ISNUMBER(F8979),C8979*F8979,"")</f>
        <v/>
      </c>
    </row>
    <row r="8980" spans="1:7" ht="12" customHeight="1" outlineLevel="2" x14ac:dyDescent="0.2">
      <c r="A8980" s="14" t="s">
        <v>17662</v>
      </c>
      <c r="B8980" s="15" t="s">
        <v>17663</v>
      </c>
      <c r="C8980" s="16">
        <f>703.3/(1+B2)</f>
        <v>703.3</v>
      </c>
      <c r="D8980" s="17" t="s">
        <v>11</v>
      </c>
      <c r="E8980" s="17" t="s">
        <v>53</v>
      </c>
      <c r="F8980" s="18"/>
      <c r="G8980" s="36" t="str">
        <f>IF(ISNUMBER(F8980),C8980*F8980,"")</f>
        <v/>
      </c>
    </row>
    <row r="8981" spans="1:7" ht="12" customHeight="1" outlineLevel="2" x14ac:dyDescent="0.2">
      <c r="A8981" s="14" t="s">
        <v>17664</v>
      </c>
      <c r="B8981" s="15" t="s">
        <v>17665</v>
      </c>
      <c r="C8981" s="16">
        <f>195/(1+B2)</f>
        <v>195</v>
      </c>
      <c r="D8981" s="17" t="s">
        <v>14</v>
      </c>
      <c r="E8981" s="17" t="s">
        <v>106</v>
      </c>
      <c r="F8981" s="18"/>
      <c r="G8981" s="36" t="str">
        <f>IF(ISNUMBER(F8981),C8981*F8981,"")</f>
        <v/>
      </c>
    </row>
    <row r="8982" spans="1:7" ht="12" customHeight="1" outlineLevel="2" x14ac:dyDescent="0.2">
      <c r="A8982" s="14" t="s">
        <v>17666</v>
      </c>
      <c r="B8982" s="15" t="s">
        <v>17667</v>
      </c>
      <c r="C8982" s="16">
        <f>181/(1+B2)</f>
        <v>181</v>
      </c>
      <c r="D8982" s="17" t="s">
        <v>11</v>
      </c>
      <c r="E8982" s="17" t="s">
        <v>106</v>
      </c>
      <c r="F8982" s="18"/>
      <c r="G8982" s="36" t="str">
        <f>IF(ISNUMBER(F8982),C8982*F8982,"")</f>
        <v/>
      </c>
    </row>
    <row r="8983" spans="1:7" ht="24" customHeight="1" outlineLevel="2" x14ac:dyDescent="0.2">
      <c r="A8983" s="14" t="s">
        <v>17668</v>
      </c>
      <c r="B8983" s="15" t="s">
        <v>17669</v>
      </c>
      <c r="C8983" s="16">
        <f>549.59/(1+B2)</f>
        <v>549.59</v>
      </c>
      <c r="D8983" s="17" t="s">
        <v>11</v>
      </c>
      <c r="E8983" s="17" t="s">
        <v>106</v>
      </c>
      <c r="F8983" s="18"/>
      <c r="G8983" s="36" t="str">
        <f>IF(ISNUMBER(F8983),C8983*F8983,"")</f>
        <v/>
      </c>
    </row>
    <row r="8984" spans="1:7" ht="12" customHeight="1" outlineLevel="2" x14ac:dyDescent="0.2">
      <c r="A8984" s="14" t="s">
        <v>17670</v>
      </c>
      <c r="B8984" s="15" t="s">
        <v>17671</v>
      </c>
      <c r="C8984" s="16">
        <f>795/(1+B2)</f>
        <v>795</v>
      </c>
      <c r="D8984" s="17" t="s">
        <v>11</v>
      </c>
      <c r="E8984" s="17"/>
      <c r="F8984" s="18"/>
      <c r="G8984" s="36" t="str">
        <f>IF(ISNUMBER(F8984),C8984*F8984,"")</f>
        <v/>
      </c>
    </row>
    <row r="8985" spans="1:7" ht="12" customHeight="1" outlineLevel="2" x14ac:dyDescent="0.2">
      <c r="A8985" s="14" t="s">
        <v>17672</v>
      </c>
      <c r="B8985" s="15" t="s">
        <v>17673</v>
      </c>
      <c r="C8985" s="16">
        <f>419.09/(1+B2)</f>
        <v>419.09</v>
      </c>
      <c r="D8985" s="17" t="s">
        <v>11</v>
      </c>
      <c r="E8985" s="17" t="s">
        <v>53</v>
      </c>
      <c r="F8985" s="18"/>
      <c r="G8985" s="36" t="str">
        <f>IF(ISNUMBER(F8985),C8985*F8985,"")</f>
        <v/>
      </c>
    </row>
    <row r="8986" spans="1:7" ht="24" customHeight="1" outlineLevel="2" x14ac:dyDescent="0.2">
      <c r="A8986" s="14" t="s">
        <v>17674</v>
      </c>
      <c r="B8986" s="15" t="s">
        <v>17675</v>
      </c>
      <c r="C8986" s="16">
        <f>576.19/(1+B2)</f>
        <v>576.19000000000005</v>
      </c>
      <c r="D8986" s="17" t="s">
        <v>11</v>
      </c>
      <c r="E8986" s="17" t="s">
        <v>106</v>
      </c>
      <c r="F8986" s="18"/>
      <c r="G8986" s="36" t="str">
        <f>IF(ISNUMBER(F8986),C8986*F8986,"")</f>
        <v/>
      </c>
    </row>
    <row r="8987" spans="1:7" ht="12" customHeight="1" outlineLevel="2" x14ac:dyDescent="0.2">
      <c r="A8987" s="14" t="s">
        <v>17676</v>
      </c>
      <c r="B8987" s="15" t="s">
        <v>17677</v>
      </c>
      <c r="C8987" s="16">
        <f>121/(1+B2)</f>
        <v>121</v>
      </c>
      <c r="D8987" s="17" t="s">
        <v>11</v>
      </c>
      <c r="E8987" s="17" t="s">
        <v>53</v>
      </c>
      <c r="F8987" s="18"/>
      <c r="G8987" s="36" t="str">
        <f>IF(ISNUMBER(F8987),C8987*F8987,"")</f>
        <v/>
      </c>
    </row>
    <row r="8988" spans="1:7" ht="12" customHeight="1" outlineLevel="2" x14ac:dyDescent="0.2">
      <c r="A8988" s="14" t="s">
        <v>17678</v>
      </c>
      <c r="B8988" s="15" t="s">
        <v>17679</v>
      </c>
      <c r="C8988" s="16">
        <f>110/(1+B2)</f>
        <v>110</v>
      </c>
      <c r="D8988" s="17" t="s">
        <v>14</v>
      </c>
      <c r="E8988" s="17" t="s">
        <v>106</v>
      </c>
      <c r="F8988" s="18"/>
      <c r="G8988" s="36" t="str">
        <f>IF(ISNUMBER(F8988),C8988*F8988,"")</f>
        <v/>
      </c>
    </row>
    <row r="8989" spans="1:7" ht="12" customHeight="1" outlineLevel="2" x14ac:dyDescent="0.2">
      <c r="A8989" s="14" t="s">
        <v>17680</v>
      </c>
      <c r="B8989" s="15" t="s">
        <v>17681</v>
      </c>
      <c r="C8989" s="16">
        <f>462/(1+B2)</f>
        <v>462</v>
      </c>
      <c r="D8989" s="17" t="s">
        <v>11</v>
      </c>
      <c r="E8989" s="17" t="s">
        <v>11</v>
      </c>
      <c r="F8989" s="18"/>
      <c r="G8989" s="36" t="str">
        <f>IF(ISNUMBER(F8989),C8989*F8989,"")</f>
        <v/>
      </c>
    </row>
    <row r="8990" spans="1:7" ht="12" customHeight="1" outlineLevel="2" x14ac:dyDescent="0.2">
      <c r="A8990" s="14" t="s">
        <v>17682</v>
      </c>
      <c r="B8990" s="15" t="s">
        <v>17683</v>
      </c>
      <c r="C8990" s="16">
        <f>290/(1+B2)</f>
        <v>290</v>
      </c>
      <c r="D8990" s="17" t="s">
        <v>11</v>
      </c>
      <c r="E8990" s="17" t="s">
        <v>11</v>
      </c>
      <c r="F8990" s="18"/>
      <c r="G8990" s="36" t="str">
        <f>IF(ISNUMBER(F8990),C8990*F8990,"")</f>
        <v/>
      </c>
    </row>
    <row r="8991" spans="1:7" ht="12" customHeight="1" outlineLevel="2" x14ac:dyDescent="0.2">
      <c r="A8991" s="14" t="s">
        <v>17684</v>
      </c>
      <c r="B8991" s="15" t="s">
        <v>17685</v>
      </c>
      <c r="C8991" s="16">
        <f>362/(1+B2)</f>
        <v>362</v>
      </c>
      <c r="D8991" s="17" t="s">
        <v>11</v>
      </c>
      <c r="E8991" s="17" t="s">
        <v>11</v>
      </c>
      <c r="F8991" s="18"/>
      <c r="G8991" s="36" t="str">
        <f>IF(ISNUMBER(F8991),C8991*F8991,"")</f>
        <v/>
      </c>
    </row>
    <row r="8992" spans="1:7" ht="12" customHeight="1" outlineLevel="2" x14ac:dyDescent="0.2">
      <c r="A8992" s="14" t="s">
        <v>17686</v>
      </c>
      <c r="B8992" s="15" t="s">
        <v>17687</v>
      </c>
      <c r="C8992" s="16">
        <f>151/(1+B2)</f>
        <v>151</v>
      </c>
      <c r="D8992" s="17" t="s">
        <v>11</v>
      </c>
      <c r="E8992" s="17"/>
      <c r="F8992" s="18"/>
      <c r="G8992" s="36" t="str">
        <f>IF(ISNUMBER(F8992),C8992*F8992,"")</f>
        <v/>
      </c>
    </row>
    <row r="8993" spans="1:7" ht="12" customHeight="1" outlineLevel="2" x14ac:dyDescent="0.2">
      <c r="A8993" s="14" t="s">
        <v>17688</v>
      </c>
      <c r="B8993" s="15" t="s">
        <v>17689</v>
      </c>
      <c r="C8993" s="16">
        <f>266/(1+B2)</f>
        <v>266</v>
      </c>
      <c r="D8993" s="17" t="s">
        <v>11</v>
      </c>
      <c r="E8993" s="17" t="s">
        <v>11</v>
      </c>
      <c r="F8993" s="18"/>
      <c r="G8993" s="36" t="str">
        <f>IF(ISNUMBER(F8993),C8993*F8993,"")</f>
        <v/>
      </c>
    </row>
    <row r="8994" spans="1:7" ht="12" customHeight="1" outlineLevel="2" x14ac:dyDescent="0.2">
      <c r="A8994" s="14" t="s">
        <v>17690</v>
      </c>
      <c r="B8994" s="15" t="s">
        <v>17691</v>
      </c>
      <c r="C8994" s="16">
        <f>299/(1+B2)</f>
        <v>299</v>
      </c>
      <c r="D8994" s="17" t="s">
        <v>11</v>
      </c>
      <c r="E8994" s="17" t="s">
        <v>11</v>
      </c>
      <c r="F8994" s="18"/>
      <c r="G8994" s="36" t="str">
        <f>IF(ISNUMBER(F8994),C8994*F8994,"")</f>
        <v/>
      </c>
    </row>
    <row r="8995" spans="1:7" ht="12" customHeight="1" outlineLevel="2" x14ac:dyDescent="0.2">
      <c r="A8995" s="14" t="s">
        <v>17692</v>
      </c>
      <c r="B8995" s="15" t="s">
        <v>17693</v>
      </c>
      <c r="C8995" s="16">
        <f>283.31/(1+B2)</f>
        <v>283.31</v>
      </c>
      <c r="D8995" s="17" t="s">
        <v>11</v>
      </c>
      <c r="E8995" s="17"/>
      <c r="F8995" s="18"/>
      <c r="G8995" s="36" t="str">
        <f>IF(ISNUMBER(F8995),C8995*F8995,"")</f>
        <v/>
      </c>
    </row>
    <row r="8996" spans="1:7" ht="12" customHeight="1" outlineLevel="2" x14ac:dyDescent="0.2">
      <c r="A8996" s="14" t="s">
        <v>17694</v>
      </c>
      <c r="B8996" s="15" t="s">
        <v>17695</v>
      </c>
      <c r="C8996" s="16">
        <f>50/(1+B2)</f>
        <v>50</v>
      </c>
      <c r="D8996" s="17" t="s">
        <v>53</v>
      </c>
      <c r="E8996" s="17"/>
      <c r="F8996" s="18"/>
      <c r="G8996" s="36" t="str">
        <f>IF(ISNUMBER(F8996),C8996*F8996,"")</f>
        <v/>
      </c>
    </row>
    <row r="8997" spans="1:7" ht="24" customHeight="1" outlineLevel="2" x14ac:dyDescent="0.2">
      <c r="A8997" s="14" t="s">
        <v>17696</v>
      </c>
      <c r="B8997" s="15" t="s">
        <v>17697</v>
      </c>
      <c r="C8997" s="16">
        <f>327.11/(1+B2)</f>
        <v>327.11</v>
      </c>
      <c r="D8997" s="17" t="s">
        <v>11</v>
      </c>
      <c r="E8997" s="17"/>
      <c r="F8997" s="18"/>
      <c r="G8997" s="36" t="str">
        <f>IF(ISNUMBER(F8997),C8997*F8997,"")</f>
        <v/>
      </c>
    </row>
    <row r="8998" spans="1:7" ht="12" customHeight="1" outlineLevel="2" x14ac:dyDescent="0.2">
      <c r="A8998" s="14" t="s">
        <v>17698</v>
      </c>
      <c r="B8998" s="15" t="s">
        <v>17699</v>
      </c>
      <c r="C8998" s="16">
        <f>293.44/(1+B2)</f>
        <v>293.44</v>
      </c>
      <c r="D8998" s="17" t="s">
        <v>11</v>
      </c>
      <c r="E8998" s="17"/>
      <c r="F8998" s="18"/>
      <c r="G8998" s="36" t="str">
        <f>IF(ISNUMBER(F8998),C8998*F8998,"")</f>
        <v/>
      </c>
    </row>
    <row r="8999" spans="1:7" ht="12" customHeight="1" outlineLevel="2" x14ac:dyDescent="0.2">
      <c r="A8999" s="14" t="s">
        <v>17700</v>
      </c>
      <c r="B8999" s="15" t="s">
        <v>17701</v>
      </c>
      <c r="C8999" s="16">
        <f>335.44/(1+B2)</f>
        <v>335.44</v>
      </c>
      <c r="D8999" s="17" t="s">
        <v>11</v>
      </c>
      <c r="E8999" s="17" t="s">
        <v>11</v>
      </c>
      <c r="F8999" s="18"/>
      <c r="G8999" s="36" t="str">
        <f>IF(ISNUMBER(F8999),C8999*F8999,"")</f>
        <v/>
      </c>
    </row>
    <row r="9000" spans="1:7" ht="12" customHeight="1" outlineLevel="2" x14ac:dyDescent="0.2">
      <c r="A9000" s="14" t="s">
        <v>17702</v>
      </c>
      <c r="B9000" s="15" t="s">
        <v>17703</v>
      </c>
      <c r="C9000" s="16">
        <f>209.57/(1+B2)</f>
        <v>209.57</v>
      </c>
      <c r="D9000" s="17" t="s">
        <v>11</v>
      </c>
      <c r="E9000" s="17" t="s">
        <v>11</v>
      </c>
      <c r="F9000" s="18"/>
      <c r="G9000" s="36" t="str">
        <f>IF(ISNUMBER(F9000),C9000*F9000,"")</f>
        <v/>
      </c>
    </row>
    <row r="9001" spans="1:7" ht="24" customHeight="1" outlineLevel="2" x14ac:dyDescent="0.2">
      <c r="A9001" s="14" t="s">
        <v>17704</v>
      </c>
      <c r="B9001" s="15" t="s">
        <v>17705</v>
      </c>
      <c r="C9001" s="16">
        <f>534.34/(1+B2)</f>
        <v>534.34</v>
      </c>
      <c r="D9001" s="17" t="s">
        <v>11</v>
      </c>
      <c r="E9001" s="17"/>
      <c r="F9001" s="18"/>
      <c r="G9001" s="36" t="str">
        <f>IF(ISNUMBER(F9001),C9001*F9001,"")</f>
        <v/>
      </c>
    </row>
    <row r="9002" spans="1:7" ht="12" customHeight="1" outlineLevel="2" x14ac:dyDescent="0.2">
      <c r="A9002" s="14" t="s">
        <v>17706</v>
      </c>
      <c r="B9002" s="15" t="s">
        <v>17707</v>
      </c>
      <c r="C9002" s="16">
        <f>757/(1+B2)</f>
        <v>757</v>
      </c>
      <c r="D9002" s="17" t="s">
        <v>14</v>
      </c>
      <c r="E9002" s="17"/>
      <c r="F9002" s="18"/>
      <c r="G9002" s="36" t="str">
        <f>IF(ISNUMBER(F9002),C9002*F9002,"")</f>
        <v/>
      </c>
    </row>
    <row r="9003" spans="1:7" ht="12" customHeight="1" outlineLevel="2" x14ac:dyDescent="0.2">
      <c r="A9003" s="14" t="s">
        <v>17708</v>
      </c>
      <c r="B9003" s="15" t="s">
        <v>17709</v>
      </c>
      <c r="C9003" s="16">
        <f>197/(1+B2)</f>
        <v>197</v>
      </c>
      <c r="D9003" s="17" t="s">
        <v>53</v>
      </c>
      <c r="E9003" s="17"/>
      <c r="F9003" s="18"/>
      <c r="G9003" s="36" t="str">
        <f>IF(ISNUMBER(F9003),C9003*F9003,"")</f>
        <v/>
      </c>
    </row>
    <row r="9004" spans="1:7" ht="12" customHeight="1" outlineLevel="2" x14ac:dyDescent="0.2">
      <c r="A9004" s="14" t="s">
        <v>17710</v>
      </c>
      <c r="B9004" s="15" t="s">
        <v>17711</v>
      </c>
      <c r="C9004" s="16">
        <f>368/(1+B2)</f>
        <v>368</v>
      </c>
      <c r="D9004" s="17" t="s">
        <v>14</v>
      </c>
      <c r="E9004" s="17"/>
      <c r="F9004" s="18"/>
      <c r="G9004" s="36" t="str">
        <f>IF(ISNUMBER(F9004),C9004*F9004,"")</f>
        <v/>
      </c>
    </row>
    <row r="9005" spans="1:7" ht="24" customHeight="1" outlineLevel="2" x14ac:dyDescent="0.2">
      <c r="A9005" s="14" t="s">
        <v>17712</v>
      </c>
      <c r="B9005" s="15" t="s">
        <v>17713</v>
      </c>
      <c r="C9005" s="16">
        <f>439.38/(1+B2)</f>
        <v>439.38</v>
      </c>
      <c r="D9005" s="17" t="s">
        <v>11</v>
      </c>
      <c r="E9005" s="17"/>
      <c r="F9005" s="18"/>
      <c r="G9005" s="36" t="str">
        <f>IF(ISNUMBER(F9005),C9005*F9005,"")</f>
        <v/>
      </c>
    </row>
    <row r="9006" spans="1:7" ht="12" customHeight="1" outlineLevel="2" x14ac:dyDescent="0.2">
      <c r="A9006" s="14" t="s">
        <v>17714</v>
      </c>
      <c r="B9006" s="15" t="s">
        <v>17715</v>
      </c>
      <c r="C9006" s="16">
        <f>108.48/(1+B2)</f>
        <v>108.48</v>
      </c>
      <c r="D9006" s="17" t="s">
        <v>11</v>
      </c>
      <c r="E9006" s="17"/>
      <c r="F9006" s="18"/>
      <c r="G9006" s="36" t="str">
        <f>IF(ISNUMBER(F9006),C9006*F9006,"")</f>
        <v/>
      </c>
    </row>
    <row r="9007" spans="1:7" ht="12" customHeight="1" outlineLevel="2" x14ac:dyDescent="0.2">
      <c r="A9007" s="14" t="s">
        <v>17716</v>
      </c>
      <c r="B9007" s="15" t="s">
        <v>17717</v>
      </c>
      <c r="C9007" s="16">
        <f>22.69/(1+B2)</f>
        <v>22.69</v>
      </c>
      <c r="D9007" s="17" t="s">
        <v>11</v>
      </c>
      <c r="E9007" s="17"/>
      <c r="F9007" s="18"/>
      <c r="G9007" s="36" t="str">
        <f>IF(ISNUMBER(F9007),C9007*F9007,"")</f>
        <v/>
      </c>
    </row>
    <row r="9008" spans="1:7" ht="12" customHeight="1" outlineLevel="2" x14ac:dyDescent="0.2">
      <c r="A9008" s="14" t="s">
        <v>17718</v>
      </c>
      <c r="B9008" s="15" t="s">
        <v>17719</v>
      </c>
      <c r="C9008" s="16">
        <f>50/(1+B2)</f>
        <v>50</v>
      </c>
      <c r="D9008" s="17" t="s">
        <v>11</v>
      </c>
      <c r="E9008" s="17"/>
      <c r="F9008" s="18"/>
      <c r="G9008" s="36" t="str">
        <f>IF(ISNUMBER(F9008),C9008*F9008,"")</f>
        <v/>
      </c>
    </row>
    <row r="9009" spans="1:7" s="1" customFormat="1" ht="15.95" customHeight="1" outlineLevel="1" x14ac:dyDescent="0.25">
      <c r="A9009" s="11"/>
      <c r="B9009" s="12" t="s">
        <v>17720</v>
      </c>
      <c r="C9009" s="13"/>
      <c r="D9009" s="13"/>
      <c r="E9009" s="13"/>
      <c r="F9009" s="13"/>
      <c r="G9009" s="35"/>
    </row>
    <row r="9010" spans="1:7" ht="12" customHeight="1" outlineLevel="2" x14ac:dyDescent="0.2">
      <c r="A9010" s="14" t="s">
        <v>17721</v>
      </c>
      <c r="B9010" s="15" t="s">
        <v>17722</v>
      </c>
      <c r="C9010" s="16">
        <f>93.53/(1+B2)</f>
        <v>93.53</v>
      </c>
      <c r="D9010" s="17" t="s">
        <v>11</v>
      </c>
      <c r="E9010" s="17"/>
      <c r="F9010" s="18"/>
      <c r="G9010" s="36" t="str">
        <f>IF(ISNUMBER(F9010),C9010*F9010,"")</f>
        <v/>
      </c>
    </row>
    <row r="9011" spans="1:7" ht="12" customHeight="1" outlineLevel="2" x14ac:dyDescent="0.2">
      <c r="A9011" s="14" t="s">
        <v>17723</v>
      </c>
      <c r="B9011" s="15" t="s">
        <v>17724</v>
      </c>
      <c r="C9011" s="16">
        <f>25.65/(1+B2)</f>
        <v>25.65</v>
      </c>
      <c r="D9011" s="17" t="s">
        <v>11</v>
      </c>
      <c r="E9011" s="17"/>
      <c r="F9011" s="18"/>
      <c r="G9011" s="36" t="str">
        <f>IF(ISNUMBER(F9011),C9011*F9011,"")</f>
        <v/>
      </c>
    </row>
    <row r="9012" spans="1:7" ht="12" customHeight="1" outlineLevel="2" x14ac:dyDescent="0.2">
      <c r="A9012" s="14" t="s">
        <v>17725</v>
      </c>
      <c r="B9012" s="15" t="s">
        <v>17726</v>
      </c>
      <c r="C9012" s="16">
        <f>20.77/(1+B2)</f>
        <v>20.77</v>
      </c>
      <c r="D9012" s="17" t="s">
        <v>11</v>
      </c>
      <c r="E9012" s="17"/>
      <c r="F9012" s="18"/>
      <c r="G9012" s="36" t="str">
        <f>IF(ISNUMBER(F9012),C9012*F9012,"")</f>
        <v/>
      </c>
    </row>
    <row r="9013" spans="1:7" ht="12" customHeight="1" outlineLevel="2" x14ac:dyDescent="0.2">
      <c r="A9013" s="14" t="s">
        <v>17727</v>
      </c>
      <c r="B9013" s="15" t="s">
        <v>17728</v>
      </c>
      <c r="C9013" s="16">
        <f>27.84/(1+B2)</f>
        <v>27.84</v>
      </c>
      <c r="D9013" s="17" t="s">
        <v>53</v>
      </c>
      <c r="E9013" s="17" t="s">
        <v>14</v>
      </c>
      <c r="F9013" s="18"/>
      <c r="G9013" s="36" t="str">
        <f>IF(ISNUMBER(F9013),C9013*F9013,"")</f>
        <v/>
      </c>
    </row>
    <row r="9014" spans="1:7" ht="12" customHeight="1" outlineLevel="2" x14ac:dyDescent="0.2">
      <c r="A9014" s="14" t="s">
        <v>17729</v>
      </c>
      <c r="B9014" s="15" t="s">
        <v>17730</v>
      </c>
      <c r="C9014" s="16">
        <f>28.35/(1+B2)</f>
        <v>28.35</v>
      </c>
      <c r="D9014" s="17" t="s">
        <v>14</v>
      </c>
      <c r="E9014" s="17"/>
      <c r="F9014" s="18"/>
      <c r="G9014" s="36" t="str">
        <f>IF(ISNUMBER(F9014),C9014*F9014,"")</f>
        <v/>
      </c>
    </row>
    <row r="9015" spans="1:7" ht="12" customHeight="1" outlineLevel="2" x14ac:dyDescent="0.2">
      <c r="A9015" s="14" t="s">
        <v>17731</v>
      </c>
      <c r="B9015" s="15" t="s">
        <v>17732</v>
      </c>
      <c r="C9015" s="16">
        <f>44.58/(1+B2)</f>
        <v>44.58</v>
      </c>
      <c r="D9015" s="17" t="s">
        <v>53</v>
      </c>
      <c r="E9015" s="17"/>
      <c r="F9015" s="18"/>
      <c r="G9015" s="36" t="str">
        <f>IF(ISNUMBER(F9015),C9015*F9015,"")</f>
        <v/>
      </c>
    </row>
    <row r="9016" spans="1:7" ht="12" customHeight="1" outlineLevel="2" x14ac:dyDescent="0.2">
      <c r="A9016" s="14" t="s">
        <v>17733</v>
      </c>
      <c r="B9016" s="15" t="s">
        <v>17734</v>
      </c>
      <c r="C9016" s="16">
        <f>332.53/(1+B2)</f>
        <v>332.53</v>
      </c>
      <c r="D9016" s="17" t="s">
        <v>14</v>
      </c>
      <c r="E9016" s="17"/>
      <c r="F9016" s="18"/>
      <c r="G9016" s="36" t="str">
        <f>IF(ISNUMBER(F9016),C9016*F9016,"")</f>
        <v/>
      </c>
    </row>
    <row r="9017" spans="1:7" ht="12" customHeight="1" outlineLevel="2" x14ac:dyDescent="0.2">
      <c r="A9017" s="14" t="s">
        <v>17735</v>
      </c>
      <c r="B9017" s="15" t="s">
        <v>17736</v>
      </c>
      <c r="C9017" s="16">
        <f>193.61/(1+B2)</f>
        <v>193.61</v>
      </c>
      <c r="D9017" s="17" t="s">
        <v>11</v>
      </c>
      <c r="E9017" s="17" t="s">
        <v>14</v>
      </c>
      <c r="F9017" s="18"/>
      <c r="G9017" s="36" t="str">
        <f>IF(ISNUMBER(F9017),C9017*F9017,"")</f>
        <v/>
      </c>
    </row>
    <row r="9018" spans="1:7" ht="12" customHeight="1" outlineLevel="2" x14ac:dyDescent="0.2">
      <c r="A9018" s="14" t="s">
        <v>17737</v>
      </c>
      <c r="B9018" s="15" t="s">
        <v>17738</v>
      </c>
      <c r="C9018" s="16">
        <f>248.26/(1+B2)</f>
        <v>248.26</v>
      </c>
      <c r="D9018" s="17" t="s">
        <v>11</v>
      </c>
      <c r="E9018" s="17"/>
      <c r="F9018" s="18"/>
      <c r="G9018" s="36" t="str">
        <f>IF(ISNUMBER(F9018),C9018*F9018,"")</f>
        <v/>
      </c>
    </row>
    <row r="9019" spans="1:7" ht="12" customHeight="1" outlineLevel="2" x14ac:dyDescent="0.2">
      <c r="A9019" s="14" t="s">
        <v>17739</v>
      </c>
      <c r="B9019" s="15" t="s">
        <v>17740</v>
      </c>
      <c r="C9019" s="16">
        <f>215.88/(1+B2)</f>
        <v>215.88</v>
      </c>
      <c r="D9019" s="17" t="s">
        <v>14</v>
      </c>
      <c r="E9019" s="17"/>
      <c r="F9019" s="18"/>
      <c r="G9019" s="36" t="str">
        <f>IF(ISNUMBER(F9019),C9019*F9019,"")</f>
        <v/>
      </c>
    </row>
    <row r="9020" spans="1:7" ht="12" customHeight="1" outlineLevel="2" x14ac:dyDescent="0.2">
      <c r="A9020" s="14" t="s">
        <v>17741</v>
      </c>
      <c r="B9020" s="15" t="s">
        <v>17742</v>
      </c>
      <c r="C9020" s="16">
        <f>271.18/(1+B2)</f>
        <v>271.18</v>
      </c>
      <c r="D9020" s="17" t="s">
        <v>11</v>
      </c>
      <c r="E9020" s="17" t="s">
        <v>11</v>
      </c>
      <c r="F9020" s="18"/>
      <c r="G9020" s="36" t="str">
        <f>IF(ISNUMBER(F9020),C9020*F9020,"")</f>
        <v/>
      </c>
    </row>
    <row r="9021" spans="1:7" ht="12" customHeight="1" outlineLevel="2" x14ac:dyDescent="0.2">
      <c r="A9021" s="14" t="s">
        <v>17743</v>
      </c>
      <c r="B9021" s="15" t="s">
        <v>17744</v>
      </c>
      <c r="C9021" s="16">
        <f>206.36/(1+B2)</f>
        <v>206.36</v>
      </c>
      <c r="D9021" s="17" t="s">
        <v>11</v>
      </c>
      <c r="E9021" s="17" t="s">
        <v>11</v>
      </c>
      <c r="F9021" s="18"/>
      <c r="G9021" s="36" t="str">
        <f>IF(ISNUMBER(F9021),C9021*F9021,"")</f>
        <v/>
      </c>
    </row>
    <row r="9022" spans="1:7" ht="12" customHeight="1" outlineLevel="2" x14ac:dyDescent="0.2">
      <c r="A9022" s="14" t="s">
        <v>17745</v>
      </c>
      <c r="B9022" s="15" t="s">
        <v>17746</v>
      </c>
      <c r="C9022" s="16">
        <f>187.74/(1+B2)</f>
        <v>187.74</v>
      </c>
      <c r="D9022" s="17" t="s">
        <v>11</v>
      </c>
      <c r="E9022" s="17" t="s">
        <v>11</v>
      </c>
      <c r="F9022" s="18"/>
      <c r="G9022" s="36" t="str">
        <f>IF(ISNUMBER(F9022),C9022*F9022,"")</f>
        <v/>
      </c>
    </row>
    <row r="9023" spans="1:7" ht="12" customHeight="1" outlineLevel="2" x14ac:dyDescent="0.2">
      <c r="A9023" s="14" t="s">
        <v>17747</v>
      </c>
      <c r="B9023" s="15" t="s">
        <v>17748</v>
      </c>
      <c r="C9023" s="16">
        <f>254.2/(1+B2)</f>
        <v>254.2</v>
      </c>
      <c r="D9023" s="17" t="s">
        <v>11</v>
      </c>
      <c r="E9023" s="17"/>
      <c r="F9023" s="18"/>
      <c r="G9023" s="36" t="str">
        <f>IF(ISNUMBER(F9023),C9023*F9023,"")</f>
        <v/>
      </c>
    </row>
    <row r="9024" spans="1:7" ht="12" customHeight="1" outlineLevel="2" x14ac:dyDescent="0.2">
      <c r="A9024" s="14" t="s">
        <v>17749</v>
      </c>
      <c r="B9024" s="15" t="s">
        <v>17750</v>
      </c>
      <c r="C9024" s="16">
        <f>26.28/(1+B2)</f>
        <v>26.28</v>
      </c>
      <c r="D9024" s="17" t="s">
        <v>11</v>
      </c>
      <c r="E9024" s="17"/>
      <c r="F9024" s="18"/>
      <c r="G9024" s="36" t="str">
        <f>IF(ISNUMBER(F9024),C9024*F9024,"")</f>
        <v/>
      </c>
    </row>
    <row r="9025" spans="1:7" ht="12" customHeight="1" outlineLevel="2" x14ac:dyDescent="0.2">
      <c r="A9025" s="14" t="s">
        <v>17751</v>
      </c>
      <c r="B9025" s="15" t="s">
        <v>17752</v>
      </c>
      <c r="C9025" s="16">
        <f>27.17/(1+B2)</f>
        <v>27.17</v>
      </c>
      <c r="D9025" s="17" t="s">
        <v>11</v>
      </c>
      <c r="E9025" s="17" t="s">
        <v>14</v>
      </c>
      <c r="F9025" s="18"/>
      <c r="G9025" s="36" t="str">
        <f>IF(ISNUMBER(F9025),C9025*F9025,"")</f>
        <v/>
      </c>
    </row>
    <row r="9026" spans="1:7" ht="12" customHeight="1" outlineLevel="2" x14ac:dyDescent="0.2">
      <c r="A9026" s="14" t="s">
        <v>17753</v>
      </c>
      <c r="B9026" s="15" t="s">
        <v>17754</v>
      </c>
      <c r="C9026" s="16">
        <f>31.39/(1+B2)</f>
        <v>31.39</v>
      </c>
      <c r="D9026" s="17" t="s">
        <v>11</v>
      </c>
      <c r="E9026" s="17"/>
      <c r="F9026" s="18"/>
      <c r="G9026" s="36" t="str">
        <f>IF(ISNUMBER(F9026),C9026*F9026,"")</f>
        <v/>
      </c>
    </row>
    <row r="9027" spans="1:7" ht="12" customHeight="1" outlineLevel="2" x14ac:dyDescent="0.2">
      <c r="A9027" s="14" t="s">
        <v>17755</v>
      </c>
      <c r="B9027" s="15" t="s">
        <v>17756</v>
      </c>
      <c r="C9027" s="16">
        <f>48.25/(1+B2)</f>
        <v>48.25</v>
      </c>
      <c r="D9027" s="17" t="s">
        <v>11</v>
      </c>
      <c r="E9027" s="17" t="s">
        <v>11</v>
      </c>
      <c r="F9027" s="18"/>
      <c r="G9027" s="36" t="str">
        <f>IF(ISNUMBER(F9027),C9027*F9027,"")</f>
        <v/>
      </c>
    </row>
    <row r="9028" spans="1:7" ht="12" customHeight="1" outlineLevel="2" x14ac:dyDescent="0.2">
      <c r="A9028" s="14" t="s">
        <v>17757</v>
      </c>
      <c r="B9028" s="15" t="s">
        <v>17758</v>
      </c>
      <c r="C9028" s="16">
        <f>74.84/(1+B2)</f>
        <v>74.84</v>
      </c>
      <c r="D9028" s="17" t="s">
        <v>11</v>
      </c>
      <c r="E9028" s="17"/>
      <c r="F9028" s="18"/>
      <c r="G9028" s="36" t="str">
        <f>IF(ISNUMBER(F9028),C9028*F9028,"")</f>
        <v/>
      </c>
    </row>
    <row r="9029" spans="1:7" ht="12" customHeight="1" outlineLevel="2" x14ac:dyDescent="0.2">
      <c r="A9029" s="14" t="s">
        <v>17759</v>
      </c>
      <c r="B9029" s="15" t="s">
        <v>17760</v>
      </c>
      <c r="C9029" s="16">
        <f>88.45/(1+B2)</f>
        <v>88.45</v>
      </c>
      <c r="D9029" s="17" t="s">
        <v>11</v>
      </c>
      <c r="E9029" s="17" t="s">
        <v>11</v>
      </c>
      <c r="F9029" s="18"/>
      <c r="G9029" s="36" t="str">
        <f>IF(ISNUMBER(F9029),C9029*F9029,"")</f>
        <v/>
      </c>
    </row>
    <row r="9030" spans="1:7" ht="12" customHeight="1" outlineLevel="2" x14ac:dyDescent="0.2">
      <c r="A9030" s="14" t="s">
        <v>17761</v>
      </c>
      <c r="B9030" s="15" t="s">
        <v>17762</v>
      </c>
      <c r="C9030" s="16">
        <f>33.9/(1+B2)</f>
        <v>33.9</v>
      </c>
      <c r="D9030" s="17" t="s">
        <v>11</v>
      </c>
      <c r="E9030" s="17" t="s">
        <v>11</v>
      </c>
      <c r="F9030" s="18"/>
      <c r="G9030" s="36" t="str">
        <f>IF(ISNUMBER(F9030),C9030*F9030,"")</f>
        <v/>
      </c>
    </row>
    <row r="9031" spans="1:7" ht="12" customHeight="1" outlineLevel="2" x14ac:dyDescent="0.2">
      <c r="A9031" s="14" t="s">
        <v>17763</v>
      </c>
      <c r="B9031" s="15" t="s">
        <v>17764</v>
      </c>
      <c r="C9031" s="16">
        <f>212.34/(1+B2)</f>
        <v>212.34</v>
      </c>
      <c r="D9031" s="17" t="s">
        <v>11</v>
      </c>
      <c r="E9031" s="17" t="s">
        <v>14</v>
      </c>
      <c r="F9031" s="18"/>
      <c r="G9031" s="36" t="str">
        <f>IF(ISNUMBER(F9031),C9031*F9031,"")</f>
        <v/>
      </c>
    </row>
    <row r="9032" spans="1:7" ht="12" customHeight="1" outlineLevel="2" x14ac:dyDescent="0.2">
      <c r="A9032" s="14" t="s">
        <v>17765</v>
      </c>
      <c r="B9032" s="15" t="s">
        <v>17766</v>
      </c>
      <c r="C9032" s="16">
        <f>30.6/(1+B2)</f>
        <v>30.6</v>
      </c>
      <c r="D9032" s="17" t="s">
        <v>11</v>
      </c>
      <c r="E9032" s="17" t="s">
        <v>14</v>
      </c>
      <c r="F9032" s="18"/>
      <c r="G9032" s="36" t="str">
        <f>IF(ISNUMBER(F9032),C9032*F9032,"")</f>
        <v/>
      </c>
    </row>
    <row r="9033" spans="1:7" ht="12" customHeight="1" outlineLevel="2" x14ac:dyDescent="0.2">
      <c r="A9033" s="14" t="s">
        <v>17767</v>
      </c>
      <c r="B9033" s="15" t="s">
        <v>17768</v>
      </c>
      <c r="C9033" s="16">
        <f>69.39/(1+B2)</f>
        <v>69.39</v>
      </c>
      <c r="D9033" s="17" t="s">
        <v>11</v>
      </c>
      <c r="E9033" s="17" t="s">
        <v>53</v>
      </c>
      <c r="F9033" s="18"/>
      <c r="G9033" s="36" t="str">
        <f>IF(ISNUMBER(F9033),C9033*F9033,"")</f>
        <v/>
      </c>
    </row>
    <row r="9034" spans="1:7" ht="12" customHeight="1" outlineLevel="2" x14ac:dyDescent="0.2">
      <c r="A9034" s="14" t="s">
        <v>17769</v>
      </c>
      <c r="B9034" s="15" t="s">
        <v>17770</v>
      </c>
      <c r="C9034" s="16">
        <f>45.94/(1+B2)</f>
        <v>45.94</v>
      </c>
      <c r="D9034" s="17" t="s">
        <v>11</v>
      </c>
      <c r="E9034" s="17"/>
      <c r="F9034" s="18"/>
      <c r="G9034" s="36" t="str">
        <f>IF(ISNUMBER(F9034),C9034*F9034,"")</f>
        <v/>
      </c>
    </row>
    <row r="9035" spans="1:7" ht="12" customHeight="1" outlineLevel="2" x14ac:dyDescent="0.2">
      <c r="A9035" s="14" t="s">
        <v>17771</v>
      </c>
      <c r="B9035" s="15" t="s">
        <v>17772</v>
      </c>
      <c r="C9035" s="16">
        <f>40.04/(1+B2)</f>
        <v>40.04</v>
      </c>
      <c r="D9035" s="17" t="s">
        <v>53</v>
      </c>
      <c r="E9035" s="17"/>
      <c r="F9035" s="18"/>
      <c r="G9035" s="36" t="str">
        <f>IF(ISNUMBER(F9035),C9035*F9035,"")</f>
        <v/>
      </c>
    </row>
    <row r="9036" spans="1:7" ht="12" customHeight="1" outlineLevel="2" x14ac:dyDescent="0.2">
      <c r="A9036" s="14" t="s">
        <v>17773</v>
      </c>
      <c r="B9036" s="15" t="s">
        <v>17774</v>
      </c>
      <c r="C9036" s="16">
        <f>13.51/(1+B2)</f>
        <v>13.51</v>
      </c>
      <c r="D9036" s="17" t="s">
        <v>11</v>
      </c>
      <c r="E9036" s="17"/>
      <c r="F9036" s="18"/>
      <c r="G9036" s="36" t="str">
        <f>IF(ISNUMBER(F9036),C9036*F9036,"")</f>
        <v/>
      </c>
    </row>
    <row r="9037" spans="1:7" ht="12" customHeight="1" outlineLevel="2" x14ac:dyDescent="0.2">
      <c r="A9037" s="14" t="s">
        <v>17775</v>
      </c>
      <c r="B9037" s="15" t="s">
        <v>17776</v>
      </c>
      <c r="C9037" s="16">
        <f>33.95/(1+B2)</f>
        <v>33.950000000000003</v>
      </c>
      <c r="D9037" s="17" t="s">
        <v>11</v>
      </c>
      <c r="E9037" s="17" t="s">
        <v>11</v>
      </c>
      <c r="F9037" s="18"/>
      <c r="G9037" s="36" t="str">
        <f>IF(ISNUMBER(F9037),C9037*F9037,"")</f>
        <v/>
      </c>
    </row>
    <row r="9038" spans="1:7" ht="12" customHeight="1" outlineLevel="2" x14ac:dyDescent="0.2">
      <c r="A9038" s="14" t="s">
        <v>17777</v>
      </c>
      <c r="B9038" s="15" t="s">
        <v>17778</v>
      </c>
      <c r="C9038" s="16">
        <f>31.12/(1+B2)</f>
        <v>31.12</v>
      </c>
      <c r="D9038" s="17" t="s">
        <v>11</v>
      </c>
      <c r="E9038" s="17"/>
      <c r="F9038" s="18"/>
      <c r="G9038" s="36" t="str">
        <f>IF(ISNUMBER(F9038),C9038*F9038,"")</f>
        <v/>
      </c>
    </row>
    <row r="9039" spans="1:7" ht="12" customHeight="1" outlineLevel="2" x14ac:dyDescent="0.2">
      <c r="A9039" s="14" t="s">
        <v>17779</v>
      </c>
      <c r="B9039" s="15" t="s">
        <v>17780</v>
      </c>
      <c r="C9039" s="16">
        <f>43.15/(1+B2)</f>
        <v>43.15</v>
      </c>
      <c r="D9039" s="17" t="s">
        <v>11</v>
      </c>
      <c r="E9039" s="17"/>
      <c r="F9039" s="18"/>
      <c r="G9039" s="36" t="str">
        <f>IF(ISNUMBER(F9039),C9039*F9039,"")</f>
        <v/>
      </c>
    </row>
    <row r="9040" spans="1:7" ht="12" customHeight="1" outlineLevel="2" x14ac:dyDescent="0.2">
      <c r="A9040" s="14" t="s">
        <v>17781</v>
      </c>
      <c r="B9040" s="15" t="s">
        <v>17782</v>
      </c>
      <c r="C9040" s="16">
        <f>49.04/(1+B2)</f>
        <v>49.04</v>
      </c>
      <c r="D9040" s="17" t="s">
        <v>11</v>
      </c>
      <c r="E9040" s="17"/>
      <c r="F9040" s="18"/>
      <c r="G9040" s="36" t="str">
        <f>IF(ISNUMBER(F9040),C9040*F9040,"")</f>
        <v/>
      </c>
    </row>
    <row r="9041" spans="1:7" ht="12" customHeight="1" outlineLevel="2" x14ac:dyDescent="0.2">
      <c r="A9041" s="14" t="s">
        <v>17783</v>
      </c>
      <c r="B9041" s="15" t="s">
        <v>17784</v>
      </c>
      <c r="C9041" s="16">
        <f>164.63/(1+B2)</f>
        <v>164.63</v>
      </c>
      <c r="D9041" s="17" t="s">
        <v>11</v>
      </c>
      <c r="E9041" s="17"/>
      <c r="F9041" s="18"/>
      <c r="G9041" s="36" t="str">
        <f>IF(ISNUMBER(F9041),C9041*F9041,"")</f>
        <v/>
      </c>
    </row>
    <row r="9042" spans="1:7" ht="12" customHeight="1" outlineLevel="2" x14ac:dyDescent="0.2">
      <c r="A9042" s="14" t="s">
        <v>17785</v>
      </c>
      <c r="B9042" s="15" t="s">
        <v>17786</v>
      </c>
      <c r="C9042" s="16">
        <f>254.22/(1+B2)</f>
        <v>254.22</v>
      </c>
      <c r="D9042" s="17" t="s">
        <v>11</v>
      </c>
      <c r="E9042" s="17"/>
      <c r="F9042" s="18"/>
      <c r="G9042" s="36" t="str">
        <f>IF(ISNUMBER(F9042),C9042*F9042,"")</f>
        <v/>
      </c>
    </row>
    <row r="9043" spans="1:7" s="1" customFormat="1" ht="15.95" customHeight="1" outlineLevel="1" x14ac:dyDescent="0.25">
      <c r="A9043" s="11"/>
      <c r="B9043" s="12" t="s">
        <v>17787</v>
      </c>
      <c r="C9043" s="13"/>
      <c r="D9043" s="13"/>
      <c r="E9043" s="13"/>
      <c r="F9043" s="13"/>
      <c r="G9043" s="35"/>
    </row>
    <row r="9044" spans="1:7" ht="12" customHeight="1" outlineLevel="2" x14ac:dyDescent="0.2">
      <c r="A9044" s="14" t="s">
        <v>17788</v>
      </c>
      <c r="B9044" s="15" t="s">
        <v>17789</v>
      </c>
      <c r="C9044" s="16">
        <f>0.82/(1+B2)</f>
        <v>0.82</v>
      </c>
      <c r="D9044" s="17" t="s">
        <v>106</v>
      </c>
      <c r="E9044" s="17"/>
      <c r="F9044" s="18"/>
      <c r="G9044" s="36" t="str">
        <f>IF(ISNUMBER(F9044),C9044*F9044,"")</f>
        <v/>
      </c>
    </row>
    <row r="9045" spans="1:7" ht="12" customHeight="1" outlineLevel="2" x14ac:dyDescent="0.2">
      <c r="A9045" s="14" t="s">
        <v>17790</v>
      </c>
      <c r="B9045" s="15" t="s">
        <v>17791</v>
      </c>
      <c r="C9045" s="16">
        <f>3.06/(1+B2)</f>
        <v>3.06</v>
      </c>
      <c r="D9045" s="17" t="s">
        <v>106</v>
      </c>
      <c r="E9045" s="17"/>
      <c r="F9045" s="18"/>
      <c r="G9045" s="36" t="str">
        <f>IF(ISNUMBER(F9045),C9045*F9045,"")</f>
        <v/>
      </c>
    </row>
    <row r="9046" spans="1:7" ht="12" customHeight="1" outlineLevel="2" x14ac:dyDescent="0.2">
      <c r="A9046" s="14" t="s">
        <v>17792</v>
      </c>
      <c r="B9046" s="15" t="s">
        <v>17793</v>
      </c>
      <c r="C9046" s="16">
        <f>1.28/(1+B2)</f>
        <v>1.28</v>
      </c>
      <c r="D9046" s="17" t="s">
        <v>14</v>
      </c>
      <c r="E9046" s="17"/>
      <c r="F9046" s="18"/>
      <c r="G9046" s="36" t="str">
        <f>IF(ISNUMBER(F9046),C9046*F9046,"")</f>
        <v/>
      </c>
    </row>
    <row r="9047" spans="1:7" ht="12" customHeight="1" outlineLevel="2" x14ac:dyDescent="0.2">
      <c r="A9047" s="14" t="s">
        <v>17794</v>
      </c>
      <c r="B9047" s="15" t="s">
        <v>17795</v>
      </c>
      <c r="C9047" s="16">
        <f>1.26/(1+B2)</f>
        <v>1.26</v>
      </c>
      <c r="D9047" s="17" t="s">
        <v>14</v>
      </c>
      <c r="E9047" s="17" t="s">
        <v>53</v>
      </c>
      <c r="F9047" s="18"/>
      <c r="G9047" s="36" t="str">
        <f>IF(ISNUMBER(F9047),C9047*F9047,"")</f>
        <v/>
      </c>
    </row>
    <row r="9048" spans="1:7" ht="12" customHeight="1" outlineLevel="2" x14ac:dyDescent="0.2">
      <c r="A9048" s="14" t="s">
        <v>17796</v>
      </c>
      <c r="B9048" s="15" t="s">
        <v>17797</v>
      </c>
      <c r="C9048" s="16">
        <f>1.34/(1+B2)</f>
        <v>1.34</v>
      </c>
      <c r="D9048" s="17" t="s">
        <v>14</v>
      </c>
      <c r="E9048" s="17" t="s">
        <v>106</v>
      </c>
      <c r="F9048" s="18"/>
      <c r="G9048" s="36" t="str">
        <f>IF(ISNUMBER(F9048),C9048*F9048,"")</f>
        <v/>
      </c>
    </row>
    <row r="9049" spans="1:7" ht="12" customHeight="1" outlineLevel="2" x14ac:dyDescent="0.2">
      <c r="A9049" s="14" t="s">
        <v>17798</v>
      </c>
      <c r="B9049" s="15" t="s">
        <v>17799</v>
      </c>
      <c r="C9049" s="16">
        <f>0.77/(1+B2)</f>
        <v>0.77</v>
      </c>
      <c r="D9049" s="17" t="s">
        <v>106</v>
      </c>
      <c r="E9049" s="17"/>
      <c r="F9049" s="18"/>
      <c r="G9049" s="36" t="str">
        <f>IF(ISNUMBER(F9049),C9049*F9049,"")</f>
        <v/>
      </c>
    </row>
    <row r="9050" spans="1:7" ht="12" customHeight="1" outlineLevel="2" x14ac:dyDescent="0.2">
      <c r="A9050" s="14" t="s">
        <v>17800</v>
      </c>
      <c r="B9050" s="15" t="s">
        <v>17801</v>
      </c>
      <c r="C9050" s="16">
        <f>16.79/(1+B2)</f>
        <v>16.79</v>
      </c>
      <c r="D9050" s="17" t="s">
        <v>11</v>
      </c>
      <c r="E9050" s="17" t="s">
        <v>14</v>
      </c>
      <c r="F9050" s="18"/>
      <c r="G9050" s="36" t="str">
        <f>IF(ISNUMBER(F9050),C9050*F9050,"")</f>
        <v/>
      </c>
    </row>
    <row r="9051" spans="1:7" ht="12" customHeight="1" outlineLevel="2" x14ac:dyDescent="0.2">
      <c r="A9051" s="14" t="s">
        <v>17802</v>
      </c>
      <c r="B9051" s="15" t="s">
        <v>17803</v>
      </c>
      <c r="C9051" s="16">
        <f>4.75/(1+B2)</f>
        <v>4.75</v>
      </c>
      <c r="D9051" s="17" t="s">
        <v>106</v>
      </c>
      <c r="E9051" s="17"/>
      <c r="F9051" s="18"/>
      <c r="G9051" s="36" t="str">
        <f>IF(ISNUMBER(F9051),C9051*F9051,"")</f>
        <v/>
      </c>
    </row>
    <row r="9052" spans="1:7" ht="12" customHeight="1" outlineLevel="2" x14ac:dyDescent="0.2">
      <c r="A9052" s="14" t="s">
        <v>17804</v>
      </c>
      <c r="B9052" s="15" t="s">
        <v>17805</v>
      </c>
      <c r="C9052" s="16">
        <f>8.35/(1+B2)</f>
        <v>8.35</v>
      </c>
      <c r="D9052" s="17" t="s">
        <v>14</v>
      </c>
      <c r="E9052" s="17" t="s">
        <v>106</v>
      </c>
      <c r="F9052" s="18"/>
      <c r="G9052" s="36" t="str">
        <f>IF(ISNUMBER(F9052),C9052*F9052,"")</f>
        <v/>
      </c>
    </row>
    <row r="9053" spans="1:7" ht="24" customHeight="1" outlineLevel="2" x14ac:dyDescent="0.2">
      <c r="A9053" s="14" t="s">
        <v>17806</v>
      </c>
      <c r="B9053" s="15" t="s">
        <v>17807</v>
      </c>
      <c r="C9053" s="16">
        <f>17.88/(1+B2)</f>
        <v>17.88</v>
      </c>
      <c r="D9053" s="17" t="s">
        <v>14</v>
      </c>
      <c r="E9053" s="17" t="s">
        <v>106</v>
      </c>
      <c r="F9053" s="18"/>
      <c r="G9053" s="36" t="str">
        <f>IF(ISNUMBER(F9053),C9053*F9053,"")</f>
        <v/>
      </c>
    </row>
    <row r="9054" spans="1:7" ht="24" customHeight="1" outlineLevel="2" x14ac:dyDescent="0.2">
      <c r="A9054" s="14" t="s">
        <v>17808</v>
      </c>
      <c r="B9054" s="15" t="s">
        <v>17809</v>
      </c>
      <c r="C9054" s="16">
        <f>7.49/(1+B2)</f>
        <v>7.49</v>
      </c>
      <c r="D9054" s="17" t="s">
        <v>106</v>
      </c>
      <c r="E9054" s="17" t="s">
        <v>106</v>
      </c>
      <c r="F9054" s="18"/>
      <c r="G9054" s="36" t="str">
        <f>IF(ISNUMBER(F9054),C9054*F9054,"")</f>
        <v/>
      </c>
    </row>
    <row r="9055" spans="1:7" ht="24" customHeight="1" outlineLevel="2" x14ac:dyDescent="0.2">
      <c r="A9055" s="14" t="s">
        <v>17810</v>
      </c>
      <c r="B9055" s="15" t="s">
        <v>17811</v>
      </c>
      <c r="C9055" s="16">
        <f>2.72/(1+B2)</f>
        <v>2.72</v>
      </c>
      <c r="D9055" s="17" t="s">
        <v>106</v>
      </c>
      <c r="E9055" s="17"/>
      <c r="F9055" s="18"/>
      <c r="G9055" s="36" t="str">
        <f>IF(ISNUMBER(F9055),C9055*F9055,"")</f>
        <v/>
      </c>
    </row>
    <row r="9056" spans="1:7" ht="24" customHeight="1" outlineLevel="2" x14ac:dyDescent="0.2">
      <c r="A9056" s="14" t="s">
        <v>17812</v>
      </c>
      <c r="B9056" s="15" t="s">
        <v>17813</v>
      </c>
      <c r="C9056" s="16">
        <f>11.45/(1+B2)</f>
        <v>11.45</v>
      </c>
      <c r="D9056" s="17" t="s">
        <v>106</v>
      </c>
      <c r="E9056" s="17" t="s">
        <v>106</v>
      </c>
      <c r="F9056" s="18"/>
      <c r="G9056" s="36" t="str">
        <f>IF(ISNUMBER(F9056),C9056*F9056,"")</f>
        <v/>
      </c>
    </row>
    <row r="9057" spans="1:7" ht="24" customHeight="1" outlineLevel="2" x14ac:dyDescent="0.2">
      <c r="A9057" s="14" t="s">
        <v>17814</v>
      </c>
      <c r="B9057" s="15" t="s">
        <v>17815</v>
      </c>
      <c r="C9057" s="16">
        <f>2.9/(1+B2)</f>
        <v>2.9</v>
      </c>
      <c r="D9057" s="17" t="s">
        <v>106</v>
      </c>
      <c r="E9057" s="17" t="s">
        <v>106</v>
      </c>
      <c r="F9057" s="18"/>
      <c r="G9057" s="36" t="str">
        <f>IF(ISNUMBER(F9057),C9057*F9057,"")</f>
        <v/>
      </c>
    </row>
    <row r="9058" spans="1:7" ht="24" customHeight="1" outlineLevel="2" x14ac:dyDescent="0.2">
      <c r="A9058" s="14" t="s">
        <v>17816</v>
      </c>
      <c r="B9058" s="15" t="s">
        <v>17817</v>
      </c>
      <c r="C9058" s="16">
        <f>3.89/(1+B2)</f>
        <v>3.89</v>
      </c>
      <c r="D9058" s="17" t="s">
        <v>106</v>
      </c>
      <c r="E9058" s="17" t="s">
        <v>106</v>
      </c>
      <c r="F9058" s="18"/>
      <c r="G9058" s="36" t="str">
        <f>IF(ISNUMBER(F9058),C9058*F9058,"")</f>
        <v/>
      </c>
    </row>
    <row r="9059" spans="1:7" ht="12" customHeight="1" outlineLevel="2" x14ac:dyDescent="0.2">
      <c r="A9059" s="14" t="s">
        <v>17818</v>
      </c>
      <c r="B9059" s="15" t="s">
        <v>17819</v>
      </c>
      <c r="C9059" s="16">
        <f>8.3/(1+B2)</f>
        <v>8.3000000000000007</v>
      </c>
      <c r="D9059" s="17" t="s">
        <v>106</v>
      </c>
      <c r="E9059" s="17"/>
      <c r="F9059" s="18"/>
      <c r="G9059" s="36" t="str">
        <f>IF(ISNUMBER(F9059),C9059*F9059,"")</f>
        <v/>
      </c>
    </row>
    <row r="9060" spans="1:7" ht="24" customHeight="1" outlineLevel="2" x14ac:dyDescent="0.2">
      <c r="A9060" s="14" t="s">
        <v>17820</v>
      </c>
      <c r="B9060" s="15" t="s">
        <v>17821</v>
      </c>
      <c r="C9060" s="16">
        <f>4.48/(1+B2)</f>
        <v>4.4800000000000004</v>
      </c>
      <c r="D9060" s="17" t="s">
        <v>106</v>
      </c>
      <c r="E9060" s="17"/>
      <c r="F9060" s="18"/>
      <c r="G9060" s="36" t="str">
        <f>IF(ISNUMBER(F9060),C9060*F9060,"")</f>
        <v/>
      </c>
    </row>
    <row r="9061" spans="1:7" ht="24" customHeight="1" outlineLevel="2" x14ac:dyDescent="0.2">
      <c r="A9061" s="14" t="s">
        <v>17822</v>
      </c>
      <c r="B9061" s="15" t="s">
        <v>17823</v>
      </c>
      <c r="C9061" s="16">
        <f>4/(1+B2)</f>
        <v>4</v>
      </c>
      <c r="D9061" s="17" t="s">
        <v>14</v>
      </c>
      <c r="E9061" s="17"/>
      <c r="F9061" s="18"/>
      <c r="G9061" s="36" t="str">
        <f>IF(ISNUMBER(F9061),C9061*F9061,"")</f>
        <v/>
      </c>
    </row>
    <row r="9062" spans="1:7" ht="24" customHeight="1" outlineLevel="2" x14ac:dyDescent="0.2">
      <c r="A9062" s="14" t="s">
        <v>17824</v>
      </c>
      <c r="B9062" s="15" t="s">
        <v>17825</v>
      </c>
      <c r="C9062" s="16">
        <f>6.1/(1+B2)</f>
        <v>6.1</v>
      </c>
      <c r="D9062" s="17" t="s">
        <v>14</v>
      </c>
      <c r="E9062" s="17" t="s">
        <v>106</v>
      </c>
      <c r="F9062" s="18"/>
      <c r="G9062" s="36" t="str">
        <f>IF(ISNUMBER(F9062),C9062*F9062,"")</f>
        <v/>
      </c>
    </row>
    <row r="9063" spans="1:7" ht="24" customHeight="1" outlineLevel="2" x14ac:dyDescent="0.2">
      <c r="A9063" s="14" t="s">
        <v>17826</v>
      </c>
      <c r="B9063" s="15" t="s">
        <v>17827</v>
      </c>
      <c r="C9063" s="16">
        <f>6.58/(1+B2)</f>
        <v>6.58</v>
      </c>
      <c r="D9063" s="17" t="s">
        <v>106</v>
      </c>
      <c r="E9063" s="17" t="s">
        <v>106</v>
      </c>
      <c r="F9063" s="18"/>
      <c r="G9063" s="36" t="str">
        <f>IF(ISNUMBER(F9063),C9063*F9063,"")</f>
        <v/>
      </c>
    </row>
    <row r="9064" spans="1:7" ht="24" customHeight="1" outlineLevel="2" x14ac:dyDescent="0.2">
      <c r="A9064" s="14" t="s">
        <v>17828</v>
      </c>
      <c r="B9064" s="15" t="s">
        <v>17829</v>
      </c>
      <c r="C9064" s="16">
        <f>6.84/(1+B2)</f>
        <v>6.84</v>
      </c>
      <c r="D9064" s="17" t="s">
        <v>106</v>
      </c>
      <c r="E9064" s="17" t="s">
        <v>106</v>
      </c>
      <c r="F9064" s="18"/>
      <c r="G9064" s="36" t="str">
        <f>IF(ISNUMBER(F9064),C9064*F9064,"")</f>
        <v/>
      </c>
    </row>
    <row r="9065" spans="1:7" ht="24" customHeight="1" outlineLevel="2" x14ac:dyDescent="0.2">
      <c r="A9065" s="14" t="s">
        <v>17830</v>
      </c>
      <c r="B9065" s="15" t="s">
        <v>17831</v>
      </c>
      <c r="C9065" s="16">
        <f>7.19/(1+B2)</f>
        <v>7.19</v>
      </c>
      <c r="D9065" s="17" t="s">
        <v>106</v>
      </c>
      <c r="E9065" s="17" t="s">
        <v>106</v>
      </c>
      <c r="F9065" s="18"/>
      <c r="G9065" s="36" t="str">
        <f>IF(ISNUMBER(F9065),C9065*F9065,"")</f>
        <v/>
      </c>
    </row>
    <row r="9066" spans="1:7" ht="24" customHeight="1" outlineLevel="2" x14ac:dyDescent="0.2">
      <c r="A9066" s="14" t="s">
        <v>17832</v>
      </c>
      <c r="B9066" s="15" t="s">
        <v>17833</v>
      </c>
      <c r="C9066" s="16">
        <f>2.71/(1+B2)</f>
        <v>2.71</v>
      </c>
      <c r="D9066" s="17" t="s">
        <v>106</v>
      </c>
      <c r="E9066" s="17" t="s">
        <v>106</v>
      </c>
      <c r="F9066" s="18"/>
      <c r="G9066" s="36" t="str">
        <f>IF(ISNUMBER(F9066),C9066*F9066,"")</f>
        <v/>
      </c>
    </row>
    <row r="9067" spans="1:7" ht="24" customHeight="1" outlineLevel="2" x14ac:dyDescent="0.2">
      <c r="A9067" s="14" t="s">
        <v>17834</v>
      </c>
      <c r="B9067" s="15" t="s">
        <v>17835</v>
      </c>
      <c r="C9067" s="16">
        <f>4.52/(1+B2)</f>
        <v>4.5199999999999996</v>
      </c>
      <c r="D9067" s="17" t="s">
        <v>106</v>
      </c>
      <c r="E9067" s="17" t="s">
        <v>106</v>
      </c>
      <c r="F9067" s="18"/>
      <c r="G9067" s="36" t="str">
        <f>IF(ISNUMBER(F9067),C9067*F9067,"")</f>
        <v/>
      </c>
    </row>
    <row r="9068" spans="1:7" ht="24" customHeight="1" outlineLevel="2" x14ac:dyDescent="0.2">
      <c r="A9068" s="14" t="s">
        <v>17836</v>
      </c>
      <c r="B9068" s="15" t="s">
        <v>17837</v>
      </c>
      <c r="C9068" s="16">
        <f>4.86/(1+B2)</f>
        <v>4.8600000000000003</v>
      </c>
      <c r="D9068" s="17" t="s">
        <v>106</v>
      </c>
      <c r="E9068" s="17" t="s">
        <v>106</v>
      </c>
      <c r="F9068" s="18"/>
      <c r="G9068" s="36" t="str">
        <f>IF(ISNUMBER(F9068),C9068*F9068,"")</f>
        <v/>
      </c>
    </row>
    <row r="9069" spans="1:7" ht="24" customHeight="1" outlineLevel="2" x14ac:dyDescent="0.2">
      <c r="A9069" s="14" t="s">
        <v>17838</v>
      </c>
      <c r="B9069" s="15" t="s">
        <v>17839</v>
      </c>
      <c r="C9069" s="16">
        <f>36.17/(1+B2)</f>
        <v>36.17</v>
      </c>
      <c r="D9069" s="17" t="s">
        <v>11</v>
      </c>
      <c r="E9069" s="17" t="s">
        <v>106</v>
      </c>
      <c r="F9069" s="18"/>
      <c r="G9069" s="36" t="str">
        <f>IF(ISNUMBER(F9069),C9069*F9069,"")</f>
        <v/>
      </c>
    </row>
    <row r="9070" spans="1:7" ht="24" customHeight="1" outlineLevel="2" x14ac:dyDescent="0.2">
      <c r="A9070" s="14" t="s">
        <v>17840</v>
      </c>
      <c r="B9070" s="15" t="s">
        <v>17841</v>
      </c>
      <c r="C9070" s="16">
        <f>69.34/(1+B2)</f>
        <v>69.34</v>
      </c>
      <c r="D9070" s="17" t="s">
        <v>14</v>
      </c>
      <c r="E9070" s="17" t="s">
        <v>53</v>
      </c>
      <c r="F9070" s="18"/>
      <c r="G9070" s="36" t="str">
        <f>IF(ISNUMBER(F9070),C9070*F9070,"")</f>
        <v/>
      </c>
    </row>
    <row r="9071" spans="1:7" ht="12" customHeight="1" outlineLevel="2" x14ac:dyDescent="0.2">
      <c r="A9071" s="14" t="s">
        <v>17842</v>
      </c>
      <c r="B9071" s="15" t="s">
        <v>17843</v>
      </c>
      <c r="C9071" s="16">
        <f>3.34/(1+B2)</f>
        <v>3.34</v>
      </c>
      <c r="D9071" s="17" t="s">
        <v>106</v>
      </c>
      <c r="E9071" s="17"/>
      <c r="F9071" s="18"/>
      <c r="G9071" s="36" t="str">
        <f>IF(ISNUMBER(F9071),C9071*F9071,"")</f>
        <v/>
      </c>
    </row>
    <row r="9072" spans="1:7" ht="12" customHeight="1" outlineLevel="2" x14ac:dyDescent="0.2">
      <c r="A9072" s="14" t="s">
        <v>17844</v>
      </c>
      <c r="B9072" s="15" t="s">
        <v>17845</v>
      </c>
      <c r="C9072" s="16">
        <f>1.46/(1+B2)</f>
        <v>1.46</v>
      </c>
      <c r="D9072" s="17" t="s">
        <v>106</v>
      </c>
      <c r="E9072" s="17"/>
      <c r="F9072" s="18"/>
      <c r="G9072" s="36" t="str">
        <f>IF(ISNUMBER(F9072),C9072*F9072,"")</f>
        <v/>
      </c>
    </row>
    <row r="9073" spans="1:7" ht="12" customHeight="1" outlineLevel="2" x14ac:dyDescent="0.2">
      <c r="A9073" s="14" t="s">
        <v>17846</v>
      </c>
      <c r="B9073" s="15" t="s">
        <v>17847</v>
      </c>
      <c r="C9073" s="16">
        <f>0.91/(1+B2)</f>
        <v>0.91</v>
      </c>
      <c r="D9073" s="17" t="s">
        <v>53</v>
      </c>
      <c r="E9073" s="17"/>
      <c r="F9073" s="18"/>
      <c r="G9073" s="36" t="str">
        <f>IF(ISNUMBER(F9073),C9073*F9073,"")</f>
        <v/>
      </c>
    </row>
    <row r="9074" spans="1:7" ht="12" customHeight="1" outlineLevel="2" x14ac:dyDescent="0.2">
      <c r="A9074" s="14" t="s">
        <v>17848</v>
      </c>
      <c r="B9074" s="15" t="s">
        <v>17849</v>
      </c>
      <c r="C9074" s="16">
        <f>0.47/(1+B2)</f>
        <v>0.47</v>
      </c>
      <c r="D9074" s="17" t="s">
        <v>106</v>
      </c>
      <c r="E9074" s="17"/>
      <c r="F9074" s="18"/>
      <c r="G9074" s="36" t="str">
        <f>IF(ISNUMBER(F9074),C9074*F9074,"")</f>
        <v/>
      </c>
    </row>
    <row r="9075" spans="1:7" ht="12" customHeight="1" outlineLevel="2" x14ac:dyDescent="0.2">
      <c r="A9075" s="14" t="s">
        <v>17850</v>
      </c>
      <c r="B9075" s="15" t="s">
        <v>17851</v>
      </c>
      <c r="C9075" s="16">
        <f>20.78/(1+B2)</f>
        <v>20.78</v>
      </c>
      <c r="D9075" s="17" t="s">
        <v>11</v>
      </c>
      <c r="E9075" s="17" t="s">
        <v>53</v>
      </c>
      <c r="F9075" s="18"/>
      <c r="G9075" s="36" t="str">
        <f>IF(ISNUMBER(F9075),C9075*F9075,"")</f>
        <v/>
      </c>
    </row>
    <row r="9076" spans="1:7" ht="12" customHeight="1" outlineLevel="2" x14ac:dyDescent="0.2">
      <c r="A9076" s="14" t="s">
        <v>17852</v>
      </c>
      <c r="B9076" s="15" t="s">
        <v>17853</v>
      </c>
      <c r="C9076" s="16">
        <f>39.26/(1+B2)</f>
        <v>39.26</v>
      </c>
      <c r="D9076" s="17"/>
      <c r="E9076" s="17" t="s">
        <v>14</v>
      </c>
      <c r="F9076" s="18"/>
      <c r="G9076" s="36" t="str">
        <f>IF(ISNUMBER(F9076),C9076*F9076,"")</f>
        <v/>
      </c>
    </row>
    <row r="9077" spans="1:7" ht="12" customHeight="1" outlineLevel="2" x14ac:dyDescent="0.2">
      <c r="A9077" s="14" t="s">
        <v>17854</v>
      </c>
      <c r="B9077" s="15" t="s">
        <v>17855</v>
      </c>
      <c r="C9077" s="16">
        <f>1.22/(1+B2)</f>
        <v>1.22</v>
      </c>
      <c r="D9077" s="17" t="s">
        <v>53</v>
      </c>
      <c r="E9077" s="17"/>
      <c r="F9077" s="18"/>
      <c r="G9077" s="36" t="str">
        <f>IF(ISNUMBER(F9077),C9077*F9077,"")</f>
        <v/>
      </c>
    </row>
    <row r="9078" spans="1:7" ht="12" customHeight="1" outlineLevel="2" x14ac:dyDescent="0.2">
      <c r="A9078" s="14" t="s">
        <v>17856</v>
      </c>
      <c r="B9078" s="15" t="s">
        <v>17857</v>
      </c>
      <c r="C9078" s="16">
        <f>1.66/(1+B2)</f>
        <v>1.66</v>
      </c>
      <c r="D9078" s="17" t="s">
        <v>53</v>
      </c>
      <c r="E9078" s="17"/>
      <c r="F9078" s="18"/>
      <c r="G9078" s="36" t="str">
        <f>IF(ISNUMBER(F9078),C9078*F9078,"")</f>
        <v/>
      </c>
    </row>
    <row r="9079" spans="1:7" ht="12" customHeight="1" outlineLevel="2" x14ac:dyDescent="0.2">
      <c r="A9079" s="14" t="s">
        <v>17858</v>
      </c>
      <c r="B9079" s="15" t="s">
        <v>17859</v>
      </c>
      <c r="C9079" s="16">
        <f>0.31/(1+B2)</f>
        <v>0.31</v>
      </c>
      <c r="D9079" s="17" t="s">
        <v>11</v>
      </c>
      <c r="E9079" s="17"/>
      <c r="F9079" s="18"/>
      <c r="G9079" s="36" t="str">
        <f>IF(ISNUMBER(F9079),C9079*F9079,"")</f>
        <v/>
      </c>
    </row>
    <row r="9080" spans="1:7" ht="12" customHeight="1" outlineLevel="2" x14ac:dyDescent="0.2">
      <c r="A9080" s="14" t="s">
        <v>17860</v>
      </c>
      <c r="B9080" s="15" t="s">
        <v>17861</v>
      </c>
      <c r="C9080" s="16">
        <f>0.56/(1+B2)</f>
        <v>0.56000000000000005</v>
      </c>
      <c r="D9080" s="17" t="s">
        <v>14</v>
      </c>
      <c r="E9080" s="17"/>
      <c r="F9080" s="18"/>
      <c r="G9080" s="36" t="str">
        <f>IF(ISNUMBER(F9080),C9080*F9080,"")</f>
        <v/>
      </c>
    </row>
    <row r="9081" spans="1:7" ht="12" customHeight="1" outlineLevel="2" x14ac:dyDescent="0.2">
      <c r="A9081" s="14" t="s">
        <v>17862</v>
      </c>
      <c r="B9081" s="15" t="s">
        <v>17863</v>
      </c>
      <c r="C9081" s="16">
        <f>0.86/(1+B2)</f>
        <v>0.86</v>
      </c>
      <c r="D9081" s="17" t="s">
        <v>53</v>
      </c>
      <c r="E9081" s="17"/>
      <c r="F9081" s="18"/>
      <c r="G9081" s="36" t="str">
        <f>IF(ISNUMBER(F9081),C9081*F9081,"")</f>
        <v/>
      </c>
    </row>
    <row r="9082" spans="1:7" ht="12" customHeight="1" outlineLevel="2" x14ac:dyDescent="0.2">
      <c r="A9082" s="14" t="s">
        <v>17864</v>
      </c>
      <c r="B9082" s="15" t="s">
        <v>17865</v>
      </c>
      <c r="C9082" s="16">
        <f>0.49/(1+B2)</f>
        <v>0.49</v>
      </c>
      <c r="D9082" s="17" t="s">
        <v>11</v>
      </c>
      <c r="E9082" s="17" t="s">
        <v>106</v>
      </c>
      <c r="F9082" s="18"/>
      <c r="G9082" s="36" t="str">
        <f>IF(ISNUMBER(F9082),C9082*F9082,"")</f>
        <v/>
      </c>
    </row>
    <row r="9083" spans="1:7" ht="12" customHeight="1" outlineLevel="2" x14ac:dyDescent="0.2">
      <c r="A9083" s="14" t="s">
        <v>17866</v>
      </c>
      <c r="B9083" s="15" t="s">
        <v>17867</v>
      </c>
      <c r="C9083" s="16">
        <f>0.44/(1+B2)</f>
        <v>0.44</v>
      </c>
      <c r="D9083" s="17" t="s">
        <v>106</v>
      </c>
      <c r="E9083" s="17"/>
      <c r="F9083" s="18"/>
      <c r="G9083" s="36" t="str">
        <f>IF(ISNUMBER(F9083),C9083*F9083,"")</f>
        <v/>
      </c>
    </row>
    <row r="9084" spans="1:7" ht="12" customHeight="1" outlineLevel="2" x14ac:dyDescent="0.2">
      <c r="A9084" s="14" t="s">
        <v>17868</v>
      </c>
      <c r="B9084" s="15" t="s">
        <v>17869</v>
      </c>
      <c r="C9084" s="16">
        <f>2.52/(1+B2)</f>
        <v>2.52</v>
      </c>
      <c r="D9084" s="17" t="s">
        <v>106</v>
      </c>
      <c r="E9084" s="17" t="s">
        <v>106</v>
      </c>
      <c r="F9084" s="18"/>
      <c r="G9084" s="36" t="str">
        <f>IF(ISNUMBER(F9084),C9084*F9084,"")</f>
        <v/>
      </c>
    </row>
    <row r="9085" spans="1:7" ht="12" customHeight="1" outlineLevel="2" x14ac:dyDescent="0.2">
      <c r="A9085" s="14" t="s">
        <v>17870</v>
      </c>
      <c r="B9085" s="15" t="s">
        <v>17871</v>
      </c>
      <c r="C9085" s="16">
        <f>76.44/(1+B2)</f>
        <v>76.44</v>
      </c>
      <c r="D9085" s="17" t="s">
        <v>11</v>
      </c>
      <c r="E9085" s="17" t="s">
        <v>53</v>
      </c>
      <c r="F9085" s="18"/>
      <c r="G9085" s="36" t="str">
        <f>IF(ISNUMBER(F9085),C9085*F9085,"")</f>
        <v/>
      </c>
    </row>
    <row r="9086" spans="1:7" ht="12" customHeight="1" outlineLevel="2" x14ac:dyDescent="0.2">
      <c r="A9086" s="14" t="s">
        <v>17872</v>
      </c>
      <c r="B9086" s="15" t="s">
        <v>17873</v>
      </c>
      <c r="C9086" s="16">
        <f>7.49/(1+B2)</f>
        <v>7.49</v>
      </c>
      <c r="D9086" s="17" t="s">
        <v>11</v>
      </c>
      <c r="E9086" s="17" t="s">
        <v>106</v>
      </c>
      <c r="F9086" s="18"/>
      <c r="G9086" s="36" t="str">
        <f>IF(ISNUMBER(F9086),C9086*F9086,"")</f>
        <v/>
      </c>
    </row>
    <row r="9087" spans="1:7" ht="12" customHeight="1" outlineLevel="2" x14ac:dyDescent="0.2">
      <c r="A9087" s="14" t="s">
        <v>17874</v>
      </c>
      <c r="B9087" s="15" t="s">
        <v>17875</v>
      </c>
      <c r="C9087" s="16">
        <f>3.17/(1+B2)</f>
        <v>3.17</v>
      </c>
      <c r="D9087" s="17" t="s">
        <v>14</v>
      </c>
      <c r="E9087" s="17" t="s">
        <v>53</v>
      </c>
      <c r="F9087" s="18"/>
      <c r="G9087" s="36" t="str">
        <f>IF(ISNUMBER(F9087),C9087*F9087,"")</f>
        <v/>
      </c>
    </row>
    <row r="9088" spans="1:7" ht="12" customHeight="1" outlineLevel="2" x14ac:dyDescent="0.2">
      <c r="A9088" s="14" t="s">
        <v>17876</v>
      </c>
      <c r="B9088" s="15" t="s">
        <v>17877</v>
      </c>
      <c r="C9088" s="16">
        <f>3.84/(1+B2)</f>
        <v>3.84</v>
      </c>
      <c r="D9088" s="17" t="s">
        <v>53</v>
      </c>
      <c r="E9088" s="17"/>
      <c r="F9088" s="18"/>
      <c r="G9088" s="36" t="str">
        <f>IF(ISNUMBER(F9088),C9088*F9088,"")</f>
        <v/>
      </c>
    </row>
    <row r="9089" spans="1:7" ht="12" customHeight="1" outlineLevel="2" x14ac:dyDescent="0.2">
      <c r="A9089" s="14" t="s">
        <v>17878</v>
      </c>
      <c r="B9089" s="15" t="s">
        <v>17879</v>
      </c>
      <c r="C9089" s="16">
        <f>2.73/(1+B2)</f>
        <v>2.73</v>
      </c>
      <c r="D9089" s="17" t="s">
        <v>106</v>
      </c>
      <c r="E9089" s="17"/>
      <c r="F9089" s="18"/>
      <c r="G9089" s="36" t="str">
        <f>IF(ISNUMBER(F9089),C9089*F9089,"")</f>
        <v/>
      </c>
    </row>
    <row r="9090" spans="1:7" ht="12" customHeight="1" outlineLevel="2" x14ac:dyDescent="0.2">
      <c r="A9090" s="14" t="s">
        <v>17880</v>
      </c>
      <c r="B9090" s="15" t="s">
        <v>17881</v>
      </c>
      <c r="C9090" s="16">
        <f>3.23/(1+B2)</f>
        <v>3.23</v>
      </c>
      <c r="D9090" s="17" t="s">
        <v>53</v>
      </c>
      <c r="E9090" s="17"/>
      <c r="F9090" s="18"/>
      <c r="G9090" s="36" t="str">
        <f>IF(ISNUMBER(F9090),C9090*F9090,"")</f>
        <v/>
      </c>
    </row>
    <row r="9091" spans="1:7" ht="12" customHeight="1" outlineLevel="2" x14ac:dyDescent="0.2">
      <c r="A9091" s="14" t="s">
        <v>17882</v>
      </c>
      <c r="B9091" s="15" t="s">
        <v>17883</v>
      </c>
      <c r="C9091" s="16">
        <f>2.8/(1+B2)</f>
        <v>2.8</v>
      </c>
      <c r="D9091" s="17" t="s">
        <v>106</v>
      </c>
      <c r="E9091" s="17"/>
      <c r="F9091" s="18"/>
      <c r="G9091" s="36" t="str">
        <f>IF(ISNUMBER(F9091),C9091*F9091,"")</f>
        <v/>
      </c>
    </row>
    <row r="9092" spans="1:7" ht="12" customHeight="1" outlineLevel="2" x14ac:dyDescent="0.2">
      <c r="A9092" s="14" t="s">
        <v>17884</v>
      </c>
      <c r="B9092" s="15" t="s">
        <v>17885</v>
      </c>
      <c r="C9092" s="16">
        <f>3.48/(1+B2)</f>
        <v>3.48</v>
      </c>
      <c r="D9092" s="17" t="s">
        <v>106</v>
      </c>
      <c r="E9092" s="17"/>
      <c r="F9092" s="18"/>
      <c r="G9092" s="36" t="str">
        <f>IF(ISNUMBER(F9092),C9092*F9092,"")</f>
        <v/>
      </c>
    </row>
    <row r="9093" spans="1:7" ht="12" customHeight="1" outlineLevel="2" x14ac:dyDescent="0.2">
      <c r="A9093" s="14" t="s">
        <v>17886</v>
      </c>
      <c r="B9093" s="15" t="s">
        <v>17887</v>
      </c>
      <c r="C9093" s="16">
        <f>2.58/(1+B2)</f>
        <v>2.58</v>
      </c>
      <c r="D9093" s="17" t="s">
        <v>14</v>
      </c>
      <c r="E9093" s="17"/>
      <c r="F9093" s="18"/>
      <c r="G9093" s="36" t="str">
        <f>IF(ISNUMBER(F9093),C9093*F9093,"")</f>
        <v/>
      </c>
    </row>
    <row r="9094" spans="1:7" ht="12" customHeight="1" outlineLevel="2" x14ac:dyDescent="0.2">
      <c r="A9094" s="14" t="s">
        <v>17888</v>
      </c>
      <c r="B9094" s="15" t="s">
        <v>17889</v>
      </c>
      <c r="C9094" s="16">
        <f>24.06/(1+B2)</f>
        <v>24.06</v>
      </c>
      <c r="D9094" s="17" t="s">
        <v>11</v>
      </c>
      <c r="E9094" s="17" t="s">
        <v>53</v>
      </c>
      <c r="F9094" s="18"/>
      <c r="G9094" s="36" t="str">
        <f>IF(ISNUMBER(F9094),C9094*F9094,"")</f>
        <v/>
      </c>
    </row>
    <row r="9095" spans="1:7" ht="12" customHeight="1" outlineLevel="2" x14ac:dyDescent="0.2">
      <c r="A9095" s="14" t="s">
        <v>17890</v>
      </c>
      <c r="B9095" s="15" t="s">
        <v>17891</v>
      </c>
      <c r="C9095" s="16">
        <f>33.35/(1+B2)</f>
        <v>33.35</v>
      </c>
      <c r="D9095" s="17" t="s">
        <v>11</v>
      </c>
      <c r="E9095" s="17" t="s">
        <v>11</v>
      </c>
      <c r="F9095" s="18"/>
      <c r="G9095" s="36" t="str">
        <f>IF(ISNUMBER(F9095),C9095*F9095,"")</f>
        <v/>
      </c>
    </row>
    <row r="9096" spans="1:7" ht="12" customHeight="1" outlineLevel="2" x14ac:dyDescent="0.2">
      <c r="A9096" s="14" t="s">
        <v>17892</v>
      </c>
      <c r="B9096" s="15" t="s">
        <v>17893</v>
      </c>
      <c r="C9096" s="16">
        <f>37.2/(1+B2)</f>
        <v>37.200000000000003</v>
      </c>
      <c r="D9096" s="17" t="s">
        <v>11</v>
      </c>
      <c r="E9096" s="17" t="s">
        <v>53</v>
      </c>
      <c r="F9096" s="18"/>
      <c r="G9096" s="36" t="str">
        <f>IF(ISNUMBER(F9096),C9096*F9096,"")</f>
        <v/>
      </c>
    </row>
    <row r="9097" spans="1:7" ht="12" customHeight="1" outlineLevel="2" x14ac:dyDescent="0.2">
      <c r="A9097" s="14" t="s">
        <v>17894</v>
      </c>
      <c r="B9097" s="15" t="s">
        <v>17895</v>
      </c>
      <c r="C9097" s="16">
        <f>33.67/(1+B2)</f>
        <v>33.67</v>
      </c>
      <c r="D9097" s="17" t="s">
        <v>11</v>
      </c>
      <c r="E9097" s="17" t="s">
        <v>14</v>
      </c>
      <c r="F9097" s="18"/>
      <c r="G9097" s="36" t="str">
        <f>IF(ISNUMBER(F9097),C9097*F9097,"")</f>
        <v/>
      </c>
    </row>
    <row r="9098" spans="1:7" s="1" customFormat="1" ht="15.95" customHeight="1" outlineLevel="1" x14ac:dyDescent="0.25">
      <c r="A9098" s="11"/>
      <c r="B9098" s="12" t="s">
        <v>17896</v>
      </c>
      <c r="C9098" s="13"/>
      <c r="D9098" s="13"/>
      <c r="E9098" s="13"/>
      <c r="F9098" s="13"/>
      <c r="G9098" s="35"/>
    </row>
    <row r="9099" spans="1:7" ht="12" customHeight="1" outlineLevel="2" x14ac:dyDescent="0.2">
      <c r="A9099" s="14" t="s">
        <v>17897</v>
      </c>
      <c r="B9099" s="15" t="s">
        <v>17898</v>
      </c>
      <c r="C9099" s="16">
        <f>381.55/(1+B2)</f>
        <v>381.55</v>
      </c>
      <c r="D9099" s="17" t="s">
        <v>11</v>
      </c>
      <c r="E9099" s="17"/>
      <c r="F9099" s="18"/>
      <c r="G9099" s="36" t="str">
        <f>IF(ISNUMBER(F9099),C9099*F9099,"")</f>
        <v/>
      </c>
    </row>
    <row r="9100" spans="1:7" ht="12" customHeight="1" outlineLevel="2" x14ac:dyDescent="0.2">
      <c r="A9100" s="14" t="s">
        <v>17899</v>
      </c>
      <c r="B9100" s="15" t="s">
        <v>17900</v>
      </c>
      <c r="C9100" s="16">
        <f>546.55/(1+B2)</f>
        <v>546.54999999999995</v>
      </c>
      <c r="D9100" s="17" t="s">
        <v>11</v>
      </c>
      <c r="E9100" s="17"/>
      <c r="F9100" s="18"/>
      <c r="G9100" s="36" t="str">
        <f>IF(ISNUMBER(F9100),C9100*F9100,"")</f>
        <v/>
      </c>
    </row>
    <row r="9101" spans="1:7" ht="12" customHeight="1" outlineLevel="2" x14ac:dyDescent="0.2">
      <c r="A9101" s="14" t="s">
        <v>17901</v>
      </c>
      <c r="B9101" s="15" t="s">
        <v>17902</v>
      </c>
      <c r="C9101" s="16">
        <f>573.57/(1+B2)</f>
        <v>573.57000000000005</v>
      </c>
      <c r="D9101" s="17" t="s">
        <v>11</v>
      </c>
      <c r="E9101" s="17"/>
      <c r="F9101" s="18"/>
      <c r="G9101" s="36" t="str">
        <f>IF(ISNUMBER(F9101),C9101*F9101,"")</f>
        <v/>
      </c>
    </row>
    <row r="9102" spans="1:7" ht="12" customHeight="1" outlineLevel="2" x14ac:dyDescent="0.2">
      <c r="A9102" s="14" t="s">
        <v>17903</v>
      </c>
      <c r="B9102" s="15" t="s">
        <v>17904</v>
      </c>
      <c r="C9102" s="16">
        <f>658.92/(1+B2)</f>
        <v>658.92</v>
      </c>
      <c r="D9102" s="17" t="s">
        <v>11</v>
      </c>
      <c r="E9102" s="17"/>
      <c r="F9102" s="18"/>
      <c r="G9102" s="36" t="str">
        <f>IF(ISNUMBER(F9102),C9102*F9102,"")</f>
        <v/>
      </c>
    </row>
    <row r="9103" spans="1:7" ht="12" customHeight="1" outlineLevel="2" x14ac:dyDescent="0.2">
      <c r="A9103" s="14" t="s">
        <v>17905</v>
      </c>
      <c r="B9103" s="15" t="s">
        <v>17906</v>
      </c>
      <c r="C9103" s="19">
        <f>1241.35/(1+B2)</f>
        <v>1241.3499999999999</v>
      </c>
      <c r="D9103" s="17" t="s">
        <v>11</v>
      </c>
      <c r="E9103" s="17"/>
      <c r="F9103" s="18"/>
      <c r="G9103" s="36" t="str">
        <f>IF(ISNUMBER(F9103),C9103*F9103,"")</f>
        <v/>
      </c>
    </row>
    <row r="9104" spans="1:7" ht="12" customHeight="1" outlineLevel="2" x14ac:dyDescent="0.2">
      <c r="A9104" s="14" t="s">
        <v>17907</v>
      </c>
      <c r="B9104" s="15" t="s">
        <v>17908</v>
      </c>
      <c r="C9104" s="16">
        <f>783.73/(1+B2)</f>
        <v>783.73</v>
      </c>
      <c r="D9104" s="17" t="s">
        <v>11</v>
      </c>
      <c r="E9104" s="17"/>
      <c r="F9104" s="18"/>
      <c r="G9104" s="36" t="str">
        <f>IF(ISNUMBER(F9104),C9104*F9104,"")</f>
        <v/>
      </c>
    </row>
    <row r="9105" spans="1:7" ht="12" customHeight="1" outlineLevel="2" x14ac:dyDescent="0.2">
      <c r="A9105" s="14" t="s">
        <v>17909</v>
      </c>
      <c r="B9105" s="15" t="s">
        <v>17910</v>
      </c>
      <c r="C9105" s="16">
        <f>445.7/(1+B2)</f>
        <v>445.7</v>
      </c>
      <c r="D9105" s="17" t="s">
        <v>11</v>
      </c>
      <c r="E9105" s="17" t="s">
        <v>14</v>
      </c>
      <c r="F9105" s="18"/>
      <c r="G9105" s="36" t="str">
        <f>IF(ISNUMBER(F9105),C9105*F9105,"")</f>
        <v/>
      </c>
    </row>
    <row r="9106" spans="1:7" ht="12" customHeight="1" outlineLevel="2" x14ac:dyDescent="0.2">
      <c r="A9106" s="14" t="s">
        <v>17911</v>
      </c>
      <c r="B9106" s="15" t="s">
        <v>17912</v>
      </c>
      <c r="C9106" s="16">
        <f>174.05/(1+B2)</f>
        <v>174.05</v>
      </c>
      <c r="D9106" s="17" t="s">
        <v>11</v>
      </c>
      <c r="E9106" s="17" t="s">
        <v>11</v>
      </c>
      <c r="F9106" s="18"/>
      <c r="G9106" s="36" t="str">
        <f>IF(ISNUMBER(F9106),C9106*F9106,"")</f>
        <v/>
      </c>
    </row>
    <row r="9107" spans="1:7" ht="12" customHeight="1" outlineLevel="2" x14ac:dyDescent="0.2">
      <c r="A9107" s="14" t="s">
        <v>17913</v>
      </c>
      <c r="B9107" s="15" t="s">
        <v>17914</v>
      </c>
      <c r="C9107" s="16">
        <f>225.79/(1+B2)</f>
        <v>225.79</v>
      </c>
      <c r="D9107" s="17" t="s">
        <v>11</v>
      </c>
      <c r="E9107" s="17" t="s">
        <v>53</v>
      </c>
      <c r="F9107" s="18"/>
      <c r="G9107" s="36" t="str">
        <f>IF(ISNUMBER(F9107),C9107*F9107,"")</f>
        <v/>
      </c>
    </row>
    <row r="9108" spans="1:7" ht="12" customHeight="1" outlineLevel="2" x14ac:dyDescent="0.2">
      <c r="A9108" s="14" t="s">
        <v>17915</v>
      </c>
      <c r="B9108" s="15" t="s">
        <v>17916</v>
      </c>
      <c r="C9108" s="16">
        <f>317.52/(1+B2)</f>
        <v>317.52</v>
      </c>
      <c r="D9108" s="17" t="s">
        <v>11</v>
      </c>
      <c r="E9108" s="17" t="s">
        <v>14</v>
      </c>
      <c r="F9108" s="18"/>
      <c r="G9108" s="36" t="str">
        <f>IF(ISNUMBER(F9108),C9108*F9108,"")</f>
        <v/>
      </c>
    </row>
    <row r="9109" spans="1:7" s="1" customFormat="1" ht="15.95" customHeight="1" outlineLevel="1" x14ac:dyDescent="0.25">
      <c r="A9109" s="11"/>
      <c r="B9109" s="12" t="s">
        <v>17917</v>
      </c>
      <c r="C9109" s="13"/>
      <c r="D9109" s="13"/>
      <c r="E9109" s="13"/>
      <c r="F9109" s="13"/>
      <c r="G9109" s="35"/>
    </row>
    <row r="9110" spans="1:7" ht="12" customHeight="1" outlineLevel="2" x14ac:dyDescent="0.2">
      <c r="A9110" s="14" t="s">
        <v>17918</v>
      </c>
      <c r="B9110" s="15" t="s">
        <v>17919</v>
      </c>
      <c r="C9110" s="16">
        <f>504.78/(1+B2)</f>
        <v>504.78</v>
      </c>
      <c r="D9110" s="17" t="s">
        <v>11</v>
      </c>
      <c r="E9110" s="17" t="s">
        <v>11</v>
      </c>
      <c r="F9110" s="18"/>
      <c r="G9110" s="36" t="str">
        <f>IF(ISNUMBER(F9110),C9110*F9110,"")</f>
        <v/>
      </c>
    </row>
    <row r="9111" spans="1:7" ht="12" customHeight="1" outlineLevel="2" x14ac:dyDescent="0.2">
      <c r="A9111" s="14" t="s">
        <v>17920</v>
      </c>
      <c r="B9111" s="15" t="s">
        <v>17921</v>
      </c>
      <c r="C9111" s="16">
        <f>640.08/(1+B2)</f>
        <v>640.08000000000004</v>
      </c>
      <c r="D9111" s="17" t="s">
        <v>11</v>
      </c>
      <c r="E9111" s="17"/>
      <c r="F9111" s="18"/>
      <c r="G9111" s="36" t="str">
        <f>IF(ISNUMBER(F9111),C9111*F9111,"")</f>
        <v/>
      </c>
    </row>
    <row r="9112" spans="1:7" ht="12" customHeight="1" outlineLevel="2" x14ac:dyDescent="0.2">
      <c r="A9112" s="14" t="s">
        <v>17922</v>
      </c>
      <c r="B9112" s="15" t="s">
        <v>17923</v>
      </c>
      <c r="C9112" s="16">
        <f>493.99/(1+B2)</f>
        <v>493.99</v>
      </c>
      <c r="D9112" s="17" t="s">
        <v>11</v>
      </c>
      <c r="E9112" s="17"/>
      <c r="F9112" s="18"/>
      <c r="G9112" s="36" t="str">
        <f>IF(ISNUMBER(F9112),C9112*F9112,"")</f>
        <v/>
      </c>
    </row>
    <row r="9113" spans="1:7" ht="12" customHeight="1" outlineLevel="2" x14ac:dyDescent="0.2">
      <c r="A9113" s="14" t="s">
        <v>17924</v>
      </c>
      <c r="B9113" s="15" t="s">
        <v>17925</v>
      </c>
      <c r="C9113" s="16">
        <f>434.37/(1+B2)</f>
        <v>434.37</v>
      </c>
      <c r="D9113" s="17" t="s">
        <v>11</v>
      </c>
      <c r="E9113" s="17"/>
      <c r="F9113" s="18"/>
      <c r="G9113" s="36" t="str">
        <f>IF(ISNUMBER(F9113),C9113*F9113,"")</f>
        <v/>
      </c>
    </row>
    <row r="9114" spans="1:7" ht="12" customHeight="1" outlineLevel="2" x14ac:dyDescent="0.2">
      <c r="A9114" s="14" t="s">
        <v>17926</v>
      </c>
      <c r="B9114" s="15" t="s">
        <v>17927</v>
      </c>
      <c r="C9114" s="16">
        <f>276.48/(1+B2)</f>
        <v>276.48</v>
      </c>
      <c r="D9114" s="17" t="s">
        <v>14</v>
      </c>
      <c r="E9114" s="17" t="s">
        <v>11</v>
      </c>
      <c r="F9114" s="18"/>
      <c r="G9114" s="36" t="str">
        <f>IF(ISNUMBER(F9114),C9114*F9114,"")</f>
        <v/>
      </c>
    </row>
    <row r="9115" spans="1:7" ht="12" customHeight="1" outlineLevel="2" x14ac:dyDescent="0.2">
      <c r="A9115" s="14" t="s">
        <v>17928</v>
      </c>
      <c r="B9115" s="15" t="s">
        <v>17929</v>
      </c>
      <c r="C9115" s="16">
        <f>116.95/(1+B2)</f>
        <v>116.95</v>
      </c>
      <c r="D9115" s="17" t="s">
        <v>14</v>
      </c>
      <c r="E9115" s="17"/>
      <c r="F9115" s="18"/>
      <c r="G9115" s="36" t="str">
        <f>IF(ISNUMBER(F9115),C9115*F9115,"")</f>
        <v/>
      </c>
    </row>
    <row r="9116" spans="1:7" ht="12" customHeight="1" outlineLevel="2" x14ac:dyDescent="0.2">
      <c r="A9116" s="14" t="s">
        <v>17930</v>
      </c>
      <c r="B9116" s="15" t="s">
        <v>17931</v>
      </c>
      <c r="C9116" s="16">
        <f>264.92/(1+B2)</f>
        <v>264.92</v>
      </c>
      <c r="D9116" s="17" t="s">
        <v>11</v>
      </c>
      <c r="E9116" s="17" t="s">
        <v>11</v>
      </c>
      <c r="F9116" s="18"/>
      <c r="G9116" s="36" t="str">
        <f>IF(ISNUMBER(F9116),C9116*F9116,"")</f>
        <v/>
      </c>
    </row>
    <row r="9117" spans="1:7" s="1" customFormat="1" ht="15.95" customHeight="1" x14ac:dyDescent="0.25">
      <c r="A9117" s="8"/>
      <c r="B9117" s="9" t="s">
        <v>17932</v>
      </c>
      <c r="C9117" s="10"/>
      <c r="D9117" s="10"/>
      <c r="E9117" s="10"/>
      <c r="F9117" s="10"/>
      <c r="G9117" s="34"/>
    </row>
    <row r="9118" spans="1:7" s="1" customFormat="1" ht="15.95" customHeight="1" outlineLevel="1" x14ac:dyDescent="0.25">
      <c r="A9118" s="11"/>
      <c r="B9118" s="12" t="s">
        <v>17933</v>
      </c>
      <c r="C9118" s="13"/>
      <c r="D9118" s="13"/>
      <c r="E9118" s="13"/>
      <c r="F9118" s="13"/>
      <c r="G9118" s="35"/>
    </row>
    <row r="9119" spans="1:7" ht="12" customHeight="1" outlineLevel="2" x14ac:dyDescent="0.2">
      <c r="A9119" s="14" t="s">
        <v>17934</v>
      </c>
      <c r="B9119" s="15" t="s">
        <v>17935</v>
      </c>
      <c r="C9119" s="19">
        <f>3050.4/(1+B2)</f>
        <v>3050.4</v>
      </c>
      <c r="D9119" s="17" t="s">
        <v>11</v>
      </c>
      <c r="E9119" s="17" t="s">
        <v>14</v>
      </c>
      <c r="F9119" s="18"/>
      <c r="G9119" s="36" t="str">
        <f>IF(ISNUMBER(F9119),C9119*F9119,"")</f>
        <v/>
      </c>
    </row>
    <row r="9120" spans="1:7" ht="12" customHeight="1" outlineLevel="2" x14ac:dyDescent="0.2">
      <c r="A9120" s="14" t="s">
        <v>17936</v>
      </c>
      <c r="B9120" s="15" t="s">
        <v>17937</v>
      </c>
      <c r="C9120" s="19">
        <f>3156.14/(1+B2)</f>
        <v>3156.14</v>
      </c>
      <c r="D9120" s="17" t="s">
        <v>11</v>
      </c>
      <c r="E9120" s="17"/>
      <c r="F9120" s="18"/>
      <c r="G9120" s="36" t="str">
        <f>IF(ISNUMBER(F9120),C9120*F9120,"")</f>
        <v/>
      </c>
    </row>
    <row r="9121" spans="1:7" ht="12" customHeight="1" outlineLevel="2" x14ac:dyDescent="0.2">
      <c r="A9121" s="14" t="s">
        <v>17938</v>
      </c>
      <c r="B9121" s="15" t="s">
        <v>17939</v>
      </c>
      <c r="C9121" s="19">
        <f>3587.5/(1+B2)</f>
        <v>3587.5</v>
      </c>
      <c r="D9121" s="17" t="s">
        <v>11</v>
      </c>
      <c r="E9121" s="17" t="s">
        <v>11</v>
      </c>
      <c r="F9121" s="18"/>
      <c r="G9121" s="36" t="str">
        <f>IF(ISNUMBER(F9121),C9121*F9121,"")</f>
        <v/>
      </c>
    </row>
    <row r="9122" spans="1:7" ht="12" customHeight="1" outlineLevel="2" x14ac:dyDescent="0.2">
      <c r="A9122" s="14" t="s">
        <v>17940</v>
      </c>
      <c r="B9122" s="15" t="s">
        <v>17941</v>
      </c>
      <c r="C9122" s="19">
        <f>3092.7/(1+B2)</f>
        <v>3092.7</v>
      </c>
      <c r="D9122" s="17" t="s">
        <v>11</v>
      </c>
      <c r="E9122" s="17" t="s">
        <v>14</v>
      </c>
      <c r="F9122" s="18"/>
      <c r="G9122" s="36" t="str">
        <f>IF(ISNUMBER(F9122),C9122*F9122,"")</f>
        <v/>
      </c>
    </row>
    <row r="9123" spans="1:7" ht="24" customHeight="1" outlineLevel="2" x14ac:dyDescent="0.2">
      <c r="A9123" s="14" t="s">
        <v>17942</v>
      </c>
      <c r="B9123" s="15" t="s">
        <v>17943</v>
      </c>
      <c r="C9123" s="19">
        <f>2348.5/(1+B2)</f>
        <v>2348.5</v>
      </c>
      <c r="D9123" s="17" t="s">
        <v>11</v>
      </c>
      <c r="E9123" s="17" t="s">
        <v>11</v>
      </c>
      <c r="F9123" s="18"/>
      <c r="G9123" s="36" t="str">
        <f>IF(ISNUMBER(F9123),C9123*F9123,"")</f>
        <v/>
      </c>
    </row>
    <row r="9124" spans="1:7" ht="24" customHeight="1" outlineLevel="2" x14ac:dyDescent="0.2">
      <c r="A9124" s="14" t="s">
        <v>17944</v>
      </c>
      <c r="B9124" s="15" t="s">
        <v>17945</v>
      </c>
      <c r="C9124" s="19">
        <f>2363.14/(1+B2)</f>
        <v>2363.14</v>
      </c>
      <c r="D9124" s="17" t="s">
        <v>11</v>
      </c>
      <c r="E9124" s="17" t="s">
        <v>11</v>
      </c>
      <c r="F9124" s="18"/>
      <c r="G9124" s="36" t="str">
        <f>IF(ISNUMBER(F9124),C9124*F9124,"")</f>
        <v/>
      </c>
    </row>
    <row r="9125" spans="1:7" ht="12" customHeight="1" outlineLevel="2" x14ac:dyDescent="0.2">
      <c r="A9125" s="14" t="s">
        <v>17946</v>
      </c>
      <c r="B9125" s="15" t="s">
        <v>17947</v>
      </c>
      <c r="C9125" s="19">
        <f>2851.75/(1+B2)</f>
        <v>2851.75</v>
      </c>
      <c r="D9125" s="17" t="s">
        <v>11</v>
      </c>
      <c r="E9125" s="17" t="s">
        <v>11</v>
      </c>
      <c r="F9125" s="18"/>
      <c r="G9125" s="36" t="str">
        <f>IF(ISNUMBER(F9125),C9125*F9125,"")</f>
        <v/>
      </c>
    </row>
    <row r="9126" spans="1:7" s="1" customFormat="1" ht="15.95" customHeight="1" outlineLevel="1" x14ac:dyDescent="0.25">
      <c r="A9126" s="11"/>
      <c r="B9126" s="12" t="s">
        <v>17948</v>
      </c>
      <c r="C9126" s="13"/>
      <c r="D9126" s="13"/>
      <c r="E9126" s="13"/>
      <c r="F9126" s="13"/>
      <c r="G9126" s="35"/>
    </row>
    <row r="9127" spans="1:7" ht="12" customHeight="1" outlineLevel="2" x14ac:dyDescent="0.2">
      <c r="A9127" s="14" t="s">
        <v>17949</v>
      </c>
      <c r="B9127" s="15" t="s">
        <v>17950</v>
      </c>
      <c r="C9127" s="16">
        <f>18.7/(1+B2)</f>
        <v>18.7</v>
      </c>
      <c r="D9127" s="17" t="s">
        <v>11</v>
      </c>
      <c r="E9127" s="17"/>
      <c r="F9127" s="18"/>
      <c r="G9127" s="36" t="str">
        <f>IF(ISNUMBER(F9127),C9127*F9127,"")</f>
        <v/>
      </c>
    </row>
    <row r="9128" spans="1:7" ht="12" customHeight="1" outlineLevel="2" x14ac:dyDescent="0.2">
      <c r="A9128" s="14" t="s">
        <v>17951</v>
      </c>
      <c r="B9128" s="15" t="s">
        <v>17952</v>
      </c>
      <c r="C9128" s="16">
        <f>39/(1+B2)</f>
        <v>39</v>
      </c>
      <c r="D9128" s="17" t="s">
        <v>11</v>
      </c>
      <c r="E9128" s="17"/>
      <c r="F9128" s="18"/>
      <c r="G9128" s="36" t="str">
        <f>IF(ISNUMBER(F9128),C9128*F9128,"")</f>
        <v/>
      </c>
    </row>
    <row r="9129" spans="1:7" ht="24" customHeight="1" outlineLevel="2" x14ac:dyDescent="0.2">
      <c r="A9129" s="14" t="s">
        <v>17953</v>
      </c>
      <c r="B9129" s="15" t="s">
        <v>17954</v>
      </c>
      <c r="C9129" s="16">
        <f>45.83/(1+B2)</f>
        <v>45.83</v>
      </c>
      <c r="D9129" s="17" t="s">
        <v>11</v>
      </c>
      <c r="E9129" s="17"/>
      <c r="F9129" s="18"/>
      <c r="G9129" s="36" t="str">
        <f>IF(ISNUMBER(F9129),C9129*F9129,"")</f>
        <v/>
      </c>
    </row>
    <row r="9130" spans="1:7" ht="12" customHeight="1" outlineLevel="2" x14ac:dyDescent="0.2">
      <c r="A9130" s="14" t="s">
        <v>17955</v>
      </c>
      <c r="B9130" s="15" t="s">
        <v>17956</v>
      </c>
      <c r="C9130" s="16">
        <f>71.94/(1+B2)</f>
        <v>71.94</v>
      </c>
      <c r="D9130" s="17" t="s">
        <v>14</v>
      </c>
      <c r="E9130" s="17"/>
      <c r="F9130" s="18"/>
      <c r="G9130" s="36" t="str">
        <f>IF(ISNUMBER(F9130),C9130*F9130,"")</f>
        <v/>
      </c>
    </row>
    <row r="9131" spans="1:7" ht="24" customHeight="1" outlineLevel="2" x14ac:dyDescent="0.2">
      <c r="A9131" s="14" t="s">
        <v>17957</v>
      </c>
      <c r="B9131" s="15" t="s">
        <v>17958</v>
      </c>
      <c r="C9131" s="16">
        <f>110.12/(1+B2)</f>
        <v>110.12</v>
      </c>
      <c r="D9131" s="17" t="s">
        <v>11</v>
      </c>
      <c r="E9131" s="17"/>
      <c r="F9131" s="18"/>
      <c r="G9131" s="36" t="str">
        <f>IF(ISNUMBER(F9131),C9131*F9131,"")</f>
        <v/>
      </c>
    </row>
    <row r="9132" spans="1:7" ht="24" customHeight="1" outlineLevel="2" x14ac:dyDescent="0.2">
      <c r="A9132" s="14" t="s">
        <v>17959</v>
      </c>
      <c r="B9132" s="15" t="s">
        <v>17960</v>
      </c>
      <c r="C9132" s="16">
        <f>110.12/(1+B2)</f>
        <v>110.12</v>
      </c>
      <c r="D9132" s="17" t="s">
        <v>11</v>
      </c>
      <c r="E9132" s="17"/>
      <c r="F9132" s="18"/>
      <c r="G9132" s="36" t="str">
        <f>IF(ISNUMBER(F9132),C9132*F9132,"")</f>
        <v/>
      </c>
    </row>
    <row r="9133" spans="1:7" ht="24" customHeight="1" outlineLevel="2" x14ac:dyDescent="0.2">
      <c r="A9133" s="14" t="s">
        <v>17961</v>
      </c>
      <c r="B9133" s="15" t="s">
        <v>17962</v>
      </c>
      <c r="C9133" s="16">
        <f>72.17/(1+B2)</f>
        <v>72.17</v>
      </c>
      <c r="D9133" s="17" t="s">
        <v>14</v>
      </c>
      <c r="E9133" s="17"/>
      <c r="F9133" s="18"/>
      <c r="G9133" s="36" t="str">
        <f>IF(ISNUMBER(F9133),C9133*F9133,"")</f>
        <v/>
      </c>
    </row>
    <row r="9134" spans="1:7" ht="12" customHeight="1" outlineLevel="2" x14ac:dyDescent="0.2">
      <c r="A9134" s="14" t="s">
        <v>17963</v>
      </c>
      <c r="B9134" s="15" t="s">
        <v>17964</v>
      </c>
      <c r="C9134" s="16">
        <f>83.05/(1+B2)</f>
        <v>83.05</v>
      </c>
      <c r="D9134" s="17" t="s">
        <v>11</v>
      </c>
      <c r="E9134" s="17"/>
      <c r="F9134" s="18"/>
      <c r="G9134" s="36" t="str">
        <f>IF(ISNUMBER(F9134),C9134*F9134,"")</f>
        <v/>
      </c>
    </row>
    <row r="9135" spans="1:7" ht="12" customHeight="1" outlineLevel="2" x14ac:dyDescent="0.2">
      <c r="A9135" s="14" t="s">
        <v>17965</v>
      </c>
      <c r="B9135" s="15" t="s">
        <v>17966</v>
      </c>
      <c r="C9135" s="16">
        <f>64.67/(1+B2)</f>
        <v>64.67</v>
      </c>
      <c r="D9135" s="17" t="s">
        <v>11</v>
      </c>
      <c r="E9135" s="17"/>
      <c r="F9135" s="18"/>
      <c r="G9135" s="36" t="str">
        <f>IF(ISNUMBER(F9135),C9135*F9135,"")</f>
        <v/>
      </c>
    </row>
    <row r="9136" spans="1:7" ht="12" customHeight="1" outlineLevel="2" x14ac:dyDescent="0.2">
      <c r="A9136" s="14" t="s">
        <v>17967</v>
      </c>
      <c r="B9136" s="15" t="s">
        <v>17968</v>
      </c>
      <c r="C9136" s="16">
        <f>62.8/(1+B2)</f>
        <v>62.8</v>
      </c>
      <c r="D9136" s="17" t="s">
        <v>11</v>
      </c>
      <c r="E9136" s="17"/>
      <c r="F9136" s="18"/>
      <c r="G9136" s="36" t="str">
        <f>IF(ISNUMBER(F9136),C9136*F9136,"")</f>
        <v/>
      </c>
    </row>
    <row r="9137" spans="1:7" ht="12" customHeight="1" outlineLevel="2" x14ac:dyDescent="0.2">
      <c r="A9137" s="14" t="s">
        <v>17969</v>
      </c>
      <c r="B9137" s="15" t="s">
        <v>17970</v>
      </c>
      <c r="C9137" s="16">
        <f>116.06/(1+B2)</f>
        <v>116.06</v>
      </c>
      <c r="D9137" s="17" t="s">
        <v>11</v>
      </c>
      <c r="E9137" s="17"/>
      <c r="F9137" s="18"/>
      <c r="G9137" s="36" t="str">
        <f>IF(ISNUMBER(F9137),C9137*F9137,"")</f>
        <v/>
      </c>
    </row>
    <row r="9138" spans="1:7" ht="12" customHeight="1" outlineLevel="2" x14ac:dyDescent="0.2">
      <c r="A9138" s="14" t="s">
        <v>17971</v>
      </c>
      <c r="B9138" s="15" t="s">
        <v>17972</v>
      </c>
      <c r="C9138" s="16">
        <f>78.26/(1+B2)</f>
        <v>78.260000000000005</v>
      </c>
      <c r="D9138" s="17" t="s">
        <v>11</v>
      </c>
      <c r="E9138" s="17"/>
      <c r="F9138" s="18"/>
      <c r="G9138" s="36" t="str">
        <f>IF(ISNUMBER(F9138),C9138*F9138,"")</f>
        <v/>
      </c>
    </row>
    <row r="9139" spans="1:7" ht="12" customHeight="1" outlineLevel="2" x14ac:dyDescent="0.2">
      <c r="A9139" s="14" t="s">
        <v>17973</v>
      </c>
      <c r="B9139" s="15" t="s">
        <v>17974</v>
      </c>
      <c r="C9139" s="16">
        <f>117.12/(1+B2)</f>
        <v>117.12</v>
      </c>
      <c r="D9139" s="17" t="s">
        <v>11</v>
      </c>
      <c r="E9139" s="17"/>
      <c r="F9139" s="18"/>
      <c r="G9139" s="36" t="str">
        <f>IF(ISNUMBER(F9139),C9139*F9139,"")</f>
        <v/>
      </c>
    </row>
    <row r="9140" spans="1:7" ht="12" customHeight="1" outlineLevel="2" x14ac:dyDescent="0.2">
      <c r="A9140" s="14" t="s">
        <v>17975</v>
      </c>
      <c r="B9140" s="15" t="s">
        <v>17976</v>
      </c>
      <c r="C9140" s="16">
        <f>190.41/(1+B2)</f>
        <v>190.41</v>
      </c>
      <c r="D9140" s="17" t="s">
        <v>11</v>
      </c>
      <c r="E9140" s="17" t="s">
        <v>11</v>
      </c>
      <c r="F9140" s="18"/>
      <c r="G9140" s="36" t="str">
        <f>IF(ISNUMBER(F9140),C9140*F9140,"")</f>
        <v/>
      </c>
    </row>
    <row r="9141" spans="1:7" ht="12" customHeight="1" outlineLevel="2" x14ac:dyDescent="0.2">
      <c r="A9141" s="14" t="s">
        <v>17977</v>
      </c>
      <c r="B9141" s="15" t="s">
        <v>17978</v>
      </c>
      <c r="C9141" s="16">
        <f>88.51/(1+B2)</f>
        <v>88.51</v>
      </c>
      <c r="D9141" s="17" t="s">
        <v>11</v>
      </c>
      <c r="E9141" s="17" t="s">
        <v>11</v>
      </c>
      <c r="F9141" s="18"/>
      <c r="G9141" s="36" t="str">
        <f>IF(ISNUMBER(F9141),C9141*F9141,"")</f>
        <v/>
      </c>
    </row>
    <row r="9142" spans="1:7" ht="12" customHeight="1" outlineLevel="2" x14ac:dyDescent="0.2">
      <c r="A9142" s="14" t="s">
        <v>17979</v>
      </c>
      <c r="B9142" s="15" t="s">
        <v>17980</v>
      </c>
      <c r="C9142" s="16">
        <f>78.84/(1+B2)</f>
        <v>78.84</v>
      </c>
      <c r="D9142" s="17" t="s">
        <v>11</v>
      </c>
      <c r="E9142" s="17" t="s">
        <v>11</v>
      </c>
      <c r="F9142" s="18"/>
      <c r="G9142" s="36" t="str">
        <f>IF(ISNUMBER(F9142),C9142*F9142,"")</f>
        <v/>
      </c>
    </row>
    <row r="9143" spans="1:7" ht="12" customHeight="1" outlineLevel="2" x14ac:dyDescent="0.2">
      <c r="A9143" s="14" t="s">
        <v>17981</v>
      </c>
      <c r="B9143" s="15" t="s">
        <v>17982</v>
      </c>
      <c r="C9143" s="16">
        <f>94.04/(1+B2)</f>
        <v>94.04</v>
      </c>
      <c r="D9143" s="17" t="s">
        <v>11</v>
      </c>
      <c r="E9143" s="17" t="s">
        <v>11</v>
      </c>
      <c r="F9143" s="18"/>
      <c r="G9143" s="36" t="str">
        <f>IF(ISNUMBER(F9143),C9143*F9143,"")</f>
        <v/>
      </c>
    </row>
    <row r="9144" spans="1:7" ht="12" customHeight="1" outlineLevel="2" x14ac:dyDescent="0.2">
      <c r="A9144" s="14" t="s">
        <v>17983</v>
      </c>
      <c r="B9144" s="15" t="s">
        <v>17984</v>
      </c>
      <c r="C9144" s="16">
        <f>81.6/(1+B2)</f>
        <v>81.599999999999994</v>
      </c>
      <c r="D9144" s="17" t="s">
        <v>11</v>
      </c>
      <c r="E9144" s="17" t="s">
        <v>11</v>
      </c>
      <c r="F9144" s="18"/>
      <c r="G9144" s="36" t="str">
        <f>IF(ISNUMBER(F9144),C9144*F9144,"")</f>
        <v/>
      </c>
    </row>
    <row r="9145" spans="1:7" ht="12" customHeight="1" outlineLevel="2" x14ac:dyDescent="0.2">
      <c r="A9145" s="14" t="s">
        <v>17985</v>
      </c>
      <c r="B9145" s="15" t="s">
        <v>17986</v>
      </c>
      <c r="C9145" s="16">
        <f>61/(1+B2)</f>
        <v>61</v>
      </c>
      <c r="D9145" s="17" t="s">
        <v>53</v>
      </c>
      <c r="E9145" s="17" t="s">
        <v>11</v>
      </c>
      <c r="F9145" s="18"/>
      <c r="G9145" s="36" t="str">
        <f>IF(ISNUMBER(F9145),C9145*F9145,"")</f>
        <v/>
      </c>
    </row>
    <row r="9146" spans="1:7" ht="12" customHeight="1" outlineLevel="2" x14ac:dyDescent="0.2">
      <c r="A9146" s="14" t="s">
        <v>17987</v>
      </c>
      <c r="B9146" s="15" t="s">
        <v>17988</v>
      </c>
      <c r="C9146" s="16">
        <f>46.08/(1+B2)</f>
        <v>46.08</v>
      </c>
      <c r="D9146" s="17" t="s">
        <v>11</v>
      </c>
      <c r="E9146" s="17"/>
      <c r="F9146" s="18"/>
      <c r="G9146" s="36" t="str">
        <f>IF(ISNUMBER(F9146),C9146*F9146,"")</f>
        <v/>
      </c>
    </row>
    <row r="9147" spans="1:7" ht="12" customHeight="1" outlineLevel="2" x14ac:dyDescent="0.2">
      <c r="A9147" s="14" t="s">
        <v>17989</v>
      </c>
      <c r="B9147" s="15" t="s">
        <v>17990</v>
      </c>
      <c r="C9147" s="16">
        <f>81.1/(1+B2)</f>
        <v>81.099999999999994</v>
      </c>
      <c r="D9147" s="17" t="s">
        <v>11</v>
      </c>
      <c r="E9147" s="17" t="s">
        <v>11</v>
      </c>
      <c r="F9147" s="18"/>
      <c r="G9147" s="36" t="str">
        <f>IF(ISNUMBER(F9147),C9147*F9147,"")</f>
        <v/>
      </c>
    </row>
    <row r="9148" spans="1:7" ht="12" customHeight="1" outlineLevel="2" x14ac:dyDescent="0.2">
      <c r="A9148" s="14" t="s">
        <v>17991</v>
      </c>
      <c r="B9148" s="15" t="s">
        <v>17992</v>
      </c>
      <c r="C9148" s="16">
        <f>68.04/(1+B2)</f>
        <v>68.040000000000006</v>
      </c>
      <c r="D9148" s="17" t="s">
        <v>11</v>
      </c>
      <c r="E9148" s="17"/>
      <c r="F9148" s="18"/>
      <c r="G9148" s="36" t="str">
        <f>IF(ISNUMBER(F9148),C9148*F9148,"")</f>
        <v/>
      </c>
    </row>
    <row r="9149" spans="1:7" ht="12" customHeight="1" outlineLevel="2" x14ac:dyDescent="0.2">
      <c r="A9149" s="14" t="s">
        <v>17993</v>
      </c>
      <c r="B9149" s="15" t="s">
        <v>17994</v>
      </c>
      <c r="C9149" s="16">
        <f>33.31/(1+B2)</f>
        <v>33.31</v>
      </c>
      <c r="D9149" s="17" t="s">
        <v>11</v>
      </c>
      <c r="E9149" s="17"/>
      <c r="F9149" s="18"/>
      <c r="G9149" s="36" t="str">
        <f>IF(ISNUMBER(F9149),C9149*F9149,"")</f>
        <v/>
      </c>
    </row>
    <row r="9150" spans="1:7" ht="12" customHeight="1" outlineLevel="2" x14ac:dyDescent="0.2">
      <c r="A9150" s="14" t="s">
        <v>17995</v>
      </c>
      <c r="B9150" s="15" t="s">
        <v>17996</v>
      </c>
      <c r="C9150" s="16">
        <f>32.68/(1+B2)</f>
        <v>32.68</v>
      </c>
      <c r="D9150" s="17" t="s">
        <v>14</v>
      </c>
      <c r="E9150" s="17" t="s">
        <v>53</v>
      </c>
      <c r="F9150" s="18"/>
      <c r="G9150" s="36" t="str">
        <f>IF(ISNUMBER(F9150),C9150*F9150,"")</f>
        <v/>
      </c>
    </row>
    <row r="9151" spans="1:7" ht="12" customHeight="1" outlineLevel="2" x14ac:dyDescent="0.2">
      <c r="A9151" s="14" t="s">
        <v>17997</v>
      </c>
      <c r="B9151" s="15" t="s">
        <v>17998</v>
      </c>
      <c r="C9151" s="16">
        <f>2.62/(1+B2)</f>
        <v>2.62</v>
      </c>
      <c r="D9151" s="17" t="s">
        <v>11</v>
      </c>
      <c r="E9151" s="17"/>
      <c r="F9151" s="18"/>
      <c r="G9151" s="36" t="str">
        <f>IF(ISNUMBER(F9151),C9151*F9151,"")</f>
        <v/>
      </c>
    </row>
    <row r="9152" spans="1:7" ht="12" customHeight="1" outlineLevel="2" x14ac:dyDescent="0.2">
      <c r="A9152" s="14" t="s">
        <v>17999</v>
      </c>
      <c r="B9152" s="15" t="s">
        <v>18000</v>
      </c>
      <c r="C9152" s="16">
        <f>2.2/(1+B2)</f>
        <v>2.2000000000000002</v>
      </c>
      <c r="D9152" s="17" t="s">
        <v>106</v>
      </c>
      <c r="E9152" s="17"/>
      <c r="F9152" s="18"/>
      <c r="G9152" s="36" t="str">
        <f>IF(ISNUMBER(F9152),C9152*F9152,"")</f>
        <v/>
      </c>
    </row>
    <row r="9153" spans="1:7" s="1" customFormat="1" ht="15.95" customHeight="1" outlineLevel="1" x14ac:dyDescent="0.25">
      <c r="A9153" s="11"/>
      <c r="B9153" s="12" t="s">
        <v>18001</v>
      </c>
      <c r="C9153" s="13"/>
      <c r="D9153" s="13"/>
      <c r="E9153" s="13"/>
      <c r="F9153" s="13"/>
      <c r="G9153" s="35"/>
    </row>
    <row r="9154" spans="1:7" ht="12" customHeight="1" outlineLevel="2" x14ac:dyDescent="0.2">
      <c r="A9154" s="14" t="s">
        <v>18002</v>
      </c>
      <c r="B9154" s="15" t="s">
        <v>18003</v>
      </c>
      <c r="C9154" s="16">
        <f>413.73/(1+B2)</f>
        <v>413.73</v>
      </c>
      <c r="D9154" s="17" t="s">
        <v>11</v>
      </c>
      <c r="E9154" s="17" t="s">
        <v>11</v>
      </c>
      <c r="F9154" s="18"/>
      <c r="G9154" s="36" t="str">
        <f>IF(ISNUMBER(F9154),C9154*F9154,"")</f>
        <v/>
      </c>
    </row>
    <row r="9155" spans="1:7" ht="12" customHeight="1" outlineLevel="2" x14ac:dyDescent="0.2">
      <c r="A9155" s="14" t="s">
        <v>18004</v>
      </c>
      <c r="B9155" s="15" t="s">
        <v>18005</v>
      </c>
      <c r="C9155" s="16">
        <f>231.78/(1+B2)</f>
        <v>231.78</v>
      </c>
      <c r="D9155" s="17" t="s">
        <v>11</v>
      </c>
      <c r="E9155" s="17"/>
      <c r="F9155" s="18"/>
      <c r="G9155" s="36" t="str">
        <f>IF(ISNUMBER(F9155),C9155*F9155,"")</f>
        <v/>
      </c>
    </row>
    <row r="9156" spans="1:7" ht="12" customHeight="1" outlineLevel="2" x14ac:dyDescent="0.2">
      <c r="A9156" s="14" t="s">
        <v>18006</v>
      </c>
      <c r="B9156" s="15" t="s">
        <v>18007</v>
      </c>
      <c r="C9156" s="16">
        <f>223.14/(1+B2)</f>
        <v>223.14</v>
      </c>
      <c r="D9156" s="17" t="s">
        <v>11</v>
      </c>
      <c r="E9156" s="17" t="s">
        <v>11</v>
      </c>
      <c r="F9156" s="18"/>
      <c r="G9156" s="36" t="str">
        <f>IF(ISNUMBER(F9156),C9156*F9156,"")</f>
        <v/>
      </c>
    </row>
    <row r="9157" spans="1:7" ht="12" customHeight="1" outlineLevel="2" x14ac:dyDescent="0.2">
      <c r="A9157" s="14" t="s">
        <v>18008</v>
      </c>
      <c r="B9157" s="15" t="s">
        <v>18009</v>
      </c>
      <c r="C9157" s="16">
        <f>224.63/(1+B2)</f>
        <v>224.63</v>
      </c>
      <c r="D9157" s="17" t="s">
        <v>11</v>
      </c>
      <c r="E9157" s="17" t="s">
        <v>53</v>
      </c>
      <c r="F9157" s="18"/>
      <c r="G9157" s="36" t="str">
        <f>IF(ISNUMBER(F9157),C9157*F9157,"")</f>
        <v/>
      </c>
    </row>
    <row r="9158" spans="1:7" ht="12" customHeight="1" outlineLevel="2" x14ac:dyDescent="0.2">
      <c r="A9158" s="14" t="s">
        <v>18010</v>
      </c>
      <c r="B9158" s="15" t="s">
        <v>18011</v>
      </c>
      <c r="C9158" s="16">
        <f>198.81/(1+B2)</f>
        <v>198.81</v>
      </c>
      <c r="D9158" s="17" t="s">
        <v>11</v>
      </c>
      <c r="E9158" s="17" t="s">
        <v>14</v>
      </c>
      <c r="F9158" s="18"/>
      <c r="G9158" s="36" t="str">
        <f>IF(ISNUMBER(F9158),C9158*F9158,"")</f>
        <v/>
      </c>
    </row>
    <row r="9159" spans="1:7" ht="12" customHeight="1" outlineLevel="2" x14ac:dyDescent="0.2">
      <c r="A9159" s="14" t="s">
        <v>18012</v>
      </c>
      <c r="B9159" s="15" t="s">
        <v>18013</v>
      </c>
      <c r="C9159" s="16">
        <f>230.88/(1+B2)</f>
        <v>230.88</v>
      </c>
      <c r="D9159" s="17" t="s">
        <v>11</v>
      </c>
      <c r="E9159" s="17" t="s">
        <v>11</v>
      </c>
      <c r="F9159" s="18"/>
      <c r="G9159" s="36" t="str">
        <f>IF(ISNUMBER(F9159),C9159*F9159,"")</f>
        <v/>
      </c>
    </row>
    <row r="9160" spans="1:7" ht="12" customHeight="1" outlineLevel="2" x14ac:dyDescent="0.2">
      <c r="A9160" s="14" t="s">
        <v>18014</v>
      </c>
      <c r="B9160" s="15" t="s">
        <v>18015</v>
      </c>
      <c r="C9160" s="16">
        <f>344.87/(1+B2)</f>
        <v>344.87</v>
      </c>
      <c r="D9160" s="17" t="s">
        <v>11</v>
      </c>
      <c r="E9160" s="17" t="s">
        <v>14</v>
      </c>
      <c r="F9160" s="18"/>
      <c r="G9160" s="36" t="str">
        <f>IF(ISNUMBER(F9160),C9160*F9160,"")</f>
        <v/>
      </c>
    </row>
    <row r="9161" spans="1:7" ht="12" customHeight="1" outlineLevel="2" x14ac:dyDescent="0.2">
      <c r="A9161" s="14" t="s">
        <v>18016</v>
      </c>
      <c r="B9161" s="15" t="s">
        <v>18017</v>
      </c>
      <c r="C9161" s="16">
        <f>333.6/(1+B2)</f>
        <v>333.6</v>
      </c>
      <c r="D9161" s="17" t="s">
        <v>11</v>
      </c>
      <c r="E9161" s="17" t="s">
        <v>11</v>
      </c>
      <c r="F9161" s="18"/>
      <c r="G9161" s="36" t="str">
        <f>IF(ISNUMBER(F9161),C9161*F9161,"")</f>
        <v/>
      </c>
    </row>
    <row r="9162" spans="1:7" ht="12" customHeight="1" outlineLevel="2" x14ac:dyDescent="0.2">
      <c r="A9162" s="14" t="s">
        <v>18018</v>
      </c>
      <c r="B9162" s="15" t="s">
        <v>18019</v>
      </c>
      <c r="C9162" s="16">
        <f>302.66/(1+B2)</f>
        <v>302.66000000000003</v>
      </c>
      <c r="D9162" s="17" t="s">
        <v>11</v>
      </c>
      <c r="E9162" s="17" t="s">
        <v>11</v>
      </c>
      <c r="F9162" s="18"/>
      <c r="G9162" s="36" t="str">
        <f>IF(ISNUMBER(F9162),C9162*F9162,"")</f>
        <v/>
      </c>
    </row>
    <row r="9163" spans="1:7" ht="12" customHeight="1" outlineLevel="2" x14ac:dyDescent="0.2">
      <c r="A9163" s="14" t="s">
        <v>18020</v>
      </c>
      <c r="B9163" s="15" t="s">
        <v>18021</v>
      </c>
      <c r="C9163" s="16">
        <f>136.74/(1+B2)</f>
        <v>136.74</v>
      </c>
      <c r="D9163" s="17" t="s">
        <v>11</v>
      </c>
      <c r="E9163" s="17" t="s">
        <v>11</v>
      </c>
      <c r="F9163" s="18"/>
      <c r="G9163" s="36" t="str">
        <f>IF(ISNUMBER(F9163),C9163*F9163,"")</f>
        <v/>
      </c>
    </row>
    <row r="9164" spans="1:7" ht="12" customHeight="1" outlineLevel="2" x14ac:dyDescent="0.2">
      <c r="A9164" s="14" t="s">
        <v>18022</v>
      </c>
      <c r="B9164" s="15" t="s">
        <v>18023</v>
      </c>
      <c r="C9164" s="16">
        <f>272.28/(1+B2)</f>
        <v>272.27999999999997</v>
      </c>
      <c r="D9164" s="17" t="s">
        <v>11</v>
      </c>
      <c r="E9164" s="17" t="s">
        <v>11</v>
      </c>
      <c r="F9164" s="18"/>
      <c r="G9164" s="36" t="str">
        <f>IF(ISNUMBER(F9164),C9164*F9164,"")</f>
        <v/>
      </c>
    </row>
    <row r="9165" spans="1:7" ht="12" customHeight="1" outlineLevel="2" x14ac:dyDescent="0.2">
      <c r="A9165" s="14" t="s">
        <v>18024</v>
      </c>
      <c r="B9165" s="15" t="s">
        <v>18025</v>
      </c>
      <c r="C9165" s="16">
        <f>164.1/(1+B2)</f>
        <v>164.1</v>
      </c>
      <c r="D9165" s="17" t="s">
        <v>11</v>
      </c>
      <c r="E9165" s="17"/>
      <c r="F9165" s="18"/>
      <c r="G9165" s="36" t="str">
        <f>IF(ISNUMBER(F9165),C9165*F9165,"")</f>
        <v/>
      </c>
    </row>
    <row r="9166" spans="1:7" ht="12" customHeight="1" outlineLevel="2" x14ac:dyDescent="0.2">
      <c r="A9166" s="14" t="s">
        <v>18026</v>
      </c>
      <c r="B9166" s="15" t="s">
        <v>18027</v>
      </c>
      <c r="C9166" s="16">
        <f>164.1/(1+B2)</f>
        <v>164.1</v>
      </c>
      <c r="D9166" s="17" t="s">
        <v>11</v>
      </c>
      <c r="E9166" s="17"/>
      <c r="F9166" s="18"/>
      <c r="G9166" s="36" t="str">
        <f>IF(ISNUMBER(F9166),C9166*F9166,"")</f>
        <v/>
      </c>
    </row>
    <row r="9167" spans="1:7" ht="12" customHeight="1" outlineLevel="2" x14ac:dyDescent="0.2">
      <c r="A9167" s="14" t="s">
        <v>18028</v>
      </c>
      <c r="B9167" s="15" t="s">
        <v>18029</v>
      </c>
      <c r="C9167" s="16">
        <f>164.1/(1+B2)</f>
        <v>164.1</v>
      </c>
      <c r="D9167" s="17" t="s">
        <v>11</v>
      </c>
      <c r="E9167" s="17"/>
      <c r="F9167" s="18"/>
      <c r="G9167" s="36" t="str">
        <f>IF(ISNUMBER(F9167),C9167*F9167,"")</f>
        <v/>
      </c>
    </row>
    <row r="9168" spans="1:7" ht="12" customHeight="1" outlineLevel="2" x14ac:dyDescent="0.2">
      <c r="A9168" s="14" t="s">
        <v>18030</v>
      </c>
      <c r="B9168" s="15" t="s">
        <v>18031</v>
      </c>
      <c r="C9168" s="16">
        <f>201.71/(1+B2)</f>
        <v>201.71</v>
      </c>
      <c r="D9168" s="17" t="s">
        <v>11</v>
      </c>
      <c r="E9168" s="17" t="s">
        <v>11</v>
      </c>
      <c r="F9168" s="18"/>
      <c r="G9168" s="36" t="str">
        <f>IF(ISNUMBER(F9168),C9168*F9168,"")</f>
        <v/>
      </c>
    </row>
    <row r="9169" spans="1:7" ht="12" customHeight="1" outlineLevel="2" x14ac:dyDescent="0.2">
      <c r="A9169" s="14" t="s">
        <v>18032</v>
      </c>
      <c r="B9169" s="15" t="s">
        <v>18033</v>
      </c>
      <c r="C9169" s="16">
        <f>264.66/(1+B2)</f>
        <v>264.66000000000003</v>
      </c>
      <c r="D9169" s="17" t="s">
        <v>11</v>
      </c>
      <c r="E9169" s="17" t="s">
        <v>11</v>
      </c>
      <c r="F9169" s="18"/>
      <c r="G9169" s="36" t="str">
        <f>IF(ISNUMBER(F9169),C9169*F9169,"")</f>
        <v/>
      </c>
    </row>
    <row r="9170" spans="1:7" ht="12" customHeight="1" outlineLevel="2" x14ac:dyDescent="0.2">
      <c r="A9170" s="14" t="s">
        <v>18034</v>
      </c>
      <c r="B9170" s="15" t="s">
        <v>18035</v>
      </c>
      <c r="C9170" s="16">
        <f>264.66/(1+B2)</f>
        <v>264.66000000000003</v>
      </c>
      <c r="D9170" s="17" t="s">
        <v>11</v>
      </c>
      <c r="E9170" s="17"/>
      <c r="F9170" s="18"/>
      <c r="G9170" s="36" t="str">
        <f>IF(ISNUMBER(F9170),C9170*F9170,"")</f>
        <v/>
      </c>
    </row>
    <row r="9171" spans="1:7" ht="12" customHeight="1" outlineLevel="2" x14ac:dyDescent="0.2">
      <c r="A9171" s="14" t="s">
        <v>18036</v>
      </c>
      <c r="B9171" s="15" t="s">
        <v>18037</v>
      </c>
      <c r="C9171" s="16">
        <f>324.18/(1+B2)</f>
        <v>324.18</v>
      </c>
      <c r="D9171" s="17" t="s">
        <v>11</v>
      </c>
      <c r="E9171" s="17" t="s">
        <v>53</v>
      </c>
      <c r="F9171" s="18"/>
      <c r="G9171" s="36" t="str">
        <f>IF(ISNUMBER(F9171),C9171*F9171,"")</f>
        <v/>
      </c>
    </row>
    <row r="9172" spans="1:7" ht="12" customHeight="1" outlineLevel="2" x14ac:dyDescent="0.2">
      <c r="A9172" s="14" t="s">
        <v>18038</v>
      </c>
      <c r="B9172" s="15" t="s">
        <v>18039</v>
      </c>
      <c r="C9172" s="16">
        <f>324.18/(1+B2)</f>
        <v>324.18</v>
      </c>
      <c r="D9172" s="17" t="s">
        <v>11</v>
      </c>
      <c r="E9172" s="17" t="s">
        <v>11</v>
      </c>
      <c r="F9172" s="18"/>
      <c r="G9172" s="36" t="str">
        <f>IF(ISNUMBER(F9172),C9172*F9172,"")</f>
        <v/>
      </c>
    </row>
    <row r="9173" spans="1:7" ht="12" customHeight="1" outlineLevel="2" x14ac:dyDescent="0.2">
      <c r="A9173" s="14" t="s">
        <v>18040</v>
      </c>
      <c r="B9173" s="15" t="s">
        <v>18041</v>
      </c>
      <c r="C9173" s="16">
        <f>324.18/(1+B2)</f>
        <v>324.18</v>
      </c>
      <c r="D9173" s="17" t="s">
        <v>11</v>
      </c>
      <c r="E9173" s="17" t="s">
        <v>11</v>
      </c>
      <c r="F9173" s="18"/>
      <c r="G9173" s="36" t="str">
        <f>IF(ISNUMBER(F9173),C9173*F9173,"")</f>
        <v/>
      </c>
    </row>
    <row r="9174" spans="1:7" ht="12" customHeight="1" outlineLevel="2" x14ac:dyDescent="0.2">
      <c r="A9174" s="14" t="s">
        <v>18042</v>
      </c>
      <c r="B9174" s="15" t="s">
        <v>18043</v>
      </c>
      <c r="C9174" s="16">
        <f>187.2/(1+B2)</f>
        <v>187.2</v>
      </c>
      <c r="D9174" s="17" t="s">
        <v>11</v>
      </c>
      <c r="E9174" s="17" t="s">
        <v>11</v>
      </c>
      <c r="F9174" s="18"/>
      <c r="G9174" s="36" t="str">
        <f>IF(ISNUMBER(F9174),C9174*F9174,"")</f>
        <v/>
      </c>
    </row>
    <row r="9175" spans="1:7" ht="12" customHeight="1" outlineLevel="2" x14ac:dyDescent="0.2">
      <c r="A9175" s="14" t="s">
        <v>18044</v>
      </c>
      <c r="B9175" s="15" t="s">
        <v>18045</v>
      </c>
      <c r="C9175" s="16">
        <f>187.2/(1+B2)</f>
        <v>187.2</v>
      </c>
      <c r="D9175" s="17" t="s">
        <v>11</v>
      </c>
      <c r="E9175" s="17" t="s">
        <v>11</v>
      </c>
      <c r="F9175" s="18"/>
      <c r="G9175" s="36" t="str">
        <f>IF(ISNUMBER(F9175),C9175*F9175,"")</f>
        <v/>
      </c>
    </row>
    <row r="9176" spans="1:7" ht="24" customHeight="1" outlineLevel="2" x14ac:dyDescent="0.2">
      <c r="A9176" s="14" t="s">
        <v>18046</v>
      </c>
      <c r="B9176" s="15" t="s">
        <v>18047</v>
      </c>
      <c r="C9176" s="16">
        <f>193.49/(1+B2)</f>
        <v>193.49</v>
      </c>
      <c r="D9176" s="17" t="s">
        <v>11</v>
      </c>
      <c r="E9176" s="17" t="s">
        <v>11</v>
      </c>
      <c r="F9176" s="18"/>
      <c r="G9176" s="36" t="str">
        <f>IF(ISNUMBER(F9176),C9176*F9176,"")</f>
        <v/>
      </c>
    </row>
    <row r="9177" spans="1:7" ht="24" customHeight="1" outlineLevel="2" x14ac:dyDescent="0.2">
      <c r="A9177" s="14" t="s">
        <v>18048</v>
      </c>
      <c r="B9177" s="15" t="s">
        <v>18049</v>
      </c>
      <c r="C9177" s="16">
        <f>195.4/(1+B2)</f>
        <v>195.4</v>
      </c>
      <c r="D9177" s="17" t="s">
        <v>14</v>
      </c>
      <c r="E9177" s="17"/>
      <c r="F9177" s="18"/>
      <c r="G9177" s="36" t="str">
        <f>IF(ISNUMBER(F9177),C9177*F9177,"")</f>
        <v/>
      </c>
    </row>
    <row r="9178" spans="1:7" ht="24" customHeight="1" outlineLevel="2" x14ac:dyDescent="0.2">
      <c r="A9178" s="14" t="s">
        <v>18050</v>
      </c>
      <c r="B9178" s="15" t="s">
        <v>18051</v>
      </c>
      <c r="C9178" s="16">
        <f>195.4/(1+B2)</f>
        <v>195.4</v>
      </c>
      <c r="D9178" s="17" t="s">
        <v>11</v>
      </c>
      <c r="E9178" s="17"/>
      <c r="F9178" s="18"/>
      <c r="G9178" s="36" t="str">
        <f>IF(ISNUMBER(F9178),C9178*F9178,"")</f>
        <v/>
      </c>
    </row>
    <row r="9179" spans="1:7" ht="12" customHeight="1" outlineLevel="2" x14ac:dyDescent="0.2">
      <c r="A9179" s="14" t="s">
        <v>18052</v>
      </c>
      <c r="B9179" s="15" t="s">
        <v>18053</v>
      </c>
      <c r="C9179" s="16">
        <f>195.4/(1+B2)</f>
        <v>195.4</v>
      </c>
      <c r="D9179" s="17" t="s">
        <v>11</v>
      </c>
      <c r="E9179" s="17"/>
      <c r="F9179" s="18"/>
      <c r="G9179" s="36" t="str">
        <f>IF(ISNUMBER(F9179),C9179*F9179,"")</f>
        <v/>
      </c>
    </row>
    <row r="9180" spans="1:7" ht="24" customHeight="1" outlineLevel="2" x14ac:dyDescent="0.2">
      <c r="A9180" s="14" t="s">
        <v>18054</v>
      </c>
      <c r="B9180" s="15" t="s">
        <v>18055</v>
      </c>
      <c r="C9180" s="16">
        <f>264.23/(1+B2)</f>
        <v>264.23</v>
      </c>
      <c r="D9180" s="17" t="s">
        <v>11</v>
      </c>
      <c r="E9180" s="17"/>
      <c r="F9180" s="18"/>
      <c r="G9180" s="36" t="str">
        <f>IF(ISNUMBER(F9180),C9180*F9180,"")</f>
        <v/>
      </c>
    </row>
    <row r="9181" spans="1:7" ht="12" customHeight="1" outlineLevel="2" x14ac:dyDescent="0.2">
      <c r="A9181" s="14" t="s">
        <v>18056</v>
      </c>
      <c r="B9181" s="15" t="s">
        <v>18057</v>
      </c>
      <c r="C9181" s="16">
        <f>181.2/(1+B2)</f>
        <v>181.2</v>
      </c>
      <c r="D9181" s="17" t="s">
        <v>11</v>
      </c>
      <c r="E9181" s="17"/>
      <c r="F9181" s="18"/>
      <c r="G9181" s="36" t="str">
        <f>IF(ISNUMBER(F9181),C9181*F9181,"")</f>
        <v/>
      </c>
    </row>
    <row r="9182" spans="1:7" ht="12" customHeight="1" outlineLevel="2" x14ac:dyDescent="0.2">
      <c r="A9182" s="14" t="s">
        <v>18058</v>
      </c>
      <c r="B9182" s="15" t="s">
        <v>18059</v>
      </c>
      <c r="C9182" s="16">
        <f>283.56/(1+B2)</f>
        <v>283.56</v>
      </c>
      <c r="D9182" s="17" t="s">
        <v>11</v>
      </c>
      <c r="E9182" s="17" t="s">
        <v>14</v>
      </c>
      <c r="F9182" s="18"/>
      <c r="G9182" s="36" t="str">
        <f>IF(ISNUMBER(F9182),C9182*F9182,"")</f>
        <v/>
      </c>
    </row>
    <row r="9183" spans="1:7" ht="12" customHeight="1" outlineLevel="2" x14ac:dyDescent="0.2">
      <c r="A9183" s="14" t="s">
        <v>18060</v>
      </c>
      <c r="B9183" s="15" t="s">
        <v>18061</v>
      </c>
      <c r="C9183" s="16">
        <f>95.58/(1+B2)</f>
        <v>95.58</v>
      </c>
      <c r="D9183" s="17" t="s">
        <v>11</v>
      </c>
      <c r="E9183" s="17"/>
      <c r="F9183" s="18"/>
      <c r="G9183" s="36" t="str">
        <f>IF(ISNUMBER(F9183),C9183*F9183,"")</f>
        <v/>
      </c>
    </row>
    <row r="9184" spans="1:7" s="1" customFormat="1" ht="15.95" customHeight="1" outlineLevel="1" x14ac:dyDescent="0.25">
      <c r="A9184" s="11"/>
      <c r="B9184" s="12" t="s">
        <v>18062</v>
      </c>
      <c r="C9184" s="13"/>
      <c r="D9184" s="13"/>
      <c r="E9184" s="13"/>
      <c r="F9184" s="13"/>
      <c r="G9184" s="35"/>
    </row>
    <row r="9185" spans="1:7" ht="12" customHeight="1" outlineLevel="2" x14ac:dyDescent="0.2">
      <c r="A9185" s="14" t="s">
        <v>18063</v>
      </c>
      <c r="B9185" s="15" t="s">
        <v>18064</v>
      </c>
      <c r="C9185" s="19">
        <f>4441.5/(1+B2)</f>
        <v>4441.5</v>
      </c>
      <c r="D9185" s="17"/>
      <c r="E9185" s="17" t="s">
        <v>11</v>
      </c>
      <c r="F9185" s="18"/>
      <c r="G9185" s="36" t="str">
        <f>IF(ISNUMBER(F9185),C9185*F9185,"")</f>
        <v/>
      </c>
    </row>
    <row r="9186" spans="1:7" ht="12" customHeight="1" outlineLevel="2" x14ac:dyDescent="0.2">
      <c r="A9186" s="14" t="s">
        <v>18065</v>
      </c>
      <c r="B9186" s="15" t="s">
        <v>18066</v>
      </c>
      <c r="C9186" s="19">
        <f>4792.5/(1+B2)</f>
        <v>4792.5</v>
      </c>
      <c r="D9186" s="17"/>
      <c r="E9186" s="17" t="s">
        <v>11</v>
      </c>
      <c r="F9186" s="18"/>
      <c r="G9186" s="36" t="str">
        <f>IF(ISNUMBER(F9186),C9186*F9186,"")</f>
        <v/>
      </c>
    </row>
    <row r="9187" spans="1:7" ht="12" customHeight="1" outlineLevel="2" x14ac:dyDescent="0.2">
      <c r="A9187" s="14" t="s">
        <v>18067</v>
      </c>
      <c r="B9187" s="15" t="s">
        <v>18068</v>
      </c>
      <c r="C9187" s="19">
        <f>1775.25/(1+B2)</f>
        <v>1775.25</v>
      </c>
      <c r="D9187" s="17" t="s">
        <v>11</v>
      </c>
      <c r="E9187" s="17" t="s">
        <v>11</v>
      </c>
      <c r="F9187" s="18"/>
      <c r="G9187" s="36" t="str">
        <f>IF(ISNUMBER(F9187),C9187*F9187,"")</f>
        <v/>
      </c>
    </row>
    <row r="9188" spans="1:7" ht="12" customHeight="1" outlineLevel="2" x14ac:dyDescent="0.2">
      <c r="A9188" s="14" t="s">
        <v>18069</v>
      </c>
      <c r="B9188" s="15" t="s">
        <v>18070</v>
      </c>
      <c r="C9188" s="19">
        <f>8694/(1+B2)</f>
        <v>8694</v>
      </c>
      <c r="D9188" s="17"/>
      <c r="E9188" s="17" t="s">
        <v>11</v>
      </c>
      <c r="F9188" s="18"/>
      <c r="G9188" s="36" t="str">
        <f>IF(ISNUMBER(F9188),C9188*F9188,"")</f>
        <v/>
      </c>
    </row>
    <row r="9189" spans="1:7" ht="12" customHeight="1" outlineLevel="2" x14ac:dyDescent="0.2">
      <c r="A9189" s="14" t="s">
        <v>18071</v>
      </c>
      <c r="B9189" s="15" t="s">
        <v>18072</v>
      </c>
      <c r="C9189" s="19">
        <f>9463.5/(1+B2)</f>
        <v>9463.5</v>
      </c>
      <c r="D9189" s="17"/>
      <c r="E9189" s="17" t="s">
        <v>11</v>
      </c>
      <c r="F9189" s="18"/>
      <c r="G9189" s="36" t="str">
        <f>IF(ISNUMBER(F9189),C9189*F9189,"")</f>
        <v/>
      </c>
    </row>
    <row r="9190" spans="1:7" ht="12" customHeight="1" outlineLevel="2" x14ac:dyDescent="0.2">
      <c r="A9190" s="14" t="s">
        <v>18073</v>
      </c>
      <c r="B9190" s="15" t="s">
        <v>18074</v>
      </c>
      <c r="C9190" s="19">
        <f>10293.75/(1+B2)</f>
        <v>10293.75</v>
      </c>
      <c r="D9190" s="17"/>
      <c r="E9190" s="17" t="s">
        <v>11</v>
      </c>
      <c r="F9190" s="18"/>
      <c r="G9190" s="36" t="str">
        <f>IF(ISNUMBER(F9190),C9190*F9190,"")</f>
        <v/>
      </c>
    </row>
    <row r="9191" spans="1:7" ht="12" customHeight="1" outlineLevel="2" x14ac:dyDescent="0.2">
      <c r="A9191" s="14" t="s">
        <v>18075</v>
      </c>
      <c r="B9191" s="15" t="s">
        <v>18076</v>
      </c>
      <c r="C9191" s="19">
        <f>14418/(1+B2)</f>
        <v>14418</v>
      </c>
      <c r="D9191" s="17"/>
      <c r="E9191" s="17" t="s">
        <v>11</v>
      </c>
      <c r="F9191" s="18"/>
      <c r="G9191" s="36" t="str">
        <f>IF(ISNUMBER(F9191),C9191*F9191,"")</f>
        <v/>
      </c>
    </row>
    <row r="9192" spans="1:7" ht="12" customHeight="1" outlineLevel="2" x14ac:dyDescent="0.2">
      <c r="A9192" s="14" t="s">
        <v>18077</v>
      </c>
      <c r="B9192" s="15" t="s">
        <v>18078</v>
      </c>
      <c r="C9192" s="19">
        <f>15585.75/(1+B2)</f>
        <v>15585.75</v>
      </c>
      <c r="D9192" s="17"/>
      <c r="E9192" s="17" t="s">
        <v>11</v>
      </c>
      <c r="F9192" s="18"/>
      <c r="G9192" s="36" t="str">
        <f>IF(ISNUMBER(F9192),C9192*F9192,"")</f>
        <v/>
      </c>
    </row>
    <row r="9193" spans="1:7" ht="12" customHeight="1" outlineLevel="2" x14ac:dyDescent="0.2">
      <c r="A9193" s="14" t="s">
        <v>18079</v>
      </c>
      <c r="B9193" s="15" t="s">
        <v>18080</v>
      </c>
      <c r="C9193" s="19">
        <f>16706.25/(1+B2)</f>
        <v>16706.25</v>
      </c>
      <c r="D9193" s="17"/>
      <c r="E9193" s="17" t="s">
        <v>11</v>
      </c>
      <c r="F9193" s="18"/>
      <c r="G9193" s="36" t="str">
        <f>IF(ISNUMBER(F9193),C9193*F9193,"")</f>
        <v/>
      </c>
    </row>
    <row r="9194" spans="1:7" ht="12" customHeight="1" outlineLevel="2" x14ac:dyDescent="0.2">
      <c r="A9194" s="14" t="s">
        <v>18081</v>
      </c>
      <c r="B9194" s="15" t="s">
        <v>18082</v>
      </c>
      <c r="C9194" s="19">
        <f>22437/(1+B2)</f>
        <v>22437</v>
      </c>
      <c r="D9194" s="17"/>
      <c r="E9194" s="17" t="s">
        <v>11</v>
      </c>
      <c r="F9194" s="18"/>
      <c r="G9194" s="36" t="str">
        <f>IF(ISNUMBER(F9194),C9194*F9194,"")</f>
        <v/>
      </c>
    </row>
    <row r="9195" spans="1:7" ht="12" customHeight="1" outlineLevel="2" x14ac:dyDescent="0.2">
      <c r="A9195" s="14" t="s">
        <v>18083</v>
      </c>
      <c r="B9195" s="15" t="s">
        <v>18084</v>
      </c>
      <c r="C9195" s="19">
        <f>24090.75/(1+B2)</f>
        <v>24090.75</v>
      </c>
      <c r="D9195" s="17"/>
      <c r="E9195" s="17" t="s">
        <v>11</v>
      </c>
      <c r="F9195" s="18"/>
      <c r="G9195" s="36" t="str">
        <f>IF(ISNUMBER(F9195),C9195*F9195,"")</f>
        <v/>
      </c>
    </row>
    <row r="9196" spans="1:7" ht="12" customHeight="1" outlineLevel="2" x14ac:dyDescent="0.2">
      <c r="A9196" s="14" t="s">
        <v>18085</v>
      </c>
      <c r="B9196" s="15" t="s">
        <v>18086</v>
      </c>
      <c r="C9196" s="19">
        <f>6696/(1+B2)</f>
        <v>6696</v>
      </c>
      <c r="D9196" s="17"/>
      <c r="E9196" s="17" t="s">
        <v>11</v>
      </c>
      <c r="F9196" s="18"/>
      <c r="G9196" s="36" t="str">
        <f>IF(ISNUMBER(F9196),C9196*F9196,"")</f>
        <v/>
      </c>
    </row>
    <row r="9197" spans="1:7" ht="12" customHeight="1" outlineLevel="2" x14ac:dyDescent="0.2">
      <c r="A9197" s="14" t="s">
        <v>18087</v>
      </c>
      <c r="B9197" s="15" t="s">
        <v>18088</v>
      </c>
      <c r="C9197" s="19">
        <f>8707.5/(1+B2)</f>
        <v>8707.5</v>
      </c>
      <c r="D9197" s="17"/>
      <c r="E9197" s="17" t="s">
        <v>11</v>
      </c>
      <c r="F9197" s="18"/>
      <c r="G9197" s="36" t="str">
        <f>IF(ISNUMBER(F9197),C9197*F9197,"")</f>
        <v/>
      </c>
    </row>
    <row r="9198" spans="1:7" ht="24" customHeight="1" outlineLevel="2" x14ac:dyDescent="0.2">
      <c r="A9198" s="14" t="s">
        <v>18089</v>
      </c>
      <c r="B9198" s="15" t="s">
        <v>18090</v>
      </c>
      <c r="C9198" s="19">
        <f>8390.25/(1+B2)</f>
        <v>8390.25</v>
      </c>
      <c r="D9198" s="17"/>
      <c r="E9198" s="17" t="s">
        <v>11</v>
      </c>
      <c r="F9198" s="18"/>
      <c r="G9198" s="36" t="str">
        <f>IF(ISNUMBER(F9198),C9198*F9198,"")</f>
        <v/>
      </c>
    </row>
    <row r="9199" spans="1:7" ht="24" customHeight="1" outlineLevel="2" x14ac:dyDescent="0.2">
      <c r="A9199" s="14" t="s">
        <v>18091</v>
      </c>
      <c r="B9199" s="15" t="s">
        <v>18092</v>
      </c>
      <c r="C9199" s="19">
        <f>9531/(1+B2)</f>
        <v>9531</v>
      </c>
      <c r="D9199" s="17"/>
      <c r="E9199" s="17" t="s">
        <v>11</v>
      </c>
      <c r="F9199" s="18"/>
      <c r="G9199" s="36" t="str">
        <f>IF(ISNUMBER(F9199),C9199*F9199,"")</f>
        <v/>
      </c>
    </row>
    <row r="9200" spans="1:7" ht="12" customHeight="1" outlineLevel="2" x14ac:dyDescent="0.2">
      <c r="A9200" s="14" t="s">
        <v>18093</v>
      </c>
      <c r="B9200" s="15" t="s">
        <v>18094</v>
      </c>
      <c r="C9200" s="19">
        <f>3658.5/(1+B2)</f>
        <v>3658.5</v>
      </c>
      <c r="D9200" s="17"/>
      <c r="E9200" s="17" t="s">
        <v>11</v>
      </c>
      <c r="F9200" s="18"/>
      <c r="G9200" s="36" t="str">
        <f>IF(ISNUMBER(F9200),C9200*F9200,"")</f>
        <v/>
      </c>
    </row>
    <row r="9201" spans="1:7" ht="12" customHeight="1" outlineLevel="2" x14ac:dyDescent="0.2">
      <c r="A9201" s="14" t="s">
        <v>18095</v>
      </c>
      <c r="B9201" s="15" t="s">
        <v>18096</v>
      </c>
      <c r="C9201" s="19">
        <f>1505.25/(1+B2)</f>
        <v>1505.25</v>
      </c>
      <c r="D9201" s="17" t="s">
        <v>11</v>
      </c>
      <c r="E9201" s="17" t="s">
        <v>106</v>
      </c>
      <c r="F9201" s="18"/>
      <c r="G9201" s="36" t="str">
        <f>IF(ISNUMBER(F9201),C9201*F9201,"")</f>
        <v/>
      </c>
    </row>
    <row r="9202" spans="1:7" ht="12" customHeight="1" outlineLevel="2" x14ac:dyDescent="0.2">
      <c r="A9202" s="14" t="s">
        <v>18097</v>
      </c>
      <c r="B9202" s="15" t="s">
        <v>18098</v>
      </c>
      <c r="C9202" s="19">
        <f>2038.5/(1+B2)</f>
        <v>2038.5</v>
      </c>
      <c r="D9202" s="17" t="s">
        <v>11</v>
      </c>
      <c r="E9202" s="17" t="s">
        <v>106</v>
      </c>
      <c r="F9202" s="18"/>
      <c r="G9202" s="36" t="str">
        <f>IF(ISNUMBER(F9202),C9202*F9202,"")</f>
        <v/>
      </c>
    </row>
    <row r="9203" spans="1:7" ht="12" customHeight="1" outlineLevel="2" x14ac:dyDescent="0.2">
      <c r="A9203" s="14" t="s">
        <v>18099</v>
      </c>
      <c r="B9203" s="15" t="s">
        <v>18100</v>
      </c>
      <c r="C9203" s="19">
        <f>1147.5/(1+B2)</f>
        <v>1147.5</v>
      </c>
      <c r="D9203" s="17" t="s">
        <v>11</v>
      </c>
      <c r="E9203" s="17" t="s">
        <v>106</v>
      </c>
      <c r="F9203" s="18"/>
      <c r="G9203" s="36" t="str">
        <f>IF(ISNUMBER(F9203),C9203*F9203,"")</f>
        <v/>
      </c>
    </row>
    <row r="9204" spans="1:7" ht="12" customHeight="1" outlineLevel="2" x14ac:dyDescent="0.2">
      <c r="A9204" s="14" t="s">
        <v>18101</v>
      </c>
      <c r="B9204" s="15" t="s">
        <v>18102</v>
      </c>
      <c r="C9204" s="19">
        <f>2612.25/(1+B2)</f>
        <v>2612.25</v>
      </c>
      <c r="D9204" s="17" t="s">
        <v>11</v>
      </c>
      <c r="E9204" s="17" t="s">
        <v>106</v>
      </c>
      <c r="F9204" s="18"/>
      <c r="G9204" s="36" t="str">
        <f>IF(ISNUMBER(F9204),C9204*F9204,"")</f>
        <v/>
      </c>
    </row>
    <row r="9205" spans="1:7" ht="12" customHeight="1" outlineLevel="2" x14ac:dyDescent="0.2">
      <c r="A9205" s="14" t="s">
        <v>18103</v>
      </c>
      <c r="B9205" s="15" t="s">
        <v>18104</v>
      </c>
      <c r="C9205" s="19">
        <f>2632.5/(1+B2)</f>
        <v>2632.5</v>
      </c>
      <c r="D9205" s="17" t="s">
        <v>11</v>
      </c>
      <c r="E9205" s="17"/>
      <c r="F9205" s="18"/>
      <c r="G9205" s="36" t="str">
        <f>IF(ISNUMBER(F9205),C9205*F9205,"")</f>
        <v/>
      </c>
    </row>
    <row r="9206" spans="1:7" ht="12" customHeight="1" outlineLevel="2" x14ac:dyDescent="0.2">
      <c r="A9206" s="14" t="s">
        <v>18105</v>
      </c>
      <c r="B9206" s="15" t="s">
        <v>18106</v>
      </c>
      <c r="C9206" s="19">
        <f>1485/(1+B2)</f>
        <v>1485</v>
      </c>
      <c r="D9206" s="17" t="s">
        <v>11</v>
      </c>
      <c r="E9206" s="17" t="s">
        <v>106</v>
      </c>
      <c r="F9206" s="18"/>
      <c r="G9206" s="36" t="str">
        <f>IF(ISNUMBER(F9206),C9206*F9206,"")</f>
        <v/>
      </c>
    </row>
    <row r="9207" spans="1:7" ht="12" customHeight="1" outlineLevel="2" x14ac:dyDescent="0.2">
      <c r="A9207" s="14" t="s">
        <v>18107</v>
      </c>
      <c r="B9207" s="15" t="s">
        <v>18108</v>
      </c>
      <c r="C9207" s="19">
        <f>3206.25/(1+B2)</f>
        <v>3206.25</v>
      </c>
      <c r="D9207" s="17" t="s">
        <v>11</v>
      </c>
      <c r="E9207" s="17" t="s">
        <v>106</v>
      </c>
      <c r="F9207" s="18"/>
      <c r="G9207" s="36" t="str">
        <f>IF(ISNUMBER(F9207),C9207*F9207,"")</f>
        <v/>
      </c>
    </row>
    <row r="9208" spans="1:7" ht="12" customHeight="1" outlineLevel="2" x14ac:dyDescent="0.2">
      <c r="A9208" s="14" t="s">
        <v>18109</v>
      </c>
      <c r="B9208" s="15" t="s">
        <v>18110</v>
      </c>
      <c r="C9208" s="19">
        <f>1802.25/(1+B2)</f>
        <v>1802.25</v>
      </c>
      <c r="D9208" s="17"/>
      <c r="E9208" s="17" t="s">
        <v>106</v>
      </c>
      <c r="F9208" s="18"/>
      <c r="G9208" s="36" t="str">
        <f>IF(ISNUMBER(F9208),C9208*F9208,"")</f>
        <v/>
      </c>
    </row>
    <row r="9209" spans="1:7" ht="12" customHeight="1" outlineLevel="2" x14ac:dyDescent="0.2">
      <c r="A9209" s="14" t="s">
        <v>18111</v>
      </c>
      <c r="B9209" s="15" t="s">
        <v>18112</v>
      </c>
      <c r="C9209" s="19">
        <f>3361.5/(1+B2)</f>
        <v>3361.5</v>
      </c>
      <c r="D9209" s="17" t="s">
        <v>11</v>
      </c>
      <c r="E9209" s="17" t="s">
        <v>11</v>
      </c>
      <c r="F9209" s="18"/>
      <c r="G9209" s="36" t="str">
        <f>IF(ISNUMBER(F9209),C9209*F9209,"")</f>
        <v/>
      </c>
    </row>
    <row r="9210" spans="1:7" ht="12" customHeight="1" outlineLevel="2" x14ac:dyDescent="0.2">
      <c r="A9210" s="14" t="s">
        <v>18113</v>
      </c>
      <c r="B9210" s="15" t="s">
        <v>18114</v>
      </c>
      <c r="C9210" s="19">
        <f>2119.5/(1+B2)</f>
        <v>2119.5</v>
      </c>
      <c r="D9210" s="17" t="s">
        <v>11</v>
      </c>
      <c r="E9210" s="17" t="s">
        <v>106</v>
      </c>
      <c r="F9210" s="18"/>
      <c r="G9210" s="36" t="str">
        <f>IF(ISNUMBER(F9210),C9210*F9210,"")</f>
        <v/>
      </c>
    </row>
    <row r="9211" spans="1:7" ht="12" customHeight="1" outlineLevel="2" x14ac:dyDescent="0.2">
      <c r="A9211" s="14" t="s">
        <v>18115</v>
      </c>
      <c r="B9211" s="15" t="s">
        <v>18116</v>
      </c>
      <c r="C9211" s="19">
        <f>4016.25/(1+B2)</f>
        <v>4016.25</v>
      </c>
      <c r="D9211" s="17" t="s">
        <v>11</v>
      </c>
      <c r="E9211" s="17" t="s">
        <v>11</v>
      </c>
      <c r="F9211" s="18"/>
      <c r="G9211" s="36" t="str">
        <f>IF(ISNUMBER(F9211),C9211*F9211,"")</f>
        <v/>
      </c>
    </row>
    <row r="9212" spans="1:7" ht="12" customHeight="1" outlineLevel="2" x14ac:dyDescent="0.2">
      <c r="A9212" s="14" t="s">
        <v>18117</v>
      </c>
      <c r="B9212" s="15" t="s">
        <v>18118</v>
      </c>
      <c r="C9212" s="19">
        <f>2423.25/(1+B2)</f>
        <v>2423.25</v>
      </c>
      <c r="D9212" s="17" t="s">
        <v>11</v>
      </c>
      <c r="E9212" s="17" t="s">
        <v>53</v>
      </c>
      <c r="F9212" s="18"/>
      <c r="G9212" s="36" t="str">
        <f>IF(ISNUMBER(F9212),C9212*F9212,"")</f>
        <v/>
      </c>
    </row>
    <row r="9213" spans="1:7" ht="12" customHeight="1" outlineLevel="2" x14ac:dyDescent="0.2">
      <c r="A9213" s="14" t="s">
        <v>18119</v>
      </c>
      <c r="B9213" s="15" t="s">
        <v>18120</v>
      </c>
      <c r="C9213" s="19">
        <f>4549.5/(1+B2)</f>
        <v>4549.5</v>
      </c>
      <c r="D9213" s="17" t="s">
        <v>11</v>
      </c>
      <c r="E9213" s="17" t="s">
        <v>11</v>
      </c>
      <c r="F9213" s="18"/>
      <c r="G9213" s="36" t="str">
        <f>IF(ISNUMBER(F9213),C9213*F9213,"")</f>
        <v/>
      </c>
    </row>
    <row r="9214" spans="1:7" ht="12" customHeight="1" outlineLevel="2" x14ac:dyDescent="0.2">
      <c r="A9214" s="14" t="s">
        <v>18121</v>
      </c>
      <c r="B9214" s="15" t="s">
        <v>18122</v>
      </c>
      <c r="C9214" s="19">
        <f>2916/(1+B2)</f>
        <v>2916</v>
      </c>
      <c r="D9214" s="17" t="s">
        <v>11</v>
      </c>
      <c r="E9214" s="17" t="s">
        <v>11</v>
      </c>
      <c r="F9214" s="18"/>
      <c r="G9214" s="36" t="str">
        <f>IF(ISNUMBER(F9214),C9214*F9214,"")</f>
        <v/>
      </c>
    </row>
    <row r="9215" spans="1:7" ht="12" customHeight="1" outlineLevel="2" x14ac:dyDescent="0.2">
      <c r="A9215" s="14" t="s">
        <v>18123</v>
      </c>
      <c r="B9215" s="15" t="s">
        <v>18124</v>
      </c>
      <c r="C9215" s="19">
        <f>4023/(1+B2)</f>
        <v>4023</v>
      </c>
      <c r="D9215" s="17"/>
      <c r="E9215" s="17" t="s">
        <v>11</v>
      </c>
      <c r="F9215" s="18"/>
      <c r="G9215" s="36" t="str">
        <f>IF(ISNUMBER(F9215),C9215*F9215,"")</f>
        <v/>
      </c>
    </row>
    <row r="9216" spans="1:7" ht="12" customHeight="1" outlineLevel="2" x14ac:dyDescent="0.2">
      <c r="A9216" s="14" t="s">
        <v>18125</v>
      </c>
      <c r="B9216" s="15" t="s">
        <v>18126</v>
      </c>
      <c r="C9216" s="19">
        <f>4482/(1+B2)</f>
        <v>4482</v>
      </c>
      <c r="D9216" s="17"/>
      <c r="E9216" s="17" t="s">
        <v>11</v>
      </c>
      <c r="F9216" s="18"/>
      <c r="G9216" s="36" t="str">
        <f>IF(ISNUMBER(F9216),C9216*F9216,"")</f>
        <v/>
      </c>
    </row>
    <row r="9217" spans="1:7" ht="12" customHeight="1" outlineLevel="2" x14ac:dyDescent="0.2">
      <c r="A9217" s="14" t="s">
        <v>18127</v>
      </c>
      <c r="B9217" s="15" t="s">
        <v>18128</v>
      </c>
      <c r="C9217" s="19">
        <f>6115.5/(1+B2)</f>
        <v>6115.5</v>
      </c>
      <c r="D9217" s="17"/>
      <c r="E9217" s="17" t="s">
        <v>11</v>
      </c>
      <c r="F9217" s="18"/>
      <c r="G9217" s="36" t="str">
        <f>IF(ISNUMBER(F9217),C9217*F9217,"")</f>
        <v/>
      </c>
    </row>
    <row r="9218" spans="1:7" s="1" customFormat="1" ht="15.95" customHeight="1" outlineLevel="1" x14ac:dyDescent="0.25">
      <c r="A9218" s="11"/>
      <c r="B9218" s="12" t="s">
        <v>18129</v>
      </c>
      <c r="C9218" s="13"/>
      <c r="D9218" s="13"/>
      <c r="E9218" s="13"/>
      <c r="F9218" s="13"/>
      <c r="G9218" s="35"/>
    </row>
    <row r="9219" spans="1:7" ht="12" customHeight="1" outlineLevel="2" x14ac:dyDescent="0.2">
      <c r="A9219" s="14" t="s">
        <v>18130</v>
      </c>
      <c r="B9219" s="15" t="s">
        <v>18131</v>
      </c>
      <c r="C9219" s="16">
        <f>130.45/(1+B2)</f>
        <v>130.44999999999999</v>
      </c>
      <c r="D9219" s="17" t="s">
        <v>11</v>
      </c>
      <c r="E9219" s="17"/>
      <c r="F9219" s="18"/>
      <c r="G9219" s="36" t="str">
        <f>IF(ISNUMBER(F9219),C9219*F9219,"")</f>
        <v/>
      </c>
    </row>
    <row r="9220" spans="1:7" ht="12" customHeight="1" outlineLevel="2" x14ac:dyDescent="0.2">
      <c r="A9220" s="14" t="s">
        <v>18132</v>
      </c>
      <c r="B9220" s="15" t="s">
        <v>18133</v>
      </c>
      <c r="C9220" s="16">
        <f>202.8/(1+B2)</f>
        <v>202.8</v>
      </c>
      <c r="D9220" s="17" t="s">
        <v>11</v>
      </c>
      <c r="E9220" s="17"/>
      <c r="F9220" s="18"/>
      <c r="G9220" s="36" t="str">
        <f>IF(ISNUMBER(F9220),C9220*F9220,"")</f>
        <v/>
      </c>
    </row>
    <row r="9221" spans="1:7" ht="12" customHeight="1" outlineLevel="2" x14ac:dyDescent="0.2">
      <c r="A9221" s="14" t="s">
        <v>18134</v>
      </c>
      <c r="B9221" s="15" t="s">
        <v>18135</v>
      </c>
      <c r="C9221" s="16">
        <f>165.6/(1+B2)</f>
        <v>165.6</v>
      </c>
      <c r="D9221" s="17" t="s">
        <v>11</v>
      </c>
      <c r="E9221" s="17"/>
      <c r="F9221" s="18"/>
      <c r="G9221" s="36" t="str">
        <f>IF(ISNUMBER(F9221),C9221*F9221,"")</f>
        <v/>
      </c>
    </row>
    <row r="9222" spans="1:7" ht="12" customHeight="1" outlineLevel="2" x14ac:dyDescent="0.2">
      <c r="A9222" s="14" t="s">
        <v>18136</v>
      </c>
      <c r="B9222" s="15" t="s">
        <v>18137</v>
      </c>
      <c r="C9222" s="16">
        <f>675/(1+B2)</f>
        <v>675</v>
      </c>
      <c r="D9222" s="17" t="s">
        <v>11</v>
      </c>
      <c r="E9222" s="17"/>
      <c r="F9222" s="18"/>
      <c r="G9222" s="36" t="str">
        <f>IF(ISNUMBER(F9222),C9222*F9222,"")</f>
        <v/>
      </c>
    </row>
    <row r="9223" spans="1:7" ht="12" customHeight="1" outlineLevel="2" x14ac:dyDescent="0.2">
      <c r="A9223" s="14" t="s">
        <v>18138</v>
      </c>
      <c r="B9223" s="15" t="s">
        <v>18139</v>
      </c>
      <c r="C9223" s="16">
        <f>967.48/(1+B2)</f>
        <v>967.48</v>
      </c>
      <c r="D9223" s="17" t="s">
        <v>11</v>
      </c>
      <c r="E9223" s="17"/>
      <c r="F9223" s="18"/>
      <c r="G9223" s="36" t="str">
        <f>IF(ISNUMBER(F9223),C9223*F9223,"")</f>
        <v/>
      </c>
    </row>
    <row r="9224" spans="1:7" ht="12" customHeight="1" outlineLevel="2" x14ac:dyDescent="0.2">
      <c r="A9224" s="14" t="s">
        <v>18140</v>
      </c>
      <c r="B9224" s="15" t="s">
        <v>18141</v>
      </c>
      <c r="C9224" s="16">
        <f>648.36/(1+B2)</f>
        <v>648.36</v>
      </c>
      <c r="D9224" s="17" t="s">
        <v>11</v>
      </c>
      <c r="E9224" s="17"/>
      <c r="F9224" s="18"/>
      <c r="G9224" s="36" t="str">
        <f>IF(ISNUMBER(F9224),C9224*F9224,"")</f>
        <v/>
      </c>
    </row>
    <row r="9225" spans="1:7" ht="12" customHeight="1" outlineLevel="2" x14ac:dyDescent="0.2">
      <c r="A9225" s="14" t="s">
        <v>18142</v>
      </c>
      <c r="B9225" s="15" t="s">
        <v>18143</v>
      </c>
      <c r="C9225" s="19">
        <f>1130.5/(1+B2)</f>
        <v>1130.5</v>
      </c>
      <c r="D9225" s="17" t="s">
        <v>11</v>
      </c>
      <c r="E9225" s="17" t="s">
        <v>11</v>
      </c>
      <c r="F9225" s="18"/>
      <c r="G9225" s="36" t="str">
        <f>IF(ISNUMBER(F9225),C9225*F9225,"")</f>
        <v/>
      </c>
    </row>
    <row r="9226" spans="1:7" ht="12" customHeight="1" outlineLevel="2" x14ac:dyDescent="0.2">
      <c r="A9226" s="14" t="s">
        <v>18144</v>
      </c>
      <c r="B9226" s="15" t="s">
        <v>18145</v>
      </c>
      <c r="C9226" s="16">
        <f>987.5/(1+B2)</f>
        <v>987.5</v>
      </c>
      <c r="D9226" s="17" t="s">
        <v>11</v>
      </c>
      <c r="E9226" s="17" t="s">
        <v>11</v>
      </c>
      <c r="F9226" s="18"/>
      <c r="G9226" s="36" t="str">
        <f>IF(ISNUMBER(F9226),C9226*F9226,"")</f>
        <v/>
      </c>
    </row>
    <row r="9227" spans="1:7" ht="12" customHeight="1" outlineLevel="2" x14ac:dyDescent="0.2">
      <c r="A9227" s="14" t="s">
        <v>18146</v>
      </c>
      <c r="B9227" s="15" t="s">
        <v>18147</v>
      </c>
      <c r="C9227" s="19">
        <f>1116.5/(1+B2)</f>
        <v>1116.5</v>
      </c>
      <c r="D9227" s="17" t="s">
        <v>11</v>
      </c>
      <c r="E9227" s="17" t="s">
        <v>11</v>
      </c>
      <c r="F9227" s="18"/>
      <c r="G9227" s="36" t="str">
        <f>IF(ISNUMBER(F9227),C9227*F9227,"")</f>
        <v/>
      </c>
    </row>
    <row r="9228" spans="1:7" ht="12" customHeight="1" outlineLevel="2" x14ac:dyDescent="0.2">
      <c r="A9228" s="14" t="s">
        <v>18148</v>
      </c>
      <c r="B9228" s="15" t="s">
        <v>18149</v>
      </c>
      <c r="C9228" s="19">
        <f>1072.38/(1+B2)</f>
        <v>1072.3800000000001</v>
      </c>
      <c r="D9228" s="17" t="s">
        <v>11</v>
      </c>
      <c r="E9228" s="17" t="s">
        <v>11</v>
      </c>
      <c r="F9228" s="18"/>
      <c r="G9228" s="36" t="str">
        <f>IF(ISNUMBER(F9228),C9228*F9228,"")</f>
        <v/>
      </c>
    </row>
    <row r="9229" spans="1:7" ht="12" customHeight="1" outlineLevel="2" x14ac:dyDescent="0.2">
      <c r="A9229" s="14" t="s">
        <v>18150</v>
      </c>
      <c r="B9229" s="15" t="s">
        <v>18151</v>
      </c>
      <c r="C9229" s="19">
        <f>1213.19/(1+B2)</f>
        <v>1213.19</v>
      </c>
      <c r="D9229" s="17" t="s">
        <v>11</v>
      </c>
      <c r="E9229" s="17" t="s">
        <v>11</v>
      </c>
      <c r="F9229" s="18"/>
      <c r="G9229" s="36" t="str">
        <f>IF(ISNUMBER(F9229),C9229*F9229,"")</f>
        <v/>
      </c>
    </row>
    <row r="9230" spans="1:7" ht="12" customHeight="1" outlineLevel="2" x14ac:dyDescent="0.2">
      <c r="A9230" s="14" t="s">
        <v>18152</v>
      </c>
      <c r="B9230" s="15" t="s">
        <v>18153</v>
      </c>
      <c r="C9230" s="19">
        <f>1213.19/(1+B2)</f>
        <v>1213.19</v>
      </c>
      <c r="D9230" s="17" t="s">
        <v>11</v>
      </c>
      <c r="E9230" s="17"/>
      <c r="F9230" s="18"/>
      <c r="G9230" s="36" t="str">
        <f>IF(ISNUMBER(F9230),C9230*F9230,"")</f>
        <v/>
      </c>
    </row>
    <row r="9231" spans="1:7" ht="12" customHeight="1" outlineLevel="2" x14ac:dyDescent="0.2">
      <c r="A9231" s="14" t="s">
        <v>18154</v>
      </c>
      <c r="B9231" s="15" t="s">
        <v>18155</v>
      </c>
      <c r="C9231" s="19">
        <f>1289.84/(1+B2)</f>
        <v>1289.8399999999999</v>
      </c>
      <c r="D9231" s="17" t="s">
        <v>11</v>
      </c>
      <c r="E9231" s="17" t="s">
        <v>11</v>
      </c>
      <c r="F9231" s="18"/>
      <c r="G9231" s="36" t="str">
        <f>IF(ISNUMBER(F9231),C9231*F9231,"")</f>
        <v/>
      </c>
    </row>
    <row r="9232" spans="1:7" ht="12" customHeight="1" outlineLevel="2" x14ac:dyDescent="0.2">
      <c r="A9232" s="14" t="s">
        <v>18156</v>
      </c>
      <c r="B9232" s="15" t="s">
        <v>18157</v>
      </c>
      <c r="C9232" s="19">
        <f>1072.44/(1+B2)</f>
        <v>1072.44</v>
      </c>
      <c r="D9232" s="17" t="s">
        <v>11</v>
      </c>
      <c r="E9232" s="17"/>
      <c r="F9232" s="18"/>
      <c r="G9232" s="36" t="str">
        <f>IF(ISNUMBER(F9232),C9232*F9232,"")</f>
        <v/>
      </c>
    </row>
    <row r="9233" spans="1:7" ht="12" customHeight="1" outlineLevel="2" x14ac:dyDescent="0.2">
      <c r="A9233" s="14" t="s">
        <v>18158</v>
      </c>
      <c r="B9233" s="15" t="s">
        <v>18159</v>
      </c>
      <c r="C9233" s="19">
        <f>1127.52/(1+B2)</f>
        <v>1127.52</v>
      </c>
      <c r="D9233" s="17" t="s">
        <v>11</v>
      </c>
      <c r="E9233" s="17" t="s">
        <v>106</v>
      </c>
      <c r="F9233" s="18"/>
      <c r="G9233" s="36" t="str">
        <f>IF(ISNUMBER(F9233),C9233*F9233,"")</f>
        <v/>
      </c>
    </row>
    <row r="9234" spans="1:7" ht="12" customHeight="1" outlineLevel="2" x14ac:dyDescent="0.2">
      <c r="A9234" s="14" t="s">
        <v>18160</v>
      </c>
      <c r="B9234" s="15" t="s">
        <v>18161</v>
      </c>
      <c r="C9234" s="16">
        <f>985.49/(1+B2)</f>
        <v>985.49</v>
      </c>
      <c r="D9234" s="17" t="s">
        <v>11</v>
      </c>
      <c r="E9234" s="17" t="s">
        <v>11</v>
      </c>
      <c r="F9234" s="18"/>
      <c r="G9234" s="36" t="str">
        <f>IF(ISNUMBER(F9234),C9234*F9234,"")</f>
        <v/>
      </c>
    </row>
    <row r="9235" spans="1:7" ht="12" customHeight="1" outlineLevel="2" x14ac:dyDescent="0.2">
      <c r="A9235" s="14" t="s">
        <v>18162</v>
      </c>
      <c r="B9235" s="15" t="s">
        <v>18163</v>
      </c>
      <c r="C9235" s="16">
        <f>883.85/(1+B2)</f>
        <v>883.85</v>
      </c>
      <c r="D9235" s="17" t="s">
        <v>11</v>
      </c>
      <c r="E9235" s="17" t="s">
        <v>11</v>
      </c>
      <c r="F9235" s="18"/>
      <c r="G9235" s="36" t="str">
        <f>IF(ISNUMBER(F9235),C9235*F9235,"")</f>
        <v/>
      </c>
    </row>
    <row r="9236" spans="1:7" ht="12" customHeight="1" outlineLevel="2" x14ac:dyDescent="0.2">
      <c r="A9236" s="14" t="s">
        <v>18164</v>
      </c>
      <c r="B9236" s="15" t="s">
        <v>18165</v>
      </c>
      <c r="C9236" s="19">
        <f>1254.97/(1+B2)</f>
        <v>1254.97</v>
      </c>
      <c r="D9236" s="17" t="s">
        <v>11</v>
      </c>
      <c r="E9236" s="17"/>
      <c r="F9236" s="18"/>
      <c r="G9236" s="36" t="str">
        <f>IF(ISNUMBER(F9236),C9236*F9236,"")</f>
        <v/>
      </c>
    </row>
    <row r="9237" spans="1:7" ht="24" customHeight="1" outlineLevel="2" x14ac:dyDescent="0.2">
      <c r="A9237" s="14" t="s">
        <v>18166</v>
      </c>
      <c r="B9237" s="15" t="s">
        <v>18167</v>
      </c>
      <c r="C9237" s="19">
        <f>1370.3/(1+B2)</f>
        <v>1370.3</v>
      </c>
      <c r="D9237" s="17" t="s">
        <v>11</v>
      </c>
      <c r="E9237" s="17"/>
      <c r="F9237" s="18"/>
      <c r="G9237" s="36" t="str">
        <f>IF(ISNUMBER(F9237),C9237*F9237,"")</f>
        <v/>
      </c>
    </row>
    <row r="9238" spans="1:7" ht="12" customHeight="1" outlineLevel="2" x14ac:dyDescent="0.2">
      <c r="A9238" s="14" t="s">
        <v>18168</v>
      </c>
      <c r="B9238" s="15" t="s">
        <v>18169</v>
      </c>
      <c r="C9238" s="16">
        <f>890.22/(1+B2)</f>
        <v>890.22</v>
      </c>
      <c r="D9238" s="17" t="s">
        <v>11</v>
      </c>
      <c r="E9238" s="17"/>
      <c r="F9238" s="18"/>
      <c r="G9238" s="36" t="str">
        <f>IF(ISNUMBER(F9238),C9238*F9238,"")</f>
        <v/>
      </c>
    </row>
    <row r="9239" spans="1:7" ht="24" customHeight="1" outlineLevel="2" x14ac:dyDescent="0.2">
      <c r="A9239" s="14" t="s">
        <v>18170</v>
      </c>
      <c r="B9239" s="15" t="s">
        <v>18171</v>
      </c>
      <c r="C9239" s="16">
        <f>656.6/(1+B2)</f>
        <v>656.6</v>
      </c>
      <c r="D9239" s="17" t="s">
        <v>11</v>
      </c>
      <c r="E9239" s="17" t="s">
        <v>11</v>
      </c>
      <c r="F9239" s="18"/>
      <c r="G9239" s="36" t="str">
        <f>IF(ISNUMBER(F9239),C9239*F9239,"")</f>
        <v/>
      </c>
    </row>
    <row r="9240" spans="1:7" ht="24" customHeight="1" outlineLevel="2" x14ac:dyDescent="0.2">
      <c r="A9240" s="14" t="s">
        <v>18172</v>
      </c>
      <c r="B9240" s="15" t="s">
        <v>18173</v>
      </c>
      <c r="C9240" s="16">
        <f>690.32/(1+B2)</f>
        <v>690.32</v>
      </c>
      <c r="D9240" s="17" t="s">
        <v>11</v>
      </c>
      <c r="E9240" s="17"/>
      <c r="F9240" s="18"/>
      <c r="G9240" s="36" t="str">
        <f>IF(ISNUMBER(F9240),C9240*F9240,"")</f>
        <v/>
      </c>
    </row>
    <row r="9241" spans="1:7" ht="12" customHeight="1" outlineLevel="2" x14ac:dyDescent="0.2">
      <c r="A9241" s="14" t="s">
        <v>18174</v>
      </c>
      <c r="B9241" s="15" t="s">
        <v>18175</v>
      </c>
      <c r="C9241" s="19">
        <f>1026/(1+B2)</f>
        <v>1026</v>
      </c>
      <c r="D9241" s="17" t="s">
        <v>11</v>
      </c>
      <c r="E9241" s="17" t="s">
        <v>11</v>
      </c>
      <c r="F9241" s="18"/>
      <c r="G9241" s="36" t="str">
        <f>IF(ISNUMBER(F9241),C9241*F9241,"")</f>
        <v/>
      </c>
    </row>
    <row r="9242" spans="1:7" ht="12" customHeight="1" outlineLevel="2" x14ac:dyDescent="0.2">
      <c r="A9242" s="14" t="s">
        <v>18176</v>
      </c>
      <c r="B9242" s="15" t="s">
        <v>18177</v>
      </c>
      <c r="C9242" s="16">
        <f>298.22/(1+B2)</f>
        <v>298.22000000000003</v>
      </c>
      <c r="D9242" s="17" t="s">
        <v>11</v>
      </c>
      <c r="E9242" s="17" t="s">
        <v>11</v>
      </c>
      <c r="F9242" s="18"/>
      <c r="G9242" s="36" t="str">
        <f>IF(ISNUMBER(F9242),C9242*F9242,"")</f>
        <v/>
      </c>
    </row>
    <row r="9243" spans="1:7" ht="12" customHeight="1" outlineLevel="2" x14ac:dyDescent="0.2">
      <c r="A9243" s="14" t="s">
        <v>18178</v>
      </c>
      <c r="B9243" s="15" t="s">
        <v>18179</v>
      </c>
      <c r="C9243" s="16">
        <f>770/(1+B2)</f>
        <v>770</v>
      </c>
      <c r="D9243" s="17" t="s">
        <v>11</v>
      </c>
      <c r="E9243" s="17"/>
      <c r="F9243" s="18"/>
      <c r="G9243" s="36" t="str">
        <f>IF(ISNUMBER(F9243),C9243*F9243,"")</f>
        <v/>
      </c>
    </row>
    <row r="9244" spans="1:7" ht="12" customHeight="1" outlineLevel="2" x14ac:dyDescent="0.2">
      <c r="A9244" s="14" t="s">
        <v>18180</v>
      </c>
      <c r="B9244" s="15" t="s">
        <v>18181</v>
      </c>
      <c r="C9244" s="16">
        <f>793.75/(1+B2)</f>
        <v>793.75</v>
      </c>
      <c r="D9244" s="17" t="s">
        <v>11</v>
      </c>
      <c r="E9244" s="17" t="s">
        <v>11</v>
      </c>
      <c r="F9244" s="18"/>
      <c r="G9244" s="36" t="str">
        <f>IF(ISNUMBER(F9244),C9244*F9244,"")</f>
        <v/>
      </c>
    </row>
    <row r="9245" spans="1:7" ht="12" customHeight="1" outlineLevel="2" x14ac:dyDescent="0.2">
      <c r="A9245" s="14" t="s">
        <v>18182</v>
      </c>
      <c r="B9245" s="15" t="s">
        <v>18183</v>
      </c>
      <c r="C9245" s="16">
        <f>816.25/(1+B2)</f>
        <v>816.25</v>
      </c>
      <c r="D9245" s="17" t="s">
        <v>11</v>
      </c>
      <c r="E9245" s="17" t="s">
        <v>11</v>
      </c>
      <c r="F9245" s="18"/>
      <c r="G9245" s="36" t="str">
        <f>IF(ISNUMBER(F9245),C9245*F9245,"")</f>
        <v/>
      </c>
    </row>
    <row r="9246" spans="1:7" ht="12" customHeight="1" outlineLevel="2" x14ac:dyDescent="0.2">
      <c r="A9246" s="14" t="s">
        <v>18184</v>
      </c>
      <c r="B9246" s="15" t="s">
        <v>18185</v>
      </c>
      <c r="C9246" s="16">
        <f>816.25/(1+B2)</f>
        <v>816.25</v>
      </c>
      <c r="D9246" s="17" t="s">
        <v>11</v>
      </c>
      <c r="E9246" s="17"/>
      <c r="F9246" s="18"/>
      <c r="G9246" s="36" t="str">
        <f>IF(ISNUMBER(F9246),C9246*F9246,"")</f>
        <v/>
      </c>
    </row>
    <row r="9247" spans="1:7" ht="12" customHeight="1" outlineLevel="2" x14ac:dyDescent="0.2">
      <c r="A9247" s="14" t="s">
        <v>18186</v>
      </c>
      <c r="B9247" s="15" t="s">
        <v>18187</v>
      </c>
      <c r="C9247" s="19">
        <f>1003.25/(1+B2)</f>
        <v>1003.25</v>
      </c>
      <c r="D9247" s="17" t="s">
        <v>11</v>
      </c>
      <c r="E9247" s="17" t="s">
        <v>11</v>
      </c>
      <c r="F9247" s="18"/>
      <c r="G9247" s="36" t="str">
        <f>IF(ISNUMBER(F9247),C9247*F9247,"")</f>
        <v/>
      </c>
    </row>
    <row r="9248" spans="1:7" ht="12" customHeight="1" outlineLevel="2" x14ac:dyDescent="0.2">
      <c r="A9248" s="14" t="s">
        <v>18188</v>
      </c>
      <c r="B9248" s="15" t="s">
        <v>18189</v>
      </c>
      <c r="C9248" s="16">
        <f>909.52/(1+B2)</f>
        <v>909.52</v>
      </c>
      <c r="D9248" s="17" t="s">
        <v>11</v>
      </c>
      <c r="E9248" s="17" t="s">
        <v>11</v>
      </c>
      <c r="F9248" s="18"/>
      <c r="G9248" s="36" t="str">
        <f>IF(ISNUMBER(F9248),C9248*F9248,"")</f>
        <v/>
      </c>
    </row>
    <row r="9249" spans="1:7" ht="12" customHeight="1" outlineLevel="2" x14ac:dyDescent="0.2">
      <c r="A9249" s="14" t="s">
        <v>18190</v>
      </c>
      <c r="B9249" s="15" t="s">
        <v>18191</v>
      </c>
      <c r="C9249" s="16">
        <f>890/(1+B2)</f>
        <v>890</v>
      </c>
      <c r="D9249" s="17" t="s">
        <v>11</v>
      </c>
      <c r="E9249" s="17" t="s">
        <v>11</v>
      </c>
      <c r="F9249" s="18"/>
      <c r="G9249" s="36" t="str">
        <f>IF(ISNUMBER(F9249),C9249*F9249,"")</f>
        <v/>
      </c>
    </row>
    <row r="9250" spans="1:7" ht="12" customHeight="1" outlineLevel="2" x14ac:dyDescent="0.2">
      <c r="A9250" s="14" t="s">
        <v>18192</v>
      </c>
      <c r="B9250" s="15" t="s">
        <v>18193</v>
      </c>
      <c r="C9250" s="16">
        <f>910/(1+B2)</f>
        <v>910</v>
      </c>
      <c r="D9250" s="17" t="s">
        <v>11</v>
      </c>
      <c r="E9250" s="17"/>
      <c r="F9250" s="18"/>
      <c r="G9250" s="36" t="str">
        <f>IF(ISNUMBER(F9250),C9250*F9250,"")</f>
        <v/>
      </c>
    </row>
    <row r="9251" spans="1:7" ht="12" customHeight="1" outlineLevel="2" x14ac:dyDescent="0.2">
      <c r="A9251" s="14" t="s">
        <v>18194</v>
      </c>
      <c r="B9251" s="15" t="s">
        <v>18195</v>
      </c>
      <c r="C9251" s="16">
        <f>933.75/(1+B2)</f>
        <v>933.75</v>
      </c>
      <c r="D9251" s="17" t="s">
        <v>11</v>
      </c>
      <c r="E9251" s="17" t="s">
        <v>11</v>
      </c>
      <c r="F9251" s="18"/>
      <c r="G9251" s="36" t="str">
        <f>IF(ISNUMBER(F9251),C9251*F9251,"")</f>
        <v/>
      </c>
    </row>
    <row r="9252" spans="1:7" ht="12" customHeight="1" outlineLevel="2" x14ac:dyDescent="0.2">
      <c r="A9252" s="14" t="s">
        <v>18196</v>
      </c>
      <c r="B9252" s="15" t="s">
        <v>18197</v>
      </c>
      <c r="C9252" s="16">
        <f>933.75/(1+B2)</f>
        <v>933.75</v>
      </c>
      <c r="D9252" s="17" t="s">
        <v>11</v>
      </c>
      <c r="E9252" s="17" t="s">
        <v>11</v>
      </c>
      <c r="F9252" s="18"/>
      <c r="G9252" s="36" t="str">
        <f>IF(ISNUMBER(F9252),C9252*F9252,"")</f>
        <v/>
      </c>
    </row>
    <row r="9253" spans="1:7" ht="12" customHeight="1" outlineLevel="2" x14ac:dyDescent="0.2">
      <c r="A9253" s="14" t="s">
        <v>18198</v>
      </c>
      <c r="B9253" s="15" t="s">
        <v>18199</v>
      </c>
      <c r="C9253" s="16">
        <f>957.5/(1+B2)</f>
        <v>957.5</v>
      </c>
      <c r="D9253" s="17" t="s">
        <v>11</v>
      </c>
      <c r="E9253" s="17" t="s">
        <v>11</v>
      </c>
      <c r="F9253" s="18"/>
      <c r="G9253" s="36" t="str">
        <f>IF(ISNUMBER(F9253),C9253*F9253,"")</f>
        <v/>
      </c>
    </row>
    <row r="9254" spans="1:7" s="1" customFormat="1" ht="15.95" customHeight="1" outlineLevel="1" x14ac:dyDescent="0.25">
      <c r="A9254" s="11"/>
      <c r="B9254" s="12" t="s">
        <v>18200</v>
      </c>
      <c r="C9254" s="13"/>
      <c r="D9254" s="13"/>
      <c r="E9254" s="13"/>
      <c r="F9254" s="13"/>
      <c r="G9254" s="35"/>
    </row>
    <row r="9255" spans="1:7" ht="12" customHeight="1" outlineLevel="2" x14ac:dyDescent="0.2">
      <c r="A9255" s="14" t="s">
        <v>18201</v>
      </c>
      <c r="B9255" s="15" t="s">
        <v>18202</v>
      </c>
      <c r="C9255" s="16">
        <f>71.48/(1+B2)</f>
        <v>71.48</v>
      </c>
      <c r="D9255" s="17" t="s">
        <v>11</v>
      </c>
      <c r="E9255" s="17" t="s">
        <v>11</v>
      </c>
      <c r="F9255" s="18"/>
      <c r="G9255" s="36" t="str">
        <f>IF(ISNUMBER(F9255),C9255*F9255,"")</f>
        <v/>
      </c>
    </row>
    <row r="9256" spans="1:7" ht="12" customHeight="1" outlineLevel="2" x14ac:dyDescent="0.2">
      <c r="A9256" s="14" t="s">
        <v>18203</v>
      </c>
      <c r="B9256" s="15" t="s">
        <v>18204</v>
      </c>
      <c r="C9256" s="16">
        <f>214.5/(1+B2)</f>
        <v>214.5</v>
      </c>
      <c r="D9256" s="17" t="s">
        <v>11</v>
      </c>
      <c r="E9256" s="17"/>
      <c r="F9256" s="18"/>
      <c r="G9256" s="36" t="str">
        <f>IF(ISNUMBER(F9256),C9256*F9256,"")</f>
        <v/>
      </c>
    </row>
    <row r="9257" spans="1:7" ht="12" customHeight="1" outlineLevel="2" x14ac:dyDescent="0.2">
      <c r="A9257" s="14" t="s">
        <v>18205</v>
      </c>
      <c r="B9257" s="15" t="s">
        <v>18206</v>
      </c>
      <c r="C9257" s="19">
        <f>1590.68/(1+B2)</f>
        <v>1590.68</v>
      </c>
      <c r="D9257" s="17" t="s">
        <v>11</v>
      </c>
      <c r="E9257" s="17"/>
      <c r="F9257" s="18"/>
      <c r="G9257" s="36" t="str">
        <f>IF(ISNUMBER(F9257),C9257*F9257,"")</f>
        <v/>
      </c>
    </row>
    <row r="9258" spans="1:7" ht="12" customHeight="1" outlineLevel="2" x14ac:dyDescent="0.2">
      <c r="A9258" s="14" t="s">
        <v>18207</v>
      </c>
      <c r="B9258" s="15" t="s">
        <v>18208</v>
      </c>
      <c r="C9258" s="19">
        <f>2383.86/(1+B2)</f>
        <v>2383.86</v>
      </c>
      <c r="D9258" s="17" t="s">
        <v>11</v>
      </c>
      <c r="E9258" s="17"/>
      <c r="F9258" s="18"/>
      <c r="G9258" s="36" t="str">
        <f>IF(ISNUMBER(F9258),C9258*F9258,"")</f>
        <v/>
      </c>
    </row>
    <row r="9259" spans="1:7" ht="12" customHeight="1" outlineLevel="2" x14ac:dyDescent="0.2">
      <c r="A9259" s="14" t="s">
        <v>18209</v>
      </c>
      <c r="B9259" s="15" t="s">
        <v>18210</v>
      </c>
      <c r="C9259" s="19">
        <f>2394.13/(1+B2)</f>
        <v>2394.13</v>
      </c>
      <c r="D9259" s="17" t="s">
        <v>11</v>
      </c>
      <c r="E9259" s="17" t="s">
        <v>11</v>
      </c>
      <c r="F9259" s="18"/>
      <c r="G9259" s="36" t="str">
        <f>IF(ISNUMBER(F9259),C9259*F9259,"")</f>
        <v/>
      </c>
    </row>
    <row r="9260" spans="1:7" ht="24" customHeight="1" outlineLevel="2" x14ac:dyDescent="0.2">
      <c r="A9260" s="14" t="s">
        <v>18211</v>
      </c>
      <c r="B9260" s="15" t="s">
        <v>18212</v>
      </c>
      <c r="C9260" s="19">
        <f>1118.11/(1+B2)</f>
        <v>1118.1099999999999</v>
      </c>
      <c r="D9260" s="17" t="s">
        <v>11</v>
      </c>
      <c r="E9260" s="17" t="s">
        <v>11</v>
      </c>
      <c r="F9260" s="18"/>
      <c r="G9260" s="36" t="str">
        <f>IF(ISNUMBER(F9260),C9260*F9260,"")</f>
        <v/>
      </c>
    </row>
    <row r="9261" spans="1:7" ht="24" customHeight="1" outlineLevel="2" x14ac:dyDescent="0.2">
      <c r="A9261" s="14" t="s">
        <v>18213</v>
      </c>
      <c r="B9261" s="15" t="s">
        <v>18214</v>
      </c>
      <c r="C9261" s="19">
        <f>1366.22/(1+B2)</f>
        <v>1366.22</v>
      </c>
      <c r="D9261" s="17" t="s">
        <v>11</v>
      </c>
      <c r="E9261" s="17" t="s">
        <v>11</v>
      </c>
      <c r="F9261" s="18"/>
      <c r="G9261" s="36" t="str">
        <f>IF(ISNUMBER(F9261),C9261*F9261,"")</f>
        <v/>
      </c>
    </row>
    <row r="9262" spans="1:7" ht="12" customHeight="1" outlineLevel="2" x14ac:dyDescent="0.2">
      <c r="A9262" s="14" t="s">
        <v>18215</v>
      </c>
      <c r="B9262" s="15" t="s">
        <v>18216</v>
      </c>
      <c r="C9262" s="19">
        <f>1857.9/(1+B2)</f>
        <v>1857.9</v>
      </c>
      <c r="D9262" s="17" t="s">
        <v>11</v>
      </c>
      <c r="E9262" s="17" t="s">
        <v>11</v>
      </c>
      <c r="F9262" s="18"/>
      <c r="G9262" s="36" t="str">
        <f>IF(ISNUMBER(F9262),C9262*F9262,"")</f>
        <v/>
      </c>
    </row>
    <row r="9263" spans="1:7" ht="12" customHeight="1" outlineLevel="2" x14ac:dyDescent="0.2">
      <c r="A9263" s="14" t="s">
        <v>18217</v>
      </c>
      <c r="B9263" s="15" t="s">
        <v>18218</v>
      </c>
      <c r="C9263" s="19">
        <f>1417.5/(1+B2)</f>
        <v>1417.5</v>
      </c>
      <c r="D9263" s="17" t="s">
        <v>11</v>
      </c>
      <c r="E9263" s="17"/>
      <c r="F9263" s="18"/>
      <c r="G9263" s="36" t="str">
        <f>IF(ISNUMBER(F9263),C9263*F9263,"")</f>
        <v/>
      </c>
    </row>
    <row r="9264" spans="1:7" ht="12" customHeight="1" outlineLevel="2" x14ac:dyDescent="0.2">
      <c r="A9264" s="14" t="s">
        <v>18219</v>
      </c>
      <c r="B9264" s="15" t="s">
        <v>18220</v>
      </c>
      <c r="C9264" s="19">
        <f>1350/(1+B2)</f>
        <v>1350</v>
      </c>
      <c r="D9264" s="17" t="s">
        <v>11</v>
      </c>
      <c r="E9264" s="17"/>
      <c r="F9264" s="18"/>
      <c r="G9264" s="36" t="str">
        <f>IF(ISNUMBER(F9264),C9264*F9264,"")</f>
        <v/>
      </c>
    </row>
    <row r="9265" spans="1:7" ht="12" customHeight="1" outlineLevel="2" x14ac:dyDescent="0.2">
      <c r="A9265" s="14" t="s">
        <v>18221</v>
      </c>
      <c r="B9265" s="15" t="s">
        <v>18222</v>
      </c>
      <c r="C9265" s="19">
        <f>1836/(1+B2)</f>
        <v>1836</v>
      </c>
      <c r="D9265" s="17" t="s">
        <v>11</v>
      </c>
      <c r="E9265" s="17"/>
      <c r="F9265" s="18"/>
      <c r="G9265" s="36" t="str">
        <f>IF(ISNUMBER(F9265),C9265*F9265,"")</f>
        <v/>
      </c>
    </row>
    <row r="9266" spans="1:7" ht="12" customHeight="1" outlineLevel="2" x14ac:dyDescent="0.2">
      <c r="A9266" s="14" t="s">
        <v>18223</v>
      </c>
      <c r="B9266" s="15" t="s">
        <v>18224</v>
      </c>
      <c r="C9266" s="19">
        <f>1525.5/(1+B2)</f>
        <v>1525.5</v>
      </c>
      <c r="D9266" s="17" t="s">
        <v>11</v>
      </c>
      <c r="E9266" s="17"/>
      <c r="F9266" s="18"/>
      <c r="G9266" s="36" t="str">
        <f>IF(ISNUMBER(F9266),C9266*F9266,"")</f>
        <v/>
      </c>
    </row>
    <row r="9267" spans="1:7" ht="12" customHeight="1" outlineLevel="2" x14ac:dyDescent="0.2">
      <c r="A9267" s="14" t="s">
        <v>18225</v>
      </c>
      <c r="B9267" s="15" t="s">
        <v>18226</v>
      </c>
      <c r="C9267" s="19">
        <f>1179.78/(1+B2)</f>
        <v>1179.78</v>
      </c>
      <c r="D9267" s="17" t="s">
        <v>11</v>
      </c>
      <c r="E9267" s="17"/>
      <c r="F9267" s="18"/>
      <c r="G9267" s="36" t="str">
        <f>IF(ISNUMBER(F9267),C9267*F9267,"")</f>
        <v/>
      </c>
    </row>
    <row r="9268" spans="1:7" ht="12" customHeight="1" outlineLevel="2" x14ac:dyDescent="0.2">
      <c r="A9268" s="14" t="s">
        <v>18227</v>
      </c>
      <c r="B9268" s="15" t="s">
        <v>18228</v>
      </c>
      <c r="C9268" s="19">
        <f>1598.44/(1+B2)</f>
        <v>1598.44</v>
      </c>
      <c r="D9268" s="17" t="s">
        <v>11</v>
      </c>
      <c r="E9268" s="17" t="s">
        <v>11</v>
      </c>
      <c r="F9268" s="18"/>
      <c r="G9268" s="36" t="str">
        <f>IF(ISNUMBER(F9268),C9268*F9268,"")</f>
        <v/>
      </c>
    </row>
    <row r="9269" spans="1:7" ht="12" customHeight="1" outlineLevel="2" x14ac:dyDescent="0.2">
      <c r="A9269" s="14" t="s">
        <v>18229</v>
      </c>
      <c r="B9269" s="15" t="s">
        <v>18230</v>
      </c>
      <c r="C9269" s="19">
        <f>1147.63/(1+B2)</f>
        <v>1147.6300000000001</v>
      </c>
      <c r="D9269" s="17" t="s">
        <v>11</v>
      </c>
      <c r="E9269" s="17" t="s">
        <v>11</v>
      </c>
      <c r="F9269" s="18"/>
      <c r="G9269" s="36" t="str">
        <f>IF(ISNUMBER(F9269),C9269*F9269,"")</f>
        <v/>
      </c>
    </row>
    <row r="9270" spans="1:7" ht="12" customHeight="1" outlineLevel="2" x14ac:dyDescent="0.2">
      <c r="A9270" s="14" t="s">
        <v>18231</v>
      </c>
      <c r="B9270" s="15" t="s">
        <v>18232</v>
      </c>
      <c r="C9270" s="19">
        <f>1118.11/(1+B2)</f>
        <v>1118.1099999999999</v>
      </c>
      <c r="D9270" s="17" t="s">
        <v>11</v>
      </c>
      <c r="E9270" s="17" t="s">
        <v>11</v>
      </c>
      <c r="F9270" s="18"/>
      <c r="G9270" s="36" t="str">
        <f>IF(ISNUMBER(F9270),C9270*F9270,"")</f>
        <v/>
      </c>
    </row>
    <row r="9271" spans="1:7" ht="12" customHeight="1" outlineLevel="2" x14ac:dyDescent="0.2">
      <c r="A9271" s="14" t="s">
        <v>18233</v>
      </c>
      <c r="B9271" s="15" t="s">
        <v>18234</v>
      </c>
      <c r="C9271" s="19">
        <f>1183.26/(1+B2)</f>
        <v>1183.26</v>
      </c>
      <c r="D9271" s="17" t="s">
        <v>11</v>
      </c>
      <c r="E9271" s="17" t="s">
        <v>11</v>
      </c>
      <c r="F9271" s="18"/>
      <c r="G9271" s="36" t="str">
        <f>IF(ISNUMBER(F9271),C9271*F9271,"")</f>
        <v/>
      </c>
    </row>
    <row r="9272" spans="1:7" ht="12" customHeight="1" outlineLevel="2" x14ac:dyDescent="0.2">
      <c r="A9272" s="14" t="s">
        <v>18235</v>
      </c>
      <c r="B9272" s="15" t="s">
        <v>18236</v>
      </c>
      <c r="C9272" s="16">
        <f>855.37/(1+B2)</f>
        <v>855.37</v>
      </c>
      <c r="D9272" s="17" t="s">
        <v>11</v>
      </c>
      <c r="E9272" s="17" t="s">
        <v>11</v>
      </c>
      <c r="F9272" s="18"/>
      <c r="G9272" s="36" t="str">
        <f>IF(ISNUMBER(F9272),C9272*F9272,"")</f>
        <v/>
      </c>
    </row>
    <row r="9273" spans="1:7" ht="12" customHeight="1" outlineLevel="2" x14ac:dyDescent="0.2">
      <c r="A9273" s="14" t="s">
        <v>18237</v>
      </c>
      <c r="B9273" s="15" t="s">
        <v>18238</v>
      </c>
      <c r="C9273" s="19">
        <f>1140.48/(1+B2)</f>
        <v>1140.48</v>
      </c>
      <c r="D9273" s="17" t="s">
        <v>11</v>
      </c>
      <c r="E9273" s="17" t="s">
        <v>11</v>
      </c>
      <c r="F9273" s="18"/>
      <c r="G9273" s="36" t="str">
        <f>IF(ISNUMBER(F9273),C9273*F9273,"")</f>
        <v/>
      </c>
    </row>
    <row r="9274" spans="1:7" ht="12" customHeight="1" outlineLevel="2" x14ac:dyDescent="0.2">
      <c r="A9274" s="14" t="s">
        <v>18239</v>
      </c>
      <c r="B9274" s="15" t="s">
        <v>18240</v>
      </c>
      <c r="C9274" s="19">
        <f>1269.24/(1+B2)</f>
        <v>1269.24</v>
      </c>
      <c r="D9274" s="17" t="s">
        <v>11</v>
      </c>
      <c r="E9274" s="17"/>
      <c r="F9274" s="18"/>
      <c r="G9274" s="36" t="str">
        <f>IF(ISNUMBER(F9274),C9274*F9274,"")</f>
        <v/>
      </c>
    </row>
    <row r="9275" spans="1:7" ht="12" customHeight="1" outlineLevel="2" x14ac:dyDescent="0.2">
      <c r="A9275" s="14" t="s">
        <v>18241</v>
      </c>
      <c r="B9275" s="15" t="s">
        <v>18242</v>
      </c>
      <c r="C9275" s="19">
        <f>1958.66/(1+B2)</f>
        <v>1958.66</v>
      </c>
      <c r="D9275" s="17" t="s">
        <v>11</v>
      </c>
      <c r="E9275" s="17"/>
      <c r="F9275" s="18"/>
      <c r="G9275" s="36" t="str">
        <f>IF(ISNUMBER(F9275),C9275*F9275,"")</f>
        <v/>
      </c>
    </row>
    <row r="9276" spans="1:7" ht="12" customHeight="1" outlineLevel="2" x14ac:dyDescent="0.2">
      <c r="A9276" s="14" t="s">
        <v>18243</v>
      </c>
      <c r="B9276" s="15" t="s">
        <v>18244</v>
      </c>
      <c r="C9276" s="19">
        <f>1298.21/(1+B2)</f>
        <v>1298.21</v>
      </c>
      <c r="D9276" s="17" t="s">
        <v>11</v>
      </c>
      <c r="E9276" s="17" t="s">
        <v>11</v>
      </c>
      <c r="F9276" s="18"/>
      <c r="G9276" s="36" t="str">
        <f>IF(ISNUMBER(F9276),C9276*F9276,"")</f>
        <v/>
      </c>
    </row>
    <row r="9277" spans="1:7" ht="12" customHeight="1" outlineLevel="2" x14ac:dyDescent="0.2">
      <c r="A9277" s="14" t="s">
        <v>18245</v>
      </c>
      <c r="B9277" s="15" t="s">
        <v>18246</v>
      </c>
      <c r="C9277" s="16">
        <f>704.52/(1+B2)</f>
        <v>704.52</v>
      </c>
      <c r="D9277" s="17" t="s">
        <v>11</v>
      </c>
      <c r="E9277" s="17" t="s">
        <v>11</v>
      </c>
      <c r="F9277" s="18"/>
      <c r="G9277" s="36" t="str">
        <f>IF(ISNUMBER(F9277),C9277*F9277,"")</f>
        <v/>
      </c>
    </row>
    <row r="9278" spans="1:7" ht="24" customHeight="1" outlineLevel="2" x14ac:dyDescent="0.2">
      <c r="A9278" s="14" t="s">
        <v>18247</v>
      </c>
      <c r="B9278" s="15" t="s">
        <v>18248</v>
      </c>
      <c r="C9278" s="19">
        <f>1581.78/(1+B2)</f>
        <v>1581.78</v>
      </c>
      <c r="D9278" s="17" t="s">
        <v>11</v>
      </c>
      <c r="E9278" s="17"/>
      <c r="F9278" s="18"/>
      <c r="G9278" s="36" t="str">
        <f>IF(ISNUMBER(F9278),C9278*F9278,"")</f>
        <v/>
      </c>
    </row>
    <row r="9279" spans="1:7" ht="24" customHeight="1" outlineLevel="2" x14ac:dyDescent="0.2">
      <c r="A9279" s="14" t="s">
        <v>18249</v>
      </c>
      <c r="B9279" s="15" t="s">
        <v>18250</v>
      </c>
      <c r="C9279" s="16">
        <f>863.03/(1+B2)</f>
        <v>863.03</v>
      </c>
      <c r="D9279" s="17" t="s">
        <v>11</v>
      </c>
      <c r="E9279" s="17"/>
      <c r="F9279" s="18"/>
      <c r="G9279" s="36" t="str">
        <f>IF(ISNUMBER(F9279),C9279*F9279,"")</f>
        <v/>
      </c>
    </row>
    <row r="9280" spans="1:7" ht="24" customHeight="1" outlineLevel="2" x14ac:dyDescent="0.2">
      <c r="A9280" s="14" t="s">
        <v>18251</v>
      </c>
      <c r="B9280" s="15" t="s">
        <v>18252</v>
      </c>
      <c r="C9280" s="19">
        <f>1383.06/(1+B2)</f>
        <v>1383.06</v>
      </c>
      <c r="D9280" s="17" t="s">
        <v>11</v>
      </c>
      <c r="E9280" s="17"/>
      <c r="F9280" s="18"/>
      <c r="G9280" s="36" t="str">
        <f>IF(ISNUMBER(F9280),C9280*F9280,"")</f>
        <v/>
      </c>
    </row>
    <row r="9281" spans="1:7" s="1" customFormat="1" ht="15.95" customHeight="1" outlineLevel="1" x14ac:dyDescent="0.25">
      <c r="A9281" s="11"/>
      <c r="B9281" s="12" t="s">
        <v>18253</v>
      </c>
      <c r="C9281" s="13"/>
      <c r="D9281" s="13"/>
      <c r="E9281" s="13"/>
      <c r="F9281" s="13"/>
      <c r="G9281" s="35"/>
    </row>
    <row r="9282" spans="1:7" ht="12" customHeight="1" outlineLevel="2" x14ac:dyDescent="0.2">
      <c r="A9282" s="14" t="s">
        <v>18254</v>
      </c>
      <c r="B9282" s="15" t="s">
        <v>18255</v>
      </c>
      <c r="C9282" s="16">
        <f>741.25/(1+B2)</f>
        <v>741.25</v>
      </c>
      <c r="D9282" s="17" t="s">
        <v>11</v>
      </c>
      <c r="E9282" s="17"/>
      <c r="F9282" s="18"/>
      <c r="G9282" s="36" t="str">
        <f>IF(ISNUMBER(F9282),C9282*F9282,"")</f>
        <v/>
      </c>
    </row>
    <row r="9283" spans="1:7" ht="24" customHeight="1" outlineLevel="2" x14ac:dyDescent="0.2">
      <c r="A9283" s="14" t="s">
        <v>18256</v>
      </c>
      <c r="B9283" s="15" t="s">
        <v>18257</v>
      </c>
      <c r="C9283" s="19">
        <f>2774.25/(1+B2)</f>
        <v>2774.25</v>
      </c>
      <c r="D9283" s="17" t="s">
        <v>11</v>
      </c>
      <c r="E9283" s="17" t="s">
        <v>53</v>
      </c>
      <c r="F9283" s="18"/>
      <c r="G9283" s="36" t="str">
        <f>IF(ISNUMBER(F9283),C9283*F9283,"")</f>
        <v/>
      </c>
    </row>
    <row r="9284" spans="1:7" ht="12" customHeight="1" outlineLevel="2" x14ac:dyDescent="0.2">
      <c r="A9284" s="14" t="s">
        <v>18258</v>
      </c>
      <c r="B9284" s="15" t="s">
        <v>18259</v>
      </c>
      <c r="C9284" s="19">
        <f>2760.75/(1+B2)</f>
        <v>2760.75</v>
      </c>
      <c r="D9284" s="17" t="s">
        <v>11</v>
      </c>
      <c r="E9284" s="17" t="s">
        <v>53</v>
      </c>
      <c r="F9284" s="18"/>
      <c r="G9284" s="36" t="str">
        <f>IF(ISNUMBER(F9284),C9284*F9284,"")</f>
        <v/>
      </c>
    </row>
    <row r="9285" spans="1:7" ht="12" customHeight="1" outlineLevel="2" x14ac:dyDescent="0.2">
      <c r="A9285" s="14" t="s">
        <v>18260</v>
      </c>
      <c r="B9285" s="15" t="s">
        <v>18261</v>
      </c>
      <c r="C9285" s="19">
        <f>2099.25/(1+B2)</f>
        <v>2099.25</v>
      </c>
      <c r="D9285" s="17" t="s">
        <v>11</v>
      </c>
      <c r="E9285" s="17" t="s">
        <v>14</v>
      </c>
      <c r="F9285" s="18"/>
      <c r="G9285" s="36" t="str">
        <f>IF(ISNUMBER(F9285),C9285*F9285,"")</f>
        <v/>
      </c>
    </row>
    <row r="9286" spans="1:7" ht="12" customHeight="1" outlineLevel="2" x14ac:dyDescent="0.2">
      <c r="A9286" s="14" t="s">
        <v>18262</v>
      </c>
      <c r="B9286" s="15" t="s">
        <v>18263</v>
      </c>
      <c r="C9286" s="19">
        <f>2693.25/(1+B2)</f>
        <v>2693.25</v>
      </c>
      <c r="D9286" s="17" t="s">
        <v>11</v>
      </c>
      <c r="E9286" s="17" t="s">
        <v>14</v>
      </c>
      <c r="F9286" s="18"/>
      <c r="G9286" s="36" t="str">
        <f>IF(ISNUMBER(F9286),C9286*F9286,"")</f>
        <v/>
      </c>
    </row>
    <row r="9287" spans="1:7" ht="12" customHeight="1" outlineLevel="2" x14ac:dyDescent="0.2">
      <c r="A9287" s="14" t="s">
        <v>18264</v>
      </c>
      <c r="B9287" s="15" t="s">
        <v>18265</v>
      </c>
      <c r="C9287" s="19">
        <f>1620/(1+B2)</f>
        <v>1620</v>
      </c>
      <c r="D9287" s="17" t="s">
        <v>11</v>
      </c>
      <c r="E9287" s="17" t="s">
        <v>11</v>
      </c>
      <c r="F9287" s="18"/>
      <c r="G9287" s="36" t="str">
        <f>IF(ISNUMBER(F9287),C9287*F9287,"")</f>
        <v/>
      </c>
    </row>
    <row r="9288" spans="1:7" ht="12" customHeight="1" outlineLevel="2" x14ac:dyDescent="0.2">
      <c r="A9288" s="14" t="s">
        <v>18266</v>
      </c>
      <c r="B9288" s="15" t="s">
        <v>18267</v>
      </c>
      <c r="C9288" s="19">
        <f>2436.75/(1+B2)</f>
        <v>2436.75</v>
      </c>
      <c r="D9288" s="17" t="s">
        <v>11</v>
      </c>
      <c r="E9288" s="17" t="s">
        <v>14</v>
      </c>
      <c r="F9288" s="18"/>
      <c r="G9288" s="36" t="str">
        <f>IF(ISNUMBER(F9288),C9288*F9288,"")</f>
        <v/>
      </c>
    </row>
    <row r="9289" spans="1:7" ht="12" customHeight="1" outlineLevel="2" x14ac:dyDescent="0.2">
      <c r="A9289" s="14" t="s">
        <v>18268</v>
      </c>
      <c r="B9289" s="15" t="s">
        <v>18269</v>
      </c>
      <c r="C9289" s="19">
        <f>2376/(1+B2)</f>
        <v>2376</v>
      </c>
      <c r="D9289" s="17" t="s">
        <v>11</v>
      </c>
      <c r="E9289" s="17" t="s">
        <v>14</v>
      </c>
      <c r="F9289" s="18"/>
      <c r="G9289" s="36" t="str">
        <f>IF(ISNUMBER(F9289),C9289*F9289,"")</f>
        <v/>
      </c>
    </row>
    <row r="9290" spans="1:7" ht="12" customHeight="1" outlineLevel="2" x14ac:dyDescent="0.2">
      <c r="A9290" s="14" t="s">
        <v>18270</v>
      </c>
      <c r="B9290" s="15" t="s">
        <v>18271</v>
      </c>
      <c r="C9290" s="19">
        <f>1964.25/(1+B2)</f>
        <v>1964.25</v>
      </c>
      <c r="D9290" s="17" t="s">
        <v>11</v>
      </c>
      <c r="E9290" s="17"/>
      <c r="F9290" s="18"/>
      <c r="G9290" s="36" t="str">
        <f>IF(ISNUMBER(F9290),C9290*F9290,"")</f>
        <v/>
      </c>
    </row>
    <row r="9291" spans="1:7" ht="12" customHeight="1" outlineLevel="2" x14ac:dyDescent="0.2">
      <c r="A9291" s="14" t="s">
        <v>18272</v>
      </c>
      <c r="B9291" s="15" t="s">
        <v>18273</v>
      </c>
      <c r="C9291" s="19">
        <f>2835/(1+B2)</f>
        <v>2835</v>
      </c>
      <c r="D9291" s="17" t="s">
        <v>11</v>
      </c>
      <c r="E9291" s="17" t="s">
        <v>11</v>
      </c>
      <c r="F9291" s="18"/>
      <c r="G9291" s="36" t="str">
        <f>IF(ISNUMBER(F9291),C9291*F9291,"")</f>
        <v/>
      </c>
    </row>
    <row r="9292" spans="1:7" ht="12" customHeight="1" outlineLevel="2" x14ac:dyDescent="0.2">
      <c r="A9292" s="14" t="s">
        <v>18274</v>
      </c>
      <c r="B9292" s="15" t="s">
        <v>18275</v>
      </c>
      <c r="C9292" s="19">
        <f>2490.75/(1+B2)</f>
        <v>2490.75</v>
      </c>
      <c r="D9292" s="17" t="s">
        <v>11</v>
      </c>
      <c r="E9292" s="17" t="s">
        <v>11</v>
      </c>
      <c r="F9292" s="18"/>
      <c r="G9292" s="36" t="str">
        <f>IF(ISNUMBER(F9292),C9292*F9292,"")</f>
        <v/>
      </c>
    </row>
    <row r="9293" spans="1:7" ht="12" customHeight="1" outlineLevel="2" x14ac:dyDescent="0.2">
      <c r="A9293" s="14" t="s">
        <v>18276</v>
      </c>
      <c r="B9293" s="15" t="s">
        <v>18277</v>
      </c>
      <c r="C9293" s="19">
        <f>3300.75/(1+B2)</f>
        <v>3300.75</v>
      </c>
      <c r="D9293" s="17" t="s">
        <v>11</v>
      </c>
      <c r="E9293" s="17" t="s">
        <v>11</v>
      </c>
      <c r="F9293" s="18"/>
      <c r="G9293" s="36" t="str">
        <f>IF(ISNUMBER(F9293),C9293*F9293,"")</f>
        <v/>
      </c>
    </row>
    <row r="9294" spans="1:7" ht="12" customHeight="1" outlineLevel="2" x14ac:dyDescent="0.2">
      <c r="A9294" s="14" t="s">
        <v>18278</v>
      </c>
      <c r="B9294" s="15" t="s">
        <v>18279</v>
      </c>
      <c r="C9294" s="19">
        <f>3334.5/(1+B2)</f>
        <v>3334.5</v>
      </c>
      <c r="D9294" s="17"/>
      <c r="E9294" s="17" t="s">
        <v>11</v>
      </c>
      <c r="F9294" s="18"/>
      <c r="G9294" s="36" t="str">
        <f>IF(ISNUMBER(F9294),C9294*F9294,"")</f>
        <v/>
      </c>
    </row>
    <row r="9295" spans="1:7" ht="12" customHeight="1" outlineLevel="2" x14ac:dyDescent="0.2">
      <c r="A9295" s="14" t="s">
        <v>18280</v>
      </c>
      <c r="B9295" s="15" t="s">
        <v>18281</v>
      </c>
      <c r="C9295" s="16">
        <f>884.25/(1+B2)</f>
        <v>884.25</v>
      </c>
      <c r="D9295" s="17" t="s">
        <v>11</v>
      </c>
      <c r="E9295" s="17" t="s">
        <v>11</v>
      </c>
      <c r="F9295" s="18"/>
      <c r="G9295" s="36" t="str">
        <f>IF(ISNUMBER(F9295),C9295*F9295,"")</f>
        <v/>
      </c>
    </row>
    <row r="9296" spans="1:7" ht="12" customHeight="1" outlineLevel="2" x14ac:dyDescent="0.2">
      <c r="A9296" s="14" t="s">
        <v>18282</v>
      </c>
      <c r="B9296" s="15" t="s">
        <v>18283</v>
      </c>
      <c r="C9296" s="16">
        <f>830.25/(1+B2)</f>
        <v>830.25</v>
      </c>
      <c r="D9296" s="17" t="s">
        <v>11</v>
      </c>
      <c r="E9296" s="17" t="s">
        <v>11</v>
      </c>
      <c r="F9296" s="18"/>
      <c r="G9296" s="36" t="str">
        <f>IF(ISNUMBER(F9296),C9296*F9296,"")</f>
        <v/>
      </c>
    </row>
    <row r="9297" spans="1:7" ht="12" customHeight="1" outlineLevel="2" x14ac:dyDescent="0.2">
      <c r="A9297" s="14" t="s">
        <v>18284</v>
      </c>
      <c r="B9297" s="15" t="s">
        <v>18285</v>
      </c>
      <c r="C9297" s="19">
        <f>1977.75/(1+B2)</f>
        <v>1977.75</v>
      </c>
      <c r="D9297" s="17" t="s">
        <v>11</v>
      </c>
      <c r="E9297" s="17" t="s">
        <v>11</v>
      </c>
      <c r="F9297" s="18"/>
      <c r="G9297" s="36" t="str">
        <f>IF(ISNUMBER(F9297),C9297*F9297,"")</f>
        <v/>
      </c>
    </row>
    <row r="9298" spans="1:7" ht="12" customHeight="1" outlineLevel="2" x14ac:dyDescent="0.2">
      <c r="A9298" s="14" t="s">
        <v>18286</v>
      </c>
      <c r="B9298" s="15" t="s">
        <v>18287</v>
      </c>
      <c r="C9298" s="19">
        <f>2538/(1+B2)</f>
        <v>2538</v>
      </c>
      <c r="D9298" s="17" t="s">
        <v>11</v>
      </c>
      <c r="E9298" s="17" t="s">
        <v>11</v>
      </c>
      <c r="F9298" s="18"/>
      <c r="G9298" s="36" t="str">
        <f>IF(ISNUMBER(F9298),C9298*F9298,"")</f>
        <v/>
      </c>
    </row>
    <row r="9299" spans="1:7" ht="12" customHeight="1" outlineLevel="2" x14ac:dyDescent="0.2">
      <c r="A9299" s="14" t="s">
        <v>18288</v>
      </c>
      <c r="B9299" s="15" t="s">
        <v>18289</v>
      </c>
      <c r="C9299" s="19">
        <f>2004.75/(1+B2)</f>
        <v>2004.75</v>
      </c>
      <c r="D9299" s="17" t="s">
        <v>11</v>
      </c>
      <c r="E9299" s="17" t="s">
        <v>11</v>
      </c>
      <c r="F9299" s="18"/>
      <c r="G9299" s="36" t="str">
        <f>IF(ISNUMBER(F9299),C9299*F9299,"")</f>
        <v/>
      </c>
    </row>
    <row r="9300" spans="1:7" ht="12" customHeight="1" outlineLevel="2" x14ac:dyDescent="0.2">
      <c r="A9300" s="14" t="s">
        <v>18290</v>
      </c>
      <c r="B9300" s="15" t="s">
        <v>18291</v>
      </c>
      <c r="C9300" s="16">
        <f>348.25/(1+B2)</f>
        <v>348.25</v>
      </c>
      <c r="D9300" s="17" t="s">
        <v>11</v>
      </c>
      <c r="E9300" s="17"/>
      <c r="F9300" s="18"/>
      <c r="G9300" s="36" t="str">
        <f>IF(ISNUMBER(F9300),C9300*F9300,"")</f>
        <v/>
      </c>
    </row>
    <row r="9301" spans="1:7" ht="12" customHeight="1" outlineLevel="2" x14ac:dyDescent="0.2">
      <c r="A9301" s="14" t="s">
        <v>18292</v>
      </c>
      <c r="B9301" s="15" t="s">
        <v>18293</v>
      </c>
      <c r="C9301" s="16">
        <f>239.73/(1+B2)</f>
        <v>239.73</v>
      </c>
      <c r="D9301" s="17" t="s">
        <v>11</v>
      </c>
      <c r="E9301" s="17"/>
      <c r="F9301" s="18"/>
      <c r="G9301" s="36" t="str">
        <f>IF(ISNUMBER(F9301),C9301*F9301,"")</f>
        <v/>
      </c>
    </row>
    <row r="9302" spans="1:7" ht="24" customHeight="1" outlineLevel="2" x14ac:dyDescent="0.2">
      <c r="A9302" s="14" t="s">
        <v>18294</v>
      </c>
      <c r="B9302" s="15" t="s">
        <v>18295</v>
      </c>
      <c r="C9302" s="16">
        <f>467.46/(1+B2)</f>
        <v>467.46</v>
      </c>
      <c r="D9302" s="17" t="s">
        <v>11</v>
      </c>
      <c r="E9302" s="17"/>
      <c r="F9302" s="18"/>
      <c r="G9302" s="36" t="str">
        <f>IF(ISNUMBER(F9302),C9302*F9302,"")</f>
        <v/>
      </c>
    </row>
    <row r="9303" spans="1:7" ht="12" customHeight="1" outlineLevel="2" x14ac:dyDescent="0.2">
      <c r="A9303" s="14" t="s">
        <v>18296</v>
      </c>
      <c r="B9303" s="15" t="s">
        <v>18297</v>
      </c>
      <c r="C9303" s="16">
        <f>329.4/(1+B2)</f>
        <v>329.4</v>
      </c>
      <c r="D9303" s="17" t="s">
        <v>14</v>
      </c>
      <c r="E9303" s="17" t="s">
        <v>14</v>
      </c>
      <c r="F9303" s="18"/>
      <c r="G9303" s="36" t="str">
        <f>IF(ISNUMBER(F9303),C9303*F9303,"")</f>
        <v/>
      </c>
    </row>
    <row r="9304" spans="1:7" ht="12" customHeight="1" outlineLevel="2" x14ac:dyDescent="0.2">
      <c r="A9304" s="14" t="s">
        <v>18298</v>
      </c>
      <c r="B9304" s="15" t="s">
        <v>18299</v>
      </c>
      <c r="C9304" s="16">
        <f>349.65/(1+B2)</f>
        <v>349.65</v>
      </c>
      <c r="D9304" s="17" t="s">
        <v>53</v>
      </c>
      <c r="E9304" s="17" t="s">
        <v>53</v>
      </c>
      <c r="F9304" s="18"/>
      <c r="G9304" s="36" t="str">
        <f>IF(ISNUMBER(F9304),C9304*F9304,"")</f>
        <v/>
      </c>
    </row>
    <row r="9305" spans="1:7" ht="24" customHeight="1" outlineLevel="2" x14ac:dyDescent="0.2">
      <c r="A9305" s="14" t="s">
        <v>18300</v>
      </c>
      <c r="B9305" s="15" t="s">
        <v>18301</v>
      </c>
      <c r="C9305" s="16">
        <f>199.84/(1+B2)</f>
        <v>199.84</v>
      </c>
      <c r="D9305" s="17" t="s">
        <v>11</v>
      </c>
      <c r="E9305" s="17"/>
      <c r="F9305" s="18"/>
      <c r="G9305" s="36" t="str">
        <f>IF(ISNUMBER(F9305),C9305*F9305,"")</f>
        <v/>
      </c>
    </row>
    <row r="9306" spans="1:7" ht="24" customHeight="1" outlineLevel="2" x14ac:dyDescent="0.2">
      <c r="A9306" s="14" t="s">
        <v>18302</v>
      </c>
      <c r="B9306" s="15" t="s">
        <v>18303</v>
      </c>
      <c r="C9306" s="16">
        <f>211.45/(1+B2)</f>
        <v>211.45</v>
      </c>
      <c r="D9306" s="17" t="s">
        <v>11</v>
      </c>
      <c r="E9306" s="17" t="s">
        <v>11</v>
      </c>
      <c r="F9306" s="18"/>
      <c r="G9306" s="36" t="str">
        <f>IF(ISNUMBER(F9306),C9306*F9306,"")</f>
        <v/>
      </c>
    </row>
    <row r="9307" spans="1:7" ht="24" customHeight="1" outlineLevel="2" x14ac:dyDescent="0.2">
      <c r="A9307" s="14" t="s">
        <v>18304</v>
      </c>
      <c r="B9307" s="15" t="s">
        <v>18305</v>
      </c>
      <c r="C9307" s="16">
        <f>228.38/(1+B2)</f>
        <v>228.38</v>
      </c>
      <c r="D9307" s="17" t="s">
        <v>11</v>
      </c>
      <c r="E9307" s="17"/>
      <c r="F9307" s="18"/>
      <c r="G9307" s="36" t="str">
        <f>IF(ISNUMBER(F9307),C9307*F9307,"")</f>
        <v/>
      </c>
    </row>
    <row r="9308" spans="1:7" ht="24" customHeight="1" outlineLevel="2" x14ac:dyDescent="0.2">
      <c r="A9308" s="14" t="s">
        <v>18306</v>
      </c>
      <c r="B9308" s="15" t="s">
        <v>18307</v>
      </c>
      <c r="C9308" s="16">
        <f>219.8/(1+B2)</f>
        <v>219.8</v>
      </c>
      <c r="D9308" s="17" t="s">
        <v>11</v>
      </c>
      <c r="E9308" s="17"/>
      <c r="F9308" s="18"/>
      <c r="G9308" s="36" t="str">
        <f>IF(ISNUMBER(F9308),C9308*F9308,"")</f>
        <v/>
      </c>
    </row>
    <row r="9309" spans="1:7" ht="24" customHeight="1" outlineLevel="2" x14ac:dyDescent="0.2">
      <c r="A9309" s="14" t="s">
        <v>18308</v>
      </c>
      <c r="B9309" s="15" t="s">
        <v>18309</v>
      </c>
      <c r="C9309" s="16">
        <f>235.24/(1+B2)</f>
        <v>235.24</v>
      </c>
      <c r="D9309" s="17" t="s">
        <v>11</v>
      </c>
      <c r="E9309" s="17"/>
      <c r="F9309" s="18"/>
      <c r="G9309" s="36" t="str">
        <f>IF(ISNUMBER(F9309),C9309*F9309,"")</f>
        <v/>
      </c>
    </row>
    <row r="9310" spans="1:7" ht="24" customHeight="1" outlineLevel="2" x14ac:dyDescent="0.2">
      <c r="A9310" s="14" t="s">
        <v>18310</v>
      </c>
      <c r="B9310" s="15" t="s">
        <v>18311</v>
      </c>
      <c r="C9310" s="16">
        <f>170.15/(1+B2)</f>
        <v>170.15</v>
      </c>
      <c r="D9310" s="17" t="s">
        <v>11</v>
      </c>
      <c r="E9310" s="17"/>
      <c r="F9310" s="18"/>
      <c r="G9310" s="36" t="str">
        <f>IF(ISNUMBER(F9310),C9310*F9310,"")</f>
        <v/>
      </c>
    </row>
    <row r="9311" spans="1:7" ht="24" customHeight="1" outlineLevel="2" x14ac:dyDescent="0.2">
      <c r="A9311" s="14" t="s">
        <v>18312</v>
      </c>
      <c r="B9311" s="15" t="s">
        <v>18313</v>
      </c>
      <c r="C9311" s="16">
        <f>154.97/(1+B2)</f>
        <v>154.97</v>
      </c>
      <c r="D9311" s="17" t="s">
        <v>14</v>
      </c>
      <c r="E9311" s="17"/>
      <c r="F9311" s="18"/>
      <c r="G9311" s="36" t="str">
        <f>IF(ISNUMBER(F9311),C9311*F9311,"")</f>
        <v/>
      </c>
    </row>
    <row r="9312" spans="1:7" ht="24" customHeight="1" outlineLevel="2" x14ac:dyDescent="0.2">
      <c r="A9312" s="14" t="s">
        <v>18314</v>
      </c>
      <c r="B9312" s="15" t="s">
        <v>18315</v>
      </c>
      <c r="C9312" s="16">
        <f>233.35/(1+B2)</f>
        <v>233.35</v>
      </c>
      <c r="D9312" s="17" t="s">
        <v>11</v>
      </c>
      <c r="E9312" s="17"/>
      <c r="F9312" s="18"/>
      <c r="G9312" s="36" t="str">
        <f>IF(ISNUMBER(F9312),C9312*F9312,"")</f>
        <v/>
      </c>
    </row>
    <row r="9313" spans="1:7" ht="24" customHeight="1" outlineLevel="2" x14ac:dyDescent="0.2">
      <c r="A9313" s="14" t="s">
        <v>18316</v>
      </c>
      <c r="B9313" s="15" t="s">
        <v>18317</v>
      </c>
      <c r="C9313" s="16">
        <f>208.03/(1+B2)</f>
        <v>208.03</v>
      </c>
      <c r="D9313" s="17" t="s">
        <v>11</v>
      </c>
      <c r="E9313" s="17"/>
      <c r="F9313" s="18"/>
      <c r="G9313" s="36" t="str">
        <f>IF(ISNUMBER(F9313),C9313*F9313,"")</f>
        <v/>
      </c>
    </row>
    <row r="9314" spans="1:7" ht="24" customHeight="1" outlineLevel="2" x14ac:dyDescent="0.2">
      <c r="A9314" s="14" t="s">
        <v>18318</v>
      </c>
      <c r="B9314" s="15" t="s">
        <v>18319</v>
      </c>
      <c r="C9314" s="16">
        <f>347.15/(1+B2)</f>
        <v>347.15</v>
      </c>
      <c r="D9314" s="17" t="s">
        <v>11</v>
      </c>
      <c r="E9314" s="17" t="s">
        <v>11</v>
      </c>
      <c r="F9314" s="18"/>
      <c r="G9314" s="36" t="str">
        <f>IF(ISNUMBER(F9314),C9314*F9314,"")</f>
        <v/>
      </c>
    </row>
    <row r="9315" spans="1:7" ht="24" customHeight="1" outlineLevel="2" x14ac:dyDescent="0.2">
      <c r="A9315" s="14" t="s">
        <v>18320</v>
      </c>
      <c r="B9315" s="15" t="s">
        <v>18321</v>
      </c>
      <c r="C9315" s="16">
        <f>293.98/(1+B2)</f>
        <v>293.98</v>
      </c>
      <c r="D9315" s="17" t="s">
        <v>11</v>
      </c>
      <c r="E9315" s="17"/>
      <c r="F9315" s="18"/>
      <c r="G9315" s="36" t="str">
        <f>IF(ISNUMBER(F9315),C9315*F9315,"")</f>
        <v/>
      </c>
    </row>
    <row r="9316" spans="1:7" s="1" customFormat="1" ht="15.95" customHeight="1" outlineLevel="1" x14ac:dyDescent="0.25">
      <c r="A9316" s="11"/>
      <c r="B9316" s="12" t="s">
        <v>18322</v>
      </c>
      <c r="C9316" s="13"/>
      <c r="D9316" s="13"/>
      <c r="E9316" s="13"/>
      <c r="F9316" s="13"/>
      <c r="G9316" s="35"/>
    </row>
    <row r="9317" spans="1:7" ht="12" customHeight="1" outlineLevel="2" x14ac:dyDescent="0.2">
      <c r="A9317" s="14" t="s">
        <v>18323</v>
      </c>
      <c r="B9317" s="15" t="s">
        <v>18324</v>
      </c>
      <c r="C9317" s="16">
        <f>331.44/(1+B2)</f>
        <v>331.44</v>
      </c>
      <c r="D9317" s="17" t="s">
        <v>11</v>
      </c>
      <c r="E9317" s="17" t="s">
        <v>11</v>
      </c>
      <c r="F9317" s="18"/>
      <c r="G9317" s="36" t="str">
        <f>IF(ISNUMBER(F9317),C9317*F9317,"")</f>
        <v/>
      </c>
    </row>
    <row r="9318" spans="1:7" ht="12" customHeight="1" outlineLevel="2" x14ac:dyDescent="0.2">
      <c r="A9318" s="14" t="s">
        <v>18325</v>
      </c>
      <c r="B9318" s="15" t="s">
        <v>18326</v>
      </c>
      <c r="C9318" s="16">
        <f>223.94/(1+B2)</f>
        <v>223.94</v>
      </c>
      <c r="D9318" s="17" t="s">
        <v>11</v>
      </c>
      <c r="E9318" s="17" t="s">
        <v>106</v>
      </c>
      <c r="F9318" s="18"/>
      <c r="G9318" s="36" t="str">
        <f>IF(ISNUMBER(F9318),C9318*F9318,"")</f>
        <v/>
      </c>
    </row>
    <row r="9319" spans="1:7" ht="12" customHeight="1" outlineLevel="2" x14ac:dyDescent="0.2">
      <c r="A9319" s="14" t="s">
        <v>18327</v>
      </c>
      <c r="B9319" s="15" t="s">
        <v>18328</v>
      </c>
      <c r="C9319" s="16">
        <f>158.58/(1+B2)</f>
        <v>158.58000000000001</v>
      </c>
      <c r="D9319" s="17" t="s">
        <v>11</v>
      </c>
      <c r="E9319" s="17" t="s">
        <v>11</v>
      </c>
      <c r="F9319" s="18"/>
      <c r="G9319" s="36" t="str">
        <f>IF(ISNUMBER(F9319),C9319*F9319,"")</f>
        <v/>
      </c>
    </row>
    <row r="9320" spans="1:7" ht="12" customHeight="1" outlineLevel="2" x14ac:dyDescent="0.2">
      <c r="A9320" s="14" t="s">
        <v>18329</v>
      </c>
      <c r="B9320" s="15" t="s">
        <v>18330</v>
      </c>
      <c r="C9320" s="16">
        <f>159.3/(1+B2)</f>
        <v>159.30000000000001</v>
      </c>
      <c r="D9320" s="17" t="s">
        <v>11</v>
      </c>
      <c r="E9320" s="17" t="s">
        <v>14</v>
      </c>
      <c r="F9320" s="18"/>
      <c r="G9320" s="36" t="str">
        <f>IF(ISNUMBER(F9320),C9320*F9320,"")</f>
        <v/>
      </c>
    </row>
    <row r="9321" spans="1:7" ht="12" customHeight="1" outlineLevel="2" x14ac:dyDescent="0.2">
      <c r="A9321" s="14" t="s">
        <v>18331</v>
      </c>
      <c r="B9321" s="15" t="s">
        <v>18332</v>
      </c>
      <c r="C9321" s="16">
        <f>216.48/(1+B2)</f>
        <v>216.48</v>
      </c>
      <c r="D9321" s="17" t="s">
        <v>11</v>
      </c>
      <c r="E9321" s="17"/>
      <c r="F9321" s="18"/>
      <c r="G9321" s="36" t="str">
        <f>IF(ISNUMBER(F9321),C9321*F9321,"")</f>
        <v/>
      </c>
    </row>
    <row r="9322" spans="1:7" ht="12" customHeight="1" outlineLevel="2" x14ac:dyDescent="0.2">
      <c r="A9322" s="14" t="s">
        <v>18333</v>
      </c>
      <c r="B9322" s="15" t="s">
        <v>18334</v>
      </c>
      <c r="C9322" s="16">
        <f>354.5/(1+B2)</f>
        <v>354.5</v>
      </c>
      <c r="D9322" s="17" t="s">
        <v>11</v>
      </c>
      <c r="E9322" s="17" t="s">
        <v>14</v>
      </c>
      <c r="F9322" s="18"/>
      <c r="G9322" s="36" t="str">
        <f>IF(ISNUMBER(F9322),C9322*F9322,"")</f>
        <v/>
      </c>
    </row>
    <row r="9323" spans="1:7" ht="12" customHeight="1" outlineLevel="2" x14ac:dyDescent="0.2">
      <c r="A9323" s="14" t="s">
        <v>18335</v>
      </c>
      <c r="B9323" s="15" t="s">
        <v>18336</v>
      </c>
      <c r="C9323" s="16">
        <f>370.8/(1+B2)</f>
        <v>370.8</v>
      </c>
      <c r="D9323" s="17" t="s">
        <v>11</v>
      </c>
      <c r="E9323" s="17" t="s">
        <v>11</v>
      </c>
      <c r="F9323" s="18"/>
      <c r="G9323" s="36" t="str">
        <f>IF(ISNUMBER(F9323),C9323*F9323,"")</f>
        <v/>
      </c>
    </row>
    <row r="9324" spans="1:7" ht="12" customHeight="1" outlineLevel="2" x14ac:dyDescent="0.2">
      <c r="A9324" s="14" t="s">
        <v>18337</v>
      </c>
      <c r="B9324" s="15" t="s">
        <v>18338</v>
      </c>
      <c r="C9324" s="16">
        <f>259.37/(1+B2)</f>
        <v>259.37</v>
      </c>
      <c r="D9324" s="17" t="s">
        <v>11</v>
      </c>
      <c r="E9324" s="17" t="s">
        <v>14</v>
      </c>
      <c r="F9324" s="18"/>
      <c r="G9324" s="36" t="str">
        <f>IF(ISNUMBER(F9324),C9324*F9324,"")</f>
        <v/>
      </c>
    </row>
    <row r="9325" spans="1:7" s="1" customFormat="1" ht="15.95" customHeight="1" outlineLevel="1" x14ac:dyDescent="0.25">
      <c r="A9325" s="11"/>
      <c r="B9325" s="12" t="s">
        <v>18339</v>
      </c>
      <c r="C9325" s="13"/>
      <c r="D9325" s="13"/>
      <c r="E9325" s="13"/>
      <c r="F9325" s="13"/>
      <c r="G9325" s="35"/>
    </row>
    <row r="9326" spans="1:7" ht="12" customHeight="1" outlineLevel="2" x14ac:dyDescent="0.2">
      <c r="A9326" s="14" t="s">
        <v>18340</v>
      </c>
      <c r="B9326" s="15" t="s">
        <v>18341</v>
      </c>
      <c r="C9326" s="16">
        <f>79.29/(1+B2)</f>
        <v>79.290000000000006</v>
      </c>
      <c r="D9326" s="17" t="s">
        <v>14</v>
      </c>
      <c r="E9326" s="17"/>
      <c r="F9326" s="18"/>
      <c r="G9326" s="36" t="str">
        <f>IF(ISNUMBER(F9326),C9326*F9326,"")</f>
        <v/>
      </c>
    </row>
    <row r="9327" spans="1:7" ht="12" customHeight="1" outlineLevel="2" x14ac:dyDescent="0.2">
      <c r="A9327" s="14" t="s">
        <v>18342</v>
      </c>
      <c r="B9327" s="15" t="s">
        <v>18343</v>
      </c>
      <c r="C9327" s="16">
        <f>50/(1+B2)</f>
        <v>50</v>
      </c>
      <c r="D9327" s="17" t="s">
        <v>14</v>
      </c>
      <c r="E9327" s="17"/>
      <c r="F9327" s="18"/>
      <c r="G9327" s="36" t="str">
        <f>IF(ISNUMBER(F9327),C9327*F9327,"")</f>
        <v/>
      </c>
    </row>
    <row r="9328" spans="1:7" ht="12" customHeight="1" outlineLevel="2" x14ac:dyDescent="0.2">
      <c r="A9328" s="14" t="s">
        <v>18344</v>
      </c>
      <c r="B9328" s="15" t="s">
        <v>18345</v>
      </c>
      <c r="C9328" s="16">
        <f>295.75/(1+B2)</f>
        <v>295.75</v>
      </c>
      <c r="D9328" s="17" t="s">
        <v>11</v>
      </c>
      <c r="E9328" s="17"/>
      <c r="F9328" s="18"/>
      <c r="G9328" s="36" t="str">
        <f>IF(ISNUMBER(F9328),C9328*F9328,"")</f>
        <v/>
      </c>
    </row>
    <row r="9329" spans="1:7" ht="12" customHeight="1" outlineLevel="2" x14ac:dyDescent="0.2">
      <c r="A9329" s="14" t="s">
        <v>18346</v>
      </c>
      <c r="B9329" s="15" t="s">
        <v>18347</v>
      </c>
      <c r="C9329" s="16">
        <f>512.72/(1+B2)</f>
        <v>512.72</v>
      </c>
      <c r="D9329" s="17" t="s">
        <v>11</v>
      </c>
      <c r="E9329" s="17" t="s">
        <v>11</v>
      </c>
      <c r="F9329" s="18"/>
      <c r="G9329" s="36" t="str">
        <f>IF(ISNUMBER(F9329),C9329*F9329,"")</f>
        <v/>
      </c>
    </row>
    <row r="9330" spans="1:7" s="1" customFormat="1" ht="15.95" customHeight="1" outlineLevel="1" x14ac:dyDescent="0.25">
      <c r="A9330" s="11"/>
      <c r="B9330" s="12" t="s">
        <v>18348</v>
      </c>
      <c r="C9330" s="13"/>
      <c r="D9330" s="13"/>
      <c r="E9330" s="13"/>
      <c r="F9330" s="13"/>
      <c r="G9330" s="35"/>
    </row>
    <row r="9331" spans="1:7" ht="12" customHeight="1" outlineLevel="2" x14ac:dyDescent="0.2">
      <c r="A9331" s="14" t="s">
        <v>18349</v>
      </c>
      <c r="B9331" s="15" t="s">
        <v>18350</v>
      </c>
      <c r="C9331" s="16">
        <f>25.06/(1+B2)</f>
        <v>25.06</v>
      </c>
      <c r="D9331" s="17" t="s">
        <v>53</v>
      </c>
      <c r="E9331" s="17"/>
      <c r="F9331" s="18"/>
      <c r="G9331" s="36" t="str">
        <f>IF(ISNUMBER(F9331),C9331*F9331,"")</f>
        <v/>
      </c>
    </row>
    <row r="9332" spans="1:7" ht="12" customHeight="1" outlineLevel="2" x14ac:dyDescent="0.2">
      <c r="A9332" s="14" t="s">
        <v>18351</v>
      </c>
      <c r="B9332" s="15" t="s">
        <v>18352</v>
      </c>
      <c r="C9332" s="16">
        <f>245.71/(1+B2)</f>
        <v>245.71</v>
      </c>
      <c r="D9332" s="17" t="s">
        <v>53</v>
      </c>
      <c r="E9332" s="17"/>
      <c r="F9332" s="18"/>
      <c r="G9332" s="36" t="str">
        <f>IF(ISNUMBER(F9332),C9332*F9332,"")</f>
        <v/>
      </c>
    </row>
    <row r="9333" spans="1:7" ht="12" customHeight="1" outlineLevel="2" x14ac:dyDescent="0.2">
      <c r="A9333" s="14" t="s">
        <v>18353</v>
      </c>
      <c r="B9333" s="15" t="s">
        <v>18354</v>
      </c>
      <c r="C9333" s="16">
        <f>25.06/(1+B2)</f>
        <v>25.06</v>
      </c>
      <c r="D9333" s="17" t="s">
        <v>106</v>
      </c>
      <c r="E9333" s="17" t="s">
        <v>53</v>
      </c>
      <c r="F9333" s="18"/>
      <c r="G9333" s="36" t="str">
        <f>IF(ISNUMBER(F9333),C9333*F9333,"")</f>
        <v/>
      </c>
    </row>
    <row r="9334" spans="1:7" ht="12" customHeight="1" outlineLevel="2" x14ac:dyDescent="0.2">
      <c r="A9334" s="14" t="s">
        <v>18355</v>
      </c>
      <c r="B9334" s="15" t="s">
        <v>18356</v>
      </c>
      <c r="C9334" s="16">
        <f>25.09/(1+B2)</f>
        <v>25.09</v>
      </c>
      <c r="D9334" s="17" t="s">
        <v>11</v>
      </c>
      <c r="E9334" s="17" t="s">
        <v>53</v>
      </c>
      <c r="F9334" s="18"/>
      <c r="G9334" s="36" t="str">
        <f>IF(ISNUMBER(F9334),C9334*F9334,"")</f>
        <v/>
      </c>
    </row>
    <row r="9335" spans="1:7" ht="12" customHeight="1" outlineLevel="2" x14ac:dyDescent="0.2">
      <c r="A9335" s="14" t="s">
        <v>18357</v>
      </c>
      <c r="B9335" s="15" t="s">
        <v>18358</v>
      </c>
      <c r="C9335" s="16">
        <f>51.49/(1+B2)</f>
        <v>51.49</v>
      </c>
      <c r="D9335" s="17" t="s">
        <v>14</v>
      </c>
      <c r="E9335" s="17"/>
      <c r="F9335" s="18"/>
      <c r="G9335" s="36" t="str">
        <f>IF(ISNUMBER(F9335),C9335*F9335,"")</f>
        <v/>
      </c>
    </row>
    <row r="9336" spans="1:7" ht="12" customHeight="1" outlineLevel="2" x14ac:dyDescent="0.2">
      <c r="A9336" s="14" t="s">
        <v>18359</v>
      </c>
      <c r="B9336" s="15" t="s">
        <v>18360</v>
      </c>
      <c r="C9336" s="16">
        <f>164.7/(1+B2)</f>
        <v>164.7</v>
      </c>
      <c r="D9336" s="17" t="s">
        <v>11</v>
      </c>
      <c r="E9336" s="17"/>
      <c r="F9336" s="18"/>
      <c r="G9336" s="36" t="str">
        <f>IF(ISNUMBER(F9336),C9336*F9336,"")</f>
        <v/>
      </c>
    </row>
    <row r="9337" spans="1:7" ht="12" customHeight="1" outlineLevel="2" x14ac:dyDescent="0.2">
      <c r="A9337" s="14" t="s">
        <v>18361</v>
      </c>
      <c r="B9337" s="15" t="s">
        <v>18362</v>
      </c>
      <c r="C9337" s="16">
        <f>37.03/(1+B2)</f>
        <v>37.03</v>
      </c>
      <c r="D9337" s="17" t="s">
        <v>14</v>
      </c>
      <c r="E9337" s="17" t="s">
        <v>106</v>
      </c>
      <c r="F9337" s="18"/>
      <c r="G9337" s="36" t="str">
        <f>IF(ISNUMBER(F9337),C9337*F9337,"")</f>
        <v/>
      </c>
    </row>
    <row r="9338" spans="1:7" ht="12" customHeight="1" outlineLevel="2" x14ac:dyDescent="0.2">
      <c r="A9338" s="14" t="s">
        <v>18363</v>
      </c>
      <c r="B9338" s="15" t="s">
        <v>18364</v>
      </c>
      <c r="C9338" s="16">
        <f>52.95/(1+B2)</f>
        <v>52.95</v>
      </c>
      <c r="D9338" s="17" t="s">
        <v>11</v>
      </c>
      <c r="E9338" s="17"/>
      <c r="F9338" s="18"/>
      <c r="G9338" s="36" t="str">
        <f>IF(ISNUMBER(F9338),C9338*F9338,"")</f>
        <v/>
      </c>
    </row>
    <row r="9339" spans="1:7" ht="12" customHeight="1" outlineLevel="2" x14ac:dyDescent="0.2">
      <c r="A9339" s="14" t="s">
        <v>18365</v>
      </c>
      <c r="B9339" s="15" t="s">
        <v>18366</v>
      </c>
      <c r="C9339" s="16">
        <f>108.48/(1+B2)</f>
        <v>108.48</v>
      </c>
      <c r="D9339" s="17" t="s">
        <v>11</v>
      </c>
      <c r="E9339" s="17" t="s">
        <v>11</v>
      </c>
      <c r="F9339" s="18"/>
      <c r="G9339" s="36" t="str">
        <f>IF(ISNUMBER(F9339),C9339*F9339,"")</f>
        <v/>
      </c>
    </row>
    <row r="9340" spans="1:7" ht="12" customHeight="1" outlineLevel="2" x14ac:dyDescent="0.2">
      <c r="A9340" s="14" t="s">
        <v>18367</v>
      </c>
      <c r="B9340" s="15" t="s">
        <v>18368</v>
      </c>
      <c r="C9340" s="16">
        <f>38.84/(1+B2)</f>
        <v>38.840000000000003</v>
      </c>
      <c r="D9340" s="17" t="s">
        <v>11</v>
      </c>
      <c r="E9340" s="17"/>
      <c r="F9340" s="18"/>
      <c r="G9340" s="36" t="str">
        <f>IF(ISNUMBER(F9340),C9340*F9340,"")</f>
        <v/>
      </c>
    </row>
    <row r="9341" spans="1:7" ht="12" customHeight="1" outlineLevel="2" x14ac:dyDescent="0.2">
      <c r="A9341" s="14" t="s">
        <v>18369</v>
      </c>
      <c r="B9341" s="15" t="s">
        <v>18370</v>
      </c>
      <c r="C9341" s="16">
        <f>57.1/(1+B2)</f>
        <v>57.1</v>
      </c>
      <c r="D9341" s="17" t="s">
        <v>11</v>
      </c>
      <c r="E9341" s="17" t="s">
        <v>53</v>
      </c>
      <c r="F9341" s="18"/>
      <c r="G9341" s="36" t="str">
        <f>IF(ISNUMBER(F9341),C9341*F9341,"")</f>
        <v/>
      </c>
    </row>
    <row r="9342" spans="1:7" ht="12" customHeight="1" outlineLevel="2" x14ac:dyDescent="0.2">
      <c r="A9342" s="14" t="s">
        <v>18371</v>
      </c>
      <c r="B9342" s="15" t="s">
        <v>18372</v>
      </c>
      <c r="C9342" s="16">
        <f>75/(1+B2)</f>
        <v>75</v>
      </c>
      <c r="D9342" s="17" t="s">
        <v>53</v>
      </c>
      <c r="E9342" s="17" t="s">
        <v>53</v>
      </c>
      <c r="F9342" s="18"/>
      <c r="G9342" s="36" t="str">
        <f>IF(ISNUMBER(F9342),C9342*F9342,"")</f>
        <v/>
      </c>
    </row>
    <row r="9343" spans="1:7" ht="12" customHeight="1" outlineLevel="2" x14ac:dyDescent="0.2">
      <c r="A9343" s="14" t="s">
        <v>18373</v>
      </c>
      <c r="B9343" s="15" t="s">
        <v>18374</v>
      </c>
      <c r="C9343" s="16">
        <f>55.96/(1+B2)</f>
        <v>55.96</v>
      </c>
      <c r="D9343" s="17" t="s">
        <v>11</v>
      </c>
      <c r="E9343" s="17" t="s">
        <v>11</v>
      </c>
      <c r="F9343" s="18"/>
      <c r="G9343" s="36" t="str">
        <f>IF(ISNUMBER(F9343),C9343*F9343,"")</f>
        <v/>
      </c>
    </row>
    <row r="9344" spans="1:7" ht="12" customHeight="1" outlineLevel="2" x14ac:dyDescent="0.2">
      <c r="A9344" s="14" t="s">
        <v>18375</v>
      </c>
      <c r="B9344" s="15" t="s">
        <v>18376</v>
      </c>
      <c r="C9344" s="16">
        <f>101.26/(1+B2)</f>
        <v>101.26</v>
      </c>
      <c r="D9344" s="17" t="s">
        <v>14</v>
      </c>
      <c r="E9344" s="17" t="s">
        <v>106</v>
      </c>
      <c r="F9344" s="18"/>
      <c r="G9344" s="36" t="str">
        <f>IF(ISNUMBER(F9344),C9344*F9344,"")</f>
        <v/>
      </c>
    </row>
    <row r="9345" spans="1:7" ht="12" customHeight="1" outlineLevel="2" x14ac:dyDescent="0.2">
      <c r="A9345" s="14" t="s">
        <v>18377</v>
      </c>
      <c r="B9345" s="15" t="s">
        <v>18378</v>
      </c>
      <c r="C9345" s="16">
        <f>31.88/(1+B2)</f>
        <v>31.88</v>
      </c>
      <c r="D9345" s="17" t="s">
        <v>106</v>
      </c>
      <c r="E9345" s="17"/>
      <c r="F9345" s="18"/>
      <c r="G9345" s="36" t="str">
        <f>IF(ISNUMBER(F9345),C9345*F9345,"")</f>
        <v/>
      </c>
    </row>
    <row r="9346" spans="1:7" ht="12" customHeight="1" outlineLevel="2" x14ac:dyDescent="0.2">
      <c r="A9346" s="14" t="s">
        <v>18379</v>
      </c>
      <c r="B9346" s="15" t="s">
        <v>18380</v>
      </c>
      <c r="C9346" s="16">
        <f>31.88/(1+B2)</f>
        <v>31.88</v>
      </c>
      <c r="D9346" s="17" t="s">
        <v>106</v>
      </c>
      <c r="E9346" s="17"/>
      <c r="F9346" s="18"/>
      <c r="G9346" s="36" t="str">
        <f>IF(ISNUMBER(F9346),C9346*F9346,"")</f>
        <v/>
      </c>
    </row>
    <row r="9347" spans="1:7" ht="12" customHeight="1" outlineLevel="2" x14ac:dyDescent="0.2">
      <c r="A9347" s="14" t="s">
        <v>18381</v>
      </c>
      <c r="B9347" s="15" t="s">
        <v>18382</v>
      </c>
      <c r="C9347" s="16">
        <f>31.25/(1+B2)</f>
        <v>31.25</v>
      </c>
      <c r="D9347" s="17" t="s">
        <v>106</v>
      </c>
      <c r="E9347" s="17"/>
      <c r="F9347" s="18"/>
      <c r="G9347" s="36" t="str">
        <f>IF(ISNUMBER(F9347),C9347*F9347,"")</f>
        <v/>
      </c>
    </row>
    <row r="9348" spans="1:7" ht="12" customHeight="1" outlineLevel="2" x14ac:dyDescent="0.2">
      <c r="A9348" s="14" t="s">
        <v>18383</v>
      </c>
      <c r="B9348" s="15" t="s">
        <v>18384</v>
      </c>
      <c r="C9348" s="16">
        <f>57.56/(1+B2)</f>
        <v>57.56</v>
      </c>
      <c r="D9348" s="17" t="s">
        <v>11</v>
      </c>
      <c r="E9348" s="17" t="s">
        <v>11</v>
      </c>
      <c r="F9348" s="18"/>
      <c r="G9348" s="36" t="str">
        <f>IF(ISNUMBER(F9348),C9348*F9348,"")</f>
        <v/>
      </c>
    </row>
    <row r="9349" spans="1:7" ht="12" customHeight="1" outlineLevel="2" x14ac:dyDescent="0.2">
      <c r="A9349" s="14" t="s">
        <v>18385</v>
      </c>
      <c r="B9349" s="15" t="s">
        <v>18386</v>
      </c>
      <c r="C9349" s="16">
        <f>160/(1+B2)</f>
        <v>160</v>
      </c>
      <c r="D9349" s="17" t="s">
        <v>11</v>
      </c>
      <c r="E9349" s="17" t="s">
        <v>53</v>
      </c>
      <c r="F9349" s="18"/>
      <c r="G9349" s="36" t="str">
        <f>IF(ISNUMBER(F9349),C9349*F9349,"")</f>
        <v/>
      </c>
    </row>
    <row r="9350" spans="1:7" ht="12" customHeight="1" outlineLevel="2" x14ac:dyDescent="0.2">
      <c r="A9350" s="14" t="s">
        <v>18387</v>
      </c>
      <c r="B9350" s="15" t="s">
        <v>18388</v>
      </c>
      <c r="C9350" s="16">
        <f>150/(1+B2)</f>
        <v>150</v>
      </c>
      <c r="D9350" s="17" t="s">
        <v>53</v>
      </c>
      <c r="E9350" s="17" t="s">
        <v>53</v>
      </c>
      <c r="F9350" s="18"/>
      <c r="G9350" s="36" t="str">
        <f>IF(ISNUMBER(F9350),C9350*F9350,"")</f>
        <v/>
      </c>
    </row>
    <row r="9351" spans="1:7" ht="12" customHeight="1" outlineLevel="2" x14ac:dyDescent="0.2">
      <c r="A9351" s="14" t="s">
        <v>18389</v>
      </c>
      <c r="B9351" s="15" t="s">
        <v>18390</v>
      </c>
      <c r="C9351" s="16">
        <f>25.63/(1+B2)</f>
        <v>25.63</v>
      </c>
      <c r="D9351" s="17" t="s">
        <v>53</v>
      </c>
      <c r="E9351" s="17"/>
      <c r="F9351" s="18"/>
      <c r="G9351" s="36" t="str">
        <f>IF(ISNUMBER(F9351),C9351*F9351,"")</f>
        <v/>
      </c>
    </row>
    <row r="9352" spans="1:7" ht="12" customHeight="1" outlineLevel="2" x14ac:dyDescent="0.2">
      <c r="A9352" s="14" t="s">
        <v>18391</v>
      </c>
      <c r="B9352" s="15" t="s">
        <v>18392</v>
      </c>
      <c r="C9352" s="16">
        <f>17.5/(1+B2)</f>
        <v>17.5</v>
      </c>
      <c r="D9352" s="17" t="s">
        <v>11</v>
      </c>
      <c r="E9352" s="17"/>
      <c r="F9352" s="18"/>
      <c r="G9352" s="36" t="str">
        <f>IF(ISNUMBER(F9352),C9352*F9352,"")</f>
        <v/>
      </c>
    </row>
    <row r="9353" spans="1:7" ht="12" customHeight="1" outlineLevel="2" x14ac:dyDescent="0.2">
      <c r="A9353" s="14" t="s">
        <v>18393</v>
      </c>
      <c r="B9353" s="15" t="s">
        <v>18394</v>
      </c>
      <c r="C9353" s="16">
        <f>23.75/(1+B2)</f>
        <v>23.75</v>
      </c>
      <c r="D9353" s="17" t="s">
        <v>106</v>
      </c>
      <c r="E9353" s="17" t="s">
        <v>53</v>
      </c>
      <c r="F9353" s="18"/>
      <c r="G9353" s="36" t="str">
        <f>IF(ISNUMBER(F9353),C9353*F9353,"")</f>
        <v/>
      </c>
    </row>
    <row r="9354" spans="1:7" ht="12" customHeight="1" outlineLevel="2" x14ac:dyDescent="0.2">
      <c r="A9354" s="14" t="s">
        <v>18395</v>
      </c>
      <c r="B9354" s="15" t="s">
        <v>18396</v>
      </c>
      <c r="C9354" s="16">
        <f>21.25/(1+B2)</f>
        <v>21.25</v>
      </c>
      <c r="D9354" s="17" t="s">
        <v>14</v>
      </c>
      <c r="E9354" s="17"/>
      <c r="F9354" s="18"/>
      <c r="G9354" s="36" t="str">
        <f>IF(ISNUMBER(F9354),C9354*F9354,"")</f>
        <v/>
      </c>
    </row>
    <row r="9355" spans="1:7" ht="12" customHeight="1" outlineLevel="2" x14ac:dyDescent="0.2">
      <c r="A9355" s="14" t="s">
        <v>18397</v>
      </c>
      <c r="B9355" s="15" t="s">
        <v>18398</v>
      </c>
      <c r="C9355" s="16">
        <f>35/(1+B2)</f>
        <v>35</v>
      </c>
      <c r="D9355" s="17" t="s">
        <v>53</v>
      </c>
      <c r="E9355" s="17"/>
      <c r="F9355" s="18"/>
      <c r="G9355" s="36" t="str">
        <f>IF(ISNUMBER(F9355),C9355*F9355,"")</f>
        <v/>
      </c>
    </row>
    <row r="9356" spans="1:7" ht="12" customHeight="1" outlineLevel="2" x14ac:dyDescent="0.2">
      <c r="A9356" s="14" t="s">
        <v>18399</v>
      </c>
      <c r="B9356" s="15" t="s">
        <v>18400</v>
      </c>
      <c r="C9356" s="16">
        <f>22.5/(1+B2)</f>
        <v>22.5</v>
      </c>
      <c r="D9356" s="17" t="s">
        <v>106</v>
      </c>
      <c r="E9356" s="17" t="s">
        <v>106</v>
      </c>
      <c r="F9356" s="18"/>
      <c r="G9356" s="36" t="str">
        <f>IF(ISNUMBER(F9356),C9356*F9356,"")</f>
        <v/>
      </c>
    </row>
    <row r="9357" spans="1:7" ht="12" customHeight="1" outlineLevel="2" x14ac:dyDescent="0.2">
      <c r="A9357" s="14" t="s">
        <v>18401</v>
      </c>
      <c r="B9357" s="15" t="s">
        <v>18402</v>
      </c>
      <c r="C9357" s="16">
        <f>33.13/(1+B2)</f>
        <v>33.130000000000003</v>
      </c>
      <c r="D9357" s="17" t="s">
        <v>106</v>
      </c>
      <c r="E9357" s="17"/>
      <c r="F9357" s="18"/>
      <c r="G9357" s="36" t="str">
        <f>IF(ISNUMBER(F9357),C9357*F9357,"")</f>
        <v/>
      </c>
    </row>
    <row r="9358" spans="1:7" ht="12" customHeight="1" outlineLevel="2" x14ac:dyDescent="0.2">
      <c r="A9358" s="14" t="s">
        <v>18403</v>
      </c>
      <c r="B9358" s="15" t="s">
        <v>18404</v>
      </c>
      <c r="C9358" s="16">
        <f>26.88/(1+B2)</f>
        <v>26.88</v>
      </c>
      <c r="D9358" s="17" t="s">
        <v>53</v>
      </c>
      <c r="E9358" s="17" t="s">
        <v>53</v>
      </c>
      <c r="F9358" s="18"/>
      <c r="G9358" s="36" t="str">
        <f>IF(ISNUMBER(F9358),C9358*F9358,"")</f>
        <v/>
      </c>
    </row>
    <row r="9359" spans="1:7" ht="12" customHeight="1" outlineLevel="2" x14ac:dyDescent="0.2">
      <c r="A9359" s="14" t="s">
        <v>18405</v>
      </c>
      <c r="B9359" s="15" t="s">
        <v>18406</v>
      </c>
      <c r="C9359" s="16">
        <f>23.75/(1+B2)</f>
        <v>23.75</v>
      </c>
      <c r="D9359" s="17" t="s">
        <v>106</v>
      </c>
      <c r="E9359" s="17" t="s">
        <v>53</v>
      </c>
      <c r="F9359" s="18"/>
      <c r="G9359" s="36" t="str">
        <f>IF(ISNUMBER(F9359),C9359*F9359,"")</f>
        <v/>
      </c>
    </row>
    <row r="9360" spans="1:7" ht="24" customHeight="1" outlineLevel="2" x14ac:dyDescent="0.2">
      <c r="A9360" s="14" t="s">
        <v>18407</v>
      </c>
      <c r="B9360" s="15" t="s">
        <v>18408</v>
      </c>
      <c r="C9360" s="16">
        <f>55.79/(1+B2)</f>
        <v>55.79</v>
      </c>
      <c r="D9360" s="17" t="s">
        <v>11</v>
      </c>
      <c r="E9360" s="17" t="s">
        <v>53</v>
      </c>
      <c r="F9360" s="18"/>
      <c r="G9360" s="36" t="str">
        <f>IF(ISNUMBER(F9360),C9360*F9360,"")</f>
        <v/>
      </c>
    </row>
    <row r="9361" spans="1:7" ht="24" customHeight="1" outlineLevel="2" x14ac:dyDescent="0.2">
      <c r="A9361" s="14" t="s">
        <v>18409</v>
      </c>
      <c r="B9361" s="15" t="s">
        <v>18410</v>
      </c>
      <c r="C9361" s="16">
        <f>126.78/(1+B2)</f>
        <v>126.78</v>
      </c>
      <c r="D9361" s="17" t="s">
        <v>53</v>
      </c>
      <c r="E9361" s="17"/>
      <c r="F9361" s="18"/>
      <c r="G9361" s="36" t="str">
        <f>IF(ISNUMBER(F9361),C9361*F9361,"")</f>
        <v/>
      </c>
    </row>
    <row r="9362" spans="1:7" ht="24" customHeight="1" outlineLevel="2" x14ac:dyDescent="0.2">
      <c r="A9362" s="14" t="s">
        <v>18411</v>
      </c>
      <c r="B9362" s="15" t="s">
        <v>18412</v>
      </c>
      <c r="C9362" s="16">
        <f>117.03/(1+B2)</f>
        <v>117.03</v>
      </c>
      <c r="D9362" s="17" t="s">
        <v>14</v>
      </c>
      <c r="E9362" s="17"/>
      <c r="F9362" s="18"/>
      <c r="G9362" s="36" t="str">
        <f>IF(ISNUMBER(F9362),C9362*F9362,"")</f>
        <v/>
      </c>
    </row>
    <row r="9363" spans="1:7" ht="24" customHeight="1" outlineLevel="2" x14ac:dyDescent="0.2">
      <c r="A9363" s="14" t="s">
        <v>18413</v>
      </c>
      <c r="B9363" s="15" t="s">
        <v>18414</v>
      </c>
      <c r="C9363" s="16">
        <f>91.21/(1+B2)</f>
        <v>91.21</v>
      </c>
      <c r="D9363" s="17" t="s">
        <v>53</v>
      </c>
      <c r="E9363" s="17" t="s">
        <v>106</v>
      </c>
      <c r="F9363" s="18"/>
      <c r="G9363" s="36" t="str">
        <f>IF(ISNUMBER(F9363),C9363*F9363,"")</f>
        <v/>
      </c>
    </row>
    <row r="9364" spans="1:7" ht="24" customHeight="1" outlineLevel="2" x14ac:dyDescent="0.2">
      <c r="A9364" s="14" t="s">
        <v>18415</v>
      </c>
      <c r="B9364" s="15" t="s">
        <v>18416</v>
      </c>
      <c r="C9364" s="16">
        <f>183.05/(1+B2)</f>
        <v>183.05</v>
      </c>
      <c r="D9364" s="17" t="s">
        <v>11</v>
      </c>
      <c r="E9364" s="17"/>
      <c r="F9364" s="18"/>
      <c r="G9364" s="36" t="str">
        <f>IF(ISNUMBER(F9364),C9364*F9364,"")</f>
        <v/>
      </c>
    </row>
    <row r="9365" spans="1:7" ht="12" customHeight="1" outlineLevel="2" x14ac:dyDescent="0.2">
      <c r="A9365" s="14" t="s">
        <v>18417</v>
      </c>
      <c r="B9365" s="15" t="s">
        <v>18418</v>
      </c>
      <c r="C9365" s="16">
        <f>39.97/(1+B2)</f>
        <v>39.97</v>
      </c>
      <c r="D9365" s="17" t="s">
        <v>11</v>
      </c>
      <c r="E9365" s="17" t="s">
        <v>14</v>
      </c>
      <c r="F9365" s="18"/>
      <c r="G9365" s="36" t="str">
        <f>IF(ISNUMBER(F9365),C9365*F9365,"")</f>
        <v/>
      </c>
    </row>
    <row r="9366" spans="1:7" ht="12" customHeight="1" outlineLevel="2" x14ac:dyDescent="0.2">
      <c r="A9366" s="14" t="s">
        <v>18419</v>
      </c>
      <c r="B9366" s="15" t="s">
        <v>18420</v>
      </c>
      <c r="C9366" s="16">
        <f>36.54/(1+B2)</f>
        <v>36.54</v>
      </c>
      <c r="D9366" s="17" t="s">
        <v>11</v>
      </c>
      <c r="E9366" s="17" t="s">
        <v>14</v>
      </c>
      <c r="F9366" s="18"/>
      <c r="G9366" s="36" t="str">
        <f>IF(ISNUMBER(F9366),C9366*F9366,"")</f>
        <v/>
      </c>
    </row>
    <row r="9367" spans="1:7" ht="12" customHeight="1" outlineLevel="2" x14ac:dyDescent="0.2">
      <c r="A9367" s="14" t="s">
        <v>18421</v>
      </c>
      <c r="B9367" s="15" t="s">
        <v>18422</v>
      </c>
      <c r="C9367" s="16">
        <f>213.4/(1+B2)</f>
        <v>213.4</v>
      </c>
      <c r="D9367" s="17" t="s">
        <v>11</v>
      </c>
      <c r="E9367" s="17"/>
      <c r="F9367" s="18"/>
      <c r="G9367" s="36" t="str">
        <f>IF(ISNUMBER(F9367),C9367*F9367,"")</f>
        <v/>
      </c>
    </row>
    <row r="9368" spans="1:7" ht="12" customHeight="1" outlineLevel="2" x14ac:dyDescent="0.2">
      <c r="A9368" s="14" t="s">
        <v>18423</v>
      </c>
      <c r="B9368" s="15" t="s">
        <v>18424</v>
      </c>
      <c r="C9368" s="16">
        <f>213.4/(1+B2)</f>
        <v>213.4</v>
      </c>
      <c r="D9368" s="17" t="s">
        <v>14</v>
      </c>
      <c r="E9368" s="17"/>
      <c r="F9368" s="18"/>
      <c r="G9368" s="36" t="str">
        <f>IF(ISNUMBER(F9368),C9368*F9368,"")</f>
        <v/>
      </c>
    </row>
    <row r="9369" spans="1:7" ht="12" customHeight="1" outlineLevel="2" x14ac:dyDescent="0.2">
      <c r="A9369" s="14" t="s">
        <v>18425</v>
      </c>
      <c r="B9369" s="15" t="s">
        <v>18426</v>
      </c>
      <c r="C9369" s="16">
        <f>57.34/(1+B2)</f>
        <v>57.34</v>
      </c>
      <c r="D9369" s="17" t="s">
        <v>11</v>
      </c>
      <c r="E9369" s="17" t="s">
        <v>11</v>
      </c>
      <c r="F9369" s="18"/>
      <c r="G9369" s="36" t="str">
        <f>IF(ISNUMBER(F9369),C9369*F9369,"")</f>
        <v/>
      </c>
    </row>
    <row r="9370" spans="1:7" ht="12" customHeight="1" outlineLevel="2" x14ac:dyDescent="0.2">
      <c r="A9370" s="14" t="s">
        <v>18427</v>
      </c>
      <c r="B9370" s="15" t="s">
        <v>18428</v>
      </c>
      <c r="C9370" s="16">
        <f>63.22/(1+B2)</f>
        <v>63.22</v>
      </c>
      <c r="D9370" s="17" t="s">
        <v>11</v>
      </c>
      <c r="E9370" s="17" t="s">
        <v>11</v>
      </c>
      <c r="F9370" s="18"/>
      <c r="G9370" s="36" t="str">
        <f>IF(ISNUMBER(F9370),C9370*F9370,"")</f>
        <v/>
      </c>
    </row>
    <row r="9371" spans="1:7" ht="24" customHeight="1" outlineLevel="2" x14ac:dyDescent="0.2">
      <c r="A9371" s="14" t="s">
        <v>18429</v>
      </c>
      <c r="B9371" s="15" t="s">
        <v>18430</v>
      </c>
      <c r="C9371" s="16">
        <f>692.28/(1+B2)</f>
        <v>692.28</v>
      </c>
      <c r="D9371" s="17" t="s">
        <v>11</v>
      </c>
      <c r="E9371" s="17"/>
      <c r="F9371" s="18"/>
      <c r="G9371" s="36" t="str">
        <f>IF(ISNUMBER(F9371),C9371*F9371,"")</f>
        <v/>
      </c>
    </row>
    <row r="9372" spans="1:7" ht="24" customHeight="1" outlineLevel="2" x14ac:dyDescent="0.2">
      <c r="A9372" s="14" t="s">
        <v>18431</v>
      </c>
      <c r="B9372" s="15" t="s">
        <v>18432</v>
      </c>
      <c r="C9372" s="16">
        <f>417.6/(1+B2)</f>
        <v>417.6</v>
      </c>
      <c r="D9372" s="17" t="s">
        <v>11</v>
      </c>
      <c r="E9372" s="17" t="s">
        <v>14</v>
      </c>
      <c r="F9372" s="18"/>
      <c r="G9372" s="36" t="str">
        <f>IF(ISNUMBER(F9372),C9372*F9372,"")</f>
        <v/>
      </c>
    </row>
    <row r="9373" spans="1:7" ht="24" customHeight="1" outlineLevel="2" x14ac:dyDescent="0.2">
      <c r="A9373" s="14" t="s">
        <v>18433</v>
      </c>
      <c r="B9373" s="15" t="s">
        <v>18434</v>
      </c>
      <c r="C9373" s="16">
        <f>571.16/(1+B2)</f>
        <v>571.16</v>
      </c>
      <c r="D9373" s="17" t="s">
        <v>11</v>
      </c>
      <c r="E9373" s="17" t="s">
        <v>11</v>
      </c>
      <c r="F9373" s="18"/>
      <c r="G9373" s="36" t="str">
        <f>IF(ISNUMBER(F9373),C9373*F9373,"")</f>
        <v/>
      </c>
    </row>
    <row r="9374" spans="1:7" ht="12" customHeight="1" outlineLevel="2" x14ac:dyDescent="0.2">
      <c r="A9374" s="14" t="s">
        <v>18435</v>
      </c>
      <c r="B9374" s="15" t="s">
        <v>18436</v>
      </c>
      <c r="C9374" s="16">
        <f>117.13/(1+B2)</f>
        <v>117.13</v>
      </c>
      <c r="D9374" s="17" t="s">
        <v>11</v>
      </c>
      <c r="E9374" s="17" t="s">
        <v>14</v>
      </c>
      <c r="F9374" s="18"/>
      <c r="G9374" s="36" t="str">
        <f>IF(ISNUMBER(F9374),C9374*F9374,"")</f>
        <v/>
      </c>
    </row>
    <row r="9375" spans="1:7" ht="12" customHeight="1" outlineLevel="2" x14ac:dyDescent="0.2">
      <c r="A9375" s="14" t="s">
        <v>18437</v>
      </c>
      <c r="B9375" s="15" t="s">
        <v>18438</v>
      </c>
      <c r="C9375" s="16">
        <f>108.48/(1+B2)</f>
        <v>108.48</v>
      </c>
      <c r="D9375" s="17" t="s">
        <v>11</v>
      </c>
      <c r="E9375" s="17" t="s">
        <v>14</v>
      </c>
      <c r="F9375" s="18"/>
      <c r="G9375" s="36" t="str">
        <f>IF(ISNUMBER(F9375),C9375*F9375,"")</f>
        <v/>
      </c>
    </row>
    <row r="9376" spans="1:7" ht="12" customHeight="1" outlineLevel="2" x14ac:dyDescent="0.2">
      <c r="A9376" s="14" t="s">
        <v>18439</v>
      </c>
      <c r="B9376" s="15" t="s">
        <v>18440</v>
      </c>
      <c r="C9376" s="16">
        <f>203.7/(1+B2)</f>
        <v>203.7</v>
      </c>
      <c r="D9376" s="17" t="s">
        <v>11</v>
      </c>
      <c r="E9376" s="17"/>
      <c r="F9376" s="18"/>
      <c r="G9376" s="36" t="str">
        <f>IF(ISNUMBER(F9376),C9376*F9376,"")</f>
        <v/>
      </c>
    </row>
    <row r="9377" spans="1:7" ht="12" customHeight="1" outlineLevel="2" x14ac:dyDescent="0.2">
      <c r="A9377" s="14" t="s">
        <v>18441</v>
      </c>
      <c r="B9377" s="15" t="s">
        <v>18442</v>
      </c>
      <c r="C9377" s="16">
        <f>168.01/(1+B2)</f>
        <v>168.01</v>
      </c>
      <c r="D9377" s="17" t="s">
        <v>11</v>
      </c>
      <c r="E9377" s="17"/>
      <c r="F9377" s="18"/>
      <c r="G9377" s="36" t="str">
        <f>IF(ISNUMBER(F9377),C9377*F9377,"")</f>
        <v/>
      </c>
    </row>
    <row r="9378" spans="1:7" ht="12" customHeight="1" outlineLevel="2" x14ac:dyDescent="0.2">
      <c r="A9378" s="14" t="s">
        <v>18443</v>
      </c>
      <c r="B9378" s="15" t="s">
        <v>18444</v>
      </c>
      <c r="C9378" s="16">
        <f>51.79/(1+B2)</f>
        <v>51.79</v>
      </c>
      <c r="D9378" s="17" t="s">
        <v>11</v>
      </c>
      <c r="E9378" s="17"/>
      <c r="F9378" s="18"/>
      <c r="G9378" s="36" t="str">
        <f>IF(ISNUMBER(F9378),C9378*F9378,"")</f>
        <v/>
      </c>
    </row>
    <row r="9379" spans="1:7" s="1" customFormat="1" ht="15.95" customHeight="1" outlineLevel="1" x14ac:dyDescent="0.25">
      <c r="A9379" s="11"/>
      <c r="B9379" s="12" t="s">
        <v>18445</v>
      </c>
      <c r="C9379" s="13"/>
      <c r="D9379" s="13"/>
      <c r="E9379" s="13"/>
      <c r="F9379" s="13"/>
      <c r="G9379" s="35"/>
    </row>
    <row r="9380" spans="1:7" ht="24" customHeight="1" outlineLevel="2" x14ac:dyDescent="0.2">
      <c r="A9380" s="14" t="s">
        <v>18446</v>
      </c>
      <c r="B9380" s="15" t="s">
        <v>18447</v>
      </c>
      <c r="C9380" s="16">
        <f>128.51/(1+B2)</f>
        <v>128.51</v>
      </c>
      <c r="D9380" s="17" t="s">
        <v>11</v>
      </c>
      <c r="E9380" s="17"/>
      <c r="F9380" s="18"/>
      <c r="G9380" s="36" t="str">
        <f>IF(ISNUMBER(F9380),C9380*F9380,"")</f>
        <v/>
      </c>
    </row>
    <row r="9381" spans="1:7" ht="24" customHeight="1" outlineLevel="2" x14ac:dyDescent="0.2">
      <c r="A9381" s="14" t="s">
        <v>18448</v>
      </c>
      <c r="B9381" s="15" t="s">
        <v>18449</v>
      </c>
      <c r="C9381" s="16">
        <f>138.16/(1+B2)</f>
        <v>138.16</v>
      </c>
      <c r="D9381" s="17" t="s">
        <v>11</v>
      </c>
      <c r="E9381" s="17" t="s">
        <v>14</v>
      </c>
      <c r="F9381" s="18"/>
      <c r="G9381" s="36" t="str">
        <f>IF(ISNUMBER(F9381),C9381*F9381,"")</f>
        <v/>
      </c>
    </row>
    <row r="9382" spans="1:7" ht="12" customHeight="1" outlineLevel="2" x14ac:dyDescent="0.2">
      <c r="A9382" s="14" t="s">
        <v>18450</v>
      </c>
      <c r="B9382" s="15" t="s">
        <v>18451</v>
      </c>
      <c r="C9382" s="16">
        <f>701.65/(1+B2)</f>
        <v>701.65</v>
      </c>
      <c r="D9382" s="17" t="s">
        <v>11</v>
      </c>
      <c r="E9382" s="17"/>
      <c r="F9382" s="18"/>
      <c r="G9382" s="36" t="str">
        <f>IF(ISNUMBER(F9382),C9382*F9382,"")</f>
        <v/>
      </c>
    </row>
    <row r="9383" spans="1:7" ht="24" customHeight="1" outlineLevel="2" x14ac:dyDescent="0.2">
      <c r="A9383" s="14" t="s">
        <v>18452</v>
      </c>
      <c r="B9383" s="15" t="s">
        <v>18453</v>
      </c>
      <c r="C9383" s="19">
        <f>1895.33/(1+B2)</f>
        <v>1895.33</v>
      </c>
      <c r="D9383" s="17" t="s">
        <v>11</v>
      </c>
      <c r="E9383" s="17"/>
      <c r="F9383" s="18"/>
      <c r="G9383" s="36" t="str">
        <f>IF(ISNUMBER(F9383),C9383*F9383,"")</f>
        <v/>
      </c>
    </row>
    <row r="9384" spans="1:7" ht="24" customHeight="1" outlineLevel="2" x14ac:dyDescent="0.2">
      <c r="A9384" s="14" t="s">
        <v>18454</v>
      </c>
      <c r="B9384" s="15" t="s">
        <v>18455</v>
      </c>
      <c r="C9384" s="16">
        <f>451.06/(1+B2)</f>
        <v>451.06</v>
      </c>
      <c r="D9384" s="17" t="s">
        <v>11</v>
      </c>
      <c r="E9384" s="17" t="s">
        <v>11</v>
      </c>
      <c r="F9384" s="18"/>
      <c r="G9384" s="36" t="str">
        <f>IF(ISNUMBER(F9384),C9384*F9384,"")</f>
        <v/>
      </c>
    </row>
    <row r="9385" spans="1:7" ht="12" customHeight="1" outlineLevel="2" x14ac:dyDescent="0.2">
      <c r="A9385" s="14" t="s">
        <v>18456</v>
      </c>
      <c r="B9385" s="15" t="s">
        <v>18457</v>
      </c>
      <c r="C9385" s="16">
        <f>308.32/(1+B2)</f>
        <v>308.32</v>
      </c>
      <c r="D9385" s="17" t="s">
        <v>11</v>
      </c>
      <c r="E9385" s="17" t="s">
        <v>11</v>
      </c>
      <c r="F9385" s="18"/>
      <c r="G9385" s="36" t="str">
        <f>IF(ISNUMBER(F9385),C9385*F9385,"")</f>
        <v/>
      </c>
    </row>
    <row r="9386" spans="1:7" ht="12" customHeight="1" outlineLevel="2" x14ac:dyDescent="0.2">
      <c r="A9386" s="14" t="s">
        <v>18458</v>
      </c>
      <c r="B9386" s="15" t="s">
        <v>18459</v>
      </c>
      <c r="C9386" s="16">
        <f>416.8/(1+B2)</f>
        <v>416.8</v>
      </c>
      <c r="D9386" s="17" t="s">
        <v>11</v>
      </c>
      <c r="E9386" s="17"/>
      <c r="F9386" s="18"/>
      <c r="G9386" s="36" t="str">
        <f>IF(ISNUMBER(F9386),C9386*F9386,"")</f>
        <v/>
      </c>
    </row>
    <row r="9387" spans="1:7" ht="24" customHeight="1" outlineLevel="2" x14ac:dyDescent="0.2">
      <c r="A9387" s="14" t="s">
        <v>18460</v>
      </c>
      <c r="B9387" s="15" t="s">
        <v>18461</v>
      </c>
      <c r="C9387" s="16">
        <f>428.22/(1+B2)</f>
        <v>428.22</v>
      </c>
      <c r="D9387" s="17" t="s">
        <v>11</v>
      </c>
      <c r="E9387" s="17"/>
      <c r="F9387" s="18"/>
      <c r="G9387" s="36" t="str">
        <f>IF(ISNUMBER(F9387),C9387*F9387,"")</f>
        <v/>
      </c>
    </row>
    <row r="9388" spans="1:7" ht="24" customHeight="1" outlineLevel="2" x14ac:dyDescent="0.2">
      <c r="A9388" s="14" t="s">
        <v>18462</v>
      </c>
      <c r="B9388" s="15" t="s">
        <v>18463</v>
      </c>
      <c r="C9388" s="16">
        <f>445.34/(1+B2)</f>
        <v>445.34</v>
      </c>
      <c r="D9388" s="17" t="s">
        <v>11</v>
      </c>
      <c r="E9388" s="17"/>
      <c r="F9388" s="18"/>
      <c r="G9388" s="36" t="str">
        <f>IF(ISNUMBER(F9388),C9388*F9388,"")</f>
        <v/>
      </c>
    </row>
    <row r="9389" spans="1:7" ht="24" customHeight="1" outlineLevel="2" x14ac:dyDescent="0.2">
      <c r="A9389" s="14" t="s">
        <v>18464</v>
      </c>
      <c r="B9389" s="15" t="s">
        <v>18465</v>
      </c>
      <c r="C9389" s="16">
        <f>445.34/(1+B2)</f>
        <v>445.34</v>
      </c>
      <c r="D9389" s="17" t="s">
        <v>11</v>
      </c>
      <c r="E9389" s="17"/>
      <c r="F9389" s="18"/>
      <c r="G9389" s="36" t="str">
        <f>IF(ISNUMBER(F9389),C9389*F9389,"")</f>
        <v/>
      </c>
    </row>
    <row r="9390" spans="1:7" ht="24" customHeight="1" outlineLevel="2" x14ac:dyDescent="0.2">
      <c r="A9390" s="14" t="s">
        <v>18466</v>
      </c>
      <c r="B9390" s="15" t="s">
        <v>18467</v>
      </c>
      <c r="C9390" s="16">
        <f>428.22/(1+B2)</f>
        <v>428.22</v>
      </c>
      <c r="D9390" s="17" t="s">
        <v>11</v>
      </c>
      <c r="E9390" s="17"/>
      <c r="F9390" s="18"/>
      <c r="G9390" s="36" t="str">
        <f>IF(ISNUMBER(F9390),C9390*F9390,"")</f>
        <v/>
      </c>
    </row>
    <row r="9391" spans="1:7" ht="24" customHeight="1" outlineLevel="2" x14ac:dyDescent="0.2">
      <c r="A9391" s="14" t="s">
        <v>18468</v>
      </c>
      <c r="B9391" s="15" t="s">
        <v>18469</v>
      </c>
      <c r="C9391" s="16">
        <f>766.75/(1+B2)</f>
        <v>766.75</v>
      </c>
      <c r="D9391" s="17" t="s">
        <v>11</v>
      </c>
      <c r="E9391" s="17"/>
      <c r="F9391" s="18"/>
      <c r="G9391" s="36" t="str">
        <f>IF(ISNUMBER(F9391),C9391*F9391,"")</f>
        <v/>
      </c>
    </row>
    <row r="9392" spans="1:7" ht="12" customHeight="1" outlineLevel="2" x14ac:dyDescent="0.2">
      <c r="A9392" s="14" t="s">
        <v>18470</v>
      </c>
      <c r="B9392" s="15" t="s">
        <v>18471</v>
      </c>
      <c r="C9392" s="16">
        <f>294.56/(1+B2)</f>
        <v>294.56</v>
      </c>
      <c r="D9392" s="17" t="s">
        <v>11</v>
      </c>
      <c r="E9392" s="17"/>
      <c r="F9392" s="18"/>
      <c r="G9392" s="36" t="str">
        <f>IF(ISNUMBER(F9392),C9392*F9392,"")</f>
        <v/>
      </c>
    </row>
    <row r="9393" spans="1:7" ht="12" customHeight="1" outlineLevel="2" x14ac:dyDescent="0.2">
      <c r="A9393" s="14" t="s">
        <v>18472</v>
      </c>
      <c r="B9393" s="15" t="s">
        <v>18473</v>
      </c>
      <c r="C9393" s="16">
        <f>725.47/(1+B2)</f>
        <v>725.47</v>
      </c>
      <c r="D9393" s="17" t="s">
        <v>11</v>
      </c>
      <c r="E9393" s="17"/>
      <c r="F9393" s="18"/>
      <c r="G9393" s="36" t="str">
        <f>IF(ISNUMBER(F9393),C9393*F9393,"")</f>
        <v/>
      </c>
    </row>
    <row r="9394" spans="1:7" ht="24" customHeight="1" outlineLevel="2" x14ac:dyDescent="0.2">
      <c r="A9394" s="14" t="s">
        <v>18474</v>
      </c>
      <c r="B9394" s="15" t="s">
        <v>18475</v>
      </c>
      <c r="C9394" s="16">
        <f>624.37/(1+B2)</f>
        <v>624.37</v>
      </c>
      <c r="D9394" s="17" t="s">
        <v>11</v>
      </c>
      <c r="E9394" s="17"/>
      <c r="F9394" s="18"/>
      <c r="G9394" s="36" t="str">
        <f>IF(ISNUMBER(F9394),C9394*F9394,"")</f>
        <v/>
      </c>
    </row>
    <row r="9395" spans="1:7" ht="12" customHeight="1" outlineLevel="2" x14ac:dyDescent="0.2">
      <c r="A9395" s="14" t="s">
        <v>18476</v>
      </c>
      <c r="B9395" s="15" t="s">
        <v>18477</v>
      </c>
      <c r="C9395" s="16">
        <f>453.02/(1+B2)</f>
        <v>453.02</v>
      </c>
      <c r="D9395" s="17" t="s">
        <v>11</v>
      </c>
      <c r="E9395" s="17"/>
      <c r="F9395" s="18"/>
      <c r="G9395" s="36" t="str">
        <f>IF(ISNUMBER(F9395),C9395*F9395,"")</f>
        <v/>
      </c>
    </row>
    <row r="9396" spans="1:7" ht="12" customHeight="1" outlineLevel="2" x14ac:dyDescent="0.2">
      <c r="A9396" s="14" t="s">
        <v>18478</v>
      </c>
      <c r="B9396" s="15" t="s">
        <v>18479</v>
      </c>
      <c r="C9396" s="16">
        <f>453.02/(1+B2)</f>
        <v>453.02</v>
      </c>
      <c r="D9396" s="17" t="s">
        <v>11</v>
      </c>
      <c r="E9396" s="17"/>
      <c r="F9396" s="18"/>
      <c r="G9396" s="36" t="str">
        <f>IF(ISNUMBER(F9396),C9396*F9396,"")</f>
        <v/>
      </c>
    </row>
    <row r="9397" spans="1:7" ht="12" customHeight="1" outlineLevel="2" x14ac:dyDescent="0.2">
      <c r="A9397" s="14" t="s">
        <v>18480</v>
      </c>
      <c r="B9397" s="15" t="s">
        <v>18481</v>
      </c>
      <c r="C9397" s="16">
        <f>380.85/(1+B2)</f>
        <v>380.85</v>
      </c>
      <c r="D9397" s="17" t="s">
        <v>11</v>
      </c>
      <c r="E9397" s="17"/>
      <c r="F9397" s="18"/>
      <c r="G9397" s="36" t="str">
        <f>IF(ISNUMBER(F9397),C9397*F9397,"")</f>
        <v/>
      </c>
    </row>
    <row r="9398" spans="1:7" ht="12" customHeight="1" outlineLevel="2" x14ac:dyDescent="0.2">
      <c r="A9398" s="14" t="s">
        <v>18482</v>
      </c>
      <c r="B9398" s="15" t="s">
        <v>18483</v>
      </c>
      <c r="C9398" s="16">
        <f>393.12/(1+B2)</f>
        <v>393.12</v>
      </c>
      <c r="D9398" s="17" t="s">
        <v>11</v>
      </c>
      <c r="E9398" s="17"/>
      <c r="F9398" s="18"/>
      <c r="G9398" s="36" t="str">
        <f>IF(ISNUMBER(F9398),C9398*F9398,"")</f>
        <v/>
      </c>
    </row>
    <row r="9399" spans="1:7" ht="12" customHeight="1" outlineLevel="2" x14ac:dyDescent="0.2">
      <c r="A9399" s="14" t="s">
        <v>18484</v>
      </c>
      <c r="B9399" s="15" t="s">
        <v>18485</v>
      </c>
      <c r="C9399" s="16">
        <f>690.3/(1+B2)</f>
        <v>690.3</v>
      </c>
      <c r="D9399" s="17" t="s">
        <v>11</v>
      </c>
      <c r="E9399" s="17"/>
      <c r="F9399" s="18"/>
      <c r="G9399" s="36" t="str">
        <f>IF(ISNUMBER(F9399),C9399*F9399,"")</f>
        <v/>
      </c>
    </row>
    <row r="9400" spans="1:7" ht="12" customHeight="1" outlineLevel="2" x14ac:dyDescent="0.2">
      <c r="A9400" s="14" t="s">
        <v>18486</v>
      </c>
      <c r="B9400" s="15" t="s">
        <v>18487</v>
      </c>
      <c r="C9400" s="16">
        <f>517.14/(1+B2)</f>
        <v>517.14</v>
      </c>
      <c r="D9400" s="17" t="s">
        <v>11</v>
      </c>
      <c r="E9400" s="17"/>
      <c r="F9400" s="18"/>
      <c r="G9400" s="36" t="str">
        <f>IF(ISNUMBER(F9400),C9400*F9400,"")</f>
        <v/>
      </c>
    </row>
    <row r="9401" spans="1:7" ht="12" customHeight="1" outlineLevel="2" x14ac:dyDescent="0.2">
      <c r="A9401" s="14" t="s">
        <v>18488</v>
      </c>
      <c r="B9401" s="15" t="s">
        <v>18489</v>
      </c>
      <c r="C9401" s="16">
        <f>552.5/(1+B2)</f>
        <v>552.5</v>
      </c>
      <c r="D9401" s="17" t="s">
        <v>11</v>
      </c>
      <c r="E9401" s="17" t="s">
        <v>11</v>
      </c>
      <c r="F9401" s="18"/>
      <c r="G9401" s="36" t="str">
        <f>IF(ISNUMBER(F9401),C9401*F9401,"")</f>
        <v/>
      </c>
    </row>
    <row r="9402" spans="1:7" ht="12" customHeight="1" outlineLevel="2" x14ac:dyDescent="0.2">
      <c r="A9402" s="14" t="s">
        <v>18490</v>
      </c>
      <c r="B9402" s="15" t="s">
        <v>18491</v>
      </c>
      <c r="C9402" s="16">
        <f>472.2/(1+B2)</f>
        <v>472.2</v>
      </c>
      <c r="D9402" s="17" t="s">
        <v>11</v>
      </c>
      <c r="E9402" s="17"/>
      <c r="F9402" s="18"/>
      <c r="G9402" s="36" t="str">
        <f>IF(ISNUMBER(F9402),C9402*F9402,"")</f>
        <v/>
      </c>
    </row>
    <row r="9403" spans="1:7" ht="12" customHeight="1" outlineLevel="2" x14ac:dyDescent="0.2">
      <c r="A9403" s="14" t="s">
        <v>18492</v>
      </c>
      <c r="B9403" s="15" t="s">
        <v>18493</v>
      </c>
      <c r="C9403" s="16">
        <f>673.92/(1+B2)</f>
        <v>673.92</v>
      </c>
      <c r="D9403" s="17" t="s">
        <v>11</v>
      </c>
      <c r="E9403" s="17"/>
      <c r="F9403" s="18"/>
      <c r="G9403" s="36" t="str">
        <f>IF(ISNUMBER(F9403),C9403*F9403,"")</f>
        <v/>
      </c>
    </row>
    <row r="9404" spans="1:7" ht="12" customHeight="1" outlineLevel="2" x14ac:dyDescent="0.2">
      <c r="A9404" s="14" t="s">
        <v>18494</v>
      </c>
      <c r="B9404" s="15" t="s">
        <v>18495</v>
      </c>
      <c r="C9404" s="19">
        <f>1542.06/(1+B2)</f>
        <v>1542.06</v>
      </c>
      <c r="D9404" s="17" t="s">
        <v>11</v>
      </c>
      <c r="E9404" s="17"/>
      <c r="F9404" s="18"/>
      <c r="G9404" s="36" t="str">
        <f>IF(ISNUMBER(F9404),C9404*F9404,"")</f>
        <v/>
      </c>
    </row>
    <row r="9405" spans="1:7" ht="24" customHeight="1" outlineLevel="2" x14ac:dyDescent="0.2">
      <c r="A9405" s="14" t="s">
        <v>18496</v>
      </c>
      <c r="B9405" s="15" t="s">
        <v>18497</v>
      </c>
      <c r="C9405" s="16">
        <f>724.39/(1+B2)</f>
        <v>724.39</v>
      </c>
      <c r="D9405" s="17" t="s">
        <v>11</v>
      </c>
      <c r="E9405" s="17"/>
      <c r="F9405" s="18"/>
      <c r="G9405" s="36" t="str">
        <f>IF(ISNUMBER(F9405),C9405*F9405,"")</f>
        <v/>
      </c>
    </row>
    <row r="9406" spans="1:7" ht="12" customHeight="1" outlineLevel="2" x14ac:dyDescent="0.2">
      <c r="A9406" s="14" t="s">
        <v>18498</v>
      </c>
      <c r="B9406" s="15" t="s">
        <v>18499</v>
      </c>
      <c r="C9406" s="16">
        <f>433.76/(1+B2)</f>
        <v>433.76</v>
      </c>
      <c r="D9406" s="17" t="s">
        <v>11</v>
      </c>
      <c r="E9406" s="17" t="s">
        <v>11</v>
      </c>
      <c r="F9406" s="18"/>
      <c r="G9406" s="36" t="str">
        <f>IF(ISNUMBER(F9406),C9406*F9406,"")</f>
        <v/>
      </c>
    </row>
    <row r="9407" spans="1:7" ht="12" customHeight="1" outlineLevel="2" x14ac:dyDescent="0.2">
      <c r="A9407" s="14" t="s">
        <v>18500</v>
      </c>
      <c r="B9407" s="15" t="s">
        <v>18501</v>
      </c>
      <c r="C9407" s="16">
        <f>538.1/(1+B2)</f>
        <v>538.1</v>
      </c>
      <c r="D9407" s="17" t="s">
        <v>11</v>
      </c>
      <c r="E9407" s="17" t="s">
        <v>11</v>
      </c>
      <c r="F9407" s="18"/>
      <c r="G9407" s="36" t="str">
        <f>IF(ISNUMBER(F9407),C9407*F9407,"")</f>
        <v/>
      </c>
    </row>
    <row r="9408" spans="1:7" ht="24" customHeight="1" outlineLevel="2" x14ac:dyDescent="0.2">
      <c r="A9408" s="14" t="s">
        <v>18502</v>
      </c>
      <c r="B9408" s="15" t="s">
        <v>18503</v>
      </c>
      <c r="C9408" s="16">
        <f>506.94/(1+B2)</f>
        <v>506.94</v>
      </c>
      <c r="D9408" s="17" t="s">
        <v>11</v>
      </c>
      <c r="E9408" s="17"/>
      <c r="F9408" s="18"/>
      <c r="G9408" s="36" t="str">
        <f>IF(ISNUMBER(F9408),C9408*F9408,"")</f>
        <v/>
      </c>
    </row>
    <row r="9409" spans="1:7" ht="12" customHeight="1" outlineLevel="2" x14ac:dyDescent="0.2">
      <c r="A9409" s="14" t="s">
        <v>18504</v>
      </c>
      <c r="B9409" s="15" t="s">
        <v>18505</v>
      </c>
      <c r="C9409" s="16">
        <f>433.93/(1+B2)</f>
        <v>433.93</v>
      </c>
      <c r="D9409" s="17" t="s">
        <v>11</v>
      </c>
      <c r="E9409" s="17"/>
      <c r="F9409" s="18"/>
      <c r="G9409" s="36" t="str">
        <f>IF(ISNUMBER(F9409),C9409*F9409,"")</f>
        <v/>
      </c>
    </row>
    <row r="9410" spans="1:7" ht="12" customHeight="1" outlineLevel="2" x14ac:dyDescent="0.2">
      <c r="A9410" s="14" t="s">
        <v>18506</v>
      </c>
      <c r="B9410" s="15" t="s">
        <v>18507</v>
      </c>
      <c r="C9410" s="16">
        <f>445.36/(1+B2)</f>
        <v>445.36</v>
      </c>
      <c r="D9410" s="17" t="s">
        <v>11</v>
      </c>
      <c r="E9410" s="17"/>
      <c r="F9410" s="18"/>
      <c r="G9410" s="36" t="str">
        <f>IF(ISNUMBER(F9410),C9410*F9410,"")</f>
        <v/>
      </c>
    </row>
    <row r="9411" spans="1:7" ht="12" customHeight="1" outlineLevel="2" x14ac:dyDescent="0.2">
      <c r="A9411" s="14" t="s">
        <v>18508</v>
      </c>
      <c r="B9411" s="15" t="s">
        <v>18509</v>
      </c>
      <c r="C9411" s="16">
        <f>463.68/(1+B2)</f>
        <v>463.68</v>
      </c>
      <c r="D9411" s="17" t="s">
        <v>11</v>
      </c>
      <c r="E9411" s="17"/>
      <c r="F9411" s="18"/>
      <c r="G9411" s="36" t="str">
        <f>IF(ISNUMBER(F9411),C9411*F9411,"")</f>
        <v/>
      </c>
    </row>
    <row r="9412" spans="1:7" ht="12" customHeight="1" outlineLevel="2" x14ac:dyDescent="0.2">
      <c r="A9412" s="14" t="s">
        <v>18510</v>
      </c>
      <c r="B9412" s="15" t="s">
        <v>18511</v>
      </c>
      <c r="C9412" s="16">
        <f>460.56/(1+B2)</f>
        <v>460.56</v>
      </c>
      <c r="D9412" s="17" t="s">
        <v>11</v>
      </c>
      <c r="E9412" s="17"/>
      <c r="F9412" s="18"/>
      <c r="G9412" s="36" t="str">
        <f>IF(ISNUMBER(F9412),C9412*F9412,"")</f>
        <v/>
      </c>
    </row>
    <row r="9413" spans="1:7" ht="12" customHeight="1" outlineLevel="2" x14ac:dyDescent="0.2">
      <c r="A9413" s="14" t="s">
        <v>18512</v>
      </c>
      <c r="B9413" s="15" t="s">
        <v>18513</v>
      </c>
      <c r="C9413" s="16">
        <f>462.92/(1+B2)</f>
        <v>462.92</v>
      </c>
      <c r="D9413" s="17" t="s">
        <v>11</v>
      </c>
      <c r="E9413" s="17"/>
      <c r="F9413" s="18"/>
      <c r="G9413" s="36" t="str">
        <f>IF(ISNUMBER(F9413),C9413*F9413,"")</f>
        <v/>
      </c>
    </row>
    <row r="9414" spans="1:7" ht="12" customHeight="1" outlineLevel="2" x14ac:dyDescent="0.2">
      <c r="A9414" s="14" t="s">
        <v>18514</v>
      </c>
      <c r="B9414" s="15" t="s">
        <v>18515</v>
      </c>
      <c r="C9414" s="16">
        <f>481.91/(1+B2)</f>
        <v>481.91</v>
      </c>
      <c r="D9414" s="17" t="s">
        <v>11</v>
      </c>
      <c r="E9414" s="17"/>
      <c r="F9414" s="18"/>
      <c r="G9414" s="36" t="str">
        <f>IF(ISNUMBER(F9414),C9414*F9414,"")</f>
        <v/>
      </c>
    </row>
    <row r="9415" spans="1:7" ht="12" customHeight="1" outlineLevel="2" x14ac:dyDescent="0.2">
      <c r="A9415" s="14" t="s">
        <v>18516</v>
      </c>
      <c r="B9415" s="15" t="s">
        <v>18517</v>
      </c>
      <c r="C9415" s="16">
        <f>296.81/(1+B2)</f>
        <v>296.81</v>
      </c>
      <c r="D9415" s="17" t="s">
        <v>11</v>
      </c>
      <c r="E9415" s="17"/>
      <c r="F9415" s="18"/>
      <c r="G9415" s="36" t="str">
        <f>IF(ISNUMBER(F9415),C9415*F9415,"")</f>
        <v/>
      </c>
    </row>
    <row r="9416" spans="1:7" ht="12" customHeight="1" outlineLevel="2" x14ac:dyDescent="0.2">
      <c r="A9416" s="14" t="s">
        <v>18518</v>
      </c>
      <c r="B9416" s="15" t="s">
        <v>18519</v>
      </c>
      <c r="C9416" s="16">
        <f>468.01/(1+B2)</f>
        <v>468.01</v>
      </c>
      <c r="D9416" s="17" t="s">
        <v>11</v>
      </c>
      <c r="E9416" s="17"/>
      <c r="F9416" s="18"/>
      <c r="G9416" s="36" t="str">
        <f>IF(ISNUMBER(F9416),C9416*F9416,"")</f>
        <v/>
      </c>
    </row>
    <row r="9417" spans="1:7" ht="12" customHeight="1" outlineLevel="2" x14ac:dyDescent="0.2">
      <c r="A9417" s="14" t="s">
        <v>18520</v>
      </c>
      <c r="B9417" s="15" t="s">
        <v>18521</v>
      </c>
      <c r="C9417" s="16">
        <f>467.7/(1+B2)</f>
        <v>467.7</v>
      </c>
      <c r="D9417" s="17" t="s">
        <v>11</v>
      </c>
      <c r="E9417" s="17"/>
      <c r="F9417" s="18"/>
      <c r="G9417" s="36" t="str">
        <f>IF(ISNUMBER(F9417),C9417*F9417,"")</f>
        <v/>
      </c>
    </row>
    <row r="9418" spans="1:7" ht="12" customHeight="1" outlineLevel="2" x14ac:dyDescent="0.2">
      <c r="A9418" s="14" t="s">
        <v>18522</v>
      </c>
      <c r="B9418" s="15" t="s">
        <v>18523</v>
      </c>
      <c r="C9418" s="16">
        <f>463.55/(1+B2)</f>
        <v>463.55</v>
      </c>
      <c r="D9418" s="17" t="s">
        <v>11</v>
      </c>
      <c r="E9418" s="17"/>
      <c r="F9418" s="18"/>
      <c r="G9418" s="36" t="str">
        <f>IF(ISNUMBER(F9418),C9418*F9418,"")</f>
        <v/>
      </c>
    </row>
    <row r="9419" spans="1:7" ht="12" customHeight="1" outlineLevel="2" x14ac:dyDescent="0.2">
      <c r="A9419" s="14" t="s">
        <v>18524</v>
      </c>
      <c r="B9419" s="15" t="s">
        <v>18525</v>
      </c>
      <c r="C9419" s="16">
        <f>461.65/(1+B2)</f>
        <v>461.65</v>
      </c>
      <c r="D9419" s="17" t="s">
        <v>11</v>
      </c>
      <c r="E9419" s="17"/>
      <c r="F9419" s="18"/>
      <c r="G9419" s="36" t="str">
        <f>IF(ISNUMBER(F9419),C9419*F9419,"")</f>
        <v/>
      </c>
    </row>
    <row r="9420" spans="1:7" ht="12" customHeight="1" outlineLevel="2" x14ac:dyDescent="0.2">
      <c r="A9420" s="14" t="s">
        <v>18526</v>
      </c>
      <c r="B9420" s="15" t="s">
        <v>18527</v>
      </c>
      <c r="C9420" s="16">
        <f>463.86/(1+B2)</f>
        <v>463.86</v>
      </c>
      <c r="D9420" s="17" t="s">
        <v>11</v>
      </c>
      <c r="E9420" s="17"/>
      <c r="F9420" s="18"/>
      <c r="G9420" s="36" t="str">
        <f>IF(ISNUMBER(F9420),C9420*F9420,"")</f>
        <v/>
      </c>
    </row>
    <row r="9421" spans="1:7" ht="12" customHeight="1" outlineLevel="2" x14ac:dyDescent="0.2">
      <c r="A9421" s="14" t="s">
        <v>18528</v>
      </c>
      <c r="B9421" s="15" t="s">
        <v>18529</v>
      </c>
      <c r="C9421" s="16">
        <f>508.31/(1+B2)</f>
        <v>508.31</v>
      </c>
      <c r="D9421" s="17" t="s">
        <v>11</v>
      </c>
      <c r="E9421" s="17"/>
      <c r="F9421" s="18"/>
      <c r="G9421" s="36" t="str">
        <f>IF(ISNUMBER(F9421),C9421*F9421,"")</f>
        <v/>
      </c>
    </row>
    <row r="9422" spans="1:7" ht="12" customHeight="1" outlineLevel="2" x14ac:dyDescent="0.2">
      <c r="A9422" s="14" t="s">
        <v>18530</v>
      </c>
      <c r="B9422" s="15" t="s">
        <v>18531</v>
      </c>
      <c r="C9422" s="16">
        <f>351.21/(1+B2)</f>
        <v>351.21</v>
      </c>
      <c r="D9422" s="17" t="s">
        <v>11</v>
      </c>
      <c r="E9422" s="17"/>
      <c r="F9422" s="18"/>
      <c r="G9422" s="36" t="str">
        <f>IF(ISNUMBER(F9422),C9422*F9422,"")</f>
        <v/>
      </c>
    </row>
    <row r="9423" spans="1:7" ht="24" customHeight="1" outlineLevel="2" x14ac:dyDescent="0.2">
      <c r="A9423" s="14" t="s">
        <v>18532</v>
      </c>
      <c r="B9423" s="15" t="s">
        <v>18533</v>
      </c>
      <c r="C9423" s="16">
        <f>464.36/(1+B2)</f>
        <v>464.36</v>
      </c>
      <c r="D9423" s="17" t="s">
        <v>11</v>
      </c>
      <c r="E9423" s="17"/>
      <c r="F9423" s="18"/>
      <c r="G9423" s="36" t="str">
        <f>IF(ISNUMBER(F9423),C9423*F9423,"")</f>
        <v/>
      </c>
    </row>
    <row r="9424" spans="1:7" ht="24" customHeight="1" outlineLevel="2" x14ac:dyDescent="0.2">
      <c r="A9424" s="14" t="s">
        <v>18534</v>
      </c>
      <c r="B9424" s="15" t="s">
        <v>18535</v>
      </c>
      <c r="C9424" s="16">
        <f>616.64/(1+B2)</f>
        <v>616.64</v>
      </c>
      <c r="D9424" s="17" t="s">
        <v>11</v>
      </c>
      <c r="E9424" s="17"/>
      <c r="F9424" s="18"/>
      <c r="G9424" s="36" t="str">
        <f>IF(ISNUMBER(F9424),C9424*F9424,"")</f>
        <v/>
      </c>
    </row>
    <row r="9425" spans="1:7" ht="12" customHeight="1" outlineLevel="2" x14ac:dyDescent="0.2">
      <c r="A9425" s="14" t="s">
        <v>18536</v>
      </c>
      <c r="B9425" s="15" t="s">
        <v>18537</v>
      </c>
      <c r="C9425" s="16">
        <f>558.68/(1+B2)</f>
        <v>558.67999999999995</v>
      </c>
      <c r="D9425" s="17" t="s">
        <v>11</v>
      </c>
      <c r="E9425" s="17"/>
      <c r="F9425" s="18"/>
      <c r="G9425" s="36" t="str">
        <f>IF(ISNUMBER(F9425),C9425*F9425,"")</f>
        <v/>
      </c>
    </row>
    <row r="9426" spans="1:7" ht="12" customHeight="1" outlineLevel="2" x14ac:dyDescent="0.2">
      <c r="A9426" s="14" t="s">
        <v>18538</v>
      </c>
      <c r="B9426" s="15" t="s">
        <v>18539</v>
      </c>
      <c r="C9426" s="16">
        <f>328.23/(1+B2)</f>
        <v>328.23</v>
      </c>
      <c r="D9426" s="17" t="s">
        <v>11</v>
      </c>
      <c r="E9426" s="17"/>
      <c r="F9426" s="18"/>
      <c r="G9426" s="36" t="str">
        <f>IF(ISNUMBER(F9426),C9426*F9426,"")</f>
        <v/>
      </c>
    </row>
    <row r="9427" spans="1:7" ht="12" customHeight="1" outlineLevel="2" x14ac:dyDescent="0.2">
      <c r="A9427" s="14" t="s">
        <v>18540</v>
      </c>
      <c r="B9427" s="15" t="s">
        <v>18541</v>
      </c>
      <c r="C9427" s="16">
        <f>628.06/(1+B2)</f>
        <v>628.05999999999995</v>
      </c>
      <c r="D9427" s="17" t="s">
        <v>11</v>
      </c>
      <c r="E9427" s="17"/>
      <c r="F9427" s="18"/>
      <c r="G9427" s="36" t="str">
        <f>IF(ISNUMBER(F9427),C9427*F9427,"")</f>
        <v/>
      </c>
    </row>
    <row r="9428" spans="1:7" ht="24" customHeight="1" outlineLevel="2" x14ac:dyDescent="0.2">
      <c r="A9428" s="14" t="s">
        <v>18542</v>
      </c>
      <c r="B9428" s="15" t="s">
        <v>18543</v>
      </c>
      <c r="C9428" s="16">
        <f>668.03/(1+B2)</f>
        <v>668.03</v>
      </c>
      <c r="D9428" s="17" t="s">
        <v>11</v>
      </c>
      <c r="E9428" s="17"/>
      <c r="F9428" s="18"/>
      <c r="G9428" s="36" t="str">
        <f>IF(ISNUMBER(F9428),C9428*F9428,"")</f>
        <v/>
      </c>
    </row>
    <row r="9429" spans="1:7" ht="24" customHeight="1" outlineLevel="2" x14ac:dyDescent="0.2">
      <c r="A9429" s="14" t="s">
        <v>18544</v>
      </c>
      <c r="B9429" s="15" t="s">
        <v>18545</v>
      </c>
      <c r="C9429" s="16">
        <f>696.58/(1+B2)</f>
        <v>696.58</v>
      </c>
      <c r="D9429" s="17" t="s">
        <v>11</v>
      </c>
      <c r="E9429" s="17"/>
      <c r="F9429" s="18"/>
      <c r="G9429" s="36" t="str">
        <f>IF(ISNUMBER(F9429),C9429*F9429,"")</f>
        <v/>
      </c>
    </row>
    <row r="9430" spans="1:7" ht="12" customHeight="1" outlineLevel="2" x14ac:dyDescent="0.2">
      <c r="A9430" s="14" t="s">
        <v>18546</v>
      </c>
      <c r="B9430" s="15" t="s">
        <v>18547</v>
      </c>
      <c r="C9430" s="16">
        <f>548.12/(1+B2)</f>
        <v>548.12</v>
      </c>
      <c r="D9430" s="17" t="s">
        <v>11</v>
      </c>
      <c r="E9430" s="17"/>
      <c r="F9430" s="18"/>
      <c r="G9430" s="36" t="str">
        <f>IF(ISNUMBER(F9430),C9430*F9430,"")</f>
        <v/>
      </c>
    </row>
    <row r="9431" spans="1:7" ht="12" customHeight="1" outlineLevel="2" x14ac:dyDescent="0.2">
      <c r="A9431" s="14" t="s">
        <v>18548</v>
      </c>
      <c r="B9431" s="15" t="s">
        <v>18549</v>
      </c>
      <c r="C9431" s="16">
        <f>628.06/(1+B2)</f>
        <v>628.05999999999995</v>
      </c>
      <c r="D9431" s="17" t="s">
        <v>11</v>
      </c>
      <c r="E9431" s="17"/>
      <c r="F9431" s="18"/>
      <c r="G9431" s="36" t="str">
        <f>IF(ISNUMBER(F9431),C9431*F9431,"")</f>
        <v/>
      </c>
    </row>
    <row r="9432" spans="1:7" ht="12" customHeight="1" outlineLevel="2" x14ac:dyDescent="0.2">
      <c r="A9432" s="14" t="s">
        <v>18550</v>
      </c>
      <c r="B9432" s="15" t="s">
        <v>18551</v>
      </c>
      <c r="C9432" s="16">
        <f>678.41/(1+B2)</f>
        <v>678.41</v>
      </c>
      <c r="D9432" s="17" t="s">
        <v>11</v>
      </c>
      <c r="E9432" s="17"/>
      <c r="F9432" s="18"/>
      <c r="G9432" s="36" t="str">
        <f>IF(ISNUMBER(F9432),C9432*F9432,"")</f>
        <v/>
      </c>
    </row>
    <row r="9433" spans="1:7" ht="12" customHeight="1" outlineLevel="2" x14ac:dyDescent="0.2">
      <c r="A9433" s="14" t="s">
        <v>18552</v>
      </c>
      <c r="B9433" s="15" t="s">
        <v>18553</v>
      </c>
      <c r="C9433" s="16">
        <f>652.27/(1+B2)</f>
        <v>652.27</v>
      </c>
      <c r="D9433" s="17" t="s">
        <v>11</v>
      </c>
      <c r="E9433" s="17"/>
      <c r="F9433" s="18"/>
      <c r="G9433" s="36" t="str">
        <f>IF(ISNUMBER(F9433),C9433*F9433,"")</f>
        <v/>
      </c>
    </row>
    <row r="9434" spans="1:7" ht="12" customHeight="1" outlineLevel="2" x14ac:dyDescent="0.2">
      <c r="A9434" s="14" t="s">
        <v>18554</v>
      </c>
      <c r="B9434" s="15" t="s">
        <v>18555</v>
      </c>
      <c r="C9434" s="16">
        <f>655.75/(1+B2)</f>
        <v>655.75</v>
      </c>
      <c r="D9434" s="17" t="s">
        <v>11</v>
      </c>
      <c r="E9434" s="17"/>
      <c r="F9434" s="18"/>
      <c r="G9434" s="36" t="str">
        <f>IF(ISNUMBER(F9434),C9434*F9434,"")</f>
        <v/>
      </c>
    </row>
    <row r="9435" spans="1:7" ht="12" customHeight="1" outlineLevel="2" x14ac:dyDescent="0.2">
      <c r="A9435" s="14" t="s">
        <v>18556</v>
      </c>
      <c r="B9435" s="15" t="s">
        <v>18557</v>
      </c>
      <c r="C9435" s="16">
        <f>656.56/(1+B2)</f>
        <v>656.56</v>
      </c>
      <c r="D9435" s="17" t="s">
        <v>11</v>
      </c>
      <c r="E9435" s="17"/>
      <c r="F9435" s="18"/>
      <c r="G9435" s="36" t="str">
        <f>IF(ISNUMBER(F9435),C9435*F9435,"")</f>
        <v/>
      </c>
    </row>
    <row r="9436" spans="1:7" ht="12" customHeight="1" outlineLevel="2" x14ac:dyDescent="0.2">
      <c r="A9436" s="14" t="s">
        <v>18558</v>
      </c>
      <c r="B9436" s="15" t="s">
        <v>18559</v>
      </c>
      <c r="C9436" s="16">
        <f>767.37/(1+B2)</f>
        <v>767.37</v>
      </c>
      <c r="D9436" s="17" t="s">
        <v>11</v>
      </c>
      <c r="E9436" s="17" t="s">
        <v>11</v>
      </c>
      <c r="F9436" s="18"/>
      <c r="G9436" s="36" t="str">
        <f>IF(ISNUMBER(F9436),C9436*F9436,"")</f>
        <v/>
      </c>
    </row>
    <row r="9437" spans="1:7" ht="24" customHeight="1" outlineLevel="2" x14ac:dyDescent="0.2">
      <c r="A9437" s="14" t="s">
        <v>18560</v>
      </c>
      <c r="B9437" s="15" t="s">
        <v>18561</v>
      </c>
      <c r="C9437" s="16">
        <f>419.27/(1+B2)</f>
        <v>419.27</v>
      </c>
      <c r="D9437" s="17" t="s">
        <v>11</v>
      </c>
      <c r="E9437" s="17"/>
      <c r="F9437" s="18"/>
      <c r="G9437" s="36" t="str">
        <f>IF(ISNUMBER(F9437),C9437*F9437,"")</f>
        <v/>
      </c>
    </row>
    <row r="9438" spans="1:7" ht="12" customHeight="1" outlineLevel="2" x14ac:dyDescent="0.2">
      <c r="A9438" s="14" t="s">
        <v>18562</v>
      </c>
      <c r="B9438" s="15" t="s">
        <v>18563</v>
      </c>
      <c r="C9438" s="16">
        <f>577.52/(1+B2)</f>
        <v>577.52</v>
      </c>
      <c r="D9438" s="17" t="s">
        <v>11</v>
      </c>
      <c r="E9438" s="17"/>
      <c r="F9438" s="18"/>
      <c r="G9438" s="36" t="str">
        <f>IF(ISNUMBER(F9438),C9438*F9438,"")</f>
        <v/>
      </c>
    </row>
    <row r="9439" spans="1:7" ht="12" customHeight="1" outlineLevel="2" x14ac:dyDescent="0.2">
      <c r="A9439" s="14" t="s">
        <v>18564</v>
      </c>
      <c r="B9439" s="15" t="s">
        <v>18565</v>
      </c>
      <c r="C9439" s="16">
        <f>467/(1+B2)</f>
        <v>467</v>
      </c>
      <c r="D9439" s="17" t="s">
        <v>11</v>
      </c>
      <c r="E9439" s="17" t="s">
        <v>11</v>
      </c>
      <c r="F9439" s="18"/>
      <c r="G9439" s="36" t="str">
        <f>IF(ISNUMBER(F9439),C9439*F9439,"")</f>
        <v/>
      </c>
    </row>
    <row r="9440" spans="1:7" ht="24" customHeight="1" outlineLevel="2" x14ac:dyDescent="0.2">
      <c r="A9440" s="14" t="s">
        <v>18566</v>
      </c>
      <c r="B9440" s="15" t="s">
        <v>18567</v>
      </c>
      <c r="C9440" s="16">
        <f>545.27/(1+B2)</f>
        <v>545.27</v>
      </c>
      <c r="D9440" s="17" t="s">
        <v>11</v>
      </c>
      <c r="E9440" s="17"/>
      <c r="F9440" s="18"/>
      <c r="G9440" s="36" t="str">
        <f>IF(ISNUMBER(F9440),C9440*F9440,"")</f>
        <v/>
      </c>
    </row>
    <row r="9441" spans="1:7" ht="12" customHeight="1" outlineLevel="2" x14ac:dyDescent="0.2">
      <c r="A9441" s="14" t="s">
        <v>18568</v>
      </c>
      <c r="B9441" s="15" t="s">
        <v>18569</v>
      </c>
      <c r="C9441" s="16">
        <f>558.48/(1+B2)</f>
        <v>558.48</v>
      </c>
      <c r="D9441" s="17" t="s">
        <v>11</v>
      </c>
      <c r="E9441" s="17"/>
      <c r="F9441" s="18"/>
      <c r="G9441" s="36" t="str">
        <f>IF(ISNUMBER(F9441),C9441*F9441,"")</f>
        <v/>
      </c>
    </row>
    <row r="9442" spans="1:7" ht="12" customHeight="1" outlineLevel="2" x14ac:dyDescent="0.2">
      <c r="A9442" s="14" t="s">
        <v>18570</v>
      </c>
      <c r="B9442" s="15" t="s">
        <v>18571</v>
      </c>
      <c r="C9442" s="16">
        <f>607.93/(1+B2)</f>
        <v>607.92999999999995</v>
      </c>
      <c r="D9442" s="17" t="s">
        <v>11</v>
      </c>
      <c r="E9442" s="17"/>
      <c r="F9442" s="18"/>
      <c r="G9442" s="36" t="str">
        <f>IF(ISNUMBER(F9442),C9442*F9442,"")</f>
        <v/>
      </c>
    </row>
    <row r="9443" spans="1:7" ht="24" customHeight="1" outlineLevel="2" x14ac:dyDescent="0.2">
      <c r="A9443" s="14" t="s">
        <v>18572</v>
      </c>
      <c r="B9443" s="15" t="s">
        <v>18573</v>
      </c>
      <c r="C9443" s="16">
        <f>519.57/(1+B2)</f>
        <v>519.57000000000005</v>
      </c>
      <c r="D9443" s="17" t="s">
        <v>11</v>
      </c>
      <c r="E9443" s="17"/>
      <c r="F9443" s="18"/>
      <c r="G9443" s="36" t="str">
        <f>IF(ISNUMBER(F9443),C9443*F9443,"")</f>
        <v/>
      </c>
    </row>
    <row r="9444" spans="1:7" ht="12" customHeight="1" outlineLevel="2" x14ac:dyDescent="0.2">
      <c r="A9444" s="14" t="s">
        <v>18574</v>
      </c>
      <c r="B9444" s="15" t="s">
        <v>18575</v>
      </c>
      <c r="C9444" s="16">
        <f>485.14/(1+B2)</f>
        <v>485.14</v>
      </c>
      <c r="D9444" s="17" t="s">
        <v>11</v>
      </c>
      <c r="E9444" s="17" t="s">
        <v>11</v>
      </c>
      <c r="F9444" s="18"/>
      <c r="G9444" s="36" t="str">
        <f>IF(ISNUMBER(F9444),C9444*F9444,"")</f>
        <v/>
      </c>
    </row>
    <row r="9445" spans="1:7" ht="12" customHeight="1" outlineLevel="2" x14ac:dyDescent="0.2">
      <c r="A9445" s="14" t="s">
        <v>18576</v>
      </c>
      <c r="B9445" s="15" t="s">
        <v>18577</v>
      </c>
      <c r="C9445" s="16">
        <f>496.76/(1+B2)</f>
        <v>496.76</v>
      </c>
      <c r="D9445" s="17" t="s">
        <v>11</v>
      </c>
      <c r="E9445" s="17"/>
      <c r="F9445" s="18"/>
      <c r="G9445" s="36" t="str">
        <f>IF(ISNUMBER(F9445),C9445*F9445,"")</f>
        <v/>
      </c>
    </row>
    <row r="9446" spans="1:7" ht="12" customHeight="1" outlineLevel="2" x14ac:dyDescent="0.2">
      <c r="A9446" s="14" t="s">
        <v>18578</v>
      </c>
      <c r="B9446" s="15" t="s">
        <v>18579</v>
      </c>
      <c r="C9446" s="16">
        <f>679.44/(1+B2)</f>
        <v>679.44</v>
      </c>
      <c r="D9446" s="17" t="s">
        <v>11</v>
      </c>
      <c r="E9446" s="17"/>
      <c r="F9446" s="18"/>
      <c r="G9446" s="36" t="str">
        <f>IF(ISNUMBER(F9446),C9446*F9446,"")</f>
        <v/>
      </c>
    </row>
    <row r="9447" spans="1:7" ht="12" customHeight="1" outlineLevel="2" x14ac:dyDescent="0.2">
      <c r="A9447" s="14" t="s">
        <v>18580</v>
      </c>
      <c r="B9447" s="15" t="s">
        <v>18581</v>
      </c>
      <c r="C9447" s="19">
        <f>1596.27/(1+B2)</f>
        <v>1596.27</v>
      </c>
      <c r="D9447" s="17" t="s">
        <v>11</v>
      </c>
      <c r="E9447" s="17" t="s">
        <v>11</v>
      </c>
      <c r="F9447" s="18"/>
      <c r="G9447" s="36" t="str">
        <f>IF(ISNUMBER(F9447),C9447*F9447,"")</f>
        <v/>
      </c>
    </row>
    <row r="9448" spans="1:7" ht="12" customHeight="1" outlineLevel="2" x14ac:dyDescent="0.2">
      <c r="A9448" s="14" t="s">
        <v>18582</v>
      </c>
      <c r="B9448" s="15" t="s">
        <v>18583</v>
      </c>
      <c r="C9448" s="16">
        <f>366.94/(1+B2)</f>
        <v>366.94</v>
      </c>
      <c r="D9448" s="17" t="s">
        <v>11</v>
      </c>
      <c r="E9448" s="17" t="s">
        <v>11</v>
      </c>
      <c r="F9448" s="18"/>
      <c r="G9448" s="36" t="str">
        <f>IF(ISNUMBER(F9448),C9448*F9448,"")</f>
        <v/>
      </c>
    </row>
    <row r="9449" spans="1:7" ht="12" customHeight="1" outlineLevel="2" x14ac:dyDescent="0.2">
      <c r="A9449" s="14" t="s">
        <v>18584</v>
      </c>
      <c r="B9449" s="15" t="s">
        <v>18585</v>
      </c>
      <c r="C9449" s="16">
        <f>366.94/(1+B2)</f>
        <v>366.94</v>
      </c>
      <c r="D9449" s="17" t="s">
        <v>11</v>
      </c>
      <c r="E9449" s="17"/>
      <c r="F9449" s="18"/>
      <c r="G9449" s="36" t="str">
        <f>IF(ISNUMBER(F9449),C9449*F9449,"")</f>
        <v/>
      </c>
    </row>
    <row r="9450" spans="1:7" ht="12" customHeight="1" outlineLevel="2" x14ac:dyDescent="0.2">
      <c r="A9450" s="14" t="s">
        <v>18586</v>
      </c>
      <c r="B9450" s="15" t="s">
        <v>18587</v>
      </c>
      <c r="C9450" s="16">
        <f>412.8/(1+B2)</f>
        <v>412.8</v>
      </c>
      <c r="D9450" s="17" t="s">
        <v>11</v>
      </c>
      <c r="E9450" s="17" t="s">
        <v>11</v>
      </c>
      <c r="F9450" s="18"/>
      <c r="G9450" s="36" t="str">
        <f>IF(ISNUMBER(F9450),C9450*F9450,"")</f>
        <v/>
      </c>
    </row>
    <row r="9451" spans="1:7" ht="12" customHeight="1" outlineLevel="2" x14ac:dyDescent="0.2">
      <c r="A9451" s="14" t="s">
        <v>18588</v>
      </c>
      <c r="B9451" s="15" t="s">
        <v>18589</v>
      </c>
      <c r="C9451" s="16">
        <f>504.54/(1+B2)</f>
        <v>504.54</v>
      </c>
      <c r="D9451" s="17" t="s">
        <v>11</v>
      </c>
      <c r="E9451" s="17" t="s">
        <v>11</v>
      </c>
      <c r="F9451" s="18"/>
      <c r="G9451" s="36" t="str">
        <f>IF(ISNUMBER(F9451),C9451*F9451,"")</f>
        <v/>
      </c>
    </row>
    <row r="9452" spans="1:7" ht="12" customHeight="1" outlineLevel="2" x14ac:dyDescent="0.2">
      <c r="A9452" s="14" t="s">
        <v>18590</v>
      </c>
      <c r="B9452" s="15" t="s">
        <v>18591</v>
      </c>
      <c r="C9452" s="16">
        <f>504.54/(1+B2)</f>
        <v>504.54</v>
      </c>
      <c r="D9452" s="17" t="s">
        <v>11</v>
      </c>
      <c r="E9452" s="17"/>
      <c r="F9452" s="18"/>
      <c r="G9452" s="36" t="str">
        <f>IF(ISNUMBER(F9452),C9452*F9452,"")</f>
        <v/>
      </c>
    </row>
    <row r="9453" spans="1:7" ht="12" customHeight="1" outlineLevel="2" x14ac:dyDescent="0.2">
      <c r="A9453" s="14" t="s">
        <v>18592</v>
      </c>
      <c r="B9453" s="15" t="s">
        <v>18593</v>
      </c>
      <c r="C9453" s="16">
        <f>366.94/(1+B2)</f>
        <v>366.94</v>
      </c>
      <c r="D9453" s="17" t="s">
        <v>11</v>
      </c>
      <c r="E9453" s="17"/>
      <c r="F9453" s="18"/>
      <c r="G9453" s="36" t="str">
        <f>IF(ISNUMBER(F9453),C9453*F9453,"")</f>
        <v/>
      </c>
    </row>
    <row r="9454" spans="1:7" ht="12" customHeight="1" outlineLevel="2" x14ac:dyDescent="0.2">
      <c r="A9454" s="14" t="s">
        <v>18594</v>
      </c>
      <c r="B9454" s="15" t="s">
        <v>18595</v>
      </c>
      <c r="C9454" s="16">
        <f>305.78/(1+B2)</f>
        <v>305.77999999999997</v>
      </c>
      <c r="D9454" s="17" t="s">
        <v>11</v>
      </c>
      <c r="E9454" s="17" t="s">
        <v>11</v>
      </c>
      <c r="F9454" s="18"/>
      <c r="G9454" s="36" t="str">
        <f>IF(ISNUMBER(F9454),C9454*F9454,"")</f>
        <v/>
      </c>
    </row>
    <row r="9455" spans="1:7" ht="12" customHeight="1" outlineLevel="2" x14ac:dyDescent="0.2">
      <c r="A9455" s="14" t="s">
        <v>18596</v>
      </c>
      <c r="B9455" s="15" t="s">
        <v>18597</v>
      </c>
      <c r="C9455" s="16">
        <f>504.54/(1+B2)</f>
        <v>504.54</v>
      </c>
      <c r="D9455" s="17" t="s">
        <v>11</v>
      </c>
      <c r="E9455" s="17" t="s">
        <v>11</v>
      </c>
      <c r="F9455" s="18"/>
      <c r="G9455" s="36" t="str">
        <f>IF(ISNUMBER(F9455),C9455*F9455,"")</f>
        <v/>
      </c>
    </row>
    <row r="9456" spans="1:7" ht="12" customHeight="1" outlineLevel="2" x14ac:dyDescent="0.2">
      <c r="A9456" s="14" t="s">
        <v>18598</v>
      </c>
      <c r="B9456" s="15" t="s">
        <v>18599</v>
      </c>
      <c r="C9456" s="16">
        <f>305.78/(1+B2)</f>
        <v>305.77999999999997</v>
      </c>
      <c r="D9456" s="17" t="s">
        <v>11</v>
      </c>
      <c r="E9456" s="17"/>
      <c r="F9456" s="18"/>
      <c r="G9456" s="36" t="str">
        <f>IF(ISNUMBER(F9456),C9456*F9456,"")</f>
        <v/>
      </c>
    </row>
    <row r="9457" spans="1:7" ht="12" customHeight="1" outlineLevel="2" x14ac:dyDescent="0.2">
      <c r="A9457" s="14" t="s">
        <v>18600</v>
      </c>
      <c r="B9457" s="15" t="s">
        <v>18601</v>
      </c>
      <c r="C9457" s="16">
        <f>412.8/(1+B2)</f>
        <v>412.8</v>
      </c>
      <c r="D9457" s="17" t="s">
        <v>11</v>
      </c>
      <c r="E9457" s="17"/>
      <c r="F9457" s="18"/>
      <c r="G9457" s="36" t="str">
        <f>IF(ISNUMBER(F9457),C9457*F9457,"")</f>
        <v/>
      </c>
    </row>
    <row r="9458" spans="1:7" ht="12" customHeight="1" outlineLevel="2" x14ac:dyDescent="0.2">
      <c r="A9458" s="14" t="s">
        <v>18602</v>
      </c>
      <c r="B9458" s="15" t="s">
        <v>18603</v>
      </c>
      <c r="C9458" s="16">
        <f>447.25/(1+B2)</f>
        <v>447.25</v>
      </c>
      <c r="D9458" s="17" t="s">
        <v>11</v>
      </c>
      <c r="E9458" s="17"/>
      <c r="F9458" s="18"/>
      <c r="G9458" s="36" t="str">
        <f>IF(ISNUMBER(F9458),C9458*F9458,"")</f>
        <v/>
      </c>
    </row>
    <row r="9459" spans="1:7" ht="12" customHeight="1" outlineLevel="2" x14ac:dyDescent="0.2">
      <c r="A9459" s="14" t="s">
        <v>18604</v>
      </c>
      <c r="B9459" s="15" t="s">
        <v>18605</v>
      </c>
      <c r="C9459" s="16">
        <f>257.25/(1+B2)</f>
        <v>257.25</v>
      </c>
      <c r="D9459" s="17" t="s">
        <v>11</v>
      </c>
      <c r="E9459" s="17" t="s">
        <v>11</v>
      </c>
      <c r="F9459" s="18"/>
      <c r="G9459" s="36" t="str">
        <f>IF(ISNUMBER(F9459),C9459*F9459,"")</f>
        <v/>
      </c>
    </row>
    <row r="9460" spans="1:7" s="1" customFormat="1" ht="15.95" customHeight="1" outlineLevel="1" x14ac:dyDescent="0.25">
      <c r="A9460" s="11"/>
      <c r="B9460" s="12" t="s">
        <v>18606</v>
      </c>
      <c r="C9460" s="13"/>
      <c r="D9460" s="13"/>
      <c r="E9460" s="13"/>
      <c r="F9460" s="13"/>
      <c r="G9460" s="35"/>
    </row>
    <row r="9461" spans="1:7" ht="12" customHeight="1" outlineLevel="2" x14ac:dyDescent="0.2">
      <c r="A9461" s="14" t="s">
        <v>18607</v>
      </c>
      <c r="B9461" s="15" t="s">
        <v>18608</v>
      </c>
      <c r="C9461" s="16">
        <f>268.36/(1+B2)</f>
        <v>268.36</v>
      </c>
      <c r="D9461" s="17" t="s">
        <v>11</v>
      </c>
      <c r="E9461" s="17"/>
      <c r="F9461" s="18"/>
      <c r="G9461" s="36" t="str">
        <f>IF(ISNUMBER(F9461),C9461*F9461,"")</f>
        <v/>
      </c>
    </row>
    <row r="9462" spans="1:7" ht="12" customHeight="1" outlineLevel="2" x14ac:dyDescent="0.2">
      <c r="A9462" s="14" t="s">
        <v>18609</v>
      </c>
      <c r="B9462" s="15" t="s">
        <v>18610</v>
      </c>
      <c r="C9462" s="16">
        <f>256.93/(1+B2)</f>
        <v>256.93</v>
      </c>
      <c r="D9462" s="17" t="s">
        <v>11</v>
      </c>
      <c r="E9462" s="17"/>
      <c r="F9462" s="18"/>
      <c r="G9462" s="36" t="str">
        <f>IF(ISNUMBER(F9462),C9462*F9462,"")</f>
        <v/>
      </c>
    </row>
    <row r="9463" spans="1:7" ht="12" customHeight="1" outlineLevel="2" x14ac:dyDescent="0.2">
      <c r="A9463" s="14" t="s">
        <v>18611</v>
      </c>
      <c r="B9463" s="15" t="s">
        <v>18612</v>
      </c>
      <c r="C9463" s="16">
        <f>294.08/(1+B2)</f>
        <v>294.08</v>
      </c>
      <c r="D9463" s="17" t="s">
        <v>11</v>
      </c>
      <c r="E9463" s="17"/>
      <c r="F9463" s="18"/>
      <c r="G9463" s="36" t="str">
        <f>IF(ISNUMBER(F9463),C9463*F9463,"")</f>
        <v/>
      </c>
    </row>
    <row r="9464" spans="1:7" ht="12" customHeight="1" outlineLevel="2" x14ac:dyDescent="0.2">
      <c r="A9464" s="14" t="s">
        <v>18613</v>
      </c>
      <c r="B9464" s="15" t="s">
        <v>18614</v>
      </c>
      <c r="C9464" s="16">
        <f>275.94/(1+B2)</f>
        <v>275.94</v>
      </c>
      <c r="D9464" s="17" t="s">
        <v>11</v>
      </c>
      <c r="E9464" s="17"/>
      <c r="F9464" s="18"/>
      <c r="G9464" s="36" t="str">
        <f>IF(ISNUMBER(F9464),C9464*F9464,"")</f>
        <v/>
      </c>
    </row>
    <row r="9465" spans="1:7" ht="24" customHeight="1" outlineLevel="2" x14ac:dyDescent="0.2">
      <c r="A9465" s="14" t="s">
        <v>18615</v>
      </c>
      <c r="B9465" s="15" t="s">
        <v>18616</v>
      </c>
      <c r="C9465" s="16">
        <f>249.5/(1+B2)</f>
        <v>249.5</v>
      </c>
      <c r="D9465" s="17" t="s">
        <v>11</v>
      </c>
      <c r="E9465" s="17"/>
      <c r="F9465" s="18"/>
      <c r="G9465" s="36" t="str">
        <f>IF(ISNUMBER(F9465),C9465*F9465,"")</f>
        <v/>
      </c>
    </row>
    <row r="9466" spans="1:7" ht="12" customHeight="1" outlineLevel="2" x14ac:dyDescent="0.2">
      <c r="A9466" s="14" t="s">
        <v>18617</v>
      </c>
      <c r="B9466" s="15" t="s">
        <v>18618</v>
      </c>
      <c r="C9466" s="16">
        <f>121.72/(1+B2)</f>
        <v>121.72</v>
      </c>
      <c r="D9466" s="17" t="s">
        <v>11</v>
      </c>
      <c r="E9466" s="17"/>
      <c r="F9466" s="18"/>
      <c r="G9466" s="36" t="str">
        <f>IF(ISNUMBER(F9466),C9466*F9466,"")</f>
        <v/>
      </c>
    </row>
    <row r="9467" spans="1:7" ht="24" customHeight="1" outlineLevel="2" x14ac:dyDescent="0.2">
      <c r="A9467" s="14" t="s">
        <v>18619</v>
      </c>
      <c r="B9467" s="15" t="s">
        <v>18620</v>
      </c>
      <c r="C9467" s="16">
        <f>179.77/(1+B2)</f>
        <v>179.77</v>
      </c>
      <c r="D9467" s="17" t="s">
        <v>11</v>
      </c>
      <c r="E9467" s="17"/>
      <c r="F9467" s="18"/>
      <c r="G9467" s="36" t="str">
        <f>IF(ISNUMBER(F9467),C9467*F9467,"")</f>
        <v/>
      </c>
    </row>
    <row r="9468" spans="1:7" ht="12" customHeight="1" outlineLevel="2" x14ac:dyDescent="0.2">
      <c r="A9468" s="14" t="s">
        <v>18621</v>
      </c>
      <c r="B9468" s="15" t="s">
        <v>18622</v>
      </c>
      <c r="C9468" s="16">
        <f>239.81/(1+B2)</f>
        <v>239.81</v>
      </c>
      <c r="D9468" s="17" t="s">
        <v>11</v>
      </c>
      <c r="E9468" s="17"/>
      <c r="F9468" s="18"/>
      <c r="G9468" s="36" t="str">
        <f>IF(ISNUMBER(F9468),C9468*F9468,"")</f>
        <v/>
      </c>
    </row>
    <row r="9469" spans="1:7" ht="12" customHeight="1" outlineLevel="2" x14ac:dyDescent="0.2">
      <c r="A9469" s="14" t="s">
        <v>18623</v>
      </c>
      <c r="B9469" s="15" t="s">
        <v>18624</v>
      </c>
      <c r="C9469" s="16">
        <f>239.81/(1+B2)</f>
        <v>239.81</v>
      </c>
      <c r="D9469" s="17" t="s">
        <v>11</v>
      </c>
      <c r="E9469" s="17"/>
      <c r="F9469" s="18"/>
      <c r="G9469" s="36" t="str">
        <f>IF(ISNUMBER(F9469),C9469*F9469,"")</f>
        <v/>
      </c>
    </row>
    <row r="9470" spans="1:7" ht="12" customHeight="1" outlineLevel="2" x14ac:dyDescent="0.2">
      <c r="A9470" s="14" t="s">
        <v>18625</v>
      </c>
      <c r="B9470" s="15" t="s">
        <v>18626</v>
      </c>
      <c r="C9470" s="16">
        <f>239.81/(1+B2)</f>
        <v>239.81</v>
      </c>
      <c r="D9470" s="17" t="s">
        <v>11</v>
      </c>
      <c r="E9470" s="17"/>
      <c r="F9470" s="18"/>
      <c r="G9470" s="36" t="str">
        <f>IF(ISNUMBER(F9470),C9470*F9470,"")</f>
        <v/>
      </c>
    </row>
    <row r="9471" spans="1:7" ht="12" customHeight="1" outlineLevel="2" x14ac:dyDescent="0.2">
      <c r="A9471" s="14" t="s">
        <v>18627</v>
      </c>
      <c r="B9471" s="15" t="s">
        <v>18628</v>
      </c>
      <c r="C9471" s="16">
        <f>239.81/(1+B2)</f>
        <v>239.81</v>
      </c>
      <c r="D9471" s="17" t="s">
        <v>11</v>
      </c>
      <c r="E9471" s="17"/>
      <c r="F9471" s="18"/>
      <c r="G9471" s="36" t="str">
        <f>IF(ISNUMBER(F9471),C9471*F9471,"")</f>
        <v/>
      </c>
    </row>
    <row r="9472" spans="1:7" ht="12" customHeight="1" outlineLevel="2" x14ac:dyDescent="0.2">
      <c r="A9472" s="14" t="s">
        <v>18629</v>
      </c>
      <c r="B9472" s="15" t="s">
        <v>18630</v>
      </c>
      <c r="C9472" s="16">
        <f>235.24/(1+B2)</f>
        <v>235.24</v>
      </c>
      <c r="D9472" s="17" t="s">
        <v>11</v>
      </c>
      <c r="E9472" s="17"/>
      <c r="F9472" s="18"/>
      <c r="G9472" s="36" t="str">
        <f>IF(ISNUMBER(F9472),C9472*F9472,"")</f>
        <v/>
      </c>
    </row>
    <row r="9473" spans="1:7" ht="12" customHeight="1" outlineLevel="2" x14ac:dyDescent="0.2">
      <c r="A9473" s="14" t="s">
        <v>18631</v>
      </c>
      <c r="B9473" s="15" t="s">
        <v>18632</v>
      </c>
      <c r="C9473" s="16">
        <f>235.24/(1+B2)</f>
        <v>235.24</v>
      </c>
      <c r="D9473" s="17" t="s">
        <v>11</v>
      </c>
      <c r="E9473" s="17"/>
      <c r="F9473" s="18"/>
      <c r="G9473" s="36" t="str">
        <f>IF(ISNUMBER(F9473),C9473*F9473,"")</f>
        <v/>
      </c>
    </row>
    <row r="9474" spans="1:7" ht="12" customHeight="1" outlineLevel="2" x14ac:dyDescent="0.2">
      <c r="A9474" s="14" t="s">
        <v>18633</v>
      </c>
      <c r="B9474" s="15" t="s">
        <v>18634</v>
      </c>
      <c r="C9474" s="16">
        <f>235.24/(1+B2)</f>
        <v>235.24</v>
      </c>
      <c r="D9474" s="17" t="s">
        <v>11</v>
      </c>
      <c r="E9474" s="17"/>
      <c r="F9474" s="18"/>
      <c r="G9474" s="36" t="str">
        <f>IF(ISNUMBER(F9474),C9474*F9474,"")</f>
        <v/>
      </c>
    </row>
    <row r="9475" spans="1:7" ht="12" customHeight="1" outlineLevel="2" x14ac:dyDescent="0.2">
      <c r="A9475" s="14" t="s">
        <v>18635</v>
      </c>
      <c r="B9475" s="15" t="s">
        <v>18636</v>
      </c>
      <c r="C9475" s="16">
        <f>235.24/(1+B2)</f>
        <v>235.24</v>
      </c>
      <c r="D9475" s="17" t="s">
        <v>11</v>
      </c>
      <c r="E9475" s="17"/>
      <c r="F9475" s="18"/>
      <c r="G9475" s="36" t="str">
        <f>IF(ISNUMBER(F9475),C9475*F9475,"")</f>
        <v/>
      </c>
    </row>
    <row r="9476" spans="1:7" ht="24" customHeight="1" outlineLevel="2" x14ac:dyDescent="0.2">
      <c r="A9476" s="14" t="s">
        <v>18637</v>
      </c>
      <c r="B9476" s="15" t="s">
        <v>18638</v>
      </c>
      <c r="C9476" s="19">
        <f>1267.68/(1+B2)</f>
        <v>1267.68</v>
      </c>
      <c r="D9476" s="17" t="s">
        <v>11</v>
      </c>
      <c r="E9476" s="17"/>
      <c r="F9476" s="18"/>
      <c r="G9476" s="36" t="str">
        <f>IF(ISNUMBER(F9476),C9476*F9476,"")</f>
        <v/>
      </c>
    </row>
    <row r="9477" spans="1:7" ht="12" customHeight="1" outlineLevel="2" x14ac:dyDescent="0.2">
      <c r="A9477" s="14" t="s">
        <v>18639</v>
      </c>
      <c r="B9477" s="15" t="s">
        <v>18640</v>
      </c>
      <c r="C9477" s="16">
        <f>275.75/(1+B2)</f>
        <v>275.75</v>
      </c>
      <c r="D9477" s="17" t="s">
        <v>11</v>
      </c>
      <c r="E9477" s="17"/>
      <c r="F9477" s="18"/>
      <c r="G9477" s="36" t="str">
        <f>IF(ISNUMBER(F9477),C9477*F9477,"")</f>
        <v/>
      </c>
    </row>
    <row r="9478" spans="1:7" ht="12" customHeight="1" outlineLevel="2" x14ac:dyDescent="0.2">
      <c r="A9478" s="14" t="s">
        <v>18641</v>
      </c>
      <c r="B9478" s="15" t="s">
        <v>18642</v>
      </c>
      <c r="C9478" s="16">
        <f>71/(1+B2)</f>
        <v>71</v>
      </c>
      <c r="D9478" s="17" t="s">
        <v>11</v>
      </c>
      <c r="E9478" s="17"/>
      <c r="F9478" s="18"/>
      <c r="G9478" s="36" t="str">
        <f>IF(ISNUMBER(F9478),C9478*F9478,"")</f>
        <v/>
      </c>
    </row>
    <row r="9479" spans="1:7" ht="24" customHeight="1" outlineLevel="2" x14ac:dyDescent="0.2">
      <c r="A9479" s="14" t="s">
        <v>18643</v>
      </c>
      <c r="B9479" s="15" t="s">
        <v>18644</v>
      </c>
      <c r="C9479" s="16">
        <f>360.54/(1+B2)</f>
        <v>360.54</v>
      </c>
      <c r="D9479" s="17" t="s">
        <v>11</v>
      </c>
      <c r="E9479" s="17"/>
      <c r="F9479" s="18"/>
      <c r="G9479" s="36" t="str">
        <f>IF(ISNUMBER(F9479),C9479*F9479,"")</f>
        <v/>
      </c>
    </row>
    <row r="9480" spans="1:7" ht="24" customHeight="1" outlineLevel="2" x14ac:dyDescent="0.2">
      <c r="A9480" s="14" t="s">
        <v>18645</v>
      </c>
      <c r="B9480" s="15" t="s">
        <v>18646</v>
      </c>
      <c r="C9480" s="16">
        <f>252.64/(1+B2)</f>
        <v>252.64</v>
      </c>
      <c r="D9480" s="17" t="s">
        <v>11</v>
      </c>
      <c r="E9480" s="17"/>
      <c r="F9480" s="18"/>
      <c r="G9480" s="36" t="str">
        <f>IF(ISNUMBER(F9480),C9480*F9480,"")</f>
        <v/>
      </c>
    </row>
    <row r="9481" spans="1:7" ht="24" customHeight="1" outlineLevel="2" x14ac:dyDescent="0.2">
      <c r="A9481" s="14" t="s">
        <v>18647</v>
      </c>
      <c r="B9481" s="15" t="s">
        <v>18648</v>
      </c>
      <c r="C9481" s="16">
        <f>331.45/(1+B2)</f>
        <v>331.45</v>
      </c>
      <c r="D9481" s="17" t="s">
        <v>11</v>
      </c>
      <c r="E9481" s="17"/>
      <c r="F9481" s="18"/>
      <c r="G9481" s="36" t="str">
        <f>IF(ISNUMBER(F9481),C9481*F9481,"")</f>
        <v/>
      </c>
    </row>
    <row r="9482" spans="1:7" ht="24" customHeight="1" outlineLevel="2" x14ac:dyDescent="0.2">
      <c r="A9482" s="14" t="s">
        <v>18649</v>
      </c>
      <c r="B9482" s="15" t="s">
        <v>18650</v>
      </c>
      <c r="C9482" s="19">
        <f>1331.07/(1+B2)</f>
        <v>1331.07</v>
      </c>
      <c r="D9482" s="17" t="s">
        <v>11</v>
      </c>
      <c r="E9482" s="17"/>
      <c r="F9482" s="18"/>
      <c r="G9482" s="36" t="str">
        <f>IF(ISNUMBER(F9482),C9482*F9482,"")</f>
        <v/>
      </c>
    </row>
    <row r="9483" spans="1:7" ht="24" customHeight="1" outlineLevel="2" x14ac:dyDescent="0.2">
      <c r="A9483" s="14" t="s">
        <v>18651</v>
      </c>
      <c r="B9483" s="15" t="s">
        <v>18652</v>
      </c>
      <c r="C9483" s="16">
        <f>251.22/(1+B2)</f>
        <v>251.22</v>
      </c>
      <c r="D9483" s="17" t="s">
        <v>11</v>
      </c>
      <c r="E9483" s="17"/>
      <c r="F9483" s="18"/>
      <c r="G9483" s="36" t="str">
        <f>IF(ISNUMBER(F9483),C9483*F9483,"")</f>
        <v/>
      </c>
    </row>
    <row r="9484" spans="1:7" ht="24" customHeight="1" outlineLevel="2" x14ac:dyDescent="0.2">
      <c r="A9484" s="14" t="s">
        <v>18653</v>
      </c>
      <c r="B9484" s="15" t="s">
        <v>18654</v>
      </c>
      <c r="C9484" s="16">
        <f>379.07/(1+B2)</f>
        <v>379.07</v>
      </c>
      <c r="D9484" s="17" t="s">
        <v>11</v>
      </c>
      <c r="E9484" s="17"/>
      <c r="F9484" s="18"/>
      <c r="G9484" s="36" t="str">
        <f>IF(ISNUMBER(F9484),C9484*F9484,"")</f>
        <v/>
      </c>
    </row>
    <row r="9485" spans="1:7" ht="24" customHeight="1" outlineLevel="2" x14ac:dyDescent="0.2">
      <c r="A9485" s="14" t="s">
        <v>18655</v>
      </c>
      <c r="B9485" s="15" t="s">
        <v>18656</v>
      </c>
      <c r="C9485" s="16">
        <f>307.52/(1+B2)</f>
        <v>307.52</v>
      </c>
      <c r="D9485" s="17" t="s">
        <v>11</v>
      </c>
      <c r="E9485" s="17"/>
      <c r="F9485" s="18"/>
      <c r="G9485" s="36" t="str">
        <f>IF(ISNUMBER(F9485),C9485*F9485,"")</f>
        <v/>
      </c>
    </row>
    <row r="9486" spans="1:7" s="1" customFormat="1" ht="15.95" customHeight="1" outlineLevel="1" x14ac:dyDescent="0.25">
      <c r="A9486" s="11"/>
      <c r="B9486" s="12" t="s">
        <v>18657</v>
      </c>
      <c r="C9486" s="13"/>
      <c r="D9486" s="13"/>
      <c r="E9486" s="13"/>
      <c r="F9486" s="13"/>
      <c r="G9486" s="35"/>
    </row>
    <row r="9487" spans="1:7" ht="24" customHeight="1" outlineLevel="2" x14ac:dyDescent="0.2">
      <c r="A9487" s="14" t="s">
        <v>18658</v>
      </c>
      <c r="B9487" s="15" t="s">
        <v>18659</v>
      </c>
      <c r="C9487" s="16">
        <f>39.97/(1+B2)</f>
        <v>39.97</v>
      </c>
      <c r="D9487" s="17" t="s">
        <v>11</v>
      </c>
      <c r="E9487" s="17" t="s">
        <v>14</v>
      </c>
      <c r="F9487" s="18"/>
      <c r="G9487" s="36" t="str">
        <f>IF(ISNUMBER(F9487),C9487*F9487,"")</f>
        <v/>
      </c>
    </row>
    <row r="9488" spans="1:7" ht="12" customHeight="1" outlineLevel="2" x14ac:dyDescent="0.2">
      <c r="A9488" s="14" t="s">
        <v>18660</v>
      </c>
      <c r="B9488" s="15" t="s">
        <v>18661</v>
      </c>
      <c r="C9488" s="16">
        <f>251.22/(1+B2)</f>
        <v>251.22</v>
      </c>
      <c r="D9488" s="17" t="s">
        <v>11</v>
      </c>
      <c r="E9488" s="17" t="s">
        <v>11</v>
      </c>
      <c r="F9488" s="18"/>
      <c r="G9488" s="36" t="str">
        <f>IF(ISNUMBER(F9488),C9488*F9488,"")</f>
        <v/>
      </c>
    </row>
    <row r="9489" spans="1:7" ht="12" customHeight="1" outlineLevel="2" x14ac:dyDescent="0.2">
      <c r="A9489" s="14" t="s">
        <v>18662</v>
      </c>
      <c r="B9489" s="15" t="s">
        <v>18663</v>
      </c>
      <c r="C9489" s="16">
        <f>216.96/(1+B2)</f>
        <v>216.96</v>
      </c>
      <c r="D9489" s="17" t="s">
        <v>11</v>
      </c>
      <c r="E9489" s="17" t="s">
        <v>11</v>
      </c>
      <c r="F9489" s="18"/>
      <c r="G9489" s="36" t="str">
        <f>IF(ISNUMBER(F9489),C9489*F9489,"")</f>
        <v/>
      </c>
    </row>
    <row r="9490" spans="1:7" ht="12" customHeight="1" outlineLevel="2" x14ac:dyDescent="0.2">
      <c r="A9490" s="14" t="s">
        <v>18664</v>
      </c>
      <c r="B9490" s="15" t="s">
        <v>18665</v>
      </c>
      <c r="C9490" s="16">
        <f>162.94/(1+B2)</f>
        <v>162.94</v>
      </c>
      <c r="D9490" s="17" t="s">
        <v>11</v>
      </c>
      <c r="E9490" s="17"/>
      <c r="F9490" s="18"/>
      <c r="G9490" s="36" t="str">
        <f>IF(ISNUMBER(F9490),C9490*F9490,"")</f>
        <v/>
      </c>
    </row>
    <row r="9491" spans="1:7" ht="24" customHeight="1" outlineLevel="2" x14ac:dyDescent="0.2">
      <c r="A9491" s="14" t="s">
        <v>18666</v>
      </c>
      <c r="B9491" s="15" t="s">
        <v>18667</v>
      </c>
      <c r="C9491" s="16">
        <f>91.36/(1+B2)</f>
        <v>91.36</v>
      </c>
      <c r="D9491" s="17" t="s">
        <v>11</v>
      </c>
      <c r="E9491" s="17" t="s">
        <v>11</v>
      </c>
      <c r="F9491" s="18"/>
      <c r="G9491" s="36" t="str">
        <f>IF(ISNUMBER(F9491),C9491*F9491,"")</f>
        <v/>
      </c>
    </row>
    <row r="9492" spans="1:7" ht="24" customHeight="1" outlineLevel="2" x14ac:dyDescent="0.2">
      <c r="A9492" s="14" t="s">
        <v>18668</v>
      </c>
      <c r="B9492" s="15" t="s">
        <v>18669</v>
      </c>
      <c r="C9492" s="16">
        <f>148.45/(1+B2)</f>
        <v>148.44999999999999</v>
      </c>
      <c r="D9492" s="17" t="s">
        <v>11</v>
      </c>
      <c r="E9492" s="17" t="s">
        <v>11</v>
      </c>
      <c r="F9492" s="18"/>
      <c r="G9492" s="36" t="str">
        <f>IF(ISNUMBER(F9492),C9492*F9492,"")</f>
        <v/>
      </c>
    </row>
    <row r="9493" spans="1:7" ht="12" customHeight="1" outlineLevel="2" x14ac:dyDescent="0.2">
      <c r="A9493" s="14" t="s">
        <v>18670</v>
      </c>
      <c r="B9493" s="15" t="s">
        <v>18671</v>
      </c>
      <c r="C9493" s="16">
        <f>874.69/(1+B2)</f>
        <v>874.69</v>
      </c>
      <c r="D9493" s="17" t="s">
        <v>11</v>
      </c>
      <c r="E9493" s="17"/>
      <c r="F9493" s="18"/>
      <c r="G9493" s="36" t="str">
        <f>IF(ISNUMBER(F9493),C9493*F9493,"")</f>
        <v/>
      </c>
    </row>
    <row r="9494" spans="1:7" ht="12" customHeight="1" outlineLevel="2" x14ac:dyDescent="0.2">
      <c r="A9494" s="14" t="s">
        <v>18672</v>
      </c>
      <c r="B9494" s="15" t="s">
        <v>18673</v>
      </c>
      <c r="C9494" s="16">
        <f>460.58/(1+B2)</f>
        <v>460.58</v>
      </c>
      <c r="D9494" s="17" t="s">
        <v>11</v>
      </c>
      <c r="E9494" s="17"/>
      <c r="F9494" s="18"/>
      <c r="G9494" s="36" t="str">
        <f>IF(ISNUMBER(F9494),C9494*F9494,"")</f>
        <v/>
      </c>
    </row>
    <row r="9495" spans="1:7" s="1" customFormat="1" ht="15.95" customHeight="1" outlineLevel="1" x14ac:dyDescent="0.25">
      <c r="A9495" s="11"/>
      <c r="B9495" s="12" t="s">
        <v>18674</v>
      </c>
      <c r="C9495" s="13"/>
      <c r="D9495" s="13"/>
      <c r="E9495" s="13"/>
      <c r="F9495" s="13"/>
      <c r="G9495" s="35"/>
    </row>
    <row r="9496" spans="1:7" ht="12" customHeight="1" outlineLevel="2" x14ac:dyDescent="0.2">
      <c r="A9496" s="14" t="s">
        <v>18675</v>
      </c>
      <c r="B9496" s="15" t="s">
        <v>18676</v>
      </c>
      <c r="C9496" s="16">
        <f>80.1/(1+B2)</f>
        <v>80.099999999999994</v>
      </c>
      <c r="D9496" s="17" t="s">
        <v>11</v>
      </c>
      <c r="E9496" s="17"/>
      <c r="F9496" s="18"/>
      <c r="G9496" s="36" t="str">
        <f>IF(ISNUMBER(F9496),C9496*F9496,"")</f>
        <v/>
      </c>
    </row>
    <row r="9497" spans="1:7" ht="12" customHeight="1" outlineLevel="2" x14ac:dyDescent="0.2">
      <c r="A9497" s="14" t="s">
        <v>18677</v>
      </c>
      <c r="B9497" s="15" t="s">
        <v>18678</v>
      </c>
      <c r="C9497" s="16">
        <f>73.36/(1+B2)</f>
        <v>73.36</v>
      </c>
      <c r="D9497" s="17" t="s">
        <v>11</v>
      </c>
      <c r="E9497" s="17"/>
      <c r="F9497" s="18"/>
      <c r="G9497" s="36" t="str">
        <f>IF(ISNUMBER(F9497),C9497*F9497,"")</f>
        <v/>
      </c>
    </row>
    <row r="9498" spans="1:7" ht="12" customHeight="1" outlineLevel="2" x14ac:dyDescent="0.2">
      <c r="A9498" s="14" t="s">
        <v>18679</v>
      </c>
      <c r="B9498" s="15" t="s">
        <v>18680</v>
      </c>
      <c r="C9498" s="16">
        <f>74.1/(1+B2)</f>
        <v>74.099999999999994</v>
      </c>
      <c r="D9498" s="17" t="s">
        <v>11</v>
      </c>
      <c r="E9498" s="17"/>
      <c r="F9498" s="18"/>
      <c r="G9498" s="36" t="str">
        <f>IF(ISNUMBER(F9498),C9498*F9498,"")</f>
        <v/>
      </c>
    </row>
    <row r="9499" spans="1:7" ht="12" customHeight="1" outlineLevel="2" x14ac:dyDescent="0.2">
      <c r="A9499" s="14" t="s">
        <v>18681</v>
      </c>
      <c r="B9499" s="15" t="s">
        <v>18682</v>
      </c>
      <c r="C9499" s="16">
        <f>9.96/(1+B2)</f>
        <v>9.9600000000000009</v>
      </c>
      <c r="D9499" s="17" t="s">
        <v>11</v>
      </c>
      <c r="E9499" s="17" t="s">
        <v>53</v>
      </c>
      <c r="F9499" s="18"/>
      <c r="G9499" s="36" t="str">
        <f>IF(ISNUMBER(F9499),C9499*F9499,"")</f>
        <v/>
      </c>
    </row>
    <row r="9500" spans="1:7" ht="12" customHeight="1" outlineLevel="2" x14ac:dyDescent="0.2">
      <c r="A9500" s="14" t="s">
        <v>18683</v>
      </c>
      <c r="B9500" s="15" t="s">
        <v>18684</v>
      </c>
      <c r="C9500" s="16">
        <f>19.86/(1+B2)</f>
        <v>19.86</v>
      </c>
      <c r="D9500" s="17" t="s">
        <v>14</v>
      </c>
      <c r="E9500" s="17" t="s">
        <v>53</v>
      </c>
      <c r="F9500" s="18"/>
      <c r="G9500" s="36" t="str">
        <f>IF(ISNUMBER(F9500),C9500*F9500,"")</f>
        <v/>
      </c>
    </row>
    <row r="9501" spans="1:7" ht="12" customHeight="1" outlineLevel="2" x14ac:dyDescent="0.2">
      <c r="A9501" s="14" t="s">
        <v>18685</v>
      </c>
      <c r="B9501" s="15" t="s">
        <v>18686</v>
      </c>
      <c r="C9501" s="16">
        <f>24.74/(1+B2)</f>
        <v>24.74</v>
      </c>
      <c r="D9501" s="17" t="s">
        <v>53</v>
      </c>
      <c r="E9501" s="17" t="s">
        <v>14</v>
      </c>
      <c r="F9501" s="18"/>
      <c r="G9501" s="36" t="str">
        <f>IF(ISNUMBER(F9501),C9501*F9501,"")</f>
        <v/>
      </c>
    </row>
    <row r="9502" spans="1:7" ht="12" customHeight="1" outlineLevel="2" x14ac:dyDescent="0.2">
      <c r="A9502" s="14" t="s">
        <v>18687</v>
      </c>
      <c r="B9502" s="15" t="s">
        <v>18688</v>
      </c>
      <c r="C9502" s="16">
        <f>31.92/(1+B2)</f>
        <v>31.92</v>
      </c>
      <c r="D9502" s="17" t="s">
        <v>11</v>
      </c>
      <c r="E9502" s="17" t="s">
        <v>106</v>
      </c>
      <c r="F9502" s="18"/>
      <c r="G9502" s="36" t="str">
        <f>IF(ISNUMBER(F9502),C9502*F9502,"")</f>
        <v/>
      </c>
    </row>
    <row r="9503" spans="1:7" ht="12" customHeight="1" outlineLevel="2" x14ac:dyDescent="0.2">
      <c r="A9503" s="14" t="s">
        <v>18689</v>
      </c>
      <c r="B9503" s="15" t="s">
        <v>18690</v>
      </c>
      <c r="C9503" s="16">
        <f>39/(1+B2)</f>
        <v>39</v>
      </c>
      <c r="D9503" s="17" t="s">
        <v>14</v>
      </c>
      <c r="E9503" s="17" t="s">
        <v>53</v>
      </c>
      <c r="F9503" s="18"/>
      <c r="G9503" s="36" t="str">
        <f>IF(ISNUMBER(F9503),C9503*F9503,"")</f>
        <v/>
      </c>
    </row>
    <row r="9504" spans="1:7" ht="12" customHeight="1" outlineLevel="2" x14ac:dyDescent="0.2">
      <c r="A9504" s="14" t="s">
        <v>18691</v>
      </c>
      <c r="B9504" s="15" t="s">
        <v>18692</v>
      </c>
      <c r="C9504" s="16">
        <f>40.32/(1+B2)</f>
        <v>40.32</v>
      </c>
      <c r="D9504" s="17" t="s">
        <v>53</v>
      </c>
      <c r="E9504" s="17" t="s">
        <v>53</v>
      </c>
      <c r="F9504" s="18"/>
      <c r="G9504" s="36" t="str">
        <f>IF(ISNUMBER(F9504),C9504*F9504,"")</f>
        <v/>
      </c>
    </row>
    <row r="9505" spans="1:7" ht="12" customHeight="1" outlineLevel="2" x14ac:dyDescent="0.2">
      <c r="A9505" s="14" t="s">
        <v>18693</v>
      </c>
      <c r="B9505" s="15" t="s">
        <v>18694</v>
      </c>
      <c r="C9505" s="16">
        <f>45.9/(1+B2)</f>
        <v>45.9</v>
      </c>
      <c r="D9505" s="17" t="s">
        <v>53</v>
      </c>
      <c r="E9505" s="17" t="s">
        <v>14</v>
      </c>
      <c r="F9505" s="18"/>
      <c r="G9505" s="36" t="str">
        <f>IF(ISNUMBER(F9505),C9505*F9505,"")</f>
        <v/>
      </c>
    </row>
    <row r="9506" spans="1:7" ht="12" customHeight="1" outlineLevel="2" x14ac:dyDescent="0.2">
      <c r="A9506" s="14" t="s">
        <v>18695</v>
      </c>
      <c r="B9506" s="15" t="s">
        <v>18696</v>
      </c>
      <c r="C9506" s="16">
        <f>84.78/(1+B2)</f>
        <v>84.78</v>
      </c>
      <c r="D9506" s="17" t="s">
        <v>53</v>
      </c>
      <c r="E9506" s="17" t="s">
        <v>14</v>
      </c>
      <c r="F9506" s="18"/>
      <c r="G9506" s="36" t="str">
        <f>IF(ISNUMBER(F9506),C9506*F9506,"")</f>
        <v/>
      </c>
    </row>
    <row r="9507" spans="1:7" ht="12" customHeight="1" outlineLevel="2" x14ac:dyDescent="0.2">
      <c r="A9507" s="14" t="s">
        <v>18697</v>
      </c>
      <c r="B9507" s="15" t="s">
        <v>18698</v>
      </c>
      <c r="C9507" s="16">
        <f>42.37/(1+B2)</f>
        <v>42.37</v>
      </c>
      <c r="D9507" s="17" t="s">
        <v>11</v>
      </c>
      <c r="E9507" s="17" t="s">
        <v>11</v>
      </c>
      <c r="F9507" s="18"/>
      <c r="G9507" s="36" t="str">
        <f>IF(ISNUMBER(F9507),C9507*F9507,"")</f>
        <v/>
      </c>
    </row>
    <row r="9508" spans="1:7" ht="12" customHeight="1" outlineLevel="2" x14ac:dyDescent="0.2">
      <c r="A9508" s="14" t="s">
        <v>18699</v>
      </c>
      <c r="B9508" s="15" t="s">
        <v>18700</v>
      </c>
      <c r="C9508" s="16">
        <f>17.29/(1+B2)</f>
        <v>17.29</v>
      </c>
      <c r="D9508" s="17" t="s">
        <v>53</v>
      </c>
      <c r="E9508" s="17" t="s">
        <v>106</v>
      </c>
      <c r="F9508" s="18"/>
      <c r="G9508" s="36" t="str">
        <f>IF(ISNUMBER(F9508),C9508*F9508,"")</f>
        <v/>
      </c>
    </row>
    <row r="9509" spans="1:7" ht="12" customHeight="1" outlineLevel="2" x14ac:dyDescent="0.2">
      <c r="A9509" s="14" t="s">
        <v>18701</v>
      </c>
      <c r="B9509" s="15" t="s">
        <v>18702</v>
      </c>
      <c r="C9509" s="16">
        <f>10.79/(1+B2)</f>
        <v>10.79</v>
      </c>
      <c r="D9509" s="17" t="s">
        <v>11</v>
      </c>
      <c r="E9509" s="17" t="s">
        <v>106</v>
      </c>
      <c r="F9509" s="18"/>
      <c r="G9509" s="36" t="str">
        <f>IF(ISNUMBER(F9509),C9509*F9509,"")</f>
        <v/>
      </c>
    </row>
    <row r="9510" spans="1:7" ht="12" customHeight="1" outlineLevel="2" x14ac:dyDescent="0.2">
      <c r="A9510" s="14" t="s">
        <v>18703</v>
      </c>
      <c r="B9510" s="15" t="s">
        <v>18704</v>
      </c>
      <c r="C9510" s="16">
        <f>10.4/(1+B2)</f>
        <v>10.4</v>
      </c>
      <c r="D9510" s="17" t="s">
        <v>53</v>
      </c>
      <c r="E9510" s="17" t="s">
        <v>106</v>
      </c>
      <c r="F9510" s="18"/>
      <c r="G9510" s="36" t="str">
        <f>IF(ISNUMBER(F9510),C9510*F9510,"")</f>
        <v/>
      </c>
    </row>
    <row r="9511" spans="1:7" ht="12" customHeight="1" outlineLevel="2" x14ac:dyDescent="0.2">
      <c r="A9511" s="14" t="s">
        <v>18705</v>
      </c>
      <c r="B9511" s="15" t="s">
        <v>18706</v>
      </c>
      <c r="C9511" s="16">
        <f>14.3/(1+B2)</f>
        <v>14.3</v>
      </c>
      <c r="D9511" s="17" t="s">
        <v>53</v>
      </c>
      <c r="E9511" s="17" t="s">
        <v>11</v>
      </c>
      <c r="F9511" s="18"/>
      <c r="G9511" s="36" t="str">
        <f>IF(ISNUMBER(F9511),C9511*F9511,"")</f>
        <v/>
      </c>
    </row>
    <row r="9512" spans="1:7" ht="12" customHeight="1" outlineLevel="2" x14ac:dyDescent="0.2">
      <c r="A9512" s="14" t="s">
        <v>18707</v>
      </c>
      <c r="B9512" s="15" t="s">
        <v>18708</v>
      </c>
      <c r="C9512" s="16">
        <f>16.25/(1+B2)</f>
        <v>16.25</v>
      </c>
      <c r="D9512" s="17" t="s">
        <v>53</v>
      </c>
      <c r="E9512" s="17" t="s">
        <v>106</v>
      </c>
      <c r="F9512" s="18"/>
      <c r="G9512" s="36" t="str">
        <f>IF(ISNUMBER(F9512),C9512*F9512,"")</f>
        <v/>
      </c>
    </row>
    <row r="9513" spans="1:7" ht="12" customHeight="1" outlineLevel="2" x14ac:dyDescent="0.2">
      <c r="A9513" s="14" t="s">
        <v>18709</v>
      </c>
      <c r="B9513" s="15" t="s">
        <v>18710</v>
      </c>
      <c r="C9513" s="16">
        <f>8.58/(1+B2)</f>
        <v>8.58</v>
      </c>
      <c r="D9513" s="17" t="s">
        <v>53</v>
      </c>
      <c r="E9513" s="17" t="s">
        <v>53</v>
      </c>
      <c r="F9513" s="18"/>
      <c r="G9513" s="36" t="str">
        <f>IF(ISNUMBER(F9513),C9513*F9513,"")</f>
        <v/>
      </c>
    </row>
    <row r="9514" spans="1:7" ht="12" customHeight="1" outlineLevel="2" x14ac:dyDescent="0.2">
      <c r="A9514" s="14" t="s">
        <v>18711</v>
      </c>
      <c r="B9514" s="15" t="s">
        <v>18712</v>
      </c>
      <c r="C9514" s="16">
        <f>9.74/(1+B2)</f>
        <v>9.74</v>
      </c>
      <c r="D9514" s="17" t="s">
        <v>11</v>
      </c>
      <c r="E9514" s="17" t="s">
        <v>106</v>
      </c>
      <c r="F9514" s="18"/>
      <c r="G9514" s="36" t="str">
        <f>IF(ISNUMBER(F9514),C9514*F9514,"")</f>
        <v/>
      </c>
    </row>
    <row r="9515" spans="1:7" ht="12" customHeight="1" outlineLevel="2" x14ac:dyDescent="0.2">
      <c r="A9515" s="14" t="s">
        <v>18713</v>
      </c>
      <c r="B9515" s="15" t="s">
        <v>18714</v>
      </c>
      <c r="C9515" s="16">
        <f>40.1/(1+B2)</f>
        <v>40.1</v>
      </c>
      <c r="D9515" s="17" t="s">
        <v>11</v>
      </c>
      <c r="E9515" s="17" t="s">
        <v>106</v>
      </c>
      <c r="F9515" s="18"/>
      <c r="G9515" s="36" t="str">
        <f>IF(ISNUMBER(F9515),C9515*F9515,"")</f>
        <v/>
      </c>
    </row>
    <row r="9516" spans="1:7" ht="12" customHeight="1" outlineLevel="2" x14ac:dyDescent="0.2">
      <c r="A9516" s="14" t="s">
        <v>18715</v>
      </c>
      <c r="B9516" s="15" t="s">
        <v>18716</v>
      </c>
      <c r="C9516" s="16">
        <f>40.1/(1+B2)</f>
        <v>40.1</v>
      </c>
      <c r="D9516" s="17" t="s">
        <v>11</v>
      </c>
      <c r="E9516" s="17" t="s">
        <v>106</v>
      </c>
      <c r="F9516" s="18"/>
      <c r="G9516" s="36" t="str">
        <f>IF(ISNUMBER(F9516),C9516*F9516,"")</f>
        <v/>
      </c>
    </row>
    <row r="9517" spans="1:7" s="1" customFormat="1" ht="15.95" customHeight="1" outlineLevel="1" x14ac:dyDescent="0.25">
      <c r="A9517" s="11"/>
      <c r="B9517" s="12" t="s">
        <v>18717</v>
      </c>
      <c r="C9517" s="13"/>
      <c r="D9517" s="13"/>
      <c r="E9517" s="13"/>
      <c r="F9517" s="13"/>
      <c r="G9517" s="35"/>
    </row>
    <row r="9518" spans="1:7" ht="24" customHeight="1" outlineLevel="2" x14ac:dyDescent="0.2">
      <c r="A9518" s="14" t="s">
        <v>18718</v>
      </c>
      <c r="B9518" s="15" t="s">
        <v>18719</v>
      </c>
      <c r="C9518" s="16">
        <f>127.26/(1+B2)</f>
        <v>127.26</v>
      </c>
      <c r="D9518" s="17" t="s">
        <v>11</v>
      </c>
      <c r="E9518" s="17"/>
      <c r="F9518" s="18"/>
      <c r="G9518" s="36" t="str">
        <f>IF(ISNUMBER(F9518),C9518*F9518,"")</f>
        <v/>
      </c>
    </row>
    <row r="9519" spans="1:7" ht="24" customHeight="1" outlineLevel="2" x14ac:dyDescent="0.2">
      <c r="A9519" s="14" t="s">
        <v>18720</v>
      </c>
      <c r="B9519" s="15" t="s">
        <v>18721</v>
      </c>
      <c r="C9519" s="16">
        <f>104.98/(1+B2)</f>
        <v>104.98</v>
      </c>
      <c r="D9519" s="17" t="s">
        <v>11</v>
      </c>
      <c r="E9519" s="17"/>
      <c r="F9519" s="18"/>
      <c r="G9519" s="36" t="str">
        <f>IF(ISNUMBER(F9519),C9519*F9519,"")</f>
        <v/>
      </c>
    </row>
    <row r="9520" spans="1:7" ht="12" customHeight="1" outlineLevel="2" x14ac:dyDescent="0.2">
      <c r="A9520" s="14" t="s">
        <v>18722</v>
      </c>
      <c r="B9520" s="15" t="s">
        <v>18723</v>
      </c>
      <c r="C9520" s="16">
        <f>109.86/(1+B2)</f>
        <v>109.86</v>
      </c>
      <c r="D9520" s="17" t="s">
        <v>11</v>
      </c>
      <c r="E9520" s="17"/>
      <c r="F9520" s="18"/>
      <c r="G9520" s="36" t="str">
        <f>IF(ISNUMBER(F9520),C9520*F9520,"")</f>
        <v/>
      </c>
    </row>
    <row r="9521" spans="1:7" ht="12" customHeight="1" outlineLevel="2" x14ac:dyDescent="0.2">
      <c r="A9521" s="14" t="s">
        <v>18724</v>
      </c>
      <c r="B9521" s="15" t="s">
        <v>18725</v>
      </c>
      <c r="C9521" s="16">
        <f>102.6/(1+B2)</f>
        <v>102.6</v>
      </c>
      <c r="D9521" s="17" t="s">
        <v>11</v>
      </c>
      <c r="E9521" s="17"/>
      <c r="F9521" s="18"/>
      <c r="G9521" s="36" t="str">
        <f>IF(ISNUMBER(F9521),C9521*F9521,"")</f>
        <v/>
      </c>
    </row>
    <row r="9522" spans="1:7" ht="12" customHeight="1" outlineLevel="2" x14ac:dyDescent="0.2">
      <c r="A9522" s="14" t="s">
        <v>18726</v>
      </c>
      <c r="B9522" s="15" t="s">
        <v>18727</v>
      </c>
      <c r="C9522" s="16">
        <f>42.25/(1+B2)</f>
        <v>42.25</v>
      </c>
      <c r="D9522" s="17" t="s">
        <v>11</v>
      </c>
      <c r="E9522" s="17" t="s">
        <v>11</v>
      </c>
      <c r="F9522" s="18"/>
      <c r="G9522" s="36" t="str">
        <f>IF(ISNUMBER(F9522),C9522*F9522,"")</f>
        <v/>
      </c>
    </row>
    <row r="9523" spans="1:7" ht="12" customHeight="1" outlineLevel="2" x14ac:dyDescent="0.2">
      <c r="A9523" s="14" t="s">
        <v>18728</v>
      </c>
      <c r="B9523" s="15" t="s">
        <v>18729</v>
      </c>
      <c r="C9523" s="16">
        <f>118.51/(1+B2)</f>
        <v>118.51</v>
      </c>
      <c r="D9523" s="17" t="s">
        <v>11</v>
      </c>
      <c r="E9523" s="17"/>
      <c r="F9523" s="18"/>
      <c r="G9523" s="36" t="str">
        <f>IF(ISNUMBER(F9523),C9523*F9523,"")</f>
        <v/>
      </c>
    </row>
    <row r="9524" spans="1:7" ht="12" customHeight="1" outlineLevel="2" x14ac:dyDescent="0.2">
      <c r="A9524" s="14" t="s">
        <v>18730</v>
      </c>
      <c r="B9524" s="15" t="s">
        <v>18731</v>
      </c>
      <c r="C9524" s="16">
        <f>48.84/(1+B2)</f>
        <v>48.84</v>
      </c>
      <c r="D9524" s="17" t="s">
        <v>14</v>
      </c>
      <c r="E9524" s="17" t="s">
        <v>53</v>
      </c>
      <c r="F9524" s="18"/>
      <c r="G9524" s="36" t="str">
        <f>IF(ISNUMBER(F9524),C9524*F9524,"")</f>
        <v/>
      </c>
    </row>
    <row r="9525" spans="1:7" ht="12" customHeight="1" outlineLevel="2" x14ac:dyDescent="0.2">
      <c r="A9525" s="14" t="s">
        <v>18732</v>
      </c>
      <c r="B9525" s="15" t="s">
        <v>18733</v>
      </c>
      <c r="C9525" s="16">
        <f>72.24/(1+B2)</f>
        <v>72.239999999999995</v>
      </c>
      <c r="D9525" s="17" t="s">
        <v>11</v>
      </c>
      <c r="E9525" s="17" t="s">
        <v>11</v>
      </c>
      <c r="F9525" s="18"/>
      <c r="G9525" s="36" t="str">
        <f>IF(ISNUMBER(F9525),C9525*F9525,"")</f>
        <v/>
      </c>
    </row>
    <row r="9526" spans="1:7" ht="12" customHeight="1" outlineLevel="2" x14ac:dyDescent="0.2">
      <c r="A9526" s="14" t="s">
        <v>18734</v>
      </c>
      <c r="B9526" s="15" t="s">
        <v>18735</v>
      </c>
      <c r="C9526" s="16">
        <f>66.96/(1+B2)</f>
        <v>66.959999999999994</v>
      </c>
      <c r="D9526" s="17" t="s">
        <v>11</v>
      </c>
      <c r="E9526" s="17"/>
      <c r="F9526" s="18"/>
      <c r="G9526" s="36" t="str">
        <f>IF(ISNUMBER(F9526),C9526*F9526,"")</f>
        <v/>
      </c>
    </row>
    <row r="9527" spans="1:7" ht="12" customHeight="1" outlineLevel="2" x14ac:dyDescent="0.2">
      <c r="A9527" s="14" t="s">
        <v>18736</v>
      </c>
      <c r="B9527" s="15" t="s">
        <v>18737</v>
      </c>
      <c r="C9527" s="16">
        <f>36.58/(1+B2)</f>
        <v>36.58</v>
      </c>
      <c r="D9527" s="17" t="s">
        <v>11</v>
      </c>
      <c r="E9527" s="17" t="s">
        <v>53</v>
      </c>
      <c r="F9527" s="18"/>
      <c r="G9527" s="36" t="str">
        <f>IF(ISNUMBER(F9527),C9527*F9527,"")</f>
        <v/>
      </c>
    </row>
    <row r="9528" spans="1:7" ht="12" customHeight="1" outlineLevel="2" x14ac:dyDescent="0.2">
      <c r="A9528" s="14" t="s">
        <v>18738</v>
      </c>
      <c r="B9528" s="15" t="s">
        <v>18739</v>
      </c>
      <c r="C9528" s="16">
        <f>46.3/(1+B2)</f>
        <v>46.3</v>
      </c>
      <c r="D9528" s="17" t="s">
        <v>11</v>
      </c>
      <c r="E9528" s="17" t="s">
        <v>14</v>
      </c>
      <c r="F9528" s="18"/>
      <c r="G9528" s="36" t="str">
        <f>IF(ISNUMBER(F9528),C9528*F9528,"")</f>
        <v/>
      </c>
    </row>
    <row r="9529" spans="1:7" ht="12" customHeight="1" outlineLevel="2" x14ac:dyDescent="0.2">
      <c r="A9529" s="14" t="s">
        <v>18740</v>
      </c>
      <c r="B9529" s="15" t="s">
        <v>18741</v>
      </c>
      <c r="C9529" s="16">
        <f>66.68/(1+B2)</f>
        <v>66.680000000000007</v>
      </c>
      <c r="D9529" s="17" t="s">
        <v>11</v>
      </c>
      <c r="E9529" s="17" t="s">
        <v>14</v>
      </c>
      <c r="F9529" s="18"/>
      <c r="G9529" s="36" t="str">
        <f>IF(ISNUMBER(F9529),C9529*F9529,"")</f>
        <v/>
      </c>
    </row>
    <row r="9530" spans="1:7" ht="12" customHeight="1" outlineLevel="2" x14ac:dyDescent="0.2">
      <c r="A9530" s="14" t="s">
        <v>18742</v>
      </c>
      <c r="B9530" s="15" t="s">
        <v>18743</v>
      </c>
      <c r="C9530" s="16">
        <f>26.27/(1+B2)</f>
        <v>26.27</v>
      </c>
      <c r="D9530" s="17" t="s">
        <v>11</v>
      </c>
      <c r="E9530" s="17" t="s">
        <v>11</v>
      </c>
      <c r="F9530" s="18"/>
      <c r="G9530" s="36" t="str">
        <f>IF(ISNUMBER(F9530),C9530*F9530,"")</f>
        <v/>
      </c>
    </row>
    <row r="9531" spans="1:7" ht="12" customHeight="1" outlineLevel="2" x14ac:dyDescent="0.2">
      <c r="A9531" s="14" t="s">
        <v>18744</v>
      </c>
      <c r="B9531" s="15" t="s">
        <v>18745</v>
      </c>
      <c r="C9531" s="16">
        <f>78.06/(1+B2)</f>
        <v>78.06</v>
      </c>
      <c r="D9531" s="17" t="s">
        <v>11</v>
      </c>
      <c r="E9531" s="17"/>
      <c r="F9531" s="18"/>
      <c r="G9531" s="36" t="str">
        <f>IF(ISNUMBER(F9531),C9531*F9531,"")</f>
        <v/>
      </c>
    </row>
    <row r="9532" spans="1:7" ht="12" customHeight="1" outlineLevel="2" x14ac:dyDescent="0.2">
      <c r="A9532" s="14" t="s">
        <v>18746</v>
      </c>
      <c r="B9532" s="15" t="s">
        <v>18747</v>
      </c>
      <c r="C9532" s="16">
        <f>78.06/(1+B2)</f>
        <v>78.06</v>
      </c>
      <c r="D9532" s="17" t="s">
        <v>14</v>
      </c>
      <c r="E9532" s="17"/>
      <c r="F9532" s="18"/>
      <c r="G9532" s="36" t="str">
        <f>IF(ISNUMBER(F9532),C9532*F9532,"")</f>
        <v/>
      </c>
    </row>
    <row r="9533" spans="1:7" ht="12" customHeight="1" outlineLevel="2" x14ac:dyDescent="0.2">
      <c r="A9533" s="14" t="s">
        <v>18748</v>
      </c>
      <c r="B9533" s="15" t="s">
        <v>18749</v>
      </c>
      <c r="C9533" s="16">
        <f>38.65/(1+B2)</f>
        <v>38.65</v>
      </c>
      <c r="D9533" s="17" t="s">
        <v>11</v>
      </c>
      <c r="E9533" s="17" t="s">
        <v>11</v>
      </c>
      <c r="F9533" s="18"/>
      <c r="G9533" s="36" t="str">
        <f>IF(ISNUMBER(F9533),C9533*F9533,"")</f>
        <v/>
      </c>
    </row>
    <row r="9534" spans="1:7" ht="12" customHeight="1" outlineLevel="2" x14ac:dyDescent="0.2">
      <c r="A9534" s="14" t="s">
        <v>18750</v>
      </c>
      <c r="B9534" s="15" t="s">
        <v>18751</v>
      </c>
      <c r="C9534" s="16">
        <f>71.64/(1+B2)</f>
        <v>71.64</v>
      </c>
      <c r="D9534" s="17" t="s">
        <v>11</v>
      </c>
      <c r="E9534" s="17"/>
      <c r="F9534" s="18"/>
      <c r="G9534" s="36" t="str">
        <f>IF(ISNUMBER(F9534),C9534*F9534,"")</f>
        <v/>
      </c>
    </row>
    <row r="9535" spans="1:7" ht="12" customHeight="1" outlineLevel="2" x14ac:dyDescent="0.2">
      <c r="A9535" s="14" t="s">
        <v>18752</v>
      </c>
      <c r="B9535" s="15" t="s">
        <v>18753</v>
      </c>
      <c r="C9535" s="16">
        <f>25.2/(1+B2)</f>
        <v>25.2</v>
      </c>
      <c r="D9535" s="17" t="s">
        <v>11</v>
      </c>
      <c r="E9535" s="17" t="s">
        <v>11</v>
      </c>
      <c r="F9535" s="18"/>
      <c r="G9535" s="36" t="str">
        <f>IF(ISNUMBER(F9535),C9535*F9535,"")</f>
        <v/>
      </c>
    </row>
    <row r="9536" spans="1:7" ht="12" customHeight="1" outlineLevel="2" x14ac:dyDescent="0.2">
      <c r="A9536" s="14" t="s">
        <v>18754</v>
      </c>
      <c r="B9536" s="15" t="s">
        <v>18755</v>
      </c>
      <c r="C9536" s="16">
        <f>76.34/(1+B2)</f>
        <v>76.34</v>
      </c>
      <c r="D9536" s="17" t="s">
        <v>11</v>
      </c>
      <c r="E9536" s="17"/>
      <c r="F9536" s="18"/>
      <c r="G9536" s="36" t="str">
        <f>IF(ISNUMBER(F9536),C9536*F9536,"")</f>
        <v/>
      </c>
    </row>
    <row r="9537" spans="1:7" ht="12" customHeight="1" outlineLevel="2" x14ac:dyDescent="0.2">
      <c r="A9537" s="14" t="s">
        <v>18756</v>
      </c>
      <c r="B9537" s="15" t="s">
        <v>18757</v>
      </c>
      <c r="C9537" s="16">
        <f>42.18/(1+B2)</f>
        <v>42.18</v>
      </c>
      <c r="D9537" s="17" t="s">
        <v>11</v>
      </c>
      <c r="E9537" s="17" t="s">
        <v>53</v>
      </c>
      <c r="F9537" s="18"/>
      <c r="G9537" s="36" t="str">
        <f>IF(ISNUMBER(F9537),C9537*F9537,"")</f>
        <v/>
      </c>
    </row>
    <row r="9538" spans="1:7" ht="24" customHeight="1" outlineLevel="2" x14ac:dyDescent="0.2">
      <c r="A9538" s="14" t="s">
        <v>18758</v>
      </c>
      <c r="B9538" s="15" t="s">
        <v>18759</v>
      </c>
      <c r="C9538" s="16">
        <f>67.72/(1+B2)</f>
        <v>67.72</v>
      </c>
      <c r="D9538" s="17" t="s">
        <v>11</v>
      </c>
      <c r="E9538" s="17"/>
      <c r="F9538" s="18"/>
      <c r="G9538" s="36" t="str">
        <f>IF(ISNUMBER(F9538),C9538*F9538,"")</f>
        <v/>
      </c>
    </row>
    <row r="9539" spans="1:7" ht="12" customHeight="1" outlineLevel="2" x14ac:dyDescent="0.2">
      <c r="A9539" s="14" t="s">
        <v>18760</v>
      </c>
      <c r="B9539" s="15" t="s">
        <v>18761</v>
      </c>
      <c r="C9539" s="16">
        <f>25.2/(1+B2)</f>
        <v>25.2</v>
      </c>
      <c r="D9539" s="17" t="s">
        <v>11</v>
      </c>
      <c r="E9539" s="17" t="s">
        <v>11</v>
      </c>
      <c r="F9539" s="18"/>
      <c r="G9539" s="36" t="str">
        <f>IF(ISNUMBER(F9539),C9539*F9539,"")</f>
        <v/>
      </c>
    </row>
    <row r="9540" spans="1:7" ht="12" customHeight="1" outlineLevel="2" x14ac:dyDescent="0.2">
      <c r="A9540" s="14" t="s">
        <v>18762</v>
      </c>
      <c r="B9540" s="15" t="s">
        <v>18763</v>
      </c>
      <c r="C9540" s="16">
        <f>107.89/(1+B2)</f>
        <v>107.89</v>
      </c>
      <c r="D9540" s="17" t="s">
        <v>11</v>
      </c>
      <c r="E9540" s="17" t="s">
        <v>11</v>
      </c>
      <c r="F9540" s="18"/>
      <c r="G9540" s="36" t="str">
        <f>IF(ISNUMBER(F9540),C9540*F9540,"")</f>
        <v/>
      </c>
    </row>
    <row r="9541" spans="1:7" ht="24" customHeight="1" outlineLevel="2" x14ac:dyDescent="0.2">
      <c r="A9541" s="14" t="s">
        <v>18764</v>
      </c>
      <c r="B9541" s="15" t="s">
        <v>18765</v>
      </c>
      <c r="C9541" s="16">
        <f>115.5/(1+B2)</f>
        <v>115.5</v>
      </c>
      <c r="D9541" s="17" t="s">
        <v>11</v>
      </c>
      <c r="E9541" s="17" t="s">
        <v>14</v>
      </c>
      <c r="F9541" s="18"/>
      <c r="G9541" s="36" t="str">
        <f>IF(ISNUMBER(F9541),C9541*F9541,"")</f>
        <v/>
      </c>
    </row>
    <row r="9542" spans="1:7" ht="12" customHeight="1" outlineLevel="2" x14ac:dyDescent="0.2">
      <c r="A9542" s="14" t="s">
        <v>18766</v>
      </c>
      <c r="B9542" s="15" t="s">
        <v>18767</v>
      </c>
      <c r="C9542" s="16">
        <f>57.1/(1+B2)</f>
        <v>57.1</v>
      </c>
      <c r="D9542" s="17" t="s">
        <v>11</v>
      </c>
      <c r="E9542" s="17" t="s">
        <v>11</v>
      </c>
      <c r="F9542" s="18"/>
      <c r="G9542" s="36" t="str">
        <f>IF(ISNUMBER(F9542),C9542*F9542,"")</f>
        <v/>
      </c>
    </row>
    <row r="9543" spans="1:7" ht="12" customHeight="1" outlineLevel="2" x14ac:dyDescent="0.2">
      <c r="A9543" s="14" t="s">
        <v>18768</v>
      </c>
      <c r="B9543" s="15" t="s">
        <v>18769</v>
      </c>
      <c r="C9543" s="16">
        <f>59.85/(1+B2)</f>
        <v>59.85</v>
      </c>
      <c r="D9543" s="17" t="s">
        <v>11</v>
      </c>
      <c r="E9543" s="17"/>
      <c r="F9543" s="18"/>
      <c r="G9543" s="36" t="str">
        <f>IF(ISNUMBER(F9543),C9543*F9543,"")</f>
        <v/>
      </c>
    </row>
    <row r="9544" spans="1:7" ht="12" customHeight="1" outlineLevel="2" x14ac:dyDescent="0.2">
      <c r="A9544" s="14" t="s">
        <v>18770</v>
      </c>
      <c r="B9544" s="15" t="s">
        <v>18771</v>
      </c>
      <c r="C9544" s="16">
        <f>57.1/(1+B2)</f>
        <v>57.1</v>
      </c>
      <c r="D9544" s="17" t="s">
        <v>11</v>
      </c>
      <c r="E9544" s="17"/>
      <c r="F9544" s="18"/>
      <c r="G9544" s="36" t="str">
        <f>IF(ISNUMBER(F9544),C9544*F9544,"")</f>
        <v/>
      </c>
    </row>
    <row r="9545" spans="1:7" ht="12" customHeight="1" outlineLevel="2" x14ac:dyDescent="0.2">
      <c r="A9545" s="14" t="s">
        <v>18772</v>
      </c>
      <c r="B9545" s="15" t="s">
        <v>18773</v>
      </c>
      <c r="C9545" s="16">
        <f>62.81/(1+B2)</f>
        <v>62.81</v>
      </c>
      <c r="D9545" s="17" t="s">
        <v>11</v>
      </c>
      <c r="E9545" s="17"/>
      <c r="F9545" s="18"/>
      <c r="G9545" s="36" t="str">
        <f>IF(ISNUMBER(F9545),C9545*F9545,"")</f>
        <v/>
      </c>
    </row>
    <row r="9546" spans="1:7" ht="12" customHeight="1" outlineLevel="2" x14ac:dyDescent="0.2">
      <c r="A9546" s="14" t="s">
        <v>18774</v>
      </c>
      <c r="B9546" s="15" t="s">
        <v>18775</v>
      </c>
      <c r="C9546" s="16">
        <f>25.13/(1+B2)</f>
        <v>25.13</v>
      </c>
      <c r="D9546" s="17" t="s">
        <v>11</v>
      </c>
      <c r="E9546" s="17" t="s">
        <v>11</v>
      </c>
      <c r="F9546" s="18"/>
      <c r="G9546" s="36" t="str">
        <f>IF(ISNUMBER(F9546),C9546*F9546,"")</f>
        <v/>
      </c>
    </row>
    <row r="9547" spans="1:7" ht="12" customHeight="1" outlineLevel="2" x14ac:dyDescent="0.2">
      <c r="A9547" s="14" t="s">
        <v>18776</v>
      </c>
      <c r="B9547" s="15" t="s">
        <v>18777</v>
      </c>
      <c r="C9547" s="16">
        <f>85.49/(1+B2)</f>
        <v>85.49</v>
      </c>
      <c r="D9547" s="17" t="s">
        <v>11</v>
      </c>
      <c r="E9547" s="17"/>
      <c r="F9547" s="18"/>
      <c r="G9547" s="36" t="str">
        <f>IF(ISNUMBER(F9547),C9547*F9547,"")</f>
        <v/>
      </c>
    </row>
    <row r="9548" spans="1:7" ht="12" customHeight="1" outlineLevel="2" x14ac:dyDescent="0.2">
      <c r="A9548" s="14" t="s">
        <v>18778</v>
      </c>
      <c r="B9548" s="15" t="s">
        <v>18779</v>
      </c>
      <c r="C9548" s="16">
        <f>82.58/(1+B2)</f>
        <v>82.58</v>
      </c>
      <c r="D9548" s="17" t="s">
        <v>14</v>
      </c>
      <c r="E9548" s="17" t="s">
        <v>11</v>
      </c>
      <c r="F9548" s="18"/>
      <c r="G9548" s="36" t="str">
        <f>IF(ISNUMBER(F9548),C9548*F9548,"")</f>
        <v/>
      </c>
    </row>
    <row r="9549" spans="1:7" ht="12" customHeight="1" outlineLevel="2" x14ac:dyDescent="0.2">
      <c r="A9549" s="14" t="s">
        <v>18780</v>
      </c>
      <c r="B9549" s="15" t="s">
        <v>18781</v>
      </c>
      <c r="C9549" s="16">
        <f>113.84/(1+B2)</f>
        <v>113.84</v>
      </c>
      <c r="D9549" s="17" t="s">
        <v>11</v>
      </c>
      <c r="E9549" s="17" t="s">
        <v>11</v>
      </c>
      <c r="F9549" s="18"/>
      <c r="G9549" s="36" t="str">
        <f>IF(ISNUMBER(F9549),C9549*F9549,"")</f>
        <v/>
      </c>
    </row>
    <row r="9550" spans="1:7" ht="12" customHeight="1" outlineLevel="2" x14ac:dyDescent="0.2">
      <c r="A9550" s="14" t="s">
        <v>18782</v>
      </c>
      <c r="B9550" s="15" t="s">
        <v>18783</v>
      </c>
      <c r="C9550" s="16">
        <f>76.34/(1+B2)</f>
        <v>76.34</v>
      </c>
      <c r="D9550" s="17" t="s">
        <v>11</v>
      </c>
      <c r="E9550" s="17"/>
      <c r="F9550" s="18"/>
      <c r="G9550" s="36" t="str">
        <f>IF(ISNUMBER(F9550),C9550*F9550,"")</f>
        <v/>
      </c>
    </row>
    <row r="9551" spans="1:7" ht="12" customHeight="1" outlineLevel="2" x14ac:dyDescent="0.2">
      <c r="A9551" s="14" t="s">
        <v>18784</v>
      </c>
      <c r="B9551" s="15" t="s">
        <v>18785</v>
      </c>
      <c r="C9551" s="16">
        <f>57.59/(1+B2)</f>
        <v>57.59</v>
      </c>
      <c r="D9551" s="17" t="s">
        <v>11</v>
      </c>
      <c r="E9551" s="17" t="s">
        <v>14</v>
      </c>
      <c r="F9551" s="18"/>
      <c r="G9551" s="36" t="str">
        <f>IF(ISNUMBER(F9551),C9551*F9551,"")</f>
        <v/>
      </c>
    </row>
    <row r="9552" spans="1:7" ht="12" customHeight="1" outlineLevel="2" x14ac:dyDescent="0.2">
      <c r="A9552" s="14" t="s">
        <v>18786</v>
      </c>
      <c r="B9552" s="15" t="s">
        <v>18787</v>
      </c>
      <c r="C9552" s="16">
        <f>46.15/(1+B2)</f>
        <v>46.15</v>
      </c>
      <c r="D9552" s="17" t="s">
        <v>11</v>
      </c>
      <c r="E9552" s="17" t="s">
        <v>11</v>
      </c>
      <c r="F9552" s="18"/>
      <c r="G9552" s="36" t="str">
        <f>IF(ISNUMBER(F9552),C9552*F9552,"")</f>
        <v/>
      </c>
    </row>
    <row r="9553" spans="1:7" ht="12" customHeight="1" outlineLevel="2" x14ac:dyDescent="0.2">
      <c r="A9553" s="14" t="s">
        <v>18788</v>
      </c>
      <c r="B9553" s="15" t="s">
        <v>18789</v>
      </c>
      <c r="C9553" s="16">
        <f>52.28/(1+B2)</f>
        <v>52.28</v>
      </c>
      <c r="D9553" s="17" t="s">
        <v>11</v>
      </c>
      <c r="E9553" s="17"/>
      <c r="F9553" s="18"/>
      <c r="G9553" s="36" t="str">
        <f>IF(ISNUMBER(F9553),C9553*F9553,"")</f>
        <v/>
      </c>
    </row>
    <row r="9554" spans="1:7" ht="12" customHeight="1" outlineLevel="2" x14ac:dyDescent="0.2">
      <c r="A9554" s="14" t="s">
        <v>18790</v>
      </c>
      <c r="B9554" s="15" t="s">
        <v>18791</v>
      </c>
      <c r="C9554" s="16">
        <f>30.09/(1+B2)</f>
        <v>30.09</v>
      </c>
      <c r="D9554" s="17" t="s">
        <v>11</v>
      </c>
      <c r="E9554" s="17" t="s">
        <v>106</v>
      </c>
      <c r="F9554" s="18"/>
      <c r="G9554" s="36" t="str">
        <f>IF(ISNUMBER(F9554),C9554*F9554,"")</f>
        <v/>
      </c>
    </row>
    <row r="9555" spans="1:7" ht="12" customHeight="1" outlineLevel="2" x14ac:dyDescent="0.2">
      <c r="A9555" s="14" t="s">
        <v>18792</v>
      </c>
      <c r="B9555" s="15" t="s">
        <v>18793</v>
      </c>
      <c r="C9555" s="16">
        <f>73.2/(1+B2)</f>
        <v>73.2</v>
      </c>
      <c r="D9555" s="17" t="s">
        <v>11</v>
      </c>
      <c r="E9555" s="17" t="s">
        <v>14</v>
      </c>
      <c r="F9555" s="18"/>
      <c r="G9555" s="36" t="str">
        <f>IF(ISNUMBER(F9555),C9555*F9555,"")</f>
        <v/>
      </c>
    </row>
    <row r="9556" spans="1:7" ht="12" customHeight="1" outlineLevel="2" x14ac:dyDescent="0.2">
      <c r="A9556" s="14" t="s">
        <v>18794</v>
      </c>
      <c r="B9556" s="15" t="s">
        <v>18795</v>
      </c>
      <c r="C9556" s="16">
        <f>71.64/(1+B2)</f>
        <v>71.64</v>
      </c>
      <c r="D9556" s="17" t="s">
        <v>14</v>
      </c>
      <c r="E9556" s="17" t="s">
        <v>11</v>
      </c>
      <c r="F9556" s="18"/>
      <c r="G9556" s="36" t="str">
        <f>IF(ISNUMBER(F9556),C9556*F9556,"")</f>
        <v/>
      </c>
    </row>
    <row r="9557" spans="1:7" ht="12" customHeight="1" outlineLevel="2" x14ac:dyDescent="0.2">
      <c r="A9557" s="14" t="s">
        <v>18796</v>
      </c>
      <c r="B9557" s="15" t="s">
        <v>18797</v>
      </c>
      <c r="C9557" s="16">
        <f>71.64/(1+B2)</f>
        <v>71.64</v>
      </c>
      <c r="D9557" s="17" t="s">
        <v>11</v>
      </c>
      <c r="E9557" s="17" t="s">
        <v>14</v>
      </c>
      <c r="F9557" s="18"/>
      <c r="G9557" s="36" t="str">
        <f>IF(ISNUMBER(F9557),C9557*F9557,"")</f>
        <v/>
      </c>
    </row>
    <row r="9558" spans="1:7" ht="12" customHeight="1" outlineLevel="2" x14ac:dyDescent="0.2">
      <c r="A9558" s="14" t="s">
        <v>18798</v>
      </c>
      <c r="B9558" s="15" t="s">
        <v>18799</v>
      </c>
      <c r="C9558" s="16">
        <f>68.53/(1+B2)</f>
        <v>68.53</v>
      </c>
      <c r="D9558" s="17" t="s">
        <v>11</v>
      </c>
      <c r="E9558" s="17"/>
      <c r="F9558" s="18"/>
      <c r="G9558" s="36" t="str">
        <f>IF(ISNUMBER(F9558),C9558*F9558,"")</f>
        <v/>
      </c>
    </row>
    <row r="9559" spans="1:7" ht="12" customHeight="1" outlineLevel="2" x14ac:dyDescent="0.2">
      <c r="A9559" s="14" t="s">
        <v>18800</v>
      </c>
      <c r="B9559" s="15" t="s">
        <v>18801</v>
      </c>
      <c r="C9559" s="16">
        <f>53.68/(1+B2)</f>
        <v>53.68</v>
      </c>
      <c r="D9559" s="17" t="s">
        <v>14</v>
      </c>
      <c r="E9559" s="17" t="s">
        <v>11</v>
      </c>
      <c r="F9559" s="18"/>
      <c r="G9559" s="36" t="str">
        <f>IF(ISNUMBER(F9559),C9559*F9559,"")</f>
        <v/>
      </c>
    </row>
    <row r="9560" spans="1:7" ht="12" customHeight="1" outlineLevel="2" x14ac:dyDescent="0.2">
      <c r="A9560" s="14" t="s">
        <v>18802</v>
      </c>
      <c r="B9560" s="15" t="s">
        <v>18803</v>
      </c>
      <c r="C9560" s="16">
        <f>47.42/(1+B2)</f>
        <v>47.42</v>
      </c>
      <c r="D9560" s="17" t="s">
        <v>11</v>
      </c>
      <c r="E9560" s="17"/>
      <c r="F9560" s="18"/>
      <c r="G9560" s="36" t="str">
        <f>IF(ISNUMBER(F9560),C9560*F9560,"")</f>
        <v/>
      </c>
    </row>
    <row r="9561" spans="1:7" ht="12" customHeight="1" outlineLevel="2" x14ac:dyDescent="0.2">
      <c r="A9561" s="14" t="s">
        <v>18804</v>
      </c>
      <c r="B9561" s="15" t="s">
        <v>18805</v>
      </c>
      <c r="C9561" s="16">
        <f>47.81/(1+B2)</f>
        <v>47.81</v>
      </c>
      <c r="D9561" s="17" t="s">
        <v>11</v>
      </c>
      <c r="E9561" s="17" t="s">
        <v>11</v>
      </c>
      <c r="F9561" s="18"/>
      <c r="G9561" s="36" t="str">
        <f>IF(ISNUMBER(F9561),C9561*F9561,"")</f>
        <v/>
      </c>
    </row>
    <row r="9562" spans="1:7" ht="12" customHeight="1" outlineLevel="2" x14ac:dyDescent="0.2">
      <c r="A9562" s="14" t="s">
        <v>18806</v>
      </c>
      <c r="B9562" s="15" t="s">
        <v>18807</v>
      </c>
      <c r="C9562" s="16">
        <f>56.77/(1+B2)</f>
        <v>56.77</v>
      </c>
      <c r="D9562" s="17" t="s">
        <v>11</v>
      </c>
      <c r="E9562" s="17"/>
      <c r="F9562" s="18"/>
      <c r="G9562" s="36" t="str">
        <f>IF(ISNUMBER(F9562),C9562*F9562,"")</f>
        <v/>
      </c>
    </row>
    <row r="9563" spans="1:7" ht="12" customHeight="1" outlineLevel="2" x14ac:dyDescent="0.2">
      <c r="A9563" s="14" t="s">
        <v>18808</v>
      </c>
      <c r="B9563" s="15" t="s">
        <v>18809</v>
      </c>
      <c r="C9563" s="16">
        <f>51.48/(1+B2)</f>
        <v>51.48</v>
      </c>
      <c r="D9563" s="17" t="s">
        <v>11</v>
      </c>
      <c r="E9563" s="17" t="s">
        <v>53</v>
      </c>
      <c r="F9563" s="18"/>
      <c r="G9563" s="36" t="str">
        <f>IF(ISNUMBER(F9563),C9563*F9563,"")</f>
        <v/>
      </c>
    </row>
    <row r="9564" spans="1:7" ht="12" customHeight="1" outlineLevel="2" x14ac:dyDescent="0.2">
      <c r="A9564" s="14" t="s">
        <v>18810</v>
      </c>
      <c r="B9564" s="15" t="s">
        <v>18811</v>
      </c>
      <c r="C9564" s="16">
        <f>57.55/(1+B2)</f>
        <v>57.55</v>
      </c>
      <c r="D9564" s="17" t="s">
        <v>11</v>
      </c>
      <c r="E9564" s="17" t="s">
        <v>53</v>
      </c>
      <c r="F9564" s="18"/>
      <c r="G9564" s="36" t="str">
        <f>IF(ISNUMBER(F9564),C9564*F9564,"")</f>
        <v/>
      </c>
    </row>
    <row r="9565" spans="1:7" ht="12" customHeight="1" outlineLevel="2" x14ac:dyDescent="0.2">
      <c r="A9565" s="14" t="s">
        <v>18812</v>
      </c>
      <c r="B9565" s="15" t="s">
        <v>18813</v>
      </c>
      <c r="C9565" s="16">
        <f>39.97/(1+B2)</f>
        <v>39.97</v>
      </c>
      <c r="D9565" s="17" t="s">
        <v>11</v>
      </c>
      <c r="E9565" s="17" t="s">
        <v>53</v>
      </c>
      <c r="F9565" s="18"/>
      <c r="G9565" s="36" t="str">
        <f>IF(ISNUMBER(F9565),C9565*F9565,"")</f>
        <v/>
      </c>
    </row>
    <row r="9566" spans="1:7" ht="12" customHeight="1" outlineLevel="2" x14ac:dyDescent="0.2">
      <c r="A9566" s="14" t="s">
        <v>18814</v>
      </c>
      <c r="B9566" s="15" t="s">
        <v>18815</v>
      </c>
      <c r="C9566" s="16">
        <f>78.06/(1+B2)</f>
        <v>78.06</v>
      </c>
      <c r="D9566" s="17" t="s">
        <v>11</v>
      </c>
      <c r="E9566" s="17"/>
      <c r="F9566" s="18"/>
      <c r="G9566" s="36" t="str">
        <f>IF(ISNUMBER(F9566),C9566*F9566,"")</f>
        <v/>
      </c>
    </row>
    <row r="9567" spans="1:7" ht="12" customHeight="1" outlineLevel="2" x14ac:dyDescent="0.2">
      <c r="A9567" s="14" t="s">
        <v>18816</v>
      </c>
      <c r="B9567" s="15" t="s">
        <v>18817</v>
      </c>
      <c r="C9567" s="16">
        <f>49.74/(1+B2)</f>
        <v>49.74</v>
      </c>
      <c r="D9567" s="17" t="s">
        <v>14</v>
      </c>
      <c r="E9567" s="17" t="s">
        <v>11</v>
      </c>
      <c r="F9567" s="18"/>
      <c r="G9567" s="36" t="str">
        <f>IF(ISNUMBER(F9567),C9567*F9567,"")</f>
        <v/>
      </c>
    </row>
    <row r="9568" spans="1:7" ht="12" customHeight="1" outlineLevel="2" x14ac:dyDescent="0.2">
      <c r="A9568" s="14" t="s">
        <v>18818</v>
      </c>
      <c r="B9568" s="15" t="s">
        <v>18819</v>
      </c>
      <c r="C9568" s="16">
        <f>55.15/(1+B2)</f>
        <v>55.15</v>
      </c>
      <c r="D9568" s="17" t="s">
        <v>11</v>
      </c>
      <c r="E9568" s="17" t="s">
        <v>53</v>
      </c>
      <c r="F9568" s="18"/>
      <c r="G9568" s="36" t="str">
        <f>IF(ISNUMBER(F9568),C9568*F9568,"")</f>
        <v/>
      </c>
    </row>
    <row r="9569" spans="1:7" ht="12" customHeight="1" outlineLevel="2" x14ac:dyDescent="0.2">
      <c r="A9569" s="14" t="s">
        <v>18820</v>
      </c>
      <c r="B9569" s="15" t="s">
        <v>18821</v>
      </c>
      <c r="C9569" s="16">
        <f>57.1/(1+B2)</f>
        <v>57.1</v>
      </c>
      <c r="D9569" s="17" t="s">
        <v>11</v>
      </c>
      <c r="E9569" s="17"/>
      <c r="F9569" s="18"/>
      <c r="G9569" s="36" t="str">
        <f>IF(ISNUMBER(F9569),C9569*F9569,"")</f>
        <v/>
      </c>
    </row>
    <row r="9570" spans="1:7" ht="12" customHeight="1" outlineLevel="2" x14ac:dyDescent="0.2">
      <c r="A9570" s="14" t="s">
        <v>18822</v>
      </c>
      <c r="B9570" s="15" t="s">
        <v>18823</v>
      </c>
      <c r="C9570" s="16">
        <f>55.54/(1+B2)</f>
        <v>55.54</v>
      </c>
      <c r="D9570" s="17" t="s">
        <v>11</v>
      </c>
      <c r="E9570" s="17" t="s">
        <v>53</v>
      </c>
      <c r="F9570" s="18"/>
      <c r="G9570" s="36" t="str">
        <f>IF(ISNUMBER(F9570),C9570*F9570,"")</f>
        <v/>
      </c>
    </row>
    <row r="9571" spans="1:7" ht="12" customHeight="1" outlineLevel="2" x14ac:dyDescent="0.2">
      <c r="A9571" s="14" t="s">
        <v>18824</v>
      </c>
      <c r="B9571" s="15" t="s">
        <v>18825</v>
      </c>
      <c r="C9571" s="16">
        <f>77.65/(1+B2)</f>
        <v>77.650000000000006</v>
      </c>
      <c r="D9571" s="17" t="s">
        <v>14</v>
      </c>
      <c r="E9571" s="17" t="s">
        <v>53</v>
      </c>
      <c r="F9571" s="18"/>
      <c r="G9571" s="36" t="str">
        <f>IF(ISNUMBER(F9571),C9571*F9571,"")</f>
        <v/>
      </c>
    </row>
    <row r="9572" spans="1:7" ht="12" customHeight="1" outlineLevel="2" x14ac:dyDescent="0.2">
      <c r="A9572" s="14" t="s">
        <v>18826</v>
      </c>
      <c r="B9572" s="15" t="s">
        <v>18827</v>
      </c>
      <c r="C9572" s="16">
        <f>52.54/(1+B2)</f>
        <v>52.54</v>
      </c>
      <c r="D9572" s="17" t="s">
        <v>11</v>
      </c>
      <c r="E9572" s="17" t="s">
        <v>53</v>
      </c>
      <c r="F9572" s="18"/>
      <c r="G9572" s="36" t="str">
        <f>IF(ISNUMBER(F9572),C9572*F9572,"")</f>
        <v/>
      </c>
    </row>
    <row r="9573" spans="1:7" ht="12" customHeight="1" outlineLevel="2" x14ac:dyDescent="0.2">
      <c r="A9573" s="14" t="s">
        <v>18828</v>
      </c>
      <c r="B9573" s="15" t="s">
        <v>18829</v>
      </c>
      <c r="C9573" s="16">
        <f>62.81/(1+B2)</f>
        <v>62.81</v>
      </c>
      <c r="D9573" s="17" t="s">
        <v>11</v>
      </c>
      <c r="E9573" s="17" t="s">
        <v>14</v>
      </c>
      <c r="F9573" s="18"/>
      <c r="G9573" s="36" t="str">
        <f>IF(ISNUMBER(F9573),C9573*F9573,"")</f>
        <v/>
      </c>
    </row>
    <row r="9574" spans="1:7" ht="12" customHeight="1" outlineLevel="2" x14ac:dyDescent="0.2">
      <c r="A9574" s="14" t="s">
        <v>18830</v>
      </c>
      <c r="B9574" s="15" t="s">
        <v>18831</v>
      </c>
      <c r="C9574" s="16">
        <f>78.71/(1+B2)</f>
        <v>78.709999999999994</v>
      </c>
      <c r="D9574" s="17" t="s">
        <v>11</v>
      </c>
      <c r="E9574" s="17"/>
      <c r="F9574" s="18"/>
      <c r="G9574" s="36" t="str">
        <f>IF(ISNUMBER(F9574),C9574*F9574,"")</f>
        <v/>
      </c>
    </row>
    <row r="9575" spans="1:7" ht="12" customHeight="1" outlineLevel="2" x14ac:dyDescent="0.2">
      <c r="A9575" s="14" t="s">
        <v>18832</v>
      </c>
      <c r="B9575" s="15" t="s">
        <v>18833</v>
      </c>
      <c r="C9575" s="16">
        <f>86.32/(1+B2)</f>
        <v>86.32</v>
      </c>
      <c r="D9575" s="17" t="s">
        <v>11</v>
      </c>
      <c r="E9575" s="17"/>
      <c r="F9575" s="18"/>
      <c r="G9575" s="36" t="str">
        <f>IF(ISNUMBER(F9575),C9575*F9575,"")</f>
        <v/>
      </c>
    </row>
    <row r="9576" spans="1:7" ht="12" customHeight="1" outlineLevel="2" x14ac:dyDescent="0.2">
      <c r="A9576" s="14" t="s">
        <v>18834</v>
      </c>
      <c r="B9576" s="15" t="s">
        <v>18835</v>
      </c>
      <c r="C9576" s="16">
        <f>68.71/(1+B2)</f>
        <v>68.709999999999994</v>
      </c>
      <c r="D9576" s="17" t="s">
        <v>11</v>
      </c>
      <c r="E9576" s="17"/>
      <c r="F9576" s="18"/>
      <c r="G9576" s="36" t="str">
        <f>IF(ISNUMBER(F9576),C9576*F9576,"")</f>
        <v/>
      </c>
    </row>
    <row r="9577" spans="1:7" ht="12" customHeight="1" outlineLevel="2" x14ac:dyDescent="0.2">
      <c r="A9577" s="14" t="s">
        <v>18836</v>
      </c>
      <c r="B9577" s="15" t="s">
        <v>18837</v>
      </c>
      <c r="C9577" s="16">
        <f>124.28/(1+B2)</f>
        <v>124.28</v>
      </c>
      <c r="D9577" s="17" t="s">
        <v>11</v>
      </c>
      <c r="E9577" s="17"/>
      <c r="F9577" s="18"/>
      <c r="G9577" s="36" t="str">
        <f>IF(ISNUMBER(F9577),C9577*F9577,"")</f>
        <v/>
      </c>
    </row>
    <row r="9578" spans="1:7" ht="12" customHeight="1" outlineLevel="2" x14ac:dyDescent="0.2">
      <c r="A9578" s="14" t="s">
        <v>18838</v>
      </c>
      <c r="B9578" s="15" t="s">
        <v>18839</v>
      </c>
      <c r="C9578" s="16">
        <f>73.61/(1+B2)</f>
        <v>73.61</v>
      </c>
      <c r="D9578" s="17" t="s">
        <v>11</v>
      </c>
      <c r="E9578" s="17" t="s">
        <v>14</v>
      </c>
      <c r="F9578" s="18"/>
      <c r="G9578" s="36" t="str">
        <f>IF(ISNUMBER(F9578),C9578*F9578,"")</f>
        <v/>
      </c>
    </row>
    <row r="9579" spans="1:7" ht="24" customHeight="1" outlineLevel="2" x14ac:dyDescent="0.2">
      <c r="A9579" s="14" t="s">
        <v>18840</v>
      </c>
      <c r="B9579" s="15" t="s">
        <v>18841</v>
      </c>
      <c r="C9579" s="16">
        <f>187.79/(1+B2)</f>
        <v>187.79</v>
      </c>
      <c r="D9579" s="17" t="s">
        <v>11</v>
      </c>
      <c r="E9579" s="17"/>
      <c r="F9579" s="18"/>
      <c r="G9579" s="36" t="str">
        <f>IF(ISNUMBER(F9579),C9579*F9579,"")</f>
        <v/>
      </c>
    </row>
    <row r="9580" spans="1:7" ht="12" customHeight="1" outlineLevel="2" x14ac:dyDescent="0.2">
      <c r="A9580" s="14" t="s">
        <v>18842</v>
      </c>
      <c r="B9580" s="15" t="s">
        <v>18843</v>
      </c>
      <c r="C9580" s="16">
        <f>162.27/(1+B2)</f>
        <v>162.27000000000001</v>
      </c>
      <c r="D9580" s="17" t="s">
        <v>14</v>
      </c>
      <c r="E9580" s="17" t="s">
        <v>11</v>
      </c>
      <c r="F9580" s="18"/>
      <c r="G9580" s="36" t="str">
        <f>IF(ISNUMBER(F9580),C9580*F9580,"")</f>
        <v/>
      </c>
    </row>
    <row r="9581" spans="1:7" ht="12" customHeight="1" outlineLevel="2" x14ac:dyDescent="0.2">
      <c r="A9581" s="14" t="s">
        <v>18844</v>
      </c>
      <c r="B9581" s="15" t="s">
        <v>18845</v>
      </c>
      <c r="C9581" s="16">
        <f>56.18/(1+B2)</f>
        <v>56.18</v>
      </c>
      <c r="D9581" s="17" t="s">
        <v>53</v>
      </c>
      <c r="E9581" s="17" t="s">
        <v>106</v>
      </c>
      <c r="F9581" s="18"/>
      <c r="G9581" s="36" t="str">
        <f>IF(ISNUMBER(F9581),C9581*F9581,"")</f>
        <v/>
      </c>
    </row>
    <row r="9582" spans="1:7" ht="12" customHeight="1" outlineLevel="2" x14ac:dyDescent="0.2">
      <c r="A9582" s="14" t="s">
        <v>18846</v>
      </c>
      <c r="B9582" s="15" t="s">
        <v>18847</v>
      </c>
      <c r="C9582" s="16">
        <f>50.72/(1+B2)</f>
        <v>50.72</v>
      </c>
      <c r="D9582" s="17" t="s">
        <v>11</v>
      </c>
      <c r="E9582" s="17" t="s">
        <v>11</v>
      </c>
      <c r="F9582" s="18"/>
      <c r="G9582" s="36" t="str">
        <f>IF(ISNUMBER(F9582),C9582*F9582,"")</f>
        <v/>
      </c>
    </row>
    <row r="9583" spans="1:7" ht="12" customHeight="1" outlineLevel="2" x14ac:dyDescent="0.2">
      <c r="A9583" s="14" t="s">
        <v>18848</v>
      </c>
      <c r="B9583" s="15" t="s">
        <v>18849</v>
      </c>
      <c r="C9583" s="16">
        <f>97.92/(1+B2)</f>
        <v>97.92</v>
      </c>
      <c r="D9583" s="17" t="s">
        <v>14</v>
      </c>
      <c r="E9583" s="17"/>
      <c r="F9583" s="18"/>
      <c r="G9583" s="36" t="str">
        <f>IF(ISNUMBER(F9583),C9583*F9583,"")</f>
        <v/>
      </c>
    </row>
    <row r="9584" spans="1:7" ht="12" customHeight="1" outlineLevel="2" x14ac:dyDescent="0.2">
      <c r="A9584" s="14" t="s">
        <v>18850</v>
      </c>
      <c r="B9584" s="15" t="s">
        <v>18851</v>
      </c>
      <c r="C9584" s="16">
        <f>65.7/(1+B2)</f>
        <v>65.7</v>
      </c>
      <c r="D9584" s="17" t="s">
        <v>11</v>
      </c>
      <c r="E9584" s="17"/>
      <c r="F9584" s="18"/>
      <c r="G9584" s="36" t="str">
        <f>IF(ISNUMBER(F9584),C9584*F9584,"")</f>
        <v/>
      </c>
    </row>
    <row r="9585" spans="1:7" ht="12" customHeight="1" outlineLevel="2" x14ac:dyDescent="0.2">
      <c r="A9585" s="14" t="s">
        <v>18852</v>
      </c>
      <c r="B9585" s="15" t="s">
        <v>18853</v>
      </c>
      <c r="C9585" s="16">
        <f>248.04/(1+B2)</f>
        <v>248.04</v>
      </c>
      <c r="D9585" s="17" t="s">
        <v>14</v>
      </c>
      <c r="E9585" s="17" t="s">
        <v>11</v>
      </c>
      <c r="F9585" s="18"/>
      <c r="G9585" s="36" t="str">
        <f>IF(ISNUMBER(F9585),C9585*F9585,"")</f>
        <v/>
      </c>
    </row>
    <row r="9586" spans="1:7" ht="24" customHeight="1" outlineLevel="2" x14ac:dyDescent="0.2">
      <c r="A9586" s="14" t="s">
        <v>18854</v>
      </c>
      <c r="B9586" s="15" t="s">
        <v>18855</v>
      </c>
      <c r="C9586" s="16">
        <f>41.98/(1+B2)</f>
        <v>41.98</v>
      </c>
      <c r="D9586" s="17" t="s">
        <v>11</v>
      </c>
      <c r="E9586" s="17"/>
      <c r="F9586" s="18"/>
      <c r="G9586" s="36" t="str">
        <f>IF(ISNUMBER(F9586),C9586*F9586,"")</f>
        <v/>
      </c>
    </row>
    <row r="9587" spans="1:7" ht="12" customHeight="1" outlineLevel="2" x14ac:dyDescent="0.2">
      <c r="A9587" s="14" t="s">
        <v>18856</v>
      </c>
      <c r="B9587" s="15" t="s">
        <v>18857</v>
      </c>
      <c r="C9587" s="16">
        <f>36.36/(1+B2)</f>
        <v>36.36</v>
      </c>
      <c r="D9587" s="17" t="s">
        <v>11</v>
      </c>
      <c r="E9587" s="17"/>
      <c r="F9587" s="18"/>
      <c r="G9587" s="36" t="str">
        <f>IF(ISNUMBER(F9587),C9587*F9587,"")</f>
        <v/>
      </c>
    </row>
    <row r="9588" spans="1:7" ht="12" customHeight="1" outlineLevel="2" x14ac:dyDescent="0.2">
      <c r="A9588" s="14" t="s">
        <v>18858</v>
      </c>
      <c r="B9588" s="15" t="s">
        <v>18859</v>
      </c>
      <c r="C9588" s="16">
        <f>81.01/(1+B2)</f>
        <v>81.010000000000005</v>
      </c>
      <c r="D9588" s="17" t="s">
        <v>11</v>
      </c>
      <c r="E9588" s="17"/>
      <c r="F9588" s="18"/>
      <c r="G9588" s="36" t="str">
        <f>IF(ISNUMBER(F9588),C9588*F9588,"")</f>
        <v/>
      </c>
    </row>
    <row r="9589" spans="1:7" ht="12" customHeight="1" outlineLevel="2" x14ac:dyDescent="0.2">
      <c r="A9589" s="14" t="s">
        <v>18860</v>
      </c>
      <c r="B9589" s="15" t="s">
        <v>18861</v>
      </c>
      <c r="C9589" s="16">
        <f>47.96/(1+B2)</f>
        <v>47.96</v>
      </c>
      <c r="D9589" s="17" t="s">
        <v>11</v>
      </c>
      <c r="E9589" s="17" t="s">
        <v>14</v>
      </c>
      <c r="F9589" s="18"/>
      <c r="G9589" s="36" t="str">
        <f>IF(ISNUMBER(F9589),C9589*F9589,"")</f>
        <v/>
      </c>
    </row>
    <row r="9590" spans="1:7" ht="12" customHeight="1" outlineLevel="2" x14ac:dyDescent="0.2">
      <c r="A9590" s="14" t="s">
        <v>18862</v>
      </c>
      <c r="B9590" s="15" t="s">
        <v>18863</v>
      </c>
      <c r="C9590" s="16">
        <f>10.27/(1+B2)</f>
        <v>10.27</v>
      </c>
      <c r="D9590" s="17" t="s">
        <v>14</v>
      </c>
      <c r="E9590" s="17" t="s">
        <v>106</v>
      </c>
      <c r="F9590" s="18"/>
      <c r="G9590" s="36" t="str">
        <f>IF(ISNUMBER(F9590),C9590*F9590,"")</f>
        <v/>
      </c>
    </row>
    <row r="9591" spans="1:7" ht="12" customHeight="1" outlineLevel="2" x14ac:dyDescent="0.2">
      <c r="A9591" s="14" t="s">
        <v>18864</v>
      </c>
      <c r="B9591" s="15" t="s">
        <v>18865</v>
      </c>
      <c r="C9591" s="16">
        <f>82.58/(1+B2)</f>
        <v>82.58</v>
      </c>
      <c r="D9591" s="17" t="s">
        <v>14</v>
      </c>
      <c r="E9591" s="17"/>
      <c r="F9591" s="18"/>
      <c r="G9591" s="36" t="str">
        <f>IF(ISNUMBER(F9591),C9591*F9591,"")</f>
        <v/>
      </c>
    </row>
    <row r="9592" spans="1:7" ht="12" customHeight="1" outlineLevel="2" x14ac:dyDescent="0.2">
      <c r="A9592" s="14" t="s">
        <v>18866</v>
      </c>
      <c r="B9592" s="15" t="s">
        <v>18867</v>
      </c>
      <c r="C9592" s="16">
        <f>82.58/(1+B2)</f>
        <v>82.58</v>
      </c>
      <c r="D9592" s="17" t="s">
        <v>14</v>
      </c>
      <c r="E9592" s="17"/>
      <c r="F9592" s="18"/>
      <c r="G9592" s="36" t="str">
        <f>IF(ISNUMBER(F9592),C9592*F9592,"")</f>
        <v/>
      </c>
    </row>
    <row r="9593" spans="1:7" ht="12" customHeight="1" outlineLevel="2" x14ac:dyDescent="0.2">
      <c r="A9593" s="14" t="s">
        <v>18868</v>
      </c>
      <c r="B9593" s="15" t="s">
        <v>18869</v>
      </c>
      <c r="C9593" s="16">
        <f>75.51/(1+B2)</f>
        <v>75.510000000000005</v>
      </c>
      <c r="D9593" s="17" t="s">
        <v>11</v>
      </c>
      <c r="E9593" s="17"/>
      <c r="F9593" s="18"/>
      <c r="G9593" s="36" t="str">
        <f>IF(ISNUMBER(F9593),C9593*F9593,"")</f>
        <v/>
      </c>
    </row>
    <row r="9594" spans="1:7" ht="12" customHeight="1" outlineLevel="2" x14ac:dyDescent="0.2">
      <c r="A9594" s="14" t="s">
        <v>18870</v>
      </c>
      <c r="B9594" s="15" t="s">
        <v>18871</v>
      </c>
      <c r="C9594" s="16">
        <f>66.83/(1+B2)</f>
        <v>66.83</v>
      </c>
      <c r="D9594" s="17" t="s">
        <v>11</v>
      </c>
      <c r="E9594" s="17"/>
      <c r="F9594" s="18"/>
      <c r="G9594" s="36" t="str">
        <f>IF(ISNUMBER(F9594),C9594*F9594,"")</f>
        <v/>
      </c>
    </row>
    <row r="9595" spans="1:7" ht="12" customHeight="1" outlineLevel="2" x14ac:dyDescent="0.2">
      <c r="A9595" s="14" t="s">
        <v>18872</v>
      </c>
      <c r="B9595" s="15" t="s">
        <v>18873</v>
      </c>
      <c r="C9595" s="16">
        <f>58.88/(1+B2)</f>
        <v>58.88</v>
      </c>
      <c r="D9595" s="17" t="s">
        <v>11</v>
      </c>
      <c r="E9595" s="17" t="s">
        <v>53</v>
      </c>
      <c r="F9595" s="18"/>
      <c r="G9595" s="36" t="str">
        <f>IF(ISNUMBER(F9595),C9595*F9595,"")</f>
        <v/>
      </c>
    </row>
    <row r="9596" spans="1:7" ht="12" customHeight="1" outlineLevel="2" x14ac:dyDescent="0.2">
      <c r="A9596" s="14" t="s">
        <v>18874</v>
      </c>
      <c r="B9596" s="15" t="s">
        <v>18875</v>
      </c>
      <c r="C9596" s="16">
        <f>71.64/(1+B2)</f>
        <v>71.64</v>
      </c>
      <c r="D9596" s="17" t="s">
        <v>14</v>
      </c>
      <c r="E9596" s="17"/>
      <c r="F9596" s="18"/>
      <c r="G9596" s="36" t="str">
        <f>IF(ISNUMBER(F9596),C9596*F9596,"")</f>
        <v/>
      </c>
    </row>
    <row r="9597" spans="1:7" ht="12" customHeight="1" outlineLevel="2" x14ac:dyDescent="0.2">
      <c r="A9597" s="14" t="s">
        <v>18876</v>
      </c>
      <c r="B9597" s="15" t="s">
        <v>18877</v>
      </c>
      <c r="C9597" s="16">
        <f>82.58/(1+B2)</f>
        <v>82.58</v>
      </c>
      <c r="D9597" s="17" t="s">
        <v>14</v>
      </c>
      <c r="E9597" s="17"/>
      <c r="F9597" s="18"/>
      <c r="G9597" s="36" t="str">
        <f>IF(ISNUMBER(F9597),C9597*F9597,"")</f>
        <v/>
      </c>
    </row>
    <row r="9598" spans="1:7" ht="12" customHeight="1" outlineLevel="2" x14ac:dyDescent="0.2">
      <c r="A9598" s="14" t="s">
        <v>18878</v>
      </c>
      <c r="B9598" s="15" t="s">
        <v>18879</v>
      </c>
      <c r="C9598" s="16">
        <f>82.58/(1+B2)</f>
        <v>82.58</v>
      </c>
      <c r="D9598" s="17" t="s">
        <v>11</v>
      </c>
      <c r="E9598" s="17"/>
      <c r="F9598" s="18"/>
      <c r="G9598" s="36" t="str">
        <f>IF(ISNUMBER(F9598),C9598*F9598,"")</f>
        <v/>
      </c>
    </row>
    <row r="9599" spans="1:7" ht="12" customHeight="1" outlineLevel="2" x14ac:dyDescent="0.2">
      <c r="A9599" s="14" t="s">
        <v>18880</v>
      </c>
      <c r="B9599" s="15" t="s">
        <v>18881</v>
      </c>
      <c r="C9599" s="16">
        <f>87.28/(1+B2)</f>
        <v>87.28</v>
      </c>
      <c r="D9599" s="17" t="s">
        <v>11</v>
      </c>
      <c r="E9599" s="17"/>
      <c r="F9599" s="18"/>
      <c r="G9599" s="36" t="str">
        <f>IF(ISNUMBER(F9599),C9599*F9599,"")</f>
        <v/>
      </c>
    </row>
    <row r="9600" spans="1:7" ht="12" customHeight="1" outlineLevel="2" x14ac:dyDescent="0.2">
      <c r="A9600" s="14" t="s">
        <v>18882</v>
      </c>
      <c r="B9600" s="15" t="s">
        <v>18883</v>
      </c>
      <c r="C9600" s="16">
        <f>83.8/(1+B2)</f>
        <v>83.8</v>
      </c>
      <c r="D9600" s="17" t="s">
        <v>11</v>
      </c>
      <c r="E9600" s="17"/>
      <c r="F9600" s="18"/>
      <c r="G9600" s="36" t="str">
        <f>IF(ISNUMBER(F9600),C9600*F9600,"")</f>
        <v/>
      </c>
    </row>
    <row r="9601" spans="1:7" ht="12" customHeight="1" outlineLevel="2" x14ac:dyDescent="0.2">
      <c r="A9601" s="14" t="s">
        <v>18884</v>
      </c>
      <c r="B9601" s="15" t="s">
        <v>18885</v>
      </c>
      <c r="C9601" s="16">
        <f>18.75/(1+B2)</f>
        <v>18.75</v>
      </c>
      <c r="D9601" s="17" t="s">
        <v>14</v>
      </c>
      <c r="E9601" s="17"/>
      <c r="F9601" s="18"/>
      <c r="G9601" s="36" t="str">
        <f>IF(ISNUMBER(F9601),C9601*F9601,"")</f>
        <v/>
      </c>
    </row>
    <row r="9602" spans="1:7" ht="12" customHeight="1" outlineLevel="2" x14ac:dyDescent="0.2">
      <c r="A9602" s="14" t="s">
        <v>18886</v>
      </c>
      <c r="B9602" s="15" t="s">
        <v>18887</v>
      </c>
      <c r="C9602" s="16">
        <f>18.75/(1+B2)</f>
        <v>18.75</v>
      </c>
      <c r="D9602" s="17" t="s">
        <v>53</v>
      </c>
      <c r="E9602" s="17"/>
      <c r="F9602" s="18"/>
      <c r="G9602" s="36" t="str">
        <f>IF(ISNUMBER(F9602),C9602*F9602,"")</f>
        <v/>
      </c>
    </row>
    <row r="9603" spans="1:7" ht="12" customHeight="1" outlineLevel="2" x14ac:dyDescent="0.2">
      <c r="A9603" s="14" t="s">
        <v>18888</v>
      </c>
      <c r="B9603" s="15" t="s">
        <v>18889</v>
      </c>
      <c r="C9603" s="16">
        <f>15.44/(1+B2)</f>
        <v>15.44</v>
      </c>
      <c r="D9603" s="17" t="s">
        <v>11</v>
      </c>
      <c r="E9603" s="17"/>
      <c r="F9603" s="18"/>
      <c r="G9603" s="36" t="str">
        <f>IF(ISNUMBER(F9603),C9603*F9603,"")</f>
        <v/>
      </c>
    </row>
    <row r="9604" spans="1:7" ht="12" customHeight="1" outlineLevel="2" x14ac:dyDescent="0.2">
      <c r="A9604" s="14" t="s">
        <v>18890</v>
      </c>
      <c r="B9604" s="15" t="s">
        <v>18891</v>
      </c>
      <c r="C9604" s="16">
        <f>15.42/(1+B2)</f>
        <v>15.42</v>
      </c>
      <c r="D9604" s="17" t="s">
        <v>11</v>
      </c>
      <c r="E9604" s="17" t="s">
        <v>11</v>
      </c>
      <c r="F9604" s="18"/>
      <c r="G9604" s="36" t="str">
        <f>IF(ISNUMBER(F9604),C9604*F9604,"")</f>
        <v/>
      </c>
    </row>
    <row r="9605" spans="1:7" ht="12" customHeight="1" outlineLevel="2" x14ac:dyDescent="0.2">
      <c r="A9605" s="14" t="s">
        <v>18892</v>
      </c>
      <c r="B9605" s="15" t="s">
        <v>18893</v>
      </c>
      <c r="C9605" s="16">
        <f>15.18/(1+B2)</f>
        <v>15.18</v>
      </c>
      <c r="D9605" s="17" t="s">
        <v>14</v>
      </c>
      <c r="E9605" s="17"/>
      <c r="F9605" s="18"/>
      <c r="G9605" s="36" t="str">
        <f>IF(ISNUMBER(F9605),C9605*F9605,"")</f>
        <v/>
      </c>
    </row>
    <row r="9606" spans="1:7" ht="12" customHeight="1" outlineLevel="2" x14ac:dyDescent="0.2">
      <c r="A9606" s="14" t="s">
        <v>18894</v>
      </c>
      <c r="B9606" s="15" t="s">
        <v>18895</v>
      </c>
      <c r="C9606" s="16">
        <f>15.18/(1+B2)</f>
        <v>15.18</v>
      </c>
      <c r="D9606" s="17" t="s">
        <v>14</v>
      </c>
      <c r="E9606" s="17"/>
      <c r="F9606" s="18"/>
      <c r="G9606" s="36" t="str">
        <f>IF(ISNUMBER(F9606),C9606*F9606,"")</f>
        <v/>
      </c>
    </row>
    <row r="9607" spans="1:7" ht="12" customHeight="1" outlineLevel="2" x14ac:dyDescent="0.2">
      <c r="A9607" s="14" t="s">
        <v>18896</v>
      </c>
      <c r="B9607" s="15" t="s">
        <v>18897</v>
      </c>
      <c r="C9607" s="16">
        <f>15.18/(1+B2)</f>
        <v>15.18</v>
      </c>
      <c r="D9607" s="17" t="s">
        <v>53</v>
      </c>
      <c r="E9607" s="17"/>
      <c r="F9607" s="18"/>
      <c r="G9607" s="36" t="str">
        <f>IF(ISNUMBER(F9607),C9607*F9607,"")</f>
        <v/>
      </c>
    </row>
    <row r="9608" spans="1:7" ht="12" customHeight="1" outlineLevel="2" x14ac:dyDescent="0.2">
      <c r="A9608" s="14" t="s">
        <v>18898</v>
      </c>
      <c r="B9608" s="15" t="s">
        <v>18899</v>
      </c>
      <c r="C9608" s="16">
        <f>84.91/(1+B2)</f>
        <v>84.91</v>
      </c>
      <c r="D9608" s="17" t="s">
        <v>11</v>
      </c>
      <c r="E9608" s="17"/>
      <c r="F9608" s="18"/>
      <c r="G9608" s="36" t="str">
        <f>IF(ISNUMBER(F9608),C9608*F9608,"")</f>
        <v/>
      </c>
    </row>
    <row r="9609" spans="1:7" ht="12" customHeight="1" outlineLevel="2" x14ac:dyDescent="0.2">
      <c r="A9609" s="14" t="s">
        <v>18900</v>
      </c>
      <c r="B9609" s="15" t="s">
        <v>18901</v>
      </c>
      <c r="C9609" s="16">
        <f>51.28/(1+B2)</f>
        <v>51.28</v>
      </c>
      <c r="D9609" s="17" t="s">
        <v>11</v>
      </c>
      <c r="E9609" s="17" t="s">
        <v>14</v>
      </c>
      <c r="F9609" s="18"/>
      <c r="G9609" s="36" t="str">
        <f>IF(ISNUMBER(F9609),C9609*F9609,"")</f>
        <v/>
      </c>
    </row>
    <row r="9610" spans="1:7" ht="12" customHeight="1" outlineLevel="2" x14ac:dyDescent="0.2">
      <c r="A9610" s="14" t="s">
        <v>18902</v>
      </c>
      <c r="B9610" s="15" t="s">
        <v>18903</v>
      </c>
      <c r="C9610" s="16">
        <f>76.45/(1+B2)</f>
        <v>76.45</v>
      </c>
      <c r="D9610" s="17" t="s">
        <v>11</v>
      </c>
      <c r="E9610" s="17" t="s">
        <v>14</v>
      </c>
      <c r="F9610" s="18"/>
      <c r="G9610" s="36" t="str">
        <f>IF(ISNUMBER(F9610),C9610*F9610,"")</f>
        <v/>
      </c>
    </row>
    <row r="9611" spans="1:7" s="1" customFormat="1" ht="15.95" customHeight="1" outlineLevel="1" x14ac:dyDescent="0.25">
      <c r="A9611" s="11"/>
      <c r="B9611" s="12" t="s">
        <v>18904</v>
      </c>
      <c r="C9611" s="13"/>
      <c r="D9611" s="13"/>
      <c r="E9611" s="13"/>
      <c r="F9611" s="13"/>
      <c r="G9611" s="35"/>
    </row>
    <row r="9612" spans="1:7" ht="12" customHeight="1" outlineLevel="2" x14ac:dyDescent="0.2">
      <c r="A9612" s="14" t="s">
        <v>18905</v>
      </c>
      <c r="B9612" s="15" t="s">
        <v>18906</v>
      </c>
      <c r="C9612" s="16">
        <f>169.74/(1+B2)</f>
        <v>169.74</v>
      </c>
      <c r="D9612" s="17" t="s">
        <v>11</v>
      </c>
      <c r="E9612" s="17"/>
      <c r="F9612" s="18"/>
      <c r="G9612" s="36" t="str">
        <f>IF(ISNUMBER(F9612),C9612*F9612,"")</f>
        <v/>
      </c>
    </row>
    <row r="9613" spans="1:7" ht="12" customHeight="1" outlineLevel="2" x14ac:dyDescent="0.2">
      <c r="A9613" s="14" t="s">
        <v>18907</v>
      </c>
      <c r="B9613" s="15" t="s">
        <v>18908</v>
      </c>
      <c r="C9613" s="16">
        <f>339.66/(1+B2)</f>
        <v>339.66</v>
      </c>
      <c r="D9613" s="17" t="s">
        <v>11</v>
      </c>
      <c r="E9613" s="17"/>
      <c r="F9613" s="18"/>
      <c r="G9613" s="36" t="str">
        <f>IF(ISNUMBER(F9613),C9613*F9613,"")</f>
        <v/>
      </c>
    </row>
    <row r="9614" spans="1:7" ht="24" customHeight="1" outlineLevel="2" x14ac:dyDescent="0.2">
      <c r="A9614" s="14" t="s">
        <v>18909</v>
      </c>
      <c r="B9614" s="15" t="s">
        <v>18910</v>
      </c>
      <c r="C9614" s="16">
        <f>646.27/(1+B2)</f>
        <v>646.27</v>
      </c>
      <c r="D9614" s="17" t="s">
        <v>11</v>
      </c>
      <c r="E9614" s="17" t="s">
        <v>11</v>
      </c>
      <c r="F9614" s="18"/>
      <c r="G9614" s="36" t="str">
        <f>IF(ISNUMBER(F9614),C9614*F9614,"")</f>
        <v/>
      </c>
    </row>
    <row r="9615" spans="1:7" ht="24" customHeight="1" outlineLevel="2" x14ac:dyDescent="0.2">
      <c r="A9615" s="14" t="s">
        <v>18911</v>
      </c>
      <c r="B9615" s="15" t="s">
        <v>18912</v>
      </c>
      <c r="C9615" s="16">
        <f>168.32/(1+B2)</f>
        <v>168.32</v>
      </c>
      <c r="D9615" s="17" t="s">
        <v>11</v>
      </c>
      <c r="E9615" s="17" t="s">
        <v>11</v>
      </c>
      <c r="F9615" s="18"/>
      <c r="G9615" s="36" t="str">
        <f>IF(ISNUMBER(F9615),C9615*F9615,"")</f>
        <v/>
      </c>
    </row>
    <row r="9616" spans="1:7" ht="12" customHeight="1" outlineLevel="2" x14ac:dyDescent="0.2">
      <c r="A9616" s="14" t="s">
        <v>18913</v>
      </c>
      <c r="B9616" s="15" t="s">
        <v>18914</v>
      </c>
      <c r="C9616" s="16">
        <f>180.42/(1+B2)</f>
        <v>180.42</v>
      </c>
      <c r="D9616" s="17" t="s">
        <v>11</v>
      </c>
      <c r="E9616" s="17" t="s">
        <v>11</v>
      </c>
      <c r="F9616" s="18"/>
      <c r="G9616" s="36" t="str">
        <f>IF(ISNUMBER(F9616),C9616*F9616,"")</f>
        <v/>
      </c>
    </row>
    <row r="9617" spans="1:7" ht="12" customHeight="1" outlineLevel="2" x14ac:dyDescent="0.2">
      <c r="A9617" s="14" t="s">
        <v>18915</v>
      </c>
      <c r="B9617" s="15" t="s">
        <v>18916</v>
      </c>
      <c r="C9617" s="16">
        <f>437.81/(1+B2)</f>
        <v>437.81</v>
      </c>
      <c r="D9617" s="17" t="s">
        <v>11</v>
      </c>
      <c r="E9617" s="17" t="s">
        <v>11</v>
      </c>
      <c r="F9617" s="18"/>
      <c r="G9617" s="36" t="str">
        <f>IF(ISNUMBER(F9617),C9617*F9617,"")</f>
        <v/>
      </c>
    </row>
    <row r="9618" spans="1:7" ht="12" customHeight="1" outlineLevel="2" x14ac:dyDescent="0.2">
      <c r="A9618" s="14" t="s">
        <v>18917</v>
      </c>
      <c r="B9618" s="15" t="s">
        <v>18918</v>
      </c>
      <c r="C9618" s="16">
        <f>251.24/(1+B2)</f>
        <v>251.24</v>
      </c>
      <c r="D9618" s="17" t="s">
        <v>11</v>
      </c>
      <c r="E9618" s="17"/>
      <c r="F9618" s="18"/>
      <c r="G9618" s="36" t="str">
        <f>IF(ISNUMBER(F9618),C9618*F9618,"")</f>
        <v/>
      </c>
    </row>
    <row r="9619" spans="1:7" ht="12" customHeight="1" outlineLevel="2" x14ac:dyDescent="0.2">
      <c r="A9619" s="14" t="s">
        <v>18919</v>
      </c>
      <c r="B9619" s="15" t="s">
        <v>18920</v>
      </c>
      <c r="C9619" s="16">
        <f>367.7/(1+B2)</f>
        <v>367.7</v>
      </c>
      <c r="D9619" s="17" t="s">
        <v>11</v>
      </c>
      <c r="E9619" s="17"/>
      <c r="F9619" s="18"/>
      <c r="G9619" s="36" t="str">
        <f>IF(ISNUMBER(F9619),C9619*F9619,"")</f>
        <v/>
      </c>
    </row>
    <row r="9620" spans="1:7" ht="12" customHeight="1" outlineLevel="2" x14ac:dyDescent="0.2">
      <c r="A9620" s="14" t="s">
        <v>18921</v>
      </c>
      <c r="B9620" s="15" t="s">
        <v>18922</v>
      </c>
      <c r="C9620" s="16">
        <f>557.54/(1+B2)</f>
        <v>557.54</v>
      </c>
      <c r="D9620" s="17" t="s">
        <v>11</v>
      </c>
      <c r="E9620" s="17"/>
      <c r="F9620" s="18"/>
      <c r="G9620" s="36" t="str">
        <f>IF(ISNUMBER(F9620),C9620*F9620,"")</f>
        <v/>
      </c>
    </row>
    <row r="9621" spans="1:7" ht="24" customHeight="1" outlineLevel="2" x14ac:dyDescent="0.2">
      <c r="A9621" s="14" t="s">
        <v>18923</v>
      </c>
      <c r="B9621" s="15" t="s">
        <v>18924</v>
      </c>
      <c r="C9621" s="16">
        <f>579.12/(1+B2)</f>
        <v>579.12</v>
      </c>
      <c r="D9621" s="17" t="s">
        <v>11</v>
      </c>
      <c r="E9621" s="17"/>
      <c r="F9621" s="18"/>
      <c r="G9621" s="36" t="str">
        <f>IF(ISNUMBER(F9621),C9621*F9621,"")</f>
        <v/>
      </c>
    </row>
    <row r="9622" spans="1:7" ht="24" customHeight="1" outlineLevel="2" x14ac:dyDescent="0.2">
      <c r="A9622" s="14" t="s">
        <v>18925</v>
      </c>
      <c r="B9622" s="15" t="s">
        <v>18926</v>
      </c>
      <c r="C9622" s="16">
        <f>348.68/(1+B2)</f>
        <v>348.68</v>
      </c>
      <c r="D9622" s="17" t="s">
        <v>11</v>
      </c>
      <c r="E9622" s="17"/>
      <c r="F9622" s="18"/>
      <c r="G9622" s="36" t="str">
        <f>IF(ISNUMBER(F9622),C9622*F9622,"")</f>
        <v/>
      </c>
    </row>
    <row r="9623" spans="1:7" ht="12" customHeight="1" outlineLevel="2" x14ac:dyDescent="0.2">
      <c r="A9623" s="14" t="s">
        <v>18927</v>
      </c>
      <c r="B9623" s="15" t="s">
        <v>18928</v>
      </c>
      <c r="C9623" s="16">
        <f>282.11/(1+B2)</f>
        <v>282.11</v>
      </c>
      <c r="D9623" s="17" t="s">
        <v>11</v>
      </c>
      <c r="E9623" s="17"/>
      <c r="F9623" s="18"/>
      <c r="G9623" s="36" t="str">
        <f>IF(ISNUMBER(F9623),C9623*F9623,"")</f>
        <v/>
      </c>
    </row>
    <row r="9624" spans="1:7" ht="12" customHeight="1" outlineLevel="2" x14ac:dyDescent="0.2">
      <c r="A9624" s="14" t="s">
        <v>18929</v>
      </c>
      <c r="B9624" s="15" t="s">
        <v>18930</v>
      </c>
      <c r="C9624" s="16">
        <f>480.72/(1+B2)</f>
        <v>480.72</v>
      </c>
      <c r="D9624" s="17" t="s">
        <v>11</v>
      </c>
      <c r="E9624" s="17"/>
      <c r="F9624" s="18"/>
      <c r="G9624" s="36" t="str">
        <f>IF(ISNUMBER(F9624),C9624*F9624,"")</f>
        <v/>
      </c>
    </row>
    <row r="9625" spans="1:7" ht="12" customHeight="1" outlineLevel="2" x14ac:dyDescent="0.2">
      <c r="A9625" s="14" t="s">
        <v>18931</v>
      </c>
      <c r="B9625" s="15" t="s">
        <v>18932</v>
      </c>
      <c r="C9625" s="16">
        <f>317.04/(1+B2)</f>
        <v>317.04000000000002</v>
      </c>
      <c r="D9625" s="17" t="s">
        <v>11</v>
      </c>
      <c r="E9625" s="17" t="s">
        <v>11</v>
      </c>
      <c r="F9625" s="18"/>
      <c r="G9625" s="36" t="str">
        <f>IF(ISNUMBER(F9625),C9625*F9625,"")</f>
        <v/>
      </c>
    </row>
    <row r="9626" spans="1:7" ht="12" customHeight="1" outlineLevel="2" x14ac:dyDescent="0.2">
      <c r="A9626" s="14" t="s">
        <v>18933</v>
      </c>
      <c r="B9626" s="15" t="s">
        <v>18934</v>
      </c>
      <c r="C9626" s="16">
        <f>280.93/(1+B2)</f>
        <v>280.93</v>
      </c>
      <c r="D9626" s="17" t="s">
        <v>11</v>
      </c>
      <c r="E9626" s="17"/>
      <c r="F9626" s="18"/>
      <c r="G9626" s="36" t="str">
        <f>IF(ISNUMBER(F9626),C9626*F9626,"")</f>
        <v/>
      </c>
    </row>
    <row r="9627" spans="1:7" ht="12" customHeight="1" outlineLevel="2" x14ac:dyDescent="0.2">
      <c r="A9627" s="14" t="s">
        <v>18935</v>
      </c>
      <c r="B9627" s="15" t="s">
        <v>18936</v>
      </c>
      <c r="C9627" s="16">
        <f>244.91/(1+B2)</f>
        <v>244.91</v>
      </c>
      <c r="D9627" s="17" t="s">
        <v>11</v>
      </c>
      <c r="E9627" s="17" t="s">
        <v>11</v>
      </c>
      <c r="F9627" s="18"/>
      <c r="G9627" s="36" t="str">
        <f>IF(ISNUMBER(F9627),C9627*F9627,"")</f>
        <v/>
      </c>
    </row>
    <row r="9628" spans="1:7" ht="12" customHeight="1" outlineLevel="2" x14ac:dyDescent="0.2">
      <c r="A9628" s="14" t="s">
        <v>18937</v>
      </c>
      <c r="B9628" s="15" t="s">
        <v>18938</v>
      </c>
      <c r="C9628" s="16">
        <f>228.39/(1+B2)</f>
        <v>228.39</v>
      </c>
      <c r="D9628" s="17" t="s">
        <v>11</v>
      </c>
      <c r="E9628" s="17"/>
      <c r="F9628" s="18"/>
      <c r="G9628" s="36" t="str">
        <f>IF(ISNUMBER(F9628),C9628*F9628,"")</f>
        <v/>
      </c>
    </row>
    <row r="9629" spans="1:7" ht="12" customHeight="1" outlineLevel="2" x14ac:dyDescent="0.2">
      <c r="A9629" s="14" t="s">
        <v>18939</v>
      </c>
      <c r="B9629" s="15" t="s">
        <v>18940</v>
      </c>
      <c r="C9629" s="16">
        <f>350.17/(1+B2)</f>
        <v>350.17</v>
      </c>
      <c r="D9629" s="17" t="s">
        <v>11</v>
      </c>
      <c r="E9629" s="17"/>
      <c r="F9629" s="18"/>
      <c r="G9629" s="36" t="str">
        <f>IF(ISNUMBER(F9629),C9629*F9629,"")</f>
        <v/>
      </c>
    </row>
    <row r="9630" spans="1:7" ht="12" customHeight="1" outlineLevel="2" x14ac:dyDescent="0.2">
      <c r="A9630" s="14" t="s">
        <v>18941</v>
      </c>
      <c r="B9630" s="15" t="s">
        <v>18942</v>
      </c>
      <c r="C9630" s="16">
        <f>735.75/(1+B2)</f>
        <v>735.75</v>
      </c>
      <c r="D9630" s="17" t="s">
        <v>11</v>
      </c>
      <c r="E9630" s="17"/>
      <c r="F9630" s="18"/>
      <c r="G9630" s="36" t="str">
        <f>IF(ISNUMBER(F9630),C9630*F9630,"")</f>
        <v/>
      </c>
    </row>
    <row r="9631" spans="1:7" ht="12" customHeight="1" outlineLevel="2" x14ac:dyDescent="0.2">
      <c r="A9631" s="14" t="s">
        <v>18943</v>
      </c>
      <c r="B9631" s="15" t="s">
        <v>18944</v>
      </c>
      <c r="C9631" s="16">
        <f>584.1/(1+B2)</f>
        <v>584.1</v>
      </c>
      <c r="D9631" s="17" t="s">
        <v>11</v>
      </c>
      <c r="E9631" s="17"/>
      <c r="F9631" s="18"/>
      <c r="G9631" s="36" t="str">
        <f>IF(ISNUMBER(F9631),C9631*F9631,"")</f>
        <v/>
      </c>
    </row>
    <row r="9632" spans="1:7" ht="12" customHeight="1" outlineLevel="2" x14ac:dyDescent="0.2">
      <c r="A9632" s="14" t="s">
        <v>18945</v>
      </c>
      <c r="B9632" s="15" t="s">
        <v>18946</v>
      </c>
      <c r="C9632" s="16">
        <f>370.21/(1+B2)</f>
        <v>370.21</v>
      </c>
      <c r="D9632" s="17" t="s">
        <v>11</v>
      </c>
      <c r="E9632" s="17"/>
      <c r="F9632" s="18"/>
      <c r="G9632" s="36" t="str">
        <f>IF(ISNUMBER(F9632),C9632*F9632,"")</f>
        <v/>
      </c>
    </row>
    <row r="9633" spans="1:7" ht="12" customHeight="1" outlineLevel="2" x14ac:dyDescent="0.2">
      <c r="A9633" s="14" t="s">
        <v>18947</v>
      </c>
      <c r="B9633" s="15" t="s">
        <v>18948</v>
      </c>
      <c r="C9633" s="16">
        <f>563.42/(1+B2)</f>
        <v>563.41999999999996</v>
      </c>
      <c r="D9633" s="17" t="s">
        <v>11</v>
      </c>
      <c r="E9633" s="17"/>
      <c r="F9633" s="18"/>
      <c r="G9633" s="36" t="str">
        <f>IF(ISNUMBER(F9633),C9633*F9633,"")</f>
        <v/>
      </c>
    </row>
    <row r="9634" spans="1:7" ht="12" customHeight="1" outlineLevel="2" x14ac:dyDescent="0.2">
      <c r="A9634" s="14" t="s">
        <v>18949</v>
      </c>
      <c r="B9634" s="15" t="s">
        <v>18950</v>
      </c>
      <c r="C9634" s="16">
        <f>834.24/(1+B2)</f>
        <v>834.24</v>
      </c>
      <c r="D9634" s="17" t="s">
        <v>11</v>
      </c>
      <c r="E9634" s="17"/>
      <c r="F9634" s="18"/>
      <c r="G9634" s="36" t="str">
        <f>IF(ISNUMBER(F9634),C9634*F9634,"")</f>
        <v/>
      </c>
    </row>
    <row r="9635" spans="1:7" ht="12" customHeight="1" outlineLevel="2" x14ac:dyDescent="0.2">
      <c r="A9635" s="14" t="s">
        <v>18951</v>
      </c>
      <c r="B9635" s="15" t="s">
        <v>18952</v>
      </c>
      <c r="C9635" s="16">
        <f>521.95/(1+B2)</f>
        <v>521.95000000000005</v>
      </c>
      <c r="D9635" s="17" t="s">
        <v>11</v>
      </c>
      <c r="E9635" s="17"/>
      <c r="F9635" s="18"/>
      <c r="G9635" s="36" t="str">
        <f>IF(ISNUMBER(F9635),C9635*F9635,"")</f>
        <v/>
      </c>
    </row>
    <row r="9636" spans="1:7" ht="24" customHeight="1" outlineLevel="2" x14ac:dyDescent="0.2">
      <c r="A9636" s="14" t="s">
        <v>18953</v>
      </c>
      <c r="B9636" s="15" t="s">
        <v>18954</v>
      </c>
      <c r="C9636" s="16">
        <f>448.66/(1+B2)</f>
        <v>448.66</v>
      </c>
      <c r="D9636" s="17" t="s">
        <v>11</v>
      </c>
      <c r="E9636" s="17"/>
      <c r="F9636" s="18"/>
      <c r="G9636" s="36" t="str">
        <f>IF(ISNUMBER(F9636),C9636*F9636,"")</f>
        <v/>
      </c>
    </row>
    <row r="9637" spans="1:7" ht="12" customHeight="1" outlineLevel="2" x14ac:dyDescent="0.2">
      <c r="A9637" s="14" t="s">
        <v>18955</v>
      </c>
      <c r="B9637" s="15" t="s">
        <v>18956</v>
      </c>
      <c r="C9637" s="16">
        <f>533.16/(1+B2)</f>
        <v>533.16</v>
      </c>
      <c r="D9637" s="17" t="s">
        <v>11</v>
      </c>
      <c r="E9637" s="17" t="s">
        <v>11</v>
      </c>
      <c r="F9637" s="18"/>
      <c r="G9637" s="36" t="str">
        <f>IF(ISNUMBER(F9637),C9637*F9637,"")</f>
        <v/>
      </c>
    </row>
    <row r="9638" spans="1:7" ht="12" customHeight="1" outlineLevel="2" x14ac:dyDescent="0.2">
      <c r="A9638" s="14" t="s">
        <v>18957</v>
      </c>
      <c r="B9638" s="15" t="s">
        <v>18958</v>
      </c>
      <c r="C9638" s="16">
        <f>772.03/(1+B2)</f>
        <v>772.03</v>
      </c>
      <c r="D9638" s="17" t="s">
        <v>11</v>
      </c>
      <c r="E9638" s="17"/>
      <c r="F9638" s="18"/>
      <c r="G9638" s="36" t="str">
        <f>IF(ISNUMBER(F9638),C9638*F9638,"")</f>
        <v/>
      </c>
    </row>
    <row r="9639" spans="1:7" ht="12" customHeight="1" outlineLevel="2" x14ac:dyDescent="0.2">
      <c r="A9639" s="14" t="s">
        <v>18959</v>
      </c>
      <c r="B9639" s="15" t="s">
        <v>18960</v>
      </c>
      <c r="C9639" s="16">
        <f>576.67/(1+B2)</f>
        <v>576.66999999999996</v>
      </c>
      <c r="D9639" s="17" t="s">
        <v>11</v>
      </c>
      <c r="E9639" s="17"/>
      <c r="F9639" s="18"/>
      <c r="G9639" s="36" t="str">
        <f>IF(ISNUMBER(F9639),C9639*F9639,"")</f>
        <v/>
      </c>
    </row>
    <row r="9640" spans="1:7" ht="12" customHeight="1" outlineLevel="2" x14ac:dyDescent="0.2">
      <c r="A9640" s="14" t="s">
        <v>18961</v>
      </c>
      <c r="B9640" s="15" t="s">
        <v>18962</v>
      </c>
      <c r="C9640" s="16">
        <f>679.44/(1+B2)</f>
        <v>679.44</v>
      </c>
      <c r="D9640" s="17" t="s">
        <v>11</v>
      </c>
      <c r="E9640" s="17"/>
      <c r="F9640" s="18"/>
      <c r="G9640" s="36" t="str">
        <f>IF(ISNUMBER(F9640),C9640*F9640,"")</f>
        <v/>
      </c>
    </row>
    <row r="9641" spans="1:7" ht="12" customHeight="1" outlineLevel="2" x14ac:dyDescent="0.2">
      <c r="A9641" s="14" t="s">
        <v>18963</v>
      </c>
      <c r="B9641" s="15" t="s">
        <v>18964</v>
      </c>
      <c r="C9641" s="16">
        <f>612.07/(1+B2)</f>
        <v>612.07000000000005</v>
      </c>
      <c r="D9641" s="17" t="s">
        <v>11</v>
      </c>
      <c r="E9641" s="17" t="s">
        <v>11</v>
      </c>
      <c r="F9641" s="18"/>
      <c r="G9641" s="36" t="str">
        <f>IF(ISNUMBER(F9641),C9641*F9641,"")</f>
        <v/>
      </c>
    </row>
    <row r="9642" spans="1:7" ht="12" customHeight="1" outlineLevel="2" x14ac:dyDescent="0.2">
      <c r="A9642" s="14" t="s">
        <v>18965</v>
      </c>
      <c r="B9642" s="15" t="s">
        <v>18966</v>
      </c>
      <c r="C9642" s="16">
        <f>673.73/(1+B2)</f>
        <v>673.73</v>
      </c>
      <c r="D9642" s="17" t="s">
        <v>11</v>
      </c>
      <c r="E9642" s="17"/>
      <c r="F9642" s="18"/>
      <c r="G9642" s="36" t="str">
        <f>IF(ISNUMBER(F9642),C9642*F9642,"")</f>
        <v/>
      </c>
    </row>
    <row r="9643" spans="1:7" ht="12" customHeight="1" outlineLevel="2" x14ac:dyDescent="0.2">
      <c r="A9643" s="14" t="s">
        <v>18967</v>
      </c>
      <c r="B9643" s="15" t="s">
        <v>18968</v>
      </c>
      <c r="C9643" s="16">
        <f>767.38/(1+B2)</f>
        <v>767.38</v>
      </c>
      <c r="D9643" s="17" t="s">
        <v>11</v>
      </c>
      <c r="E9643" s="17" t="s">
        <v>11</v>
      </c>
      <c r="F9643" s="18"/>
      <c r="G9643" s="36" t="str">
        <f>IF(ISNUMBER(F9643),C9643*F9643,"")</f>
        <v/>
      </c>
    </row>
    <row r="9644" spans="1:7" ht="12" customHeight="1" outlineLevel="2" x14ac:dyDescent="0.2">
      <c r="A9644" s="14" t="s">
        <v>18969</v>
      </c>
      <c r="B9644" s="15" t="s">
        <v>18970</v>
      </c>
      <c r="C9644" s="16">
        <f>568.68/(1+B2)</f>
        <v>568.67999999999995</v>
      </c>
      <c r="D9644" s="17" t="s">
        <v>11</v>
      </c>
      <c r="E9644" s="17" t="s">
        <v>11</v>
      </c>
      <c r="F9644" s="18"/>
      <c r="G9644" s="36" t="str">
        <f>IF(ISNUMBER(F9644),C9644*F9644,"")</f>
        <v/>
      </c>
    </row>
    <row r="9645" spans="1:7" ht="12" customHeight="1" outlineLevel="2" x14ac:dyDescent="0.2">
      <c r="A9645" s="14" t="s">
        <v>18971</v>
      </c>
      <c r="B9645" s="15" t="s">
        <v>18972</v>
      </c>
      <c r="C9645" s="16">
        <f>644.04/(1+B2)</f>
        <v>644.04</v>
      </c>
      <c r="D9645" s="17" t="s">
        <v>11</v>
      </c>
      <c r="E9645" s="17"/>
      <c r="F9645" s="18"/>
      <c r="G9645" s="36" t="str">
        <f>IF(ISNUMBER(F9645),C9645*F9645,"")</f>
        <v/>
      </c>
    </row>
    <row r="9646" spans="1:7" ht="12" customHeight="1" outlineLevel="2" x14ac:dyDescent="0.2">
      <c r="A9646" s="14" t="s">
        <v>18973</v>
      </c>
      <c r="B9646" s="15" t="s">
        <v>18974</v>
      </c>
      <c r="C9646" s="16">
        <f>833.53/(1+B2)</f>
        <v>833.53</v>
      </c>
      <c r="D9646" s="17" t="s">
        <v>11</v>
      </c>
      <c r="E9646" s="17"/>
      <c r="F9646" s="18"/>
      <c r="G9646" s="36" t="str">
        <f>IF(ISNUMBER(F9646),C9646*F9646,"")</f>
        <v/>
      </c>
    </row>
    <row r="9647" spans="1:7" ht="12" customHeight="1" outlineLevel="2" x14ac:dyDescent="0.2">
      <c r="A9647" s="14" t="s">
        <v>18975</v>
      </c>
      <c r="B9647" s="15" t="s">
        <v>18976</v>
      </c>
      <c r="C9647" s="16">
        <f>609.78/(1+B2)</f>
        <v>609.78</v>
      </c>
      <c r="D9647" s="17" t="s">
        <v>11</v>
      </c>
      <c r="E9647" s="17" t="s">
        <v>11</v>
      </c>
      <c r="F9647" s="18"/>
      <c r="G9647" s="36" t="str">
        <f>IF(ISNUMBER(F9647),C9647*F9647,"")</f>
        <v/>
      </c>
    </row>
    <row r="9648" spans="1:7" ht="12" customHeight="1" outlineLevel="2" x14ac:dyDescent="0.2">
      <c r="A9648" s="14" t="s">
        <v>18977</v>
      </c>
      <c r="B9648" s="15" t="s">
        <v>18978</v>
      </c>
      <c r="C9648" s="16">
        <f>396.37/(1+B2)</f>
        <v>396.37</v>
      </c>
      <c r="D9648" s="17" t="s">
        <v>11</v>
      </c>
      <c r="E9648" s="17"/>
      <c r="F9648" s="18"/>
      <c r="G9648" s="36" t="str">
        <f>IF(ISNUMBER(F9648),C9648*F9648,"")</f>
        <v/>
      </c>
    </row>
    <row r="9649" spans="1:7" ht="12" customHeight="1" outlineLevel="2" x14ac:dyDescent="0.2">
      <c r="A9649" s="14" t="s">
        <v>18979</v>
      </c>
      <c r="B9649" s="15" t="s">
        <v>18980</v>
      </c>
      <c r="C9649" s="16">
        <f>548.12/(1+B2)</f>
        <v>548.12</v>
      </c>
      <c r="D9649" s="17" t="s">
        <v>11</v>
      </c>
      <c r="E9649" s="17"/>
      <c r="F9649" s="18"/>
      <c r="G9649" s="36" t="str">
        <f>IF(ISNUMBER(F9649),C9649*F9649,"")</f>
        <v/>
      </c>
    </row>
    <row r="9650" spans="1:7" ht="12" customHeight="1" outlineLevel="2" x14ac:dyDescent="0.2">
      <c r="A9650" s="14" t="s">
        <v>18981</v>
      </c>
      <c r="B9650" s="15" t="s">
        <v>18982</v>
      </c>
      <c r="C9650" s="19">
        <f>1044.32/(1+B2)</f>
        <v>1044.32</v>
      </c>
      <c r="D9650" s="17" t="s">
        <v>11</v>
      </c>
      <c r="E9650" s="17"/>
      <c r="F9650" s="18"/>
      <c r="G9650" s="36" t="str">
        <f>IF(ISNUMBER(F9650),C9650*F9650,"")</f>
        <v/>
      </c>
    </row>
    <row r="9651" spans="1:7" ht="12" customHeight="1" outlineLevel="2" x14ac:dyDescent="0.2">
      <c r="A9651" s="14" t="s">
        <v>18983</v>
      </c>
      <c r="B9651" s="15" t="s">
        <v>18984</v>
      </c>
      <c r="C9651" s="16">
        <f>214.64/(1+B2)</f>
        <v>214.64</v>
      </c>
      <c r="D9651" s="17" t="s">
        <v>11</v>
      </c>
      <c r="E9651" s="17"/>
      <c r="F9651" s="18"/>
      <c r="G9651" s="36" t="str">
        <f>IF(ISNUMBER(F9651),C9651*F9651,"")</f>
        <v/>
      </c>
    </row>
    <row r="9652" spans="1:7" ht="12" customHeight="1" outlineLevel="2" x14ac:dyDescent="0.2">
      <c r="A9652" s="14" t="s">
        <v>18985</v>
      </c>
      <c r="B9652" s="15" t="s">
        <v>18986</v>
      </c>
      <c r="C9652" s="16">
        <f>380.1/(1+B2)</f>
        <v>380.1</v>
      </c>
      <c r="D9652" s="17" t="s">
        <v>11</v>
      </c>
      <c r="E9652" s="17"/>
      <c r="F9652" s="18"/>
      <c r="G9652" s="36" t="str">
        <f>IF(ISNUMBER(F9652),C9652*F9652,"")</f>
        <v/>
      </c>
    </row>
    <row r="9653" spans="1:7" ht="12" customHeight="1" outlineLevel="2" x14ac:dyDescent="0.2">
      <c r="A9653" s="14" t="s">
        <v>18987</v>
      </c>
      <c r="B9653" s="15" t="s">
        <v>18988</v>
      </c>
      <c r="C9653" s="16">
        <f>559.55/(1+B2)</f>
        <v>559.54999999999995</v>
      </c>
      <c r="D9653" s="17" t="s">
        <v>11</v>
      </c>
      <c r="E9653" s="17" t="s">
        <v>11</v>
      </c>
      <c r="F9653" s="18"/>
      <c r="G9653" s="36" t="str">
        <f>IF(ISNUMBER(F9653),C9653*F9653,"")</f>
        <v/>
      </c>
    </row>
    <row r="9654" spans="1:7" ht="12" customHeight="1" outlineLevel="2" x14ac:dyDescent="0.2">
      <c r="A9654" s="14" t="s">
        <v>18989</v>
      </c>
      <c r="B9654" s="15" t="s">
        <v>18990</v>
      </c>
      <c r="C9654" s="16">
        <f>336.86/(1+B2)</f>
        <v>336.86</v>
      </c>
      <c r="D9654" s="17" t="s">
        <v>11</v>
      </c>
      <c r="E9654" s="17" t="s">
        <v>11</v>
      </c>
      <c r="F9654" s="18"/>
      <c r="G9654" s="36" t="str">
        <f>IF(ISNUMBER(F9654),C9654*F9654,"")</f>
        <v/>
      </c>
    </row>
    <row r="9655" spans="1:7" ht="12" customHeight="1" outlineLevel="2" x14ac:dyDescent="0.2">
      <c r="A9655" s="14" t="s">
        <v>18991</v>
      </c>
      <c r="B9655" s="15" t="s">
        <v>18992</v>
      </c>
      <c r="C9655" s="16">
        <f>365.41/(1+B2)</f>
        <v>365.41</v>
      </c>
      <c r="D9655" s="17" t="s">
        <v>11</v>
      </c>
      <c r="E9655" s="17" t="s">
        <v>11</v>
      </c>
      <c r="F9655" s="18"/>
      <c r="G9655" s="36" t="str">
        <f>IF(ISNUMBER(F9655),C9655*F9655,"")</f>
        <v/>
      </c>
    </row>
    <row r="9656" spans="1:7" ht="12" customHeight="1" outlineLevel="2" x14ac:dyDescent="0.2">
      <c r="A9656" s="14" t="s">
        <v>18993</v>
      </c>
      <c r="B9656" s="15" t="s">
        <v>18994</v>
      </c>
      <c r="C9656" s="16">
        <f>502.45/(1+B2)</f>
        <v>502.45</v>
      </c>
      <c r="D9656" s="17" t="s">
        <v>11</v>
      </c>
      <c r="E9656" s="17" t="s">
        <v>11</v>
      </c>
      <c r="F9656" s="18"/>
      <c r="G9656" s="36" t="str">
        <f>IF(ISNUMBER(F9656),C9656*F9656,"")</f>
        <v/>
      </c>
    </row>
    <row r="9657" spans="1:7" ht="24" customHeight="1" outlineLevel="2" x14ac:dyDescent="0.2">
      <c r="A9657" s="14" t="s">
        <v>18995</v>
      </c>
      <c r="B9657" s="15" t="s">
        <v>18996</v>
      </c>
      <c r="C9657" s="16">
        <f>548.23/(1+B2)</f>
        <v>548.23</v>
      </c>
      <c r="D9657" s="17" t="s">
        <v>11</v>
      </c>
      <c r="E9657" s="17"/>
      <c r="F9657" s="18"/>
      <c r="G9657" s="36" t="str">
        <f>IF(ISNUMBER(F9657),C9657*F9657,"")</f>
        <v/>
      </c>
    </row>
    <row r="9658" spans="1:7" ht="24" customHeight="1" outlineLevel="2" x14ac:dyDescent="0.2">
      <c r="A9658" s="14" t="s">
        <v>18997</v>
      </c>
      <c r="B9658" s="15" t="s">
        <v>18998</v>
      </c>
      <c r="C9658" s="16">
        <f>708.14/(1+B2)</f>
        <v>708.14</v>
      </c>
      <c r="D9658" s="17" t="s">
        <v>11</v>
      </c>
      <c r="E9658" s="17"/>
      <c r="F9658" s="18"/>
      <c r="G9658" s="36" t="str">
        <f>IF(ISNUMBER(F9658),C9658*F9658,"")</f>
        <v/>
      </c>
    </row>
    <row r="9659" spans="1:7" ht="24" customHeight="1" outlineLevel="2" x14ac:dyDescent="0.2">
      <c r="A9659" s="14" t="s">
        <v>18999</v>
      </c>
      <c r="B9659" s="15" t="s">
        <v>19000</v>
      </c>
      <c r="C9659" s="16">
        <f>641.02/(1+B2)</f>
        <v>641.02</v>
      </c>
      <c r="D9659" s="17" t="s">
        <v>11</v>
      </c>
      <c r="E9659" s="17" t="s">
        <v>11</v>
      </c>
      <c r="F9659" s="18"/>
      <c r="G9659" s="36" t="str">
        <f>IF(ISNUMBER(F9659),C9659*F9659,"")</f>
        <v/>
      </c>
    </row>
    <row r="9660" spans="1:7" ht="12" customHeight="1" outlineLevel="2" x14ac:dyDescent="0.2">
      <c r="A9660" s="14" t="s">
        <v>19001</v>
      </c>
      <c r="B9660" s="15" t="s">
        <v>19002</v>
      </c>
      <c r="C9660" s="16">
        <f>348.29/(1+B2)</f>
        <v>348.29</v>
      </c>
      <c r="D9660" s="17" t="s">
        <v>11</v>
      </c>
      <c r="E9660" s="17"/>
      <c r="F9660" s="18"/>
      <c r="G9660" s="36" t="str">
        <f>IF(ISNUMBER(F9660),C9660*F9660,"")</f>
        <v/>
      </c>
    </row>
    <row r="9661" spans="1:7" ht="24" customHeight="1" outlineLevel="2" x14ac:dyDescent="0.2">
      <c r="A9661" s="14" t="s">
        <v>19003</v>
      </c>
      <c r="B9661" s="15" t="s">
        <v>19004</v>
      </c>
      <c r="C9661" s="16">
        <f>796.9/(1+B2)</f>
        <v>796.9</v>
      </c>
      <c r="D9661" s="17" t="s">
        <v>11</v>
      </c>
      <c r="E9661" s="17"/>
      <c r="F9661" s="18"/>
      <c r="G9661" s="36" t="str">
        <f>IF(ISNUMBER(F9661),C9661*F9661,"")</f>
        <v/>
      </c>
    </row>
    <row r="9662" spans="1:7" ht="24" customHeight="1" outlineLevel="2" x14ac:dyDescent="0.2">
      <c r="A9662" s="14" t="s">
        <v>19005</v>
      </c>
      <c r="B9662" s="15" t="s">
        <v>19006</v>
      </c>
      <c r="C9662" s="16">
        <f>470.47/(1+B2)</f>
        <v>470.47</v>
      </c>
      <c r="D9662" s="17" t="s">
        <v>11</v>
      </c>
      <c r="E9662" s="17"/>
      <c r="F9662" s="18"/>
      <c r="G9662" s="36" t="str">
        <f>IF(ISNUMBER(F9662),C9662*F9662,"")</f>
        <v/>
      </c>
    </row>
    <row r="9663" spans="1:7" ht="24" customHeight="1" outlineLevel="2" x14ac:dyDescent="0.2">
      <c r="A9663" s="14" t="s">
        <v>19007</v>
      </c>
      <c r="B9663" s="15" t="s">
        <v>19008</v>
      </c>
      <c r="C9663" s="19">
        <f>1012.25/(1+B2)</f>
        <v>1012.25</v>
      </c>
      <c r="D9663" s="17" t="s">
        <v>11</v>
      </c>
      <c r="E9663" s="17"/>
      <c r="F9663" s="18"/>
      <c r="G9663" s="36" t="str">
        <f>IF(ISNUMBER(F9663),C9663*F9663,"")</f>
        <v/>
      </c>
    </row>
    <row r="9664" spans="1:7" ht="12" customHeight="1" outlineLevel="2" x14ac:dyDescent="0.2">
      <c r="A9664" s="14" t="s">
        <v>19009</v>
      </c>
      <c r="B9664" s="15" t="s">
        <v>19010</v>
      </c>
      <c r="C9664" s="16">
        <f>773.08/(1+B2)</f>
        <v>773.08</v>
      </c>
      <c r="D9664" s="17" t="s">
        <v>11</v>
      </c>
      <c r="E9664" s="17" t="s">
        <v>11</v>
      </c>
      <c r="F9664" s="18"/>
      <c r="G9664" s="36" t="str">
        <f>IF(ISNUMBER(F9664),C9664*F9664,"")</f>
        <v/>
      </c>
    </row>
    <row r="9665" spans="1:7" ht="24" customHeight="1" outlineLevel="2" x14ac:dyDescent="0.2">
      <c r="A9665" s="14" t="s">
        <v>19011</v>
      </c>
      <c r="B9665" s="15" t="s">
        <v>19012</v>
      </c>
      <c r="C9665" s="19">
        <f>1039.31/(1+B2)</f>
        <v>1039.31</v>
      </c>
      <c r="D9665" s="17" t="s">
        <v>11</v>
      </c>
      <c r="E9665" s="17"/>
      <c r="F9665" s="18"/>
      <c r="G9665" s="36" t="str">
        <f>IF(ISNUMBER(F9665),C9665*F9665,"")</f>
        <v/>
      </c>
    </row>
    <row r="9666" spans="1:7" ht="12" customHeight="1" outlineLevel="2" x14ac:dyDescent="0.2">
      <c r="A9666" s="14" t="s">
        <v>19013</v>
      </c>
      <c r="B9666" s="15" t="s">
        <v>19014</v>
      </c>
      <c r="C9666" s="16">
        <f>808.79/(1+B2)</f>
        <v>808.79</v>
      </c>
      <c r="D9666" s="17" t="s">
        <v>11</v>
      </c>
      <c r="E9666" s="17"/>
      <c r="F9666" s="18"/>
      <c r="G9666" s="36" t="str">
        <f>IF(ISNUMBER(F9666),C9666*F9666,"")</f>
        <v/>
      </c>
    </row>
    <row r="9667" spans="1:7" ht="24" customHeight="1" outlineLevel="2" x14ac:dyDescent="0.2">
      <c r="A9667" s="14" t="s">
        <v>19015</v>
      </c>
      <c r="B9667" s="15" t="s">
        <v>19016</v>
      </c>
      <c r="C9667" s="16">
        <f>925.1/(1+B2)</f>
        <v>925.1</v>
      </c>
      <c r="D9667" s="17" t="s">
        <v>11</v>
      </c>
      <c r="E9667" s="17"/>
      <c r="F9667" s="18"/>
      <c r="G9667" s="36" t="str">
        <f>IF(ISNUMBER(F9667),C9667*F9667,"")</f>
        <v/>
      </c>
    </row>
    <row r="9668" spans="1:7" ht="24" customHeight="1" outlineLevel="2" x14ac:dyDescent="0.2">
      <c r="A9668" s="14" t="s">
        <v>19017</v>
      </c>
      <c r="B9668" s="15" t="s">
        <v>19018</v>
      </c>
      <c r="C9668" s="16">
        <f>578.68/(1+B2)</f>
        <v>578.67999999999995</v>
      </c>
      <c r="D9668" s="17" t="s">
        <v>11</v>
      </c>
      <c r="E9668" s="17"/>
      <c r="F9668" s="18"/>
      <c r="G9668" s="36" t="str">
        <f>IF(ISNUMBER(F9668),C9668*F9668,"")</f>
        <v/>
      </c>
    </row>
    <row r="9669" spans="1:7" ht="12" customHeight="1" outlineLevel="2" x14ac:dyDescent="0.2">
      <c r="A9669" s="14" t="s">
        <v>19019</v>
      </c>
      <c r="B9669" s="15" t="s">
        <v>19020</v>
      </c>
      <c r="C9669" s="16">
        <f>717.42/(1+B2)</f>
        <v>717.42</v>
      </c>
      <c r="D9669" s="17" t="s">
        <v>11</v>
      </c>
      <c r="E9669" s="17"/>
      <c r="F9669" s="18"/>
      <c r="G9669" s="36" t="str">
        <f>IF(ISNUMBER(F9669),C9669*F9669,"")</f>
        <v/>
      </c>
    </row>
    <row r="9670" spans="1:7" ht="12" customHeight="1" outlineLevel="2" x14ac:dyDescent="0.2">
      <c r="A9670" s="14" t="s">
        <v>19021</v>
      </c>
      <c r="B9670" s="15" t="s">
        <v>19022</v>
      </c>
      <c r="C9670" s="19">
        <f>1002.52/(1+B2)</f>
        <v>1002.52</v>
      </c>
      <c r="D9670" s="17" t="s">
        <v>11</v>
      </c>
      <c r="E9670" s="17"/>
      <c r="F9670" s="18"/>
      <c r="G9670" s="36" t="str">
        <f>IF(ISNUMBER(F9670),C9670*F9670,"")</f>
        <v/>
      </c>
    </row>
    <row r="9671" spans="1:7" ht="12" customHeight="1" outlineLevel="2" x14ac:dyDescent="0.2">
      <c r="A9671" s="14" t="s">
        <v>19023</v>
      </c>
      <c r="B9671" s="15" t="s">
        <v>19024</v>
      </c>
      <c r="C9671" s="16">
        <f>244.54/(1+B2)</f>
        <v>244.54</v>
      </c>
      <c r="D9671" s="17" t="s">
        <v>11</v>
      </c>
      <c r="E9671" s="17"/>
      <c r="F9671" s="18"/>
      <c r="G9671" s="36" t="str">
        <f>IF(ISNUMBER(F9671),C9671*F9671,"")</f>
        <v/>
      </c>
    </row>
    <row r="9672" spans="1:7" ht="12" customHeight="1" outlineLevel="2" x14ac:dyDescent="0.2">
      <c r="A9672" s="14" t="s">
        <v>19025</v>
      </c>
      <c r="B9672" s="15" t="s">
        <v>19026</v>
      </c>
      <c r="C9672" s="16">
        <f>442.57/(1+B2)</f>
        <v>442.57</v>
      </c>
      <c r="D9672" s="17" t="s">
        <v>11</v>
      </c>
      <c r="E9672" s="17"/>
      <c r="F9672" s="18"/>
      <c r="G9672" s="36" t="str">
        <f>IF(ISNUMBER(F9672),C9672*F9672,"")</f>
        <v/>
      </c>
    </row>
    <row r="9673" spans="1:7" ht="12" customHeight="1" outlineLevel="2" x14ac:dyDescent="0.2">
      <c r="A9673" s="14" t="s">
        <v>19027</v>
      </c>
      <c r="B9673" s="15" t="s">
        <v>19028</v>
      </c>
      <c r="C9673" s="16">
        <f>527.75/(1+B2)</f>
        <v>527.75</v>
      </c>
      <c r="D9673" s="17" t="s">
        <v>11</v>
      </c>
      <c r="E9673" s="17"/>
      <c r="F9673" s="18"/>
      <c r="G9673" s="36" t="str">
        <f>IF(ISNUMBER(F9673),C9673*F9673,"")</f>
        <v/>
      </c>
    </row>
    <row r="9674" spans="1:7" ht="12" customHeight="1" outlineLevel="2" x14ac:dyDescent="0.2">
      <c r="A9674" s="14" t="s">
        <v>19029</v>
      </c>
      <c r="B9674" s="15" t="s">
        <v>19030</v>
      </c>
      <c r="C9674" s="16">
        <f>561.21/(1+B2)</f>
        <v>561.21</v>
      </c>
      <c r="D9674" s="17" t="s">
        <v>11</v>
      </c>
      <c r="E9674" s="17"/>
      <c r="F9674" s="18"/>
      <c r="G9674" s="36" t="str">
        <f>IF(ISNUMBER(F9674),C9674*F9674,"")</f>
        <v/>
      </c>
    </row>
    <row r="9675" spans="1:7" ht="24" customHeight="1" outlineLevel="2" x14ac:dyDescent="0.2">
      <c r="A9675" s="14" t="s">
        <v>19031</v>
      </c>
      <c r="B9675" s="15" t="s">
        <v>19032</v>
      </c>
      <c r="C9675" s="16">
        <f>221.05/(1+B2)</f>
        <v>221.05</v>
      </c>
      <c r="D9675" s="17" t="s">
        <v>11</v>
      </c>
      <c r="E9675" s="17" t="s">
        <v>11</v>
      </c>
      <c r="F9675" s="18"/>
      <c r="G9675" s="36" t="str">
        <f>IF(ISNUMBER(F9675),C9675*F9675,"")</f>
        <v/>
      </c>
    </row>
    <row r="9676" spans="1:7" ht="12" customHeight="1" outlineLevel="2" x14ac:dyDescent="0.2">
      <c r="A9676" s="14" t="s">
        <v>19033</v>
      </c>
      <c r="B9676" s="15" t="s">
        <v>19034</v>
      </c>
      <c r="C9676" s="16">
        <f>364.45/(1+B2)</f>
        <v>364.45</v>
      </c>
      <c r="D9676" s="17" t="s">
        <v>11</v>
      </c>
      <c r="E9676" s="17"/>
      <c r="F9676" s="18"/>
      <c r="G9676" s="36" t="str">
        <f>IF(ISNUMBER(F9676),C9676*F9676,"")</f>
        <v/>
      </c>
    </row>
    <row r="9677" spans="1:7" ht="24" customHeight="1" outlineLevel="2" x14ac:dyDescent="0.2">
      <c r="A9677" s="14" t="s">
        <v>19035</v>
      </c>
      <c r="B9677" s="15" t="s">
        <v>19036</v>
      </c>
      <c r="C9677" s="16">
        <f>355.26/(1+B2)</f>
        <v>355.26</v>
      </c>
      <c r="D9677" s="17" t="s">
        <v>11</v>
      </c>
      <c r="E9677" s="17" t="s">
        <v>11</v>
      </c>
      <c r="F9677" s="18"/>
      <c r="G9677" s="36" t="str">
        <f>IF(ISNUMBER(F9677),C9677*F9677,"")</f>
        <v/>
      </c>
    </row>
    <row r="9678" spans="1:7" s="1" customFormat="1" ht="15.95" customHeight="1" outlineLevel="1" x14ac:dyDescent="0.25">
      <c r="A9678" s="11"/>
      <c r="B9678" s="12" t="s">
        <v>19037</v>
      </c>
      <c r="C9678" s="13"/>
      <c r="D9678" s="13"/>
      <c r="E9678" s="13"/>
      <c r="F9678" s="13"/>
      <c r="G9678" s="35"/>
    </row>
    <row r="9679" spans="1:7" ht="12" customHeight="1" outlineLevel="2" x14ac:dyDescent="0.2">
      <c r="A9679" s="14" t="s">
        <v>19038</v>
      </c>
      <c r="B9679" s="15" t="s">
        <v>19039</v>
      </c>
      <c r="C9679" s="16">
        <f>179.04/(1+B2)</f>
        <v>179.04</v>
      </c>
      <c r="D9679" s="17" t="s">
        <v>11</v>
      </c>
      <c r="E9679" s="17"/>
      <c r="F9679" s="18"/>
      <c r="G9679" s="36" t="str">
        <f>IF(ISNUMBER(F9679),C9679*F9679,"")</f>
        <v/>
      </c>
    </row>
    <row r="9680" spans="1:7" ht="12" customHeight="1" outlineLevel="2" x14ac:dyDescent="0.2">
      <c r="A9680" s="14" t="s">
        <v>19040</v>
      </c>
      <c r="B9680" s="15" t="s">
        <v>19041</v>
      </c>
      <c r="C9680" s="16">
        <f>279.39/(1+B2)</f>
        <v>279.39</v>
      </c>
      <c r="D9680" s="17" t="s">
        <v>11</v>
      </c>
      <c r="E9680" s="17"/>
      <c r="F9680" s="18"/>
      <c r="G9680" s="36" t="str">
        <f>IF(ISNUMBER(F9680),C9680*F9680,"")</f>
        <v/>
      </c>
    </row>
    <row r="9681" spans="1:7" ht="12" customHeight="1" outlineLevel="2" x14ac:dyDescent="0.2">
      <c r="A9681" s="14" t="s">
        <v>19042</v>
      </c>
      <c r="B9681" s="15" t="s">
        <v>19043</v>
      </c>
      <c r="C9681" s="16">
        <f>279.39/(1+B2)</f>
        <v>279.39</v>
      </c>
      <c r="D9681" s="17" t="s">
        <v>11</v>
      </c>
      <c r="E9681" s="17"/>
      <c r="F9681" s="18"/>
      <c r="G9681" s="36" t="str">
        <f>IF(ISNUMBER(F9681),C9681*F9681,"")</f>
        <v/>
      </c>
    </row>
    <row r="9682" spans="1:7" ht="12" customHeight="1" outlineLevel="2" x14ac:dyDescent="0.2">
      <c r="A9682" s="14" t="s">
        <v>19044</v>
      </c>
      <c r="B9682" s="15" t="s">
        <v>19045</v>
      </c>
      <c r="C9682" s="16">
        <f>441.12/(1+B2)</f>
        <v>441.12</v>
      </c>
      <c r="D9682" s="17" t="s">
        <v>11</v>
      </c>
      <c r="E9682" s="17"/>
      <c r="F9682" s="18"/>
      <c r="G9682" s="36" t="str">
        <f>IF(ISNUMBER(F9682),C9682*F9682,"")</f>
        <v/>
      </c>
    </row>
    <row r="9683" spans="1:7" ht="12" customHeight="1" outlineLevel="2" x14ac:dyDescent="0.2">
      <c r="A9683" s="14" t="s">
        <v>19046</v>
      </c>
      <c r="B9683" s="15" t="s">
        <v>19047</v>
      </c>
      <c r="C9683" s="16">
        <f>462.88/(1+B2)</f>
        <v>462.88</v>
      </c>
      <c r="D9683" s="17" t="s">
        <v>11</v>
      </c>
      <c r="E9683" s="17"/>
      <c r="F9683" s="18"/>
      <c r="G9683" s="36" t="str">
        <f>IF(ISNUMBER(F9683),C9683*F9683,"")</f>
        <v/>
      </c>
    </row>
    <row r="9684" spans="1:7" ht="12" customHeight="1" outlineLevel="2" x14ac:dyDescent="0.2">
      <c r="A9684" s="14" t="s">
        <v>19048</v>
      </c>
      <c r="B9684" s="15" t="s">
        <v>19049</v>
      </c>
      <c r="C9684" s="16">
        <f>680.7/(1+B2)</f>
        <v>680.7</v>
      </c>
      <c r="D9684" s="17" t="s">
        <v>11</v>
      </c>
      <c r="E9684" s="17"/>
      <c r="F9684" s="18"/>
      <c r="G9684" s="36" t="str">
        <f>IF(ISNUMBER(F9684),C9684*F9684,"")</f>
        <v/>
      </c>
    </row>
    <row r="9685" spans="1:7" ht="12" customHeight="1" outlineLevel="2" x14ac:dyDescent="0.2">
      <c r="A9685" s="14" t="s">
        <v>19050</v>
      </c>
      <c r="B9685" s="15" t="s">
        <v>19051</v>
      </c>
      <c r="C9685" s="16">
        <f>680.7/(1+B2)</f>
        <v>680.7</v>
      </c>
      <c r="D9685" s="17" t="s">
        <v>11</v>
      </c>
      <c r="E9685" s="17"/>
      <c r="F9685" s="18"/>
      <c r="G9685" s="36" t="str">
        <f>IF(ISNUMBER(F9685),C9685*F9685,"")</f>
        <v/>
      </c>
    </row>
    <row r="9686" spans="1:7" ht="12" customHeight="1" outlineLevel="2" x14ac:dyDescent="0.2">
      <c r="A9686" s="14" t="s">
        <v>19052</v>
      </c>
      <c r="B9686" s="15" t="s">
        <v>19053</v>
      </c>
      <c r="C9686" s="16">
        <f>441.12/(1+B2)</f>
        <v>441.12</v>
      </c>
      <c r="D9686" s="17" t="s">
        <v>11</v>
      </c>
      <c r="E9686" s="17"/>
      <c r="F9686" s="18"/>
      <c r="G9686" s="36" t="str">
        <f>IF(ISNUMBER(F9686),C9686*F9686,"")</f>
        <v/>
      </c>
    </row>
    <row r="9687" spans="1:7" ht="12" customHeight="1" outlineLevel="2" x14ac:dyDescent="0.2">
      <c r="A9687" s="14" t="s">
        <v>19054</v>
      </c>
      <c r="B9687" s="15" t="s">
        <v>19055</v>
      </c>
      <c r="C9687" s="16">
        <f>433.83/(1+B2)</f>
        <v>433.83</v>
      </c>
      <c r="D9687" s="17" t="s">
        <v>11</v>
      </c>
      <c r="E9687" s="17"/>
      <c r="F9687" s="18"/>
      <c r="G9687" s="36" t="str">
        <f>IF(ISNUMBER(F9687),C9687*F9687,"")</f>
        <v/>
      </c>
    </row>
    <row r="9688" spans="1:7" ht="12" customHeight="1" outlineLevel="2" x14ac:dyDescent="0.2">
      <c r="A9688" s="14" t="s">
        <v>19056</v>
      </c>
      <c r="B9688" s="15" t="s">
        <v>19057</v>
      </c>
      <c r="C9688" s="16">
        <f>454.98/(1+B2)</f>
        <v>454.98</v>
      </c>
      <c r="D9688" s="17" t="s">
        <v>11</v>
      </c>
      <c r="E9688" s="17"/>
      <c r="F9688" s="18"/>
      <c r="G9688" s="36" t="str">
        <f>IF(ISNUMBER(F9688),C9688*F9688,"")</f>
        <v/>
      </c>
    </row>
    <row r="9689" spans="1:7" ht="12" customHeight="1" outlineLevel="2" x14ac:dyDescent="0.2">
      <c r="A9689" s="14" t="s">
        <v>19058</v>
      </c>
      <c r="B9689" s="15" t="s">
        <v>19059</v>
      </c>
      <c r="C9689" s="16">
        <f>320.64/(1+B2)</f>
        <v>320.64</v>
      </c>
      <c r="D9689" s="17" t="s">
        <v>11</v>
      </c>
      <c r="E9689" s="17" t="s">
        <v>14</v>
      </c>
      <c r="F9689" s="18"/>
      <c r="G9689" s="36" t="str">
        <f>IF(ISNUMBER(F9689),C9689*F9689,"")</f>
        <v/>
      </c>
    </row>
    <row r="9690" spans="1:7" ht="24" customHeight="1" outlineLevel="2" x14ac:dyDescent="0.2">
      <c r="A9690" s="14" t="s">
        <v>19060</v>
      </c>
      <c r="B9690" s="15" t="s">
        <v>19061</v>
      </c>
      <c r="C9690" s="16">
        <f>512.58/(1+B2)</f>
        <v>512.58000000000004</v>
      </c>
      <c r="D9690" s="17" t="s">
        <v>11</v>
      </c>
      <c r="E9690" s="17" t="s">
        <v>14</v>
      </c>
      <c r="F9690" s="18"/>
      <c r="G9690" s="36" t="str">
        <f>IF(ISNUMBER(F9690),C9690*F9690,"")</f>
        <v/>
      </c>
    </row>
    <row r="9691" spans="1:7" ht="24" customHeight="1" outlineLevel="2" x14ac:dyDescent="0.2">
      <c r="A9691" s="14" t="s">
        <v>19062</v>
      </c>
      <c r="B9691" s="15" t="s">
        <v>19063</v>
      </c>
      <c r="C9691" s="16">
        <f>512.58/(1+B2)</f>
        <v>512.58000000000004</v>
      </c>
      <c r="D9691" s="17" t="s">
        <v>11</v>
      </c>
      <c r="E9691" s="17" t="s">
        <v>11</v>
      </c>
      <c r="F9691" s="18"/>
      <c r="G9691" s="36" t="str">
        <f>IF(ISNUMBER(F9691),C9691*F9691,"")</f>
        <v/>
      </c>
    </row>
    <row r="9692" spans="1:7" ht="24" customHeight="1" outlineLevel="2" x14ac:dyDescent="0.2">
      <c r="A9692" s="14" t="s">
        <v>19064</v>
      </c>
      <c r="B9692" s="15" t="s">
        <v>19065</v>
      </c>
      <c r="C9692" s="19">
        <f>1782/(1+B2)</f>
        <v>1782</v>
      </c>
      <c r="D9692" s="17" t="s">
        <v>11</v>
      </c>
      <c r="E9692" s="17"/>
      <c r="F9692" s="18"/>
      <c r="G9692" s="36" t="str">
        <f>IF(ISNUMBER(F9692),C9692*F9692,"")</f>
        <v/>
      </c>
    </row>
    <row r="9693" spans="1:7" ht="12" customHeight="1" outlineLevel="2" x14ac:dyDescent="0.2">
      <c r="A9693" s="14" t="s">
        <v>19066</v>
      </c>
      <c r="B9693" s="15" t="s">
        <v>19067</v>
      </c>
      <c r="C9693" s="16">
        <f>454.98/(1+B2)</f>
        <v>454.98</v>
      </c>
      <c r="D9693" s="17" t="s">
        <v>14</v>
      </c>
      <c r="E9693" s="17"/>
      <c r="F9693" s="18"/>
      <c r="G9693" s="36" t="str">
        <f>IF(ISNUMBER(F9693),C9693*F9693,"")</f>
        <v/>
      </c>
    </row>
    <row r="9694" spans="1:7" ht="24" customHeight="1" outlineLevel="2" x14ac:dyDescent="0.2">
      <c r="A9694" s="14" t="s">
        <v>19068</v>
      </c>
      <c r="B9694" s="15" t="s">
        <v>19069</v>
      </c>
      <c r="C9694" s="16">
        <f>512.58/(1+B2)</f>
        <v>512.58000000000004</v>
      </c>
      <c r="D9694" s="17" t="s">
        <v>11</v>
      </c>
      <c r="E9694" s="17" t="s">
        <v>11</v>
      </c>
      <c r="F9694" s="18"/>
      <c r="G9694" s="36" t="str">
        <f>IF(ISNUMBER(F9694),C9694*F9694,"")</f>
        <v/>
      </c>
    </row>
    <row r="9695" spans="1:7" ht="24" customHeight="1" outlineLevel="2" x14ac:dyDescent="0.2">
      <c r="A9695" s="14" t="s">
        <v>19070</v>
      </c>
      <c r="B9695" s="15" t="s">
        <v>19071</v>
      </c>
      <c r="C9695" s="16">
        <f>416.46/(1+B2)</f>
        <v>416.46</v>
      </c>
      <c r="D9695" s="17" t="s">
        <v>11</v>
      </c>
      <c r="E9695" s="17" t="s">
        <v>11</v>
      </c>
      <c r="F9695" s="18"/>
      <c r="G9695" s="36" t="str">
        <f>IF(ISNUMBER(F9695),C9695*F9695,"")</f>
        <v/>
      </c>
    </row>
    <row r="9696" spans="1:7" ht="12" customHeight="1" outlineLevel="2" x14ac:dyDescent="0.2">
      <c r="A9696" s="14" t="s">
        <v>19072</v>
      </c>
      <c r="B9696" s="15" t="s">
        <v>19073</v>
      </c>
      <c r="C9696" s="16">
        <f>454.98/(1+B2)</f>
        <v>454.98</v>
      </c>
      <c r="D9696" s="17" t="s">
        <v>11</v>
      </c>
      <c r="E9696" s="17"/>
      <c r="F9696" s="18"/>
      <c r="G9696" s="36" t="str">
        <f>IF(ISNUMBER(F9696),C9696*F9696,"")</f>
        <v/>
      </c>
    </row>
    <row r="9697" spans="1:7" ht="12" customHeight="1" outlineLevel="2" x14ac:dyDescent="0.2">
      <c r="A9697" s="14" t="s">
        <v>19074</v>
      </c>
      <c r="B9697" s="15" t="s">
        <v>19075</v>
      </c>
      <c r="C9697" s="16">
        <f>82.62/(1+B2)</f>
        <v>82.62</v>
      </c>
      <c r="D9697" s="17" t="s">
        <v>11</v>
      </c>
      <c r="E9697" s="17"/>
      <c r="F9697" s="18"/>
      <c r="G9697" s="36" t="str">
        <f>IF(ISNUMBER(F9697),C9697*F9697,"")</f>
        <v/>
      </c>
    </row>
    <row r="9698" spans="1:7" ht="12" customHeight="1" outlineLevel="2" x14ac:dyDescent="0.2">
      <c r="A9698" s="14" t="s">
        <v>19076</v>
      </c>
      <c r="B9698" s="15" t="s">
        <v>19077</v>
      </c>
      <c r="C9698" s="16">
        <f>183.01/(1+B2)</f>
        <v>183.01</v>
      </c>
      <c r="D9698" s="17" t="s">
        <v>11</v>
      </c>
      <c r="E9698" s="17" t="s">
        <v>14</v>
      </c>
      <c r="F9698" s="18"/>
      <c r="G9698" s="36" t="str">
        <f>IF(ISNUMBER(F9698),C9698*F9698,"")</f>
        <v/>
      </c>
    </row>
    <row r="9699" spans="1:7" ht="12" customHeight="1" outlineLevel="2" x14ac:dyDescent="0.2">
      <c r="A9699" s="14" t="s">
        <v>19078</v>
      </c>
      <c r="B9699" s="15" t="s">
        <v>19079</v>
      </c>
      <c r="C9699" s="16">
        <f>343.2/(1+B2)</f>
        <v>343.2</v>
      </c>
      <c r="D9699" s="17" t="s">
        <v>11</v>
      </c>
      <c r="E9699" s="17" t="s">
        <v>11</v>
      </c>
      <c r="F9699" s="18"/>
      <c r="G9699" s="36" t="str">
        <f>IF(ISNUMBER(F9699),C9699*F9699,"")</f>
        <v/>
      </c>
    </row>
    <row r="9700" spans="1:7" ht="24" customHeight="1" outlineLevel="2" x14ac:dyDescent="0.2">
      <c r="A9700" s="14" t="s">
        <v>19080</v>
      </c>
      <c r="B9700" s="15" t="s">
        <v>19081</v>
      </c>
      <c r="C9700" s="16">
        <f>498.12/(1+B2)</f>
        <v>498.12</v>
      </c>
      <c r="D9700" s="17" t="s">
        <v>11</v>
      </c>
      <c r="E9700" s="17" t="s">
        <v>11</v>
      </c>
      <c r="F9700" s="18"/>
      <c r="G9700" s="36" t="str">
        <f>IF(ISNUMBER(F9700),C9700*F9700,"")</f>
        <v/>
      </c>
    </row>
    <row r="9701" spans="1:7" ht="12" customHeight="1" outlineLevel="2" x14ac:dyDescent="0.2">
      <c r="A9701" s="14" t="s">
        <v>19082</v>
      </c>
      <c r="B9701" s="15" t="s">
        <v>19083</v>
      </c>
      <c r="C9701" s="16">
        <f>38/(1+B2)</f>
        <v>38</v>
      </c>
      <c r="D9701" s="17" t="s">
        <v>14</v>
      </c>
      <c r="E9701" s="17"/>
      <c r="F9701" s="18"/>
      <c r="G9701" s="36" t="str">
        <f>IF(ISNUMBER(F9701),C9701*F9701,"")</f>
        <v/>
      </c>
    </row>
    <row r="9702" spans="1:7" ht="12" customHeight="1" outlineLevel="2" x14ac:dyDescent="0.2">
      <c r="A9702" s="14" t="s">
        <v>19084</v>
      </c>
      <c r="B9702" s="15" t="s">
        <v>19085</v>
      </c>
      <c r="C9702" s="16">
        <f>38/(1+B2)</f>
        <v>38</v>
      </c>
      <c r="D9702" s="17" t="s">
        <v>11</v>
      </c>
      <c r="E9702" s="17"/>
      <c r="F9702" s="18"/>
      <c r="G9702" s="36" t="str">
        <f>IF(ISNUMBER(F9702),C9702*F9702,"")</f>
        <v/>
      </c>
    </row>
    <row r="9703" spans="1:7" ht="12" customHeight="1" outlineLevel="2" x14ac:dyDescent="0.2">
      <c r="A9703" s="14" t="s">
        <v>19086</v>
      </c>
      <c r="B9703" s="15" t="s">
        <v>19087</v>
      </c>
      <c r="C9703" s="16">
        <f>43/(1+B2)</f>
        <v>43</v>
      </c>
      <c r="D9703" s="17" t="s">
        <v>53</v>
      </c>
      <c r="E9703" s="17"/>
      <c r="F9703" s="18"/>
      <c r="G9703" s="36" t="str">
        <f>IF(ISNUMBER(F9703),C9703*F9703,"")</f>
        <v/>
      </c>
    </row>
    <row r="9704" spans="1:7" ht="12" customHeight="1" outlineLevel="2" x14ac:dyDescent="0.2">
      <c r="A9704" s="14" t="s">
        <v>19088</v>
      </c>
      <c r="B9704" s="15" t="s">
        <v>19089</v>
      </c>
      <c r="C9704" s="16">
        <f>43/(1+B2)</f>
        <v>43</v>
      </c>
      <c r="D9704" s="17" t="s">
        <v>53</v>
      </c>
      <c r="E9704" s="17"/>
      <c r="F9704" s="18"/>
      <c r="G9704" s="36" t="str">
        <f>IF(ISNUMBER(F9704),C9704*F9704,"")</f>
        <v/>
      </c>
    </row>
    <row r="9705" spans="1:7" ht="12" customHeight="1" outlineLevel="2" x14ac:dyDescent="0.2">
      <c r="A9705" s="14" t="s">
        <v>19090</v>
      </c>
      <c r="B9705" s="15" t="s">
        <v>19091</v>
      </c>
      <c r="C9705" s="16">
        <f>43/(1+B2)</f>
        <v>43</v>
      </c>
      <c r="D9705" s="17" t="s">
        <v>11</v>
      </c>
      <c r="E9705" s="17"/>
      <c r="F9705" s="18"/>
      <c r="G9705" s="36" t="str">
        <f>IF(ISNUMBER(F9705),C9705*F9705,"")</f>
        <v/>
      </c>
    </row>
    <row r="9706" spans="1:7" ht="12" customHeight="1" outlineLevel="2" x14ac:dyDescent="0.2">
      <c r="A9706" s="14" t="s">
        <v>19092</v>
      </c>
      <c r="B9706" s="15" t="s">
        <v>19093</v>
      </c>
      <c r="C9706" s="16">
        <f>27.84/(1+B2)</f>
        <v>27.84</v>
      </c>
      <c r="D9706" s="17" t="s">
        <v>11</v>
      </c>
      <c r="E9706" s="17" t="s">
        <v>53</v>
      </c>
      <c r="F9706" s="18"/>
      <c r="G9706" s="36" t="str">
        <f>IF(ISNUMBER(F9706),C9706*F9706,"")</f>
        <v/>
      </c>
    </row>
    <row r="9707" spans="1:7" ht="12" customHeight="1" outlineLevel="2" x14ac:dyDescent="0.2">
      <c r="A9707" s="14" t="s">
        <v>19094</v>
      </c>
      <c r="B9707" s="15" t="s">
        <v>19095</v>
      </c>
      <c r="C9707" s="16">
        <f>31.97/(1+B2)</f>
        <v>31.97</v>
      </c>
      <c r="D9707" s="17" t="s">
        <v>11</v>
      </c>
      <c r="E9707" s="17" t="s">
        <v>14</v>
      </c>
      <c r="F9707" s="18"/>
      <c r="G9707" s="36" t="str">
        <f>IF(ISNUMBER(F9707),C9707*F9707,"")</f>
        <v/>
      </c>
    </row>
    <row r="9708" spans="1:7" ht="12" customHeight="1" outlineLevel="2" x14ac:dyDescent="0.2">
      <c r="A9708" s="14" t="s">
        <v>19096</v>
      </c>
      <c r="B9708" s="15" t="s">
        <v>19097</v>
      </c>
      <c r="C9708" s="16">
        <f>58.86/(1+B2)</f>
        <v>58.86</v>
      </c>
      <c r="D9708" s="17" t="s">
        <v>11</v>
      </c>
      <c r="E9708" s="17"/>
      <c r="F9708" s="18"/>
      <c r="G9708" s="36" t="str">
        <f>IF(ISNUMBER(F9708),C9708*F9708,"")</f>
        <v/>
      </c>
    </row>
    <row r="9709" spans="1:7" ht="12" customHeight="1" outlineLevel="2" x14ac:dyDescent="0.2">
      <c r="A9709" s="14" t="s">
        <v>19098</v>
      </c>
      <c r="B9709" s="15" t="s">
        <v>19099</v>
      </c>
      <c r="C9709" s="16">
        <f>85.02/(1+B2)</f>
        <v>85.02</v>
      </c>
      <c r="D9709" s="17" t="s">
        <v>14</v>
      </c>
      <c r="E9709" s="17" t="s">
        <v>11</v>
      </c>
      <c r="F9709" s="18"/>
      <c r="G9709" s="36" t="str">
        <f>IF(ISNUMBER(F9709),C9709*F9709,"")</f>
        <v/>
      </c>
    </row>
    <row r="9710" spans="1:7" ht="12" customHeight="1" outlineLevel="2" x14ac:dyDescent="0.2">
      <c r="A9710" s="14" t="s">
        <v>19100</v>
      </c>
      <c r="B9710" s="15" t="s">
        <v>19101</v>
      </c>
      <c r="C9710" s="16">
        <f>51/(1+B2)</f>
        <v>51</v>
      </c>
      <c r="D9710" s="17" t="s">
        <v>53</v>
      </c>
      <c r="E9710" s="17"/>
      <c r="F9710" s="18"/>
      <c r="G9710" s="36" t="str">
        <f>IF(ISNUMBER(F9710),C9710*F9710,"")</f>
        <v/>
      </c>
    </row>
    <row r="9711" spans="1:7" ht="12" customHeight="1" outlineLevel="2" x14ac:dyDescent="0.2">
      <c r="A9711" s="14" t="s">
        <v>19102</v>
      </c>
      <c r="B9711" s="15" t="s">
        <v>19103</v>
      </c>
      <c r="C9711" s="16">
        <f>53/(1+B2)</f>
        <v>53</v>
      </c>
      <c r="D9711" s="17" t="s">
        <v>53</v>
      </c>
      <c r="E9711" s="17"/>
      <c r="F9711" s="18"/>
      <c r="G9711" s="36" t="str">
        <f>IF(ISNUMBER(F9711),C9711*F9711,"")</f>
        <v/>
      </c>
    </row>
    <row r="9712" spans="1:7" ht="12" customHeight="1" outlineLevel="2" x14ac:dyDescent="0.2">
      <c r="A9712" s="14" t="s">
        <v>19104</v>
      </c>
      <c r="B9712" s="15" t="s">
        <v>19105</v>
      </c>
      <c r="C9712" s="16">
        <f>93.84/(1+B2)</f>
        <v>93.84</v>
      </c>
      <c r="D9712" s="17" t="s">
        <v>11</v>
      </c>
      <c r="E9712" s="17"/>
      <c r="F9712" s="18"/>
      <c r="G9712" s="36" t="str">
        <f>IF(ISNUMBER(F9712),C9712*F9712,"")</f>
        <v/>
      </c>
    </row>
    <row r="9713" spans="1:7" ht="12" customHeight="1" outlineLevel="2" x14ac:dyDescent="0.2">
      <c r="A9713" s="14" t="s">
        <v>19106</v>
      </c>
      <c r="B9713" s="15" t="s">
        <v>19107</v>
      </c>
      <c r="C9713" s="16">
        <f>86/(1+B2)</f>
        <v>86</v>
      </c>
      <c r="D9713" s="17" t="s">
        <v>11</v>
      </c>
      <c r="E9713" s="17" t="s">
        <v>11</v>
      </c>
      <c r="F9713" s="18"/>
      <c r="G9713" s="36" t="str">
        <f>IF(ISNUMBER(F9713),C9713*F9713,"")</f>
        <v/>
      </c>
    </row>
    <row r="9714" spans="1:7" ht="12" customHeight="1" outlineLevel="2" x14ac:dyDescent="0.2">
      <c r="A9714" s="14" t="s">
        <v>19108</v>
      </c>
      <c r="B9714" s="15" t="s">
        <v>19109</v>
      </c>
      <c r="C9714" s="16">
        <f>132.01/(1+B2)</f>
        <v>132.01</v>
      </c>
      <c r="D9714" s="17" t="s">
        <v>11</v>
      </c>
      <c r="E9714" s="17" t="s">
        <v>14</v>
      </c>
      <c r="F9714" s="18"/>
      <c r="G9714" s="36" t="str">
        <f>IF(ISNUMBER(F9714),C9714*F9714,"")</f>
        <v/>
      </c>
    </row>
    <row r="9715" spans="1:7" ht="12" customHeight="1" outlineLevel="2" x14ac:dyDescent="0.2">
      <c r="A9715" s="14" t="s">
        <v>19110</v>
      </c>
      <c r="B9715" s="15" t="s">
        <v>19111</v>
      </c>
      <c r="C9715" s="16">
        <f>40/(1+B2)</f>
        <v>40</v>
      </c>
      <c r="D9715" s="17" t="s">
        <v>11</v>
      </c>
      <c r="E9715" s="17" t="s">
        <v>14</v>
      </c>
      <c r="F9715" s="18"/>
      <c r="G9715" s="36" t="str">
        <f>IF(ISNUMBER(F9715),C9715*F9715,"")</f>
        <v/>
      </c>
    </row>
    <row r="9716" spans="1:7" ht="12" customHeight="1" outlineLevel="2" x14ac:dyDescent="0.2">
      <c r="A9716" s="14" t="s">
        <v>19112</v>
      </c>
      <c r="B9716" s="15" t="s">
        <v>19113</v>
      </c>
      <c r="C9716" s="16">
        <f>40/(1+B2)</f>
        <v>40</v>
      </c>
      <c r="D9716" s="17" t="s">
        <v>14</v>
      </c>
      <c r="E9716" s="17"/>
      <c r="F9716" s="18"/>
      <c r="G9716" s="36" t="str">
        <f>IF(ISNUMBER(F9716),C9716*F9716,"")</f>
        <v/>
      </c>
    </row>
    <row r="9717" spans="1:7" ht="12" customHeight="1" outlineLevel="2" x14ac:dyDescent="0.2">
      <c r="A9717" s="14" t="s">
        <v>19114</v>
      </c>
      <c r="B9717" s="15" t="s">
        <v>19115</v>
      </c>
      <c r="C9717" s="16">
        <f>86.22/(1+B2)</f>
        <v>86.22</v>
      </c>
      <c r="D9717" s="17" t="s">
        <v>11</v>
      </c>
      <c r="E9717" s="17"/>
      <c r="F9717" s="18"/>
      <c r="G9717" s="36" t="str">
        <f>IF(ISNUMBER(F9717),C9717*F9717,"")</f>
        <v/>
      </c>
    </row>
    <row r="9718" spans="1:7" ht="12" customHeight="1" outlineLevel="2" x14ac:dyDescent="0.2">
      <c r="A9718" s="14" t="s">
        <v>19116</v>
      </c>
      <c r="B9718" s="15" t="s">
        <v>19117</v>
      </c>
      <c r="C9718" s="16">
        <f>50.82/(1+B2)</f>
        <v>50.82</v>
      </c>
      <c r="D9718" s="17" t="s">
        <v>11</v>
      </c>
      <c r="E9718" s="17"/>
      <c r="F9718" s="18"/>
      <c r="G9718" s="36" t="str">
        <f>IF(ISNUMBER(F9718),C9718*F9718,"")</f>
        <v/>
      </c>
    </row>
    <row r="9719" spans="1:7" ht="12" customHeight="1" outlineLevel="2" x14ac:dyDescent="0.2">
      <c r="A9719" s="14" t="s">
        <v>19118</v>
      </c>
      <c r="B9719" s="15" t="s">
        <v>19119</v>
      </c>
      <c r="C9719" s="16">
        <f>39.98/(1+B2)</f>
        <v>39.979999999999997</v>
      </c>
      <c r="D9719" s="17" t="s">
        <v>11</v>
      </c>
      <c r="E9719" s="17" t="s">
        <v>14</v>
      </c>
      <c r="F9719" s="18"/>
      <c r="G9719" s="36" t="str">
        <f>IF(ISNUMBER(F9719),C9719*F9719,"")</f>
        <v/>
      </c>
    </row>
    <row r="9720" spans="1:7" ht="24" customHeight="1" outlineLevel="2" x14ac:dyDescent="0.2">
      <c r="A9720" s="14" t="s">
        <v>19120</v>
      </c>
      <c r="B9720" s="15" t="s">
        <v>19121</v>
      </c>
      <c r="C9720" s="16">
        <f>195.36/(1+B2)</f>
        <v>195.36</v>
      </c>
      <c r="D9720" s="17" t="s">
        <v>11</v>
      </c>
      <c r="E9720" s="17"/>
      <c r="F9720" s="18"/>
      <c r="G9720" s="36" t="str">
        <f>IF(ISNUMBER(F9720),C9720*F9720,"")</f>
        <v/>
      </c>
    </row>
    <row r="9721" spans="1:7" ht="12" customHeight="1" outlineLevel="2" x14ac:dyDescent="0.2">
      <c r="A9721" s="14" t="s">
        <v>19122</v>
      </c>
      <c r="B9721" s="15" t="s">
        <v>19123</v>
      </c>
      <c r="C9721" s="16">
        <f>39.84/(1+B2)</f>
        <v>39.840000000000003</v>
      </c>
      <c r="D9721" s="17" t="s">
        <v>11</v>
      </c>
      <c r="E9721" s="17"/>
      <c r="F9721" s="18"/>
      <c r="G9721" s="36" t="str">
        <f>IF(ISNUMBER(F9721),C9721*F9721,"")</f>
        <v/>
      </c>
    </row>
    <row r="9722" spans="1:7" ht="12" customHeight="1" outlineLevel="2" x14ac:dyDescent="0.2">
      <c r="A9722" s="14" t="s">
        <v>19124</v>
      </c>
      <c r="B9722" s="15" t="s">
        <v>19125</v>
      </c>
      <c r="C9722" s="16">
        <f>27.84/(1+B2)</f>
        <v>27.84</v>
      </c>
      <c r="D9722" s="17" t="s">
        <v>14</v>
      </c>
      <c r="E9722" s="17"/>
      <c r="F9722" s="18"/>
      <c r="G9722" s="36" t="str">
        <f>IF(ISNUMBER(F9722),C9722*F9722,"")</f>
        <v/>
      </c>
    </row>
    <row r="9723" spans="1:7" ht="24" customHeight="1" outlineLevel="2" x14ac:dyDescent="0.2">
      <c r="A9723" s="14" t="s">
        <v>19126</v>
      </c>
      <c r="B9723" s="15" t="s">
        <v>19127</v>
      </c>
      <c r="C9723" s="16">
        <f>51/(1+B2)</f>
        <v>51</v>
      </c>
      <c r="D9723" s="17" t="s">
        <v>14</v>
      </c>
      <c r="E9723" s="17"/>
      <c r="F9723" s="18"/>
      <c r="G9723" s="36" t="str">
        <f>IF(ISNUMBER(F9723),C9723*F9723,"")</f>
        <v/>
      </c>
    </row>
    <row r="9724" spans="1:7" ht="24" customHeight="1" outlineLevel="2" x14ac:dyDescent="0.2">
      <c r="A9724" s="14" t="s">
        <v>19128</v>
      </c>
      <c r="B9724" s="15" t="s">
        <v>19129</v>
      </c>
      <c r="C9724" s="16">
        <f>27.84/(1+B2)</f>
        <v>27.84</v>
      </c>
      <c r="D9724" s="17" t="s">
        <v>14</v>
      </c>
      <c r="E9724" s="17" t="s">
        <v>53</v>
      </c>
      <c r="F9724" s="18"/>
      <c r="G9724" s="36" t="str">
        <f>IF(ISNUMBER(F9724),C9724*F9724,"")</f>
        <v/>
      </c>
    </row>
    <row r="9725" spans="1:7" ht="12" customHeight="1" outlineLevel="2" x14ac:dyDescent="0.2">
      <c r="A9725" s="14" t="s">
        <v>19130</v>
      </c>
      <c r="B9725" s="15" t="s">
        <v>19131</v>
      </c>
      <c r="C9725" s="16">
        <f>42/(1+B2)</f>
        <v>42</v>
      </c>
      <c r="D9725" s="17" t="s">
        <v>53</v>
      </c>
      <c r="E9725" s="17"/>
      <c r="F9725" s="18"/>
      <c r="G9725" s="36" t="str">
        <f>IF(ISNUMBER(F9725),C9725*F9725,"")</f>
        <v/>
      </c>
    </row>
    <row r="9726" spans="1:7" ht="24" customHeight="1" outlineLevel="2" x14ac:dyDescent="0.2">
      <c r="A9726" s="14" t="s">
        <v>19132</v>
      </c>
      <c r="B9726" s="15" t="s">
        <v>19133</v>
      </c>
      <c r="C9726" s="16">
        <f>195.36/(1+B2)</f>
        <v>195.36</v>
      </c>
      <c r="D9726" s="17" t="s">
        <v>11</v>
      </c>
      <c r="E9726" s="17"/>
      <c r="F9726" s="18"/>
      <c r="G9726" s="36" t="str">
        <f>IF(ISNUMBER(F9726),C9726*F9726,"")</f>
        <v/>
      </c>
    </row>
    <row r="9727" spans="1:7" ht="24" customHeight="1" outlineLevel="2" x14ac:dyDescent="0.2">
      <c r="A9727" s="14" t="s">
        <v>19134</v>
      </c>
      <c r="B9727" s="15" t="s">
        <v>19135</v>
      </c>
      <c r="C9727" s="16">
        <f>195.36/(1+B2)</f>
        <v>195.36</v>
      </c>
      <c r="D9727" s="17" t="s">
        <v>11</v>
      </c>
      <c r="E9727" s="17"/>
      <c r="F9727" s="18"/>
      <c r="G9727" s="36" t="str">
        <f>IF(ISNUMBER(F9727),C9727*F9727,"")</f>
        <v/>
      </c>
    </row>
    <row r="9728" spans="1:7" ht="24" customHeight="1" outlineLevel="2" x14ac:dyDescent="0.2">
      <c r="A9728" s="14" t="s">
        <v>19136</v>
      </c>
      <c r="B9728" s="15" t="s">
        <v>19137</v>
      </c>
      <c r="C9728" s="16">
        <f>42/(1+B2)</f>
        <v>42</v>
      </c>
      <c r="D9728" s="17" t="s">
        <v>53</v>
      </c>
      <c r="E9728" s="17"/>
      <c r="F9728" s="18"/>
      <c r="G9728" s="36" t="str">
        <f>IF(ISNUMBER(F9728),C9728*F9728,"")</f>
        <v/>
      </c>
    </row>
    <row r="9729" spans="1:7" ht="12" customHeight="1" outlineLevel="2" x14ac:dyDescent="0.2">
      <c r="A9729" s="14" t="s">
        <v>19138</v>
      </c>
      <c r="B9729" s="15" t="s">
        <v>19139</v>
      </c>
      <c r="C9729" s="16">
        <f>66.77/(1+B2)</f>
        <v>66.77</v>
      </c>
      <c r="D9729" s="17" t="s">
        <v>11</v>
      </c>
      <c r="E9729" s="17"/>
      <c r="F9729" s="18"/>
      <c r="G9729" s="36" t="str">
        <f>IF(ISNUMBER(F9729),C9729*F9729,"")</f>
        <v/>
      </c>
    </row>
    <row r="9730" spans="1:7" ht="24" customHeight="1" outlineLevel="2" x14ac:dyDescent="0.2">
      <c r="A9730" s="14" t="s">
        <v>19140</v>
      </c>
      <c r="B9730" s="15" t="s">
        <v>19141</v>
      </c>
      <c r="C9730" s="16">
        <f>79.86/(1+B2)</f>
        <v>79.86</v>
      </c>
      <c r="D9730" s="17" t="s">
        <v>14</v>
      </c>
      <c r="E9730" s="17"/>
      <c r="F9730" s="18"/>
      <c r="G9730" s="36" t="str">
        <f>IF(ISNUMBER(F9730),C9730*F9730,"")</f>
        <v/>
      </c>
    </row>
    <row r="9731" spans="1:7" ht="12" customHeight="1" outlineLevel="2" x14ac:dyDescent="0.2">
      <c r="A9731" s="14" t="s">
        <v>19142</v>
      </c>
      <c r="B9731" s="15" t="s">
        <v>19143</v>
      </c>
      <c r="C9731" s="16">
        <f>69.66/(1+B2)</f>
        <v>69.66</v>
      </c>
      <c r="D9731" s="17" t="s">
        <v>11</v>
      </c>
      <c r="E9731" s="17"/>
      <c r="F9731" s="18"/>
      <c r="G9731" s="36" t="str">
        <f>IF(ISNUMBER(F9731),C9731*F9731,"")</f>
        <v/>
      </c>
    </row>
    <row r="9732" spans="1:7" ht="12" customHeight="1" outlineLevel="2" x14ac:dyDescent="0.2">
      <c r="A9732" s="14" t="s">
        <v>19144</v>
      </c>
      <c r="B9732" s="15" t="s">
        <v>19145</v>
      </c>
      <c r="C9732" s="16">
        <f>34.86/(1+B2)</f>
        <v>34.86</v>
      </c>
      <c r="D9732" s="17" t="s">
        <v>14</v>
      </c>
      <c r="E9732" s="17"/>
      <c r="F9732" s="18"/>
      <c r="G9732" s="36" t="str">
        <f>IF(ISNUMBER(F9732),C9732*F9732,"")</f>
        <v/>
      </c>
    </row>
    <row r="9733" spans="1:7" ht="12" customHeight="1" outlineLevel="2" x14ac:dyDescent="0.2">
      <c r="A9733" s="14" t="s">
        <v>19146</v>
      </c>
      <c r="B9733" s="15" t="s">
        <v>19147</v>
      </c>
      <c r="C9733" s="16">
        <f>34.86/(1+B2)</f>
        <v>34.86</v>
      </c>
      <c r="D9733" s="17" t="s">
        <v>14</v>
      </c>
      <c r="E9733" s="17" t="s">
        <v>14</v>
      </c>
      <c r="F9733" s="18"/>
      <c r="G9733" s="36" t="str">
        <f>IF(ISNUMBER(F9733),C9733*F9733,"")</f>
        <v/>
      </c>
    </row>
    <row r="9734" spans="1:7" ht="12" customHeight="1" outlineLevel="2" x14ac:dyDescent="0.2">
      <c r="A9734" s="14" t="s">
        <v>19148</v>
      </c>
      <c r="B9734" s="15" t="s">
        <v>19149</v>
      </c>
      <c r="C9734" s="16">
        <f>30.6/(1+B2)</f>
        <v>30.6</v>
      </c>
      <c r="D9734" s="17" t="s">
        <v>11</v>
      </c>
      <c r="E9734" s="17" t="s">
        <v>53</v>
      </c>
      <c r="F9734" s="18"/>
      <c r="G9734" s="36" t="str">
        <f>IF(ISNUMBER(F9734),C9734*F9734,"")</f>
        <v/>
      </c>
    </row>
    <row r="9735" spans="1:7" ht="12" customHeight="1" outlineLevel="2" x14ac:dyDescent="0.2">
      <c r="A9735" s="14" t="s">
        <v>19150</v>
      </c>
      <c r="B9735" s="15" t="s">
        <v>19151</v>
      </c>
      <c r="C9735" s="16">
        <f>29.28/(1+B2)</f>
        <v>29.28</v>
      </c>
      <c r="D9735" s="17" t="s">
        <v>14</v>
      </c>
      <c r="E9735" s="17" t="s">
        <v>14</v>
      </c>
      <c r="F9735" s="18"/>
      <c r="G9735" s="36" t="str">
        <f>IF(ISNUMBER(F9735),C9735*F9735,"")</f>
        <v/>
      </c>
    </row>
    <row r="9736" spans="1:7" ht="12" customHeight="1" outlineLevel="2" x14ac:dyDescent="0.2">
      <c r="A9736" s="14" t="s">
        <v>19152</v>
      </c>
      <c r="B9736" s="15" t="s">
        <v>19153</v>
      </c>
      <c r="C9736" s="16">
        <f>30.6/(1+B2)</f>
        <v>30.6</v>
      </c>
      <c r="D9736" s="17" t="s">
        <v>14</v>
      </c>
      <c r="E9736" s="17"/>
      <c r="F9736" s="18"/>
      <c r="G9736" s="36" t="str">
        <f>IF(ISNUMBER(F9736),C9736*F9736,"")</f>
        <v/>
      </c>
    </row>
    <row r="9737" spans="1:7" ht="12" customHeight="1" outlineLevel="2" x14ac:dyDescent="0.2">
      <c r="A9737" s="14" t="s">
        <v>19154</v>
      </c>
      <c r="B9737" s="15" t="s">
        <v>19155</v>
      </c>
      <c r="C9737" s="16">
        <f>34.86/(1+B2)</f>
        <v>34.86</v>
      </c>
      <c r="D9737" s="17" t="s">
        <v>11</v>
      </c>
      <c r="E9737" s="17"/>
      <c r="F9737" s="18"/>
      <c r="G9737" s="36" t="str">
        <f>IF(ISNUMBER(F9737),C9737*F9737,"")</f>
        <v/>
      </c>
    </row>
    <row r="9738" spans="1:7" ht="24" customHeight="1" outlineLevel="2" x14ac:dyDescent="0.2">
      <c r="A9738" s="14" t="s">
        <v>19156</v>
      </c>
      <c r="B9738" s="15" t="s">
        <v>19157</v>
      </c>
      <c r="C9738" s="16">
        <f>57.3/(1+B2)</f>
        <v>57.3</v>
      </c>
      <c r="D9738" s="17" t="s">
        <v>53</v>
      </c>
      <c r="E9738" s="17"/>
      <c r="F9738" s="18"/>
      <c r="G9738" s="36" t="str">
        <f>IF(ISNUMBER(F9738),C9738*F9738,"")</f>
        <v/>
      </c>
    </row>
    <row r="9739" spans="1:7" s="1" customFormat="1" ht="15.95" customHeight="1" outlineLevel="1" x14ac:dyDescent="0.25">
      <c r="A9739" s="11"/>
      <c r="B9739" s="12" t="s">
        <v>19158</v>
      </c>
      <c r="C9739" s="13"/>
      <c r="D9739" s="13"/>
      <c r="E9739" s="13"/>
      <c r="F9739" s="13"/>
      <c r="G9739" s="35"/>
    </row>
    <row r="9740" spans="1:7" ht="12" customHeight="1" outlineLevel="2" x14ac:dyDescent="0.2">
      <c r="A9740" s="14" t="s">
        <v>19159</v>
      </c>
      <c r="B9740" s="15" t="s">
        <v>19160</v>
      </c>
      <c r="C9740" s="16">
        <f>89.82/(1+B2)</f>
        <v>89.82</v>
      </c>
      <c r="D9740" s="17" t="s">
        <v>11</v>
      </c>
      <c r="E9740" s="17"/>
      <c r="F9740" s="18"/>
      <c r="G9740" s="36" t="str">
        <f>IF(ISNUMBER(F9740),C9740*F9740,"")</f>
        <v/>
      </c>
    </row>
    <row r="9741" spans="1:7" ht="12" customHeight="1" outlineLevel="2" x14ac:dyDescent="0.2">
      <c r="A9741" s="14" t="s">
        <v>19161</v>
      </c>
      <c r="B9741" s="15" t="s">
        <v>19162</v>
      </c>
      <c r="C9741" s="16">
        <f>253.17/(1+B2)</f>
        <v>253.17</v>
      </c>
      <c r="D9741" s="17" t="s">
        <v>11</v>
      </c>
      <c r="E9741" s="17"/>
      <c r="F9741" s="18"/>
      <c r="G9741" s="36" t="str">
        <f>IF(ISNUMBER(F9741),C9741*F9741,"")</f>
        <v/>
      </c>
    </row>
    <row r="9742" spans="1:7" ht="12" customHeight="1" outlineLevel="2" x14ac:dyDescent="0.2">
      <c r="A9742" s="14" t="s">
        <v>19163</v>
      </c>
      <c r="B9742" s="15" t="s">
        <v>19164</v>
      </c>
      <c r="C9742" s="16">
        <f>34.63/(1+B2)</f>
        <v>34.630000000000003</v>
      </c>
      <c r="D9742" s="17" t="s">
        <v>11</v>
      </c>
      <c r="E9742" s="17"/>
      <c r="F9742" s="18"/>
      <c r="G9742" s="36" t="str">
        <f>IF(ISNUMBER(F9742),C9742*F9742,"")</f>
        <v/>
      </c>
    </row>
    <row r="9743" spans="1:7" ht="12" customHeight="1" outlineLevel="2" x14ac:dyDescent="0.2">
      <c r="A9743" s="14" t="s">
        <v>19165</v>
      </c>
      <c r="B9743" s="15" t="s">
        <v>19166</v>
      </c>
      <c r="C9743" s="16">
        <f>34.63/(1+B2)</f>
        <v>34.630000000000003</v>
      </c>
      <c r="D9743" s="17" t="s">
        <v>11</v>
      </c>
      <c r="E9743" s="17"/>
      <c r="F9743" s="18"/>
      <c r="G9743" s="36" t="str">
        <f>IF(ISNUMBER(F9743),C9743*F9743,"")</f>
        <v/>
      </c>
    </row>
    <row r="9744" spans="1:7" ht="12" customHeight="1" outlineLevel="2" x14ac:dyDescent="0.2">
      <c r="A9744" s="14" t="s">
        <v>19167</v>
      </c>
      <c r="B9744" s="15" t="s">
        <v>19168</v>
      </c>
      <c r="C9744" s="16">
        <f>34.63/(1+B2)</f>
        <v>34.630000000000003</v>
      </c>
      <c r="D9744" s="17" t="s">
        <v>11</v>
      </c>
      <c r="E9744" s="17"/>
      <c r="F9744" s="18"/>
      <c r="G9744" s="36" t="str">
        <f>IF(ISNUMBER(F9744),C9744*F9744,"")</f>
        <v/>
      </c>
    </row>
    <row r="9745" spans="1:7" ht="12" customHeight="1" outlineLevel="2" x14ac:dyDescent="0.2">
      <c r="A9745" s="14" t="s">
        <v>19169</v>
      </c>
      <c r="B9745" s="15" t="s">
        <v>19170</v>
      </c>
      <c r="C9745" s="16">
        <f>34.63/(1+B2)</f>
        <v>34.630000000000003</v>
      </c>
      <c r="D9745" s="17" t="s">
        <v>11</v>
      </c>
      <c r="E9745" s="17"/>
      <c r="F9745" s="18"/>
      <c r="G9745" s="36" t="str">
        <f>IF(ISNUMBER(F9745),C9745*F9745,"")</f>
        <v/>
      </c>
    </row>
    <row r="9746" spans="1:7" ht="12" customHeight="1" outlineLevel="2" x14ac:dyDescent="0.2">
      <c r="A9746" s="14" t="s">
        <v>19171</v>
      </c>
      <c r="B9746" s="15" t="s">
        <v>19172</v>
      </c>
      <c r="C9746" s="16">
        <f>34.63/(1+B2)</f>
        <v>34.630000000000003</v>
      </c>
      <c r="D9746" s="17" t="s">
        <v>11</v>
      </c>
      <c r="E9746" s="17"/>
      <c r="F9746" s="18"/>
      <c r="G9746" s="36" t="str">
        <f>IF(ISNUMBER(F9746),C9746*F9746,"")</f>
        <v/>
      </c>
    </row>
    <row r="9747" spans="1:7" ht="12" customHeight="1" outlineLevel="2" x14ac:dyDescent="0.2">
      <c r="A9747" s="14" t="s">
        <v>19173</v>
      </c>
      <c r="B9747" s="15" t="s">
        <v>19174</v>
      </c>
      <c r="C9747" s="16">
        <f>490.67/(1+B2)</f>
        <v>490.67</v>
      </c>
      <c r="D9747" s="17" t="s">
        <v>11</v>
      </c>
      <c r="E9747" s="17"/>
      <c r="F9747" s="18"/>
      <c r="G9747" s="36" t="str">
        <f>IF(ISNUMBER(F9747),C9747*F9747,"")</f>
        <v/>
      </c>
    </row>
    <row r="9748" spans="1:7" ht="12" customHeight="1" outlineLevel="2" x14ac:dyDescent="0.2">
      <c r="A9748" s="14" t="s">
        <v>19175</v>
      </c>
      <c r="B9748" s="15" t="s">
        <v>19176</v>
      </c>
      <c r="C9748" s="16">
        <f>114.61/(1+B2)</f>
        <v>114.61</v>
      </c>
      <c r="D9748" s="17" t="s">
        <v>11</v>
      </c>
      <c r="E9748" s="17"/>
      <c r="F9748" s="18"/>
      <c r="G9748" s="36" t="str">
        <f>IF(ISNUMBER(F9748),C9748*F9748,"")</f>
        <v/>
      </c>
    </row>
    <row r="9749" spans="1:7" ht="12" customHeight="1" outlineLevel="2" x14ac:dyDescent="0.2">
      <c r="A9749" s="14" t="s">
        <v>19177</v>
      </c>
      <c r="B9749" s="15" t="s">
        <v>19178</v>
      </c>
      <c r="C9749" s="16">
        <f>250.55/(1+B2)</f>
        <v>250.55</v>
      </c>
      <c r="D9749" s="17" t="s">
        <v>11</v>
      </c>
      <c r="E9749" s="17"/>
      <c r="F9749" s="18"/>
      <c r="G9749" s="36" t="str">
        <f>IF(ISNUMBER(F9749),C9749*F9749,"")</f>
        <v/>
      </c>
    </row>
    <row r="9750" spans="1:7" ht="12" customHeight="1" outlineLevel="2" x14ac:dyDescent="0.2">
      <c r="A9750" s="14" t="s">
        <v>19179</v>
      </c>
      <c r="B9750" s="15" t="s">
        <v>19180</v>
      </c>
      <c r="C9750" s="16">
        <f>367.7/(1+B2)</f>
        <v>367.7</v>
      </c>
      <c r="D9750" s="17" t="s">
        <v>11</v>
      </c>
      <c r="E9750" s="17"/>
      <c r="F9750" s="18"/>
      <c r="G9750" s="36" t="str">
        <f>IF(ISNUMBER(F9750),C9750*F9750,"")</f>
        <v/>
      </c>
    </row>
    <row r="9751" spans="1:7" ht="24" customHeight="1" outlineLevel="2" x14ac:dyDescent="0.2">
      <c r="A9751" s="14" t="s">
        <v>19181</v>
      </c>
      <c r="B9751" s="15" t="s">
        <v>19182</v>
      </c>
      <c r="C9751" s="16">
        <f>446.51/(1+B2)</f>
        <v>446.51</v>
      </c>
      <c r="D9751" s="17" t="s">
        <v>11</v>
      </c>
      <c r="E9751" s="17"/>
      <c r="F9751" s="18"/>
      <c r="G9751" s="36" t="str">
        <f>IF(ISNUMBER(F9751),C9751*F9751,"")</f>
        <v/>
      </c>
    </row>
    <row r="9752" spans="1:7" ht="24" customHeight="1" outlineLevel="2" x14ac:dyDescent="0.2">
      <c r="A9752" s="14" t="s">
        <v>19183</v>
      </c>
      <c r="B9752" s="15" t="s">
        <v>19184</v>
      </c>
      <c r="C9752" s="16">
        <f>311.71/(1+B2)</f>
        <v>311.70999999999998</v>
      </c>
      <c r="D9752" s="17" t="s">
        <v>11</v>
      </c>
      <c r="E9752" s="17"/>
      <c r="F9752" s="18"/>
      <c r="G9752" s="36" t="str">
        <f>IF(ISNUMBER(F9752),C9752*F9752,"")</f>
        <v/>
      </c>
    </row>
    <row r="9753" spans="1:7" ht="24" customHeight="1" outlineLevel="2" x14ac:dyDescent="0.2">
      <c r="A9753" s="14" t="s">
        <v>19185</v>
      </c>
      <c r="B9753" s="15" t="s">
        <v>19186</v>
      </c>
      <c r="C9753" s="16">
        <f>548.79/(1+B2)</f>
        <v>548.79</v>
      </c>
      <c r="D9753" s="17" t="s">
        <v>11</v>
      </c>
      <c r="E9753" s="17"/>
      <c r="F9753" s="18"/>
      <c r="G9753" s="36" t="str">
        <f>IF(ISNUMBER(F9753),C9753*F9753,"")</f>
        <v/>
      </c>
    </row>
    <row r="9754" spans="1:7" ht="24" customHeight="1" outlineLevel="2" x14ac:dyDescent="0.2">
      <c r="A9754" s="14" t="s">
        <v>19187</v>
      </c>
      <c r="B9754" s="15" t="s">
        <v>19188</v>
      </c>
      <c r="C9754" s="16">
        <f>240.72/(1+B2)</f>
        <v>240.72</v>
      </c>
      <c r="D9754" s="17" t="s">
        <v>11</v>
      </c>
      <c r="E9754" s="17"/>
      <c r="F9754" s="18"/>
      <c r="G9754" s="36" t="str">
        <f>IF(ISNUMBER(F9754),C9754*F9754,"")</f>
        <v/>
      </c>
    </row>
    <row r="9755" spans="1:7" ht="12" customHeight="1" outlineLevel="2" x14ac:dyDescent="0.2">
      <c r="A9755" s="14" t="s">
        <v>19189</v>
      </c>
      <c r="B9755" s="15" t="s">
        <v>19190</v>
      </c>
      <c r="C9755" s="16">
        <f>370.98/(1+B2)</f>
        <v>370.98</v>
      </c>
      <c r="D9755" s="17" t="s">
        <v>11</v>
      </c>
      <c r="E9755" s="17"/>
      <c r="F9755" s="18"/>
      <c r="G9755" s="36" t="str">
        <f>IF(ISNUMBER(F9755),C9755*F9755,"")</f>
        <v/>
      </c>
    </row>
    <row r="9756" spans="1:7" ht="12" customHeight="1" outlineLevel="2" x14ac:dyDescent="0.2">
      <c r="A9756" s="14" t="s">
        <v>19191</v>
      </c>
      <c r="B9756" s="15" t="s">
        <v>19192</v>
      </c>
      <c r="C9756" s="16">
        <f>230/(1+B2)</f>
        <v>230</v>
      </c>
      <c r="D9756" s="17" t="s">
        <v>11</v>
      </c>
      <c r="E9756" s="17" t="s">
        <v>11</v>
      </c>
      <c r="F9756" s="18"/>
      <c r="G9756" s="36" t="str">
        <f>IF(ISNUMBER(F9756),C9756*F9756,"")</f>
        <v/>
      </c>
    </row>
    <row r="9757" spans="1:7" ht="12" customHeight="1" outlineLevel="2" x14ac:dyDescent="0.2">
      <c r="A9757" s="14" t="s">
        <v>19193</v>
      </c>
      <c r="B9757" s="15" t="s">
        <v>19194</v>
      </c>
      <c r="C9757" s="16">
        <f>272.5/(1+B2)</f>
        <v>272.5</v>
      </c>
      <c r="D9757" s="17" t="s">
        <v>11</v>
      </c>
      <c r="E9757" s="17"/>
      <c r="F9757" s="18"/>
      <c r="G9757" s="36" t="str">
        <f>IF(ISNUMBER(F9757),C9757*F9757,"")</f>
        <v/>
      </c>
    </row>
    <row r="9758" spans="1:7" ht="12" customHeight="1" outlineLevel="2" x14ac:dyDescent="0.2">
      <c r="A9758" s="14" t="s">
        <v>19195</v>
      </c>
      <c r="B9758" s="15" t="s">
        <v>19196</v>
      </c>
      <c r="C9758" s="16">
        <f>93.53/(1+B2)</f>
        <v>93.53</v>
      </c>
      <c r="D9758" s="17" t="s">
        <v>11</v>
      </c>
      <c r="E9758" s="17" t="s">
        <v>11</v>
      </c>
      <c r="F9758" s="18"/>
      <c r="G9758" s="36" t="str">
        <f>IF(ISNUMBER(F9758),C9758*F9758,"")</f>
        <v/>
      </c>
    </row>
    <row r="9759" spans="1:7" ht="12" customHeight="1" outlineLevel="2" x14ac:dyDescent="0.2">
      <c r="A9759" s="14" t="s">
        <v>19197</v>
      </c>
      <c r="B9759" s="15" t="s">
        <v>19198</v>
      </c>
      <c r="C9759" s="16">
        <f>107.6/(1+B2)</f>
        <v>107.6</v>
      </c>
      <c r="D9759" s="17" t="s">
        <v>11</v>
      </c>
      <c r="E9759" s="17" t="s">
        <v>11</v>
      </c>
      <c r="F9759" s="18"/>
      <c r="G9759" s="36" t="str">
        <f>IF(ISNUMBER(F9759),C9759*F9759,"")</f>
        <v/>
      </c>
    </row>
    <row r="9760" spans="1:7" ht="12" customHeight="1" outlineLevel="2" x14ac:dyDescent="0.2">
      <c r="A9760" s="14" t="s">
        <v>19199</v>
      </c>
      <c r="B9760" s="15" t="s">
        <v>19200</v>
      </c>
      <c r="C9760" s="16">
        <f>328.5/(1+B2)</f>
        <v>328.5</v>
      </c>
      <c r="D9760" s="17" t="s">
        <v>11</v>
      </c>
      <c r="E9760" s="17"/>
      <c r="F9760" s="18"/>
      <c r="G9760" s="36" t="str">
        <f>IF(ISNUMBER(F9760),C9760*F9760,"")</f>
        <v/>
      </c>
    </row>
    <row r="9761" spans="1:7" ht="12" customHeight="1" outlineLevel="2" x14ac:dyDescent="0.2">
      <c r="A9761" s="14" t="s">
        <v>19201</v>
      </c>
      <c r="B9761" s="15" t="s">
        <v>19202</v>
      </c>
      <c r="C9761" s="16">
        <f>292.5/(1+B2)</f>
        <v>292.5</v>
      </c>
      <c r="D9761" s="17" t="s">
        <v>11</v>
      </c>
      <c r="E9761" s="17"/>
      <c r="F9761" s="18"/>
      <c r="G9761" s="36" t="str">
        <f>IF(ISNUMBER(F9761),C9761*F9761,"")</f>
        <v/>
      </c>
    </row>
    <row r="9762" spans="1:7" ht="12" customHeight="1" outlineLevel="2" x14ac:dyDescent="0.2">
      <c r="A9762" s="14" t="s">
        <v>19203</v>
      </c>
      <c r="B9762" s="15" t="s">
        <v>19204</v>
      </c>
      <c r="C9762" s="16">
        <f>355.5/(1+B2)</f>
        <v>355.5</v>
      </c>
      <c r="D9762" s="17" t="s">
        <v>11</v>
      </c>
      <c r="E9762" s="17"/>
      <c r="F9762" s="18"/>
      <c r="G9762" s="36" t="str">
        <f>IF(ISNUMBER(F9762),C9762*F9762,"")</f>
        <v/>
      </c>
    </row>
    <row r="9763" spans="1:7" ht="12" customHeight="1" outlineLevel="2" x14ac:dyDescent="0.2">
      <c r="A9763" s="14" t="s">
        <v>19205</v>
      </c>
      <c r="B9763" s="15" t="s">
        <v>19206</v>
      </c>
      <c r="C9763" s="16">
        <f>445.5/(1+B2)</f>
        <v>445.5</v>
      </c>
      <c r="D9763" s="17" t="s">
        <v>11</v>
      </c>
      <c r="E9763" s="17"/>
      <c r="F9763" s="18"/>
      <c r="G9763" s="36" t="str">
        <f>IF(ISNUMBER(F9763),C9763*F9763,"")</f>
        <v/>
      </c>
    </row>
    <row r="9764" spans="1:7" ht="12" customHeight="1" outlineLevel="2" x14ac:dyDescent="0.2">
      <c r="A9764" s="14" t="s">
        <v>19207</v>
      </c>
      <c r="B9764" s="15" t="s">
        <v>19208</v>
      </c>
      <c r="C9764" s="16">
        <f>337.5/(1+B2)</f>
        <v>337.5</v>
      </c>
      <c r="D9764" s="17" t="s">
        <v>11</v>
      </c>
      <c r="E9764" s="17"/>
      <c r="F9764" s="18"/>
      <c r="G9764" s="36" t="str">
        <f>IF(ISNUMBER(F9764),C9764*F9764,"")</f>
        <v/>
      </c>
    </row>
    <row r="9765" spans="1:7" ht="12" customHeight="1" outlineLevel="2" x14ac:dyDescent="0.2">
      <c r="A9765" s="14" t="s">
        <v>19209</v>
      </c>
      <c r="B9765" s="15" t="s">
        <v>19210</v>
      </c>
      <c r="C9765" s="16">
        <f>418.5/(1+B2)</f>
        <v>418.5</v>
      </c>
      <c r="D9765" s="17" t="s">
        <v>11</v>
      </c>
      <c r="E9765" s="17"/>
      <c r="F9765" s="18"/>
      <c r="G9765" s="36" t="str">
        <f>IF(ISNUMBER(F9765),C9765*F9765,"")</f>
        <v/>
      </c>
    </row>
    <row r="9766" spans="1:7" ht="12" customHeight="1" outlineLevel="2" x14ac:dyDescent="0.2">
      <c r="A9766" s="14" t="s">
        <v>19211</v>
      </c>
      <c r="B9766" s="15" t="s">
        <v>19212</v>
      </c>
      <c r="C9766" s="16">
        <f>391.5/(1+B2)</f>
        <v>391.5</v>
      </c>
      <c r="D9766" s="17" t="s">
        <v>11</v>
      </c>
      <c r="E9766" s="17"/>
      <c r="F9766" s="18"/>
      <c r="G9766" s="36" t="str">
        <f>IF(ISNUMBER(F9766),C9766*F9766,"")</f>
        <v/>
      </c>
    </row>
    <row r="9767" spans="1:7" ht="12" customHeight="1" outlineLevel="2" x14ac:dyDescent="0.2">
      <c r="A9767" s="14" t="s">
        <v>19213</v>
      </c>
      <c r="B9767" s="15" t="s">
        <v>19214</v>
      </c>
      <c r="C9767" s="16">
        <f>445.5/(1+B2)</f>
        <v>445.5</v>
      </c>
      <c r="D9767" s="17" t="s">
        <v>11</v>
      </c>
      <c r="E9767" s="17"/>
      <c r="F9767" s="18"/>
      <c r="G9767" s="36" t="str">
        <f>IF(ISNUMBER(F9767),C9767*F9767,"")</f>
        <v/>
      </c>
    </row>
    <row r="9768" spans="1:7" ht="12" customHeight="1" outlineLevel="2" x14ac:dyDescent="0.2">
      <c r="A9768" s="14" t="s">
        <v>19215</v>
      </c>
      <c r="B9768" s="15" t="s">
        <v>19216</v>
      </c>
      <c r="C9768" s="16">
        <f>592.5/(1+B2)</f>
        <v>592.5</v>
      </c>
      <c r="D9768" s="17" t="s">
        <v>11</v>
      </c>
      <c r="E9768" s="17"/>
      <c r="F9768" s="18"/>
      <c r="G9768" s="36" t="str">
        <f>IF(ISNUMBER(F9768),C9768*F9768,"")</f>
        <v/>
      </c>
    </row>
    <row r="9769" spans="1:7" ht="12" customHeight="1" outlineLevel="2" x14ac:dyDescent="0.2">
      <c r="A9769" s="14" t="s">
        <v>19217</v>
      </c>
      <c r="B9769" s="15" t="s">
        <v>19218</v>
      </c>
      <c r="C9769" s="16">
        <f>67.37/(1+B2)</f>
        <v>67.37</v>
      </c>
      <c r="D9769" s="17" t="s">
        <v>11</v>
      </c>
      <c r="E9769" s="17" t="s">
        <v>11</v>
      </c>
      <c r="F9769" s="18"/>
      <c r="G9769" s="36" t="str">
        <f>IF(ISNUMBER(F9769),C9769*F9769,"")</f>
        <v/>
      </c>
    </row>
    <row r="9770" spans="1:7" ht="12" customHeight="1" outlineLevel="2" x14ac:dyDescent="0.2">
      <c r="A9770" s="14" t="s">
        <v>19219</v>
      </c>
      <c r="B9770" s="15" t="s">
        <v>19220</v>
      </c>
      <c r="C9770" s="16">
        <f>69.43/(1+B2)</f>
        <v>69.430000000000007</v>
      </c>
      <c r="D9770" s="17" t="s">
        <v>11</v>
      </c>
      <c r="E9770" s="17" t="s">
        <v>14</v>
      </c>
      <c r="F9770" s="18"/>
      <c r="G9770" s="36" t="str">
        <f>IF(ISNUMBER(F9770),C9770*F9770,"")</f>
        <v/>
      </c>
    </row>
    <row r="9771" spans="1:7" ht="12" customHeight="1" outlineLevel="2" x14ac:dyDescent="0.2">
      <c r="A9771" s="14" t="s">
        <v>19221</v>
      </c>
      <c r="B9771" s="15" t="s">
        <v>19222</v>
      </c>
      <c r="C9771" s="16">
        <f>31.75/(1+B2)</f>
        <v>31.75</v>
      </c>
      <c r="D9771" s="17"/>
      <c r="E9771" s="17" t="s">
        <v>11</v>
      </c>
      <c r="F9771" s="18"/>
      <c r="G9771" s="36" t="str">
        <f>IF(ISNUMBER(F9771),C9771*F9771,"")</f>
        <v/>
      </c>
    </row>
    <row r="9772" spans="1:7" ht="12" customHeight="1" outlineLevel="2" x14ac:dyDescent="0.2">
      <c r="A9772" s="14" t="s">
        <v>19223</v>
      </c>
      <c r="B9772" s="15" t="s">
        <v>19224</v>
      </c>
      <c r="C9772" s="16">
        <f>267.76/(1+B2)</f>
        <v>267.76</v>
      </c>
      <c r="D9772" s="17" t="s">
        <v>11</v>
      </c>
      <c r="E9772" s="17"/>
      <c r="F9772" s="18"/>
      <c r="G9772" s="36" t="str">
        <f>IF(ISNUMBER(F9772),C9772*F9772,"")</f>
        <v/>
      </c>
    </row>
    <row r="9773" spans="1:7" ht="12" customHeight="1" outlineLevel="2" x14ac:dyDescent="0.2">
      <c r="A9773" s="14" t="s">
        <v>19225</v>
      </c>
      <c r="B9773" s="15" t="s">
        <v>19226</v>
      </c>
      <c r="C9773" s="16">
        <f>269.1/(1+B2)</f>
        <v>269.10000000000002</v>
      </c>
      <c r="D9773" s="17" t="s">
        <v>11</v>
      </c>
      <c r="E9773" s="17"/>
      <c r="F9773" s="18"/>
      <c r="G9773" s="36" t="str">
        <f>IF(ISNUMBER(F9773),C9773*F9773,"")</f>
        <v/>
      </c>
    </row>
    <row r="9774" spans="1:7" ht="12" customHeight="1" outlineLevel="2" x14ac:dyDescent="0.2">
      <c r="A9774" s="14" t="s">
        <v>19227</v>
      </c>
      <c r="B9774" s="15" t="s">
        <v>19228</v>
      </c>
      <c r="C9774" s="16">
        <f>269.53/(1+B2)</f>
        <v>269.52999999999997</v>
      </c>
      <c r="D9774" s="17" t="s">
        <v>11</v>
      </c>
      <c r="E9774" s="17"/>
      <c r="F9774" s="18"/>
      <c r="G9774" s="36" t="str">
        <f>IF(ISNUMBER(F9774),C9774*F9774,"")</f>
        <v/>
      </c>
    </row>
    <row r="9775" spans="1:7" ht="12" customHeight="1" outlineLevel="2" x14ac:dyDescent="0.2">
      <c r="A9775" s="14" t="s">
        <v>19229</v>
      </c>
      <c r="B9775" s="15" t="s">
        <v>19230</v>
      </c>
      <c r="C9775" s="16">
        <f>268.77/(1+B2)</f>
        <v>268.77</v>
      </c>
      <c r="D9775" s="17" t="s">
        <v>11</v>
      </c>
      <c r="E9775" s="17"/>
      <c r="F9775" s="18"/>
      <c r="G9775" s="36" t="str">
        <f>IF(ISNUMBER(F9775),C9775*F9775,"")</f>
        <v/>
      </c>
    </row>
    <row r="9776" spans="1:7" ht="24" customHeight="1" outlineLevel="2" x14ac:dyDescent="0.2">
      <c r="A9776" s="14" t="s">
        <v>19231</v>
      </c>
      <c r="B9776" s="15" t="s">
        <v>19232</v>
      </c>
      <c r="C9776" s="16">
        <f>85.46/(1+B2)</f>
        <v>85.46</v>
      </c>
      <c r="D9776" s="17" t="s">
        <v>11</v>
      </c>
      <c r="E9776" s="17"/>
      <c r="F9776" s="18"/>
      <c r="G9776" s="36" t="str">
        <f>IF(ISNUMBER(F9776),C9776*F9776,"")</f>
        <v/>
      </c>
    </row>
    <row r="9777" spans="1:7" ht="12" customHeight="1" outlineLevel="2" x14ac:dyDescent="0.2">
      <c r="A9777" s="14" t="s">
        <v>19233</v>
      </c>
      <c r="B9777" s="15" t="s">
        <v>19234</v>
      </c>
      <c r="C9777" s="16">
        <f>71.71/(1+B2)</f>
        <v>71.709999999999994</v>
      </c>
      <c r="D9777" s="17" t="s">
        <v>11</v>
      </c>
      <c r="E9777" s="17"/>
      <c r="F9777" s="18"/>
      <c r="G9777" s="36" t="str">
        <f>IF(ISNUMBER(F9777),C9777*F9777,"")</f>
        <v/>
      </c>
    </row>
    <row r="9778" spans="1:7" ht="12" customHeight="1" outlineLevel="2" x14ac:dyDescent="0.2">
      <c r="A9778" s="14" t="s">
        <v>19235</v>
      </c>
      <c r="B9778" s="15" t="s">
        <v>19236</v>
      </c>
      <c r="C9778" s="16">
        <f>44.39/(1+B2)</f>
        <v>44.39</v>
      </c>
      <c r="D9778" s="17" t="s">
        <v>11</v>
      </c>
      <c r="E9778" s="17"/>
      <c r="F9778" s="18"/>
      <c r="G9778" s="36" t="str">
        <f>IF(ISNUMBER(F9778),C9778*F9778,"")</f>
        <v/>
      </c>
    </row>
    <row r="9779" spans="1:7" s="1" customFormat="1" ht="15.95" customHeight="1" outlineLevel="1" x14ac:dyDescent="0.25">
      <c r="A9779" s="11"/>
      <c r="B9779" s="12" t="s">
        <v>19237</v>
      </c>
      <c r="C9779" s="13"/>
      <c r="D9779" s="13"/>
      <c r="E9779" s="13"/>
      <c r="F9779" s="13"/>
      <c r="G9779" s="35"/>
    </row>
    <row r="9780" spans="1:7" ht="12" customHeight="1" outlineLevel="2" x14ac:dyDescent="0.2">
      <c r="A9780" s="14" t="s">
        <v>19238</v>
      </c>
      <c r="B9780" s="15" t="s">
        <v>19239</v>
      </c>
      <c r="C9780" s="16">
        <f>300.12/(1+B2)</f>
        <v>300.12</v>
      </c>
      <c r="D9780" s="17" t="s">
        <v>11</v>
      </c>
      <c r="E9780" s="17"/>
      <c r="F9780" s="18"/>
      <c r="G9780" s="36" t="str">
        <f>IF(ISNUMBER(F9780),C9780*F9780,"")</f>
        <v/>
      </c>
    </row>
    <row r="9781" spans="1:7" ht="12" customHeight="1" outlineLevel="2" x14ac:dyDescent="0.2">
      <c r="A9781" s="14" t="s">
        <v>19240</v>
      </c>
      <c r="B9781" s="15" t="s">
        <v>19241</v>
      </c>
      <c r="C9781" s="16">
        <f>87.78/(1+B2)</f>
        <v>87.78</v>
      </c>
      <c r="D9781" s="17" t="s">
        <v>11</v>
      </c>
      <c r="E9781" s="17"/>
      <c r="F9781" s="18"/>
      <c r="G9781" s="36" t="str">
        <f>IF(ISNUMBER(F9781),C9781*F9781,"")</f>
        <v/>
      </c>
    </row>
    <row r="9782" spans="1:7" ht="12" customHeight="1" outlineLevel="2" x14ac:dyDescent="0.2">
      <c r="A9782" s="14" t="s">
        <v>19242</v>
      </c>
      <c r="B9782" s="15" t="s">
        <v>19243</v>
      </c>
      <c r="C9782" s="16">
        <f>64.28/(1+B2)</f>
        <v>64.28</v>
      </c>
      <c r="D9782" s="17" t="s">
        <v>14</v>
      </c>
      <c r="E9782" s="17" t="s">
        <v>11</v>
      </c>
      <c r="F9782" s="18"/>
      <c r="G9782" s="36" t="str">
        <f>IF(ISNUMBER(F9782),C9782*F9782,"")</f>
        <v/>
      </c>
    </row>
    <row r="9783" spans="1:7" ht="24" customHeight="1" outlineLevel="2" x14ac:dyDescent="0.2">
      <c r="A9783" s="14" t="s">
        <v>19244</v>
      </c>
      <c r="B9783" s="15" t="s">
        <v>19245</v>
      </c>
      <c r="C9783" s="16">
        <f>87.78/(1+B2)</f>
        <v>87.78</v>
      </c>
      <c r="D9783" s="17" t="s">
        <v>14</v>
      </c>
      <c r="E9783" s="17"/>
      <c r="F9783" s="18"/>
      <c r="G9783" s="36" t="str">
        <f>IF(ISNUMBER(F9783),C9783*F9783,"")</f>
        <v/>
      </c>
    </row>
    <row r="9784" spans="1:7" ht="24" customHeight="1" outlineLevel="2" x14ac:dyDescent="0.2">
      <c r="A9784" s="14" t="s">
        <v>19246</v>
      </c>
      <c r="B9784" s="15" t="s">
        <v>19247</v>
      </c>
      <c r="C9784" s="16">
        <f>64.28/(1+B2)</f>
        <v>64.28</v>
      </c>
      <c r="D9784" s="17" t="s">
        <v>14</v>
      </c>
      <c r="E9784" s="17" t="s">
        <v>11</v>
      </c>
      <c r="F9784" s="18"/>
      <c r="G9784" s="36" t="str">
        <f>IF(ISNUMBER(F9784),C9784*F9784,"")</f>
        <v/>
      </c>
    </row>
    <row r="9785" spans="1:7" ht="24" customHeight="1" outlineLevel="2" x14ac:dyDescent="0.2">
      <c r="A9785" s="14" t="s">
        <v>19248</v>
      </c>
      <c r="B9785" s="15" t="s">
        <v>19249</v>
      </c>
      <c r="C9785" s="16">
        <f>64.28/(1+B2)</f>
        <v>64.28</v>
      </c>
      <c r="D9785" s="17" t="s">
        <v>11</v>
      </c>
      <c r="E9785" s="17"/>
      <c r="F9785" s="18"/>
      <c r="G9785" s="36" t="str">
        <f>IF(ISNUMBER(F9785),C9785*F9785,"")</f>
        <v/>
      </c>
    </row>
    <row r="9786" spans="1:7" ht="12" customHeight="1" outlineLevel="2" x14ac:dyDescent="0.2">
      <c r="A9786" s="14" t="s">
        <v>19250</v>
      </c>
      <c r="B9786" s="15" t="s">
        <v>19251</v>
      </c>
      <c r="C9786" s="16">
        <f>72.33/(1+B2)</f>
        <v>72.33</v>
      </c>
      <c r="D9786" s="17" t="s">
        <v>14</v>
      </c>
      <c r="E9786" s="17"/>
      <c r="F9786" s="18"/>
      <c r="G9786" s="36" t="str">
        <f>IF(ISNUMBER(F9786),C9786*F9786,"")</f>
        <v/>
      </c>
    </row>
    <row r="9787" spans="1:7" ht="12" customHeight="1" outlineLevel="2" x14ac:dyDescent="0.2">
      <c r="A9787" s="14" t="s">
        <v>19252</v>
      </c>
      <c r="B9787" s="15" t="s">
        <v>19253</v>
      </c>
      <c r="C9787" s="16">
        <f>76.51/(1+B2)</f>
        <v>76.510000000000005</v>
      </c>
      <c r="D9787" s="17" t="s">
        <v>14</v>
      </c>
      <c r="E9787" s="17" t="s">
        <v>11</v>
      </c>
      <c r="F9787" s="18"/>
      <c r="G9787" s="36" t="str">
        <f>IF(ISNUMBER(F9787),C9787*F9787,"")</f>
        <v/>
      </c>
    </row>
    <row r="9788" spans="1:7" ht="12" customHeight="1" outlineLevel="2" x14ac:dyDescent="0.2">
      <c r="A9788" s="14" t="s">
        <v>19254</v>
      </c>
      <c r="B9788" s="15" t="s">
        <v>19255</v>
      </c>
      <c r="C9788" s="16">
        <f>51.62/(1+B2)</f>
        <v>51.62</v>
      </c>
      <c r="D9788" s="17" t="s">
        <v>11</v>
      </c>
      <c r="E9788" s="17" t="s">
        <v>11</v>
      </c>
      <c r="F9788" s="18"/>
      <c r="G9788" s="36" t="str">
        <f>IF(ISNUMBER(F9788),C9788*F9788,"")</f>
        <v/>
      </c>
    </row>
    <row r="9789" spans="1:7" ht="12" customHeight="1" outlineLevel="2" x14ac:dyDescent="0.2">
      <c r="A9789" s="14" t="s">
        <v>19256</v>
      </c>
      <c r="B9789" s="15" t="s">
        <v>19257</v>
      </c>
      <c r="C9789" s="16">
        <f>311.09/(1+B2)</f>
        <v>311.08999999999997</v>
      </c>
      <c r="D9789" s="17" t="s">
        <v>11</v>
      </c>
      <c r="E9789" s="17" t="s">
        <v>11</v>
      </c>
      <c r="F9789" s="18"/>
      <c r="G9789" s="36" t="str">
        <f>IF(ISNUMBER(F9789),C9789*F9789,"")</f>
        <v/>
      </c>
    </row>
    <row r="9790" spans="1:7" ht="12" customHeight="1" outlineLevel="2" x14ac:dyDescent="0.2">
      <c r="A9790" s="14" t="s">
        <v>19258</v>
      </c>
      <c r="B9790" s="15" t="s">
        <v>19259</v>
      </c>
      <c r="C9790" s="16">
        <f>263.69/(1+B2)</f>
        <v>263.69</v>
      </c>
      <c r="D9790" s="17" t="s">
        <v>11</v>
      </c>
      <c r="E9790" s="17"/>
      <c r="F9790" s="18"/>
      <c r="G9790" s="36" t="str">
        <f>IF(ISNUMBER(F9790),C9790*F9790,"")</f>
        <v/>
      </c>
    </row>
    <row r="9791" spans="1:7" ht="12" customHeight="1" outlineLevel="2" x14ac:dyDescent="0.2">
      <c r="A9791" s="14" t="s">
        <v>19260</v>
      </c>
      <c r="B9791" s="15" t="s">
        <v>19261</v>
      </c>
      <c r="C9791" s="16">
        <f>93.64/(1+B2)</f>
        <v>93.64</v>
      </c>
      <c r="D9791" s="17" t="s">
        <v>11</v>
      </c>
      <c r="E9791" s="17" t="s">
        <v>11</v>
      </c>
      <c r="F9791" s="18"/>
      <c r="G9791" s="36" t="str">
        <f>IF(ISNUMBER(F9791),C9791*F9791,"")</f>
        <v/>
      </c>
    </row>
    <row r="9792" spans="1:7" ht="12" customHeight="1" outlineLevel="2" x14ac:dyDescent="0.2">
      <c r="A9792" s="14" t="s">
        <v>19262</v>
      </c>
      <c r="B9792" s="15" t="s">
        <v>19263</v>
      </c>
      <c r="C9792" s="16">
        <f>386.51/(1+B2)</f>
        <v>386.51</v>
      </c>
      <c r="D9792" s="17" t="s">
        <v>11</v>
      </c>
      <c r="E9792" s="17"/>
      <c r="F9792" s="18"/>
      <c r="G9792" s="36" t="str">
        <f>IF(ISNUMBER(F9792),C9792*F9792,"")</f>
        <v/>
      </c>
    </row>
    <row r="9793" spans="1:7" ht="12" customHeight="1" outlineLevel="2" x14ac:dyDescent="0.2">
      <c r="A9793" s="14" t="s">
        <v>19264</v>
      </c>
      <c r="B9793" s="15" t="s">
        <v>19265</v>
      </c>
      <c r="C9793" s="16">
        <f>183.83/(1+B2)</f>
        <v>183.83</v>
      </c>
      <c r="D9793" s="17" t="s">
        <v>11</v>
      </c>
      <c r="E9793" s="17"/>
      <c r="F9793" s="18"/>
      <c r="G9793" s="36" t="str">
        <f>IF(ISNUMBER(F9793),C9793*F9793,"")</f>
        <v/>
      </c>
    </row>
    <row r="9794" spans="1:7" ht="12" customHeight="1" outlineLevel="2" x14ac:dyDescent="0.2">
      <c r="A9794" s="14" t="s">
        <v>19266</v>
      </c>
      <c r="B9794" s="15" t="s">
        <v>19267</v>
      </c>
      <c r="C9794" s="16">
        <f>35.72/(1+B2)</f>
        <v>35.72</v>
      </c>
      <c r="D9794" s="17" t="s">
        <v>11</v>
      </c>
      <c r="E9794" s="17"/>
      <c r="F9794" s="18"/>
      <c r="G9794" s="36" t="str">
        <f>IF(ISNUMBER(F9794),C9794*F9794,"")</f>
        <v/>
      </c>
    </row>
    <row r="9795" spans="1:7" ht="12" customHeight="1" outlineLevel="2" x14ac:dyDescent="0.2">
      <c r="A9795" s="14" t="s">
        <v>19268</v>
      </c>
      <c r="B9795" s="15" t="s">
        <v>19269</v>
      </c>
      <c r="C9795" s="16">
        <f>30/(1+B2)</f>
        <v>30</v>
      </c>
      <c r="D9795" s="17" t="s">
        <v>14</v>
      </c>
      <c r="E9795" s="17" t="s">
        <v>106</v>
      </c>
      <c r="F9795" s="18"/>
      <c r="G9795" s="36" t="str">
        <f>IF(ISNUMBER(F9795),C9795*F9795,"")</f>
        <v/>
      </c>
    </row>
    <row r="9796" spans="1:7" ht="12" customHeight="1" outlineLevel="2" x14ac:dyDescent="0.2">
      <c r="A9796" s="14" t="s">
        <v>19270</v>
      </c>
      <c r="B9796" s="15" t="s">
        <v>19271</v>
      </c>
      <c r="C9796" s="16">
        <f>287.5/(1+B2)</f>
        <v>287.5</v>
      </c>
      <c r="D9796" s="17" t="s">
        <v>11</v>
      </c>
      <c r="E9796" s="17" t="s">
        <v>11</v>
      </c>
      <c r="F9796" s="18"/>
      <c r="G9796" s="36" t="str">
        <f>IF(ISNUMBER(F9796),C9796*F9796,"")</f>
        <v/>
      </c>
    </row>
    <row r="9797" spans="1:7" ht="12" customHeight="1" outlineLevel="2" x14ac:dyDescent="0.2">
      <c r="A9797" s="14" t="s">
        <v>19272</v>
      </c>
      <c r="B9797" s="15" t="s">
        <v>19273</v>
      </c>
      <c r="C9797" s="16">
        <f>316.8/(1+B2)</f>
        <v>316.8</v>
      </c>
      <c r="D9797" s="17" t="s">
        <v>11</v>
      </c>
      <c r="E9797" s="17"/>
      <c r="F9797" s="18"/>
      <c r="G9797" s="36" t="str">
        <f>IF(ISNUMBER(F9797),C9797*F9797,"")</f>
        <v/>
      </c>
    </row>
    <row r="9798" spans="1:7" ht="12" customHeight="1" outlineLevel="2" x14ac:dyDescent="0.2">
      <c r="A9798" s="14" t="s">
        <v>19274</v>
      </c>
      <c r="B9798" s="15" t="s">
        <v>19275</v>
      </c>
      <c r="C9798" s="16">
        <f>279.3/(1+B2)</f>
        <v>279.3</v>
      </c>
      <c r="D9798" s="17" t="s">
        <v>11</v>
      </c>
      <c r="E9798" s="17" t="s">
        <v>11</v>
      </c>
      <c r="F9798" s="18"/>
      <c r="G9798" s="36" t="str">
        <f>IF(ISNUMBER(F9798),C9798*F9798,"")</f>
        <v/>
      </c>
    </row>
    <row r="9799" spans="1:7" ht="12" customHeight="1" outlineLevel="2" x14ac:dyDescent="0.2">
      <c r="A9799" s="14" t="s">
        <v>19276</v>
      </c>
      <c r="B9799" s="15" t="s">
        <v>19277</v>
      </c>
      <c r="C9799" s="16">
        <f>49.24/(1+B2)</f>
        <v>49.24</v>
      </c>
      <c r="D9799" s="17" t="s">
        <v>11</v>
      </c>
      <c r="E9799" s="17"/>
      <c r="F9799" s="18"/>
      <c r="G9799" s="36" t="str">
        <f>IF(ISNUMBER(F9799),C9799*F9799,"")</f>
        <v/>
      </c>
    </row>
    <row r="9800" spans="1:7" ht="24" customHeight="1" outlineLevel="2" x14ac:dyDescent="0.2">
      <c r="A9800" s="14" t="s">
        <v>19278</v>
      </c>
      <c r="B9800" s="15" t="s">
        <v>19279</v>
      </c>
      <c r="C9800" s="16">
        <f>290.4/(1+B2)</f>
        <v>290.39999999999998</v>
      </c>
      <c r="D9800" s="17" t="s">
        <v>11</v>
      </c>
      <c r="E9800" s="17"/>
      <c r="F9800" s="18"/>
      <c r="G9800" s="36" t="str">
        <f>IF(ISNUMBER(F9800),C9800*F9800,"")</f>
        <v/>
      </c>
    </row>
    <row r="9801" spans="1:7" ht="12" customHeight="1" outlineLevel="2" x14ac:dyDescent="0.2">
      <c r="A9801" s="14" t="s">
        <v>19280</v>
      </c>
      <c r="B9801" s="15" t="s">
        <v>19281</v>
      </c>
      <c r="C9801" s="16">
        <f>501.61/(1+B2)</f>
        <v>501.61</v>
      </c>
      <c r="D9801" s="17" t="s">
        <v>11</v>
      </c>
      <c r="E9801" s="17"/>
      <c r="F9801" s="18"/>
      <c r="G9801" s="36" t="str">
        <f>IF(ISNUMBER(F9801),C9801*F9801,"")</f>
        <v/>
      </c>
    </row>
    <row r="9802" spans="1:7" ht="12" customHeight="1" outlineLevel="2" x14ac:dyDescent="0.2">
      <c r="A9802" s="14" t="s">
        <v>19282</v>
      </c>
      <c r="B9802" s="15" t="s">
        <v>19283</v>
      </c>
      <c r="C9802" s="16">
        <f>314.97/(1+B2)</f>
        <v>314.97000000000003</v>
      </c>
      <c r="D9802" s="17" t="s">
        <v>11</v>
      </c>
      <c r="E9802" s="17"/>
      <c r="F9802" s="18"/>
      <c r="G9802" s="36" t="str">
        <f>IF(ISNUMBER(F9802),C9802*F9802,"")</f>
        <v/>
      </c>
    </row>
    <row r="9803" spans="1:7" ht="12" customHeight="1" outlineLevel="2" x14ac:dyDescent="0.2">
      <c r="A9803" s="14" t="s">
        <v>19284</v>
      </c>
      <c r="B9803" s="15" t="s">
        <v>19285</v>
      </c>
      <c r="C9803" s="16">
        <f>294.91/(1+B2)</f>
        <v>294.91000000000003</v>
      </c>
      <c r="D9803" s="17" t="s">
        <v>11</v>
      </c>
      <c r="E9803" s="17"/>
      <c r="F9803" s="18"/>
      <c r="G9803" s="36" t="str">
        <f>IF(ISNUMBER(F9803),C9803*F9803,"")</f>
        <v/>
      </c>
    </row>
    <row r="9804" spans="1:7" ht="24" customHeight="1" outlineLevel="2" x14ac:dyDescent="0.2">
      <c r="A9804" s="14" t="s">
        <v>19286</v>
      </c>
      <c r="B9804" s="15" t="s">
        <v>19287</v>
      </c>
      <c r="C9804" s="16">
        <f>712.74/(1+B2)</f>
        <v>712.74</v>
      </c>
      <c r="D9804" s="17" t="s">
        <v>11</v>
      </c>
      <c r="E9804" s="17"/>
      <c r="F9804" s="18"/>
      <c r="G9804" s="36" t="str">
        <f>IF(ISNUMBER(F9804),C9804*F9804,"")</f>
        <v/>
      </c>
    </row>
    <row r="9805" spans="1:7" ht="24" customHeight="1" outlineLevel="2" x14ac:dyDescent="0.2">
      <c r="A9805" s="14" t="s">
        <v>19288</v>
      </c>
      <c r="B9805" s="15" t="s">
        <v>19289</v>
      </c>
      <c r="C9805" s="16">
        <f>585.3/(1+B2)</f>
        <v>585.29999999999995</v>
      </c>
      <c r="D9805" s="17" t="s">
        <v>11</v>
      </c>
      <c r="E9805" s="17"/>
      <c r="F9805" s="18"/>
      <c r="G9805" s="36" t="str">
        <f>IF(ISNUMBER(F9805),C9805*F9805,"")</f>
        <v/>
      </c>
    </row>
    <row r="9806" spans="1:7" ht="24" customHeight="1" outlineLevel="2" x14ac:dyDescent="0.2">
      <c r="A9806" s="14" t="s">
        <v>19290</v>
      </c>
      <c r="B9806" s="15" t="s">
        <v>19291</v>
      </c>
      <c r="C9806" s="16">
        <f>407.55/(1+B2)</f>
        <v>407.55</v>
      </c>
      <c r="D9806" s="17" t="s">
        <v>11</v>
      </c>
      <c r="E9806" s="17"/>
      <c r="F9806" s="18"/>
      <c r="G9806" s="36" t="str">
        <f>IF(ISNUMBER(F9806),C9806*F9806,"")</f>
        <v/>
      </c>
    </row>
    <row r="9807" spans="1:7" ht="24" customHeight="1" outlineLevel="2" x14ac:dyDescent="0.2">
      <c r="A9807" s="14" t="s">
        <v>19292</v>
      </c>
      <c r="B9807" s="15" t="s">
        <v>19293</v>
      </c>
      <c r="C9807" s="16">
        <f>641.12/(1+B2)</f>
        <v>641.12</v>
      </c>
      <c r="D9807" s="17" t="s">
        <v>11</v>
      </c>
      <c r="E9807" s="17"/>
      <c r="F9807" s="18"/>
      <c r="G9807" s="36" t="str">
        <f>IF(ISNUMBER(F9807),C9807*F9807,"")</f>
        <v/>
      </c>
    </row>
    <row r="9808" spans="1:7" ht="24" customHeight="1" outlineLevel="2" x14ac:dyDescent="0.2">
      <c r="A9808" s="14" t="s">
        <v>19294</v>
      </c>
      <c r="B9808" s="15" t="s">
        <v>19295</v>
      </c>
      <c r="C9808" s="16">
        <f>280.61/(1+B2)</f>
        <v>280.61</v>
      </c>
      <c r="D9808" s="17" t="s">
        <v>11</v>
      </c>
      <c r="E9808" s="17"/>
      <c r="F9808" s="18"/>
      <c r="G9808" s="36" t="str">
        <f>IF(ISNUMBER(F9808),C9808*F9808,"")</f>
        <v/>
      </c>
    </row>
    <row r="9809" spans="1:7" ht="24" customHeight="1" outlineLevel="2" x14ac:dyDescent="0.2">
      <c r="A9809" s="14" t="s">
        <v>19296</v>
      </c>
      <c r="B9809" s="15" t="s">
        <v>19297</v>
      </c>
      <c r="C9809" s="16">
        <f>942.17/(1+B2)</f>
        <v>942.17</v>
      </c>
      <c r="D9809" s="17" t="s">
        <v>11</v>
      </c>
      <c r="E9809" s="17"/>
      <c r="F9809" s="18"/>
      <c r="G9809" s="36" t="str">
        <f>IF(ISNUMBER(F9809),C9809*F9809,"")</f>
        <v/>
      </c>
    </row>
    <row r="9810" spans="1:7" ht="24" customHeight="1" outlineLevel="2" x14ac:dyDescent="0.2">
      <c r="A9810" s="14" t="s">
        <v>19298</v>
      </c>
      <c r="B9810" s="15" t="s">
        <v>19299</v>
      </c>
      <c r="C9810" s="16">
        <f>479.36/(1+B2)</f>
        <v>479.36</v>
      </c>
      <c r="D9810" s="17" t="s">
        <v>11</v>
      </c>
      <c r="E9810" s="17"/>
      <c r="F9810" s="18"/>
      <c r="G9810" s="36" t="str">
        <f>IF(ISNUMBER(F9810),C9810*F9810,"")</f>
        <v/>
      </c>
    </row>
    <row r="9811" spans="1:7" ht="12" customHeight="1" outlineLevel="2" x14ac:dyDescent="0.2">
      <c r="A9811" s="14" t="s">
        <v>19300</v>
      </c>
      <c r="B9811" s="15" t="s">
        <v>19301</v>
      </c>
      <c r="C9811" s="19">
        <f>1242.23/(1+B2)</f>
        <v>1242.23</v>
      </c>
      <c r="D9811" s="17" t="s">
        <v>11</v>
      </c>
      <c r="E9811" s="17" t="s">
        <v>11</v>
      </c>
      <c r="F9811" s="18"/>
      <c r="G9811" s="36" t="str">
        <f>IF(ISNUMBER(F9811),C9811*F9811,"")</f>
        <v/>
      </c>
    </row>
    <row r="9812" spans="1:7" ht="12" customHeight="1" outlineLevel="2" x14ac:dyDescent="0.2">
      <c r="A9812" s="14" t="s">
        <v>19302</v>
      </c>
      <c r="B9812" s="15" t="s">
        <v>19303</v>
      </c>
      <c r="C9812" s="16">
        <f>758.66/(1+B2)</f>
        <v>758.66</v>
      </c>
      <c r="D9812" s="17" t="s">
        <v>11</v>
      </c>
      <c r="E9812" s="17"/>
      <c r="F9812" s="18"/>
      <c r="G9812" s="36" t="str">
        <f>IF(ISNUMBER(F9812),C9812*F9812,"")</f>
        <v/>
      </c>
    </row>
    <row r="9813" spans="1:7" ht="12" customHeight="1" outlineLevel="2" x14ac:dyDescent="0.2">
      <c r="A9813" s="14" t="s">
        <v>19304</v>
      </c>
      <c r="B9813" s="15" t="s">
        <v>19305</v>
      </c>
      <c r="C9813" s="16">
        <f>363.02/(1+B2)</f>
        <v>363.02</v>
      </c>
      <c r="D9813" s="17" t="s">
        <v>11</v>
      </c>
      <c r="E9813" s="17"/>
      <c r="F9813" s="18"/>
      <c r="G9813" s="36" t="str">
        <f>IF(ISNUMBER(F9813),C9813*F9813,"")</f>
        <v/>
      </c>
    </row>
    <row r="9814" spans="1:7" ht="12" customHeight="1" outlineLevel="2" x14ac:dyDescent="0.2">
      <c r="A9814" s="14" t="s">
        <v>19306</v>
      </c>
      <c r="B9814" s="15" t="s">
        <v>19307</v>
      </c>
      <c r="C9814" s="16">
        <f>298.06/(1+B2)</f>
        <v>298.06</v>
      </c>
      <c r="D9814" s="17" t="s">
        <v>11</v>
      </c>
      <c r="E9814" s="17" t="s">
        <v>11</v>
      </c>
      <c r="F9814" s="18"/>
      <c r="G9814" s="36" t="str">
        <f>IF(ISNUMBER(F9814),C9814*F9814,"")</f>
        <v/>
      </c>
    </row>
    <row r="9815" spans="1:7" ht="12" customHeight="1" outlineLevel="2" x14ac:dyDescent="0.2">
      <c r="A9815" s="14" t="s">
        <v>19308</v>
      </c>
      <c r="B9815" s="15" t="s">
        <v>19309</v>
      </c>
      <c r="C9815" s="16">
        <f>248.56/(1+B2)</f>
        <v>248.56</v>
      </c>
      <c r="D9815" s="17" t="s">
        <v>11</v>
      </c>
      <c r="E9815" s="17"/>
      <c r="F9815" s="18"/>
      <c r="G9815" s="36" t="str">
        <f>IF(ISNUMBER(F9815),C9815*F9815,"")</f>
        <v/>
      </c>
    </row>
    <row r="9816" spans="1:7" ht="12" customHeight="1" outlineLevel="2" x14ac:dyDescent="0.2">
      <c r="A9816" s="14" t="s">
        <v>19310</v>
      </c>
      <c r="B9816" s="15" t="s">
        <v>19311</v>
      </c>
      <c r="C9816" s="16">
        <f>974.16/(1+B2)</f>
        <v>974.16</v>
      </c>
      <c r="D9816" s="17" t="s">
        <v>11</v>
      </c>
      <c r="E9816" s="17"/>
      <c r="F9816" s="18"/>
      <c r="G9816" s="36" t="str">
        <f>IF(ISNUMBER(F9816),C9816*F9816,"")</f>
        <v/>
      </c>
    </row>
    <row r="9817" spans="1:7" s="1" customFormat="1" ht="15.95" customHeight="1" outlineLevel="1" x14ac:dyDescent="0.25">
      <c r="A9817" s="11"/>
      <c r="B9817" s="12" t="s">
        <v>19312</v>
      </c>
      <c r="C9817" s="13"/>
      <c r="D9817" s="13"/>
      <c r="E9817" s="13"/>
      <c r="F9817" s="13"/>
      <c r="G9817" s="35"/>
    </row>
    <row r="9818" spans="1:7" ht="12" customHeight="1" outlineLevel="2" x14ac:dyDescent="0.2">
      <c r="A9818" s="14" t="s">
        <v>19313</v>
      </c>
      <c r="B9818" s="15" t="s">
        <v>19314</v>
      </c>
      <c r="C9818" s="16">
        <f>40/(1+B2)</f>
        <v>40</v>
      </c>
      <c r="D9818" s="17" t="s">
        <v>11</v>
      </c>
      <c r="E9818" s="17"/>
      <c r="F9818" s="18"/>
      <c r="G9818" s="36" t="str">
        <f>IF(ISNUMBER(F9818),C9818*F9818,"")</f>
        <v/>
      </c>
    </row>
    <row r="9819" spans="1:7" ht="12" customHeight="1" outlineLevel="2" x14ac:dyDescent="0.2">
      <c r="A9819" s="14" t="s">
        <v>19315</v>
      </c>
      <c r="B9819" s="15" t="s">
        <v>19316</v>
      </c>
      <c r="C9819" s="16">
        <f>40/(1+B2)</f>
        <v>40</v>
      </c>
      <c r="D9819" s="17" t="s">
        <v>11</v>
      </c>
      <c r="E9819" s="17"/>
      <c r="F9819" s="18"/>
      <c r="G9819" s="36" t="str">
        <f>IF(ISNUMBER(F9819),C9819*F9819,"")</f>
        <v/>
      </c>
    </row>
    <row r="9820" spans="1:7" ht="12" customHeight="1" outlineLevel="2" x14ac:dyDescent="0.2">
      <c r="A9820" s="14" t="s">
        <v>19317</v>
      </c>
      <c r="B9820" s="15" t="s">
        <v>19318</v>
      </c>
      <c r="C9820" s="16">
        <f>30/(1+B2)</f>
        <v>30</v>
      </c>
      <c r="D9820" s="17" t="s">
        <v>14</v>
      </c>
      <c r="E9820" s="17" t="s">
        <v>11</v>
      </c>
      <c r="F9820" s="18"/>
      <c r="G9820" s="36" t="str">
        <f>IF(ISNUMBER(F9820),C9820*F9820,"")</f>
        <v/>
      </c>
    </row>
    <row r="9821" spans="1:7" ht="12" customHeight="1" outlineLevel="2" x14ac:dyDescent="0.2">
      <c r="A9821" s="14" t="s">
        <v>19319</v>
      </c>
      <c r="B9821" s="15" t="s">
        <v>19320</v>
      </c>
      <c r="C9821" s="16">
        <f>30/(1+B2)</f>
        <v>30</v>
      </c>
      <c r="D9821" s="17" t="s">
        <v>11</v>
      </c>
      <c r="E9821" s="17" t="s">
        <v>11</v>
      </c>
      <c r="F9821" s="18"/>
      <c r="G9821" s="36" t="str">
        <f>IF(ISNUMBER(F9821),C9821*F9821,"")</f>
        <v/>
      </c>
    </row>
    <row r="9822" spans="1:7" ht="12" customHeight="1" outlineLevel="2" x14ac:dyDescent="0.2">
      <c r="A9822" s="14" t="s">
        <v>19321</v>
      </c>
      <c r="B9822" s="15" t="s">
        <v>19322</v>
      </c>
      <c r="C9822" s="16">
        <f>40/(1+B2)</f>
        <v>40</v>
      </c>
      <c r="D9822" s="17" t="s">
        <v>14</v>
      </c>
      <c r="E9822" s="17"/>
      <c r="F9822" s="18"/>
      <c r="G9822" s="36" t="str">
        <f>IF(ISNUMBER(F9822),C9822*F9822,"")</f>
        <v/>
      </c>
    </row>
    <row r="9823" spans="1:7" ht="12" customHeight="1" outlineLevel="2" x14ac:dyDescent="0.2">
      <c r="A9823" s="14" t="s">
        <v>19323</v>
      </c>
      <c r="B9823" s="15" t="s">
        <v>19324</v>
      </c>
      <c r="C9823" s="16">
        <f>40/(1+B2)</f>
        <v>40</v>
      </c>
      <c r="D9823" s="17" t="s">
        <v>11</v>
      </c>
      <c r="E9823" s="17"/>
      <c r="F9823" s="18"/>
      <c r="G9823" s="36" t="str">
        <f>IF(ISNUMBER(F9823),C9823*F9823,"")</f>
        <v/>
      </c>
    </row>
    <row r="9824" spans="1:7" ht="12" customHeight="1" outlineLevel="2" x14ac:dyDescent="0.2">
      <c r="A9824" s="14" t="s">
        <v>19325</v>
      </c>
      <c r="B9824" s="15" t="s">
        <v>19326</v>
      </c>
      <c r="C9824" s="16">
        <f>40/(1+B2)</f>
        <v>40</v>
      </c>
      <c r="D9824" s="17" t="s">
        <v>11</v>
      </c>
      <c r="E9824" s="17"/>
      <c r="F9824" s="18"/>
      <c r="G9824" s="36" t="str">
        <f>IF(ISNUMBER(F9824),C9824*F9824,"")</f>
        <v/>
      </c>
    </row>
    <row r="9825" spans="1:7" ht="12" customHeight="1" outlineLevel="2" x14ac:dyDescent="0.2">
      <c r="A9825" s="14" t="s">
        <v>19327</v>
      </c>
      <c r="B9825" s="15" t="s">
        <v>19328</v>
      </c>
      <c r="C9825" s="16">
        <f>30/(1+B2)</f>
        <v>30</v>
      </c>
      <c r="D9825" s="17" t="s">
        <v>11</v>
      </c>
      <c r="E9825" s="17" t="s">
        <v>11</v>
      </c>
      <c r="F9825" s="18"/>
      <c r="G9825" s="36" t="str">
        <f>IF(ISNUMBER(F9825),C9825*F9825,"")</f>
        <v/>
      </c>
    </row>
    <row r="9826" spans="1:7" ht="12" customHeight="1" outlineLevel="2" x14ac:dyDescent="0.2">
      <c r="A9826" s="14" t="s">
        <v>19329</v>
      </c>
      <c r="B9826" s="15" t="s">
        <v>19330</v>
      </c>
      <c r="C9826" s="16">
        <f>99.45/(1+B2)</f>
        <v>99.45</v>
      </c>
      <c r="D9826" s="17" t="s">
        <v>11</v>
      </c>
      <c r="E9826" s="17"/>
      <c r="F9826" s="18"/>
      <c r="G9826" s="36" t="str">
        <f>IF(ISNUMBER(F9826),C9826*F9826,"")</f>
        <v/>
      </c>
    </row>
    <row r="9827" spans="1:7" ht="12" customHeight="1" outlineLevel="2" x14ac:dyDescent="0.2">
      <c r="A9827" s="14" t="s">
        <v>19331</v>
      </c>
      <c r="B9827" s="15" t="s">
        <v>19332</v>
      </c>
      <c r="C9827" s="16">
        <f>51.67/(1+B2)</f>
        <v>51.67</v>
      </c>
      <c r="D9827" s="17" t="s">
        <v>11</v>
      </c>
      <c r="E9827" s="17"/>
      <c r="F9827" s="18"/>
      <c r="G9827" s="36" t="str">
        <f>IF(ISNUMBER(F9827),C9827*F9827,"")</f>
        <v/>
      </c>
    </row>
    <row r="9828" spans="1:7" ht="12" customHeight="1" outlineLevel="2" x14ac:dyDescent="0.2">
      <c r="A9828" s="14" t="s">
        <v>19333</v>
      </c>
      <c r="B9828" s="15" t="s">
        <v>19334</v>
      </c>
      <c r="C9828" s="16">
        <f>54.3/(1+B2)</f>
        <v>54.3</v>
      </c>
      <c r="D9828" s="17" t="s">
        <v>14</v>
      </c>
      <c r="E9828" s="17"/>
      <c r="F9828" s="18"/>
      <c r="G9828" s="36" t="str">
        <f>IF(ISNUMBER(F9828),C9828*F9828,"")</f>
        <v/>
      </c>
    </row>
    <row r="9829" spans="1:7" ht="24" customHeight="1" outlineLevel="2" x14ac:dyDescent="0.2">
      <c r="A9829" s="14" t="s">
        <v>19335</v>
      </c>
      <c r="B9829" s="15" t="s">
        <v>19336</v>
      </c>
      <c r="C9829" s="19">
        <f>1157.54/(1+B2)</f>
        <v>1157.54</v>
      </c>
      <c r="D9829" s="17" t="s">
        <v>11</v>
      </c>
      <c r="E9829" s="17"/>
      <c r="F9829" s="18"/>
      <c r="G9829" s="36" t="str">
        <f>IF(ISNUMBER(F9829),C9829*F9829,"")</f>
        <v/>
      </c>
    </row>
    <row r="9830" spans="1:7" ht="12" customHeight="1" outlineLevel="2" x14ac:dyDescent="0.2">
      <c r="A9830" s="14" t="s">
        <v>19337</v>
      </c>
      <c r="B9830" s="15" t="s">
        <v>19338</v>
      </c>
      <c r="C9830" s="19">
        <f>1194.69/(1+B2)</f>
        <v>1194.69</v>
      </c>
      <c r="D9830" s="17" t="s">
        <v>11</v>
      </c>
      <c r="E9830" s="17"/>
      <c r="F9830" s="18"/>
      <c r="G9830" s="36" t="str">
        <f>IF(ISNUMBER(F9830),C9830*F9830,"")</f>
        <v/>
      </c>
    </row>
    <row r="9831" spans="1:7" ht="24" customHeight="1" outlineLevel="2" x14ac:dyDescent="0.2">
      <c r="A9831" s="14" t="s">
        <v>19339</v>
      </c>
      <c r="B9831" s="15" t="s">
        <v>19340</v>
      </c>
      <c r="C9831" s="16">
        <f>959.46/(1+B2)</f>
        <v>959.46</v>
      </c>
      <c r="D9831" s="17" t="s">
        <v>11</v>
      </c>
      <c r="E9831" s="17"/>
      <c r="F9831" s="18"/>
      <c r="G9831" s="36" t="str">
        <f>IF(ISNUMBER(F9831),C9831*F9831,"")</f>
        <v/>
      </c>
    </row>
    <row r="9832" spans="1:7" ht="12" customHeight="1" outlineLevel="2" x14ac:dyDescent="0.2">
      <c r="A9832" s="14" t="s">
        <v>19341</v>
      </c>
      <c r="B9832" s="15" t="s">
        <v>19342</v>
      </c>
      <c r="C9832" s="16">
        <f>440.23/(1+B2)</f>
        <v>440.23</v>
      </c>
      <c r="D9832" s="17" t="s">
        <v>11</v>
      </c>
      <c r="E9832" s="17"/>
      <c r="F9832" s="18"/>
      <c r="G9832" s="36" t="str">
        <f>IF(ISNUMBER(F9832),C9832*F9832,"")</f>
        <v/>
      </c>
    </row>
    <row r="9833" spans="1:7" s="1" customFormat="1" ht="15.95" customHeight="1" outlineLevel="1" x14ac:dyDescent="0.25">
      <c r="A9833" s="11"/>
      <c r="B9833" s="12" t="s">
        <v>19343</v>
      </c>
      <c r="C9833" s="13"/>
      <c r="D9833" s="13"/>
      <c r="E9833" s="13"/>
      <c r="F9833" s="13"/>
      <c r="G9833" s="35"/>
    </row>
    <row r="9834" spans="1:7" ht="12" customHeight="1" outlineLevel="2" x14ac:dyDescent="0.2">
      <c r="A9834" s="14" t="s">
        <v>19344</v>
      </c>
      <c r="B9834" s="15" t="s">
        <v>19345</v>
      </c>
      <c r="C9834" s="16">
        <f>322.74/(1+B2)</f>
        <v>322.74</v>
      </c>
      <c r="D9834" s="17" t="s">
        <v>11</v>
      </c>
      <c r="E9834" s="17" t="s">
        <v>11</v>
      </c>
      <c r="F9834" s="18"/>
      <c r="G9834" s="36" t="str">
        <f>IF(ISNUMBER(F9834),C9834*F9834,"")</f>
        <v/>
      </c>
    </row>
    <row r="9835" spans="1:7" ht="12" customHeight="1" outlineLevel="2" x14ac:dyDescent="0.2">
      <c r="A9835" s="14" t="s">
        <v>19346</v>
      </c>
      <c r="B9835" s="15" t="s">
        <v>19347</v>
      </c>
      <c r="C9835" s="16">
        <f>322.74/(1+B2)</f>
        <v>322.74</v>
      </c>
      <c r="D9835" s="17"/>
      <c r="E9835" s="17" t="s">
        <v>11</v>
      </c>
      <c r="F9835" s="18"/>
      <c r="G9835" s="36" t="str">
        <f>IF(ISNUMBER(F9835),C9835*F9835,"")</f>
        <v/>
      </c>
    </row>
    <row r="9836" spans="1:7" ht="12" customHeight="1" outlineLevel="2" x14ac:dyDescent="0.2">
      <c r="A9836" s="14" t="s">
        <v>19348</v>
      </c>
      <c r="B9836" s="15" t="s">
        <v>19349</v>
      </c>
      <c r="C9836" s="16">
        <f>767.47/(1+B2)</f>
        <v>767.47</v>
      </c>
      <c r="D9836" s="17" t="s">
        <v>11</v>
      </c>
      <c r="E9836" s="17"/>
      <c r="F9836" s="18"/>
      <c r="G9836" s="36" t="str">
        <f>IF(ISNUMBER(F9836),C9836*F9836,"")</f>
        <v/>
      </c>
    </row>
    <row r="9837" spans="1:7" ht="12" customHeight="1" outlineLevel="2" x14ac:dyDescent="0.2">
      <c r="A9837" s="14" t="s">
        <v>19350</v>
      </c>
      <c r="B9837" s="15" t="s">
        <v>19351</v>
      </c>
      <c r="C9837" s="16">
        <f>803.22/(1+B2)</f>
        <v>803.22</v>
      </c>
      <c r="D9837" s="17" t="s">
        <v>11</v>
      </c>
      <c r="E9837" s="17"/>
      <c r="F9837" s="18"/>
      <c r="G9837" s="36" t="str">
        <f>IF(ISNUMBER(F9837),C9837*F9837,"")</f>
        <v/>
      </c>
    </row>
    <row r="9838" spans="1:7" ht="12" customHeight="1" outlineLevel="2" x14ac:dyDescent="0.2">
      <c r="A9838" s="14" t="s">
        <v>19352</v>
      </c>
      <c r="B9838" s="15" t="s">
        <v>19353</v>
      </c>
      <c r="C9838" s="16">
        <f>803.22/(1+B2)</f>
        <v>803.22</v>
      </c>
      <c r="D9838" s="17" t="s">
        <v>11</v>
      </c>
      <c r="E9838" s="17"/>
      <c r="F9838" s="18"/>
      <c r="G9838" s="36" t="str">
        <f>IF(ISNUMBER(F9838),C9838*F9838,"")</f>
        <v/>
      </c>
    </row>
    <row r="9839" spans="1:7" ht="12" customHeight="1" outlineLevel="2" x14ac:dyDescent="0.2">
      <c r="A9839" s="14" t="s">
        <v>19354</v>
      </c>
      <c r="B9839" s="15" t="s">
        <v>19355</v>
      </c>
      <c r="C9839" s="16">
        <f>520.76/(1+B2)</f>
        <v>520.76</v>
      </c>
      <c r="D9839" s="17" t="s">
        <v>11</v>
      </c>
      <c r="E9839" s="17"/>
      <c r="F9839" s="18"/>
      <c r="G9839" s="36" t="str">
        <f>IF(ISNUMBER(F9839),C9839*F9839,"")</f>
        <v/>
      </c>
    </row>
    <row r="9840" spans="1:7" ht="12" customHeight="1" outlineLevel="2" x14ac:dyDescent="0.2">
      <c r="A9840" s="14" t="s">
        <v>19356</v>
      </c>
      <c r="B9840" s="15" t="s">
        <v>19357</v>
      </c>
      <c r="C9840" s="19">
        <f>1720.93/(1+B2)</f>
        <v>1720.93</v>
      </c>
      <c r="D9840" s="17" t="s">
        <v>11</v>
      </c>
      <c r="E9840" s="17" t="s">
        <v>11</v>
      </c>
      <c r="F9840" s="18"/>
      <c r="G9840" s="36" t="str">
        <f>IF(ISNUMBER(F9840),C9840*F9840,"")</f>
        <v/>
      </c>
    </row>
    <row r="9841" spans="1:7" ht="12" customHeight="1" outlineLevel="2" x14ac:dyDescent="0.2">
      <c r="A9841" s="14" t="s">
        <v>19358</v>
      </c>
      <c r="B9841" s="15" t="s">
        <v>19359</v>
      </c>
      <c r="C9841" s="19">
        <f>1090.35/(1+B2)</f>
        <v>1090.3499999999999</v>
      </c>
      <c r="D9841" s="17" t="s">
        <v>11</v>
      </c>
      <c r="E9841" s="17"/>
      <c r="F9841" s="18"/>
      <c r="G9841" s="36" t="str">
        <f>IF(ISNUMBER(F9841),C9841*F9841,"")</f>
        <v/>
      </c>
    </row>
    <row r="9842" spans="1:7" ht="12" customHeight="1" outlineLevel="2" x14ac:dyDescent="0.2">
      <c r="A9842" s="14" t="s">
        <v>19360</v>
      </c>
      <c r="B9842" s="15" t="s">
        <v>19361</v>
      </c>
      <c r="C9842" s="16">
        <f>322.08/(1+B2)</f>
        <v>322.08</v>
      </c>
      <c r="D9842" s="17" t="s">
        <v>11</v>
      </c>
      <c r="E9842" s="17" t="s">
        <v>11</v>
      </c>
      <c r="F9842" s="18"/>
      <c r="G9842" s="36" t="str">
        <f>IF(ISNUMBER(F9842),C9842*F9842,"")</f>
        <v/>
      </c>
    </row>
    <row r="9843" spans="1:7" ht="12" customHeight="1" outlineLevel="2" x14ac:dyDescent="0.2">
      <c r="A9843" s="14" t="s">
        <v>19362</v>
      </c>
      <c r="B9843" s="15" t="s">
        <v>19363</v>
      </c>
      <c r="C9843" s="16">
        <f>322.08/(1+B2)</f>
        <v>322.08</v>
      </c>
      <c r="D9843" s="17" t="s">
        <v>11</v>
      </c>
      <c r="E9843" s="17" t="s">
        <v>11</v>
      </c>
      <c r="F9843" s="18"/>
      <c r="G9843" s="36" t="str">
        <f>IF(ISNUMBER(F9843),C9843*F9843,"")</f>
        <v/>
      </c>
    </row>
    <row r="9844" spans="1:7" s="1" customFormat="1" ht="15.95" customHeight="1" outlineLevel="1" x14ac:dyDescent="0.25">
      <c r="A9844" s="11"/>
      <c r="B9844" s="12" t="s">
        <v>19364</v>
      </c>
      <c r="C9844" s="13"/>
      <c r="D9844" s="13"/>
      <c r="E9844" s="13"/>
      <c r="F9844" s="13"/>
      <c r="G9844" s="35"/>
    </row>
    <row r="9845" spans="1:7" ht="12" customHeight="1" outlineLevel="2" x14ac:dyDescent="0.2">
      <c r="A9845" s="14" t="s">
        <v>19365</v>
      </c>
      <c r="B9845" s="15" t="s">
        <v>19366</v>
      </c>
      <c r="C9845" s="16">
        <f>363.3/(1+B2)</f>
        <v>363.3</v>
      </c>
      <c r="D9845" s="17" t="s">
        <v>11</v>
      </c>
      <c r="E9845" s="17"/>
      <c r="F9845" s="18"/>
      <c r="G9845" s="36" t="str">
        <f>IF(ISNUMBER(F9845),C9845*F9845,"")</f>
        <v/>
      </c>
    </row>
    <row r="9846" spans="1:7" ht="12" customHeight="1" outlineLevel="2" x14ac:dyDescent="0.2">
      <c r="A9846" s="14" t="s">
        <v>19367</v>
      </c>
      <c r="B9846" s="15" t="s">
        <v>19368</v>
      </c>
      <c r="C9846" s="16">
        <f>472.09/(1+B2)</f>
        <v>472.09</v>
      </c>
      <c r="D9846" s="17" t="s">
        <v>11</v>
      </c>
      <c r="E9846" s="17" t="s">
        <v>11</v>
      </c>
      <c r="F9846" s="18"/>
      <c r="G9846" s="36" t="str">
        <f>IF(ISNUMBER(F9846),C9846*F9846,"")</f>
        <v/>
      </c>
    </row>
    <row r="9847" spans="1:7" ht="12" customHeight="1" outlineLevel="2" x14ac:dyDescent="0.2">
      <c r="A9847" s="14" t="s">
        <v>19369</v>
      </c>
      <c r="B9847" s="15" t="s">
        <v>19370</v>
      </c>
      <c r="C9847" s="16">
        <f>316.13/(1+B2)</f>
        <v>316.13</v>
      </c>
      <c r="D9847" s="17" t="s">
        <v>11</v>
      </c>
      <c r="E9847" s="17"/>
      <c r="F9847" s="18"/>
      <c r="G9847" s="36" t="str">
        <f>IF(ISNUMBER(F9847),C9847*F9847,"")</f>
        <v/>
      </c>
    </row>
    <row r="9848" spans="1:7" ht="24" customHeight="1" outlineLevel="2" x14ac:dyDescent="0.2">
      <c r="A9848" s="14" t="s">
        <v>19371</v>
      </c>
      <c r="B9848" s="15" t="s">
        <v>19372</v>
      </c>
      <c r="C9848" s="16">
        <f>412.26/(1+B2)</f>
        <v>412.26</v>
      </c>
      <c r="D9848" s="17" t="s">
        <v>11</v>
      </c>
      <c r="E9848" s="17" t="s">
        <v>11</v>
      </c>
      <c r="F9848" s="18"/>
      <c r="G9848" s="36" t="str">
        <f>IF(ISNUMBER(F9848),C9848*F9848,"")</f>
        <v/>
      </c>
    </row>
    <row r="9849" spans="1:7" ht="12" customHeight="1" outlineLevel="2" x14ac:dyDescent="0.2">
      <c r="A9849" s="14" t="s">
        <v>19373</v>
      </c>
      <c r="B9849" s="15" t="s">
        <v>19374</v>
      </c>
      <c r="C9849" s="16">
        <f>504.96/(1+B2)</f>
        <v>504.96</v>
      </c>
      <c r="D9849" s="17" t="s">
        <v>11</v>
      </c>
      <c r="E9849" s="17" t="s">
        <v>11</v>
      </c>
      <c r="F9849" s="18"/>
      <c r="G9849" s="36" t="str">
        <f>IF(ISNUMBER(F9849),C9849*F9849,"")</f>
        <v/>
      </c>
    </row>
    <row r="9850" spans="1:7" ht="12" customHeight="1" outlineLevel="2" x14ac:dyDescent="0.2">
      <c r="A9850" s="14" t="s">
        <v>19375</v>
      </c>
      <c r="B9850" s="15" t="s">
        <v>19376</v>
      </c>
      <c r="C9850" s="16">
        <f>746.28/(1+B2)</f>
        <v>746.28</v>
      </c>
      <c r="D9850" s="17" t="s">
        <v>11</v>
      </c>
      <c r="E9850" s="17"/>
      <c r="F9850" s="18"/>
      <c r="G9850" s="36" t="str">
        <f>IF(ISNUMBER(F9850),C9850*F9850,"")</f>
        <v/>
      </c>
    </row>
    <row r="9851" spans="1:7" ht="12" customHeight="1" outlineLevel="2" x14ac:dyDescent="0.2">
      <c r="A9851" s="14" t="s">
        <v>19377</v>
      </c>
      <c r="B9851" s="15" t="s">
        <v>19378</v>
      </c>
      <c r="C9851" s="16">
        <f>872.4/(1+B2)</f>
        <v>872.4</v>
      </c>
      <c r="D9851" s="17" t="s">
        <v>11</v>
      </c>
      <c r="E9851" s="17"/>
      <c r="F9851" s="18"/>
      <c r="G9851" s="36" t="str">
        <f>IF(ISNUMBER(F9851),C9851*F9851,"")</f>
        <v/>
      </c>
    </row>
    <row r="9852" spans="1:7" ht="12" customHeight="1" outlineLevel="2" x14ac:dyDescent="0.2">
      <c r="A9852" s="14" t="s">
        <v>19379</v>
      </c>
      <c r="B9852" s="15" t="s">
        <v>19380</v>
      </c>
      <c r="C9852" s="19">
        <f>1154.05/(1+B2)</f>
        <v>1154.05</v>
      </c>
      <c r="D9852" s="17" t="s">
        <v>11</v>
      </c>
      <c r="E9852" s="17" t="s">
        <v>11</v>
      </c>
      <c r="F9852" s="18"/>
      <c r="G9852" s="36" t="str">
        <f>IF(ISNUMBER(F9852),C9852*F9852,"")</f>
        <v/>
      </c>
    </row>
    <row r="9853" spans="1:7" ht="12" customHeight="1" outlineLevel="2" x14ac:dyDescent="0.2">
      <c r="A9853" s="14" t="s">
        <v>19381</v>
      </c>
      <c r="B9853" s="15" t="s">
        <v>19382</v>
      </c>
      <c r="C9853" s="16">
        <f>792.08/(1+B2)</f>
        <v>792.08</v>
      </c>
      <c r="D9853" s="17" t="s">
        <v>11</v>
      </c>
      <c r="E9853" s="17" t="s">
        <v>11</v>
      </c>
      <c r="F9853" s="18"/>
      <c r="G9853" s="36" t="str">
        <f>IF(ISNUMBER(F9853),C9853*F9853,"")</f>
        <v/>
      </c>
    </row>
    <row r="9854" spans="1:7" s="1" customFormat="1" ht="15.95" customHeight="1" outlineLevel="1" x14ac:dyDescent="0.25">
      <c r="A9854" s="11"/>
      <c r="B9854" s="12" t="s">
        <v>19383</v>
      </c>
      <c r="C9854" s="13"/>
      <c r="D9854" s="13"/>
      <c r="E9854" s="13"/>
      <c r="F9854" s="13"/>
      <c r="G9854" s="35"/>
    </row>
    <row r="9855" spans="1:7" ht="12" customHeight="1" outlineLevel="2" x14ac:dyDescent="0.2">
      <c r="A9855" s="14" t="s">
        <v>19384</v>
      </c>
      <c r="B9855" s="15" t="s">
        <v>19385</v>
      </c>
      <c r="C9855" s="16">
        <f>88.84/(1+B2)</f>
        <v>88.84</v>
      </c>
      <c r="D9855" s="17" t="s">
        <v>11</v>
      </c>
      <c r="E9855" s="17"/>
      <c r="F9855" s="18"/>
      <c r="G9855" s="36" t="str">
        <f>IF(ISNUMBER(F9855),C9855*F9855,"")</f>
        <v/>
      </c>
    </row>
    <row r="9856" spans="1:7" ht="24" customHeight="1" outlineLevel="2" x14ac:dyDescent="0.2">
      <c r="A9856" s="14" t="s">
        <v>19386</v>
      </c>
      <c r="B9856" s="15" t="s">
        <v>19387</v>
      </c>
      <c r="C9856" s="16">
        <f>262.64/(1+B2)</f>
        <v>262.64</v>
      </c>
      <c r="D9856" s="17" t="s">
        <v>11</v>
      </c>
      <c r="E9856" s="17"/>
      <c r="F9856" s="18"/>
      <c r="G9856" s="36" t="str">
        <f>IF(ISNUMBER(F9856),C9856*F9856,"")</f>
        <v/>
      </c>
    </row>
    <row r="9857" spans="1:7" ht="12" customHeight="1" outlineLevel="2" x14ac:dyDescent="0.2">
      <c r="A9857" s="14" t="s">
        <v>19388</v>
      </c>
      <c r="B9857" s="15" t="s">
        <v>19389</v>
      </c>
      <c r="C9857" s="16">
        <f>108.48/(1+B2)</f>
        <v>108.48</v>
      </c>
      <c r="D9857" s="17" t="s">
        <v>11</v>
      </c>
      <c r="E9857" s="17"/>
      <c r="F9857" s="18"/>
      <c r="G9857" s="36" t="str">
        <f>IF(ISNUMBER(F9857),C9857*F9857,"")</f>
        <v/>
      </c>
    </row>
    <row r="9858" spans="1:7" ht="12" customHeight="1" outlineLevel="2" x14ac:dyDescent="0.2">
      <c r="A9858" s="14" t="s">
        <v>19390</v>
      </c>
      <c r="B9858" s="15" t="s">
        <v>19391</v>
      </c>
      <c r="C9858" s="16">
        <f>239.81/(1+B2)</f>
        <v>239.81</v>
      </c>
      <c r="D9858" s="17" t="s">
        <v>11</v>
      </c>
      <c r="E9858" s="17"/>
      <c r="F9858" s="18"/>
      <c r="G9858" s="36" t="str">
        <f>IF(ISNUMBER(F9858),C9858*F9858,"")</f>
        <v/>
      </c>
    </row>
    <row r="9859" spans="1:7" ht="12" customHeight="1" outlineLevel="2" x14ac:dyDescent="0.2">
      <c r="A9859" s="14" t="s">
        <v>19392</v>
      </c>
      <c r="B9859" s="15" t="s">
        <v>19393</v>
      </c>
      <c r="C9859" s="16">
        <f>186.13/(1+B2)</f>
        <v>186.13</v>
      </c>
      <c r="D9859" s="17" t="s">
        <v>11</v>
      </c>
      <c r="E9859" s="17" t="s">
        <v>11</v>
      </c>
      <c r="F9859" s="18"/>
      <c r="G9859" s="36" t="str">
        <f>IF(ISNUMBER(F9859),C9859*F9859,"")</f>
        <v/>
      </c>
    </row>
    <row r="9860" spans="1:7" ht="12" customHeight="1" outlineLevel="2" x14ac:dyDescent="0.2">
      <c r="A9860" s="14" t="s">
        <v>19394</v>
      </c>
      <c r="B9860" s="15" t="s">
        <v>19395</v>
      </c>
      <c r="C9860" s="16">
        <f>154.16/(1+B2)</f>
        <v>154.16</v>
      </c>
      <c r="D9860" s="17" t="s">
        <v>11</v>
      </c>
      <c r="E9860" s="17"/>
      <c r="F9860" s="18"/>
      <c r="G9860" s="36" t="str">
        <f>IF(ISNUMBER(F9860),C9860*F9860,"")</f>
        <v/>
      </c>
    </row>
    <row r="9861" spans="1:7" ht="12" customHeight="1" outlineLevel="2" x14ac:dyDescent="0.2">
      <c r="A9861" s="14" t="s">
        <v>19396</v>
      </c>
      <c r="B9861" s="15" t="s">
        <v>19397</v>
      </c>
      <c r="C9861" s="16">
        <f>205.55/(1+B2)</f>
        <v>205.55</v>
      </c>
      <c r="D9861" s="17" t="s">
        <v>11</v>
      </c>
      <c r="E9861" s="17"/>
      <c r="F9861" s="18"/>
      <c r="G9861" s="36" t="str">
        <f>IF(ISNUMBER(F9861),C9861*F9861,"")</f>
        <v/>
      </c>
    </row>
    <row r="9862" spans="1:7" ht="12" customHeight="1" outlineLevel="2" x14ac:dyDescent="0.2">
      <c r="A9862" s="14" t="s">
        <v>19398</v>
      </c>
      <c r="B9862" s="15" t="s">
        <v>19399</v>
      </c>
      <c r="C9862" s="16">
        <f>192.98/(1+B2)</f>
        <v>192.98</v>
      </c>
      <c r="D9862" s="17" t="s">
        <v>11</v>
      </c>
      <c r="E9862" s="17"/>
      <c r="F9862" s="18"/>
      <c r="G9862" s="36" t="str">
        <f>IF(ISNUMBER(F9862),C9862*F9862,"")</f>
        <v/>
      </c>
    </row>
    <row r="9863" spans="1:7" ht="24" customHeight="1" outlineLevel="2" x14ac:dyDescent="0.2">
      <c r="A9863" s="14" t="s">
        <v>19400</v>
      </c>
      <c r="B9863" s="15" t="s">
        <v>19401</v>
      </c>
      <c r="C9863" s="16">
        <f>251.22/(1+B2)</f>
        <v>251.22</v>
      </c>
      <c r="D9863" s="17" t="s">
        <v>11</v>
      </c>
      <c r="E9863" s="17"/>
      <c r="F9863" s="18"/>
      <c r="G9863" s="36" t="str">
        <f>IF(ISNUMBER(F9863),C9863*F9863,"")</f>
        <v/>
      </c>
    </row>
    <row r="9864" spans="1:7" ht="12" customHeight="1" outlineLevel="2" x14ac:dyDescent="0.2">
      <c r="A9864" s="14" t="s">
        <v>19402</v>
      </c>
      <c r="B9864" s="15" t="s">
        <v>19403</v>
      </c>
      <c r="C9864" s="16">
        <f>194.12/(1+B2)</f>
        <v>194.12</v>
      </c>
      <c r="D9864" s="17" t="s">
        <v>11</v>
      </c>
      <c r="E9864" s="17"/>
      <c r="F9864" s="18"/>
      <c r="G9864" s="36" t="str">
        <f>IF(ISNUMBER(F9864),C9864*F9864,"")</f>
        <v/>
      </c>
    </row>
    <row r="9865" spans="1:7" ht="12" customHeight="1" outlineLevel="2" x14ac:dyDescent="0.2">
      <c r="A9865" s="14" t="s">
        <v>19404</v>
      </c>
      <c r="B9865" s="15" t="s">
        <v>19405</v>
      </c>
      <c r="C9865" s="16">
        <f>118.31/(1+B2)</f>
        <v>118.31</v>
      </c>
      <c r="D9865" s="17" t="s">
        <v>11</v>
      </c>
      <c r="E9865" s="17"/>
      <c r="F9865" s="18"/>
      <c r="G9865" s="36" t="str">
        <f>IF(ISNUMBER(F9865),C9865*F9865,"")</f>
        <v/>
      </c>
    </row>
    <row r="9866" spans="1:7" ht="12" customHeight="1" outlineLevel="2" x14ac:dyDescent="0.2">
      <c r="A9866" s="14" t="s">
        <v>19406</v>
      </c>
      <c r="B9866" s="15" t="s">
        <v>19407</v>
      </c>
      <c r="C9866" s="16">
        <f>156.15/(1+B2)</f>
        <v>156.15</v>
      </c>
      <c r="D9866" s="17" t="s">
        <v>11</v>
      </c>
      <c r="E9866" s="17"/>
      <c r="F9866" s="18"/>
      <c r="G9866" s="36" t="str">
        <f>IF(ISNUMBER(F9866),C9866*F9866,"")</f>
        <v/>
      </c>
    </row>
    <row r="9867" spans="1:7" ht="12" customHeight="1" outlineLevel="2" x14ac:dyDescent="0.2">
      <c r="A9867" s="14" t="s">
        <v>19408</v>
      </c>
      <c r="B9867" s="15" t="s">
        <v>19409</v>
      </c>
      <c r="C9867" s="16">
        <f>59.27/(1+B2)</f>
        <v>59.27</v>
      </c>
      <c r="D9867" s="17" t="s">
        <v>11</v>
      </c>
      <c r="E9867" s="17"/>
      <c r="F9867" s="18"/>
      <c r="G9867" s="36" t="str">
        <f>IF(ISNUMBER(F9867),C9867*F9867,"")</f>
        <v/>
      </c>
    </row>
    <row r="9868" spans="1:7" ht="12" customHeight="1" outlineLevel="2" x14ac:dyDescent="0.2">
      <c r="A9868" s="14" t="s">
        <v>19410</v>
      </c>
      <c r="B9868" s="15" t="s">
        <v>19411</v>
      </c>
      <c r="C9868" s="16">
        <f>31.09/(1+B2)</f>
        <v>31.09</v>
      </c>
      <c r="D9868" s="17" t="s">
        <v>11</v>
      </c>
      <c r="E9868" s="17"/>
      <c r="F9868" s="18"/>
      <c r="G9868" s="36" t="str">
        <f>IF(ISNUMBER(F9868),C9868*F9868,"")</f>
        <v/>
      </c>
    </row>
    <row r="9869" spans="1:7" ht="24" customHeight="1" outlineLevel="2" x14ac:dyDescent="0.2">
      <c r="A9869" s="14" t="s">
        <v>19412</v>
      </c>
      <c r="B9869" s="15" t="s">
        <v>19413</v>
      </c>
      <c r="C9869" s="16">
        <f>12.8/(1+B2)</f>
        <v>12.8</v>
      </c>
      <c r="D9869" s="17" t="s">
        <v>14</v>
      </c>
      <c r="E9869" s="17"/>
      <c r="F9869" s="18"/>
      <c r="G9869" s="36" t="str">
        <f>IF(ISNUMBER(F9869),C9869*F9869,"")</f>
        <v/>
      </c>
    </row>
    <row r="9870" spans="1:7" ht="12" customHeight="1" outlineLevel="2" x14ac:dyDescent="0.2">
      <c r="A9870" s="14" t="s">
        <v>19414</v>
      </c>
      <c r="B9870" s="15" t="s">
        <v>19415</v>
      </c>
      <c r="C9870" s="16">
        <f>52.7/(1+B2)</f>
        <v>52.7</v>
      </c>
      <c r="D9870" s="17" t="s">
        <v>11</v>
      </c>
      <c r="E9870" s="17"/>
      <c r="F9870" s="18"/>
      <c r="G9870" s="36" t="str">
        <f>IF(ISNUMBER(F9870),C9870*F9870,"")</f>
        <v/>
      </c>
    </row>
    <row r="9871" spans="1:7" ht="12" customHeight="1" outlineLevel="2" x14ac:dyDescent="0.2">
      <c r="A9871" s="14" t="s">
        <v>19416</v>
      </c>
      <c r="B9871" s="15" t="s">
        <v>19417</v>
      </c>
      <c r="C9871" s="16">
        <f>62.76/(1+B2)</f>
        <v>62.76</v>
      </c>
      <c r="D9871" s="17" t="s">
        <v>11</v>
      </c>
      <c r="E9871" s="17"/>
      <c r="F9871" s="18"/>
      <c r="G9871" s="36" t="str">
        <f>IF(ISNUMBER(F9871),C9871*F9871,"")</f>
        <v/>
      </c>
    </row>
    <row r="9872" spans="1:7" ht="12" customHeight="1" outlineLevel="2" x14ac:dyDescent="0.2">
      <c r="A9872" s="14" t="s">
        <v>19418</v>
      </c>
      <c r="B9872" s="15" t="s">
        <v>19419</v>
      </c>
      <c r="C9872" s="16">
        <f>154.98/(1+B2)</f>
        <v>154.97999999999999</v>
      </c>
      <c r="D9872" s="17" t="s">
        <v>11</v>
      </c>
      <c r="E9872" s="17"/>
      <c r="F9872" s="18"/>
      <c r="G9872" s="36" t="str">
        <f>IF(ISNUMBER(F9872),C9872*F9872,"")</f>
        <v/>
      </c>
    </row>
    <row r="9873" spans="1:7" ht="12" customHeight="1" outlineLevel="2" x14ac:dyDescent="0.2">
      <c r="A9873" s="14" t="s">
        <v>19420</v>
      </c>
      <c r="B9873" s="15" t="s">
        <v>19421</v>
      </c>
      <c r="C9873" s="16">
        <f>76.92/(1+B2)</f>
        <v>76.92</v>
      </c>
      <c r="D9873" s="17" t="s">
        <v>11</v>
      </c>
      <c r="E9873" s="17"/>
      <c r="F9873" s="18"/>
      <c r="G9873" s="36" t="str">
        <f>IF(ISNUMBER(F9873),C9873*F9873,"")</f>
        <v/>
      </c>
    </row>
    <row r="9874" spans="1:7" ht="12" customHeight="1" outlineLevel="2" x14ac:dyDescent="0.2">
      <c r="A9874" s="14" t="s">
        <v>19422</v>
      </c>
      <c r="B9874" s="15" t="s">
        <v>19423</v>
      </c>
      <c r="C9874" s="16">
        <f>64.61/(1+B2)</f>
        <v>64.61</v>
      </c>
      <c r="D9874" s="17" t="s">
        <v>11</v>
      </c>
      <c r="E9874" s="17"/>
      <c r="F9874" s="18"/>
      <c r="G9874" s="36" t="str">
        <f>IF(ISNUMBER(F9874),C9874*F9874,"")</f>
        <v/>
      </c>
    </row>
    <row r="9875" spans="1:7" ht="12" customHeight="1" outlineLevel="2" x14ac:dyDescent="0.2">
      <c r="A9875" s="14" t="s">
        <v>19424</v>
      </c>
      <c r="B9875" s="15" t="s">
        <v>19425</v>
      </c>
      <c r="C9875" s="16">
        <f>113.68/(1+B2)</f>
        <v>113.68</v>
      </c>
      <c r="D9875" s="17" t="s">
        <v>11</v>
      </c>
      <c r="E9875" s="17" t="s">
        <v>11</v>
      </c>
      <c r="F9875" s="18"/>
      <c r="G9875" s="36" t="str">
        <f>IF(ISNUMBER(F9875),C9875*F9875,"")</f>
        <v/>
      </c>
    </row>
    <row r="9876" spans="1:7" ht="12" customHeight="1" outlineLevel="2" x14ac:dyDescent="0.2">
      <c r="A9876" s="14" t="s">
        <v>19426</v>
      </c>
      <c r="B9876" s="15" t="s">
        <v>19427</v>
      </c>
      <c r="C9876" s="16">
        <f>253.85/(1+B2)</f>
        <v>253.85</v>
      </c>
      <c r="D9876" s="17" t="s">
        <v>11</v>
      </c>
      <c r="E9876" s="17"/>
      <c r="F9876" s="18"/>
      <c r="G9876" s="36" t="str">
        <f>IF(ISNUMBER(F9876),C9876*F9876,"")</f>
        <v/>
      </c>
    </row>
    <row r="9877" spans="1:7" ht="12" customHeight="1" outlineLevel="2" x14ac:dyDescent="0.2">
      <c r="A9877" s="14" t="s">
        <v>19428</v>
      </c>
      <c r="B9877" s="15" t="s">
        <v>19429</v>
      </c>
      <c r="C9877" s="16">
        <f>106.43/(1+B2)</f>
        <v>106.43</v>
      </c>
      <c r="D9877" s="17" t="s">
        <v>11</v>
      </c>
      <c r="E9877" s="17" t="s">
        <v>11</v>
      </c>
      <c r="F9877" s="18"/>
      <c r="G9877" s="36" t="str">
        <f>IF(ISNUMBER(F9877),C9877*F9877,"")</f>
        <v/>
      </c>
    </row>
    <row r="9878" spans="1:7" ht="12" customHeight="1" outlineLevel="2" x14ac:dyDescent="0.2">
      <c r="A9878" s="14" t="s">
        <v>19430</v>
      </c>
      <c r="B9878" s="15" t="s">
        <v>19431</v>
      </c>
      <c r="C9878" s="16">
        <f>269.23/(1+B2)</f>
        <v>269.23</v>
      </c>
      <c r="D9878" s="17" t="s">
        <v>11</v>
      </c>
      <c r="E9878" s="17"/>
      <c r="F9878" s="18"/>
      <c r="G9878" s="36" t="str">
        <f>IF(ISNUMBER(F9878),C9878*F9878,"")</f>
        <v/>
      </c>
    </row>
    <row r="9879" spans="1:7" ht="12" customHeight="1" outlineLevel="2" x14ac:dyDescent="0.2">
      <c r="A9879" s="14" t="s">
        <v>19432</v>
      </c>
      <c r="B9879" s="15" t="s">
        <v>19433</v>
      </c>
      <c r="C9879" s="16">
        <f>82.47/(1+B2)</f>
        <v>82.47</v>
      </c>
      <c r="D9879" s="17" t="s">
        <v>11</v>
      </c>
      <c r="E9879" s="17"/>
      <c r="F9879" s="18"/>
      <c r="G9879" s="36" t="str">
        <f>IF(ISNUMBER(F9879),C9879*F9879,"")</f>
        <v/>
      </c>
    </row>
    <row r="9880" spans="1:7" ht="12" customHeight="1" outlineLevel="2" x14ac:dyDescent="0.2">
      <c r="A9880" s="14" t="s">
        <v>19434</v>
      </c>
      <c r="B9880" s="15" t="s">
        <v>19435</v>
      </c>
      <c r="C9880" s="16">
        <f>170.13/(1+B2)</f>
        <v>170.13</v>
      </c>
      <c r="D9880" s="17" t="s">
        <v>11</v>
      </c>
      <c r="E9880" s="17"/>
      <c r="F9880" s="18"/>
      <c r="G9880" s="36" t="str">
        <f>IF(ISNUMBER(F9880),C9880*F9880,"")</f>
        <v/>
      </c>
    </row>
    <row r="9881" spans="1:7" ht="24" customHeight="1" outlineLevel="2" x14ac:dyDescent="0.2">
      <c r="A9881" s="14" t="s">
        <v>19436</v>
      </c>
      <c r="B9881" s="15" t="s">
        <v>19437</v>
      </c>
      <c r="C9881" s="16">
        <f>150.56/(1+B2)</f>
        <v>150.56</v>
      </c>
      <c r="D9881" s="17" t="s">
        <v>11</v>
      </c>
      <c r="E9881" s="17"/>
      <c r="F9881" s="18"/>
      <c r="G9881" s="36" t="str">
        <f>IF(ISNUMBER(F9881),C9881*F9881,"")</f>
        <v/>
      </c>
    </row>
    <row r="9882" spans="1:7" ht="12" customHeight="1" outlineLevel="2" x14ac:dyDescent="0.2">
      <c r="A9882" s="14" t="s">
        <v>19438</v>
      </c>
      <c r="B9882" s="15" t="s">
        <v>19439</v>
      </c>
      <c r="C9882" s="16">
        <f>186.15/(1+B2)</f>
        <v>186.15</v>
      </c>
      <c r="D9882" s="17" t="s">
        <v>11</v>
      </c>
      <c r="E9882" s="17"/>
      <c r="F9882" s="18"/>
      <c r="G9882" s="36" t="str">
        <f>IF(ISNUMBER(F9882),C9882*F9882,"")</f>
        <v/>
      </c>
    </row>
    <row r="9883" spans="1:7" ht="12" customHeight="1" outlineLevel="2" x14ac:dyDescent="0.2">
      <c r="A9883" s="14" t="s">
        <v>19440</v>
      </c>
      <c r="B9883" s="15" t="s">
        <v>19441</v>
      </c>
      <c r="C9883" s="16">
        <f>300/(1+B2)</f>
        <v>300</v>
      </c>
      <c r="D9883" s="17" t="s">
        <v>11</v>
      </c>
      <c r="E9883" s="17"/>
      <c r="F9883" s="18"/>
      <c r="G9883" s="36" t="str">
        <f>IF(ISNUMBER(F9883),C9883*F9883,"")</f>
        <v/>
      </c>
    </row>
    <row r="9884" spans="1:7" ht="12" customHeight="1" outlineLevel="2" x14ac:dyDescent="0.2">
      <c r="A9884" s="14" t="s">
        <v>19442</v>
      </c>
      <c r="B9884" s="15" t="s">
        <v>19443</v>
      </c>
      <c r="C9884" s="16">
        <f>82.5/(1+B2)</f>
        <v>82.5</v>
      </c>
      <c r="D9884" s="17" t="s">
        <v>11</v>
      </c>
      <c r="E9884" s="17"/>
      <c r="F9884" s="18"/>
      <c r="G9884" s="36" t="str">
        <f>IF(ISNUMBER(F9884),C9884*F9884,"")</f>
        <v/>
      </c>
    </row>
    <row r="9885" spans="1:7" ht="12" customHeight="1" outlineLevel="2" x14ac:dyDescent="0.2">
      <c r="A9885" s="14" t="s">
        <v>19444</v>
      </c>
      <c r="B9885" s="15" t="s">
        <v>19445</v>
      </c>
      <c r="C9885" s="16">
        <f>111.22/(1+B2)</f>
        <v>111.22</v>
      </c>
      <c r="D9885" s="17" t="s">
        <v>11</v>
      </c>
      <c r="E9885" s="17"/>
      <c r="F9885" s="18"/>
      <c r="G9885" s="36" t="str">
        <f>IF(ISNUMBER(F9885),C9885*F9885,"")</f>
        <v/>
      </c>
    </row>
    <row r="9886" spans="1:7" ht="12" customHeight="1" outlineLevel="2" x14ac:dyDescent="0.2">
      <c r="A9886" s="14" t="s">
        <v>19446</v>
      </c>
      <c r="B9886" s="15" t="s">
        <v>19447</v>
      </c>
      <c r="C9886" s="16">
        <f>104.36/(1+B2)</f>
        <v>104.36</v>
      </c>
      <c r="D9886" s="17" t="s">
        <v>11</v>
      </c>
      <c r="E9886" s="17"/>
      <c r="F9886" s="18"/>
      <c r="G9886" s="36" t="str">
        <f>IF(ISNUMBER(F9886),C9886*F9886,"")</f>
        <v/>
      </c>
    </row>
    <row r="9887" spans="1:7" s="1" customFormat="1" ht="15.95" customHeight="1" x14ac:dyDescent="0.25">
      <c r="A9887" s="8"/>
      <c r="B9887" s="9" t="s">
        <v>19448</v>
      </c>
      <c r="C9887" s="10"/>
      <c r="D9887" s="10"/>
      <c r="E9887" s="10"/>
      <c r="F9887" s="10"/>
      <c r="G9887" s="34"/>
    </row>
    <row r="9888" spans="1:7" s="1" customFormat="1" ht="15.95" customHeight="1" outlineLevel="1" x14ac:dyDescent="0.25">
      <c r="A9888" s="11"/>
      <c r="B9888" s="12" t="s">
        <v>19449</v>
      </c>
      <c r="C9888" s="13"/>
      <c r="D9888" s="13"/>
      <c r="E9888" s="13"/>
      <c r="F9888" s="13"/>
      <c r="G9888" s="35"/>
    </row>
    <row r="9889" spans="1:7" ht="12" customHeight="1" outlineLevel="2" x14ac:dyDescent="0.2">
      <c r="A9889" s="14" t="s">
        <v>19450</v>
      </c>
      <c r="B9889" s="15" t="s">
        <v>19451</v>
      </c>
      <c r="C9889" s="16">
        <f>59.07/(1+B2)</f>
        <v>59.07</v>
      </c>
      <c r="D9889" s="17" t="s">
        <v>11</v>
      </c>
      <c r="E9889" s="17" t="s">
        <v>106</v>
      </c>
      <c r="F9889" s="18"/>
      <c r="G9889" s="36" t="str">
        <f>IF(ISNUMBER(F9889),C9889*F9889,"")</f>
        <v/>
      </c>
    </row>
    <row r="9890" spans="1:7" ht="12" customHeight="1" outlineLevel="2" x14ac:dyDescent="0.2">
      <c r="A9890" s="14" t="s">
        <v>19452</v>
      </c>
      <c r="B9890" s="15" t="s">
        <v>19453</v>
      </c>
      <c r="C9890" s="16">
        <f>62.77/(1+B2)</f>
        <v>62.77</v>
      </c>
      <c r="D9890" s="17" t="s">
        <v>11</v>
      </c>
      <c r="E9890" s="17" t="s">
        <v>11</v>
      </c>
      <c r="F9890" s="18"/>
      <c r="G9890" s="36" t="str">
        <f>IF(ISNUMBER(F9890),C9890*F9890,"")</f>
        <v/>
      </c>
    </row>
    <row r="9891" spans="1:7" ht="12" customHeight="1" outlineLevel="2" x14ac:dyDescent="0.2">
      <c r="A9891" s="14" t="s">
        <v>19454</v>
      </c>
      <c r="B9891" s="15" t="s">
        <v>19455</v>
      </c>
      <c r="C9891" s="16">
        <f>48.74/(1+B2)</f>
        <v>48.74</v>
      </c>
      <c r="D9891" s="17" t="s">
        <v>11</v>
      </c>
      <c r="E9891" s="17" t="s">
        <v>106</v>
      </c>
      <c r="F9891" s="18"/>
      <c r="G9891" s="36" t="str">
        <f>IF(ISNUMBER(F9891),C9891*F9891,"")</f>
        <v/>
      </c>
    </row>
    <row r="9892" spans="1:7" ht="12" customHeight="1" outlineLevel="2" x14ac:dyDescent="0.2">
      <c r="A9892" s="14" t="s">
        <v>19456</v>
      </c>
      <c r="B9892" s="15" t="s">
        <v>19457</v>
      </c>
      <c r="C9892" s="16">
        <f>127.23/(1+B2)</f>
        <v>127.23</v>
      </c>
      <c r="D9892" s="17" t="s">
        <v>11</v>
      </c>
      <c r="E9892" s="17" t="s">
        <v>106</v>
      </c>
      <c r="F9892" s="18"/>
      <c r="G9892" s="36" t="str">
        <f>IF(ISNUMBER(F9892),C9892*F9892,"")</f>
        <v/>
      </c>
    </row>
    <row r="9893" spans="1:7" ht="12" customHeight="1" outlineLevel="2" x14ac:dyDescent="0.2">
      <c r="A9893" s="14" t="s">
        <v>19458</v>
      </c>
      <c r="B9893" s="15" t="s">
        <v>19459</v>
      </c>
      <c r="C9893" s="16">
        <f>78/(1+B2)</f>
        <v>78</v>
      </c>
      <c r="D9893" s="17" t="s">
        <v>11</v>
      </c>
      <c r="E9893" s="17" t="s">
        <v>106</v>
      </c>
      <c r="F9893" s="18"/>
      <c r="G9893" s="36" t="str">
        <f>IF(ISNUMBER(F9893),C9893*F9893,"")</f>
        <v/>
      </c>
    </row>
    <row r="9894" spans="1:7" ht="12" customHeight="1" outlineLevel="2" x14ac:dyDescent="0.2">
      <c r="A9894" s="14" t="s">
        <v>19460</v>
      </c>
      <c r="B9894" s="15" t="s">
        <v>19461</v>
      </c>
      <c r="C9894" s="16">
        <f>190.73/(1+B2)</f>
        <v>190.73</v>
      </c>
      <c r="D9894" s="17" t="s">
        <v>11</v>
      </c>
      <c r="E9894" s="17" t="s">
        <v>106</v>
      </c>
      <c r="F9894" s="18"/>
      <c r="G9894" s="36" t="str">
        <f>IF(ISNUMBER(F9894),C9894*F9894,"")</f>
        <v/>
      </c>
    </row>
    <row r="9895" spans="1:7" ht="12" customHeight="1" outlineLevel="2" x14ac:dyDescent="0.2">
      <c r="A9895" s="14" t="s">
        <v>19462</v>
      </c>
      <c r="B9895" s="15" t="s">
        <v>19463</v>
      </c>
      <c r="C9895" s="16">
        <f>169/(1+B2)</f>
        <v>169</v>
      </c>
      <c r="D9895" s="17" t="s">
        <v>11</v>
      </c>
      <c r="E9895" s="17" t="s">
        <v>106</v>
      </c>
      <c r="F9895" s="18"/>
      <c r="G9895" s="36" t="str">
        <f>IF(ISNUMBER(F9895),C9895*F9895,"")</f>
        <v/>
      </c>
    </row>
    <row r="9896" spans="1:7" ht="24" customHeight="1" outlineLevel="2" x14ac:dyDescent="0.2">
      <c r="A9896" s="14" t="s">
        <v>19464</v>
      </c>
      <c r="B9896" s="15" t="s">
        <v>19465</v>
      </c>
      <c r="C9896" s="16">
        <f>97.5/(1+B2)</f>
        <v>97.5</v>
      </c>
      <c r="D9896" s="17" t="s">
        <v>11</v>
      </c>
      <c r="E9896" s="17" t="s">
        <v>11</v>
      </c>
      <c r="F9896" s="18"/>
      <c r="G9896" s="36" t="str">
        <f>IF(ISNUMBER(F9896),C9896*F9896,"")</f>
        <v/>
      </c>
    </row>
    <row r="9897" spans="1:7" ht="24" customHeight="1" outlineLevel="2" x14ac:dyDescent="0.2">
      <c r="A9897" s="14" t="s">
        <v>19466</v>
      </c>
      <c r="B9897" s="15" t="s">
        <v>19467</v>
      </c>
      <c r="C9897" s="16">
        <f>188.5/(1+B2)</f>
        <v>188.5</v>
      </c>
      <c r="D9897" s="17" t="s">
        <v>11</v>
      </c>
      <c r="E9897" s="17"/>
      <c r="F9897" s="18"/>
      <c r="G9897" s="36" t="str">
        <f>IF(ISNUMBER(F9897),C9897*F9897,"")</f>
        <v/>
      </c>
    </row>
    <row r="9898" spans="1:7" ht="12" customHeight="1" outlineLevel="2" x14ac:dyDescent="0.2">
      <c r="A9898" s="14" t="s">
        <v>19468</v>
      </c>
      <c r="B9898" s="15" t="s">
        <v>19469</v>
      </c>
      <c r="C9898" s="16">
        <f>104/(1+B2)</f>
        <v>104</v>
      </c>
      <c r="D9898" s="17" t="s">
        <v>11</v>
      </c>
      <c r="E9898" s="17" t="s">
        <v>106</v>
      </c>
      <c r="F9898" s="18"/>
      <c r="G9898" s="36" t="str">
        <f>IF(ISNUMBER(F9898),C9898*F9898,"")</f>
        <v/>
      </c>
    </row>
    <row r="9899" spans="1:7" ht="12" customHeight="1" outlineLevel="2" x14ac:dyDescent="0.2">
      <c r="A9899" s="14" t="s">
        <v>19470</v>
      </c>
      <c r="B9899" s="15" t="s">
        <v>19471</v>
      </c>
      <c r="C9899" s="16">
        <f>143/(1+B2)</f>
        <v>143</v>
      </c>
      <c r="D9899" s="17" t="s">
        <v>11</v>
      </c>
      <c r="E9899" s="17" t="s">
        <v>106</v>
      </c>
      <c r="F9899" s="18"/>
      <c r="G9899" s="36" t="str">
        <f>IF(ISNUMBER(F9899),C9899*F9899,"")</f>
        <v/>
      </c>
    </row>
    <row r="9900" spans="1:7" ht="12" customHeight="1" outlineLevel="2" x14ac:dyDescent="0.2">
      <c r="A9900" s="14" t="s">
        <v>19472</v>
      </c>
      <c r="B9900" s="15" t="s">
        <v>19473</v>
      </c>
      <c r="C9900" s="16">
        <f>52.1/(1+B2)</f>
        <v>52.1</v>
      </c>
      <c r="D9900" s="17" t="s">
        <v>14</v>
      </c>
      <c r="E9900" s="17" t="s">
        <v>106</v>
      </c>
      <c r="F9900" s="18"/>
      <c r="G9900" s="36" t="str">
        <f>IF(ISNUMBER(F9900),C9900*F9900,"")</f>
        <v/>
      </c>
    </row>
    <row r="9901" spans="1:7" ht="12" customHeight="1" outlineLevel="2" x14ac:dyDescent="0.2">
      <c r="A9901" s="14" t="s">
        <v>19474</v>
      </c>
      <c r="B9901" s="15" t="s">
        <v>19475</v>
      </c>
      <c r="C9901" s="16">
        <f>61.47/(1+B2)</f>
        <v>61.47</v>
      </c>
      <c r="D9901" s="17" t="s">
        <v>11</v>
      </c>
      <c r="E9901" s="17" t="s">
        <v>106</v>
      </c>
      <c r="F9901" s="18"/>
      <c r="G9901" s="36" t="str">
        <f>IF(ISNUMBER(F9901),C9901*F9901,"")</f>
        <v/>
      </c>
    </row>
    <row r="9902" spans="1:7" ht="12" customHeight="1" outlineLevel="2" x14ac:dyDescent="0.2">
      <c r="A9902" s="14" t="s">
        <v>19476</v>
      </c>
      <c r="B9902" s="15" t="s">
        <v>19477</v>
      </c>
      <c r="C9902" s="16">
        <f>57.84/(1+B2)</f>
        <v>57.84</v>
      </c>
      <c r="D9902" s="17" t="s">
        <v>11</v>
      </c>
      <c r="E9902" s="17"/>
      <c r="F9902" s="18"/>
      <c r="G9902" s="36" t="str">
        <f>IF(ISNUMBER(F9902),C9902*F9902,"")</f>
        <v/>
      </c>
    </row>
    <row r="9903" spans="1:7" s="1" customFormat="1" ht="15.95" customHeight="1" outlineLevel="1" x14ac:dyDescent="0.25">
      <c r="A9903" s="11"/>
      <c r="B9903" s="12" t="s">
        <v>19478</v>
      </c>
      <c r="C9903" s="13"/>
      <c r="D9903" s="13"/>
      <c r="E9903" s="13"/>
      <c r="F9903" s="13"/>
      <c r="G9903" s="35"/>
    </row>
    <row r="9904" spans="1:7" ht="12" customHeight="1" outlineLevel="2" x14ac:dyDescent="0.2">
      <c r="A9904" s="14" t="s">
        <v>19479</v>
      </c>
      <c r="B9904" s="15" t="s">
        <v>19480</v>
      </c>
      <c r="C9904" s="16">
        <f>280.01/(1+B2)</f>
        <v>280.01</v>
      </c>
      <c r="D9904" s="17" t="s">
        <v>11</v>
      </c>
      <c r="E9904" s="17"/>
      <c r="F9904" s="18"/>
      <c r="G9904" s="36" t="str">
        <f>IF(ISNUMBER(F9904),C9904*F9904,"")</f>
        <v/>
      </c>
    </row>
    <row r="9905" spans="1:7" ht="12" customHeight="1" outlineLevel="2" x14ac:dyDescent="0.2">
      <c r="A9905" s="14" t="s">
        <v>19481</v>
      </c>
      <c r="B9905" s="15" t="s">
        <v>19482</v>
      </c>
      <c r="C9905" s="16">
        <f>199.75/(1+B2)</f>
        <v>199.75</v>
      </c>
      <c r="D9905" s="17" t="s">
        <v>11</v>
      </c>
      <c r="E9905" s="17" t="s">
        <v>14</v>
      </c>
      <c r="F9905" s="18"/>
      <c r="G9905" s="36" t="str">
        <f>IF(ISNUMBER(F9905),C9905*F9905,"")</f>
        <v/>
      </c>
    </row>
    <row r="9906" spans="1:7" ht="12" customHeight="1" outlineLevel="2" x14ac:dyDescent="0.2">
      <c r="A9906" s="14" t="s">
        <v>19483</v>
      </c>
      <c r="B9906" s="15" t="s">
        <v>19484</v>
      </c>
      <c r="C9906" s="16">
        <f>243.48/(1+B2)</f>
        <v>243.48</v>
      </c>
      <c r="D9906" s="17" t="s">
        <v>11</v>
      </c>
      <c r="E9906" s="17"/>
      <c r="F9906" s="18"/>
      <c r="G9906" s="36" t="str">
        <f>IF(ISNUMBER(F9906),C9906*F9906,"")</f>
        <v/>
      </c>
    </row>
    <row r="9907" spans="1:7" ht="12" customHeight="1" outlineLevel="2" x14ac:dyDescent="0.2">
      <c r="A9907" s="14" t="s">
        <v>19485</v>
      </c>
      <c r="B9907" s="15" t="s">
        <v>19486</v>
      </c>
      <c r="C9907" s="16">
        <f>251.88/(1+B2)</f>
        <v>251.88</v>
      </c>
      <c r="D9907" s="17" t="s">
        <v>11</v>
      </c>
      <c r="E9907" s="17"/>
      <c r="F9907" s="18"/>
      <c r="G9907" s="36" t="str">
        <f>IF(ISNUMBER(F9907),C9907*F9907,"")</f>
        <v/>
      </c>
    </row>
    <row r="9908" spans="1:7" ht="12" customHeight="1" outlineLevel="2" x14ac:dyDescent="0.2">
      <c r="A9908" s="14" t="s">
        <v>19487</v>
      </c>
      <c r="B9908" s="15" t="s">
        <v>19488</v>
      </c>
      <c r="C9908" s="16">
        <f>212.23/(1+B2)</f>
        <v>212.23</v>
      </c>
      <c r="D9908" s="17" t="s">
        <v>11</v>
      </c>
      <c r="E9908" s="17" t="s">
        <v>14</v>
      </c>
      <c r="F9908" s="18"/>
      <c r="G9908" s="36" t="str">
        <f>IF(ISNUMBER(F9908),C9908*F9908,"")</f>
        <v/>
      </c>
    </row>
    <row r="9909" spans="1:7" ht="12" customHeight="1" outlineLevel="2" x14ac:dyDescent="0.2">
      <c r="A9909" s="14" t="s">
        <v>19489</v>
      </c>
      <c r="B9909" s="15" t="s">
        <v>19490</v>
      </c>
      <c r="C9909" s="16">
        <f>268.36/(1+B2)</f>
        <v>268.36</v>
      </c>
      <c r="D9909" s="17" t="s">
        <v>11</v>
      </c>
      <c r="E9909" s="17"/>
      <c r="F9909" s="18"/>
      <c r="G9909" s="36" t="str">
        <f>IF(ISNUMBER(F9909),C9909*F9909,"")</f>
        <v/>
      </c>
    </row>
    <row r="9910" spans="1:7" ht="12" customHeight="1" outlineLevel="2" x14ac:dyDescent="0.2">
      <c r="A9910" s="14" t="s">
        <v>19491</v>
      </c>
      <c r="B9910" s="15" t="s">
        <v>19492</v>
      </c>
      <c r="C9910" s="16">
        <f>387.6/(1+B2)</f>
        <v>387.6</v>
      </c>
      <c r="D9910" s="17" t="s">
        <v>11</v>
      </c>
      <c r="E9910" s="17"/>
      <c r="F9910" s="18"/>
      <c r="G9910" s="36" t="str">
        <f>IF(ISNUMBER(F9910),C9910*F9910,"")</f>
        <v/>
      </c>
    </row>
    <row r="9911" spans="1:7" ht="12" customHeight="1" outlineLevel="2" x14ac:dyDescent="0.2">
      <c r="A9911" s="14" t="s">
        <v>19493</v>
      </c>
      <c r="B9911" s="15" t="s">
        <v>19494</v>
      </c>
      <c r="C9911" s="16">
        <f>123.6/(1+B2)</f>
        <v>123.6</v>
      </c>
      <c r="D9911" s="17" t="s">
        <v>11</v>
      </c>
      <c r="E9911" s="17"/>
      <c r="F9911" s="18"/>
      <c r="G9911" s="36" t="str">
        <f>IF(ISNUMBER(F9911),C9911*F9911,"")</f>
        <v/>
      </c>
    </row>
    <row r="9912" spans="1:7" ht="12" customHeight="1" outlineLevel="2" x14ac:dyDescent="0.2">
      <c r="A9912" s="14" t="s">
        <v>19495</v>
      </c>
      <c r="B9912" s="15" t="s">
        <v>19496</v>
      </c>
      <c r="C9912" s="16">
        <f>331.19/(1+B2)</f>
        <v>331.19</v>
      </c>
      <c r="D9912" s="17" t="s">
        <v>11</v>
      </c>
      <c r="E9912" s="17" t="s">
        <v>11</v>
      </c>
      <c r="F9912" s="18"/>
      <c r="G9912" s="36" t="str">
        <f>IF(ISNUMBER(F9912),C9912*F9912,"")</f>
        <v/>
      </c>
    </row>
    <row r="9913" spans="1:7" ht="12" customHeight="1" outlineLevel="2" x14ac:dyDescent="0.2">
      <c r="A9913" s="14" t="s">
        <v>19497</v>
      </c>
      <c r="B9913" s="15" t="s">
        <v>19498</v>
      </c>
      <c r="C9913" s="16">
        <f>146.25/(1+B2)</f>
        <v>146.25</v>
      </c>
      <c r="D9913" s="17" t="s">
        <v>11</v>
      </c>
      <c r="E9913" s="17"/>
      <c r="F9913" s="18"/>
      <c r="G9913" s="36" t="str">
        <f>IF(ISNUMBER(F9913),C9913*F9913,"")</f>
        <v/>
      </c>
    </row>
    <row r="9914" spans="1:7" ht="12" customHeight="1" outlineLevel="2" x14ac:dyDescent="0.2">
      <c r="A9914" s="14" t="s">
        <v>19499</v>
      </c>
      <c r="B9914" s="15" t="s">
        <v>19500</v>
      </c>
      <c r="C9914" s="16">
        <f>291.46/(1+B2)</f>
        <v>291.45999999999998</v>
      </c>
      <c r="D9914" s="17" t="s">
        <v>11</v>
      </c>
      <c r="E9914" s="17"/>
      <c r="F9914" s="18"/>
      <c r="G9914" s="36" t="str">
        <f>IF(ISNUMBER(F9914),C9914*F9914,"")</f>
        <v/>
      </c>
    </row>
    <row r="9915" spans="1:7" ht="12" customHeight="1" outlineLevel="2" x14ac:dyDescent="0.2">
      <c r="A9915" s="14" t="s">
        <v>19501</v>
      </c>
      <c r="B9915" s="15" t="s">
        <v>19502</v>
      </c>
      <c r="C9915" s="16">
        <f>285.48/(1+B2)</f>
        <v>285.48</v>
      </c>
      <c r="D9915" s="17" t="s">
        <v>11</v>
      </c>
      <c r="E9915" s="17" t="s">
        <v>53</v>
      </c>
      <c r="F9915" s="18"/>
      <c r="G9915" s="36" t="str">
        <f>IF(ISNUMBER(F9915),C9915*F9915,"")</f>
        <v/>
      </c>
    </row>
    <row r="9916" spans="1:7" ht="12" customHeight="1" outlineLevel="2" x14ac:dyDescent="0.2">
      <c r="A9916" s="14" t="s">
        <v>19503</v>
      </c>
      <c r="B9916" s="15" t="s">
        <v>19504</v>
      </c>
      <c r="C9916" s="16">
        <f>320.23/(1+B2)</f>
        <v>320.23</v>
      </c>
      <c r="D9916" s="17" t="s">
        <v>11</v>
      </c>
      <c r="E9916" s="17" t="s">
        <v>11</v>
      </c>
      <c r="F9916" s="18"/>
      <c r="G9916" s="36" t="str">
        <f>IF(ISNUMBER(F9916),C9916*F9916,"")</f>
        <v/>
      </c>
    </row>
    <row r="9917" spans="1:7" ht="24" customHeight="1" outlineLevel="2" x14ac:dyDescent="0.2">
      <c r="A9917" s="14" t="s">
        <v>19505</v>
      </c>
      <c r="B9917" s="15" t="s">
        <v>19506</v>
      </c>
      <c r="C9917" s="16">
        <f>502.44/(1+B2)</f>
        <v>502.44</v>
      </c>
      <c r="D9917" s="17" t="s">
        <v>11</v>
      </c>
      <c r="E9917" s="17"/>
      <c r="F9917" s="18"/>
      <c r="G9917" s="36" t="str">
        <f>IF(ISNUMBER(F9917),C9917*F9917,"")</f>
        <v/>
      </c>
    </row>
    <row r="9918" spans="1:7" ht="12" customHeight="1" outlineLevel="2" x14ac:dyDescent="0.2">
      <c r="A9918" s="14" t="s">
        <v>19507</v>
      </c>
      <c r="B9918" s="15" t="s">
        <v>19508</v>
      </c>
      <c r="C9918" s="16">
        <f>681.35/(1+B2)</f>
        <v>681.35</v>
      </c>
      <c r="D9918" s="17" t="s">
        <v>11</v>
      </c>
      <c r="E9918" s="17"/>
      <c r="F9918" s="18"/>
      <c r="G9918" s="36" t="str">
        <f>IF(ISNUMBER(F9918),C9918*F9918,"")</f>
        <v/>
      </c>
    </row>
    <row r="9919" spans="1:7" ht="12" customHeight="1" outlineLevel="2" x14ac:dyDescent="0.2">
      <c r="A9919" s="14" t="s">
        <v>19509</v>
      </c>
      <c r="B9919" s="15" t="s">
        <v>19510</v>
      </c>
      <c r="C9919" s="16">
        <f>204.41/(1+B2)</f>
        <v>204.41</v>
      </c>
      <c r="D9919" s="17" t="s">
        <v>11</v>
      </c>
      <c r="E9919" s="17" t="s">
        <v>53</v>
      </c>
      <c r="F9919" s="18"/>
      <c r="G9919" s="36" t="str">
        <f>IF(ISNUMBER(F9919),C9919*F9919,"")</f>
        <v/>
      </c>
    </row>
    <row r="9920" spans="1:7" s="1" customFormat="1" ht="15.95" customHeight="1" outlineLevel="1" x14ac:dyDescent="0.25">
      <c r="A9920" s="11"/>
      <c r="B9920" s="12" t="s">
        <v>19511</v>
      </c>
      <c r="C9920" s="13"/>
      <c r="D9920" s="13"/>
      <c r="E9920" s="13"/>
      <c r="F9920" s="13"/>
      <c r="G9920" s="35"/>
    </row>
    <row r="9921" spans="1:7" ht="12" customHeight="1" outlineLevel="2" x14ac:dyDescent="0.2">
      <c r="A9921" s="14" t="s">
        <v>19512</v>
      </c>
      <c r="B9921" s="15" t="s">
        <v>19513</v>
      </c>
      <c r="C9921" s="16">
        <f>157.61/(1+B2)</f>
        <v>157.61000000000001</v>
      </c>
      <c r="D9921" s="17" t="s">
        <v>53</v>
      </c>
      <c r="E9921" s="17"/>
      <c r="F9921" s="18"/>
      <c r="G9921" s="36" t="str">
        <f>IF(ISNUMBER(F9921),C9921*F9921,"")</f>
        <v/>
      </c>
    </row>
    <row r="9922" spans="1:7" ht="12" customHeight="1" outlineLevel="2" x14ac:dyDescent="0.2">
      <c r="A9922" s="14" t="s">
        <v>19514</v>
      </c>
      <c r="B9922" s="15" t="s">
        <v>19515</v>
      </c>
      <c r="C9922" s="16">
        <f>159.34/(1+B2)</f>
        <v>159.34</v>
      </c>
      <c r="D9922" s="17" t="s">
        <v>11</v>
      </c>
      <c r="E9922" s="17"/>
      <c r="F9922" s="18"/>
      <c r="G9922" s="36" t="str">
        <f>IF(ISNUMBER(F9922),C9922*F9922,"")</f>
        <v/>
      </c>
    </row>
    <row r="9923" spans="1:7" ht="12" customHeight="1" outlineLevel="2" x14ac:dyDescent="0.2">
      <c r="A9923" s="14" t="s">
        <v>19516</v>
      </c>
      <c r="B9923" s="15" t="s">
        <v>19517</v>
      </c>
      <c r="C9923" s="16">
        <f>120.8/(1+B2)</f>
        <v>120.8</v>
      </c>
      <c r="D9923" s="17" t="s">
        <v>11</v>
      </c>
      <c r="E9923" s="17"/>
      <c r="F9923" s="18"/>
      <c r="G9923" s="36" t="str">
        <f>IF(ISNUMBER(F9923),C9923*F9923,"")</f>
        <v/>
      </c>
    </row>
    <row r="9924" spans="1:7" s="1" customFormat="1" ht="15.95" customHeight="1" outlineLevel="1" x14ac:dyDescent="0.25">
      <c r="A9924" s="11"/>
      <c r="B9924" s="12" t="s">
        <v>19518</v>
      </c>
      <c r="C9924" s="13"/>
      <c r="D9924" s="13"/>
      <c r="E9924" s="13"/>
      <c r="F9924" s="13"/>
      <c r="G9924" s="35"/>
    </row>
    <row r="9925" spans="1:7" ht="12" customHeight="1" outlineLevel="2" x14ac:dyDescent="0.2">
      <c r="A9925" s="14" t="s">
        <v>19519</v>
      </c>
      <c r="B9925" s="15" t="s">
        <v>19520</v>
      </c>
      <c r="C9925" s="16">
        <f>27/(1+B2)</f>
        <v>27</v>
      </c>
      <c r="D9925" s="17" t="s">
        <v>53</v>
      </c>
      <c r="E9925" s="17"/>
      <c r="F9925" s="18"/>
      <c r="G9925" s="36" t="str">
        <f>IF(ISNUMBER(F9925),C9925*F9925,"")</f>
        <v/>
      </c>
    </row>
    <row r="9926" spans="1:7" ht="12" customHeight="1" outlineLevel="2" x14ac:dyDescent="0.2">
      <c r="A9926" s="14" t="s">
        <v>19521</v>
      </c>
      <c r="B9926" s="15" t="s">
        <v>19522</v>
      </c>
      <c r="C9926" s="16">
        <f>30.92/(1+B2)</f>
        <v>30.92</v>
      </c>
      <c r="D9926" s="17" t="s">
        <v>11</v>
      </c>
      <c r="E9926" s="17" t="s">
        <v>11</v>
      </c>
      <c r="F9926" s="18"/>
      <c r="G9926" s="36" t="str">
        <f>IF(ISNUMBER(F9926),C9926*F9926,"")</f>
        <v/>
      </c>
    </row>
    <row r="9927" spans="1:7" ht="12" customHeight="1" outlineLevel="2" x14ac:dyDescent="0.2">
      <c r="A9927" s="14" t="s">
        <v>19523</v>
      </c>
      <c r="B9927" s="15" t="s">
        <v>19524</v>
      </c>
      <c r="C9927" s="16">
        <f>40.14/(1+B2)</f>
        <v>40.14</v>
      </c>
      <c r="D9927" s="17" t="s">
        <v>11</v>
      </c>
      <c r="E9927" s="17"/>
      <c r="F9927" s="18"/>
      <c r="G9927" s="36" t="str">
        <f>IF(ISNUMBER(F9927),C9927*F9927,"")</f>
        <v/>
      </c>
    </row>
    <row r="9928" spans="1:7" ht="12" customHeight="1" outlineLevel="2" x14ac:dyDescent="0.2">
      <c r="A9928" s="14" t="s">
        <v>19525</v>
      </c>
      <c r="B9928" s="15" t="s">
        <v>19526</v>
      </c>
      <c r="C9928" s="16">
        <f>28.45/(1+B2)</f>
        <v>28.45</v>
      </c>
      <c r="D9928" s="17" t="s">
        <v>11</v>
      </c>
      <c r="E9928" s="17" t="s">
        <v>11</v>
      </c>
      <c r="F9928" s="18"/>
      <c r="G9928" s="36" t="str">
        <f>IF(ISNUMBER(F9928),C9928*F9928,"")</f>
        <v/>
      </c>
    </row>
    <row r="9929" spans="1:7" ht="12" customHeight="1" outlineLevel="2" x14ac:dyDescent="0.2">
      <c r="A9929" s="14" t="s">
        <v>19527</v>
      </c>
      <c r="B9929" s="15" t="s">
        <v>19528</v>
      </c>
      <c r="C9929" s="16">
        <f>53.68/(1+B2)</f>
        <v>53.68</v>
      </c>
      <c r="D9929" s="17" t="s">
        <v>11</v>
      </c>
      <c r="E9929" s="17" t="s">
        <v>11</v>
      </c>
      <c r="F9929" s="18"/>
      <c r="G9929" s="36" t="str">
        <f>IF(ISNUMBER(F9929),C9929*F9929,"")</f>
        <v/>
      </c>
    </row>
    <row r="9930" spans="1:7" ht="12" customHeight="1" outlineLevel="2" x14ac:dyDescent="0.2">
      <c r="A9930" s="14" t="s">
        <v>19529</v>
      </c>
      <c r="B9930" s="15" t="s">
        <v>19530</v>
      </c>
      <c r="C9930" s="16">
        <f>85.72/(1+B2)</f>
        <v>85.72</v>
      </c>
      <c r="D9930" s="17" t="s">
        <v>11</v>
      </c>
      <c r="E9930" s="17" t="s">
        <v>14</v>
      </c>
      <c r="F9930" s="18"/>
      <c r="G9930" s="36" t="str">
        <f>IF(ISNUMBER(F9930),C9930*F9930,"")</f>
        <v/>
      </c>
    </row>
    <row r="9931" spans="1:7" ht="12" customHeight="1" outlineLevel="2" x14ac:dyDescent="0.2">
      <c r="A9931" s="14" t="s">
        <v>19531</v>
      </c>
      <c r="B9931" s="15" t="s">
        <v>19532</v>
      </c>
      <c r="C9931" s="16">
        <f>105.06/(1+B2)</f>
        <v>105.06</v>
      </c>
      <c r="D9931" s="17" t="s">
        <v>11</v>
      </c>
      <c r="E9931" s="17" t="s">
        <v>14</v>
      </c>
      <c r="F9931" s="18"/>
      <c r="G9931" s="36" t="str">
        <f>IF(ISNUMBER(F9931),C9931*F9931,"")</f>
        <v/>
      </c>
    </row>
    <row r="9932" spans="1:7" ht="12" customHeight="1" outlineLevel="2" x14ac:dyDescent="0.2">
      <c r="A9932" s="14" t="s">
        <v>19533</v>
      </c>
      <c r="B9932" s="15" t="s">
        <v>19534</v>
      </c>
      <c r="C9932" s="16">
        <f>25.66/(1+B2)</f>
        <v>25.66</v>
      </c>
      <c r="D9932" s="17" t="s">
        <v>53</v>
      </c>
      <c r="E9932" s="17" t="s">
        <v>11</v>
      </c>
      <c r="F9932" s="18"/>
      <c r="G9932" s="36" t="str">
        <f>IF(ISNUMBER(F9932),C9932*F9932,"")</f>
        <v/>
      </c>
    </row>
    <row r="9933" spans="1:7" s="1" customFormat="1" ht="15.95" customHeight="1" outlineLevel="1" x14ac:dyDescent="0.25">
      <c r="A9933" s="11"/>
      <c r="B9933" s="12" t="s">
        <v>19535</v>
      </c>
      <c r="C9933" s="13"/>
      <c r="D9933" s="13"/>
      <c r="E9933" s="13"/>
      <c r="F9933" s="13"/>
      <c r="G9933" s="35"/>
    </row>
    <row r="9934" spans="1:7" ht="12" customHeight="1" outlineLevel="2" x14ac:dyDescent="0.2">
      <c r="A9934" s="14" t="s">
        <v>19536</v>
      </c>
      <c r="B9934" s="15" t="s">
        <v>19537</v>
      </c>
      <c r="C9934" s="16">
        <f>117.4/(1+B2)</f>
        <v>117.4</v>
      </c>
      <c r="D9934" s="17" t="s">
        <v>11</v>
      </c>
      <c r="E9934" s="17"/>
      <c r="F9934" s="18"/>
      <c r="G9934" s="36" t="str">
        <f>IF(ISNUMBER(F9934),C9934*F9934,"")</f>
        <v/>
      </c>
    </row>
    <row r="9935" spans="1:7" ht="12" customHeight="1" outlineLevel="2" x14ac:dyDescent="0.2">
      <c r="A9935" s="14" t="s">
        <v>19538</v>
      </c>
      <c r="B9935" s="15" t="s">
        <v>19539</v>
      </c>
      <c r="C9935" s="16">
        <f>63.83/(1+B2)</f>
        <v>63.83</v>
      </c>
      <c r="D9935" s="17" t="s">
        <v>11</v>
      </c>
      <c r="E9935" s="17"/>
      <c r="F9935" s="18"/>
      <c r="G9935" s="36" t="str">
        <f>IF(ISNUMBER(F9935),C9935*F9935,"")</f>
        <v/>
      </c>
    </row>
    <row r="9936" spans="1:7" ht="12" customHeight="1" outlineLevel="2" x14ac:dyDescent="0.2">
      <c r="A9936" s="14" t="s">
        <v>19540</v>
      </c>
      <c r="B9936" s="15" t="s">
        <v>19541</v>
      </c>
      <c r="C9936" s="16">
        <f>71.64/(1+B2)</f>
        <v>71.64</v>
      </c>
      <c r="D9936" s="17" t="s">
        <v>11</v>
      </c>
      <c r="E9936" s="17"/>
      <c r="F9936" s="18"/>
      <c r="G9936" s="36" t="str">
        <f>IF(ISNUMBER(F9936),C9936*F9936,"")</f>
        <v/>
      </c>
    </row>
    <row r="9937" spans="1:7" ht="12" customHeight="1" outlineLevel="2" x14ac:dyDescent="0.2">
      <c r="A9937" s="14" t="s">
        <v>19542</v>
      </c>
      <c r="B9937" s="15" t="s">
        <v>19543</v>
      </c>
      <c r="C9937" s="16">
        <f>53.41/(1+B2)</f>
        <v>53.41</v>
      </c>
      <c r="D9937" s="17" t="s">
        <v>14</v>
      </c>
      <c r="E9937" s="17" t="s">
        <v>11</v>
      </c>
      <c r="F9937" s="18"/>
      <c r="G9937" s="36" t="str">
        <f>IF(ISNUMBER(F9937),C9937*F9937,"")</f>
        <v/>
      </c>
    </row>
    <row r="9938" spans="1:7" ht="12" customHeight="1" outlineLevel="2" x14ac:dyDescent="0.2">
      <c r="A9938" s="14" t="s">
        <v>19544</v>
      </c>
      <c r="B9938" s="15" t="s">
        <v>19545</v>
      </c>
      <c r="C9938" s="16">
        <f>87.35/(1+B2)</f>
        <v>87.35</v>
      </c>
      <c r="D9938" s="17" t="s">
        <v>11</v>
      </c>
      <c r="E9938" s="17"/>
      <c r="F9938" s="18"/>
      <c r="G9938" s="36" t="str">
        <f>IF(ISNUMBER(F9938),C9938*F9938,"")</f>
        <v/>
      </c>
    </row>
    <row r="9939" spans="1:7" ht="12" customHeight="1" outlineLevel="2" x14ac:dyDescent="0.2">
      <c r="A9939" s="14" t="s">
        <v>19546</v>
      </c>
      <c r="B9939" s="15" t="s">
        <v>19547</v>
      </c>
      <c r="C9939" s="16">
        <f>90.49/(1+B2)</f>
        <v>90.49</v>
      </c>
      <c r="D9939" s="17" t="s">
        <v>11</v>
      </c>
      <c r="E9939" s="17" t="s">
        <v>14</v>
      </c>
      <c r="F9939" s="18"/>
      <c r="G9939" s="36" t="str">
        <f>IF(ISNUMBER(F9939),C9939*F9939,"")</f>
        <v/>
      </c>
    </row>
    <row r="9940" spans="1:7" ht="12" customHeight="1" outlineLevel="2" x14ac:dyDescent="0.2">
      <c r="A9940" s="14" t="s">
        <v>19548</v>
      </c>
      <c r="B9940" s="15" t="s">
        <v>19549</v>
      </c>
      <c r="C9940" s="16">
        <f>97.88/(1+B2)</f>
        <v>97.88</v>
      </c>
      <c r="D9940" s="17" t="s">
        <v>11</v>
      </c>
      <c r="E9940" s="17"/>
      <c r="F9940" s="18"/>
      <c r="G9940" s="36" t="str">
        <f>IF(ISNUMBER(F9940),C9940*F9940,"")</f>
        <v/>
      </c>
    </row>
    <row r="9941" spans="1:7" ht="12" customHeight="1" outlineLevel="2" x14ac:dyDescent="0.2">
      <c r="A9941" s="14" t="s">
        <v>19550</v>
      </c>
      <c r="B9941" s="15" t="s">
        <v>19551</v>
      </c>
      <c r="C9941" s="16">
        <f>80.77/(1+B2)</f>
        <v>80.77</v>
      </c>
      <c r="D9941" s="17" t="s">
        <v>11</v>
      </c>
      <c r="E9941" s="17"/>
      <c r="F9941" s="18"/>
      <c r="G9941" s="36" t="str">
        <f>IF(ISNUMBER(F9941),C9941*F9941,"")</f>
        <v/>
      </c>
    </row>
    <row r="9942" spans="1:7" ht="12" customHeight="1" outlineLevel="2" x14ac:dyDescent="0.2">
      <c r="A9942" s="14" t="s">
        <v>19552</v>
      </c>
      <c r="B9942" s="15" t="s">
        <v>19553</v>
      </c>
      <c r="C9942" s="16">
        <f>80.38/(1+B2)</f>
        <v>80.38</v>
      </c>
      <c r="D9942" s="17" t="s">
        <v>11</v>
      </c>
      <c r="E9942" s="17" t="s">
        <v>11</v>
      </c>
      <c r="F9942" s="18"/>
      <c r="G9942" s="36" t="str">
        <f>IF(ISNUMBER(F9942),C9942*F9942,"")</f>
        <v/>
      </c>
    </row>
    <row r="9943" spans="1:7" ht="12" customHeight="1" outlineLevel="2" x14ac:dyDescent="0.2">
      <c r="A9943" s="14" t="s">
        <v>19554</v>
      </c>
      <c r="B9943" s="15" t="s">
        <v>19555</v>
      </c>
      <c r="C9943" s="16">
        <f>101.63/(1+B2)</f>
        <v>101.63</v>
      </c>
      <c r="D9943" s="17" t="s">
        <v>14</v>
      </c>
      <c r="E9943" s="17"/>
      <c r="F9943" s="18"/>
      <c r="G9943" s="36" t="str">
        <f>IF(ISNUMBER(F9943),C9943*F9943,"")</f>
        <v/>
      </c>
    </row>
    <row r="9944" spans="1:7" ht="12" customHeight="1" outlineLevel="2" x14ac:dyDescent="0.2">
      <c r="A9944" s="14" t="s">
        <v>19556</v>
      </c>
      <c r="B9944" s="15" t="s">
        <v>19557</v>
      </c>
      <c r="C9944" s="16">
        <f>85.64/(1+B2)</f>
        <v>85.64</v>
      </c>
      <c r="D9944" s="17" t="s">
        <v>11</v>
      </c>
      <c r="E9944" s="17" t="s">
        <v>11</v>
      </c>
      <c r="F9944" s="18"/>
      <c r="G9944" s="36" t="str">
        <f>IF(ISNUMBER(F9944),C9944*F9944,"")</f>
        <v/>
      </c>
    </row>
    <row r="9945" spans="1:7" ht="12" customHeight="1" outlineLevel="2" x14ac:dyDescent="0.2">
      <c r="A9945" s="14" t="s">
        <v>19558</v>
      </c>
      <c r="B9945" s="15" t="s">
        <v>19559</v>
      </c>
      <c r="C9945" s="16">
        <f>126.6/(1+B2)</f>
        <v>126.6</v>
      </c>
      <c r="D9945" s="17" t="s">
        <v>11</v>
      </c>
      <c r="E9945" s="17"/>
      <c r="F9945" s="18"/>
      <c r="G9945" s="36" t="str">
        <f>IF(ISNUMBER(F9945),C9945*F9945,"")</f>
        <v/>
      </c>
    </row>
    <row r="9946" spans="1:7" ht="24" customHeight="1" outlineLevel="2" x14ac:dyDescent="0.2">
      <c r="A9946" s="14" t="s">
        <v>19560</v>
      </c>
      <c r="B9946" s="15" t="s">
        <v>19561</v>
      </c>
      <c r="C9946" s="16">
        <f>100.49/(1+B2)</f>
        <v>100.49</v>
      </c>
      <c r="D9946" s="17" t="s">
        <v>11</v>
      </c>
      <c r="E9946" s="17"/>
      <c r="F9946" s="18"/>
      <c r="G9946" s="36" t="str">
        <f>IF(ISNUMBER(F9946),C9946*F9946,"")</f>
        <v/>
      </c>
    </row>
    <row r="9947" spans="1:7" ht="24" customHeight="1" outlineLevel="2" x14ac:dyDescent="0.2">
      <c r="A9947" s="14" t="s">
        <v>19562</v>
      </c>
      <c r="B9947" s="15" t="s">
        <v>19563</v>
      </c>
      <c r="C9947" s="16">
        <f>77.7/(1+B2)</f>
        <v>77.7</v>
      </c>
      <c r="D9947" s="17" t="s">
        <v>11</v>
      </c>
      <c r="E9947" s="17" t="s">
        <v>11</v>
      </c>
      <c r="F9947" s="18"/>
      <c r="G9947" s="36" t="str">
        <f>IF(ISNUMBER(F9947),C9947*F9947,"")</f>
        <v/>
      </c>
    </row>
    <row r="9948" spans="1:7" ht="12" customHeight="1" outlineLevel="2" x14ac:dyDescent="0.2">
      <c r="A9948" s="14" t="s">
        <v>19564</v>
      </c>
      <c r="B9948" s="15" t="s">
        <v>19565</v>
      </c>
      <c r="C9948" s="16">
        <f>71.36/(1+B2)</f>
        <v>71.36</v>
      </c>
      <c r="D9948" s="17" t="s">
        <v>11</v>
      </c>
      <c r="E9948" s="17"/>
      <c r="F9948" s="18"/>
      <c r="G9948" s="36" t="str">
        <f>IF(ISNUMBER(F9948),C9948*F9948,"")</f>
        <v/>
      </c>
    </row>
    <row r="9949" spans="1:7" ht="12" customHeight="1" outlineLevel="2" x14ac:dyDescent="0.2">
      <c r="A9949" s="14" t="s">
        <v>19566</v>
      </c>
      <c r="B9949" s="15" t="s">
        <v>19567</v>
      </c>
      <c r="C9949" s="16">
        <f>107.6/(1+B2)</f>
        <v>107.6</v>
      </c>
      <c r="D9949" s="17" t="s">
        <v>11</v>
      </c>
      <c r="E9949" s="17" t="s">
        <v>11</v>
      </c>
      <c r="F9949" s="18"/>
      <c r="G9949" s="36" t="str">
        <f>IF(ISNUMBER(F9949),C9949*F9949,"")</f>
        <v/>
      </c>
    </row>
    <row r="9950" spans="1:7" ht="24" customHeight="1" outlineLevel="2" x14ac:dyDescent="0.2">
      <c r="A9950" s="14" t="s">
        <v>19568</v>
      </c>
      <c r="B9950" s="15" t="s">
        <v>19569</v>
      </c>
      <c r="C9950" s="16">
        <f>95.36/(1+B2)</f>
        <v>95.36</v>
      </c>
      <c r="D9950" s="17" t="s">
        <v>11</v>
      </c>
      <c r="E9950" s="17" t="s">
        <v>11</v>
      </c>
      <c r="F9950" s="18"/>
      <c r="G9950" s="36" t="str">
        <f>IF(ISNUMBER(F9950),C9950*F9950,"")</f>
        <v/>
      </c>
    </row>
    <row r="9951" spans="1:7" ht="24" customHeight="1" outlineLevel="2" x14ac:dyDescent="0.2">
      <c r="A9951" s="14" t="s">
        <v>19570</v>
      </c>
      <c r="B9951" s="15" t="s">
        <v>19571</v>
      </c>
      <c r="C9951" s="16">
        <f>242.45/(1+B2)</f>
        <v>242.45</v>
      </c>
      <c r="D9951" s="17" t="s">
        <v>11</v>
      </c>
      <c r="E9951" s="17" t="s">
        <v>11</v>
      </c>
      <c r="F9951" s="18"/>
      <c r="G9951" s="36" t="str">
        <f>IF(ISNUMBER(F9951),C9951*F9951,"")</f>
        <v/>
      </c>
    </row>
    <row r="9952" spans="1:7" ht="12" customHeight="1" outlineLevel="2" x14ac:dyDescent="0.2">
      <c r="A9952" s="14" t="s">
        <v>19572</v>
      </c>
      <c r="B9952" s="15" t="s">
        <v>19573</v>
      </c>
      <c r="C9952" s="16">
        <f>169.94/(1+B2)</f>
        <v>169.94</v>
      </c>
      <c r="D9952" s="17" t="s">
        <v>11</v>
      </c>
      <c r="E9952" s="17"/>
      <c r="F9952" s="18"/>
      <c r="G9952" s="36" t="str">
        <f>IF(ISNUMBER(F9952),C9952*F9952,"")</f>
        <v/>
      </c>
    </row>
    <row r="9953" spans="1:7" ht="24" customHeight="1" outlineLevel="2" x14ac:dyDescent="0.2">
      <c r="A9953" s="14" t="s">
        <v>19574</v>
      </c>
      <c r="B9953" s="15" t="s">
        <v>19575</v>
      </c>
      <c r="C9953" s="16">
        <f>144.99/(1+B2)</f>
        <v>144.99</v>
      </c>
      <c r="D9953" s="17" t="s">
        <v>11</v>
      </c>
      <c r="E9953" s="17"/>
      <c r="F9953" s="18"/>
      <c r="G9953" s="36" t="str">
        <f>IF(ISNUMBER(F9953),C9953*F9953,"")</f>
        <v/>
      </c>
    </row>
    <row r="9954" spans="1:7" ht="24" customHeight="1" outlineLevel="2" x14ac:dyDescent="0.2">
      <c r="A9954" s="14" t="s">
        <v>19576</v>
      </c>
      <c r="B9954" s="15" t="s">
        <v>19577</v>
      </c>
      <c r="C9954" s="16">
        <f>149.78/(1+B2)</f>
        <v>149.78</v>
      </c>
      <c r="D9954" s="17" t="s">
        <v>11</v>
      </c>
      <c r="E9954" s="17" t="s">
        <v>14</v>
      </c>
      <c r="F9954" s="18"/>
      <c r="G9954" s="36" t="str">
        <f>IF(ISNUMBER(F9954),C9954*F9954,"")</f>
        <v/>
      </c>
    </row>
    <row r="9955" spans="1:7" ht="12" customHeight="1" outlineLevel="2" x14ac:dyDescent="0.2">
      <c r="A9955" s="14" t="s">
        <v>19578</v>
      </c>
      <c r="B9955" s="15" t="s">
        <v>19579</v>
      </c>
      <c r="C9955" s="16">
        <f>149.78/(1+B2)</f>
        <v>149.78</v>
      </c>
      <c r="D9955" s="17" t="s">
        <v>11</v>
      </c>
      <c r="E9955" s="17"/>
      <c r="F9955" s="18"/>
      <c r="G9955" s="36" t="str">
        <f>IF(ISNUMBER(F9955),C9955*F9955,"")</f>
        <v/>
      </c>
    </row>
    <row r="9956" spans="1:7" ht="12" customHeight="1" outlineLevel="2" x14ac:dyDescent="0.2">
      <c r="A9956" s="14" t="s">
        <v>19580</v>
      </c>
      <c r="B9956" s="15" t="s">
        <v>19581</v>
      </c>
      <c r="C9956" s="16">
        <f>97.77/(1+B2)</f>
        <v>97.77</v>
      </c>
      <c r="D9956" s="17" t="s">
        <v>11</v>
      </c>
      <c r="E9956" s="17"/>
      <c r="F9956" s="18"/>
      <c r="G9956" s="36" t="str">
        <f>IF(ISNUMBER(F9956),C9956*F9956,"")</f>
        <v/>
      </c>
    </row>
    <row r="9957" spans="1:7" ht="12" customHeight="1" outlineLevel="2" x14ac:dyDescent="0.2">
      <c r="A9957" s="14" t="s">
        <v>19582</v>
      </c>
      <c r="B9957" s="15" t="s">
        <v>19583</v>
      </c>
      <c r="C9957" s="16">
        <f>69.81/(1+B2)</f>
        <v>69.81</v>
      </c>
      <c r="D9957" s="17" t="s">
        <v>11</v>
      </c>
      <c r="E9957" s="17"/>
      <c r="F9957" s="18"/>
      <c r="G9957" s="36" t="str">
        <f>IF(ISNUMBER(F9957),C9957*F9957,"")</f>
        <v/>
      </c>
    </row>
    <row r="9958" spans="1:7" ht="24" customHeight="1" outlineLevel="2" x14ac:dyDescent="0.2">
      <c r="A9958" s="14" t="s">
        <v>19584</v>
      </c>
      <c r="B9958" s="15" t="s">
        <v>19585</v>
      </c>
      <c r="C9958" s="16">
        <f>149.78/(1+B2)</f>
        <v>149.78</v>
      </c>
      <c r="D9958" s="17" t="s">
        <v>11</v>
      </c>
      <c r="E9958" s="17" t="s">
        <v>11</v>
      </c>
      <c r="F9958" s="18"/>
      <c r="G9958" s="36" t="str">
        <f>IF(ISNUMBER(F9958),C9958*F9958,"")</f>
        <v/>
      </c>
    </row>
    <row r="9959" spans="1:7" s="1" customFormat="1" ht="15.95" customHeight="1" outlineLevel="1" x14ac:dyDescent="0.25">
      <c r="A9959" s="11"/>
      <c r="B9959" s="12" t="s">
        <v>19586</v>
      </c>
      <c r="C9959" s="13"/>
      <c r="D9959" s="13"/>
      <c r="E9959" s="13"/>
      <c r="F9959" s="13"/>
      <c r="G9959" s="35"/>
    </row>
    <row r="9960" spans="1:7" ht="12" customHeight="1" outlineLevel="2" x14ac:dyDescent="0.2">
      <c r="A9960" s="14" t="s">
        <v>19587</v>
      </c>
      <c r="B9960" s="15" t="s">
        <v>19588</v>
      </c>
      <c r="C9960" s="16">
        <f>42.76/(1+B2)</f>
        <v>42.76</v>
      </c>
      <c r="D9960" s="17" t="s">
        <v>11</v>
      </c>
      <c r="E9960" s="17"/>
      <c r="F9960" s="18"/>
      <c r="G9960" s="36" t="str">
        <f>IF(ISNUMBER(F9960),C9960*F9960,"")</f>
        <v/>
      </c>
    </row>
    <row r="9961" spans="1:7" ht="12" customHeight="1" outlineLevel="2" x14ac:dyDescent="0.2">
      <c r="A9961" s="14" t="s">
        <v>19589</v>
      </c>
      <c r="B9961" s="15" t="s">
        <v>19590</v>
      </c>
      <c r="C9961" s="16">
        <f>60.52/(1+B2)</f>
        <v>60.52</v>
      </c>
      <c r="D9961" s="17" t="s">
        <v>14</v>
      </c>
      <c r="E9961" s="17"/>
      <c r="F9961" s="18"/>
      <c r="G9961" s="36" t="str">
        <f>IF(ISNUMBER(F9961),C9961*F9961,"")</f>
        <v/>
      </c>
    </row>
    <row r="9962" spans="1:7" ht="12" customHeight="1" outlineLevel="2" x14ac:dyDescent="0.2">
      <c r="A9962" s="14" t="s">
        <v>19591</v>
      </c>
      <c r="B9962" s="15" t="s">
        <v>19592</v>
      </c>
      <c r="C9962" s="16">
        <f>28.55/(1+B2)</f>
        <v>28.55</v>
      </c>
      <c r="D9962" s="17" t="s">
        <v>14</v>
      </c>
      <c r="E9962" s="17"/>
      <c r="F9962" s="18"/>
      <c r="G9962" s="36" t="str">
        <f>IF(ISNUMBER(F9962),C9962*F9962,"")</f>
        <v/>
      </c>
    </row>
    <row r="9963" spans="1:7" ht="12" customHeight="1" outlineLevel="2" x14ac:dyDescent="0.2">
      <c r="A9963" s="14" t="s">
        <v>19593</v>
      </c>
      <c r="B9963" s="15" t="s">
        <v>19594</v>
      </c>
      <c r="C9963" s="16">
        <f>42.22/(1+B2)</f>
        <v>42.22</v>
      </c>
      <c r="D9963" s="17" t="s">
        <v>14</v>
      </c>
      <c r="E9963" s="17" t="s">
        <v>11</v>
      </c>
      <c r="F9963" s="18"/>
      <c r="G9963" s="36" t="str">
        <f>IF(ISNUMBER(F9963),C9963*F9963,"")</f>
        <v/>
      </c>
    </row>
    <row r="9964" spans="1:7" ht="12" customHeight="1" outlineLevel="2" x14ac:dyDescent="0.2">
      <c r="A9964" s="14" t="s">
        <v>19595</v>
      </c>
      <c r="B9964" s="15" t="s">
        <v>19596</v>
      </c>
      <c r="C9964" s="16">
        <f>42.22/(1+B2)</f>
        <v>42.22</v>
      </c>
      <c r="D9964" s="17" t="s">
        <v>14</v>
      </c>
      <c r="E9964" s="17" t="s">
        <v>11</v>
      </c>
      <c r="F9964" s="18"/>
      <c r="G9964" s="36" t="str">
        <f>IF(ISNUMBER(F9964),C9964*F9964,"")</f>
        <v/>
      </c>
    </row>
    <row r="9965" spans="1:7" ht="12" customHeight="1" outlineLevel="2" x14ac:dyDescent="0.2">
      <c r="A9965" s="14" t="s">
        <v>19597</v>
      </c>
      <c r="B9965" s="15" t="s">
        <v>19598</v>
      </c>
      <c r="C9965" s="16">
        <f>42.22/(1+B2)</f>
        <v>42.22</v>
      </c>
      <c r="D9965" s="17" t="s">
        <v>14</v>
      </c>
      <c r="E9965" s="17" t="s">
        <v>53</v>
      </c>
      <c r="F9965" s="18"/>
      <c r="G9965" s="36" t="str">
        <f>IF(ISNUMBER(F9965),C9965*F9965,"")</f>
        <v/>
      </c>
    </row>
    <row r="9966" spans="1:7" ht="12" customHeight="1" outlineLevel="2" x14ac:dyDescent="0.2">
      <c r="A9966" s="14" t="s">
        <v>19599</v>
      </c>
      <c r="B9966" s="15" t="s">
        <v>19600</v>
      </c>
      <c r="C9966" s="16">
        <f>35.4/(1+B2)</f>
        <v>35.4</v>
      </c>
      <c r="D9966" s="17" t="s">
        <v>11</v>
      </c>
      <c r="E9966" s="17" t="s">
        <v>14</v>
      </c>
      <c r="F9966" s="18"/>
      <c r="G9966" s="36" t="str">
        <f>IF(ISNUMBER(F9966),C9966*F9966,"")</f>
        <v/>
      </c>
    </row>
    <row r="9967" spans="1:7" ht="24" customHeight="1" outlineLevel="2" x14ac:dyDescent="0.2">
      <c r="A9967" s="14" t="s">
        <v>19601</v>
      </c>
      <c r="B9967" s="15" t="s">
        <v>19602</v>
      </c>
      <c r="C9967" s="16">
        <f>65.89/(1+B2)</f>
        <v>65.89</v>
      </c>
      <c r="D9967" s="17" t="s">
        <v>11</v>
      </c>
      <c r="E9967" s="17"/>
      <c r="F9967" s="18"/>
      <c r="G9967" s="36" t="str">
        <f>IF(ISNUMBER(F9967),C9967*F9967,"")</f>
        <v/>
      </c>
    </row>
    <row r="9968" spans="1:7" ht="24" customHeight="1" outlineLevel="2" x14ac:dyDescent="0.2">
      <c r="A9968" s="14" t="s">
        <v>19603</v>
      </c>
      <c r="B9968" s="15" t="s">
        <v>19604</v>
      </c>
      <c r="C9968" s="16">
        <f>23.3/(1+B2)</f>
        <v>23.3</v>
      </c>
      <c r="D9968" s="17" t="s">
        <v>53</v>
      </c>
      <c r="E9968" s="17"/>
      <c r="F9968" s="18"/>
      <c r="G9968" s="36" t="str">
        <f>IF(ISNUMBER(F9968),C9968*F9968,"")</f>
        <v/>
      </c>
    </row>
    <row r="9969" spans="1:7" ht="12" customHeight="1" outlineLevel="2" x14ac:dyDescent="0.2">
      <c r="A9969" s="14" t="s">
        <v>19605</v>
      </c>
      <c r="B9969" s="15" t="s">
        <v>19606</v>
      </c>
      <c r="C9969" s="16">
        <f>49.1/(1+B2)</f>
        <v>49.1</v>
      </c>
      <c r="D9969" s="17" t="s">
        <v>11</v>
      </c>
      <c r="E9969" s="17" t="s">
        <v>14</v>
      </c>
      <c r="F9969" s="18"/>
      <c r="G9969" s="36" t="str">
        <f>IF(ISNUMBER(F9969),C9969*F9969,"")</f>
        <v/>
      </c>
    </row>
    <row r="9970" spans="1:7" ht="12" customHeight="1" outlineLevel="2" x14ac:dyDescent="0.2">
      <c r="A9970" s="14" t="s">
        <v>19607</v>
      </c>
      <c r="B9970" s="15" t="s">
        <v>19608</v>
      </c>
      <c r="C9970" s="16">
        <f>36.89/(1+B2)</f>
        <v>36.89</v>
      </c>
      <c r="D9970" s="17" t="s">
        <v>14</v>
      </c>
      <c r="E9970" s="17"/>
      <c r="F9970" s="18"/>
      <c r="G9970" s="36" t="str">
        <f>IF(ISNUMBER(F9970),C9970*F9970,"")</f>
        <v/>
      </c>
    </row>
    <row r="9971" spans="1:7" ht="12" customHeight="1" outlineLevel="2" x14ac:dyDescent="0.2">
      <c r="A9971" s="14" t="s">
        <v>19609</v>
      </c>
      <c r="B9971" s="15" t="s">
        <v>19610</v>
      </c>
      <c r="C9971" s="16">
        <f>104.31/(1+B2)</f>
        <v>104.31</v>
      </c>
      <c r="D9971" s="17" t="s">
        <v>11</v>
      </c>
      <c r="E9971" s="17"/>
      <c r="F9971" s="18"/>
      <c r="G9971" s="36" t="str">
        <f>IF(ISNUMBER(F9971),C9971*F9971,"")</f>
        <v/>
      </c>
    </row>
    <row r="9972" spans="1:7" ht="12" customHeight="1" outlineLevel="2" x14ac:dyDescent="0.2">
      <c r="A9972" s="14" t="s">
        <v>19611</v>
      </c>
      <c r="B9972" s="15" t="s">
        <v>19612</v>
      </c>
      <c r="C9972" s="16">
        <f>41.58/(1+B2)</f>
        <v>41.58</v>
      </c>
      <c r="D9972" s="17" t="s">
        <v>11</v>
      </c>
      <c r="E9972" s="17" t="s">
        <v>11</v>
      </c>
      <c r="F9972" s="18"/>
      <c r="G9972" s="36" t="str">
        <f>IF(ISNUMBER(F9972),C9972*F9972,"")</f>
        <v/>
      </c>
    </row>
    <row r="9973" spans="1:7" ht="24" customHeight="1" outlineLevel="2" x14ac:dyDescent="0.2">
      <c r="A9973" s="14" t="s">
        <v>19613</v>
      </c>
      <c r="B9973" s="15" t="s">
        <v>19614</v>
      </c>
      <c r="C9973" s="16">
        <f>50.69/(1+B2)</f>
        <v>50.69</v>
      </c>
      <c r="D9973" s="17" t="s">
        <v>11</v>
      </c>
      <c r="E9973" s="17"/>
      <c r="F9973" s="18"/>
      <c r="G9973" s="36" t="str">
        <f>IF(ISNUMBER(F9973),C9973*F9973,"")</f>
        <v/>
      </c>
    </row>
    <row r="9974" spans="1:7" ht="24" customHeight="1" outlineLevel="2" x14ac:dyDescent="0.2">
      <c r="A9974" s="14" t="s">
        <v>19615</v>
      </c>
      <c r="B9974" s="15" t="s">
        <v>19616</v>
      </c>
      <c r="C9974" s="16">
        <f>82.8/(1+B2)</f>
        <v>82.8</v>
      </c>
      <c r="D9974" s="17" t="s">
        <v>11</v>
      </c>
      <c r="E9974" s="17"/>
      <c r="F9974" s="18"/>
      <c r="G9974" s="36" t="str">
        <f>IF(ISNUMBER(F9974),C9974*F9974,"")</f>
        <v/>
      </c>
    </row>
    <row r="9975" spans="1:7" ht="24" customHeight="1" outlineLevel="2" x14ac:dyDescent="0.2">
      <c r="A9975" s="14" t="s">
        <v>19617</v>
      </c>
      <c r="B9975" s="15" t="s">
        <v>19618</v>
      </c>
      <c r="C9975" s="16">
        <f>52.42/(1+B2)</f>
        <v>52.42</v>
      </c>
      <c r="D9975" s="17" t="s">
        <v>11</v>
      </c>
      <c r="E9975" s="17" t="s">
        <v>11</v>
      </c>
      <c r="F9975" s="18"/>
      <c r="G9975" s="36" t="str">
        <f>IF(ISNUMBER(F9975),C9975*F9975,"")</f>
        <v/>
      </c>
    </row>
    <row r="9976" spans="1:7" ht="24" customHeight="1" outlineLevel="2" x14ac:dyDescent="0.2">
      <c r="A9976" s="14" t="s">
        <v>19619</v>
      </c>
      <c r="B9976" s="15" t="s">
        <v>19620</v>
      </c>
      <c r="C9976" s="16">
        <f>51.38/(1+B2)</f>
        <v>51.38</v>
      </c>
      <c r="D9976" s="17" t="s">
        <v>11</v>
      </c>
      <c r="E9976" s="17" t="s">
        <v>11</v>
      </c>
      <c r="F9976" s="18"/>
      <c r="G9976" s="36" t="str">
        <f>IF(ISNUMBER(F9976),C9976*F9976,"")</f>
        <v/>
      </c>
    </row>
    <row r="9977" spans="1:7" ht="24" customHeight="1" outlineLevel="2" x14ac:dyDescent="0.2">
      <c r="A9977" s="14" t="s">
        <v>19621</v>
      </c>
      <c r="B9977" s="15" t="s">
        <v>19622</v>
      </c>
      <c r="C9977" s="16">
        <f>34.64/(1+B2)</f>
        <v>34.64</v>
      </c>
      <c r="D9977" s="17" t="s">
        <v>11</v>
      </c>
      <c r="E9977" s="17" t="s">
        <v>11</v>
      </c>
      <c r="F9977" s="18"/>
      <c r="G9977" s="36" t="str">
        <f>IF(ISNUMBER(F9977),C9977*F9977,"")</f>
        <v/>
      </c>
    </row>
    <row r="9978" spans="1:7" ht="12" customHeight="1" outlineLevel="2" x14ac:dyDescent="0.2">
      <c r="A9978" s="14" t="s">
        <v>19623</v>
      </c>
      <c r="B9978" s="15" t="s">
        <v>19624</v>
      </c>
      <c r="C9978" s="16">
        <f>16.45/(1+B2)</f>
        <v>16.45</v>
      </c>
      <c r="D9978" s="17" t="s">
        <v>11</v>
      </c>
      <c r="E9978" s="17"/>
      <c r="F9978" s="18"/>
      <c r="G9978" s="36" t="str">
        <f>IF(ISNUMBER(F9978),C9978*F9978,"")</f>
        <v/>
      </c>
    </row>
    <row r="9979" spans="1:7" ht="24" customHeight="1" outlineLevel="2" x14ac:dyDescent="0.2">
      <c r="A9979" s="14" t="s">
        <v>19625</v>
      </c>
      <c r="B9979" s="15" t="s">
        <v>19626</v>
      </c>
      <c r="C9979" s="16">
        <f>35.72/(1+B2)</f>
        <v>35.72</v>
      </c>
      <c r="D9979" s="17" t="s">
        <v>14</v>
      </c>
      <c r="E9979" s="17" t="s">
        <v>11</v>
      </c>
      <c r="F9979" s="18"/>
      <c r="G9979" s="36" t="str">
        <f>IF(ISNUMBER(F9979),C9979*F9979,"")</f>
        <v/>
      </c>
    </row>
    <row r="9980" spans="1:7" ht="24" customHeight="1" outlineLevel="2" x14ac:dyDescent="0.2">
      <c r="A9980" s="14" t="s">
        <v>19627</v>
      </c>
      <c r="B9980" s="15" t="s">
        <v>19628</v>
      </c>
      <c r="C9980" s="16">
        <f>62.81/(1+B2)</f>
        <v>62.81</v>
      </c>
      <c r="D9980" s="17" t="s">
        <v>11</v>
      </c>
      <c r="E9980" s="17"/>
      <c r="F9980" s="18"/>
      <c r="G9980" s="36" t="str">
        <f>IF(ISNUMBER(F9980),C9980*F9980,"")</f>
        <v/>
      </c>
    </row>
    <row r="9981" spans="1:7" ht="24" customHeight="1" outlineLevel="2" x14ac:dyDescent="0.2">
      <c r="A9981" s="14" t="s">
        <v>19629</v>
      </c>
      <c r="B9981" s="15" t="s">
        <v>19630</v>
      </c>
      <c r="C9981" s="16">
        <f>63.74/(1+B2)</f>
        <v>63.74</v>
      </c>
      <c r="D9981" s="17" t="s">
        <v>11</v>
      </c>
      <c r="E9981" s="17" t="s">
        <v>11</v>
      </c>
      <c r="F9981" s="18"/>
      <c r="G9981" s="36" t="str">
        <f>IF(ISNUMBER(F9981),C9981*F9981,"")</f>
        <v/>
      </c>
    </row>
    <row r="9982" spans="1:7" ht="24" customHeight="1" outlineLevel="2" x14ac:dyDescent="0.2">
      <c r="A9982" s="14" t="s">
        <v>19631</v>
      </c>
      <c r="B9982" s="15" t="s">
        <v>19632</v>
      </c>
      <c r="C9982" s="16">
        <f>73.43/(1+B2)</f>
        <v>73.430000000000007</v>
      </c>
      <c r="D9982" s="17" t="s">
        <v>11</v>
      </c>
      <c r="E9982" s="17"/>
      <c r="F9982" s="18"/>
      <c r="G9982" s="36" t="str">
        <f>IF(ISNUMBER(F9982),C9982*F9982,"")</f>
        <v/>
      </c>
    </row>
    <row r="9983" spans="1:7" ht="24" customHeight="1" outlineLevel="2" x14ac:dyDescent="0.2">
      <c r="A9983" s="14" t="s">
        <v>19633</v>
      </c>
      <c r="B9983" s="15" t="s">
        <v>19634</v>
      </c>
      <c r="C9983" s="16">
        <f>45.41/(1+B2)</f>
        <v>45.41</v>
      </c>
      <c r="D9983" s="17" t="s">
        <v>11</v>
      </c>
      <c r="E9983" s="17" t="s">
        <v>11</v>
      </c>
      <c r="F9983" s="18"/>
      <c r="G9983" s="36" t="str">
        <f>IF(ISNUMBER(F9983),C9983*F9983,"")</f>
        <v/>
      </c>
    </row>
    <row r="9984" spans="1:7" ht="24" customHeight="1" outlineLevel="2" x14ac:dyDescent="0.2">
      <c r="A9984" s="14" t="s">
        <v>19635</v>
      </c>
      <c r="B9984" s="15" t="s">
        <v>19636</v>
      </c>
      <c r="C9984" s="16">
        <f>28.93/(1+B2)</f>
        <v>28.93</v>
      </c>
      <c r="D9984" s="17" t="s">
        <v>14</v>
      </c>
      <c r="E9984" s="17"/>
      <c r="F9984" s="18"/>
      <c r="G9984" s="36" t="str">
        <f>IF(ISNUMBER(F9984),C9984*F9984,"")</f>
        <v/>
      </c>
    </row>
    <row r="9985" spans="1:7" ht="24" customHeight="1" outlineLevel="2" x14ac:dyDescent="0.2">
      <c r="A9985" s="14" t="s">
        <v>19637</v>
      </c>
      <c r="B9985" s="15" t="s">
        <v>19638</v>
      </c>
      <c r="C9985" s="16">
        <f>45.63/(1+B2)</f>
        <v>45.63</v>
      </c>
      <c r="D9985" s="17" t="s">
        <v>11</v>
      </c>
      <c r="E9985" s="17" t="s">
        <v>11</v>
      </c>
      <c r="F9985" s="18"/>
      <c r="G9985" s="36" t="str">
        <f>IF(ISNUMBER(F9985),C9985*F9985,"")</f>
        <v/>
      </c>
    </row>
    <row r="9986" spans="1:7" ht="24" customHeight="1" outlineLevel="2" x14ac:dyDescent="0.2">
      <c r="A9986" s="14" t="s">
        <v>19639</v>
      </c>
      <c r="B9986" s="15" t="s">
        <v>19640</v>
      </c>
      <c r="C9986" s="16">
        <f>62.81/(1+B2)</f>
        <v>62.81</v>
      </c>
      <c r="D9986" s="17" t="s">
        <v>14</v>
      </c>
      <c r="E9986" s="17"/>
      <c r="F9986" s="18"/>
      <c r="G9986" s="36" t="str">
        <f>IF(ISNUMBER(F9986),C9986*F9986,"")</f>
        <v/>
      </c>
    </row>
    <row r="9987" spans="1:7" ht="12" customHeight="1" outlineLevel="2" x14ac:dyDescent="0.2">
      <c r="A9987" s="14" t="s">
        <v>19641</v>
      </c>
      <c r="B9987" s="15" t="s">
        <v>19642</v>
      </c>
      <c r="C9987" s="16">
        <f>90.05/(1+B2)</f>
        <v>90.05</v>
      </c>
      <c r="D9987" s="17" t="s">
        <v>11</v>
      </c>
      <c r="E9987" s="17"/>
      <c r="F9987" s="18"/>
      <c r="G9987" s="36" t="str">
        <f>IF(ISNUMBER(F9987),C9987*F9987,"")</f>
        <v/>
      </c>
    </row>
    <row r="9988" spans="1:7" ht="24" customHeight="1" outlineLevel="2" x14ac:dyDescent="0.2">
      <c r="A9988" s="14" t="s">
        <v>19643</v>
      </c>
      <c r="B9988" s="15" t="s">
        <v>19644</v>
      </c>
      <c r="C9988" s="16">
        <f>28.55/(1+B2)</f>
        <v>28.55</v>
      </c>
      <c r="D9988" s="17" t="s">
        <v>14</v>
      </c>
      <c r="E9988" s="17" t="s">
        <v>106</v>
      </c>
      <c r="F9988" s="18"/>
      <c r="G9988" s="36" t="str">
        <f>IF(ISNUMBER(F9988),C9988*F9988,"")</f>
        <v/>
      </c>
    </row>
    <row r="9989" spans="1:7" ht="12" customHeight="1" outlineLevel="2" x14ac:dyDescent="0.2">
      <c r="A9989" s="14" t="s">
        <v>19645</v>
      </c>
      <c r="B9989" s="15" t="s">
        <v>19646</v>
      </c>
      <c r="C9989" s="16">
        <f>59.23/(1+B2)</f>
        <v>59.23</v>
      </c>
      <c r="D9989" s="17" t="s">
        <v>11</v>
      </c>
      <c r="E9989" s="17" t="s">
        <v>11</v>
      </c>
      <c r="F9989" s="18"/>
      <c r="G9989" s="36" t="str">
        <f>IF(ISNUMBER(F9989),C9989*F9989,"")</f>
        <v/>
      </c>
    </row>
    <row r="9990" spans="1:7" ht="12" customHeight="1" outlineLevel="2" x14ac:dyDescent="0.2">
      <c r="A9990" s="14" t="s">
        <v>19647</v>
      </c>
      <c r="B9990" s="15" t="s">
        <v>19648</v>
      </c>
      <c r="C9990" s="16">
        <f>33.41/(1+B2)</f>
        <v>33.409999999999997</v>
      </c>
      <c r="D9990" s="17" t="s">
        <v>106</v>
      </c>
      <c r="E9990" s="17"/>
      <c r="F9990" s="18"/>
      <c r="G9990" s="36" t="str">
        <f>IF(ISNUMBER(F9990),C9990*F9990,"")</f>
        <v/>
      </c>
    </row>
    <row r="9991" spans="1:7" ht="24" customHeight="1" outlineLevel="2" x14ac:dyDescent="0.2">
      <c r="A9991" s="14" t="s">
        <v>19649</v>
      </c>
      <c r="B9991" s="15" t="s">
        <v>19650</v>
      </c>
      <c r="C9991" s="16">
        <f>46.44/(1+B2)</f>
        <v>46.44</v>
      </c>
      <c r="D9991" s="17" t="s">
        <v>53</v>
      </c>
      <c r="E9991" s="17"/>
      <c r="F9991" s="18"/>
      <c r="G9991" s="36" t="str">
        <f>IF(ISNUMBER(F9991),C9991*F9991,"")</f>
        <v/>
      </c>
    </row>
    <row r="9992" spans="1:7" ht="12" customHeight="1" outlineLevel="2" x14ac:dyDescent="0.2">
      <c r="A9992" s="14" t="s">
        <v>19651</v>
      </c>
      <c r="B9992" s="15" t="s">
        <v>19652</v>
      </c>
      <c r="C9992" s="16">
        <f>37.99/(1+B2)</f>
        <v>37.99</v>
      </c>
      <c r="D9992" s="17" t="s">
        <v>106</v>
      </c>
      <c r="E9992" s="17"/>
      <c r="F9992" s="18"/>
      <c r="G9992" s="36" t="str">
        <f>IF(ISNUMBER(F9992),C9992*F9992,"")</f>
        <v/>
      </c>
    </row>
    <row r="9993" spans="1:7" ht="24" customHeight="1" outlineLevel="2" x14ac:dyDescent="0.2">
      <c r="A9993" s="14" t="s">
        <v>19653</v>
      </c>
      <c r="B9993" s="15" t="s">
        <v>19654</v>
      </c>
      <c r="C9993" s="16">
        <f>36.27/(1+B2)</f>
        <v>36.270000000000003</v>
      </c>
      <c r="D9993" s="17" t="s">
        <v>53</v>
      </c>
      <c r="E9993" s="17"/>
      <c r="F9993" s="18"/>
      <c r="G9993" s="36" t="str">
        <f>IF(ISNUMBER(F9993),C9993*F9993,"")</f>
        <v/>
      </c>
    </row>
    <row r="9994" spans="1:7" ht="24" customHeight="1" outlineLevel="2" x14ac:dyDescent="0.2">
      <c r="A9994" s="14" t="s">
        <v>19655</v>
      </c>
      <c r="B9994" s="15" t="s">
        <v>19656</v>
      </c>
      <c r="C9994" s="16">
        <f>39.06/(1+B2)</f>
        <v>39.06</v>
      </c>
      <c r="D9994" s="17" t="s">
        <v>11</v>
      </c>
      <c r="E9994" s="17"/>
      <c r="F9994" s="18"/>
      <c r="G9994" s="36" t="str">
        <f>IF(ISNUMBER(F9994),C9994*F9994,"")</f>
        <v/>
      </c>
    </row>
    <row r="9995" spans="1:7" ht="24" customHeight="1" outlineLevel="2" x14ac:dyDescent="0.2">
      <c r="A9995" s="14" t="s">
        <v>19657</v>
      </c>
      <c r="B9995" s="15" t="s">
        <v>19658</v>
      </c>
      <c r="C9995" s="16">
        <f>51.38/(1+B2)</f>
        <v>51.38</v>
      </c>
      <c r="D9995" s="17" t="s">
        <v>11</v>
      </c>
      <c r="E9995" s="17" t="s">
        <v>11</v>
      </c>
      <c r="F9995" s="18"/>
      <c r="G9995" s="36" t="str">
        <f>IF(ISNUMBER(F9995),C9995*F9995,"")</f>
        <v/>
      </c>
    </row>
    <row r="9996" spans="1:7" ht="24" customHeight="1" outlineLevel="2" x14ac:dyDescent="0.2">
      <c r="A9996" s="14" t="s">
        <v>19659</v>
      </c>
      <c r="B9996" s="15" t="s">
        <v>19660</v>
      </c>
      <c r="C9996" s="16">
        <f>53.4/(1+B2)</f>
        <v>53.4</v>
      </c>
      <c r="D9996" s="17" t="s">
        <v>11</v>
      </c>
      <c r="E9996" s="17"/>
      <c r="F9996" s="18"/>
      <c r="G9996" s="36" t="str">
        <f>IF(ISNUMBER(F9996),C9996*F9996,"")</f>
        <v/>
      </c>
    </row>
    <row r="9997" spans="1:7" ht="24" customHeight="1" outlineLevel="2" x14ac:dyDescent="0.2">
      <c r="A9997" s="14" t="s">
        <v>19661</v>
      </c>
      <c r="B9997" s="15" t="s">
        <v>19662</v>
      </c>
      <c r="C9997" s="16">
        <f>55.4/(1+B2)</f>
        <v>55.4</v>
      </c>
      <c r="D9997" s="17" t="s">
        <v>11</v>
      </c>
      <c r="E9997" s="17"/>
      <c r="F9997" s="18"/>
      <c r="G9997" s="36" t="str">
        <f>IF(ISNUMBER(F9997),C9997*F9997,"")</f>
        <v/>
      </c>
    </row>
    <row r="9998" spans="1:7" ht="12" customHeight="1" outlineLevel="2" x14ac:dyDescent="0.2">
      <c r="A9998" s="14" t="s">
        <v>19663</v>
      </c>
      <c r="B9998" s="15" t="s">
        <v>19664</v>
      </c>
      <c r="C9998" s="16">
        <f>30.89/(1+B2)</f>
        <v>30.89</v>
      </c>
      <c r="D9998" s="17" t="s">
        <v>11</v>
      </c>
      <c r="E9998" s="17"/>
      <c r="F9998" s="18"/>
      <c r="G9998" s="36" t="str">
        <f>IF(ISNUMBER(F9998),C9998*F9998,"")</f>
        <v/>
      </c>
    </row>
    <row r="9999" spans="1:7" ht="12" customHeight="1" outlineLevel="2" x14ac:dyDescent="0.2">
      <c r="A9999" s="14" t="s">
        <v>19665</v>
      </c>
      <c r="B9999" s="15" t="s">
        <v>19666</v>
      </c>
      <c r="C9999" s="16">
        <f>22.34/(1+B2)</f>
        <v>22.34</v>
      </c>
      <c r="D9999" s="17" t="s">
        <v>11</v>
      </c>
      <c r="E9999" s="17" t="s">
        <v>11</v>
      </c>
      <c r="F9999" s="18"/>
      <c r="G9999" s="36" t="str">
        <f>IF(ISNUMBER(F9999),C9999*F9999,"")</f>
        <v/>
      </c>
    </row>
    <row r="10000" spans="1:7" ht="12" customHeight="1" outlineLevel="2" x14ac:dyDescent="0.2">
      <c r="A10000" s="14" t="s">
        <v>19667</v>
      </c>
      <c r="B10000" s="15" t="s">
        <v>19668</v>
      </c>
      <c r="C10000" s="16">
        <f>52.15/(1+B2)</f>
        <v>52.15</v>
      </c>
      <c r="D10000" s="17" t="s">
        <v>14</v>
      </c>
      <c r="E10000" s="17" t="s">
        <v>11</v>
      </c>
      <c r="F10000" s="18"/>
      <c r="G10000" s="36" t="str">
        <f>IF(ISNUMBER(F10000),C10000*F10000,"")</f>
        <v/>
      </c>
    </row>
    <row r="10001" spans="1:7" ht="24" customHeight="1" outlineLevel="2" x14ac:dyDescent="0.2">
      <c r="A10001" s="14" t="s">
        <v>19669</v>
      </c>
      <c r="B10001" s="15" t="s">
        <v>19670</v>
      </c>
      <c r="C10001" s="16">
        <f>189.11/(1+B2)</f>
        <v>189.11</v>
      </c>
      <c r="D10001" s="17" t="s">
        <v>11</v>
      </c>
      <c r="E10001" s="17"/>
      <c r="F10001" s="18"/>
      <c r="G10001" s="36" t="str">
        <f>IF(ISNUMBER(F10001),C10001*F10001,"")</f>
        <v/>
      </c>
    </row>
    <row r="10002" spans="1:7" ht="12" customHeight="1" outlineLevel="2" x14ac:dyDescent="0.2">
      <c r="A10002" s="14" t="s">
        <v>19671</v>
      </c>
      <c r="B10002" s="15" t="s">
        <v>19672</v>
      </c>
      <c r="C10002" s="16">
        <f>22.72/(1+B2)</f>
        <v>22.72</v>
      </c>
      <c r="D10002" s="17" t="s">
        <v>11</v>
      </c>
      <c r="E10002" s="17"/>
      <c r="F10002" s="18"/>
      <c r="G10002" s="36" t="str">
        <f>IF(ISNUMBER(F10002),C10002*F10002,"")</f>
        <v/>
      </c>
    </row>
    <row r="10003" spans="1:7" ht="24" customHeight="1" outlineLevel="2" x14ac:dyDescent="0.2">
      <c r="A10003" s="14" t="s">
        <v>19673</v>
      </c>
      <c r="B10003" s="15" t="s">
        <v>19674</v>
      </c>
      <c r="C10003" s="16">
        <f>334.46/(1+B2)</f>
        <v>334.46</v>
      </c>
      <c r="D10003" s="17" t="s">
        <v>11</v>
      </c>
      <c r="E10003" s="17"/>
      <c r="F10003" s="18"/>
      <c r="G10003" s="36" t="str">
        <f>IF(ISNUMBER(F10003),C10003*F10003,"")</f>
        <v/>
      </c>
    </row>
    <row r="10004" spans="1:7" ht="12" customHeight="1" outlineLevel="2" x14ac:dyDescent="0.2">
      <c r="A10004" s="14" t="s">
        <v>19675</v>
      </c>
      <c r="B10004" s="15" t="s">
        <v>19676</v>
      </c>
      <c r="C10004" s="16">
        <f>31.73/(1+B2)</f>
        <v>31.73</v>
      </c>
      <c r="D10004" s="17" t="s">
        <v>11</v>
      </c>
      <c r="E10004" s="17"/>
      <c r="F10004" s="18"/>
      <c r="G10004" s="36" t="str">
        <f>IF(ISNUMBER(F10004),C10004*F10004,"")</f>
        <v/>
      </c>
    </row>
    <row r="10005" spans="1:7" ht="12" customHeight="1" outlineLevel="2" x14ac:dyDescent="0.2">
      <c r="A10005" s="14" t="s">
        <v>19677</v>
      </c>
      <c r="B10005" s="15" t="s">
        <v>19678</v>
      </c>
      <c r="C10005" s="16">
        <f>194.62/(1+B2)</f>
        <v>194.62</v>
      </c>
      <c r="D10005" s="17" t="s">
        <v>14</v>
      </c>
      <c r="E10005" s="17"/>
      <c r="F10005" s="18"/>
      <c r="G10005" s="36" t="str">
        <f>IF(ISNUMBER(F10005),C10005*F10005,"")</f>
        <v/>
      </c>
    </row>
    <row r="10006" spans="1:7" ht="12" customHeight="1" outlineLevel="2" x14ac:dyDescent="0.2">
      <c r="A10006" s="14" t="s">
        <v>19679</v>
      </c>
      <c r="B10006" s="15" t="s">
        <v>19680</v>
      </c>
      <c r="C10006" s="16">
        <f>125.1/(1+B2)</f>
        <v>125.1</v>
      </c>
      <c r="D10006" s="17" t="s">
        <v>14</v>
      </c>
      <c r="E10006" s="17" t="s">
        <v>11</v>
      </c>
      <c r="F10006" s="18"/>
      <c r="G10006" s="36" t="str">
        <f>IF(ISNUMBER(F10006),C10006*F10006,"")</f>
        <v/>
      </c>
    </row>
    <row r="10007" spans="1:7" ht="24" customHeight="1" outlineLevel="2" x14ac:dyDescent="0.2">
      <c r="A10007" s="14" t="s">
        <v>19681</v>
      </c>
      <c r="B10007" s="15" t="s">
        <v>19682</v>
      </c>
      <c r="C10007" s="16">
        <f>95.92/(1+B2)</f>
        <v>95.92</v>
      </c>
      <c r="D10007" s="17" t="s">
        <v>11</v>
      </c>
      <c r="E10007" s="17"/>
      <c r="F10007" s="18"/>
      <c r="G10007" s="36" t="str">
        <f>IF(ISNUMBER(F10007),C10007*F10007,"")</f>
        <v/>
      </c>
    </row>
    <row r="10008" spans="1:7" ht="24" customHeight="1" outlineLevel="2" x14ac:dyDescent="0.2">
      <c r="A10008" s="14" t="s">
        <v>19683</v>
      </c>
      <c r="B10008" s="15" t="s">
        <v>19684</v>
      </c>
      <c r="C10008" s="16">
        <f>93.18/(1+B2)</f>
        <v>93.18</v>
      </c>
      <c r="D10008" s="17" t="s">
        <v>14</v>
      </c>
      <c r="E10008" s="17"/>
      <c r="F10008" s="18"/>
      <c r="G10008" s="36" t="str">
        <f>IF(ISNUMBER(F10008),C10008*F10008,"")</f>
        <v/>
      </c>
    </row>
    <row r="10009" spans="1:7" ht="12" customHeight="1" outlineLevel="2" x14ac:dyDescent="0.2">
      <c r="A10009" s="14" t="s">
        <v>19685</v>
      </c>
      <c r="B10009" s="15" t="s">
        <v>19686</v>
      </c>
      <c r="C10009" s="16">
        <f>152.7/(1+B2)</f>
        <v>152.69999999999999</v>
      </c>
      <c r="D10009" s="17" t="s">
        <v>11</v>
      </c>
      <c r="E10009" s="17"/>
      <c r="F10009" s="18"/>
      <c r="G10009" s="36" t="str">
        <f>IF(ISNUMBER(F10009),C10009*F10009,"")</f>
        <v/>
      </c>
    </row>
    <row r="10010" spans="1:7" ht="12" customHeight="1" outlineLevel="2" x14ac:dyDescent="0.2">
      <c r="A10010" s="14" t="s">
        <v>19687</v>
      </c>
      <c r="B10010" s="15" t="s">
        <v>19688</v>
      </c>
      <c r="C10010" s="16">
        <f>66.77/(1+B2)</f>
        <v>66.77</v>
      </c>
      <c r="D10010" s="17" t="s">
        <v>11</v>
      </c>
      <c r="E10010" s="17"/>
      <c r="F10010" s="18"/>
      <c r="G10010" s="36" t="str">
        <f>IF(ISNUMBER(F10010),C10010*F10010,"")</f>
        <v/>
      </c>
    </row>
    <row r="10011" spans="1:7" ht="24" customHeight="1" outlineLevel="2" x14ac:dyDescent="0.2">
      <c r="A10011" s="14" t="s">
        <v>19689</v>
      </c>
      <c r="B10011" s="15" t="s">
        <v>19690</v>
      </c>
      <c r="C10011" s="16">
        <f>49.1/(1+B2)</f>
        <v>49.1</v>
      </c>
      <c r="D10011" s="17"/>
      <c r="E10011" s="17" t="s">
        <v>14</v>
      </c>
      <c r="F10011" s="18"/>
      <c r="G10011" s="36" t="str">
        <f>IF(ISNUMBER(F10011),C10011*F10011,"")</f>
        <v/>
      </c>
    </row>
    <row r="10012" spans="1:7" ht="24" customHeight="1" outlineLevel="2" x14ac:dyDescent="0.2">
      <c r="A10012" s="14" t="s">
        <v>19691</v>
      </c>
      <c r="B10012" s="15" t="s">
        <v>19692</v>
      </c>
      <c r="C10012" s="16">
        <f>97.07/(1+B2)</f>
        <v>97.07</v>
      </c>
      <c r="D10012" s="17" t="s">
        <v>11</v>
      </c>
      <c r="E10012" s="17"/>
      <c r="F10012" s="18"/>
      <c r="G10012" s="36" t="str">
        <f>IF(ISNUMBER(F10012),C10012*F10012,"")</f>
        <v/>
      </c>
    </row>
    <row r="10013" spans="1:7" ht="24" customHeight="1" outlineLevel="2" x14ac:dyDescent="0.2">
      <c r="A10013" s="14" t="s">
        <v>19693</v>
      </c>
      <c r="B10013" s="15" t="s">
        <v>19694</v>
      </c>
      <c r="C10013" s="16">
        <f>168.47/(1+B2)</f>
        <v>168.47</v>
      </c>
      <c r="D10013" s="17" t="s">
        <v>11</v>
      </c>
      <c r="E10013" s="17" t="s">
        <v>11</v>
      </c>
      <c r="F10013" s="18"/>
      <c r="G10013" s="36" t="str">
        <f>IF(ISNUMBER(F10013),C10013*F10013,"")</f>
        <v/>
      </c>
    </row>
    <row r="10014" spans="1:7" ht="12" customHeight="1" outlineLevel="2" x14ac:dyDescent="0.2">
      <c r="A10014" s="14" t="s">
        <v>19695</v>
      </c>
      <c r="B10014" s="15" t="s">
        <v>19696</v>
      </c>
      <c r="C10014" s="16">
        <f>25.13/(1+B2)</f>
        <v>25.13</v>
      </c>
      <c r="D10014" s="17" t="s">
        <v>11</v>
      </c>
      <c r="E10014" s="17" t="s">
        <v>53</v>
      </c>
      <c r="F10014" s="18"/>
      <c r="G10014" s="36" t="str">
        <f>IF(ISNUMBER(F10014),C10014*F10014,"")</f>
        <v/>
      </c>
    </row>
    <row r="10015" spans="1:7" ht="24" customHeight="1" outlineLevel="2" x14ac:dyDescent="0.2">
      <c r="A10015" s="14" t="s">
        <v>19697</v>
      </c>
      <c r="B10015" s="15" t="s">
        <v>19698</v>
      </c>
      <c r="C10015" s="16">
        <f>147.31/(1+B2)</f>
        <v>147.31</v>
      </c>
      <c r="D10015" s="17" t="s">
        <v>11</v>
      </c>
      <c r="E10015" s="17" t="s">
        <v>14</v>
      </c>
      <c r="F10015" s="18"/>
      <c r="G10015" s="36" t="str">
        <f>IF(ISNUMBER(F10015),C10015*F10015,"")</f>
        <v/>
      </c>
    </row>
    <row r="10016" spans="1:7" ht="24" customHeight="1" outlineLevel="2" x14ac:dyDescent="0.2">
      <c r="A10016" s="14" t="s">
        <v>19699</v>
      </c>
      <c r="B10016" s="15" t="s">
        <v>19700</v>
      </c>
      <c r="C10016" s="16">
        <f>137.31/(1+B2)</f>
        <v>137.31</v>
      </c>
      <c r="D10016" s="17" t="s">
        <v>11</v>
      </c>
      <c r="E10016" s="17"/>
      <c r="F10016" s="18"/>
      <c r="G10016" s="36" t="str">
        <f>IF(ISNUMBER(F10016),C10016*F10016,"")</f>
        <v/>
      </c>
    </row>
    <row r="10017" spans="1:7" ht="24" customHeight="1" outlineLevel="2" x14ac:dyDescent="0.2">
      <c r="A10017" s="14" t="s">
        <v>19701</v>
      </c>
      <c r="B10017" s="15" t="s">
        <v>19702</v>
      </c>
      <c r="C10017" s="16">
        <f>74.22/(1+B2)</f>
        <v>74.22</v>
      </c>
      <c r="D10017" s="17" t="s">
        <v>11</v>
      </c>
      <c r="E10017" s="17"/>
      <c r="F10017" s="18"/>
      <c r="G10017" s="36" t="str">
        <f>IF(ISNUMBER(F10017),C10017*F10017,"")</f>
        <v/>
      </c>
    </row>
    <row r="10018" spans="1:7" ht="12" customHeight="1" outlineLevel="2" x14ac:dyDescent="0.2">
      <c r="A10018" s="14" t="s">
        <v>19703</v>
      </c>
      <c r="B10018" s="15" t="s">
        <v>19704</v>
      </c>
      <c r="C10018" s="16">
        <f>131.32/(1+B2)</f>
        <v>131.32</v>
      </c>
      <c r="D10018" s="17" t="s">
        <v>11</v>
      </c>
      <c r="E10018" s="17"/>
      <c r="F10018" s="18"/>
      <c r="G10018" s="36" t="str">
        <f>IF(ISNUMBER(F10018),C10018*F10018,"")</f>
        <v/>
      </c>
    </row>
    <row r="10019" spans="1:7" ht="24" customHeight="1" outlineLevel="2" x14ac:dyDescent="0.2">
      <c r="A10019" s="14" t="s">
        <v>19705</v>
      </c>
      <c r="B10019" s="15" t="s">
        <v>19706</v>
      </c>
      <c r="C10019" s="16">
        <f>197.98/(1+B2)</f>
        <v>197.98</v>
      </c>
      <c r="D10019" s="17" t="s">
        <v>11</v>
      </c>
      <c r="E10019" s="17"/>
      <c r="F10019" s="18"/>
      <c r="G10019" s="36" t="str">
        <f>IF(ISNUMBER(F10019),C10019*F10019,"")</f>
        <v/>
      </c>
    </row>
    <row r="10020" spans="1:7" ht="12" customHeight="1" outlineLevel="2" x14ac:dyDescent="0.2">
      <c r="A10020" s="14" t="s">
        <v>19707</v>
      </c>
      <c r="B10020" s="15" t="s">
        <v>19708</v>
      </c>
      <c r="C10020" s="16">
        <f>309.84/(1+B2)</f>
        <v>309.83999999999997</v>
      </c>
      <c r="D10020" s="17" t="s">
        <v>11</v>
      </c>
      <c r="E10020" s="17"/>
      <c r="F10020" s="18"/>
      <c r="G10020" s="36" t="str">
        <f>IF(ISNUMBER(F10020),C10020*F10020,"")</f>
        <v/>
      </c>
    </row>
    <row r="10021" spans="1:7" ht="12" customHeight="1" outlineLevel="2" x14ac:dyDescent="0.2">
      <c r="A10021" s="14" t="s">
        <v>19709</v>
      </c>
      <c r="B10021" s="15" t="s">
        <v>19710</v>
      </c>
      <c r="C10021" s="16">
        <f>145.02/(1+B2)</f>
        <v>145.02000000000001</v>
      </c>
      <c r="D10021" s="17" t="s">
        <v>11</v>
      </c>
      <c r="E10021" s="17"/>
      <c r="F10021" s="18"/>
      <c r="G10021" s="36" t="str">
        <f>IF(ISNUMBER(F10021),C10021*F10021,"")</f>
        <v/>
      </c>
    </row>
    <row r="10022" spans="1:7" ht="12" customHeight="1" outlineLevel="2" x14ac:dyDescent="0.2">
      <c r="A10022" s="14" t="s">
        <v>19711</v>
      </c>
      <c r="B10022" s="15" t="s">
        <v>19712</v>
      </c>
      <c r="C10022" s="16">
        <f>55.96/(1+B2)</f>
        <v>55.96</v>
      </c>
      <c r="D10022" s="17" t="s">
        <v>11</v>
      </c>
      <c r="E10022" s="17" t="s">
        <v>11</v>
      </c>
      <c r="F10022" s="18"/>
      <c r="G10022" s="36" t="str">
        <f>IF(ISNUMBER(F10022),C10022*F10022,"")</f>
        <v/>
      </c>
    </row>
    <row r="10023" spans="1:7" ht="24" customHeight="1" outlineLevel="2" x14ac:dyDescent="0.2">
      <c r="A10023" s="14" t="s">
        <v>19713</v>
      </c>
      <c r="B10023" s="15" t="s">
        <v>19714</v>
      </c>
      <c r="C10023" s="16">
        <f>100.62/(1+B2)</f>
        <v>100.62</v>
      </c>
      <c r="D10023" s="17" t="s">
        <v>11</v>
      </c>
      <c r="E10023" s="17"/>
      <c r="F10023" s="18"/>
      <c r="G10023" s="36" t="str">
        <f>IF(ISNUMBER(F10023),C10023*F10023,"")</f>
        <v/>
      </c>
    </row>
    <row r="10024" spans="1:7" ht="24" customHeight="1" outlineLevel="2" x14ac:dyDescent="0.2">
      <c r="A10024" s="14" t="s">
        <v>19715</v>
      </c>
      <c r="B10024" s="15" t="s">
        <v>19716</v>
      </c>
      <c r="C10024" s="16">
        <f>95.14/(1+B2)</f>
        <v>95.14</v>
      </c>
      <c r="D10024" s="17" t="s">
        <v>11</v>
      </c>
      <c r="E10024" s="17" t="s">
        <v>11</v>
      </c>
      <c r="F10024" s="18"/>
      <c r="G10024" s="36" t="str">
        <f>IF(ISNUMBER(F10024),C10024*F10024,"")</f>
        <v/>
      </c>
    </row>
    <row r="10025" spans="1:7" ht="24" customHeight="1" outlineLevel="2" x14ac:dyDescent="0.2">
      <c r="A10025" s="14" t="s">
        <v>19717</v>
      </c>
      <c r="B10025" s="15" t="s">
        <v>19718</v>
      </c>
      <c r="C10025" s="16">
        <f>35.3/(1+B2)</f>
        <v>35.299999999999997</v>
      </c>
      <c r="D10025" s="17" t="s">
        <v>14</v>
      </c>
      <c r="E10025" s="17" t="s">
        <v>11</v>
      </c>
      <c r="F10025" s="18"/>
      <c r="G10025" s="36" t="str">
        <f>IF(ISNUMBER(F10025),C10025*F10025,"")</f>
        <v/>
      </c>
    </row>
    <row r="10026" spans="1:7" ht="24" customHeight="1" outlineLevel="2" x14ac:dyDescent="0.2">
      <c r="A10026" s="14" t="s">
        <v>19719</v>
      </c>
      <c r="B10026" s="15" t="s">
        <v>19720</v>
      </c>
      <c r="C10026" s="16">
        <f>112.74/(1+B2)</f>
        <v>112.74</v>
      </c>
      <c r="D10026" s="17" t="s">
        <v>14</v>
      </c>
      <c r="E10026" s="17"/>
      <c r="F10026" s="18"/>
      <c r="G10026" s="36" t="str">
        <f>IF(ISNUMBER(F10026),C10026*F10026,"")</f>
        <v/>
      </c>
    </row>
    <row r="10027" spans="1:7" ht="24" customHeight="1" outlineLevel="2" x14ac:dyDescent="0.2">
      <c r="A10027" s="14" t="s">
        <v>19721</v>
      </c>
      <c r="B10027" s="15" t="s">
        <v>19722</v>
      </c>
      <c r="C10027" s="16">
        <f>119.78/(1+B2)</f>
        <v>119.78</v>
      </c>
      <c r="D10027" s="17" t="s">
        <v>11</v>
      </c>
      <c r="E10027" s="17"/>
      <c r="F10027" s="18"/>
      <c r="G10027" s="36" t="str">
        <f>IF(ISNUMBER(F10027),C10027*F10027,"")</f>
        <v/>
      </c>
    </row>
    <row r="10028" spans="1:7" ht="12" customHeight="1" outlineLevel="2" x14ac:dyDescent="0.2">
      <c r="A10028" s="14" t="s">
        <v>19723</v>
      </c>
      <c r="B10028" s="15" t="s">
        <v>19724</v>
      </c>
      <c r="C10028" s="16">
        <f>67.37/(1+B2)</f>
        <v>67.37</v>
      </c>
      <c r="D10028" s="17" t="s">
        <v>11</v>
      </c>
      <c r="E10028" s="17"/>
      <c r="F10028" s="18"/>
      <c r="G10028" s="36" t="str">
        <f>IF(ISNUMBER(F10028),C10028*F10028,"")</f>
        <v/>
      </c>
    </row>
    <row r="10029" spans="1:7" ht="12" customHeight="1" outlineLevel="2" x14ac:dyDescent="0.2">
      <c r="A10029" s="14" t="s">
        <v>19725</v>
      </c>
      <c r="B10029" s="15" t="s">
        <v>19726</v>
      </c>
      <c r="C10029" s="16">
        <f>18.28/(1+B2)</f>
        <v>18.28</v>
      </c>
      <c r="D10029" s="17" t="s">
        <v>11</v>
      </c>
      <c r="E10029" s="17" t="s">
        <v>14</v>
      </c>
      <c r="F10029" s="18"/>
      <c r="G10029" s="36" t="str">
        <f>IF(ISNUMBER(F10029),C10029*F10029,"")</f>
        <v/>
      </c>
    </row>
    <row r="10030" spans="1:7" ht="12" customHeight="1" outlineLevel="2" x14ac:dyDescent="0.2">
      <c r="A10030" s="14" t="s">
        <v>19727</v>
      </c>
      <c r="B10030" s="15" t="s">
        <v>19728</v>
      </c>
      <c r="C10030" s="16">
        <f>44.53/(1+B2)</f>
        <v>44.53</v>
      </c>
      <c r="D10030" s="17" t="s">
        <v>11</v>
      </c>
      <c r="E10030" s="17" t="s">
        <v>53</v>
      </c>
      <c r="F10030" s="18"/>
      <c r="G10030" s="36" t="str">
        <f>IF(ISNUMBER(F10030),C10030*F10030,"")</f>
        <v/>
      </c>
    </row>
    <row r="10031" spans="1:7" ht="24" customHeight="1" outlineLevel="2" x14ac:dyDescent="0.2">
      <c r="A10031" s="14" t="s">
        <v>19729</v>
      </c>
      <c r="B10031" s="15" t="s">
        <v>19730</v>
      </c>
      <c r="C10031" s="16">
        <f>62.81/(1+B2)</f>
        <v>62.81</v>
      </c>
      <c r="D10031" s="17" t="s">
        <v>11</v>
      </c>
      <c r="E10031" s="17" t="s">
        <v>14</v>
      </c>
      <c r="F10031" s="18"/>
      <c r="G10031" s="36" t="str">
        <f>IF(ISNUMBER(F10031),C10031*F10031,"")</f>
        <v/>
      </c>
    </row>
    <row r="10032" spans="1:7" ht="24" customHeight="1" outlineLevel="2" x14ac:dyDescent="0.2">
      <c r="A10032" s="14" t="s">
        <v>19731</v>
      </c>
      <c r="B10032" s="15" t="s">
        <v>19732</v>
      </c>
      <c r="C10032" s="16">
        <f>33.8/(1+B2)</f>
        <v>33.799999999999997</v>
      </c>
      <c r="D10032" s="17" t="s">
        <v>14</v>
      </c>
      <c r="E10032" s="17"/>
      <c r="F10032" s="18"/>
      <c r="G10032" s="36" t="str">
        <f>IF(ISNUMBER(F10032),C10032*F10032,"")</f>
        <v/>
      </c>
    </row>
    <row r="10033" spans="1:7" ht="12" customHeight="1" outlineLevel="2" x14ac:dyDescent="0.2">
      <c r="A10033" s="14" t="s">
        <v>19733</v>
      </c>
      <c r="B10033" s="15" t="s">
        <v>19734</v>
      </c>
      <c r="C10033" s="16">
        <f>17.23/(1+B2)</f>
        <v>17.23</v>
      </c>
      <c r="D10033" s="17" t="s">
        <v>11</v>
      </c>
      <c r="E10033" s="17"/>
      <c r="F10033" s="18"/>
      <c r="G10033" s="36" t="str">
        <f>IF(ISNUMBER(F10033),C10033*F10033,"")</f>
        <v/>
      </c>
    </row>
    <row r="10034" spans="1:7" ht="12" customHeight="1" outlineLevel="2" x14ac:dyDescent="0.2">
      <c r="A10034" s="14" t="s">
        <v>19735</v>
      </c>
      <c r="B10034" s="15" t="s">
        <v>19736</v>
      </c>
      <c r="C10034" s="16">
        <f>50.34/(1+B2)</f>
        <v>50.34</v>
      </c>
      <c r="D10034" s="17" t="s">
        <v>11</v>
      </c>
      <c r="E10034" s="17" t="s">
        <v>14</v>
      </c>
      <c r="F10034" s="18"/>
      <c r="G10034" s="36" t="str">
        <f>IF(ISNUMBER(F10034),C10034*F10034,"")</f>
        <v/>
      </c>
    </row>
    <row r="10035" spans="1:7" ht="24" customHeight="1" outlineLevel="2" x14ac:dyDescent="0.2">
      <c r="A10035" s="14" t="s">
        <v>19737</v>
      </c>
      <c r="B10035" s="15" t="s">
        <v>19738</v>
      </c>
      <c r="C10035" s="16">
        <f>39.13/(1+B2)</f>
        <v>39.130000000000003</v>
      </c>
      <c r="D10035" s="17" t="s">
        <v>11</v>
      </c>
      <c r="E10035" s="17"/>
      <c r="F10035" s="18"/>
      <c r="G10035" s="36" t="str">
        <f>IF(ISNUMBER(F10035),C10035*F10035,"")</f>
        <v/>
      </c>
    </row>
    <row r="10036" spans="1:7" ht="12" customHeight="1" outlineLevel="2" x14ac:dyDescent="0.2">
      <c r="A10036" s="14" t="s">
        <v>19739</v>
      </c>
      <c r="B10036" s="15" t="s">
        <v>19740</v>
      </c>
      <c r="C10036" s="16">
        <f>47.79/(1+B2)</f>
        <v>47.79</v>
      </c>
      <c r="D10036" s="17"/>
      <c r="E10036" s="17" t="s">
        <v>53</v>
      </c>
      <c r="F10036" s="18"/>
      <c r="G10036" s="36" t="str">
        <f>IF(ISNUMBER(F10036),C10036*F10036,"")</f>
        <v/>
      </c>
    </row>
    <row r="10037" spans="1:7" ht="24" customHeight="1" outlineLevel="2" x14ac:dyDescent="0.2">
      <c r="A10037" s="14" t="s">
        <v>19741</v>
      </c>
      <c r="B10037" s="15" t="s">
        <v>19742</v>
      </c>
      <c r="C10037" s="16">
        <f>132.46/(1+B2)</f>
        <v>132.46</v>
      </c>
      <c r="D10037" s="17" t="s">
        <v>14</v>
      </c>
      <c r="E10037" s="17" t="s">
        <v>11</v>
      </c>
      <c r="F10037" s="18"/>
      <c r="G10037" s="36" t="str">
        <f>IF(ISNUMBER(F10037),C10037*F10037,"")</f>
        <v/>
      </c>
    </row>
    <row r="10038" spans="1:7" ht="24" customHeight="1" outlineLevel="2" x14ac:dyDescent="0.2">
      <c r="A10038" s="14" t="s">
        <v>19743</v>
      </c>
      <c r="B10038" s="15" t="s">
        <v>19744</v>
      </c>
      <c r="C10038" s="16">
        <f>119.48/(1+B2)</f>
        <v>119.48</v>
      </c>
      <c r="D10038" s="17" t="s">
        <v>14</v>
      </c>
      <c r="E10038" s="17" t="s">
        <v>11</v>
      </c>
      <c r="F10038" s="18"/>
      <c r="G10038" s="36" t="str">
        <f>IF(ISNUMBER(F10038),C10038*F10038,"")</f>
        <v/>
      </c>
    </row>
    <row r="10039" spans="1:7" ht="12" customHeight="1" outlineLevel="2" x14ac:dyDescent="0.2">
      <c r="A10039" s="14" t="s">
        <v>19745</v>
      </c>
      <c r="B10039" s="15" t="s">
        <v>19746</v>
      </c>
      <c r="C10039" s="16">
        <f>26.73/(1+B2)</f>
        <v>26.73</v>
      </c>
      <c r="D10039" s="17" t="s">
        <v>11</v>
      </c>
      <c r="E10039" s="17" t="s">
        <v>106</v>
      </c>
      <c r="F10039" s="18"/>
      <c r="G10039" s="36" t="str">
        <f>IF(ISNUMBER(F10039),C10039*F10039,"")</f>
        <v/>
      </c>
    </row>
    <row r="10040" spans="1:7" ht="12" customHeight="1" outlineLevel="2" x14ac:dyDescent="0.2">
      <c r="A10040" s="14" t="s">
        <v>19747</v>
      </c>
      <c r="B10040" s="15" t="s">
        <v>19748</v>
      </c>
      <c r="C10040" s="16">
        <f>150.03/(1+B2)</f>
        <v>150.03</v>
      </c>
      <c r="D10040" s="17" t="s">
        <v>11</v>
      </c>
      <c r="E10040" s="17" t="s">
        <v>53</v>
      </c>
      <c r="F10040" s="18"/>
      <c r="G10040" s="36" t="str">
        <f>IF(ISNUMBER(F10040),C10040*F10040,"")</f>
        <v/>
      </c>
    </row>
    <row r="10041" spans="1:7" ht="12" customHeight="1" outlineLevel="2" x14ac:dyDescent="0.2">
      <c r="A10041" s="14" t="s">
        <v>19749</v>
      </c>
      <c r="B10041" s="15" t="s">
        <v>19750</v>
      </c>
      <c r="C10041" s="16">
        <f>34.35/(1+B2)</f>
        <v>34.35</v>
      </c>
      <c r="D10041" s="17" t="s">
        <v>11</v>
      </c>
      <c r="E10041" s="17"/>
      <c r="F10041" s="18"/>
      <c r="G10041" s="36" t="str">
        <f>IF(ISNUMBER(F10041),C10041*F10041,"")</f>
        <v/>
      </c>
    </row>
    <row r="10042" spans="1:7" ht="24" customHeight="1" outlineLevel="2" x14ac:dyDescent="0.2">
      <c r="A10042" s="14" t="s">
        <v>19751</v>
      </c>
      <c r="B10042" s="15" t="s">
        <v>19752</v>
      </c>
      <c r="C10042" s="16">
        <f>95.12/(1+B2)</f>
        <v>95.12</v>
      </c>
      <c r="D10042" s="17" t="s">
        <v>11</v>
      </c>
      <c r="E10042" s="17" t="s">
        <v>11</v>
      </c>
      <c r="F10042" s="18"/>
      <c r="G10042" s="36" t="str">
        <f>IF(ISNUMBER(F10042),C10042*F10042,"")</f>
        <v/>
      </c>
    </row>
    <row r="10043" spans="1:7" ht="24" customHeight="1" outlineLevel="2" x14ac:dyDescent="0.2">
      <c r="A10043" s="14" t="s">
        <v>19753</v>
      </c>
      <c r="B10043" s="15" t="s">
        <v>19754</v>
      </c>
      <c r="C10043" s="16">
        <f>181.56/(1+B2)</f>
        <v>181.56</v>
      </c>
      <c r="D10043" s="17" t="s">
        <v>11</v>
      </c>
      <c r="E10043" s="17" t="s">
        <v>14</v>
      </c>
      <c r="F10043" s="18"/>
      <c r="G10043" s="36" t="str">
        <f>IF(ISNUMBER(F10043),C10043*F10043,"")</f>
        <v/>
      </c>
    </row>
    <row r="10044" spans="1:7" ht="24" customHeight="1" outlineLevel="2" x14ac:dyDescent="0.2">
      <c r="A10044" s="14" t="s">
        <v>19755</v>
      </c>
      <c r="B10044" s="15" t="s">
        <v>19756</v>
      </c>
      <c r="C10044" s="16">
        <f>88.33/(1+B2)</f>
        <v>88.33</v>
      </c>
      <c r="D10044" s="17" t="s">
        <v>11</v>
      </c>
      <c r="E10044" s="17"/>
      <c r="F10044" s="18"/>
      <c r="G10044" s="36" t="str">
        <f>IF(ISNUMBER(F10044),C10044*F10044,"")</f>
        <v/>
      </c>
    </row>
    <row r="10045" spans="1:7" ht="24" customHeight="1" outlineLevel="2" x14ac:dyDescent="0.2">
      <c r="A10045" s="14" t="s">
        <v>19757</v>
      </c>
      <c r="B10045" s="15" t="s">
        <v>19758</v>
      </c>
      <c r="C10045" s="16">
        <f>154.16/(1+B2)</f>
        <v>154.16</v>
      </c>
      <c r="D10045" s="17" t="s">
        <v>11</v>
      </c>
      <c r="E10045" s="17" t="s">
        <v>14</v>
      </c>
      <c r="F10045" s="18"/>
      <c r="G10045" s="36" t="str">
        <f>IF(ISNUMBER(F10045),C10045*F10045,"")</f>
        <v/>
      </c>
    </row>
    <row r="10046" spans="1:7" ht="24" customHeight="1" outlineLevel="2" x14ac:dyDescent="0.2">
      <c r="A10046" s="14" t="s">
        <v>19759</v>
      </c>
      <c r="B10046" s="15" t="s">
        <v>19760</v>
      </c>
      <c r="C10046" s="16">
        <f>258.13/(1+B2)</f>
        <v>258.13</v>
      </c>
      <c r="D10046" s="17" t="s">
        <v>14</v>
      </c>
      <c r="E10046" s="17" t="s">
        <v>14</v>
      </c>
      <c r="F10046" s="18"/>
      <c r="G10046" s="36" t="str">
        <f>IF(ISNUMBER(F10046),C10046*F10046,"")</f>
        <v/>
      </c>
    </row>
    <row r="10047" spans="1:7" ht="12" customHeight="1" outlineLevel="2" x14ac:dyDescent="0.2">
      <c r="A10047" s="14" t="s">
        <v>19761</v>
      </c>
      <c r="B10047" s="15" t="s">
        <v>19762</v>
      </c>
      <c r="C10047" s="16">
        <f>52.36/(1+B2)</f>
        <v>52.36</v>
      </c>
      <c r="D10047" s="17" t="s">
        <v>14</v>
      </c>
      <c r="E10047" s="17"/>
      <c r="F10047" s="18"/>
      <c r="G10047" s="36" t="str">
        <f>IF(ISNUMBER(F10047),C10047*F10047,"")</f>
        <v/>
      </c>
    </row>
    <row r="10048" spans="1:7" s="1" customFormat="1" ht="15.95" customHeight="1" outlineLevel="1" x14ac:dyDescent="0.25">
      <c r="A10048" s="11"/>
      <c r="B10048" s="12" t="s">
        <v>19763</v>
      </c>
      <c r="C10048" s="13"/>
      <c r="D10048" s="13"/>
      <c r="E10048" s="13"/>
      <c r="F10048" s="13"/>
      <c r="G10048" s="35"/>
    </row>
    <row r="10049" spans="1:7" ht="12" customHeight="1" outlineLevel="2" x14ac:dyDescent="0.2">
      <c r="A10049" s="14" t="s">
        <v>19764</v>
      </c>
      <c r="B10049" s="15" t="s">
        <v>19765</v>
      </c>
      <c r="C10049" s="16">
        <f>17.53/(1+B2)</f>
        <v>17.53</v>
      </c>
      <c r="D10049" s="17" t="s">
        <v>53</v>
      </c>
      <c r="E10049" s="17" t="s">
        <v>14</v>
      </c>
      <c r="F10049" s="18"/>
      <c r="G10049" s="36" t="str">
        <f>IF(ISNUMBER(F10049),C10049*F10049,"")</f>
        <v/>
      </c>
    </row>
    <row r="10050" spans="1:7" ht="24" customHeight="1" outlineLevel="2" x14ac:dyDescent="0.2">
      <c r="A10050" s="14" t="s">
        <v>19766</v>
      </c>
      <c r="B10050" s="15" t="s">
        <v>19767</v>
      </c>
      <c r="C10050" s="16">
        <f>14.99/(1+B2)</f>
        <v>14.99</v>
      </c>
      <c r="D10050" s="17" t="s">
        <v>53</v>
      </c>
      <c r="E10050" s="17"/>
      <c r="F10050" s="18"/>
      <c r="G10050" s="36" t="str">
        <f>IF(ISNUMBER(F10050),C10050*F10050,"")</f>
        <v/>
      </c>
    </row>
    <row r="10051" spans="1:7" ht="24" customHeight="1" outlineLevel="2" x14ac:dyDescent="0.2">
      <c r="A10051" s="14" t="s">
        <v>19768</v>
      </c>
      <c r="B10051" s="15" t="s">
        <v>19769</v>
      </c>
      <c r="C10051" s="16">
        <f>13.49/(1+B2)</f>
        <v>13.49</v>
      </c>
      <c r="D10051" s="17" t="s">
        <v>53</v>
      </c>
      <c r="E10051" s="17"/>
      <c r="F10051" s="18"/>
      <c r="G10051" s="36" t="str">
        <f>IF(ISNUMBER(F10051),C10051*F10051,"")</f>
        <v/>
      </c>
    </row>
    <row r="10052" spans="1:7" ht="24" customHeight="1" outlineLevel="2" x14ac:dyDescent="0.2">
      <c r="A10052" s="14" t="s">
        <v>19770</v>
      </c>
      <c r="B10052" s="15" t="s">
        <v>19771</v>
      </c>
      <c r="C10052" s="16">
        <f>13.72/(1+B2)</f>
        <v>13.72</v>
      </c>
      <c r="D10052" s="17" t="s">
        <v>53</v>
      </c>
      <c r="E10052" s="17"/>
      <c r="F10052" s="18"/>
      <c r="G10052" s="36" t="str">
        <f>IF(ISNUMBER(F10052),C10052*F10052,"")</f>
        <v/>
      </c>
    </row>
    <row r="10053" spans="1:7" ht="12" customHeight="1" outlineLevel="2" x14ac:dyDescent="0.2">
      <c r="A10053" s="14" t="s">
        <v>19772</v>
      </c>
      <c r="B10053" s="15" t="s">
        <v>19773</v>
      </c>
      <c r="C10053" s="16">
        <f>35.06/(1+B2)</f>
        <v>35.06</v>
      </c>
      <c r="D10053" s="17" t="s">
        <v>11</v>
      </c>
      <c r="E10053" s="17" t="s">
        <v>14</v>
      </c>
      <c r="F10053" s="18"/>
      <c r="G10053" s="36" t="str">
        <f>IF(ISNUMBER(F10053),C10053*F10053,"")</f>
        <v/>
      </c>
    </row>
    <row r="10054" spans="1:7" ht="12" customHeight="1" outlineLevel="2" x14ac:dyDescent="0.2">
      <c r="A10054" s="14" t="s">
        <v>19774</v>
      </c>
      <c r="B10054" s="15" t="s">
        <v>19775</v>
      </c>
      <c r="C10054" s="16">
        <f>11.74/(1+B2)</f>
        <v>11.74</v>
      </c>
      <c r="D10054" s="17" t="s">
        <v>53</v>
      </c>
      <c r="E10054" s="17" t="s">
        <v>53</v>
      </c>
      <c r="F10054" s="18"/>
      <c r="G10054" s="36" t="str">
        <f>IF(ISNUMBER(F10054),C10054*F10054,"")</f>
        <v/>
      </c>
    </row>
    <row r="10055" spans="1:7" ht="12" customHeight="1" outlineLevel="2" x14ac:dyDescent="0.2">
      <c r="A10055" s="14" t="s">
        <v>19776</v>
      </c>
      <c r="B10055" s="15" t="s">
        <v>19777</v>
      </c>
      <c r="C10055" s="16">
        <f>27.73/(1+B2)</f>
        <v>27.73</v>
      </c>
      <c r="D10055" s="17" t="s">
        <v>11</v>
      </c>
      <c r="E10055" s="17" t="s">
        <v>53</v>
      </c>
      <c r="F10055" s="18"/>
      <c r="G10055" s="36" t="str">
        <f>IF(ISNUMBER(F10055),C10055*F10055,"")</f>
        <v/>
      </c>
    </row>
    <row r="10056" spans="1:7" ht="12" customHeight="1" outlineLevel="2" x14ac:dyDescent="0.2">
      <c r="A10056" s="14" t="s">
        <v>19778</v>
      </c>
      <c r="B10056" s="15" t="s">
        <v>19779</v>
      </c>
      <c r="C10056" s="16">
        <f>15/(1+B2)</f>
        <v>15</v>
      </c>
      <c r="D10056" s="17" t="s">
        <v>11</v>
      </c>
      <c r="E10056" s="17" t="s">
        <v>53</v>
      </c>
      <c r="F10056" s="18"/>
      <c r="G10056" s="36" t="str">
        <f>IF(ISNUMBER(F10056),C10056*F10056,"")</f>
        <v/>
      </c>
    </row>
    <row r="10057" spans="1:7" ht="12" customHeight="1" outlineLevel="2" x14ac:dyDescent="0.2">
      <c r="A10057" s="14" t="s">
        <v>19780</v>
      </c>
      <c r="B10057" s="15" t="s">
        <v>19781</v>
      </c>
      <c r="C10057" s="16">
        <f>49.62/(1+B2)</f>
        <v>49.62</v>
      </c>
      <c r="D10057" s="17" t="s">
        <v>11</v>
      </c>
      <c r="E10057" s="17"/>
      <c r="F10057" s="18"/>
      <c r="G10057" s="36" t="str">
        <f>IF(ISNUMBER(F10057),C10057*F10057,"")</f>
        <v/>
      </c>
    </row>
    <row r="10058" spans="1:7" ht="12" customHeight="1" outlineLevel="2" x14ac:dyDescent="0.2">
      <c r="A10058" s="14" t="s">
        <v>19782</v>
      </c>
      <c r="B10058" s="15" t="s">
        <v>19783</v>
      </c>
      <c r="C10058" s="16">
        <f>35.7/(1+B2)</f>
        <v>35.700000000000003</v>
      </c>
      <c r="D10058" s="17" t="s">
        <v>11</v>
      </c>
      <c r="E10058" s="17"/>
      <c r="F10058" s="18"/>
      <c r="G10058" s="36" t="str">
        <f>IF(ISNUMBER(F10058),C10058*F10058,"")</f>
        <v/>
      </c>
    </row>
    <row r="10059" spans="1:7" ht="12" customHeight="1" outlineLevel="2" x14ac:dyDescent="0.2">
      <c r="A10059" s="14" t="s">
        <v>19784</v>
      </c>
      <c r="B10059" s="15" t="s">
        <v>19785</v>
      </c>
      <c r="C10059" s="16">
        <f>20.36/(1+B2)</f>
        <v>20.36</v>
      </c>
      <c r="D10059" s="17" t="s">
        <v>14</v>
      </c>
      <c r="E10059" s="17"/>
      <c r="F10059" s="18"/>
      <c r="G10059" s="36" t="str">
        <f>IF(ISNUMBER(F10059),C10059*F10059,"")</f>
        <v/>
      </c>
    </row>
    <row r="10060" spans="1:7" ht="12" customHeight="1" outlineLevel="2" x14ac:dyDescent="0.2">
      <c r="A10060" s="14" t="s">
        <v>19786</v>
      </c>
      <c r="B10060" s="15" t="s">
        <v>19787</v>
      </c>
      <c r="C10060" s="16">
        <f>15.11/(1+B2)</f>
        <v>15.11</v>
      </c>
      <c r="D10060" s="17" t="s">
        <v>53</v>
      </c>
      <c r="E10060" s="17" t="s">
        <v>11</v>
      </c>
      <c r="F10060" s="18"/>
      <c r="G10060" s="36" t="str">
        <f>IF(ISNUMBER(F10060),C10060*F10060,"")</f>
        <v/>
      </c>
    </row>
    <row r="10061" spans="1:7" ht="12" customHeight="1" outlineLevel="2" x14ac:dyDescent="0.2">
      <c r="A10061" s="14" t="s">
        <v>19788</v>
      </c>
      <c r="B10061" s="15" t="s">
        <v>19789</v>
      </c>
      <c r="C10061" s="16">
        <f>22.13/(1+B2)</f>
        <v>22.13</v>
      </c>
      <c r="D10061" s="17" t="s">
        <v>53</v>
      </c>
      <c r="E10061" s="17"/>
      <c r="F10061" s="18"/>
      <c r="G10061" s="36" t="str">
        <f>IF(ISNUMBER(F10061),C10061*F10061,"")</f>
        <v/>
      </c>
    </row>
    <row r="10062" spans="1:7" ht="12" customHeight="1" outlineLevel="2" x14ac:dyDescent="0.2">
      <c r="A10062" s="14" t="s">
        <v>19790</v>
      </c>
      <c r="B10062" s="15" t="s">
        <v>19791</v>
      </c>
      <c r="C10062" s="16">
        <f>16.02/(1+B2)</f>
        <v>16.02</v>
      </c>
      <c r="D10062" s="17" t="s">
        <v>11</v>
      </c>
      <c r="E10062" s="17" t="s">
        <v>14</v>
      </c>
      <c r="F10062" s="18"/>
      <c r="G10062" s="36" t="str">
        <f>IF(ISNUMBER(F10062),C10062*F10062,"")</f>
        <v/>
      </c>
    </row>
    <row r="10063" spans="1:7" ht="12" customHeight="1" outlineLevel="2" x14ac:dyDescent="0.2">
      <c r="A10063" s="14" t="s">
        <v>19792</v>
      </c>
      <c r="B10063" s="15" t="s">
        <v>19793</v>
      </c>
      <c r="C10063" s="16">
        <f>32.08/(1+B2)</f>
        <v>32.08</v>
      </c>
      <c r="D10063" s="17" t="s">
        <v>11</v>
      </c>
      <c r="E10063" s="17" t="s">
        <v>11</v>
      </c>
      <c r="F10063" s="18"/>
      <c r="G10063" s="36" t="str">
        <f>IF(ISNUMBER(F10063),C10063*F10063,"")</f>
        <v/>
      </c>
    </row>
    <row r="10064" spans="1:7" ht="12" customHeight="1" outlineLevel="2" x14ac:dyDescent="0.2">
      <c r="A10064" s="14" t="s">
        <v>19794</v>
      </c>
      <c r="B10064" s="15" t="s">
        <v>19795</v>
      </c>
      <c r="C10064" s="16">
        <f>46.8/(1+B2)</f>
        <v>46.8</v>
      </c>
      <c r="D10064" s="17" t="s">
        <v>14</v>
      </c>
      <c r="E10064" s="17"/>
      <c r="F10064" s="18"/>
      <c r="G10064" s="36" t="str">
        <f>IF(ISNUMBER(F10064),C10064*F10064,"")</f>
        <v/>
      </c>
    </row>
    <row r="10065" spans="1:7" ht="12" customHeight="1" outlineLevel="2" x14ac:dyDescent="0.2">
      <c r="A10065" s="14" t="s">
        <v>19796</v>
      </c>
      <c r="B10065" s="15" t="s">
        <v>19797</v>
      </c>
      <c r="C10065" s="16">
        <f>114.59/(1+B2)</f>
        <v>114.59</v>
      </c>
      <c r="D10065" s="17" t="s">
        <v>11</v>
      </c>
      <c r="E10065" s="17" t="s">
        <v>11</v>
      </c>
      <c r="F10065" s="18"/>
      <c r="G10065" s="36" t="str">
        <f>IF(ISNUMBER(F10065),C10065*F10065,"")</f>
        <v/>
      </c>
    </row>
    <row r="10066" spans="1:7" ht="12" customHeight="1" outlineLevel="2" x14ac:dyDescent="0.2">
      <c r="A10066" s="14" t="s">
        <v>19798</v>
      </c>
      <c r="B10066" s="15" t="s">
        <v>19799</v>
      </c>
      <c r="C10066" s="16">
        <f>42/(1+B2)</f>
        <v>42</v>
      </c>
      <c r="D10066" s="17" t="s">
        <v>53</v>
      </c>
      <c r="E10066" s="17" t="s">
        <v>53</v>
      </c>
      <c r="F10066" s="18"/>
      <c r="G10066" s="36" t="str">
        <f>IF(ISNUMBER(F10066),C10066*F10066,"")</f>
        <v/>
      </c>
    </row>
    <row r="10067" spans="1:7" ht="12" customHeight="1" outlineLevel="2" x14ac:dyDescent="0.2">
      <c r="A10067" s="14" t="s">
        <v>19800</v>
      </c>
      <c r="B10067" s="15" t="s">
        <v>19801</v>
      </c>
      <c r="C10067" s="16">
        <f>57.1/(1+B2)</f>
        <v>57.1</v>
      </c>
      <c r="D10067" s="17" t="s">
        <v>53</v>
      </c>
      <c r="E10067" s="17" t="s">
        <v>53</v>
      </c>
      <c r="F10067" s="18"/>
      <c r="G10067" s="36" t="str">
        <f>IF(ISNUMBER(F10067),C10067*F10067,"")</f>
        <v/>
      </c>
    </row>
    <row r="10068" spans="1:7" ht="12" customHeight="1" outlineLevel="2" x14ac:dyDescent="0.2">
      <c r="A10068" s="14" t="s">
        <v>19802</v>
      </c>
      <c r="B10068" s="15" t="s">
        <v>19803</v>
      </c>
      <c r="C10068" s="16">
        <f>38.87/(1+B2)</f>
        <v>38.869999999999997</v>
      </c>
      <c r="D10068" s="17" t="s">
        <v>11</v>
      </c>
      <c r="E10068" s="17"/>
      <c r="F10068" s="18"/>
      <c r="G10068" s="36" t="str">
        <f>IF(ISNUMBER(F10068),C10068*F10068,"")</f>
        <v/>
      </c>
    </row>
    <row r="10069" spans="1:7" ht="12" customHeight="1" outlineLevel="2" x14ac:dyDescent="0.2">
      <c r="A10069" s="14" t="s">
        <v>19804</v>
      </c>
      <c r="B10069" s="15" t="s">
        <v>19805</v>
      </c>
      <c r="C10069" s="16">
        <f>28.22/(1+B2)</f>
        <v>28.22</v>
      </c>
      <c r="D10069" s="17" t="s">
        <v>11</v>
      </c>
      <c r="E10069" s="17" t="s">
        <v>106</v>
      </c>
      <c r="F10069" s="18"/>
      <c r="G10069" s="36" t="str">
        <f>IF(ISNUMBER(F10069),C10069*F10069,"")</f>
        <v/>
      </c>
    </row>
    <row r="10070" spans="1:7" ht="12" customHeight="1" outlineLevel="2" x14ac:dyDescent="0.2">
      <c r="A10070" s="14" t="s">
        <v>19806</v>
      </c>
      <c r="B10070" s="15" t="s">
        <v>19807</v>
      </c>
      <c r="C10070" s="16">
        <f>20.78/(1+B2)</f>
        <v>20.78</v>
      </c>
      <c r="D10070" s="17" t="s">
        <v>53</v>
      </c>
      <c r="E10070" s="17" t="s">
        <v>11</v>
      </c>
      <c r="F10070" s="18"/>
      <c r="G10070" s="36" t="str">
        <f>IF(ISNUMBER(F10070),C10070*F10070,"")</f>
        <v/>
      </c>
    </row>
    <row r="10071" spans="1:7" ht="12" customHeight="1" outlineLevel="2" x14ac:dyDescent="0.2">
      <c r="A10071" s="14" t="s">
        <v>19808</v>
      </c>
      <c r="B10071" s="15" t="s">
        <v>19809</v>
      </c>
      <c r="C10071" s="16">
        <f>33.92/(1+B2)</f>
        <v>33.92</v>
      </c>
      <c r="D10071" s="17" t="s">
        <v>53</v>
      </c>
      <c r="E10071" s="17" t="s">
        <v>11</v>
      </c>
      <c r="F10071" s="18"/>
      <c r="G10071" s="36" t="str">
        <f>IF(ISNUMBER(F10071),C10071*F10071,"")</f>
        <v/>
      </c>
    </row>
    <row r="10072" spans="1:7" ht="12" customHeight="1" outlineLevel="2" x14ac:dyDescent="0.2">
      <c r="A10072" s="14" t="s">
        <v>19810</v>
      </c>
      <c r="B10072" s="15" t="s">
        <v>19811</v>
      </c>
      <c r="C10072" s="16">
        <f>73.95/(1+B2)</f>
        <v>73.95</v>
      </c>
      <c r="D10072" s="17" t="s">
        <v>11</v>
      </c>
      <c r="E10072" s="17" t="s">
        <v>14</v>
      </c>
      <c r="F10072" s="18"/>
      <c r="G10072" s="36" t="str">
        <f>IF(ISNUMBER(F10072),C10072*F10072,"")</f>
        <v/>
      </c>
    </row>
    <row r="10073" spans="1:7" ht="12" customHeight="1" outlineLevel="2" x14ac:dyDescent="0.2">
      <c r="A10073" s="14" t="s">
        <v>19812</v>
      </c>
      <c r="B10073" s="15" t="s">
        <v>19813</v>
      </c>
      <c r="C10073" s="16">
        <f>47.24/(1+B2)</f>
        <v>47.24</v>
      </c>
      <c r="D10073" s="17" t="s">
        <v>11</v>
      </c>
      <c r="E10073" s="17" t="s">
        <v>106</v>
      </c>
      <c r="F10073" s="18"/>
      <c r="G10073" s="36" t="str">
        <f>IF(ISNUMBER(F10073),C10073*F10073,"")</f>
        <v/>
      </c>
    </row>
    <row r="10074" spans="1:7" ht="12" customHeight="1" outlineLevel="2" x14ac:dyDescent="0.2">
      <c r="A10074" s="14" t="s">
        <v>19814</v>
      </c>
      <c r="B10074" s="15" t="s">
        <v>19815</v>
      </c>
      <c r="C10074" s="16">
        <f>25.8/(1+B2)</f>
        <v>25.8</v>
      </c>
      <c r="D10074" s="17" t="s">
        <v>11</v>
      </c>
      <c r="E10074" s="17" t="s">
        <v>53</v>
      </c>
      <c r="F10074" s="18"/>
      <c r="G10074" s="36" t="str">
        <f>IF(ISNUMBER(F10074),C10074*F10074,"")</f>
        <v/>
      </c>
    </row>
    <row r="10075" spans="1:7" ht="12" customHeight="1" outlineLevel="2" x14ac:dyDescent="0.2">
      <c r="A10075" s="14" t="s">
        <v>19816</v>
      </c>
      <c r="B10075" s="15" t="s">
        <v>19817</v>
      </c>
      <c r="C10075" s="16">
        <f>54.08/(1+B2)</f>
        <v>54.08</v>
      </c>
      <c r="D10075" s="17" t="s">
        <v>11</v>
      </c>
      <c r="E10075" s="17" t="s">
        <v>53</v>
      </c>
      <c r="F10075" s="18"/>
      <c r="G10075" s="36" t="str">
        <f>IF(ISNUMBER(F10075),C10075*F10075,"")</f>
        <v/>
      </c>
    </row>
    <row r="10076" spans="1:7" ht="12" customHeight="1" outlineLevel="2" x14ac:dyDescent="0.2">
      <c r="A10076" s="14" t="s">
        <v>19818</v>
      </c>
      <c r="B10076" s="15" t="s">
        <v>19819</v>
      </c>
      <c r="C10076" s="16">
        <f>41.66/(1+B2)</f>
        <v>41.66</v>
      </c>
      <c r="D10076" s="17" t="s">
        <v>11</v>
      </c>
      <c r="E10076" s="17" t="s">
        <v>106</v>
      </c>
      <c r="F10076" s="18"/>
      <c r="G10076" s="36" t="str">
        <f>IF(ISNUMBER(F10076),C10076*F10076,"")</f>
        <v/>
      </c>
    </row>
    <row r="10077" spans="1:7" ht="12" customHeight="1" outlineLevel="2" x14ac:dyDescent="0.2">
      <c r="A10077" s="14" t="s">
        <v>19820</v>
      </c>
      <c r="B10077" s="15" t="s">
        <v>19821</v>
      </c>
      <c r="C10077" s="16">
        <f>41.58/(1+B2)</f>
        <v>41.58</v>
      </c>
      <c r="D10077" s="17" t="s">
        <v>11</v>
      </c>
      <c r="E10077" s="17" t="s">
        <v>53</v>
      </c>
      <c r="F10077" s="18"/>
      <c r="G10077" s="36" t="str">
        <f>IF(ISNUMBER(F10077),C10077*F10077,"")</f>
        <v/>
      </c>
    </row>
    <row r="10078" spans="1:7" ht="12" customHeight="1" outlineLevel="2" x14ac:dyDescent="0.2">
      <c r="A10078" s="14" t="s">
        <v>19822</v>
      </c>
      <c r="B10078" s="15" t="s">
        <v>19823</v>
      </c>
      <c r="C10078" s="16">
        <f>53.63/(1+B2)</f>
        <v>53.63</v>
      </c>
      <c r="D10078" s="17" t="s">
        <v>53</v>
      </c>
      <c r="E10078" s="17" t="s">
        <v>14</v>
      </c>
      <c r="F10078" s="18"/>
      <c r="G10078" s="36" t="str">
        <f>IF(ISNUMBER(F10078),C10078*F10078,"")</f>
        <v/>
      </c>
    </row>
    <row r="10079" spans="1:7" ht="12" customHeight="1" outlineLevel="2" x14ac:dyDescent="0.2">
      <c r="A10079" s="14" t="s">
        <v>19824</v>
      </c>
      <c r="B10079" s="15" t="s">
        <v>19825</v>
      </c>
      <c r="C10079" s="16">
        <f>92.52/(1+B2)</f>
        <v>92.52</v>
      </c>
      <c r="D10079" s="17" t="s">
        <v>11</v>
      </c>
      <c r="E10079" s="17" t="s">
        <v>11</v>
      </c>
      <c r="F10079" s="18"/>
      <c r="G10079" s="36" t="str">
        <f>IF(ISNUMBER(F10079),C10079*F10079,"")</f>
        <v/>
      </c>
    </row>
    <row r="10080" spans="1:7" ht="12" customHeight="1" outlineLevel="2" x14ac:dyDescent="0.2">
      <c r="A10080" s="14" t="s">
        <v>19826</v>
      </c>
      <c r="B10080" s="15" t="s">
        <v>19827</v>
      </c>
      <c r="C10080" s="16">
        <f>51.94/(1+B2)</f>
        <v>51.94</v>
      </c>
      <c r="D10080" s="17" t="s">
        <v>14</v>
      </c>
      <c r="E10080" s="17" t="s">
        <v>14</v>
      </c>
      <c r="F10080" s="18"/>
      <c r="G10080" s="36" t="str">
        <f>IF(ISNUMBER(F10080),C10080*F10080,"")</f>
        <v/>
      </c>
    </row>
    <row r="10081" spans="1:7" ht="12" customHeight="1" outlineLevel="2" x14ac:dyDescent="0.2">
      <c r="A10081" s="14" t="s">
        <v>19828</v>
      </c>
      <c r="B10081" s="15" t="s">
        <v>19829</v>
      </c>
      <c r="C10081" s="16">
        <f>34.91/(1+B2)</f>
        <v>34.909999999999997</v>
      </c>
      <c r="D10081" s="17" t="s">
        <v>11</v>
      </c>
      <c r="E10081" s="17" t="s">
        <v>53</v>
      </c>
      <c r="F10081" s="18"/>
      <c r="G10081" s="36" t="str">
        <f>IF(ISNUMBER(F10081),C10081*F10081,"")</f>
        <v/>
      </c>
    </row>
    <row r="10082" spans="1:7" ht="12" customHeight="1" outlineLevel="2" x14ac:dyDescent="0.2">
      <c r="A10082" s="14" t="s">
        <v>19830</v>
      </c>
      <c r="B10082" s="15" t="s">
        <v>19831</v>
      </c>
      <c r="C10082" s="16">
        <f>19.21/(1+B2)</f>
        <v>19.21</v>
      </c>
      <c r="D10082" s="17" t="s">
        <v>11</v>
      </c>
      <c r="E10082" s="17" t="s">
        <v>53</v>
      </c>
      <c r="F10082" s="18"/>
      <c r="G10082" s="36" t="str">
        <f>IF(ISNUMBER(F10082),C10082*F10082,"")</f>
        <v/>
      </c>
    </row>
    <row r="10083" spans="1:7" ht="12" customHeight="1" outlineLevel="2" x14ac:dyDescent="0.2">
      <c r="A10083" s="14" t="s">
        <v>19832</v>
      </c>
      <c r="B10083" s="15" t="s">
        <v>19833</v>
      </c>
      <c r="C10083" s="16">
        <f>25.13/(1+B2)</f>
        <v>25.13</v>
      </c>
      <c r="D10083" s="17" t="s">
        <v>14</v>
      </c>
      <c r="E10083" s="17"/>
      <c r="F10083" s="18"/>
      <c r="G10083" s="36" t="str">
        <f>IF(ISNUMBER(F10083),C10083*F10083,"")</f>
        <v/>
      </c>
    </row>
    <row r="10084" spans="1:7" ht="12" customHeight="1" outlineLevel="2" x14ac:dyDescent="0.2">
      <c r="A10084" s="14" t="s">
        <v>19834</v>
      </c>
      <c r="B10084" s="15" t="s">
        <v>19835</v>
      </c>
      <c r="C10084" s="16">
        <f>49.1/(1+B2)</f>
        <v>49.1</v>
      </c>
      <c r="D10084" s="17" t="s">
        <v>11</v>
      </c>
      <c r="E10084" s="17" t="s">
        <v>11</v>
      </c>
      <c r="F10084" s="18"/>
      <c r="G10084" s="36" t="str">
        <f>IF(ISNUMBER(F10084),C10084*F10084,"")</f>
        <v/>
      </c>
    </row>
    <row r="10085" spans="1:7" ht="12" customHeight="1" outlineLevel="2" x14ac:dyDescent="0.2">
      <c r="A10085" s="14" t="s">
        <v>19836</v>
      </c>
      <c r="B10085" s="15" t="s">
        <v>19837</v>
      </c>
      <c r="C10085" s="16">
        <f>40.42/(1+B2)</f>
        <v>40.42</v>
      </c>
      <c r="D10085" s="17" t="s">
        <v>11</v>
      </c>
      <c r="E10085" s="17"/>
      <c r="F10085" s="18"/>
      <c r="G10085" s="36" t="str">
        <f>IF(ISNUMBER(F10085),C10085*F10085,"")</f>
        <v/>
      </c>
    </row>
    <row r="10086" spans="1:7" ht="12" customHeight="1" outlineLevel="2" x14ac:dyDescent="0.2">
      <c r="A10086" s="14" t="s">
        <v>19838</v>
      </c>
      <c r="B10086" s="15" t="s">
        <v>19839</v>
      </c>
      <c r="C10086" s="16">
        <f>118.71/(1+B2)</f>
        <v>118.71</v>
      </c>
      <c r="D10086" s="17" t="s">
        <v>11</v>
      </c>
      <c r="E10086" s="17"/>
      <c r="F10086" s="18"/>
      <c r="G10086" s="36" t="str">
        <f>IF(ISNUMBER(F10086),C10086*F10086,"")</f>
        <v/>
      </c>
    </row>
    <row r="10087" spans="1:7" ht="12" customHeight="1" outlineLevel="2" x14ac:dyDescent="0.2">
      <c r="A10087" s="14" t="s">
        <v>19840</v>
      </c>
      <c r="B10087" s="15" t="s">
        <v>19841</v>
      </c>
      <c r="C10087" s="16">
        <f>32.93/(1+B2)</f>
        <v>32.93</v>
      </c>
      <c r="D10087" s="17" t="s">
        <v>14</v>
      </c>
      <c r="E10087" s="17" t="s">
        <v>106</v>
      </c>
      <c r="F10087" s="18"/>
      <c r="G10087" s="36" t="str">
        <f>IF(ISNUMBER(F10087),C10087*F10087,"")</f>
        <v/>
      </c>
    </row>
    <row r="10088" spans="1:7" ht="12" customHeight="1" outlineLevel="2" x14ac:dyDescent="0.2">
      <c r="A10088" s="14" t="s">
        <v>19842</v>
      </c>
      <c r="B10088" s="15" t="s">
        <v>19843</v>
      </c>
      <c r="C10088" s="16">
        <f>19.42/(1+B2)</f>
        <v>19.420000000000002</v>
      </c>
      <c r="D10088" s="17" t="s">
        <v>14</v>
      </c>
      <c r="E10088" s="17" t="s">
        <v>14</v>
      </c>
      <c r="F10088" s="18"/>
      <c r="G10088" s="36" t="str">
        <f>IF(ISNUMBER(F10088),C10088*F10088,"")</f>
        <v/>
      </c>
    </row>
    <row r="10089" spans="1:7" ht="12" customHeight="1" outlineLevel="2" x14ac:dyDescent="0.2">
      <c r="A10089" s="14" t="s">
        <v>19844</v>
      </c>
      <c r="B10089" s="15" t="s">
        <v>19845</v>
      </c>
      <c r="C10089" s="16">
        <f>62.77/(1+B2)</f>
        <v>62.77</v>
      </c>
      <c r="D10089" s="17" t="s">
        <v>11</v>
      </c>
      <c r="E10089" s="17" t="s">
        <v>14</v>
      </c>
      <c r="F10089" s="18"/>
      <c r="G10089" s="36" t="str">
        <f>IF(ISNUMBER(F10089),C10089*F10089,"")</f>
        <v/>
      </c>
    </row>
    <row r="10090" spans="1:7" ht="12" customHeight="1" outlineLevel="2" x14ac:dyDescent="0.2">
      <c r="A10090" s="14" t="s">
        <v>19846</v>
      </c>
      <c r="B10090" s="15" t="s">
        <v>19847</v>
      </c>
      <c r="C10090" s="16">
        <f>34.62/(1+B2)</f>
        <v>34.619999999999997</v>
      </c>
      <c r="D10090" s="17" t="s">
        <v>11</v>
      </c>
      <c r="E10090" s="17" t="s">
        <v>53</v>
      </c>
      <c r="F10090" s="18"/>
      <c r="G10090" s="36" t="str">
        <f>IF(ISNUMBER(F10090),C10090*F10090,"")</f>
        <v/>
      </c>
    </row>
    <row r="10091" spans="1:7" ht="12" customHeight="1" outlineLevel="2" x14ac:dyDescent="0.2">
      <c r="A10091" s="14" t="s">
        <v>19848</v>
      </c>
      <c r="B10091" s="15" t="s">
        <v>19849</v>
      </c>
      <c r="C10091" s="16">
        <f>63.48/(1+B2)</f>
        <v>63.48</v>
      </c>
      <c r="D10091" s="17" t="s">
        <v>11</v>
      </c>
      <c r="E10091" s="17"/>
      <c r="F10091" s="18"/>
      <c r="G10091" s="36" t="str">
        <f>IF(ISNUMBER(F10091),C10091*F10091,"")</f>
        <v/>
      </c>
    </row>
    <row r="10092" spans="1:7" ht="12" customHeight="1" outlineLevel="2" x14ac:dyDescent="0.2">
      <c r="A10092" s="14" t="s">
        <v>19850</v>
      </c>
      <c r="B10092" s="15" t="s">
        <v>19851</v>
      </c>
      <c r="C10092" s="16">
        <f>29.4/(1+B2)</f>
        <v>29.4</v>
      </c>
      <c r="D10092" s="17" t="s">
        <v>53</v>
      </c>
      <c r="E10092" s="17"/>
      <c r="F10092" s="18"/>
      <c r="G10092" s="36" t="str">
        <f>IF(ISNUMBER(F10092),C10092*F10092,"")</f>
        <v/>
      </c>
    </row>
    <row r="10093" spans="1:7" ht="12" customHeight="1" outlineLevel="2" x14ac:dyDescent="0.2">
      <c r="A10093" s="14" t="s">
        <v>19852</v>
      </c>
      <c r="B10093" s="15" t="s">
        <v>19853</v>
      </c>
      <c r="C10093" s="16">
        <f>41.99/(1+B2)</f>
        <v>41.99</v>
      </c>
      <c r="D10093" s="17" t="s">
        <v>11</v>
      </c>
      <c r="E10093" s="17" t="s">
        <v>11</v>
      </c>
      <c r="F10093" s="18"/>
      <c r="G10093" s="36" t="str">
        <f>IF(ISNUMBER(F10093),C10093*F10093,"")</f>
        <v/>
      </c>
    </row>
    <row r="10094" spans="1:7" ht="12" customHeight="1" outlineLevel="2" x14ac:dyDescent="0.2">
      <c r="A10094" s="14" t="s">
        <v>19854</v>
      </c>
      <c r="B10094" s="15" t="s">
        <v>19855</v>
      </c>
      <c r="C10094" s="16">
        <f>113.07/(1+B2)</f>
        <v>113.07</v>
      </c>
      <c r="D10094" s="17" t="s">
        <v>11</v>
      </c>
      <c r="E10094" s="17" t="s">
        <v>11</v>
      </c>
      <c r="F10094" s="18"/>
      <c r="G10094" s="36" t="str">
        <f>IF(ISNUMBER(F10094),C10094*F10094,"")</f>
        <v/>
      </c>
    </row>
    <row r="10095" spans="1:7" ht="24" customHeight="1" outlineLevel="2" x14ac:dyDescent="0.2">
      <c r="A10095" s="14" t="s">
        <v>19856</v>
      </c>
      <c r="B10095" s="15" t="s">
        <v>19857</v>
      </c>
      <c r="C10095" s="16">
        <f>58.67/(1+B2)</f>
        <v>58.67</v>
      </c>
      <c r="D10095" s="17" t="s">
        <v>11</v>
      </c>
      <c r="E10095" s="17"/>
      <c r="F10095" s="18"/>
      <c r="G10095" s="36" t="str">
        <f>IF(ISNUMBER(F10095),C10095*F10095,"")</f>
        <v/>
      </c>
    </row>
    <row r="10096" spans="1:7" ht="12" customHeight="1" outlineLevel="2" x14ac:dyDescent="0.2">
      <c r="A10096" s="14" t="s">
        <v>19858</v>
      </c>
      <c r="B10096" s="15" t="s">
        <v>19859</v>
      </c>
      <c r="C10096" s="16">
        <f>42.31/(1+B2)</f>
        <v>42.31</v>
      </c>
      <c r="D10096" s="17" t="s">
        <v>53</v>
      </c>
      <c r="E10096" s="17" t="s">
        <v>11</v>
      </c>
      <c r="F10096" s="18"/>
      <c r="G10096" s="36" t="str">
        <f>IF(ISNUMBER(F10096),C10096*F10096,"")</f>
        <v/>
      </c>
    </row>
    <row r="10097" spans="1:7" ht="12" customHeight="1" outlineLevel="2" x14ac:dyDescent="0.2">
      <c r="A10097" s="14" t="s">
        <v>19860</v>
      </c>
      <c r="B10097" s="15" t="s">
        <v>19861</v>
      </c>
      <c r="C10097" s="16">
        <f>135.08/(1+B2)</f>
        <v>135.08000000000001</v>
      </c>
      <c r="D10097" s="17" t="s">
        <v>14</v>
      </c>
      <c r="E10097" s="17" t="s">
        <v>53</v>
      </c>
      <c r="F10097" s="18"/>
      <c r="G10097" s="36" t="str">
        <f>IF(ISNUMBER(F10097),C10097*F10097,"")</f>
        <v/>
      </c>
    </row>
    <row r="10098" spans="1:7" ht="12" customHeight="1" outlineLevel="2" x14ac:dyDescent="0.2">
      <c r="A10098" s="14" t="s">
        <v>19862</v>
      </c>
      <c r="B10098" s="15" t="s">
        <v>19863</v>
      </c>
      <c r="C10098" s="16">
        <f>27.46/(1+B2)</f>
        <v>27.46</v>
      </c>
      <c r="D10098" s="17" t="s">
        <v>53</v>
      </c>
      <c r="E10098" s="17"/>
      <c r="F10098" s="18"/>
      <c r="G10098" s="36" t="str">
        <f>IF(ISNUMBER(F10098),C10098*F10098,"")</f>
        <v/>
      </c>
    </row>
    <row r="10099" spans="1:7" ht="12" customHeight="1" outlineLevel="2" x14ac:dyDescent="0.2">
      <c r="A10099" s="14" t="s">
        <v>19864</v>
      </c>
      <c r="B10099" s="15" t="s">
        <v>19865</v>
      </c>
      <c r="C10099" s="16">
        <f>28.79/(1+B2)</f>
        <v>28.79</v>
      </c>
      <c r="D10099" s="17" t="s">
        <v>11</v>
      </c>
      <c r="E10099" s="17"/>
      <c r="F10099" s="18"/>
      <c r="G10099" s="36" t="str">
        <f>IF(ISNUMBER(F10099),C10099*F10099,"")</f>
        <v/>
      </c>
    </row>
    <row r="10100" spans="1:7" ht="12" customHeight="1" outlineLevel="2" x14ac:dyDescent="0.2">
      <c r="A10100" s="14" t="s">
        <v>19866</v>
      </c>
      <c r="B10100" s="15" t="s">
        <v>19867</v>
      </c>
      <c r="C10100" s="16">
        <f>44.29/(1+B2)</f>
        <v>44.29</v>
      </c>
      <c r="D10100" s="17" t="s">
        <v>11</v>
      </c>
      <c r="E10100" s="17" t="s">
        <v>106</v>
      </c>
      <c r="F10100" s="18"/>
      <c r="G10100" s="36" t="str">
        <f>IF(ISNUMBER(F10100),C10100*F10100,"")</f>
        <v/>
      </c>
    </row>
    <row r="10101" spans="1:7" ht="12" customHeight="1" outlineLevel="2" x14ac:dyDescent="0.2">
      <c r="A10101" s="14" t="s">
        <v>19868</v>
      </c>
      <c r="B10101" s="15" t="s">
        <v>19869</v>
      </c>
      <c r="C10101" s="16">
        <f>60.28/(1+B2)</f>
        <v>60.28</v>
      </c>
      <c r="D10101" s="17" t="s">
        <v>14</v>
      </c>
      <c r="E10101" s="17"/>
      <c r="F10101" s="18"/>
      <c r="G10101" s="36" t="str">
        <f>IF(ISNUMBER(F10101),C10101*F10101,"")</f>
        <v/>
      </c>
    </row>
    <row r="10102" spans="1:7" ht="12" customHeight="1" outlineLevel="2" x14ac:dyDescent="0.2">
      <c r="A10102" s="14" t="s">
        <v>19870</v>
      </c>
      <c r="B10102" s="15" t="s">
        <v>19871</v>
      </c>
      <c r="C10102" s="16">
        <f>60.28/(1+B2)</f>
        <v>60.28</v>
      </c>
      <c r="D10102" s="17" t="s">
        <v>53</v>
      </c>
      <c r="E10102" s="17"/>
      <c r="F10102" s="18"/>
      <c r="G10102" s="36" t="str">
        <f>IF(ISNUMBER(F10102),C10102*F10102,"")</f>
        <v/>
      </c>
    </row>
    <row r="10103" spans="1:7" ht="12" customHeight="1" outlineLevel="2" x14ac:dyDescent="0.2">
      <c r="A10103" s="14" t="s">
        <v>19872</v>
      </c>
      <c r="B10103" s="15" t="s">
        <v>19873</v>
      </c>
      <c r="C10103" s="16">
        <f>60.28/(1+B2)</f>
        <v>60.28</v>
      </c>
      <c r="D10103" s="17" t="s">
        <v>53</v>
      </c>
      <c r="E10103" s="17"/>
      <c r="F10103" s="18"/>
      <c r="G10103" s="36" t="str">
        <f>IF(ISNUMBER(F10103),C10103*F10103,"")</f>
        <v/>
      </c>
    </row>
    <row r="10104" spans="1:7" ht="12" customHeight="1" outlineLevel="2" x14ac:dyDescent="0.2">
      <c r="A10104" s="14" t="s">
        <v>19874</v>
      </c>
      <c r="B10104" s="15" t="s">
        <v>19875</v>
      </c>
      <c r="C10104" s="16">
        <f>27.99/(1+B2)</f>
        <v>27.99</v>
      </c>
      <c r="D10104" s="17" t="s">
        <v>11</v>
      </c>
      <c r="E10104" s="17" t="s">
        <v>11</v>
      </c>
      <c r="F10104" s="18"/>
      <c r="G10104" s="36" t="str">
        <f>IF(ISNUMBER(F10104),C10104*F10104,"")</f>
        <v/>
      </c>
    </row>
    <row r="10105" spans="1:7" ht="12" customHeight="1" outlineLevel="2" x14ac:dyDescent="0.2">
      <c r="A10105" s="14" t="s">
        <v>19876</v>
      </c>
      <c r="B10105" s="15" t="s">
        <v>19877</v>
      </c>
      <c r="C10105" s="16">
        <f>45.67/(1+B2)</f>
        <v>45.67</v>
      </c>
      <c r="D10105" s="17" t="s">
        <v>11</v>
      </c>
      <c r="E10105" s="17" t="s">
        <v>11</v>
      </c>
      <c r="F10105" s="18"/>
      <c r="G10105" s="36" t="str">
        <f>IF(ISNUMBER(F10105),C10105*F10105,"")</f>
        <v/>
      </c>
    </row>
    <row r="10106" spans="1:7" ht="12" customHeight="1" outlineLevel="2" x14ac:dyDescent="0.2">
      <c r="A10106" s="14" t="s">
        <v>19878</v>
      </c>
      <c r="B10106" s="15" t="s">
        <v>19879</v>
      </c>
      <c r="C10106" s="16">
        <f>37.75/(1+B2)</f>
        <v>37.75</v>
      </c>
      <c r="D10106" s="17" t="s">
        <v>14</v>
      </c>
      <c r="E10106" s="17"/>
      <c r="F10106" s="18"/>
      <c r="G10106" s="36" t="str">
        <f>IF(ISNUMBER(F10106),C10106*F10106,"")</f>
        <v/>
      </c>
    </row>
    <row r="10107" spans="1:7" ht="12" customHeight="1" outlineLevel="2" x14ac:dyDescent="0.2">
      <c r="A10107" s="14" t="s">
        <v>19880</v>
      </c>
      <c r="B10107" s="15" t="s">
        <v>19881</v>
      </c>
      <c r="C10107" s="16">
        <f>34.82/(1+B2)</f>
        <v>34.82</v>
      </c>
      <c r="D10107" s="17" t="s">
        <v>14</v>
      </c>
      <c r="E10107" s="17" t="s">
        <v>106</v>
      </c>
      <c r="F10107" s="18"/>
      <c r="G10107" s="36" t="str">
        <f>IF(ISNUMBER(F10107),C10107*F10107,"")</f>
        <v/>
      </c>
    </row>
    <row r="10108" spans="1:7" ht="12" customHeight="1" outlineLevel="2" x14ac:dyDescent="0.2">
      <c r="A10108" s="14" t="s">
        <v>19882</v>
      </c>
      <c r="B10108" s="15" t="s">
        <v>19883</v>
      </c>
      <c r="C10108" s="16">
        <f>59.09/(1+B2)</f>
        <v>59.09</v>
      </c>
      <c r="D10108" s="17" t="s">
        <v>11</v>
      </c>
      <c r="E10108" s="17"/>
      <c r="F10108" s="18"/>
      <c r="G10108" s="36" t="str">
        <f>IF(ISNUMBER(F10108),C10108*F10108,"")</f>
        <v/>
      </c>
    </row>
    <row r="10109" spans="1:7" ht="12" customHeight="1" outlineLevel="2" x14ac:dyDescent="0.2">
      <c r="A10109" s="14" t="s">
        <v>19884</v>
      </c>
      <c r="B10109" s="15" t="s">
        <v>19885</v>
      </c>
      <c r="C10109" s="16">
        <f>116.21/(1+B2)</f>
        <v>116.21</v>
      </c>
      <c r="D10109" s="17" t="s">
        <v>11</v>
      </c>
      <c r="E10109" s="17"/>
      <c r="F10109" s="18"/>
      <c r="G10109" s="36" t="str">
        <f>IF(ISNUMBER(F10109),C10109*F10109,"")</f>
        <v/>
      </c>
    </row>
    <row r="10110" spans="1:7" ht="12" customHeight="1" outlineLevel="2" x14ac:dyDescent="0.2">
      <c r="A10110" s="14" t="s">
        <v>19886</v>
      </c>
      <c r="B10110" s="15" t="s">
        <v>19887</v>
      </c>
      <c r="C10110" s="16">
        <f>71.64/(1+B2)</f>
        <v>71.64</v>
      </c>
      <c r="D10110" s="17" t="s">
        <v>14</v>
      </c>
      <c r="E10110" s="17"/>
      <c r="F10110" s="18"/>
      <c r="G10110" s="36" t="str">
        <f>IF(ISNUMBER(F10110),C10110*F10110,"")</f>
        <v/>
      </c>
    </row>
    <row r="10111" spans="1:7" ht="12" customHeight="1" outlineLevel="2" x14ac:dyDescent="0.2">
      <c r="A10111" s="14" t="s">
        <v>19888</v>
      </c>
      <c r="B10111" s="15" t="s">
        <v>19889</v>
      </c>
      <c r="C10111" s="16">
        <f>99.16/(1+B2)</f>
        <v>99.16</v>
      </c>
      <c r="D10111" s="17" t="s">
        <v>11</v>
      </c>
      <c r="E10111" s="17"/>
      <c r="F10111" s="18"/>
      <c r="G10111" s="36" t="str">
        <f>IF(ISNUMBER(F10111),C10111*F10111,"")</f>
        <v/>
      </c>
    </row>
    <row r="10112" spans="1:7" ht="24" customHeight="1" outlineLevel="2" x14ac:dyDescent="0.2">
      <c r="A10112" s="14" t="s">
        <v>19890</v>
      </c>
      <c r="B10112" s="15" t="s">
        <v>19891</v>
      </c>
      <c r="C10112" s="16">
        <f>134/(1+B2)</f>
        <v>134</v>
      </c>
      <c r="D10112" s="17" t="s">
        <v>53</v>
      </c>
      <c r="E10112" s="17"/>
      <c r="F10112" s="18"/>
      <c r="G10112" s="36" t="str">
        <f>IF(ISNUMBER(F10112),C10112*F10112,"")</f>
        <v/>
      </c>
    </row>
    <row r="10113" spans="1:7" ht="24" customHeight="1" outlineLevel="2" x14ac:dyDescent="0.2">
      <c r="A10113" s="14" t="s">
        <v>19892</v>
      </c>
      <c r="B10113" s="15" t="s">
        <v>19893</v>
      </c>
      <c r="C10113" s="16">
        <f>129.3/(1+B2)</f>
        <v>129.30000000000001</v>
      </c>
      <c r="D10113" s="17" t="s">
        <v>11</v>
      </c>
      <c r="E10113" s="17" t="s">
        <v>53</v>
      </c>
      <c r="F10113" s="18"/>
      <c r="G10113" s="36" t="str">
        <f>IF(ISNUMBER(F10113),C10113*F10113,"")</f>
        <v/>
      </c>
    </row>
    <row r="10114" spans="1:7" ht="24" customHeight="1" outlineLevel="2" x14ac:dyDescent="0.2">
      <c r="A10114" s="14" t="s">
        <v>19894</v>
      </c>
      <c r="B10114" s="15" t="s">
        <v>19895</v>
      </c>
      <c r="C10114" s="16">
        <f>138.68/(1+B2)</f>
        <v>138.68</v>
      </c>
      <c r="D10114" s="17" t="s">
        <v>53</v>
      </c>
      <c r="E10114" s="17"/>
      <c r="F10114" s="18"/>
      <c r="G10114" s="36" t="str">
        <f>IF(ISNUMBER(F10114),C10114*F10114,"")</f>
        <v/>
      </c>
    </row>
    <row r="10115" spans="1:7" ht="24" customHeight="1" outlineLevel="2" x14ac:dyDescent="0.2">
      <c r="A10115" s="14" t="s">
        <v>19896</v>
      </c>
      <c r="B10115" s="15" t="s">
        <v>19897</v>
      </c>
      <c r="C10115" s="16">
        <f>83/(1+B2)</f>
        <v>83</v>
      </c>
      <c r="D10115" s="17" t="s">
        <v>11</v>
      </c>
      <c r="E10115" s="17"/>
      <c r="F10115" s="18"/>
      <c r="G10115" s="36" t="str">
        <f>IF(ISNUMBER(F10115),C10115*F10115,"")</f>
        <v/>
      </c>
    </row>
    <row r="10116" spans="1:7" ht="12" customHeight="1" outlineLevel="2" x14ac:dyDescent="0.2">
      <c r="A10116" s="14" t="s">
        <v>19898</v>
      </c>
      <c r="B10116" s="15" t="s">
        <v>19899</v>
      </c>
      <c r="C10116" s="16">
        <f>107.6/(1+B2)</f>
        <v>107.6</v>
      </c>
      <c r="D10116" s="17" t="s">
        <v>53</v>
      </c>
      <c r="E10116" s="17"/>
      <c r="F10116" s="18"/>
      <c r="G10116" s="36" t="str">
        <f>IF(ISNUMBER(F10116),C10116*F10116,"")</f>
        <v/>
      </c>
    </row>
    <row r="10117" spans="1:7" ht="12" customHeight="1" outlineLevel="2" x14ac:dyDescent="0.2">
      <c r="A10117" s="14" t="s">
        <v>19900</v>
      </c>
      <c r="B10117" s="15" t="s">
        <v>19901</v>
      </c>
      <c r="C10117" s="16">
        <f>79/(1+B2)</f>
        <v>79</v>
      </c>
      <c r="D10117" s="17" t="s">
        <v>11</v>
      </c>
      <c r="E10117" s="17"/>
      <c r="F10117" s="18"/>
      <c r="G10117" s="36" t="str">
        <f>IF(ISNUMBER(F10117),C10117*F10117,"")</f>
        <v/>
      </c>
    </row>
    <row r="10118" spans="1:7" ht="24" customHeight="1" outlineLevel="2" x14ac:dyDescent="0.2">
      <c r="A10118" s="14" t="s">
        <v>19902</v>
      </c>
      <c r="B10118" s="15" t="s">
        <v>19903</v>
      </c>
      <c r="C10118" s="16">
        <f>83.49/(1+B2)</f>
        <v>83.49</v>
      </c>
      <c r="D10118" s="17" t="s">
        <v>14</v>
      </c>
      <c r="E10118" s="17"/>
      <c r="F10118" s="18"/>
      <c r="G10118" s="36" t="str">
        <f>IF(ISNUMBER(F10118),C10118*F10118,"")</f>
        <v/>
      </c>
    </row>
    <row r="10119" spans="1:7" ht="24" customHeight="1" outlineLevel="2" x14ac:dyDescent="0.2">
      <c r="A10119" s="14" t="s">
        <v>19904</v>
      </c>
      <c r="B10119" s="15" t="s">
        <v>19905</v>
      </c>
      <c r="C10119" s="16">
        <f>83/(1+B2)</f>
        <v>83</v>
      </c>
      <c r="D10119" s="17" t="s">
        <v>11</v>
      </c>
      <c r="E10119" s="17"/>
      <c r="F10119" s="18"/>
      <c r="G10119" s="36" t="str">
        <f>IF(ISNUMBER(F10119),C10119*F10119,"")</f>
        <v/>
      </c>
    </row>
    <row r="10120" spans="1:7" s="1" customFormat="1" ht="15.95" customHeight="1" outlineLevel="1" x14ac:dyDescent="0.25">
      <c r="A10120" s="11"/>
      <c r="B10120" s="12" t="s">
        <v>19906</v>
      </c>
      <c r="C10120" s="13"/>
      <c r="D10120" s="13"/>
      <c r="E10120" s="13"/>
      <c r="F10120" s="13"/>
      <c r="G10120" s="35"/>
    </row>
    <row r="10121" spans="1:7" ht="12" customHeight="1" outlineLevel="2" x14ac:dyDescent="0.2">
      <c r="A10121" s="14" t="s">
        <v>19907</v>
      </c>
      <c r="B10121" s="15" t="s">
        <v>19908</v>
      </c>
      <c r="C10121" s="16">
        <f>40.33/(1+B2)</f>
        <v>40.33</v>
      </c>
      <c r="D10121" s="17" t="s">
        <v>11</v>
      </c>
      <c r="E10121" s="17"/>
      <c r="F10121" s="18"/>
      <c r="G10121" s="36" t="str">
        <f>IF(ISNUMBER(F10121),C10121*F10121,"")</f>
        <v/>
      </c>
    </row>
    <row r="10122" spans="1:7" ht="12" customHeight="1" outlineLevel="2" x14ac:dyDescent="0.2">
      <c r="A10122" s="14" t="s">
        <v>19909</v>
      </c>
      <c r="B10122" s="15" t="s">
        <v>19910</v>
      </c>
      <c r="C10122" s="16">
        <f>35.9/(1+B2)</f>
        <v>35.9</v>
      </c>
      <c r="D10122" s="17" t="s">
        <v>14</v>
      </c>
      <c r="E10122" s="17" t="s">
        <v>11</v>
      </c>
      <c r="F10122" s="18"/>
      <c r="G10122" s="36" t="str">
        <f>IF(ISNUMBER(F10122),C10122*F10122,"")</f>
        <v/>
      </c>
    </row>
    <row r="10123" spans="1:7" ht="12" customHeight="1" outlineLevel="2" x14ac:dyDescent="0.2">
      <c r="A10123" s="14" t="s">
        <v>19911</v>
      </c>
      <c r="B10123" s="15" t="s">
        <v>19912</v>
      </c>
      <c r="C10123" s="16">
        <f>44.04/(1+B2)</f>
        <v>44.04</v>
      </c>
      <c r="D10123" s="17" t="s">
        <v>11</v>
      </c>
      <c r="E10123" s="17" t="s">
        <v>53</v>
      </c>
      <c r="F10123" s="18"/>
      <c r="G10123" s="36" t="str">
        <f>IF(ISNUMBER(F10123),C10123*F10123,"")</f>
        <v/>
      </c>
    </row>
    <row r="10124" spans="1:7" ht="12" customHeight="1" outlineLevel="2" x14ac:dyDescent="0.2">
      <c r="A10124" s="14" t="s">
        <v>19913</v>
      </c>
      <c r="B10124" s="15" t="s">
        <v>19914</v>
      </c>
      <c r="C10124" s="16">
        <f>123.21/(1+B2)</f>
        <v>123.21</v>
      </c>
      <c r="D10124" s="17" t="s">
        <v>11</v>
      </c>
      <c r="E10124" s="17" t="s">
        <v>11</v>
      </c>
      <c r="F10124" s="18"/>
      <c r="G10124" s="36" t="str">
        <f>IF(ISNUMBER(F10124),C10124*F10124,"")</f>
        <v/>
      </c>
    </row>
    <row r="10125" spans="1:7" ht="12" customHeight="1" outlineLevel="2" x14ac:dyDescent="0.2">
      <c r="A10125" s="14" t="s">
        <v>19915</v>
      </c>
      <c r="B10125" s="15" t="s">
        <v>19916</v>
      </c>
      <c r="C10125" s="16">
        <f>119.79/(1+B2)</f>
        <v>119.79</v>
      </c>
      <c r="D10125" s="17" t="s">
        <v>53</v>
      </c>
      <c r="E10125" s="17"/>
      <c r="F10125" s="18"/>
      <c r="G10125" s="36" t="str">
        <f>IF(ISNUMBER(F10125),C10125*F10125,"")</f>
        <v/>
      </c>
    </row>
    <row r="10126" spans="1:7" ht="12" customHeight="1" outlineLevel="2" x14ac:dyDescent="0.2">
      <c r="A10126" s="14" t="s">
        <v>19917</v>
      </c>
      <c r="B10126" s="15" t="s">
        <v>19918</v>
      </c>
      <c r="C10126" s="16">
        <f>154.48/(1+B2)</f>
        <v>154.47999999999999</v>
      </c>
      <c r="D10126" s="17" t="s">
        <v>11</v>
      </c>
      <c r="E10126" s="17" t="s">
        <v>11</v>
      </c>
      <c r="F10126" s="18"/>
      <c r="G10126" s="36" t="str">
        <f>IF(ISNUMBER(F10126),C10126*F10126,"")</f>
        <v/>
      </c>
    </row>
    <row r="10127" spans="1:7" ht="12" customHeight="1" outlineLevel="2" x14ac:dyDescent="0.2">
      <c r="A10127" s="14" t="s">
        <v>19919</v>
      </c>
      <c r="B10127" s="15" t="s">
        <v>19920</v>
      </c>
      <c r="C10127" s="16">
        <f>71.94/(1+B2)</f>
        <v>71.94</v>
      </c>
      <c r="D10127" s="17" t="s">
        <v>14</v>
      </c>
      <c r="E10127" s="17" t="s">
        <v>14</v>
      </c>
      <c r="F10127" s="18"/>
      <c r="G10127" s="36" t="str">
        <f>IF(ISNUMBER(F10127),C10127*F10127,"")</f>
        <v/>
      </c>
    </row>
    <row r="10128" spans="1:7" ht="12" customHeight="1" outlineLevel="2" x14ac:dyDescent="0.2">
      <c r="A10128" s="14" t="s">
        <v>19921</v>
      </c>
      <c r="B10128" s="15" t="s">
        <v>19922</v>
      </c>
      <c r="C10128" s="16">
        <f>119.9/(1+B2)</f>
        <v>119.9</v>
      </c>
      <c r="D10128" s="17" t="s">
        <v>11</v>
      </c>
      <c r="E10128" s="17" t="s">
        <v>14</v>
      </c>
      <c r="F10128" s="18"/>
      <c r="G10128" s="36" t="str">
        <f>IF(ISNUMBER(F10128),C10128*F10128,"")</f>
        <v/>
      </c>
    </row>
    <row r="10129" spans="1:7" ht="12" customHeight="1" outlineLevel="2" x14ac:dyDescent="0.2">
      <c r="A10129" s="14" t="s">
        <v>19923</v>
      </c>
      <c r="B10129" s="15" t="s">
        <v>19924</v>
      </c>
      <c r="C10129" s="16">
        <f>102.29/(1+B2)</f>
        <v>102.29</v>
      </c>
      <c r="D10129" s="17" t="s">
        <v>11</v>
      </c>
      <c r="E10129" s="17"/>
      <c r="F10129" s="18"/>
      <c r="G10129" s="36" t="str">
        <f>IF(ISNUMBER(F10129),C10129*F10129,"")</f>
        <v/>
      </c>
    </row>
    <row r="10130" spans="1:7" ht="12" customHeight="1" outlineLevel="2" x14ac:dyDescent="0.2">
      <c r="A10130" s="14" t="s">
        <v>19925</v>
      </c>
      <c r="B10130" s="15" t="s">
        <v>19926</v>
      </c>
      <c r="C10130" s="16">
        <f>99/(1+B2)</f>
        <v>99</v>
      </c>
      <c r="D10130" s="17" t="s">
        <v>14</v>
      </c>
      <c r="E10130" s="17" t="s">
        <v>53</v>
      </c>
      <c r="F10130" s="18"/>
      <c r="G10130" s="36" t="str">
        <f>IF(ISNUMBER(F10130),C10130*F10130,"")</f>
        <v/>
      </c>
    </row>
    <row r="10131" spans="1:7" ht="12" customHeight="1" outlineLevel="2" x14ac:dyDescent="0.2">
      <c r="A10131" s="14" t="s">
        <v>19927</v>
      </c>
      <c r="B10131" s="15" t="s">
        <v>19928</v>
      </c>
      <c r="C10131" s="16">
        <f>99/(1+B2)</f>
        <v>99</v>
      </c>
      <c r="D10131" s="17" t="s">
        <v>14</v>
      </c>
      <c r="E10131" s="17" t="s">
        <v>53</v>
      </c>
      <c r="F10131" s="18"/>
      <c r="G10131" s="36" t="str">
        <f>IF(ISNUMBER(F10131),C10131*F10131,"")</f>
        <v/>
      </c>
    </row>
    <row r="10132" spans="1:7" ht="12" customHeight="1" outlineLevel="2" x14ac:dyDescent="0.2">
      <c r="A10132" s="14" t="s">
        <v>19929</v>
      </c>
      <c r="B10132" s="15" t="s">
        <v>19930</v>
      </c>
      <c r="C10132" s="16">
        <f>99/(1+B2)</f>
        <v>99</v>
      </c>
      <c r="D10132" s="17" t="s">
        <v>14</v>
      </c>
      <c r="E10132" s="17" t="s">
        <v>14</v>
      </c>
      <c r="F10132" s="18"/>
      <c r="G10132" s="36" t="str">
        <f>IF(ISNUMBER(F10132),C10132*F10132,"")</f>
        <v/>
      </c>
    </row>
    <row r="10133" spans="1:7" ht="12" customHeight="1" outlineLevel="2" x14ac:dyDescent="0.2">
      <c r="A10133" s="14" t="s">
        <v>19931</v>
      </c>
      <c r="B10133" s="15" t="s">
        <v>19932</v>
      </c>
      <c r="C10133" s="16">
        <f>123.32/(1+B2)</f>
        <v>123.32</v>
      </c>
      <c r="D10133" s="17" t="s">
        <v>11</v>
      </c>
      <c r="E10133" s="17" t="s">
        <v>53</v>
      </c>
      <c r="F10133" s="18"/>
      <c r="G10133" s="36" t="str">
        <f>IF(ISNUMBER(F10133),C10133*F10133,"")</f>
        <v/>
      </c>
    </row>
    <row r="10134" spans="1:7" ht="12" customHeight="1" outlineLevel="2" x14ac:dyDescent="0.2">
      <c r="A10134" s="14" t="s">
        <v>19933</v>
      </c>
      <c r="B10134" s="15" t="s">
        <v>19934</v>
      </c>
      <c r="C10134" s="16">
        <f>108.48/(1+B2)</f>
        <v>108.48</v>
      </c>
      <c r="D10134" s="17" t="s">
        <v>11</v>
      </c>
      <c r="E10134" s="17" t="s">
        <v>53</v>
      </c>
      <c r="F10134" s="18"/>
      <c r="G10134" s="36" t="str">
        <f>IF(ISNUMBER(F10134),C10134*F10134,"")</f>
        <v/>
      </c>
    </row>
    <row r="10135" spans="1:7" ht="12" customHeight="1" outlineLevel="2" x14ac:dyDescent="0.2">
      <c r="A10135" s="14" t="s">
        <v>19935</v>
      </c>
      <c r="B10135" s="15" t="s">
        <v>19936</v>
      </c>
      <c r="C10135" s="16">
        <f>72.63/(1+B2)</f>
        <v>72.63</v>
      </c>
      <c r="D10135" s="17" t="s">
        <v>11</v>
      </c>
      <c r="E10135" s="17"/>
      <c r="F10135" s="18"/>
      <c r="G10135" s="36" t="str">
        <f>IF(ISNUMBER(F10135),C10135*F10135,"")</f>
        <v/>
      </c>
    </row>
    <row r="10136" spans="1:7" ht="12" customHeight="1" outlineLevel="2" x14ac:dyDescent="0.2">
      <c r="A10136" s="14" t="s">
        <v>19937</v>
      </c>
      <c r="B10136" s="15" t="s">
        <v>19938</v>
      </c>
      <c r="C10136" s="16">
        <f>123.49/(1+B2)</f>
        <v>123.49</v>
      </c>
      <c r="D10136" s="17" t="s">
        <v>14</v>
      </c>
      <c r="E10136" s="17"/>
      <c r="F10136" s="18"/>
      <c r="G10136" s="36" t="str">
        <f>IF(ISNUMBER(F10136),C10136*F10136,"")</f>
        <v/>
      </c>
    </row>
    <row r="10137" spans="1:7" ht="12" customHeight="1" outlineLevel="2" x14ac:dyDescent="0.2">
      <c r="A10137" s="14" t="s">
        <v>19939</v>
      </c>
      <c r="B10137" s="15" t="s">
        <v>19940</v>
      </c>
      <c r="C10137" s="16">
        <f>194.91/(1+B2)</f>
        <v>194.91</v>
      </c>
      <c r="D10137" s="17" t="s">
        <v>11</v>
      </c>
      <c r="E10137" s="17" t="s">
        <v>11</v>
      </c>
      <c r="F10137" s="18"/>
      <c r="G10137" s="36" t="str">
        <f>IF(ISNUMBER(F10137),C10137*F10137,"")</f>
        <v/>
      </c>
    </row>
    <row r="10138" spans="1:7" ht="12" customHeight="1" outlineLevel="2" x14ac:dyDescent="0.2">
      <c r="A10138" s="14" t="s">
        <v>19941</v>
      </c>
      <c r="B10138" s="15" t="s">
        <v>19942</v>
      </c>
      <c r="C10138" s="16">
        <f>73.8/(1+B2)</f>
        <v>73.8</v>
      </c>
      <c r="D10138" s="17" t="s">
        <v>11</v>
      </c>
      <c r="E10138" s="17" t="s">
        <v>53</v>
      </c>
      <c r="F10138" s="18"/>
      <c r="G10138" s="36" t="str">
        <f>IF(ISNUMBER(F10138),C10138*F10138,"")</f>
        <v/>
      </c>
    </row>
    <row r="10139" spans="1:7" ht="12" customHeight="1" outlineLevel="2" x14ac:dyDescent="0.2">
      <c r="A10139" s="14" t="s">
        <v>19943</v>
      </c>
      <c r="B10139" s="15" t="s">
        <v>19944</v>
      </c>
      <c r="C10139" s="16">
        <f>51.5/(1+B2)</f>
        <v>51.5</v>
      </c>
      <c r="D10139" s="17" t="s">
        <v>11</v>
      </c>
      <c r="E10139" s="17"/>
      <c r="F10139" s="18"/>
      <c r="G10139" s="36" t="str">
        <f>IF(ISNUMBER(F10139),C10139*F10139,"")</f>
        <v/>
      </c>
    </row>
    <row r="10140" spans="1:7" ht="12" customHeight="1" outlineLevel="2" x14ac:dyDescent="0.2">
      <c r="A10140" s="14" t="s">
        <v>19945</v>
      </c>
      <c r="B10140" s="15" t="s">
        <v>19946</v>
      </c>
      <c r="C10140" s="16">
        <f>33.31/(1+B2)</f>
        <v>33.31</v>
      </c>
      <c r="D10140" s="17" t="s">
        <v>11</v>
      </c>
      <c r="E10140" s="17"/>
      <c r="F10140" s="18"/>
      <c r="G10140" s="36" t="str">
        <f>IF(ISNUMBER(F10140),C10140*F10140,"")</f>
        <v/>
      </c>
    </row>
    <row r="10141" spans="1:7" ht="12" customHeight="1" outlineLevel="2" x14ac:dyDescent="0.2">
      <c r="A10141" s="14" t="s">
        <v>19947</v>
      </c>
      <c r="B10141" s="15" t="s">
        <v>19948</v>
      </c>
      <c r="C10141" s="16">
        <f>28.55/(1+B2)</f>
        <v>28.55</v>
      </c>
      <c r="D10141" s="17" t="s">
        <v>14</v>
      </c>
      <c r="E10141" s="17" t="s">
        <v>11</v>
      </c>
      <c r="F10141" s="18"/>
      <c r="G10141" s="36" t="str">
        <f>IF(ISNUMBER(F10141),C10141*F10141,"")</f>
        <v/>
      </c>
    </row>
    <row r="10142" spans="1:7" ht="12" customHeight="1" outlineLevel="2" x14ac:dyDescent="0.2">
      <c r="A10142" s="14" t="s">
        <v>19949</v>
      </c>
      <c r="B10142" s="15" t="s">
        <v>19950</v>
      </c>
      <c r="C10142" s="16">
        <f>37.68/(1+B2)</f>
        <v>37.68</v>
      </c>
      <c r="D10142" s="17" t="s">
        <v>11</v>
      </c>
      <c r="E10142" s="17"/>
      <c r="F10142" s="18"/>
      <c r="G10142" s="36" t="str">
        <f>IF(ISNUMBER(F10142),C10142*F10142,"")</f>
        <v/>
      </c>
    </row>
    <row r="10143" spans="1:7" ht="12" customHeight="1" outlineLevel="2" x14ac:dyDescent="0.2">
      <c r="A10143" s="14" t="s">
        <v>19951</v>
      </c>
      <c r="B10143" s="15" t="s">
        <v>19952</v>
      </c>
      <c r="C10143" s="16">
        <f>21.58/(1+B2)</f>
        <v>21.58</v>
      </c>
      <c r="D10143" s="17" t="s">
        <v>11</v>
      </c>
      <c r="E10143" s="17" t="s">
        <v>106</v>
      </c>
      <c r="F10143" s="18"/>
      <c r="G10143" s="36" t="str">
        <f>IF(ISNUMBER(F10143),C10143*F10143,"")</f>
        <v/>
      </c>
    </row>
    <row r="10144" spans="1:7" ht="12" customHeight="1" outlineLevel="2" x14ac:dyDescent="0.2">
      <c r="A10144" s="14" t="s">
        <v>19953</v>
      </c>
      <c r="B10144" s="15" t="s">
        <v>19954</v>
      </c>
      <c r="C10144" s="16">
        <f>54.06/(1+B2)</f>
        <v>54.06</v>
      </c>
      <c r="D10144" s="17" t="s">
        <v>11</v>
      </c>
      <c r="E10144" s="17" t="s">
        <v>14</v>
      </c>
      <c r="F10144" s="18"/>
      <c r="G10144" s="36" t="str">
        <f>IF(ISNUMBER(F10144),C10144*F10144,"")</f>
        <v/>
      </c>
    </row>
    <row r="10145" spans="1:7" ht="12" customHeight="1" outlineLevel="2" x14ac:dyDescent="0.2">
      <c r="A10145" s="14" t="s">
        <v>19955</v>
      </c>
      <c r="B10145" s="15" t="s">
        <v>19956</v>
      </c>
      <c r="C10145" s="16">
        <f>49.6/(1+B2)</f>
        <v>49.6</v>
      </c>
      <c r="D10145" s="17" t="s">
        <v>14</v>
      </c>
      <c r="E10145" s="17" t="s">
        <v>106</v>
      </c>
      <c r="F10145" s="18"/>
      <c r="G10145" s="36" t="str">
        <f>IF(ISNUMBER(F10145),C10145*F10145,"")</f>
        <v/>
      </c>
    </row>
    <row r="10146" spans="1:7" s="1" customFormat="1" ht="15.95" customHeight="1" outlineLevel="1" x14ac:dyDescent="0.25">
      <c r="A10146" s="11"/>
      <c r="B10146" s="12" t="s">
        <v>19957</v>
      </c>
      <c r="C10146" s="13"/>
      <c r="D10146" s="13"/>
      <c r="E10146" s="13"/>
      <c r="F10146" s="13"/>
      <c r="G10146" s="35"/>
    </row>
    <row r="10147" spans="1:7" ht="12" customHeight="1" outlineLevel="2" x14ac:dyDescent="0.2">
      <c r="A10147" s="14" t="s">
        <v>19958</v>
      </c>
      <c r="B10147" s="15" t="s">
        <v>19959</v>
      </c>
      <c r="C10147" s="16">
        <f>46.58/(1+B2)</f>
        <v>46.58</v>
      </c>
      <c r="D10147" s="17" t="s">
        <v>11</v>
      </c>
      <c r="E10147" s="17" t="s">
        <v>11</v>
      </c>
      <c r="F10147" s="18"/>
      <c r="G10147" s="36" t="str">
        <f>IF(ISNUMBER(F10147),C10147*F10147,"")</f>
        <v/>
      </c>
    </row>
    <row r="10148" spans="1:7" ht="12" customHeight="1" outlineLevel="2" x14ac:dyDescent="0.2">
      <c r="A10148" s="14" t="s">
        <v>19960</v>
      </c>
      <c r="B10148" s="15" t="s">
        <v>19961</v>
      </c>
      <c r="C10148" s="16">
        <f>78.98/(1+B2)</f>
        <v>78.98</v>
      </c>
      <c r="D10148" s="17" t="s">
        <v>11</v>
      </c>
      <c r="E10148" s="17"/>
      <c r="F10148" s="18"/>
      <c r="G10148" s="36" t="str">
        <f>IF(ISNUMBER(F10148),C10148*F10148,"")</f>
        <v/>
      </c>
    </row>
    <row r="10149" spans="1:7" ht="12" customHeight="1" outlineLevel="2" x14ac:dyDescent="0.2">
      <c r="A10149" s="14" t="s">
        <v>19962</v>
      </c>
      <c r="B10149" s="15" t="s">
        <v>19963</v>
      </c>
      <c r="C10149" s="16">
        <f>39.56/(1+B2)</f>
        <v>39.56</v>
      </c>
      <c r="D10149" s="17" t="s">
        <v>11</v>
      </c>
      <c r="E10149" s="17" t="s">
        <v>11</v>
      </c>
      <c r="F10149" s="18"/>
      <c r="G10149" s="36" t="str">
        <f>IF(ISNUMBER(F10149),C10149*F10149,"")</f>
        <v/>
      </c>
    </row>
    <row r="10150" spans="1:7" ht="12" customHeight="1" outlineLevel="2" x14ac:dyDescent="0.2">
      <c r="A10150" s="14" t="s">
        <v>19964</v>
      </c>
      <c r="B10150" s="15" t="s">
        <v>19965</v>
      </c>
      <c r="C10150" s="16">
        <f>44.53/(1+B2)</f>
        <v>44.53</v>
      </c>
      <c r="D10150" s="17" t="s">
        <v>11</v>
      </c>
      <c r="E10150" s="17"/>
      <c r="F10150" s="18"/>
      <c r="G10150" s="36" t="str">
        <f>IF(ISNUMBER(F10150),C10150*F10150,"")</f>
        <v/>
      </c>
    </row>
    <row r="10151" spans="1:7" ht="12" customHeight="1" outlineLevel="2" x14ac:dyDescent="0.2">
      <c r="A10151" s="14" t="s">
        <v>19966</v>
      </c>
      <c r="B10151" s="15" t="s">
        <v>19967</v>
      </c>
      <c r="C10151" s="16">
        <f>59.38/(1+B2)</f>
        <v>59.38</v>
      </c>
      <c r="D10151" s="17" t="s">
        <v>11</v>
      </c>
      <c r="E10151" s="17"/>
      <c r="F10151" s="18"/>
      <c r="G10151" s="36" t="str">
        <f>IF(ISNUMBER(F10151),C10151*F10151,"")</f>
        <v/>
      </c>
    </row>
    <row r="10152" spans="1:7" ht="24" customHeight="1" outlineLevel="2" x14ac:dyDescent="0.2">
      <c r="A10152" s="14" t="s">
        <v>19968</v>
      </c>
      <c r="B10152" s="15" t="s">
        <v>19969</v>
      </c>
      <c r="C10152" s="16">
        <f>74.22/(1+B2)</f>
        <v>74.22</v>
      </c>
      <c r="D10152" s="17" t="s">
        <v>14</v>
      </c>
      <c r="E10152" s="17"/>
      <c r="F10152" s="18"/>
      <c r="G10152" s="36" t="str">
        <f>IF(ISNUMBER(F10152),C10152*F10152,"")</f>
        <v/>
      </c>
    </row>
    <row r="10153" spans="1:7" ht="24" customHeight="1" outlineLevel="2" x14ac:dyDescent="0.2">
      <c r="A10153" s="14" t="s">
        <v>19970</v>
      </c>
      <c r="B10153" s="15" t="s">
        <v>19971</v>
      </c>
      <c r="C10153" s="16">
        <f>73.38/(1+B2)</f>
        <v>73.38</v>
      </c>
      <c r="D10153" s="17" t="s">
        <v>11</v>
      </c>
      <c r="E10153" s="17"/>
      <c r="F10153" s="18"/>
      <c r="G10153" s="36" t="str">
        <f>IF(ISNUMBER(F10153),C10153*F10153,"")</f>
        <v/>
      </c>
    </row>
    <row r="10154" spans="1:7" ht="12" customHeight="1" outlineLevel="2" x14ac:dyDescent="0.2">
      <c r="A10154" s="14" t="s">
        <v>19972</v>
      </c>
      <c r="B10154" s="15" t="s">
        <v>19973</v>
      </c>
      <c r="C10154" s="16">
        <f>63.67/(1+B2)</f>
        <v>63.67</v>
      </c>
      <c r="D10154" s="17" t="s">
        <v>11</v>
      </c>
      <c r="E10154" s="17"/>
      <c r="F10154" s="18"/>
      <c r="G10154" s="36" t="str">
        <f>IF(ISNUMBER(F10154),C10154*F10154,"")</f>
        <v/>
      </c>
    </row>
    <row r="10155" spans="1:7" ht="12" customHeight="1" outlineLevel="2" x14ac:dyDescent="0.2">
      <c r="A10155" s="14" t="s">
        <v>19974</v>
      </c>
      <c r="B10155" s="15" t="s">
        <v>19975</v>
      </c>
      <c r="C10155" s="16">
        <f>95.09/(1+B2)</f>
        <v>95.09</v>
      </c>
      <c r="D10155" s="17" t="s">
        <v>11</v>
      </c>
      <c r="E10155" s="17"/>
      <c r="F10155" s="18"/>
      <c r="G10155" s="36" t="str">
        <f>IF(ISNUMBER(F10155),C10155*F10155,"")</f>
        <v/>
      </c>
    </row>
    <row r="10156" spans="1:7" ht="12" customHeight="1" outlineLevel="2" x14ac:dyDescent="0.2">
      <c r="A10156" s="14" t="s">
        <v>19976</v>
      </c>
      <c r="B10156" s="15" t="s">
        <v>19977</v>
      </c>
      <c r="C10156" s="16">
        <f>113.05/(1+B2)</f>
        <v>113.05</v>
      </c>
      <c r="D10156" s="17" t="s">
        <v>11</v>
      </c>
      <c r="E10156" s="17"/>
      <c r="F10156" s="18"/>
      <c r="G10156" s="36" t="str">
        <f>IF(ISNUMBER(F10156),C10156*F10156,"")</f>
        <v/>
      </c>
    </row>
    <row r="10157" spans="1:7" ht="12" customHeight="1" outlineLevel="2" x14ac:dyDescent="0.2">
      <c r="A10157" s="14" t="s">
        <v>19978</v>
      </c>
      <c r="B10157" s="15" t="s">
        <v>19979</v>
      </c>
      <c r="C10157" s="16">
        <f>281.11/(1+B2)</f>
        <v>281.11</v>
      </c>
      <c r="D10157" s="17" t="s">
        <v>11</v>
      </c>
      <c r="E10157" s="17"/>
      <c r="F10157" s="18"/>
      <c r="G10157" s="36" t="str">
        <f>IF(ISNUMBER(F10157),C10157*F10157,"")</f>
        <v/>
      </c>
    </row>
    <row r="10158" spans="1:7" ht="24" customHeight="1" outlineLevel="2" x14ac:dyDescent="0.2">
      <c r="A10158" s="14" t="s">
        <v>19980</v>
      </c>
      <c r="B10158" s="15" t="s">
        <v>19981</v>
      </c>
      <c r="C10158" s="16">
        <f>113.09/(1+B2)</f>
        <v>113.09</v>
      </c>
      <c r="D10158" s="17" t="s">
        <v>11</v>
      </c>
      <c r="E10158" s="17"/>
      <c r="F10158" s="18"/>
      <c r="G10158" s="36" t="str">
        <f>IF(ISNUMBER(F10158),C10158*F10158,"")</f>
        <v/>
      </c>
    </row>
    <row r="10159" spans="1:7" ht="12" customHeight="1" outlineLevel="2" x14ac:dyDescent="0.2">
      <c r="A10159" s="14" t="s">
        <v>19982</v>
      </c>
      <c r="B10159" s="15" t="s">
        <v>19983</v>
      </c>
      <c r="C10159" s="16">
        <f>168.47/(1+B2)</f>
        <v>168.47</v>
      </c>
      <c r="D10159" s="17" t="s">
        <v>11</v>
      </c>
      <c r="E10159" s="17"/>
      <c r="F10159" s="18"/>
      <c r="G10159" s="36" t="str">
        <f>IF(ISNUMBER(F10159),C10159*F10159,"")</f>
        <v/>
      </c>
    </row>
    <row r="10160" spans="1:7" ht="12" customHeight="1" outlineLevel="2" x14ac:dyDescent="0.2">
      <c r="A10160" s="14" t="s">
        <v>19984</v>
      </c>
      <c r="B10160" s="15" t="s">
        <v>19985</v>
      </c>
      <c r="C10160" s="16">
        <f>10.6/(1+B2)</f>
        <v>10.6</v>
      </c>
      <c r="D10160" s="17" t="s">
        <v>11</v>
      </c>
      <c r="E10160" s="17"/>
      <c r="F10160" s="18"/>
      <c r="G10160" s="36" t="str">
        <f>IF(ISNUMBER(F10160),C10160*F10160,"")</f>
        <v/>
      </c>
    </row>
    <row r="10161" spans="1:7" ht="12" customHeight="1" outlineLevel="2" x14ac:dyDescent="0.2">
      <c r="A10161" s="14" t="s">
        <v>19986</v>
      </c>
      <c r="B10161" s="15" t="s">
        <v>19987</v>
      </c>
      <c r="C10161" s="16">
        <f>16.24/(1+B2)</f>
        <v>16.239999999999998</v>
      </c>
      <c r="D10161" s="17" t="s">
        <v>11</v>
      </c>
      <c r="E10161" s="17" t="s">
        <v>11</v>
      </c>
      <c r="F10161" s="18"/>
      <c r="G10161" s="36" t="str">
        <f>IF(ISNUMBER(F10161),C10161*F10161,"")</f>
        <v/>
      </c>
    </row>
    <row r="10162" spans="1:7" ht="12" customHeight="1" outlineLevel="2" x14ac:dyDescent="0.2">
      <c r="A10162" s="14" t="s">
        <v>19988</v>
      </c>
      <c r="B10162" s="15" t="s">
        <v>19989</v>
      </c>
      <c r="C10162" s="16">
        <f>35.45/(1+B2)</f>
        <v>35.450000000000003</v>
      </c>
      <c r="D10162" s="17" t="s">
        <v>11</v>
      </c>
      <c r="E10162" s="17"/>
      <c r="F10162" s="18"/>
      <c r="G10162" s="36" t="str">
        <f>IF(ISNUMBER(F10162),C10162*F10162,"")</f>
        <v/>
      </c>
    </row>
    <row r="10163" spans="1:7" ht="12" customHeight="1" outlineLevel="2" x14ac:dyDescent="0.2">
      <c r="A10163" s="14" t="s">
        <v>19990</v>
      </c>
      <c r="B10163" s="15" t="s">
        <v>19991</v>
      </c>
      <c r="C10163" s="16">
        <f>46.21/(1+B2)</f>
        <v>46.21</v>
      </c>
      <c r="D10163" s="17" t="s">
        <v>11</v>
      </c>
      <c r="E10163" s="17"/>
      <c r="F10163" s="18"/>
      <c r="G10163" s="36" t="str">
        <f>IF(ISNUMBER(F10163),C10163*F10163,"")</f>
        <v/>
      </c>
    </row>
    <row r="10164" spans="1:7" ht="12" customHeight="1" outlineLevel="2" x14ac:dyDescent="0.2">
      <c r="A10164" s="14" t="s">
        <v>19992</v>
      </c>
      <c r="B10164" s="15" t="s">
        <v>19993</v>
      </c>
      <c r="C10164" s="16">
        <f>37.68/(1+B2)</f>
        <v>37.68</v>
      </c>
      <c r="D10164" s="17" t="s">
        <v>11</v>
      </c>
      <c r="E10164" s="17" t="s">
        <v>14</v>
      </c>
      <c r="F10164" s="18"/>
      <c r="G10164" s="36" t="str">
        <f>IF(ISNUMBER(F10164),C10164*F10164,"")</f>
        <v/>
      </c>
    </row>
    <row r="10165" spans="1:7" ht="12" customHeight="1" outlineLevel="2" x14ac:dyDescent="0.2">
      <c r="A10165" s="14" t="s">
        <v>19994</v>
      </c>
      <c r="B10165" s="15" t="s">
        <v>19995</v>
      </c>
      <c r="C10165" s="16">
        <f>32.89/(1+B2)</f>
        <v>32.89</v>
      </c>
      <c r="D10165" s="17" t="s">
        <v>11</v>
      </c>
      <c r="E10165" s="17"/>
      <c r="F10165" s="18"/>
      <c r="G10165" s="36" t="str">
        <f>IF(ISNUMBER(F10165),C10165*F10165,"")</f>
        <v/>
      </c>
    </row>
    <row r="10166" spans="1:7" ht="12" customHeight="1" outlineLevel="2" x14ac:dyDescent="0.2">
      <c r="A10166" s="14" t="s">
        <v>19996</v>
      </c>
      <c r="B10166" s="15" t="s">
        <v>19997</v>
      </c>
      <c r="C10166" s="16">
        <f>35.45/(1+B2)</f>
        <v>35.450000000000003</v>
      </c>
      <c r="D10166" s="17" t="s">
        <v>11</v>
      </c>
      <c r="E10166" s="17" t="s">
        <v>11</v>
      </c>
      <c r="F10166" s="18"/>
      <c r="G10166" s="36" t="str">
        <f>IF(ISNUMBER(F10166),C10166*F10166,"")</f>
        <v/>
      </c>
    </row>
    <row r="10167" spans="1:7" ht="12" customHeight="1" outlineLevel="2" x14ac:dyDescent="0.2">
      <c r="A10167" s="14" t="s">
        <v>19998</v>
      </c>
      <c r="B10167" s="15" t="s">
        <v>19999</v>
      </c>
      <c r="C10167" s="16">
        <f>108.48/(1+B2)</f>
        <v>108.48</v>
      </c>
      <c r="D10167" s="17" t="s">
        <v>11</v>
      </c>
      <c r="E10167" s="17"/>
      <c r="F10167" s="18"/>
      <c r="G10167" s="36" t="str">
        <f>IF(ISNUMBER(F10167),C10167*F10167,"")</f>
        <v/>
      </c>
    </row>
    <row r="10168" spans="1:7" ht="12" customHeight="1" outlineLevel="2" x14ac:dyDescent="0.2">
      <c r="A10168" s="14" t="s">
        <v>20000</v>
      </c>
      <c r="B10168" s="15" t="s">
        <v>20001</v>
      </c>
      <c r="C10168" s="16">
        <f>84.4/(1+B2)</f>
        <v>84.4</v>
      </c>
      <c r="D10168" s="17" t="s">
        <v>11</v>
      </c>
      <c r="E10168" s="17"/>
      <c r="F10168" s="18"/>
      <c r="G10168" s="36" t="str">
        <f>IF(ISNUMBER(F10168),C10168*F10168,"")</f>
        <v/>
      </c>
    </row>
    <row r="10169" spans="1:7" ht="12" customHeight="1" outlineLevel="2" x14ac:dyDescent="0.2">
      <c r="A10169" s="14" t="s">
        <v>20002</v>
      </c>
      <c r="B10169" s="15" t="s">
        <v>20003</v>
      </c>
      <c r="C10169" s="16">
        <f>77.65/(1+B2)</f>
        <v>77.650000000000006</v>
      </c>
      <c r="D10169" s="17" t="s">
        <v>11</v>
      </c>
      <c r="E10169" s="17" t="s">
        <v>14</v>
      </c>
      <c r="F10169" s="18"/>
      <c r="G10169" s="36" t="str">
        <f>IF(ISNUMBER(F10169),C10169*F10169,"")</f>
        <v/>
      </c>
    </row>
    <row r="10170" spans="1:7" ht="12" customHeight="1" outlineLevel="2" x14ac:dyDescent="0.2">
      <c r="A10170" s="14" t="s">
        <v>20004</v>
      </c>
      <c r="B10170" s="15" t="s">
        <v>20005</v>
      </c>
      <c r="C10170" s="16">
        <f>91.36/(1+B2)</f>
        <v>91.36</v>
      </c>
      <c r="D10170" s="17" t="s">
        <v>14</v>
      </c>
      <c r="E10170" s="17" t="s">
        <v>14</v>
      </c>
      <c r="F10170" s="18"/>
      <c r="G10170" s="36" t="str">
        <f>IF(ISNUMBER(F10170),C10170*F10170,"")</f>
        <v/>
      </c>
    </row>
    <row r="10171" spans="1:7" ht="12" customHeight="1" outlineLevel="2" x14ac:dyDescent="0.2">
      <c r="A10171" s="14" t="s">
        <v>20006</v>
      </c>
      <c r="B10171" s="15" t="s">
        <v>20007</v>
      </c>
      <c r="C10171" s="16">
        <f>111.21/(1+B2)</f>
        <v>111.21</v>
      </c>
      <c r="D10171" s="17" t="s">
        <v>11</v>
      </c>
      <c r="E10171" s="17" t="s">
        <v>53</v>
      </c>
      <c r="F10171" s="18"/>
      <c r="G10171" s="36" t="str">
        <f>IF(ISNUMBER(F10171),C10171*F10171,"")</f>
        <v/>
      </c>
    </row>
    <row r="10172" spans="1:7" ht="12" customHeight="1" outlineLevel="2" x14ac:dyDescent="0.2">
      <c r="A10172" s="14" t="s">
        <v>20008</v>
      </c>
      <c r="B10172" s="15" t="s">
        <v>20009</v>
      </c>
      <c r="C10172" s="16">
        <f>32.05/(1+B2)</f>
        <v>32.049999999999997</v>
      </c>
      <c r="D10172" s="17" t="s">
        <v>11</v>
      </c>
      <c r="E10172" s="17"/>
      <c r="F10172" s="18"/>
      <c r="G10172" s="36" t="str">
        <f>IF(ISNUMBER(F10172),C10172*F10172,"")</f>
        <v/>
      </c>
    </row>
    <row r="10173" spans="1:7" ht="12" customHeight="1" outlineLevel="2" x14ac:dyDescent="0.2">
      <c r="A10173" s="14" t="s">
        <v>20010</v>
      </c>
      <c r="B10173" s="15" t="s">
        <v>20011</v>
      </c>
      <c r="C10173" s="16">
        <f>89.19/(1+B2)</f>
        <v>89.19</v>
      </c>
      <c r="D10173" s="17" t="s">
        <v>11</v>
      </c>
      <c r="E10173" s="17"/>
      <c r="F10173" s="18"/>
      <c r="G10173" s="36" t="str">
        <f>IF(ISNUMBER(F10173),C10173*F10173,"")</f>
        <v/>
      </c>
    </row>
    <row r="10174" spans="1:7" ht="12" customHeight="1" outlineLevel="2" x14ac:dyDescent="0.2">
      <c r="A10174" s="14" t="s">
        <v>20012</v>
      </c>
      <c r="B10174" s="15" t="s">
        <v>20013</v>
      </c>
      <c r="C10174" s="16">
        <f>73.96/(1+B2)</f>
        <v>73.959999999999994</v>
      </c>
      <c r="D10174" s="17" t="s">
        <v>11</v>
      </c>
      <c r="E10174" s="17"/>
      <c r="F10174" s="18"/>
      <c r="G10174" s="36" t="str">
        <f>IF(ISNUMBER(F10174),C10174*F10174,"")</f>
        <v/>
      </c>
    </row>
    <row r="10175" spans="1:7" ht="12" customHeight="1" outlineLevel="2" x14ac:dyDescent="0.2">
      <c r="A10175" s="14" t="s">
        <v>20014</v>
      </c>
      <c r="B10175" s="15" t="s">
        <v>20015</v>
      </c>
      <c r="C10175" s="16">
        <f>54.82/(1+B2)</f>
        <v>54.82</v>
      </c>
      <c r="D10175" s="17" t="s">
        <v>14</v>
      </c>
      <c r="E10175" s="17" t="s">
        <v>53</v>
      </c>
      <c r="F10175" s="18"/>
      <c r="G10175" s="36" t="str">
        <f>IF(ISNUMBER(F10175),C10175*F10175,"")</f>
        <v/>
      </c>
    </row>
    <row r="10176" spans="1:7" ht="12" customHeight="1" outlineLevel="2" x14ac:dyDescent="0.2">
      <c r="A10176" s="14" t="s">
        <v>20016</v>
      </c>
      <c r="B10176" s="15" t="s">
        <v>20017</v>
      </c>
      <c r="C10176" s="16">
        <f>69.43/(1+B2)</f>
        <v>69.430000000000007</v>
      </c>
      <c r="D10176" s="17" t="s">
        <v>14</v>
      </c>
      <c r="E10176" s="17"/>
      <c r="F10176" s="18"/>
      <c r="G10176" s="36" t="str">
        <f>IF(ISNUMBER(F10176),C10176*F10176,"")</f>
        <v/>
      </c>
    </row>
    <row r="10177" spans="1:7" ht="12" customHeight="1" outlineLevel="2" x14ac:dyDescent="0.2">
      <c r="A10177" s="14" t="s">
        <v>20018</v>
      </c>
      <c r="B10177" s="15" t="s">
        <v>20019</v>
      </c>
      <c r="C10177" s="16">
        <f>17.12/(1+B2)</f>
        <v>17.12</v>
      </c>
      <c r="D10177" s="17" t="s">
        <v>14</v>
      </c>
      <c r="E10177" s="17" t="s">
        <v>53</v>
      </c>
      <c r="F10177" s="18"/>
      <c r="G10177" s="36" t="str">
        <f>IF(ISNUMBER(F10177),C10177*F10177,"")</f>
        <v/>
      </c>
    </row>
    <row r="10178" spans="1:7" ht="12" customHeight="1" outlineLevel="2" x14ac:dyDescent="0.2">
      <c r="A10178" s="14" t="s">
        <v>20020</v>
      </c>
      <c r="B10178" s="15" t="s">
        <v>20021</v>
      </c>
      <c r="C10178" s="16">
        <f>177.98/(1+B2)</f>
        <v>177.98</v>
      </c>
      <c r="D10178" s="17" t="s">
        <v>11</v>
      </c>
      <c r="E10178" s="17"/>
      <c r="F10178" s="18"/>
      <c r="G10178" s="36" t="str">
        <f>IF(ISNUMBER(F10178),C10178*F10178,"")</f>
        <v/>
      </c>
    </row>
    <row r="10179" spans="1:7" ht="12" customHeight="1" outlineLevel="2" x14ac:dyDescent="0.2">
      <c r="A10179" s="14" t="s">
        <v>20022</v>
      </c>
      <c r="B10179" s="15" t="s">
        <v>20023</v>
      </c>
      <c r="C10179" s="16">
        <f>106.97/(1+B2)</f>
        <v>106.97</v>
      </c>
      <c r="D10179" s="17" t="s">
        <v>11</v>
      </c>
      <c r="E10179" s="17" t="s">
        <v>11</v>
      </c>
      <c r="F10179" s="18"/>
      <c r="G10179" s="36" t="str">
        <f>IF(ISNUMBER(F10179),C10179*F10179,"")</f>
        <v/>
      </c>
    </row>
    <row r="10180" spans="1:7" ht="12" customHeight="1" outlineLevel="2" x14ac:dyDescent="0.2">
      <c r="A10180" s="14" t="s">
        <v>20024</v>
      </c>
      <c r="B10180" s="15" t="s">
        <v>20025</v>
      </c>
      <c r="C10180" s="16">
        <f>119.9/(1+B2)</f>
        <v>119.9</v>
      </c>
      <c r="D10180" s="17" t="s">
        <v>11</v>
      </c>
      <c r="E10180" s="17" t="s">
        <v>11</v>
      </c>
      <c r="F10180" s="18"/>
      <c r="G10180" s="36" t="str">
        <f>IF(ISNUMBER(F10180),C10180*F10180,"")</f>
        <v/>
      </c>
    </row>
    <row r="10181" spans="1:7" ht="12" customHeight="1" outlineLevel="2" x14ac:dyDescent="0.2">
      <c r="A10181" s="14" t="s">
        <v>20026</v>
      </c>
      <c r="B10181" s="15" t="s">
        <v>20027</v>
      </c>
      <c r="C10181" s="16">
        <f>113.65/(1+B2)</f>
        <v>113.65</v>
      </c>
      <c r="D10181" s="17" t="s">
        <v>11</v>
      </c>
      <c r="E10181" s="17"/>
      <c r="F10181" s="18"/>
      <c r="G10181" s="36" t="str">
        <f>IF(ISNUMBER(F10181),C10181*F10181,"")</f>
        <v/>
      </c>
    </row>
    <row r="10182" spans="1:7" ht="12" customHeight="1" outlineLevel="2" x14ac:dyDescent="0.2">
      <c r="A10182" s="14" t="s">
        <v>20028</v>
      </c>
      <c r="B10182" s="15" t="s">
        <v>20029</v>
      </c>
      <c r="C10182" s="16">
        <f>78.21/(1+B2)</f>
        <v>78.209999999999994</v>
      </c>
      <c r="D10182" s="17" t="s">
        <v>11</v>
      </c>
      <c r="E10182" s="17"/>
      <c r="F10182" s="18"/>
      <c r="G10182" s="36" t="str">
        <f>IF(ISNUMBER(F10182),C10182*F10182,"")</f>
        <v/>
      </c>
    </row>
    <row r="10183" spans="1:7" ht="12" customHeight="1" outlineLevel="2" x14ac:dyDescent="0.2">
      <c r="A10183" s="14" t="s">
        <v>20030</v>
      </c>
      <c r="B10183" s="15" t="s">
        <v>20031</v>
      </c>
      <c r="C10183" s="16">
        <f>87.12/(1+B2)</f>
        <v>87.12</v>
      </c>
      <c r="D10183" s="17" t="s">
        <v>11</v>
      </c>
      <c r="E10183" s="17"/>
      <c r="F10183" s="18"/>
      <c r="G10183" s="36" t="str">
        <f>IF(ISNUMBER(F10183),C10183*F10183,"")</f>
        <v/>
      </c>
    </row>
    <row r="10184" spans="1:7" ht="12" customHeight="1" outlineLevel="2" x14ac:dyDescent="0.2">
      <c r="A10184" s="14" t="s">
        <v>20032</v>
      </c>
      <c r="B10184" s="15" t="s">
        <v>20033</v>
      </c>
      <c r="C10184" s="16">
        <f>175.35/(1+B2)</f>
        <v>175.35</v>
      </c>
      <c r="D10184" s="17" t="s">
        <v>11</v>
      </c>
      <c r="E10184" s="17"/>
      <c r="F10184" s="18"/>
      <c r="G10184" s="36" t="str">
        <f>IF(ISNUMBER(F10184),C10184*F10184,"")</f>
        <v/>
      </c>
    </row>
    <row r="10185" spans="1:7" ht="12" customHeight="1" outlineLevel="2" x14ac:dyDescent="0.2">
      <c r="A10185" s="14" t="s">
        <v>20034</v>
      </c>
      <c r="B10185" s="15" t="s">
        <v>20035</v>
      </c>
      <c r="C10185" s="16">
        <f>133.06/(1+B2)</f>
        <v>133.06</v>
      </c>
      <c r="D10185" s="17" t="s">
        <v>11</v>
      </c>
      <c r="E10185" s="17"/>
      <c r="F10185" s="18"/>
      <c r="G10185" s="36" t="str">
        <f>IF(ISNUMBER(F10185),C10185*F10185,"")</f>
        <v/>
      </c>
    </row>
    <row r="10186" spans="1:7" ht="12" customHeight="1" outlineLevel="2" x14ac:dyDescent="0.2">
      <c r="A10186" s="14" t="s">
        <v>20036</v>
      </c>
      <c r="B10186" s="15" t="s">
        <v>20037</v>
      </c>
      <c r="C10186" s="16">
        <f>132.37/(1+B2)</f>
        <v>132.37</v>
      </c>
      <c r="D10186" s="17" t="s">
        <v>11</v>
      </c>
      <c r="E10186" s="17"/>
      <c r="F10186" s="18"/>
      <c r="G10186" s="36" t="str">
        <f>IF(ISNUMBER(F10186),C10186*F10186,"")</f>
        <v/>
      </c>
    </row>
    <row r="10187" spans="1:7" ht="12" customHeight="1" outlineLevel="2" x14ac:dyDescent="0.2">
      <c r="A10187" s="14" t="s">
        <v>20038</v>
      </c>
      <c r="B10187" s="15" t="s">
        <v>20039</v>
      </c>
      <c r="C10187" s="16">
        <f>159.86/(1+B2)</f>
        <v>159.86000000000001</v>
      </c>
      <c r="D10187" s="17" t="s">
        <v>11</v>
      </c>
      <c r="E10187" s="17"/>
      <c r="F10187" s="18"/>
      <c r="G10187" s="36" t="str">
        <f>IF(ISNUMBER(F10187),C10187*F10187,"")</f>
        <v/>
      </c>
    </row>
    <row r="10188" spans="1:7" ht="12" customHeight="1" outlineLevel="2" x14ac:dyDescent="0.2">
      <c r="A10188" s="14" t="s">
        <v>20040</v>
      </c>
      <c r="B10188" s="15" t="s">
        <v>20041</v>
      </c>
      <c r="C10188" s="16">
        <f>208.08/(1+B2)</f>
        <v>208.08</v>
      </c>
      <c r="D10188" s="17" t="s">
        <v>11</v>
      </c>
      <c r="E10188" s="17"/>
      <c r="F10188" s="18"/>
      <c r="G10188" s="36" t="str">
        <f>IF(ISNUMBER(F10188),C10188*F10188,"")</f>
        <v/>
      </c>
    </row>
    <row r="10189" spans="1:7" ht="12" customHeight="1" outlineLevel="2" x14ac:dyDescent="0.2">
      <c r="A10189" s="14" t="s">
        <v>20042</v>
      </c>
      <c r="B10189" s="15" t="s">
        <v>20043</v>
      </c>
      <c r="C10189" s="16">
        <f>237.11/(1+B2)</f>
        <v>237.11</v>
      </c>
      <c r="D10189" s="17" t="s">
        <v>11</v>
      </c>
      <c r="E10189" s="17"/>
      <c r="F10189" s="18"/>
      <c r="G10189" s="36" t="str">
        <f>IF(ISNUMBER(F10189),C10189*F10189,"")</f>
        <v/>
      </c>
    </row>
    <row r="10190" spans="1:7" ht="12" customHeight="1" outlineLevel="2" x14ac:dyDescent="0.2">
      <c r="A10190" s="14" t="s">
        <v>20044</v>
      </c>
      <c r="B10190" s="15" t="s">
        <v>20045</v>
      </c>
      <c r="C10190" s="16">
        <f>113.12/(1+B2)</f>
        <v>113.12</v>
      </c>
      <c r="D10190" s="17" t="s">
        <v>14</v>
      </c>
      <c r="E10190" s="17" t="s">
        <v>14</v>
      </c>
      <c r="F10190" s="18"/>
      <c r="G10190" s="36" t="str">
        <f>IF(ISNUMBER(F10190),C10190*F10190,"")</f>
        <v/>
      </c>
    </row>
    <row r="10191" spans="1:7" ht="12" customHeight="1" outlineLevel="2" x14ac:dyDescent="0.2">
      <c r="A10191" s="14" t="s">
        <v>20046</v>
      </c>
      <c r="B10191" s="15" t="s">
        <v>20047</v>
      </c>
      <c r="C10191" s="16">
        <f>82.79/(1+B2)</f>
        <v>82.79</v>
      </c>
      <c r="D10191" s="17" t="s">
        <v>11</v>
      </c>
      <c r="E10191" s="17"/>
      <c r="F10191" s="18"/>
      <c r="G10191" s="36" t="str">
        <f>IF(ISNUMBER(F10191),C10191*F10191,"")</f>
        <v/>
      </c>
    </row>
    <row r="10192" spans="1:7" ht="12" customHeight="1" outlineLevel="2" x14ac:dyDescent="0.2">
      <c r="A10192" s="14" t="s">
        <v>20048</v>
      </c>
      <c r="B10192" s="15" t="s">
        <v>20049</v>
      </c>
      <c r="C10192" s="16">
        <f>169.08/(1+B2)</f>
        <v>169.08</v>
      </c>
      <c r="D10192" s="17" t="s">
        <v>11</v>
      </c>
      <c r="E10192" s="17"/>
      <c r="F10192" s="18"/>
      <c r="G10192" s="36" t="str">
        <f>IF(ISNUMBER(F10192),C10192*F10192,"")</f>
        <v/>
      </c>
    </row>
    <row r="10193" spans="1:7" ht="12" customHeight="1" outlineLevel="2" x14ac:dyDescent="0.2">
      <c r="A10193" s="14" t="s">
        <v>20050</v>
      </c>
      <c r="B10193" s="15" t="s">
        <v>20051</v>
      </c>
      <c r="C10193" s="16">
        <f>101.4/(1+B2)</f>
        <v>101.4</v>
      </c>
      <c r="D10193" s="17" t="s">
        <v>11</v>
      </c>
      <c r="E10193" s="17" t="s">
        <v>53</v>
      </c>
      <c r="F10193" s="18"/>
      <c r="G10193" s="36" t="str">
        <f>IF(ISNUMBER(F10193),C10193*F10193,"")</f>
        <v/>
      </c>
    </row>
    <row r="10194" spans="1:7" ht="12" customHeight="1" outlineLevel="2" x14ac:dyDescent="0.2">
      <c r="A10194" s="14" t="s">
        <v>20052</v>
      </c>
      <c r="B10194" s="15" t="s">
        <v>20053</v>
      </c>
      <c r="C10194" s="16">
        <f>25.98/(1+B2)</f>
        <v>25.98</v>
      </c>
      <c r="D10194" s="17" t="s">
        <v>11</v>
      </c>
      <c r="E10194" s="17" t="s">
        <v>14</v>
      </c>
      <c r="F10194" s="18"/>
      <c r="G10194" s="36" t="str">
        <f>IF(ISNUMBER(F10194),C10194*F10194,"")</f>
        <v/>
      </c>
    </row>
    <row r="10195" spans="1:7" s="1" customFormat="1" ht="15.95" customHeight="1" outlineLevel="1" x14ac:dyDescent="0.25">
      <c r="A10195" s="11"/>
      <c r="B10195" s="12" t="s">
        <v>20054</v>
      </c>
      <c r="C10195" s="13"/>
      <c r="D10195" s="13"/>
      <c r="E10195" s="13"/>
      <c r="F10195" s="13"/>
      <c r="G10195" s="35"/>
    </row>
    <row r="10196" spans="1:7" ht="12" customHeight="1" outlineLevel="2" x14ac:dyDescent="0.2">
      <c r="A10196" s="14" t="s">
        <v>20055</v>
      </c>
      <c r="B10196" s="15" t="s">
        <v>20056</v>
      </c>
      <c r="C10196" s="16">
        <f>102.77/(1+B2)</f>
        <v>102.77</v>
      </c>
      <c r="D10196" s="17" t="s">
        <v>11</v>
      </c>
      <c r="E10196" s="17" t="s">
        <v>11</v>
      </c>
      <c r="F10196" s="18"/>
      <c r="G10196" s="36" t="str">
        <f>IF(ISNUMBER(F10196),C10196*F10196,"")</f>
        <v/>
      </c>
    </row>
    <row r="10197" spans="1:7" ht="24" customHeight="1" outlineLevel="2" x14ac:dyDescent="0.2">
      <c r="A10197" s="14" t="s">
        <v>20057</v>
      </c>
      <c r="B10197" s="15" t="s">
        <v>20058</v>
      </c>
      <c r="C10197" s="16">
        <f>256.93/(1+B2)</f>
        <v>256.93</v>
      </c>
      <c r="D10197" s="17" t="s">
        <v>11</v>
      </c>
      <c r="E10197" s="17" t="s">
        <v>11</v>
      </c>
      <c r="F10197" s="18"/>
      <c r="G10197" s="36" t="str">
        <f>IF(ISNUMBER(F10197),C10197*F10197,"")</f>
        <v/>
      </c>
    </row>
    <row r="10198" spans="1:7" ht="12" customHeight="1" outlineLevel="2" x14ac:dyDescent="0.2">
      <c r="A10198" s="14" t="s">
        <v>20059</v>
      </c>
      <c r="B10198" s="15" t="s">
        <v>20060</v>
      </c>
      <c r="C10198" s="16">
        <f>132.24/(1+B2)</f>
        <v>132.24</v>
      </c>
      <c r="D10198" s="17" t="s">
        <v>11</v>
      </c>
      <c r="E10198" s="17"/>
      <c r="F10198" s="18"/>
      <c r="G10198" s="36" t="str">
        <f>IF(ISNUMBER(F10198),C10198*F10198,"")</f>
        <v/>
      </c>
    </row>
    <row r="10199" spans="1:7" ht="12" customHeight="1" outlineLevel="2" x14ac:dyDescent="0.2">
      <c r="A10199" s="14" t="s">
        <v>20061</v>
      </c>
      <c r="B10199" s="15" t="s">
        <v>20062</v>
      </c>
      <c r="C10199" s="16">
        <f>116.7/(1+B2)</f>
        <v>116.7</v>
      </c>
      <c r="D10199" s="17" t="s">
        <v>14</v>
      </c>
      <c r="E10199" s="17"/>
      <c r="F10199" s="18"/>
      <c r="G10199" s="36" t="str">
        <f>IF(ISNUMBER(F10199),C10199*F10199,"")</f>
        <v/>
      </c>
    </row>
    <row r="10200" spans="1:7" ht="12" customHeight="1" outlineLevel="2" x14ac:dyDescent="0.2">
      <c r="A10200" s="14" t="s">
        <v>20063</v>
      </c>
      <c r="B10200" s="15" t="s">
        <v>20064</v>
      </c>
      <c r="C10200" s="16">
        <f>109.56/(1+B2)</f>
        <v>109.56</v>
      </c>
      <c r="D10200" s="17" t="s">
        <v>11</v>
      </c>
      <c r="E10200" s="17"/>
      <c r="F10200" s="18"/>
      <c r="G10200" s="36" t="str">
        <f>IF(ISNUMBER(F10200),C10200*F10200,"")</f>
        <v/>
      </c>
    </row>
    <row r="10201" spans="1:7" ht="12" customHeight="1" outlineLevel="2" x14ac:dyDescent="0.2">
      <c r="A10201" s="14" t="s">
        <v>20065</v>
      </c>
      <c r="B10201" s="15" t="s">
        <v>20066</v>
      </c>
      <c r="C10201" s="16">
        <f>101.88/(1+B2)</f>
        <v>101.88</v>
      </c>
      <c r="D10201" s="17" t="s">
        <v>11</v>
      </c>
      <c r="E10201" s="17"/>
      <c r="F10201" s="18"/>
      <c r="G10201" s="36" t="str">
        <f>IF(ISNUMBER(F10201),C10201*F10201,"")</f>
        <v/>
      </c>
    </row>
    <row r="10202" spans="1:7" ht="12" customHeight="1" outlineLevel="2" x14ac:dyDescent="0.2">
      <c r="A10202" s="14" t="s">
        <v>20067</v>
      </c>
      <c r="B10202" s="15" t="s">
        <v>20068</v>
      </c>
      <c r="C10202" s="16">
        <f>273.48/(1+B2)</f>
        <v>273.48</v>
      </c>
      <c r="D10202" s="17" t="s">
        <v>11</v>
      </c>
      <c r="E10202" s="17"/>
      <c r="F10202" s="18"/>
      <c r="G10202" s="36" t="str">
        <f>IF(ISNUMBER(F10202),C10202*F10202,"")</f>
        <v/>
      </c>
    </row>
    <row r="10203" spans="1:7" ht="12" customHeight="1" outlineLevel="2" x14ac:dyDescent="0.2">
      <c r="A10203" s="14" t="s">
        <v>20069</v>
      </c>
      <c r="B10203" s="15" t="s">
        <v>20070</v>
      </c>
      <c r="C10203" s="16">
        <f>185.55/(1+B2)</f>
        <v>185.55</v>
      </c>
      <c r="D10203" s="17" t="s">
        <v>11</v>
      </c>
      <c r="E10203" s="17"/>
      <c r="F10203" s="18"/>
      <c r="G10203" s="36" t="str">
        <f>IF(ISNUMBER(F10203),C10203*F10203,"")</f>
        <v/>
      </c>
    </row>
    <row r="10204" spans="1:7" ht="12" customHeight="1" outlineLevel="2" x14ac:dyDescent="0.2">
      <c r="A10204" s="14" t="s">
        <v>20071</v>
      </c>
      <c r="B10204" s="15" t="s">
        <v>20072</v>
      </c>
      <c r="C10204" s="16">
        <f>201.16/(1+B2)</f>
        <v>201.16</v>
      </c>
      <c r="D10204" s="17" t="s">
        <v>11</v>
      </c>
      <c r="E10204" s="17"/>
      <c r="F10204" s="18"/>
      <c r="G10204" s="36" t="str">
        <f>IF(ISNUMBER(F10204),C10204*F10204,"")</f>
        <v/>
      </c>
    </row>
    <row r="10205" spans="1:7" ht="12" customHeight="1" outlineLevel="2" x14ac:dyDescent="0.2">
      <c r="A10205" s="14" t="s">
        <v>20073</v>
      </c>
      <c r="B10205" s="15" t="s">
        <v>20074</v>
      </c>
      <c r="C10205" s="16">
        <f>155.03/(1+B2)</f>
        <v>155.03</v>
      </c>
      <c r="D10205" s="17" t="s">
        <v>11</v>
      </c>
      <c r="E10205" s="17" t="s">
        <v>11</v>
      </c>
      <c r="F10205" s="18"/>
      <c r="G10205" s="36" t="str">
        <f>IF(ISNUMBER(F10205),C10205*F10205,"")</f>
        <v/>
      </c>
    </row>
    <row r="10206" spans="1:7" ht="12" customHeight="1" outlineLevel="2" x14ac:dyDescent="0.2">
      <c r="A10206" s="14" t="s">
        <v>20075</v>
      </c>
      <c r="B10206" s="15" t="s">
        <v>20076</v>
      </c>
      <c r="C10206" s="16">
        <f>74.88/(1+B2)</f>
        <v>74.88</v>
      </c>
      <c r="D10206" s="17" t="s">
        <v>11</v>
      </c>
      <c r="E10206" s="17"/>
      <c r="F10206" s="18"/>
      <c r="G10206" s="36" t="str">
        <f>IF(ISNUMBER(F10206),C10206*F10206,"")</f>
        <v/>
      </c>
    </row>
    <row r="10207" spans="1:7" s="1" customFormat="1" ht="15.95" customHeight="1" outlineLevel="1" x14ac:dyDescent="0.25">
      <c r="A10207" s="11"/>
      <c r="B10207" s="12" t="s">
        <v>20077</v>
      </c>
      <c r="C10207" s="13"/>
      <c r="D10207" s="13"/>
      <c r="E10207" s="13"/>
      <c r="F10207" s="13"/>
      <c r="G10207" s="35"/>
    </row>
    <row r="10208" spans="1:7" ht="12" customHeight="1" outlineLevel="2" x14ac:dyDescent="0.2">
      <c r="A10208" s="14" t="s">
        <v>20078</v>
      </c>
      <c r="B10208" s="15" t="s">
        <v>20079</v>
      </c>
      <c r="C10208" s="16">
        <f>107.41/(1+B2)</f>
        <v>107.41</v>
      </c>
      <c r="D10208" s="17" t="s">
        <v>11</v>
      </c>
      <c r="E10208" s="17"/>
      <c r="F10208" s="18"/>
      <c r="G10208" s="36" t="str">
        <f>IF(ISNUMBER(F10208),C10208*F10208,"")</f>
        <v/>
      </c>
    </row>
    <row r="10209" spans="1:7" ht="12" customHeight="1" outlineLevel="2" x14ac:dyDescent="0.2">
      <c r="A10209" s="14" t="s">
        <v>20080</v>
      </c>
      <c r="B10209" s="15" t="s">
        <v>20081</v>
      </c>
      <c r="C10209" s="16">
        <f>187.28/(1+B2)</f>
        <v>187.28</v>
      </c>
      <c r="D10209" s="17" t="s">
        <v>11</v>
      </c>
      <c r="E10209" s="17"/>
      <c r="F10209" s="18"/>
      <c r="G10209" s="36" t="str">
        <f>IF(ISNUMBER(F10209),C10209*F10209,"")</f>
        <v/>
      </c>
    </row>
    <row r="10210" spans="1:7" ht="12" customHeight="1" outlineLevel="2" x14ac:dyDescent="0.2">
      <c r="A10210" s="14" t="s">
        <v>20082</v>
      </c>
      <c r="B10210" s="15" t="s">
        <v>20083</v>
      </c>
      <c r="C10210" s="16">
        <f>154.48/(1+B2)</f>
        <v>154.47999999999999</v>
      </c>
      <c r="D10210" s="17" t="s">
        <v>11</v>
      </c>
      <c r="E10210" s="17"/>
      <c r="F10210" s="18"/>
      <c r="G10210" s="36" t="str">
        <f>IF(ISNUMBER(F10210),C10210*F10210,"")</f>
        <v/>
      </c>
    </row>
    <row r="10211" spans="1:7" ht="24" customHeight="1" outlineLevel="2" x14ac:dyDescent="0.2">
      <c r="A10211" s="14" t="s">
        <v>20084</v>
      </c>
      <c r="B10211" s="15" t="s">
        <v>20085</v>
      </c>
      <c r="C10211" s="16">
        <f>247.7/(1+B2)</f>
        <v>247.7</v>
      </c>
      <c r="D10211" s="17" t="s">
        <v>11</v>
      </c>
      <c r="E10211" s="17"/>
      <c r="F10211" s="18"/>
      <c r="G10211" s="36" t="str">
        <f>IF(ISNUMBER(F10211),C10211*F10211,"")</f>
        <v/>
      </c>
    </row>
    <row r="10212" spans="1:7" ht="12" customHeight="1" outlineLevel="2" x14ac:dyDescent="0.2">
      <c r="A10212" s="14" t="s">
        <v>20086</v>
      </c>
      <c r="B10212" s="15" t="s">
        <v>20087</v>
      </c>
      <c r="C10212" s="16">
        <f>65.09/(1+B2)</f>
        <v>65.09</v>
      </c>
      <c r="D10212" s="17" t="s">
        <v>11</v>
      </c>
      <c r="E10212" s="17" t="s">
        <v>11</v>
      </c>
      <c r="F10212" s="18"/>
      <c r="G10212" s="36" t="str">
        <f>IF(ISNUMBER(F10212),C10212*F10212,"")</f>
        <v/>
      </c>
    </row>
    <row r="10213" spans="1:7" ht="12" customHeight="1" outlineLevel="2" x14ac:dyDescent="0.2">
      <c r="A10213" s="14" t="s">
        <v>20088</v>
      </c>
      <c r="B10213" s="15" t="s">
        <v>20089</v>
      </c>
      <c r="C10213" s="16">
        <f>94.18/(1+B2)</f>
        <v>94.18</v>
      </c>
      <c r="D10213" s="17" t="s">
        <v>11</v>
      </c>
      <c r="E10213" s="17"/>
      <c r="F10213" s="18"/>
      <c r="G10213" s="36" t="str">
        <f>IF(ISNUMBER(F10213),C10213*F10213,"")</f>
        <v/>
      </c>
    </row>
    <row r="10214" spans="1:7" ht="24" customHeight="1" outlineLevel="2" x14ac:dyDescent="0.2">
      <c r="A10214" s="14" t="s">
        <v>20090</v>
      </c>
      <c r="B10214" s="15" t="s">
        <v>20091</v>
      </c>
      <c r="C10214" s="16">
        <f>254.02/(1+B2)</f>
        <v>254.02</v>
      </c>
      <c r="D10214" s="17" t="s">
        <v>11</v>
      </c>
      <c r="E10214" s="17"/>
      <c r="F10214" s="18"/>
      <c r="G10214" s="36" t="str">
        <f>IF(ISNUMBER(F10214),C10214*F10214,"")</f>
        <v/>
      </c>
    </row>
    <row r="10215" spans="1:7" ht="12" customHeight="1" outlineLevel="2" x14ac:dyDescent="0.2">
      <c r="A10215" s="14" t="s">
        <v>20092</v>
      </c>
      <c r="B10215" s="15" t="s">
        <v>20093</v>
      </c>
      <c r="C10215" s="16">
        <f>351.09/(1+B2)</f>
        <v>351.09</v>
      </c>
      <c r="D10215" s="17" t="s">
        <v>11</v>
      </c>
      <c r="E10215" s="17"/>
      <c r="F10215" s="18"/>
      <c r="G10215" s="36" t="str">
        <f>IF(ISNUMBER(F10215),C10215*F10215,"")</f>
        <v/>
      </c>
    </row>
    <row r="10216" spans="1:7" ht="24" customHeight="1" outlineLevel="2" x14ac:dyDescent="0.2">
      <c r="A10216" s="14" t="s">
        <v>20094</v>
      </c>
      <c r="B10216" s="15" t="s">
        <v>20095</v>
      </c>
      <c r="C10216" s="16">
        <f>231.52/(1+B2)</f>
        <v>231.52</v>
      </c>
      <c r="D10216" s="17" t="s">
        <v>11</v>
      </c>
      <c r="E10216" s="17"/>
      <c r="F10216" s="18"/>
      <c r="G10216" s="36" t="str">
        <f>IF(ISNUMBER(F10216),C10216*F10216,"")</f>
        <v/>
      </c>
    </row>
    <row r="10217" spans="1:7" ht="24" customHeight="1" outlineLevel="2" x14ac:dyDescent="0.2">
      <c r="A10217" s="14" t="s">
        <v>20096</v>
      </c>
      <c r="B10217" s="15" t="s">
        <v>20097</v>
      </c>
      <c r="C10217" s="16">
        <f>191.84/(1+B2)</f>
        <v>191.84</v>
      </c>
      <c r="D10217" s="17" t="s">
        <v>11</v>
      </c>
      <c r="E10217" s="17"/>
      <c r="F10217" s="18"/>
      <c r="G10217" s="36" t="str">
        <f>IF(ISNUMBER(F10217),C10217*F10217,"")</f>
        <v/>
      </c>
    </row>
    <row r="10218" spans="1:7" ht="12" customHeight="1" outlineLevel="2" x14ac:dyDescent="0.2">
      <c r="A10218" s="14" t="s">
        <v>20098</v>
      </c>
      <c r="B10218" s="15" t="s">
        <v>20099</v>
      </c>
      <c r="C10218" s="16">
        <f>163.94/(1+B2)</f>
        <v>163.94</v>
      </c>
      <c r="D10218" s="17" t="s">
        <v>11</v>
      </c>
      <c r="E10218" s="17"/>
      <c r="F10218" s="18"/>
      <c r="G10218" s="36" t="str">
        <f>IF(ISNUMBER(F10218),C10218*F10218,"")</f>
        <v/>
      </c>
    </row>
    <row r="10219" spans="1:7" ht="12" customHeight="1" outlineLevel="2" x14ac:dyDescent="0.2">
      <c r="A10219" s="14" t="s">
        <v>20100</v>
      </c>
      <c r="B10219" s="15" t="s">
        <v>20101</v>
      </c>
      <c r="C10219" s="16">
        <f>312.54/(1+B2)</f>
        <v>312.54000000000002</v>
      </c>
      <c r="D10219" s="17" t="s">
        <v>11</v>
      </c>
      <c r="E10219" s="17"/>
      <c r="F10219" s="18"/>
      <c r="G10219" s="36" t="str">
        <f>IF(ISNUMBER(F10219),C10219*F10219,"")</f>
        <v/>
      </c>
    </row>
    <row r="10220" spans="1:7" ht="24" customHeight="1" outlineLevel="2" x14ac:dyDescent="0.2">
      <c r="A10220" s="14" t="s">
        <v>20102</v>
      </c>
      <c r="B10220" s="15" t="s">
        <v>20103</v>
      </c>
      <c r="C10220" s="16">
        <f>113.84/(1+B2)</f>
        <v>113.84</v>
      </c>
      <c r="D10220" s="17" t="s">
        <v>11</v>
      </c>
      <c r="E10220" s="17"/>
      <c r="F10220" s="18"/>
      <c r="G10220" s="36" t="str">
        <f>IF(ISNUMBER(F10220),C10220*F10220,"")</f>
        <v/>
      </c>
    </row>
    <row r="10221" spans="1:7" ht="12" customHeight="1" outlineLevel="2" x14ac:dyDescent="0.2">
      <c r="A10221" s="14" t="s">
        <v>20104</v>
      </c>
      <c r="B10221" s="15" t="s">
        <v>20105</v>
      </c>
      <c r="C10221" s="16">
        <f>68.53/(1+B2)</f>
        <v>68.53</v>
      </c>
      <c r="D10221" s="17" t="s">
        <v>11</v>
      </c>
      <c r="E10221" s="17"/>
      <c r="F10221" s="18"/>
      <c r="G10221" s="36" t="str">
        <f>IF(ISNUMBER(F10221),C10221*F10221,"")</f>
        <v/>
      </c>
    </row>
    <row r="10222" spans="1:7" ht="12" customHeight="1" outlineLevel="2" x14ac:dyDescent="0.2">
      <c r="A10222" s="14" t="s">
        <v>20106</v>
      </c>
      <c r="B10222" s="15" t="s">
        <v>20107</v>
      </c>
      <c r="C10222" s="16">
        <f>102.9/(1+B2)</f>
        <v>102.9</v>
      </c>
      <c r="D10222" s="17" t="s">
        <v>11</v>
      </c>
      <c r="E10222" s="17"/>
      <c r="F10222" s="18"/>
      <c r="G10222" s="36" t="str">
        <f>IF(ISNUMBER(F10222),C10222*F10222,"")</f>
        <v/>
      </c>
    </row>
    <row r="10223" spans="1:7" ht="12" customHeight="1" outlineLevel="2" x14ac:dyDescent="0.2">
      <c r="A10223" s="14" t="s">
        <v>20108</v>
      </c>
      <c r="B10223" s="15" t="s">
        <v>20109</v>
      </c>
      <c r="C10223" s="16">
        <f>107.6/(1+B2)</f>
        <v>107.6</v>
      </c>
      <c r="D10223" s="17" t="s">
        <v>14</v>
      </c>
      <c r="E10223" s="17"/>
      <c r="F10223" s="18"/>
      <c r="G10223" s="36" t="str">
        <f>IF(ISNUMBER(F10223),C10223*F10223,"")</f>
        <v/>
      </c>
    </row>
    <row r="10224" spans="1:7" ht="12" customHeight="1" outlineLevel="2" x14ac:dyDescent="0.2">
      <c r="A10224" s="14" t="s">
        <v>20110</v>
      </c>
      <c r="B10224" s="15" t="s">
        <v>20111</v>
      </c>
      <c r="C10224" s="16">
        <f>106.2/(1+B2)</f>
        <v>106.2</v>
      </c>
      <c r="D10224" s="17" t="s">
        <v>11</v>
      </c>
      <c r="E10224" s="17"/>
      <c r="F10224" s="18"/>
      <c r="G10224" s="36" t="str">
        <f>IF(ISNUMBER(F10224),C10224*F10224,"")</f>
        <v/>
      </c>
    </row>
    <row r="10225" spans="1:7" ht="12" customHeight="1" outlineLevel="2" x14ac:dyDescent="0.2">
      <c r="A10225" s="14" t="s">
        <v>20112</v>
      </c>
      <c r="B10225" s="15" t="s">
        <v>20113</v>
      </c>
      <c r="C10225" s="16">
        <f>82.58/(1+B2)</f>
        <v>82.58</v>
      </c>
      <c r="D10225" s="17" t="s">
        <v>11</v>
      </c>
      <c r="E10225" s="17"/>
      <c r="F10225" s="18"/>
      <c r="G10225" s="36" t="str">
        <f>IF(ISNUMBER(F10225),C10225*F10225,"")</f>
        <v/>
      </c>
    </row>
    <row r="10226" spans="1:7" ht="12" customHeight="1" outlineLevel="2" x14ac:dyDescent="0.2">
      <c r="A10226" s="14" t="s">
        <v>20114</v>
      </c>
      <c r="B10226" s="15" t="s">
        <v>20115</v>
      </c>
      <c r="C10226" s="16">
        <f>43.2/(1+B2)</f>
        <v>43.2</v>
      </c>
      <c r="D10226" s="17" t="s">
        <v>14</v>
      </c>
      <c r="E10226" s="17" t="s">
        <v>11</v>
      </c>
      <c r="F10226" s="18"/>
      <c r="G10226" s="36" t="str">
        <f>IF(ISNUMBER(F10226),C10226*F10226,"")</f>
        <v/>
      </c>
    </row>
    <row r="10227" spans="1:7" ht="12" customHeight="1" outlineLevel="2" x14ac:dyDescent="0.2">
      <c r="A10227" s="14" t="s">
        <v>20116</v>
      </c>
      <c r="B10227" s="15" t="s">
        <v>20117</v>
      </c>
      <c r="C10227" s="16">
        <f>43.12/(1+B2)</f>
        <v>43.12</v>
      </c>
      <c r="D10227" s="17" t="s">
        <v>53</v>
      </c>
      <c r="E10227" s="17"/>
      <c r="F10227" s="18"/>
      <c r="G10227" s="36" t="str">
        <f>IF(ISNUMBER(F10227),C10227*F10227,"")</f>
        <v/>
      </c>
    </row>
    <row r="10228" spans="1:7" ht="12" customHeight="1" outlineLevel="2" x14ac:dyDescent="0.2">
      <c r="A10228" s="14" t="s">
        <v>20118</v>
      </c>
      <c r="B10228" s="15" t="s">
        <v>20119</v>
      </c>
      <c r="C10228" s="16">
        <f>43.12/(1+B2)</f>
        <v>43.12</v>
      </c>
      <c r="D10228" s="17" t="s">
        <v>53</v>
      </c>
      <c r="E10228" s="17"/>
      <c r="F10228" s="18"/>
      <c r="G10228" s="36" t="str">
        <f>IF(ISNUMBER(F10228),C10228*F10228,"")</f>
        <v/>
      </c>
    </row>
    <row r="10229" spans="1:7" ht="12" customHeight="1" outlineLevel="2" x14ac:dyDescent="0.2">
      <c r="A10229" s="14" t="s">
        <v>20120</v>
      </c>
      <c r="B10229" s="15" t="s">
        <v>20121</v>
      </c>
      <c r="C10229" s="16">
        <f>73.07/(1+B2)</f>
        <v>73.069999999999993</v>
      </c>
      <c r="D10229" s="17" t="s">
        <v>11</v>
      </c>
      <c r="E10229" s="17"/>
      <c r="F10229" s="18"/>
      <c r="G10229" s="36" t="str">
        <f>IF(ISNUMBER(F10229),C10229*F10229,"")</f>
        <v/>
      </c>
    </row>
    <row r="10230" spans="1:7" ht="12" customHeight="1" outlineLevel="2" x14ac:dyDescent="0.2">
      <c r="A10230" s="14" t="s">
        <v>20122</v>
      </c>
      <c r="B10230" s="15" t="s">
        <v>20123</v>
      </c>
      <c r="C10230" s="16">
        <f>78.29/(1+B2)</f>
        <v>78.290000000000006</v>
      </c>
      <c r="D10230" s="17" t="s">
        <v>11</v>
      </c>
      <c r="E10230" s="17"/>
      <c r="F10230" s="18"/>
      <c r="G10230" s="36" t="str">
        <f>IF(ISNUMBER(F10230),C10230*F10230,"")</f>
        <v/>
      </c>
    </row>
    <row r="10231" spans="1:7" ht="24" customHeight="1" outlineLevel="2" x14ac:dyDescent="0.2">
      <c r="A10231" s="14" t="s">
        <v>20124</v>
      </c>
      <c r="B10231" s="15" t="s">
        <v>20125</v>
      </c>
      <c r="C10231" s="16">
        <f>84.82/(1+B2)</f>
        <v>84.82</v>
      </c>
      <c r="D10231" s="17" t="s">
        <v>11</v>
      </c>
      <c r="E10231" s="17"/>
      <c r="F10231" s="18"/>
      <c r="G10231" s="36" t="str">
        <f>IF(ISNUMBER(F10231),C10231*F10231,"")</f>
        <v/>
      </c>
    </row>
    <row r="10232" spans="1:7" ht="12" customHeight="1" outlineLevel="2" x14ac:dyDescent="0.2">
      <c r="A10232" s="14" t="s">
        <v>20126</v>
      </c>
      <c r="B10232" s="15" t="s">
        <v>20127</v>
      </c>
      <c r="C10232" s="16">
        <f>78.29/(1+B2)</f>
        <v>78.290000000000006</v>
      </c>
      <c r="D10232" s="17" t="s">
        <v>11</v>
      </c>
      <c r="E10232" s="17"/>
      <c r="F10232" s="18"/>
      <c r="G10232" s="36" t="str">
        <f>IF(ISNUMBER(F10232),C10232*F10232,"")</f>
        <v/>
      </c>
    </row>
    <row r="10233" spans="1:7" ht="12" customHeight="1" outlineLevel="2" x14ac:dyDescent="0.2">
      <c r="A10233" s="14" t="s">
        <v>20128</v>
      </c>
      <c r="B10233" s="15" t="s">
        <v>20129</v>
      </c>
      <c r="C10233" s="16">
        <f>72.77/(1+B2)</f>
        <v>72.77</v>
      </c>
      <c r="D10233" s="17" t="s">
        <v>11</v>
      </c>
      <c r="E10233" s="17"/>
      <c r="F10233" s="18"/>
      <c r="G10233" s="36" t="str">
        <f>IF(ISNUMBER(F10233),C10233*F10233,"")</f>
        <v/>
      </c>
    </row>
    <row r="10234" spans="1:7" ht="12" customHeight="1" outlineLevel="2" x14ac:dyDescent="0.2">
      <c r="A10234" s="14" t="s">
        <v>20130</v>
      </c>
      <c r="B10234" s="15" t="s">
        <v>20131</v>
      </c>
      <c r="C10234" s="16">
        <f>73.07/(1+B2)</f>
        <v>73.069999999999993</v>
      </c>
      <c r="D10234" s="17" t="s">
        <v>11</v>
      </c>
      <c r="E10234" s="17"/>
      <c r="F10234" s="18"/>
      <c r="G10234" s="36" t="str">
        <f>IF(ISNUMBER(F10234),C10234*F10234,"")</f>
        <v/>
      </c>
    </row>
    <row r="10235" spans="1:7" ht="12" customHeight="1" outlineLevel="2" x14ac:dyDescent="0.2">
      <c r="A10235" s="14" t="s">
        <v>20132</v>
      </c>
      <c r="B10235" s="15" t="s">
        <v>20133</v>
      </c>
      <c r="C10235" s="16">
        <f>76.31/(1+B2)</f>
        <v>76.31</v>
      </c>
      <c r="D10235" s="17" t="s">
        <v>14</v>
      </c>
      <c r="E10235" s="17" t="s">
        <v>11</v>
      </c>
      <c r="F10235" s="18"/>
      <c r="G10235" s="36" t="str">
        <f>IF(ISNUMBER(F10235),C10235*F10235,"")</f>
        <v/>
      </c>
    </row>
    <row r="10236" spans="1:7" ht="12" customHeight="1" outlineLevel="2" x14ac:dyDescent="0.2">
      <c r="A10236" s="14" t="s">
        <v>20134</v>
      </c>
      <c r="B10236" s="15" t="s">
        <v>20135</v>
      </c>
      <c r="C10236" s="16">
        <f>73.07/(1+B2)</f>
        <v>73.069999999999993</v>
      </c>
      <c r="D10236" s="17" t="s">
        <v>11</v>
      </c>
      <c r="E10236" s="17"/>
      <c r="F10236" s="18"/>
      <c r="G10236" s="36" t="str">
        <f>IF(ISNUMBER(F10236),C10236*F10236,"")</f>
        <v/>
      </c>
    </row>
    <row r="10237" spans="1:7" ht="12" customHeight="1" outlineLevel="2" x14ac:dyDescent="0.2">
      <c r="A10237" s="14" t="s">
        <v>20136</v>
      </c>
      <c r="B10237" s="15" t="s">
        <v>20137</v>
      </c>
      <c r="C10237" s="16">
        <f>71.53/(1+B2)</f>
        <v>71.53</v>
      </c>
      <c r="D10237" s="17" t="s">
        <v>11</v>
      </c>
      <c r="E10237" s="17"/>
      <c r="F10237" s="18"/>
      <c r="G10237" s="36" t="str">
        <f>IF(ISNUMBER(F10237),C10237*F10237,"")</f>
        <v/>
      </c>
    </row>
    <row r="10238" spans="1:7" ht="12" customHeight="1" outlineLevel="2" x14ac:dyDescent="0.2">
      <c r="A10238" s="14" t="s">
        <v>20138</v>
      </c>
      <c r="B10238" s="15" t="s">
        <v>20139</v>
      </c>
      <c r="C10238" s="16">
        <f>115.46/(1+B2)</f>
        <v>115.46</v>
      </c>
      <c r="D10238" s="17" t="s">
        <v>11</v>
      </c>
      <c r="E10238" s="17"/>
      <c r="F10238" s="18"/>
      <c r="G10238" s="36" t="str">
        <f>IF(ISNUMBER(F10238),C10238*F10238,"")</f>
        <v/>
      </c>
    </row>
    <row r="10239" spans="1:7" ht="12" customHeight="1" outlineLevel="2" x14ac:dyDescent="0.2">
      <c r="A10239" s="14" t="s">
        <v>20140</v>
      </c>
      <c r="B10239" s="15" t="s">
        <v>20141</v>
      </c>
      <c r="C10239" s="16">
        <f>73.07/(1+B2)</f>
        <v>73.069999999999993</v>
      </c>
      <c r="D10239" s="17" t="s">
        <v>11</v>
      </c>
      <c r="E10239" s="17"/>
      <c r="F10239" s="18"/>
      <c r="G10239" s="36" t="str">
        <f>IF(ISNUMBER(F10239),C10239*F10239,"")</f>
        <v/>
      </c>
    </row>
    <row r="10240" spans="1:7" ht="12" customHeight="1" outlineLevel="2" x14ac:dyDescent="0.2">
      <c r="A10240" s="14" t="s">
        <v>20142</v>
      </c>
      <c r="B10240" s="15" t="s">
        <v>20143</v>
      </c>
      <c r="C10240" s="16">
        <f>78.29/(1+B2)</f>
        <v>78.290000000000006</v>
      </c>
      <c r="D10240" s="17" t="s">
        <v>11</v>
      </c>
      <c r="E10240" s="17"/>
      <c r="F10240" s="18"/>
      <c r="G10240" s="36" t="str">
        <f>IF(ISNUMBER(F10240),C10240*F10240,"")</f>
        <v/>
      </c>
    </row>
    <row r="10241" spans="1:7" ht="12" customHeight="1" outlineLevel="2" x14ac:dyDescent="0.2">
      <c r="A10241" s="14" t="s">
        <v>20144</v>
      </c>
      <c r="B10241" s="15" t="s">
        <v>20145</v>
      </c>
      <c r="C10241" s="16">
        <f>121.93/(1+B2)</f>
        <v>121.93</v>
      </c>
      <c r="D10241" s="17" t="s">
        <v>11</v>
      </c>
      <c r="E10241" s="17"/>
      <c r="F10241" s="18"/>
      <c r="G10241" s="36" t="str">
        <f>IF(ISNUMBER(F10241),C10241*F10241,"")</f>
        <v/>
      </c>
    </row>
    <row r="10242" spans="1:7" ht="12" customHeight="1" outlineLevel="2" x14ac:dyDescent="0.2">
      <c r="A10242" s="14" t="s">
        <v>20146</v>
      </c>
      <c r="B10242" s="15" t="s">
        <v>20147</v>
      </c>
      <c r="C10242" s="16">
        <f>13.4/(1+B2)</f>
        <v>13.4</v>
      </c>
      <c r="D10242" s="17" t="s">
        <v>14</v>
      </c>
      <c r="E10242" s="17"/>
      <c r="F10242" s="18"/>
      <c r="G10242" s="36" t="str">
        <f>IF(ISNUMBER(F10242),C10242*F10242,"")</f>
        <v/>
      </c>
    </row>
    <row r="10243" spans="1:7" ht="24" customHeight="1" outlineLevel="2" x14ac:dyDescent="0.2">
      <c r="A10243" s="14" t="s">
        <v>20148</v>
      </c>
      <c r="B10243" s="15" t="s">
        <v>20149</v>
      </c>
      <c r="C10243" s="16">
        <f>50/(1+B2)</f>
        <v>50</v>
      </c>
      <c r="D10243" s="17" t="s">
        <v>11</v>
      </c>
      <c r="E10243" s="17"/>
      <c r="F10243" s="18"/>
      <c r="G10243" s="36" t="str">
        <f>IF(ISNUMBER(F10243),C10243*F10243,"")</f>
        <v/>
      </c>
    </row>
    <row r="10244" spans="1:7" ht="12" customHeight="1" outlineLevel="2" x14ac:dyDescent="0.2">
      <c r="A10244" s="14" t="s">
        <v>20150</v>
      </c>
      <c r="B10244" s="15" t="s">
        <v>20151</v>
      </c>
      <c r="C10244" s="16">
        <f>7.69/(1+B2)</f>
        <v>7.69</v>
      </c>
      <c r="D10244" s="17" t="s">
        <v>53</v>
      </c>
      <c r="E10244" s="17"/>
      <c r="F10244" s="18"/>
      <c r="G10244" s="36" t="str">
        <f>IF(ISNUMBER(F10244),C10244*F10244,"")</f>
        <v/>
      </c>
    </row>
    <row r="10245" spans="1:7" s="1" customFormat="1" ht="15.95" customHeight="1" outlineLevel="1" x14ac:dyDescent="0.25">
      <c r="A10245" s="11"/>
      <c r="B10245" s="12" t="s">
        <v>20152</v>
      </c>
      <c r="C10245" s="13"/>
      <c r="D10245" s="13"/>
      <c r="E10245" s="13"/>
      <c r="F10245" s="13"/>
      <c r="G10245" s="35"/>
    </row>
    <row r="10246" spans="1:7" ht="12" customHeight="1" outlineLevel="2" x14ac:dyDescent="0.2">
      <c r="A10246" s="14" t="s">
        <v>20153</v>
      </c>
      <c r="B10246" s="15" t="s">
        <v>20154</v>
      </c>
      <c r="C10246" s="16">
        <f>67.5/(1+B2)</f>
        <v>67.5</v>
      </c>
      <c r="D10246" s="17" t="s">
        <v>11</v>
      </c>
      <c r="E10246" s="17" t="s">
        <v>11</v>
      </c>
      <c r="F10246" s="18"/>
      <c r="G10246" s="36" t="str">
        <f>IF(ISNUMBER(F10246),C10246*F10246,"")</f>
        <v/>
      </c>
    </row>
    <row r="10247" spans="1:7" ht="12" customHeight="1" outlineLevel="2" x14ac:dyDescent="0.2">
      <c r="A10247" s="14" t="s">
        <v>20155</v>
      </c>
      <c r="B10247" s="15" t="s">
        <v>20156</v>
      </c>
      <c r="C10247" s="16">
        <f>11.27/(1+B2)</f>
        <v>11.27</v>
      </c>
      <c r="D10247" s="17" t="s">
        <v>11</v>
      </c>
      <c r="E10247" s="17"/>
      <c r="F10247" s="18"/>
      <c r="G10247" s="36" t="str">
        <f>IF(ISNUMBER(F10247),C10247*F10247,"")</f>
        <v/>
      </c>
    </row>
    <row r="10248" spans="1:7" ht="12" customHeight="1" outlineLevel="2" x14ac:dyDescent="0.2">
      <c r="A10248" s="14" t="s">
        <v>20157</v>
      </c>
      <c r="B10248" s="15" t="s">
        <v>20158</v>
      </c>
      <c r="C10248" s="16">
        <f>67.45/(1+B2)</f>
        <v>67.45</v>
      </c>
      <c r="D10248" s="17" t="s">
        <v>11</v>
      </c>
      <c r="E10248" s="17"/>
      <c r="F10248" s="18"/>
      <c r="G10248" s="36" t="str">
        <f>IF(ISNUMBER(F10248),C10248*F10248,"")</f>
        <v/>
      </c>
    </row>
    <row r="10249" spans="1:7" ht="12" customHeight="1" outlineLevel="2" x14ac:dyDescent="0.2">
      <c r="A10249" s="14" t="s">
        <v>20159</v>
      </c>
      <c r="B10249" s="15" t="s">
        <v>20160</v>
      </c>
      <c r="C10249" s="16">
        <f>88.96/(1+B2)</f>
        <v>88.96</v>
      </c>
      <c r="D10249" s="17" t="s">
        <v>11</v>
      </c>
      <c r="E10249" s="17" t="s">
        <v>106</v>
      </c>
      <c r="F10249" s="18"/>
      <c r="G10249" s="36" t="str">
        <f>IF(ISNUMBER(F10249),C10249*F10249,"")</f>
        <v/>
      </c>
    </row>
    <row r="10250" spans="1:7" ht="12" customHeight="1" outlineLevel="2" x14ac:dyDescent="0.2">
      <c r="A10250" s="14" t="s">
        <v>20161</v>
      </c>
      <c r="B10250" s="15" t="s">
        <v>20162</v>
      </c>
      <c r="C10250" s="16">
        <f>87.93/(1+B2)</f>
        <v>87.93</v>
      </c>
      <c r="D10250" s="17" t="s">
        <v>11</v>
      </c>
      <c r="E10250" s="17"/>
      <c r="F10250" s="18"/>
      <c r="G10250" s="36" t="str">
        <f>IF(ISNUMBER(F10250),C10250*F10250,"")</f>
        <v/>
      </c>
    </row>
    <row r="10251" spans="1:7" ht="12" customHeight="1" outlineLevel="2" x14ac:dyDescent="0.2">
      <c r="A10251" s="14" t="s">
        <v>20163</v>
      </c>
      <c r="B10251" s="15" t="s">
        <v>20164</v>
      </c>
      <c r="C10251" s="16">
        <f>45.67/(1+B2)</f>
        <v>45.67</v>
      </c>
      <c r="D10251" s="17" t="s">
        <v>11</v>
      </c>
      <c r="E10251" s="17"/>
      <c r="F10251" s="18"/>
      <c r="G10251" s="36" t="str">
        <f>IF(ISNUMBER(F10251),C10251*F10251,"")</f>
        <v/>
      </c>
    </row>
    <row r="10252" spans="1:7" ht="12" customHeight="1" outlineLevel="2" x14ac:dyDescent="0.2">
      <c r="A10252" s="14" t="s">
        <v>20165</v>
      </c>
      <c r="B10252" s="15" t="s">
        <v>20166</v>
      </c>
      <c r="C10252" s="16">
        <f>102.77/(1+B2)</f>
        <v>102.77</v>
      </c>
      <c r="D10252" s="17" t="s">
        <v>14</v>
      </c>
      <c r="E10252" s="17"/>
      <c r="F10252" s="18"/>
      <c r="G10252" s="36" t="str">
        <f>IF(ISNUMBER(F10252),C10252*F10252,"")</f>
        <v/>
      </c>
    </row>
    <row r="10253" spans="1:7" ht="12" customHeight="1" outlineLevel="2" x14ac:dyDescent="0.2">
      <c r="A10253" s="14" t="s">
        <v>20167</v>
      </c>
      <c r="B10253" s="15" t="s">
        <v>20168</v>
      </c>
      <c r="C10253" s="16">
        <f>91/(1+B2)</f>
        <v>91</v>
      </c>
      <c r="D10253" s="17" t="s">
        <v>53</v>
      </c>
      <c r="E10253" s="17" t="s">
        <v>14</v>
      </c>
      <c r="F10253" s="18"/>
      <c r="G10253" s="36" t="str">
        <f>IF(ISNUMBER(F10253),C10253*F10253,"")</f>
        <v/>
      </c>
    </row>
    <row r="10254" spans="1:7" ht="12" customHeight="1" outlineLevel="2" x14ac:dyDescent="0.2">
      <c r="A10254" s="14" t="s">
        <v>20169</v>
      </c>
      <c r="B10254" s="15" t="s">
        <v>20170</v>
      </c>
      <c r="C10254" s="16">
        <f>57.1/(1+B2)</f>
        <v>57.1</v>
      </c>
      <c r="D10254" s="17" t="s">
        <v>14</v>
      </c>
      <c r="E10254" s="17"/>
      <c r="F10254" s="18"/>
      <c r="G10254" s="36" t="str">
        <f>IF(ISNUMBER(F10254),C10254*F10254,"")</f>
        <v/>
      </c>
    </row>
    <row r="10255" spans="1:7" ht="12" customHeight="1" outlineLevel="2" x14ac:dyDescent="0.2">
      <c r="A10255" s="14" t="s">
        <v>20171</v>
      </c>
      <c r="B10255" s="15" t="s">
        <v>20172</v>
      </c>
      <c r="C10255" s="16">
        <f>42.58/(1+B2)</f>
        <v>42.58</v>
      </c>
      <c r="D10255" s="17" t="s">
        <v>11</v>
      </c>
      <c r="E10255" s="17"/>
      <c r="F10255" s="18"/>
      <c r="G10255" s="36" t="str">
        <f>IF(ISNUMBER(F10255),C10255*F10255,"")</f>
        <v/>
      </c>
    </row>
    <row r="10256" spans="1:7" ht="12" customHeight="1" outlineLevel="2" x14ac:dyDescent="0.2">
      <c r="A10256" s="14" t="s">
        <v>20173</v>
      </c>
      <c r="B10256" s="15" t="s">
        <v>20174</v>
      </c>
      <c r="C10256" s="16">
        <f>49.1/(1+B2)</f>
        <v>49.1</v>
      </c>
      <c r="D10256" s="17" t="s">
        <v>11</v>
      </c>
      <c r="E10256" s="17"/>
      <c r="F10256" s="18"/>
      <c r="G10256" s="36" t="str">
        <f>IF(ISNUMBER(F10256),C10256*F10256,"")</f>
        <v/>
      </c>
    </row>
    <row r="10257" spans="1:7" ht="24" customHeight="1" outlineLevel="2" x14ac:dyDescent="0.2">
      <c r="A10257" s="14" t="s">
        <v>20175</v>
      </c>
      <c r="B10257" s="15" t="s">
        <v>20176</v>
      </c>
      <c r="C10257" s="16">
        <f>35.4/(1+B2)</f>
        <v>35.4</v>
      </c>
      <c r="D10257" s="17" t="s">
        <v>11</v>
      </c>
      <c r="E10257" s="17"/>
      <c r="F10257" s="18"/>
      <c r="G10257" s="36" t="str">
        <f>IF(ISNUMBER(F10257),C10257*F10257,"")</f>
        <v/>
      </c>
    </row>
    <row r="10258" spans="1:7" ht="12" customHeight="1" outlineLevel="2" x14ac:dyDescent="0.2">
      <c r="A10258" s="14" t="s">
        <v>20177</v>
      </c>
      <c r="B10258" s="15" t="s">
        <v>20178</v>
      </c>
      <c r="C10258" s="16">
        <f>71.76/(1+B2)</f>
        <v>71.760000000000005</v>
      </c>
      <c r="D10258" s="17" t="s">
        <v>11</v>
      </c>
      <c r="E10258" s="17" t="s">
        <v>11</v>
      </c>
      <c r="F10258" s="18"/>
      <c r="G10258" s="36" t="str">
        <f>IF(ISNUMBER(F10258),C10258*F10258,"")</f>
        <v/>
      </c>
    </row>
    <row r="10259" spans="1:7" ht="12" customHeight="1" outlineLevel="2" x14ac:dyDescent="0.2">
      <c r="A10259" s="14" t="s">
        <v>20179</v>
      </c>
      <c r="B10259" s="15" t="s">
        <v>20180</v>
      </c>
      <c r="C10259" s="16">
        <f>47.42/(1+B2)</f>
        <v>47.42</v>
      </c>
      <c r="D10259" s="17" t="s">
        <v>11</v>
      </c>
      <c r="E10259" s="17"/>
      <c r="F10259" s="18"/>
      <c r="G10259" s="36" t="str">
        <f>IF(ISNUMBER(F10259),C10259*F10259,"")</f>
        <v/>
      </c>
    </row>
    <row r="10260" spans="1:7" ht="12" customHeight="1" outlineLevel="2" x14ac:dyDescent="0.2">
      <c r="A10260" s="14" t="s">
        <v>20181</v>
      </c>
      <c r="B10260" s="15" t="s">
        <v>20182</v>
      </c>
      <c r="C10260" s="16">
        <f>48.48/(1+B2)</f>
        <v>48.48</v>
      </c>
      <c r="D10260" s="17" t="s">
        <v>11</v>
      </c>
      <c r="E10260" s="17" t="s">
        <v>11</v>
      </c>
      <c r="F10260" s="18"/>
      <c r="G10260" s="36" t="str">
        <f>IF(ISNUMBER(F10260),C10260*F10260,"")</f>
        <v/>
      </c>
    </row>
    <row r="10261" spans="1:7" ht="12" customHeight="1" outlineLevel="2" x14ac:dyDescent="0.2">
      <c r="A10261" s="14" t="s">
        <v>20183</v>
      </c>
      <c r="B10261" s="15" t="s">
        <v>20184</v>
      </c>
      <c r="C10261" s="16">
        <f>114.32/(1+B2)</f>
        <v>114.32</v>
      </c>
      <c r="D10261" s="17" t="s">
        <v>11</v>
      </c>
      <c r="E10261" s="17"/>
      <c r="F10261" s="18"/>
      <c r="G10261" s="36" t="str">
        <f>IF(ISNUMBER(F10261),C10261*F10261,"")</f>
        <v/>
      </c>
    </row>
    <row r="10262" spans="1:7" ht="12" customHeight="1" outlineLevel="2" x14ac:dyDescent="0.2">
      <c r="A10262" s="14" t="s">
        <v>20185</v>
      </c>
      <c r="B10262" s="15" t="s">
        <v>20186</v>
      </c>
      <c r="C10262" s="16">
        <f>51.43/(1+B2)</f>
        <v>51.43</v>
      </c>
      <c r="D10262" s="17" t="s">
        <v>53</v>
      </c>
      <c r="E10262" s="17" t="s">
        <v>53</v>
      </c>
      <c r="F10262" s="18"/>
      <c r="G10262" s="36" t="str">
        <f>IF(ISNUMBER(F10262),C10262*F10262,"")</f>
        <v/>
      </c>
    </row>
    <row r="10263" spans="1:7" ht="12" customHeight="1" outlineLevel="2" x14ac:dyDescent="0.2">
      <c r="A10263" s="14" t="s">
        <v>20187</v>
      </c>
      <c r="B10263" s="15" t="s">
        <v>20188</v>
      </c>
      <c r="C10263" s="16">
        <f>30.6/(1+B2)</f>
        <v>30.6</v>
      </c>
      <c r="D10263" s="17" t="s">
        <v>11</v>
      </c>
      <c r="E10263" s="17" t="s">
        <v>14</v>
      </c>
      <c r="F10263" s="18"/>
      <c r="G10263" s="36" t="str">
        <f>IF(ISNUMBER(F10263),C10263*F10263,"")</f>
        <v/>
      </c>
    </row>
    <row r="10264" spans="1:7" ht="12" customHeight="1" outlineLevel="2" x14ac:dyDescent="0.2">
      <c r="A10264" s="14" t="s">
        <v>20189</v>
      </c>
      <c r="B10264" s="15" t="s">
        <v>20190</v>
      </c>
      <c r="C10264" s="16">
        <f>44.28/(1+B2)</f>
        <v>44.28</v>
      </c>
      <c r="D10264" s="17" t="s">
        <v>11</v>
      </c>
      <c r="E10264" s="17"/>
      <c r="F10264" s="18"/>
      <c r="G10264" s="36" t="str">
        <f>IF(ISNUMBER(F10264),C10264*F10264,"")</f>
        <v/>
      </c>
    </row>
    <row r="10265" spans="1:7" ht="12" customHeight="1" outlineLevel="2" x14ac:dyDescent="0.2">
      <c r="A10265" s="14" t="s">
        <v>20191</v>
      </c>
      <c r="B10265" s="15" t="s">
        <v>20192</v>
      </c>
      <c r="C10265" s="16">
        <f>20.86/(1+B2)</f>
        <v>20.86</v>
      </c>
      <c r="D10265" s="17" t="s">
        <v>11</v>
      </c>
      <c r="E10265" s="17" t="s">
        <v>106</v>
      </c>
      <c r="F10265" s="18"/>
      <c r="G10265" s="36" t="str">
        <f>IF(ISNUMBER(F10265),C10265*F10265,"")</f>
        <v/>
      </c>
    </row>
    <row r="10266" spans="1:7" ht="12" customHeight="1" outlineLevel="2" x14ac:dyDescent="0.2">
      <c r="A10266" s="14" t="s">
        <v>20193</v>
      </c>
      <c r="B10266" s="15" t="s">
        <v>20194</v>
      </c>
      <c r="C10266" s="16">
        <f>42.96/(1+B2)</f>
        <v>42.96</v>
      </c>
      <c r="D10266" s="17" t="s">
        <v>53</v>
      </c>
      <c r="E10266" s="17"/>
      <c r="F10266" s="18"/>
      <c r="G10266" s="36" t="str">
        <f>IF(ISNUMBER(F10266),C10266*F10266,"")</f>
        <v/>
      </c>
    </row>
    <row r="10267" spans="1:7" ht="12" customHeight="1" outlineLevel="2" x14ac:dyDescent="0.2">
      <c r="A10267" s="14" t="s">
        <v>20195</v>
      </c>
      <c r="B10267" s="15" t="s">
        <v>20196</v>
      </c>
      <c r="C10267" s="16">
        <f>57.42/(1+B2)</f>
        <v>57.42</v>
      </c>
      <c r="D10267" s="17" t="s">
        <v>53</v>
      </c>
      <c r="E10267" s="17"/>
      <c r="F10267" s="18"/>
      <c r="G10267" s="36" t="str">
        <f>IF(ISNUMBER(F10267),C10267*F10267,"")</f>
        <v/>
      </c>
    </row>
    <row r="10268" spans="1:7" ht="12" customHeight="1" outlineLevel="2" x14ac:dyDescent="0.2">
      <c r="A10268" s="14" t="s">
        <v>20197</v>
      </c>
      <c r="B10268" s="15" t="s">
        <v>20198</v>
      </c>
      <c r="C10268" s="16">
        <f>13.86/(1+B2)</f>
        <v>13.86</v>
      </c>
      <c r="D10268" s="17" t="s">
        <v>11</v>
      </c>
      <c r="E10268" s="17"/>
      <c r="F10268" s="18"/>
      <c r="G10268" s="36" t="str">
        <f>IF(ISNUMBER(F10268),C10268*F10268,"")</f>
        <v/>
      </c>
    </row>
    <row r="10269" spans="1:7" ht="12" customHeight="1" outlineLevel="2" x14ac:dyDescent="0.2">
      <c r="A10269" s="14" t="s">
        <v>20199</v>
      </c>
      <c r="B10269" s="15" t="s">
        <v>20200</v>
      </c>
      <c r="C10269" s="16">
        <f>30.4/(1+B2)</f>
        <v>30.4</v>
      </c>
      <c r="D10269" s="17" t="s">
        <v>11</v>
      </c>
      <c r="E10269" s="17" t="s">
        <v>14</v>
      </c>
      <c r="F10269" s="18"/>
      <c r="G10269" s="36" t="str">
        <f>IF(ISNUMBER(F10269),C10269*F10269,"")</f>
        <v/>
      </c>
    </row>
    <row r="10270" spans="1:7" ht="12" customHeight="1" outlineLevel="2" x14ac:dyDescent="0.2">
      <c r="A10270" s="14" t="s">
        <v>20201</v>
      </c>
      <c r="B10270" s="15" t="s">
        <v>20202</v>
      </c>
      <c r="C10270" s="16">
        <f>76.51/(1+B2)</f>
        <v>76.510000000000005</v>
      </c>
      <c r="D10270" s="17"/>
      <c r="E10270" s="17" t="s">
        <v>11</v>
      </c>
      <c r="F10270" s="18"/>
      <c r="G10270" s="36" t="str">
        <f>IF(ISNUMBER(F10270),C10270*F10270,"")</f>
        <v/>
      </c>
    </row>
    <row r="10271" spans="1:7" ht="12" customHeight="1" outlineLevel="2" x14ac:dyDescent="0.2">
      <c r="A10271" s="14" t="s">
        <v>20203</v>
      </c>
      <c r="B10271" s="15" t="s">
        <v>20204</v>
      </c>
      <c r="C10271" s="16">
        <f>109.98/(1+B2)</f>
        <v>109.98</v>
      </c>
      <c r="D10271" s="17" t="s">
        <v>53</v>
      </c>
      <c r="E10271" s="17"/>
      <c r="F10271" s="18"/>
      <c r="G10271" s="36" t="str">
        <f>IF(ISNUMBER(F10271),C10271*F10271,"")</f>
        <v/>
      </c>
    </row>
    <row r="10272" spans="1:7" ht="12" customHeight="1" outlineLevel="2" x14ac:dyDescent="0.2">
      <c r="A10272" s="14" t="s">
        <v>20205</v>
      </c>
      <c r="B10272" s="15" t="s">
        <v>20206</v>
      </c>
      <c r="C10272" s="16">
        <f>21.74/(1+B2)</f>
        <v>21.74</v>
      </c>
      <c r="D10272" s="17" t="s">
        <v>11</v>
      </c>
      <c r="E10272" s="17"/>
      <c r="F10272" s="18"/>
      <c r="G10272" s="36" t="str">
        <f>IF(ISNUMBER(F10272),C10272*F10272,"")</f>
        <v/>
      </c>
    </row>
    <row r="10273" spans="1:7" ht="12" customHeight="1" outlineLevel="2" x14ac:dyDescent="0.2">
      <c r="A10273" s="14" t="s">
        <v>20207</v>
      </c>
      <c r="B10273" s="15" t="s">
        <v>20208</v>
      </c>
      <c r="C10273" s="16">
        <f>165.58/(1+B2)</f>
        <v>165.58</v>
      </c>
      <c r="D10273" s="17" t="s">
        <v>14</v>
      </c>
      <c r="E10273" s="17"/>
      <c r="F10273" s="18"/>
      <c r="G10273" s="36" t="str">
        <f>IF(ISNUMBER(F10273),C10273*F10273,"")</f>
        <v/>
      </c>
    </row>
    <row r="10274" spans="1:7" ht="12" customHeight="1" outlineLevel="2" x14ac:dyDescent="0.2">
      <c r="A10274" s="14" t="s">
        <v>20209</v>
      </c>
      <c r="B10274" s="15" t="s">
        <v>20210</v>
      </c>
      <c r="C10274" s="16">
        <f>29.81/(1+B2)</f>
        <v>29.81</v>
      </c>
      <c r="D10274" s="17" t="s">
        <v>11</v>
      </c>
      <c r="E10274" s="17"/>
      <c r="F10274" s="18"/>
      <c r="G10274" s="36" t="str">
        <f>IF(ISNUMBER(F10274),C10274*F10274,"")</f>
        <v/>
      </c>
    </row>
    <row r="10275" spans="1:7" ht="12" customHeight="1" outlineLevel="2" x14ac:dyDescent="0.2">
      <c r="A10275" s="14" t="s">
        <v>20211</v>
      </c>
      <c r="B10275" s="15" t="s">
        <v>20212</v>
      </c>
      <c r="C10275" s="16">
        <f>35.4/(1+B2)</f>
        <v>35.4</v>
      </c>
      <c r="D10275" s="17" t="s">
        <v>14</v>
      </c>
      <c r="E10275" s="17"/>
      <c r="F10275" s="18"/>
      <c r="G10275" s="36" t="str">
        <f>IF(ISNUMBER(F10275),C10275*F10275,"")</f>
        <v/>
      </c>
    </row>
    <row r="10276" spans="1:7" ht="12" customHeight="1" outlineLevel="2" x14ac:dyDescent="0.2">
      <c r="A10276" s="14" t="s">
        <v>20213</v>
      </c>
      <c r="B10276" s="15" t="s">
        <v>20214</v>
      </c>
      <c r="C10276" s="16">
        <f>87.36/(1+B2)</f>
        <v>87.36</v>
      </c>
      <c r="D10276" s="17" t="s">
        <v>11</v>
      </c>
      <c r="E10276" s="17"/>
      <c r="F10276" s="18"/>
      <c r="G10276" s="36" t="str">
        <f>IF(ISNUMBER(F10276),C10276*F10276,"")</f>
        <v/>
      </c>
    </row>
    <row r="10277" spans="1:7" ht="12" customHeight="1" outlineLevel="2" x14ac:dyDescent="0.2">
      <c r="A10277" s="14" t="s">
        <v>20215</v>
      </c>
      <c r="B10277" s="15" t="s">
        <v>20216</v>
      </c>
      <c r="C10277" s="16">
        <f>110.77/(1+B2)</f>
        <v>110.77</v>
      </c>
      <c r="D10277" s="17" t="s">
        <v>11</v>
      </c>
      <c r="E10277" s="17"/>
      <c r="F10277" s="18"/>
      <c r="G10277" s="36" t="str">
        <f>IF(ISNUMBER(F10277),C10277*F10277,"")</f>
        <v/>
      </c>
    </row>
    <row r="10278" spans="1:7" ht="12" customHeight="1" outlineLevel="2" x14ac:dyDescent="0.2">
      <c r="A10278" s="14" t="s">
        <v>20217</v>
      </c>
      <c r="B10278" s="15" t="s">
        <v>20218</v>
      </c>
      <c r="C10278" s="16">
        <f>210.11/(1+B2)</f>
        <v>210.11</v>
      </c>
      <c r="D10278" s="17" t="s">
        <v>11</v>
      </c>
      <c r="E10278" s="17"/>
      <c r="F10278" s="18"/>
      <c r="G10278" s="36" t="str">
        <f>IF(ISNUMBER(F10278),C10278*F10278,"")</f>
        <v/>
      </c>
    </row>
    <row r="10279" spans="1:7" ht="12" customHeight="1" outlineLevel="2" x14ac:dyDescent="0.2">
      <c r="A10279" s="14" t="s">
        <v>20219</v>
      </c>
      <c r="B10279" s="15" t="s">
        <v>20220</v>
      </c>
      <c r="C10279" s="16">
        <f>48.01/(1+B2)</f>
        <v>48.01</v>
      </c>
      <c r="D10279" s="17" t="s">
        <v>11</v>
      </c>
      <c r="E10279" s="17"/>
      <c r="F10279" s="18"/>
      <c r="G10279" s="36" t="str">
        <f>IF(ISNUMBER(F10279),C10279*F10279,"")</f>
        <v/>
      </c>
    </row>
    <row r="10280" spans="1:7" ht="12" customHeight="1" outlineLevel="2" x14ac:dyDescent="0.2">
      <c r="A10280" s="14" t="s">
        <v>20221</v>
      </c>
      <c r="B10280" s="15" t="s">
        <v>20222</v>
      </c>
      <c r="C10280" s="16">
        <f>56.74/(1+B2)</f>
        <v>56.74</v>
      </c>
      <c r="D10280" s="17" t="s">
        <v>14</v>
      </c>
      <c r="E10280" s="17"/>
      <c r="F10280" s="18"/>
      <c r="G10280" s="36" t="str">
        <f>IF(ISNUMBER(F10280),C10280*F10280,"")</f>
        <v/>
      </c>
    </row>
    <row r="10281" spans="1:7" ht="12" customHeight="1" outlineLevel="2" x14ac:dyDescent="0.2">
      <c r="A10281" s="14" t="s">
        <v>20223</v>
      </c>
      <c r="B10281" s="15" t="s">
        <v>20224</v>
      </c>
      <c r="C10281" s="16">
        <f>123.43/(1+B2)</f>
        <v>123.43</v>
      </c>
      <c r="D10281" s="17" t="s">
        <v>11</v>
      </c>
      <c r="E10281" s="17"/>
      <c r="F10281" s="18"/>
      <c r="G10281" s="36" t="str">
        <f>IF(ISNUMBER(F10281),C10281*F10281,"")</f>
        <v/>
      </c>
    </row>
    <row r="10282" spans="1:7" ht="12" customHeight="1" outlineLevel="2" x14ac:dyDescent="0.2">
      <c r="A10282" s="14" t="s">
        <v>20225</v>
      </c>
      <c r="B10282" s="15" t="s">
        <v>20226</v>
      </c>
      <c r="C10282" s="16">
        <f>76.03/(1+B2)</f>
        <v>76.03</v>
      </c>
      <c r="D10282" s="17" t="s">
        <v>11</v>
      </c>
      <c r="E10282" s="17"/>
      <c r="F10282" s="18"/>
      <c r="G10282" s="36" t="str">
        <f>IF(ISNUMBER(F10282),C10282*F10282,"")</f>
        <v/>
      </c>
    </row>
    <row r="10283" spans="1:7" ht="12" customHeight="1" outlineLevel="2" x14ac:dyDescent="0.2">
      <c r="A10283" s="14" t="s">
        <v>20227</v>
      </c>
      <c r="B10283" s="15" t="s">
        <v>20228</v>
      </c>
      <c r="C10283" s="16">
        <f>265.55/(1+B2)</f>
        <v>265.55</v>
      </c>
      <c r="D10283" s="17" t="s">
        <v>53</v>
      </c>
      <c r="E10283" s="17"/>
      <c r="F10283" s="18"/>
      <c r="G10283" s="36" t="str">
        <f>IF(ISNUMBER(F10283),C10283*F10283,"")</f>
        <v/>
      </c>
    </row>
    <row r="10284" spans="1:7" ht="12" customHeight="1" outlineLevel="2" x14ac:dyDescent="0.2">
      <c r="A10284" s="14" t="s">
        <v>20229</v>
      </c>
      <c r="B10284" s="15" t="s">
        <v>20230</v>
      </c>
      <c r="C10284" s="16">
        <f>224.26/(1+B2)</f>
        <v>224.26</v>
      </c>
      <c r="D10284" s="17" t="s">
        <v>53</v>
      </c>
      <c r="E10284" s="17"/>
      <c r="F10284" s="18"/>
      <c r="G10284" s="36" t="str">
        <f>IF(ISNUMBER(F10284),C10284*F10284,"")</f>
        <v/>
      </c>
    </row>
    <row r="10285" spans="1:7" ht="12" customHeight="1" outlineLevel="2" x14ac:dyDescent="0.2">
      <c r="A10285" s="14" t="s">
        <v>20231</v>
      </c>
      <c r="B10285" s="15" t="s">
        <v>20232</v>
      </c>
      <c r="C10285" s="16">
        <f>62.79/(1+B2)</f>
        <v>62.79</v>
      </c>
      <c r="D10285" s="17" t="s">
        <v>11</v>
      </c>
      <c r="E10285" s="17" t="s">
        <v>14</v>
      </c>
      <c r="F10285" s="18"/>
      <c r="G10285" s="36" t="str">
        <f>IF(ISNUMBER(F10285),C10285*F10285,"")</f>
        <v/>
      </c>
    </row>
    <row r="10286" spans="1:7" ht="12" customHeight="1" outlineLevel="2" x14ac:dyDescent="0.2">
      <c r="A10286" s="14" t="s">
        <v>20233</v>
      </c>
      <c r="B10286" s="15" t="s">
        <v>20234</v>
      </c>
      <c r="C10286" s="16">
        <f>25.13/(1+B2)</f>
        <v>25.13</v>
      </c>
      <c r="D10286" s="17" t="s">
        <v>11</v>
      </c>
      <c r="E10286" s="17" t="s">
        <v>14</v>
      </c>
      <c r="F10286" s="18"/>
      <c r="G10286" s="36" t="str">
        <f>IF(ISNUMBER(F10286),C10286*F10286,"")</f>
        <v/>
      </c>
    </row>
    <row r="10287" spans="1:7" ht="12" customHeight="1" outlineLevel="2" x14ac:dyDescent="0.2">
      <c r="A10287" s="14" t="s">
        <v>20235</v>
      </c>
      <c r="B10287" s="15" t="s">
        <v>20236</v>
      </c>
      <c r="C10287" s="16">
        <f>46.82/(1+B2)</f>
        <v>46.82</v>
      </c>
      <c r="D10287" s="17" t="s">
        <v>14</v>
      </c>
      <c r="E10287" s="17" t="s">
        <v>14</v>
      </c>
      <c r="F10287" s="18"/>
      <c r="G10287" s="36" t="str">
        <f>IF(ISNUMBER(F10287),C10287*F10287,"")</f>
        <v/>
      </c>
    </row>
    <row r="10288" spans="1:7" ht="12" customHeight="1" outlineLevel="2" x14ac:dyDescent="0.2">
      <c r="A10288" s="14" t="s">
        <v>20237</v>
      </c>
      <c r="B10288" s="15" t="s">
        <v>20238</v>
      </c>
      <c r="C10288" s="16">
        <f>75.71/(1+B2)</f>
        <v>75.709999999999994</v>
      </c>
      <c r="D10288" s="17" t="s">
        <v>11</v>
      </c>
      <c r="E10288" s="17" t="s">
        <v>53</v>
      </c>
      <c r="F10288" s="18"/>
      <c r="G10288" s="36" t="str">
        <f>IF(ISNUMBER(F10288),C10288*F10288,"")</f>
        <v/>
      </c>
    </row>
    <row r="10289" spans="1:7" ht="12" customHeight="1" outlineLevel="2" x14ac:dyDescent="0.2">
      <c r="A10289" s="14" t="s">
        <v>20239</v>
      </c>
      <c r="B10289" s="15" t="s">
        <v>20240</v>
      </c>
      <c r="C10289" s="16">
        <f>76.51/(1+B2)</f>
        <v>76.510000000000005</v>
      </c>
      <c r="D10289" s="17" t="s">
        <v>14</v>
      </c>
      <c r="E10289" s="17" t="s">
        <v>14</v>
      </c>
      <c r="F10289" s="18"/>
      <c r="G10289" s="36" t="str">
        <f>IF(ISNUMBER(F10289),C10289*F10289,"")</f>
        <v/>
      </c>
    </row>
    <row r="10290" spans="1:7" ht="12" customHeight="1" outlineLevel="2" x14ac:dyDescent="0.2">
      <c r="A10290" s="14" t="s">
        <v>20241</v>
      </c>
      <c r="B10290" s="15" t="s">
        <v>20242</v>
      </c>
      <c r="C10290" s="16">
        <f>84.47/(1+B2)</f>
        <v>84.47</v>
      </c>
      <c r="D10290" s="17" t="s">
        <v>14</v>
      </c>
      <c r="E10290" s="17"/>
      <c r="F10290" s="18"/>
      <c r="G10290" s="36" t="str">
        <f>IF(ISNUMBER(F10290),C10290*F10290,"")</f>
        <v/>
      </c>
    </row>
    <row r="10291" spans="1:7" s="1" customFormat="1" ht="15.95" customHeight="1" outlineLevel="1" x14ac:dyDescent="0.25">
      <c r="A10291" s="11"/>
      <c r="B10291" s="12" t="s">
        <v>20243</v>
      </c>
      <c r="C10291" s="13"/>
      <c r="D10291" s="13"/>
      <c r="E10291" s="13"/>
      <c r="F10291" s="13"/>
      <c r="G10291" s="35"/>
    </row>
    <row r="10292" spans="1:7" ht="12" customHeight="1" outlineLevel="2" x14ac:dyDescent="0.2">
      <c r="A10292" s="14" t="s">
        <v>20244</v>
      </c>
      <c r="B10292" s="15" t="s">
        <v>20245</v>
      </c>
      <c r="C10292" s="16">
        <f>141.83/(1+B2)</f>
        <v>141.83000000000001</v>
      </c>
      <c r="D10292" s="17" t="s">
        <v>11</v>
      </c>
      <c r="E10292" s="17" t="s">
        <v>11</v>
      </c>
      <c r="F10292" s="18"/>
      <c r="G10292" s="36" t="str">
        <f>IF(ISNUMBER(F10292),C10292*F10292,"")</f>
        <v/>
      </c>
    </row>
    <row r="10293" spans="1:7" ht="12" customHeight="1" outlineLevel="2" x14ac:dyDescent="0.2">
      <c r="A10293" s="14" t="s">
        <v>20246</v>
      </c>
      <c r="B10293" s="15" t="s">
        <v>20247</v>
      </c>
      <c r="C10293" s="16">
        <f>76.15/(1+B2)</f>
        <v>76.150000000000006</v>
      </c>
      <c r="D10293" s="17" t="s">
        <v>11</v>
      </c>
      <c r="E10293" s="17" t="s">
        <v>11</v>
      </c>
      <c r="F10293" s="18"/>
      <c r="G10293" s="36" t="str">
        <f>IF(ISNUMBER(F10293),C10293*F10293,"")</f>
        <v/>
      </c>
    </row>
    <row r="10294" spans="1:7" ht="24" customHeight="1" outlineLevel="2" x14ac:dyDescent="0.2">
      <c r="A10294" s="14" t="s">
        <v>20248</v>
      </c>
      <c r="B10294" s="15" t="s">
        <v>20249</v>
      </c>
      <c r="C10294" s="16">
        <f>64.92/(1+B2)</f>
        <v>64.92</v>
      </c>
      <c r="D10294" s="17" t="s">
        <v>11</v>
      </c>
      <c r="E10294" s="17" t="s">
        <v>11</v>
      </c>
      <c r="F10294" s="18"/>
      <c r="G10294" s="36" t="str">
        <f>IF(ISNUMBER(F10294),C10294*F10294,"")</f>
        <v/>
      </c>
    </row>
    <row r="10295" spans="1:7" ht="24" customHeight="1" outlineLevel="2" x14ac:dyDescent="0.2">
      <c r="A10295" s="14" t="s">
        <v>20250</v>
      </c>
      <c r="B10295" s="15" t="s">
        <v>20251</v>
      </c>
      <c r="C10295" s="16">
        <f>64.92/(1+B2)</f>
        <v>64.92</v>
      </c>
      <c r="D10295" s="17" t="s">
        <v>11</v>
      </c>
      <c r="E10295" s="17" t="s">
        <v>11</v>
      </c>
      <c r="F10295" s="18"/>
      <c r="G10295" s="36" t="str">
        <f>IF(ISNUMBER(F10295),C10295*F10295,"")</f>
        <v/>
      </c>
    </row>
    <row r="10296" spans="1:7" ht="12" customHeight="1" outlineLevel="2" x14ac:dyDescent="0.2">
      <c r="A10296" s="14" t="s">
        <v>20252</v>
      </c>
      <c r="B10296" s="15" t="s">
        <v>20253</v>
      </c>
      <c r="C10296" s="16">
        <f>98.34/(1+B2)</f>
        <v>98.34</v>
      </c>
      <c r="D10296" s="17" t="s">
        <v>14</v>
      </c>
      <c r="E10296" s="17" t="s">
        <v>11</v>
      </c>
      <c r="F10296" s="18"/>
      <c r="G10296" s="36" t="str">
        <f>IF(ISNUMBER(F10296),C10296*F10296,"")</f>
        <v/>
      </c>
    </row>
    <row r="10297" spans="1:7" ht="12" customHeight="1" outlineLevel="2" x14ac:dyDescent="0.2">
      <c r="A10297" s="14" t="s">
        <v>20254</v>
      </c>
      <c r="B10297" s="15" t="s">
        <v>20255</v>
      </c>
      <c r="C10297" s="16">
        <f>132.42/(1+B2)</f>
        <v>132.41999999999999</v>
      </c>
      <c r="D10297" s="17" t="s">
        <v>53</v>
      </c>
      <c r="E10297" s="17"/>
      <c r="F10297" s="18"/>
      <c r="G10297" s="36" t="str">
        <f>IF(ISNUMBER(F10297),C10297*F10297,"")</f>
        <v/>
      </c>
    </row>
    <row r="10298" spans="1:7" s="1" customFormat="1" ht="15.95" customHeight="1" outlineLevel="1" x14ac:dyDescent="0.25">
      <c r="A10298" s="11"/>
      <c r="B10298" s="12" t="s">
        <v>20256</v>
      </c>
      <c r="C10298" s="13"/>
      <c r="D10298" s="13"/>
      <c r="E10298" s="13"/>
      <c r="F10298" s="13"/>
      <c r="G10298" s="35"/>
    </row>
    <row r="10299" spans="1:7" ht="12" customHeight="1" outlineLevel="2" x14ac:dyDescent="0.2">
      <c r="A10299" s="14" t="s">
        <v>20257</v>
      </c>
      <c r="B10299" s="15" t="s">
        <v>20258</v>
      </c>
      <c r="C10299" s="16">
        <f>82.98/(1+B2)</f>
        <v>82.98</v>
      </c>
      <c r="D10299" s="17" t="s">
        <v>11</v>
      </c>
      <c r="E10299" s="17"/>
      <c r="F10299" s="18"/>
      <c r="G10299" s="36" t="str">
        <f>IF(ISNUMBER(F10299),C10299*F10299,"")</f>
        <v/>
      </c>
    </row>
    <row r="10300" spans="1:7" ht="12" customHeight="1" outlineLevel="2" x14ac:dyDescent="0.2">
      <c r="A10300" s="14" t="s">
        <v>20259</v>
      </c>
      <c r="B10300" s="15" t="s">
        <v>20260</v>
      </c>
      <c r="C10300" s="16">
        <f>21.12/(1+B2)</f>
        <v>21.12</v>
      </c>
      <c r="D10300" s="17" t="s">
        <v>11</v>
      </c>
      <c r="E10300" s="17"/>
      <c r="F10300" s="18"/>
      <c r="G10300" s="36" t="str">
        <f>IF(ISNUMBER(F10300),C10300*F10300,"")</f>
        <v/>
      </c>
    </row>
    <row r="10301" spans="1:7" ht="12" customHeight="1" outlineLevel="2" x14ac:dyDescent="0.2">
      <c r="A10301" s="14" t="s">
        <v>20261</v>
      </c>
      <c r="B10301" s="15" t="s">
        <v>20262</v>
      </c>
      <c r="C10301" s="16">
        <f>21.12/(1+B2)</f>
        <v>21.12</v>
      </c>
      <c r="D10301" s="17" t="s">
        <v>14</v>
      </c>
      <c r="E10301" s="17"/>
      <c r="F10301" s="18"/>
      <c r="G10301" s="36" t="str">
        <f>IF(ISNUMBER(F10301),C10301*F10301,"")</f>
        <v/>
      </c>
    </row>
    <row r="10302" spans="1:7" ht="12" customHeight="1" outlineLevel="2" x14ac:dyDescent="0.2">
      <c r="A10302" s="14" t="s">
        <v>20263</v>
      </c>
      <c r="B10302" s="15" t="s">
        <v>20264</v>
      </c>
      <c r="C10302" s="16">
        <f>53.41/(1+B2)</f>
        <v>53.41</v>
      </c>
      <c r="D10302" s="17" t="s">
        <v>11</v>
      </c>
      <c r="E10302" s="17" t="s">
        <v>11</v>
      </c>
      <c r="F10302" s="18"/>
      <c r="G10302" s="36" t="str">
        <f>IF(ISNUMBER(F10302),C10302*F10302,"")</f>
        <v/>
      </c>
    </row>
    <row r="10303" spans="1:7" ht="12" customHeight="1" outlineLevel="2" x14ac:dyDescent="0.2">
      <c r="A10303" s="14" t="s">
        <v>20265</v>
      </c>
      <c r="B10303" s="15" t="s">
        <v>20266</v>
      </c>
      <c r="C10303" s="16">
        <f>55.96/(1+B2)</f>
        <v>55.96</v>
      </c>
      <c r="D10303" s="17" t="s">
        <v>11</v>
      </c>
      <c r="E10303" s="17"/>
      <c r="F10303" s="18"/>
      <c r="G10303" s="36" t="str">
        <f>IF(ISNUMBER(F10303),C10303*F10303,"")</f>
        <v/>
      </c>
    </row>
    <row r="10304" spans="1:7" ht="12" customHeight="1" outlineLevel="2" x14ac:dyDescent="0.2">
      <c r="A10304" s="14" t="s">
        <v>20267</v>
      </c>
      <c r="B10304" s="15" t="s">
        <v>20268</v>
      </c>
      <c r="C10304" s="16">
        <f>15.54/(1+B2)</f>
        <v>15.54</v>
      </c>
      <c r="D10304" s="17" t="s">
        <v>11</v>
      </c>
      <c r="E10304" s="17"/>
      <c r="F10304" s="18"/>
      <c r="G10304" s="36" t="str">
        <f>IF(ISNUMBER(F10304),C10304*F10304,"")</f>
        <v/>
      </c>
    </row>
    <row r="10305" spans="1:7" ht="12" customHeight="1" outlineLevel="2" x14ac:dyDescent="0.2">
      <c r="A10305" s="14" t="s">
        <v>20269</v>
      </c>
      <c r="B10305" s="15" t="s">
        <v>20270</v>
      </c>
      <c r="C10305" s="16">
        <f>20.88/(1+B2)</f>
        <v>20.88</v>
      </c>
      <c r="D10305" s="17" t="s">
        <v>11</v>
      </c>
      <c r="E10305" s="17"/>
      <c r="F10305" s="18"/>
      <c r="G10305" s="36" t="str">
        <f>IF(ISNUMBER(F10305),C10305*F10305,"")</f>
        <v/>
      </c>
    </row>
    <row r="10306" spans="1:7" ht="12" customHeight="1" outlineLevel="2" x14ac:dyDescent="0.2">
      <c r="A10306" s="14" t="s">
        <v>20271</v>
      </c>
      <c r="B10306" s="15" t="s">
        <v>20272</v>
      </c>
      <c r="C10306" s="16">
        <f>44.45/(1+B2)</f>
        <v>44.45</v>
      </c>
      <c r="D10306" s="17" t="s">
        <v>11</v>
      </c>
      <c r="E10306" s="17"/>
      <c r="F10306" s="18"/>
      <c r="G10306" s="36" t="str">
        <f>IF(ISNUMBER(F10306),C10306*F10306,"")</f>
        <v/>
      </c>
    </row>
    <row r="10307" spans="1:7" ht="12" customHeight="1" outlineLevel="2" x14ac:dyDescent="0.2">
      <c r="A10307" s="14" t="s">
        <v>20273</v>
      </c>
      <c r="B10307" s="15" t="s">
        <v>20274</v>
      </c>
      <c r="C10307" s="16">
        <f>54.23/(1+B2)</f>
        <v>54.23</v>
      </c>
      <c r="D10307" s="17" t="s">
        <v>11</v>
      </c>
      <c r="E10307" s="17"/>
      <c r="F10307" s="18"/>
      <c r="G10307" s="36" t="str">
        <f>IF(ISNUMBER(F10307),C10307*F10307,"")</f>
        <v/>
      </c>
    </row>
    <row r="10308" spans="1:7" ht="12" customHeight="1" outlineLevel="2" x14ac:dyDescent="0.2">
      <c r="A10308" s="14" t="s">
        <v>20275</v>
      </c>
      <c r="B10308" s="15" t="s">
        <v>20276</v>
      </c>
      <c r="C10308" s="16">
        <f>22.84/(1+B2)</f>
        <v>22.84</v>
      </c>
      <c r="D10308" s="17" t="s">
        <v>11</v>
      </c>
      <c r="E10308" s="17" t="s">
        <v>53</v>
      </c>
      <c r="F10308" s="18"/>
      <c r="G10308" s="36" t="str">
        <f>IF(ISNUMBER(F10308),C10308*F10308,"")</f>
        <v/>
      </c>
    </row>
    <row r="10309" spans="1:7" ht="12" customHeight="1" outlineLevel="2" x14ac:dyDescent="0.2">
      <c r="A10309" s="14" t="s">
        <v>20277</v>
      </c>
      <c r="B10309" s="15" t="s">
        <v>20278</v>
      </c>
      <c r="C10309" s="16">
        <f>8.47/(1+B2)</f>
        <v>8.4700000000000006</v>
      </c>
      <c r="D10309" s="17" t="s">
        <v>11</v>
      </c>
      <c r="E10309" s="17"/>
      <c r="F10309" s="18"/>
      <c r="G10309" s="36" t="str">
        <f>IF(ISNUMBER(F10309),C10309*F10309,"")</f>
        <v/>
      </c>
    </row>
    <row r="10310" spans="1:7" ht="12" customHeight="1" outlineLevel="2" x14ac:dyDescent="0.2">
      <c r="A10310" s="14" t="s">
        <v>20279</v>
      </c>
      <c r="B10310" s="15" t="s">
        <v>20280</v>
      </c>
      <c r="C10310" s="16">
        <f>18.94/(1+B2)</f>
        <v>18.940000000000001</v>
      </c>
      <c r="D10310" s="17" t="s">
        <v>11</v>
      </c>
      <c r="E10310" s="17"/>
      <c r="F10310" s="18"/>
      <c r="G10310" s="36" t="str">
        <f>IF(ISNUMBER(F10310),C10310*F10310,"")</f>
        <v/>
      </c>
    </row>
    <row r="10311" spans="1:7" ht="12" customHeight="1" outlineLevel="2" x14ac:dyDescent="0.2">
      <c r="A10311" s="14" t="s">
        <v>20281</v>
      </c>
      <c r="B10311" s="15" t="s">
        <v>20282</v>
      </c>
      <c r="C10311" s="16">
        <f>24.1/(1+B2)</f>
        <v>24.1</v>
      </c>
      <c r="D10311" s="17" t="s">
        <v>11</v>
      </c>
      <c r="E10311" s="17"/>
      <c r="F10311" s="18"/>
      <c r="G10311" s="36" t="str">
        <f>IF(ISNUMBER(F10311),C10311*F10311,"")</f>
        <v/>
      </c>
    </row>
    <row r="10312" spans="1:7" ht="12" customHeight="1" outlineLevel="2" x14ac:dyDescent="0.2">
      <c r="A10312" s="14" t="s">
        <v>20283</v>
      </c>
      <c r="B10312" s="15" t="s">
        <v>20284</v>
      </c>
      <c r="C10312" s="16">
        <f>23.63/(1+B2)</f>
        <v>23.63</v>
      </c>
      <c r="D10312" s="17" t="s">
        <v>53</v>
      </c>
      <c r="E10312" s="17"/>
      <c r="F10312" s="18"/>
      <c r="G10312" s="36" t="str">
        <f>IF(ISNUMBER(F10312),C10312*F10312,"")</f>
        <v/>
      </c>
    </row>
    <row r="10313" spans="1:7" ht="12" customHeight="1" outlineLevel="2" x14ac:dyDescent="0.2">
      <c r="A10313" s="14" t="s">
        <v>20285</v>
      </c>
      <c r="B10313" s="15" t="s">
        <v>20286</v>
      </c>
      <c r="C10313" s="16">
        <f>28.1/(1+B2)</f>
        <v>28.1</v>
      </c>
      <c r="D10313" s="17" t="s">
        <v>11</v>
      </c>
      <c r="E10313" s="17" t="s">
        <v>14</v>
      </c>
      <c r="F10313" s="18"/>
      <c r="G10313" s="36" t="str">
        <f>IF(ISNUMBER(F10313),C10313*F10313,"")</f>
        <v/>
      </c>
    </row>
    <row r="10314" spans="1:7" ht="12" customHeight="1" outlineLevel="2" x14ac:dyDescent="0.2">
      <c r="A10314" s="14" t="s">
        <v>20287</v>
      </c>
      <c r="B10314" s="15" t="s">
        <v>20288</v>
      </c>
      <c r="C10314" s="16">
        <f>28.1/(1+B2)</f>
        <v>28.1</v>
      </c>
      <c r="D10314" s="17" t="s">
        <v>11</v>
      </c>
      <c r="E10314" s="17"/>
      <c r="F10314" s="18"/>
      <c r="G10314" s="36" t="str">
        <f>IF(ISNUMBER(F10314),C10314*F10314,"")</f>
        <v/>
      </c>
    </row>
    <row r="10315" spans="1:7" ht="24" customHeight="1" outlineLevel="2" x14ac:dyDescent="0.2">
      <c r="A10315" s="14" t="s">
        <v>20289</v>
      </c>
      <c r="B10315" s="15" t="s">
        <v>20290</v>
      </c>
      <c r="C10315" s="16">
        <f>116.08/(1+B2)</f>
        <v>116.08</v>
      </c>
      <c r="D10315" s="17" t="s">
        <v>11</v>
      </c>
      <c r="E10315" s="17"/>
      <c r="F10315" s="18"/>
      <c r="G10315" s="36" t="str">
        <f>IF(ISNUMBER(F10315),C10315*F10315,"")</f>
        <v/>
      </c>
    </row>
    <row r="10316" spans="1:7" ht="24" customHeight="1" outlineLevel="2" x14ac:dyDescent="0.2">
      <c r="A10316" s="14" t="s">
        <v>20291</v>
      </c>
      <c r="B10316" s="15" t="s">
        <v>20292</v>
      </c>
      <c r="C10316" s="16">
        <f>101.63/(1+B2)</f>
        <v>101.63</v>
      </c>
      <c r="D10316" s="17" t="s">
        <v>11</v>
      </c>
      <c r="E10316" s="17"/>
      <c r="F10316" s="18"/>
      <c r="G10316" s="36" t="str">
        <f>IF(ISNUMBER(F10316),C10316*F10316,"")</f>
        <v/>
      </c>
    </row>
    <row r="10317" spans="1:7" ht="12" customHeight="1" outlineLevel="2" x14ac:dyDescent="0.2">
      <c r="A10317" s="14" t="s">
        <v>20293</v>
      </c>
      <c r="B10317" s="15" t="s">
        <v>20294</v>
      </c>
      <c r="C10317" s="16">
        <f>106/(1+B2)</f>
        <v>106</v>
      </c>
      <c r="D10317" s="17" t="s">
        <v>11</v>
      </c>
      <c r="E10317" s="17"/>
      <c r="F10317" s="18"/>
      <c r="G10317" s="36" t="str">
        <f>IF(ISNUMBER(F10317),C10317*F10317,"")</f>
        <v/>
      </c>
    </row>
    <row r="10318" spans="1:7" ht="12" customHeight="1" outlineLevel="2" x14ac:dyDescent="0.2">
      <c r="A10318" s="14" t="s">
        <v>20295</v>
      </c>
      <c r="B10318" s="15" t="s">
        <v>20296</v>
      </c>
      <c r="C10318" s="16">
        <f>99.48/(1+B2)</f>
        <v>99.48</v>
      </c>
      <c r="D10318" s="17" t="s">
        <v>11</v>
      </c>
      <c r="E10318" s="17" t="s">
        <v>11</v>
      </c>
      <c r="F10318" s="18"/>
      <c r="G10318" s="36" t="str">
        <f>IF(ISNUMBER(F10318),C10318*F10318,"")</f>
        <v/>
      </c>
    </row>
    <row r="10319" spans="1:7" ht="12" customHeight="1" outlineLevel="2" x14ac:dyDescent="0.2">
      <c r="A10319" s="14" t="s">
        <v>20297</v>
      </c>
      <c r="B10319" s="15" t="s">
        <v>20298</v>
      </c>
      <c r="C10319" s="16">
        <f>99.34/(1+B2)</f>
        <v>99.34</v>
      </c>
      <c r="D10319" s="17" t="s">
        <v>14</v>
      </c>
      <c r="E10319" s="17"/>
      <c r="F10319" s="18"/>
      <c r="G10319" s="36" t="str">
        <f>IF(ISNUMBER(F10319),C10319*F10319,"")</f>
        <v/>
      </c>
    </row>
    <row r="10320" spans="1:7" ht="12" customHeight="1" outlineLevel="2" x14ac:dyDescent="0.2">
      <c r="A10320" s="14" t="s">
        <v>20299</v>
      </c>
      <c r="B10320" s="15" t="s">
        <v>20300</v>
      </c>
      <c r="C10320" s="16">
        <f>143.9/(1+B2)</f>
        <v>143.9</v>
      </c>
      <c r="D10320" s="17" t="s">
        <v>11</v>
      </c>
      <c r="E10320" s="17"/>
      <c r="F10320" s="18"/>
      <c r="G10320" s="36" t="str">
        <f>IF(ISNUMBER(F10320),C10320*F10320,"")</f>
        <v/>
      </c>
    </row>
    <row r="10321" spans="1:7" ht="12" customHeight="1" outlineLevel="2" x14ac:dyDescent="0.2">
      <c r="A10321" s="14" t="s">
        <v>20301</v>
      </c>
      <c r="B10321" s="15" t="s">
        <v>20302</v>
      </c>
      <c r="C10321" s="16">
        <f>227.58/(1+B2)</f>
        <v>227.58</v>
      </c>
      <c r="D10321" s="17" t="s">
        <v>11</v>
      </c>
      <c r="E10321" s="17" t="s">
        <v>11</v>
      </c>
      <c r="F10321" s="18"/>
      <c r="G10321" s="36" t="str">
        <f>IF(ISNUMBER(F10321),C10321*F10321,"")</f>
        <v/>
      </c>
    </row>
    <row r="10322" spans="1:7" ht="12" customHeight="1" outlineLevel="2" x14ac:dyDescent="0.2">
      <c r="A10322" s="14" t="s">
        <v>20303</v>
      </c>
      <c r="B10322" s="15" t="s">
        <v>20304</v>
      </c>
      <c r="C10322" s="16">
        <f>108.63/(1+B2)</f>
        <v>108.63</v>
      </c>
      <c r="D10322" s="17" t="s">
        <v>11</v>
      </c>
      <c r="E10322" s="17" t="s">
        <v>11</v>
      </c>
      <c r="F10322" s="18"/>
      <c r="G10322" s="36" t="str">
        <f>IF(ISNUMBER(F10322),C10322*F10322,"")</f>
        <v/>
      </c>
    </row>
    <row r="10323" spans="1:7" ht="24" customHeight="1" outlineLevel="2" x14ac:dyDescent="0.2">
      <c r="A10323" s="14" t="s">
        <v>20305</v>
      </c>
      <c r="B10323" s="15" t="s">
        <v>20306</v>
      </c>
      <c r="C10323" s="16">
        <f>216.14/(1+B2)</f>
        <v>216.14</v>
      </c>
      <c r="D10323" s="17" t="s">
        <v>11</v>
      </c>
      <c r="E10323" s="17"/>
      <c r="F10323" s="18"/>
      <c r="G10323" s="36" t="str">
        <f>IF(ISNUMBER(F10323),C10323*F10323,"")</f>
        <v/>
      </c>
    </row>
    <row r="10324" spans="1:7" ht="12" customHeight="1" outlineLevel="2" x14ac:dyDescent="0.2">
      <c r="A10324" s="14" t="s">
        <v>20307</v>
      </c>
      <c r="B10324" s="15" t="s">
        <v>20308</v>
      </c>
      <c r="C10324" s="16">
        <f>79.93/(1+B2)</f>
        <v>79.930000000000007</v>
      </c>
      <c r="D10324" s="17" t="s">
        <v>11</v>
      </c>
      <c r="E10324" s="17"/>
      <c r="F10324" s="18"/>
      <c r="G10324" s="36" t="str">
        <f>IF(ISNUMBER(F10324),C10324*F10324,"")</f>
        <v/>
      </c>
    </row>
    <row r="10325" spans="1:7" ht="12" customHeight="1" outlineLevel="2" x14ac:dyDescent="0.2">
      <c r="A10325" s="14" t="s">
        <v>20309</v>
      </c>
      <c r="B10325" s="15" t="s">
        <v>20310</v>
      </c>
      <c r="C10325" s="16">
        <f>51.5/(1+B2)</f>
        <v>51.5</v>
      </c>
      <c r="D10325" s="17" t="s">
        <v>14</v>
      </c>
      <c r="E10325" s="17"/>
      <c r="F10325" s="18"/>
      <c r="G10325" s="36" t="str">
        <f>IF(ISNUMBER(F10325),C10325*F10325,"")</f>
        <v/>
      </c>
    </row>
    <row r="10326" spans="1:7" ht="12" customHeight="1" outlineLevel="2" x14ac:dyDescent="0.2">
      <c r="A10326" s="14" t="s">
        <v>20311</v>
      </c>
      <c r="B10326" s="15" t="s">
        <v>20312</v>
      </c>
      <c r="C10326" s="16">
        <f>57.93/(1+B2)</f>
        <v>57.93</v>
      </c>
      <c r="D10326" s="17" t="s">
        <v>11</v>
      </c>
      <c r="E10326" s="17"/>
      <c r="F10326" s="18"/>
      <c r="G10326" s="36" t="str">
        <f>IF(ISNUMBER(F10326),C10326*F10326,"")</f>
        <v/>
      </c>
    </row>
    <row r="10327" spans="1:7" ht="12" customHeight="1" outlineLevel="2" x14ac:dyDescent="0.2">
      <c r="A10327" s="14" t="s">
        <v>20313</v>
      </c>
      <c r="B10327" s="15" t="s">
        <v>20314</v>
      </c>
      <c r="C10327" s="16">
        <f>69.49/(1+B2)</f>
        <v>69.489999999999995</v>
      </c>
      <c r="D10327" s="17" t="s">
        <v>11</v>
      </c>
      <c r="E10327" s="17" t="s">
        <v>14</v>
      </c>
      <c r="F10327" s="18"/>
      <c r="G10327" s="36" t="str">
        <f>IF(ISNUMBER(F10327),C10327*F10327,"")</f>
        <v/>
      </c>
    </row>
    <row r="10328" spans="1:7" ht="12" customHeight="1" outlineLevel="2" x14ac:dyDescent="0.2">
      <c r="A10328" s="14" t="s">
        <v>20315</v>
      </c>
      <c r="B10328" s="15" t="s">
        <v>20316</v>
      </c>
      <c r="C10328" s="16">
        <f>41.04/(1+B2)</f>
        <v>41.04</v>
      </c>
      <c r="D10328" s="17" t="s">
        <v>11</v>
      </c>
      <c r="E10328" s="17" t="s">
        <v>11</v>
      </c>
      <c r="F10328" s="18"/>
      <c r="G10328" s="36" t="str">
        <f>IF(ISNUMBER(F10328),C10328*F10328,"")</f>
        <v/>
      </c>
    </row>
    <row r="10329" spans="1:7" ht="12" customHeight="1" outlineLevel="2" x14ac:dyDescent="0.2">
      <c r="A10329" s="14" t="s">
        <v>20317</v>
      </c>
      <c r="B10329" s="15" t="s">
        <v>20318</v>
      </c>
      <c r="C10329" s="16">
        <f>41.33/(1+B2)</f>
        <v>41.33</v>
      </c>
      <c r="D10329" s="17" t="s">
        <v>14</v>
      </c>
      <c r="E10329" s="17" t="s">
        <v>11</v>
      </c>
      <c r="F10329" s="18"/>
      <c r="G10329" s="36" t="str">
        <f>IF(ISNUMBER(F10329),C10329*F10329,"")</f>
        <v/>
      </c>
    </row>
    <row r="10330" spans="1:7" ht="12" customHeight="1" outlineLevel="2" x14ac:dyDescent="0.2">
      <c r="A10330" s="14" t="s">
        <v>20319</v>
      </c>
      <c r="B10330" s="15" t="s">
        <v>20320</v>
      </c>
      <c r="C10330" s="16">
        <f>32.26/(1+B2)</f>
        <v>32.26</v>
      </c>
      <c r="D10330" s="17" t="s">
        <v>11</v>
      </c>
      <c r="E10330" s="17" t="s">
        <v>11</v>
      </c>
      <c r="F10330" s="18"/>
      <c r="G10330" s="36" t="str">
        <f>IF(ISNUMBER(F10330),C10330*F10330,"")</f>
        <v/>
      </c>
    </row>
    <row r="10331" spans="1:7" ht="12" customHeight="1" outlineLevel="2" x14ac:dyDescent="0.2">
      <c r="A10331" s="14" t="s">
        <v>20321</v>
      </c>
      <c r="B10331" s="15" t="s">
        <v>20322</v>
      </c>
      <c r="C10331" s="16">
        <f>31.4/(1+B2)</f>
        <v>31.4</v>
      </c>
      <c r="D10331" s="17" t="s">
        <v>11</v>
      </c>
      <c r="E10331" s="17" t="s">
        <v>53</v>
      </c>
      <c r="F10331" s="18"/>
      <c r="G10331" s="36" t="str">
        <f>IF(ISNUMBER(F10331),C10331*F10331,"")</f>
        <v/>
      </c>
    </row>
    <row r="10332" spans="1:7" ht="12" customHeight="1" outlineLevel="2" x14ac:dyDescent="0.2">
      <c r="A10332" s="14" t="s">
        <v>20323</v>
      </c>
      <c r="B10332" s="15" t="s">
        <v>20324</v>
      </c>
      <c r="C10332" s="16">
        <f>22.84/(1+B2)</f>
        <v>22.84</v>
      </c>
      <c r="D10332" s="17" t="s">
        <v>53</v>
      </c>
      <c r="E10332" s="17" t="s">
        <v>14</v>
      </c>
      <c r="F10332" s="18"/>
      <c r="G10332" s="36" t="str">
        <f>IF(ISNUMBER(F10332),C10332*F10332,"")</f>
        <v/>
      </c>
    </row>
    <row r="10333" spans="1:7" ht="12" customHeight="1" outlineLevel="2" x14ac:dyDescent="0.2">
      <c r="A10333" s="14" t="s">
        <v>20325</v>
      </c>
      <c r="B10333" s="15" t="s">
        <v>20326</v>
      </c>
      <c r="C10333" s="16">
        <f>104/(1+B2)</f>
        <v>104</v>
      </c>
      <c r="D10333" s="17" t="s">
        <v>11</v>
      </c>
      <c r="E10333" s="17"/>
      <c r="F10333" s="18"/>
      <c r="G10333" s="36" t="str">
        <f>IF(ISNUMBER(F10333),C10333*F10333,"")</f>
        <v/>
      </c>
    </row>
    <row r="10334" spans="1:7" ht="24" customHeight="1" outlineLevel="2" x14ac:dyDescent="0.2">
      <c r="A10334" s="14" t="s">
        <v>20327</v>
      </c>
      <c r="B10334" s="15" t="s">
        <v>20328</v>
      </c>
      <c r="C10334" s="16">
        <f>70.8/(1+B2)</f>
        <v>70.8</v>
      </c>
      <c r="D10334" s="17" t="s">
        <v>11</v>
      </c>
      <c r="E10334" s="17"/>
      <c r="F10334" s="18"/>
      <c r="G10334" s="36" t="str">
        <f>IF(ISNUMBER(F10334),C10334*F10334,"")</f>
        <v/>
      </c>
    </row>
    <row r="10335" spans="1:7" ht="12" customHeight="1" outlineLevel="2" x14ac:dyDescent="0.2">
      <c r="A10335" s="14" t="s">
        <v>20329</v>
      </c>
      <c r="B10335" s="15" t="s">
        <v>20330</v>
      </c>
      <c r="C10335" s="16">
        <f>68.52/(1+B2)</f>
        <v>68.52</v>
      </c>
      <c r="D10335" s="17" t="s">
        <v>11</v>
      </c>
      <c r="E10335" s="17"/>
      <c r="F10335" s="18"/>
      <c r="G10335" s="36" t="str">
        <f>IF(ISNUMBER(F10335),C10335*F10335,"")</f>
        <v/>
      </c>
    </row>
    <row r="10336" spans="1:7" ht="12" customHeight="1" outlineLevel="2" x14ac:dyDescent="0.2">
      <c r="A10336" s="14" t="s">
        <v>20331</v>
      </c>
      <c r="B10336" s="15" t="s">
        <v>20332</v>
      </c>
      <c r="C10336" s="16">
        <f>46.83/(1+B2)</f>
        <v>46.83</v>
      </c>
      <c r="D10336" s="17" t="s">
        <v>11</v>
      </c>
      <c r="E10336" s="17" t="s">
        <v>11</v>
      </c>
      <c r="F10336" s="18"/>
      <c r="G10336" s="36" t="str">
        <f>IF(ISNUMBER(F10336),C10336*F10336,"")</f>
        <v/>
      </c>
    </row>
    <row r="10337" spans="1:7" ht="12" customHeight="1" outlineLevel="2" x14ac:dyDescent="0.2">
      <c r="A10337" s="14" t="s">
        <v>20333</v>
      </c>
      <c r="B10337" s="15" t="s">
        <v>20334</v>
      </c>
      <c r="C10337" s="16">
        <f>52.03/(1+B2)</f>
        <v>52.03</v>
      </c>
      <c r="D10337" s="17" t="s">
        <v>11</v>
      </c>
      <c r="E10337" s="17"/>
      <c r="F10337" s="18"/>
      <c r="G10337" s="36" t="str">
        <f>IF(ISNUMBER(F10337),C10337*F10337,"")</f>
        <v/>
      </c>
    </row>
    <row r="10338" spans="1:7" ht="12" customHeight="1" outlineLevel="2" x14ac:dyDescent="0.2">
      <c r="A10338" s="14" t="s">
        <v>20335</v>
      </c>
      <c r="B10338" s="15" t="s">
        <v>20336</v>
      </c>
      <c r="C10338" s="16">
        <f>106.22/(1+B2)</f>
        <v>106.22</v>
      </c>
      <c r="D10338" s="17" t="s">
        <v>11</v>
      </c>
      <c r="E10338" s="17"/>
      <c r="F10338" s="18"/>
      <c r="G10338" s="36" t="str">
        <f>IF(ISNUMBER(F10338),C10338*F10338,"")</f>
        <v/>
      </c>
    </row>
    <row r="10339" spans="1:7" ht="12" customHeight="1" outlineLevel="2" x14ac:dyDescent="0.2">
      <c r="A10339" s="14" t="s">
        <v>20337</v>
      </c>
      <c r="B10339" s="15" t="s">
        <v>20338</v>
      </c>
      <c r="C10339" s="16">
        <f>123.05/(1+B2)</f>
        <v>123.05</v>
      </c>
      <c r="D10339" s="17" t="s">
        <v>11</v>
      </c>
      <c r="E10339" s="17"/>
      <c r="F10339" s="18"/>
      <c r="G10339" s="36" t="str">
        <f>IF(ISNUMBER(F10339),C10339*F10339,"")</f>
        <v/>
      </c>
    </row>
    <row r="10340" spans="1:7" ht="12" customHeight="1" outlineLevel="2" x14ac:dyDescent="0.2">
      <c r="A10340" s="14" t="s">
        <v>20339</v>
      </c>
      <c r="B10340" s="15" t="s">
        <v>20340</v>
      </c>
      <c r="C10340" s="16">
        <f>127.66/(1+B2)</f>
        <v>127.66</v>
      </c>
      <c r="D10340" s="17" t="s">
        <v>11</v>
      </c>
      <c r="E10340" s="17"/>
      <c r="F10340" s="18"/>
      <c r="G10340" s="36" t="str">
        <f>IF(ISNUMBER(F10340),C10340*F10340,"")</f>
        <v/>
      </c>
    </row>
    <row r="10341" spans="1:7" ht="12" customHeight="1" outlineLevel="2" x14ac:dyDescent="0.2">
      <c r="A10341" s="14" t="s">
        <v>20341</v>
      </c>
      <c r="B10341" s="15" t="s">
        <v>20342</v>
      </c>
      <c r="C10341" s="16">
        <f>130.44/(1+B2)</f>
        <v>130.44</v>
      </c>
      <c r="D10341" s="17" t="s">
        <v>11</v>
      </c>
      <c r="E10341" s="17"/>
      <c r="F10341" s="18"/>
      <c r="G10341" s="36" t="str">
        <f>IF(ISNUMBER(F10341),C10341*F10341,"")</f>
        <v/>
      </c>
    </row>
    <row r="10342" spans="1:7" ht="12" customHeight="1" outlineLevel="2" x14ac:dyDescent="0.2">
      <c r="A10342" s="14" t="s">
        <v>20343</v>
      </c>
      <c r="B10342" s="15" t="s">
        <v>20344</v>
      </c>
      <c r="C10342" s="16">
        <f>122.08/(1+B2)</f>
        <v>122.08</v>
      </c>
      <c r="D10342" s="17" t="s">
        <v>11</v>
      </c>
      <c r="E10342" s="17"/>
      <c r="F10342" s="18"/>
      <c r="G10342" s="36" t="str">
        <f>IF(ISNUMBER(F10342),C10342*F10342,"")</f>
        <v/>
      </c>
    </row>
    <row r="10343" spans="1:7" ht="12" customHeight="1" outlineLevel="2" x14ac:dyDescent="0.2">
      <c r="A10343" s="14" t="s">
        <v>20345</v>
      </c>
      <c r="B10343" s="15" t="s">
        <v>20346</v>
      </c>
      <c r="C10343" s="16">
        <f>191.59/(1+B2)</f>
        <v>191.59</v>
      </c>
      <c r="D10343" s="17" t="s">
        <v>11</v>
      </c>
      <c r="E10343" s="17" t="s">
        <v>11</v>
      </c>
      <c r="F10343" s="18"/>
      <c r="G10343" s="36" t="str">
        <f>IF(ISNUMBER(F10343),C10343*F10343,"")</f>
        <v/>
      </c>
    </row>
    <row r="10344" spans="1:7" ht="24" customHeight="1" outlineLevel="2" x14ac:dyDescent="0.2">
      <c r="A10344" s="14" t="s">
        <v>20347</v>
      </c>
      <c r="B10344" s="15" t="s">
        <v>20348</v>
      </c>
      <c r="C10344" s="16">
        <f>41.93/(1+B2)</f>
        <v>41.93</v>
      </c>
      <c r="D10344" s="17" t="s">
        <v>11</v>
      </c>
      <c r="E10344" s="17" t="s">
        <v>11</v>
      </c>
      <c r="F10344" s="18"/>
      <c r="G10344" s="36" t="str">
        <f>IF(ISNUMBER(F10344),C10344*F10344,"")</f>
        <v/>
      </c>
    </row>
    <row r="10345" spans="1:7" ht="12" customHeight="1" outlineLevel="2" x14ac:dyDescent="0.2">
      <c r="A10345" s="14" t="s">
        <v>20349</v>
      </c>
      <c r="B10345" s="15" t="s">
        <v>20350</v>
      </c>
      <c r="C10345" s="16">
        <f>85.66/(1+B2)</f>
        <v>85.66</v>
      </c>
      <c r="D10345" s="17" t="s">
        <v>11</v>
      </c>
      <c r="E10345" s="17"/>
      <c r="F10345" s="18"/>
      <c r="G10345" s="36" t="str">
        <f>IF(ISNUMBER(F10345),C10345*F10345,"")</f>
        <v/>
      </c>
    </row>
    <row r="10346" spans="1:7" ht="12" customHeight="1" outlineLevel="2" x14ac:dyDescent="0.2">
      <c r="A10346" s="14" t="s">
        <v>20351</v>
      </c>
      <c r="B10346" s="15" t="s">
        <v>20352</v>
      </c>
      <c r="C10346" s="16">
        <f>227.58/(1+B2)</f>
        <v>227.58</v>
      </c>
      <c r="D10346" s="17" t="s">
        <v>11</v>
      </c>
      <c r="E10346" s="17" t="s">
        <v>11</v>
      </c>
      <c r="F10346" s="18"/>
      <c r="G10346" s="36" t="str">
        <f>IF(ISNUMBER(F10346),C10346*F10346,"")</f>
        <v/>
      </c>
    </row>
    <row r="10347" spans="1:7" ht="12" customHeight="1" outlineLevel="2" x14ac:dyDescent="0.2">
      <c r="A10347" s="14" t="s">
        <v>20353</v>
      </c>
      <c r="B10347" s="15" t="s">
        <v>20354</v>
      </c>
      <c r="C10347" s="16">
        <f>41.8/(1+B2)</f>
        <v>41.8</v>
      </c>
      <c r="D10347" s="17" t="s">
        <v>11</v>
      </c>
      <c r="E10347" s="17" t="s">
        <v>11</v>
      </c>
      <c r="F10347" s="18"/>
      <c r="G10347" s="36" t="str">
        <f>IF(ISNUMBER(F10347),C10347*F10347,"")</f>
        <v/>
      </c>
    </row>
    <row r="10348" spans="1:7" ht="24" customHeight="1" outlineLevel="2" x14ac:dyDescent="0.2">
      <c r="A10348" s="14" t="s">
        <v>20355</v>
      </c>
      <c r="B10348" s="15" t="s">
        <v>20356</v>
      </c>
      <c r="C10348" s="16">
        <f>230.82/(1+B2)</f>
        <v>230.82</v>
      </c>
      <c r="D10348" s="17" t="s">
        <v>11</v>
      </c>
      <c r="E10348" s="17"/>
      <c r="F10348" s="18"/>
      <c r="G10348" s="36" t="str">
        <f>IF(ISNUMBER(F10348),C10348*F10348,"")</f>
        <v/>
      </c>
    </row>
    <row r="10349" spans="1:7" ht="12" customHeight="1" outlineLevel="2" x14ac:dyDescent="0.2">
      <c r="A10349" s="14" t="s">
        <v>20357</v>
      </c>
      <c r="B10349" s="15" t="s">
        <v>20358</v>
      </c>
      <c r="C10349" s="16">
        <f>21.41/(1+B2)</f>
        <v>21.41</v>
      </c>
      <c r="D10349" s="17" t="s">
        <v>11</v>
      </c>
      <c r="E10349" s="17"/>
      <c r="F10349" s="18"/>
      <c r="G10349" s="36" t="str">
        <f>IF(ISNUMBER(F10349),C10349*F10349,"")</f>
        <v/>
      </c>
    </row>
    <row r="10350" spans="1:7" ht="24" customHeight="1" outlineLevel="2" x14ac:dyDescent="0.2">
      <c r="A10350" s="14" t="s">
        <v>20359</v>
      </c>
      <c r="B10350" s="15" t="s">
        <v>20360</v>
      </c>
      <c r="C10350" s="16">
        <f>180.53/(1+B2)</f>
        <v>180.53</v>
      </c>
      <c r="D10350" s="17" t="s">
        <v>11</v>
      </c>
      <c r="E10350" s="17"/>
      <c r="F10350" s="18"/>
      <c r="G10350" s="36" t="str">
        <f>IF(ISNUMBER(F10350),C10350*F10350,"")</f>
        <v/>
      </c>
    </row>
    <row r="10351" spans="1:7" ht="24" customHeight="1" outlineLevel="2" x14ac:dyDescent="0.2">
      <c r="A10351" s="14" t="s">
        <v>20361</v>
      </c>
      <c r="B10351" s="15" t="s">
        <v>20362</v>
      </c>
      <c r="C10351" s="16">
        <f>175.99/(1+B2)</f>
        <v>175.99</v>
      </c>
      <c r="D10351" s="17" t="s">
        <v>11</v>
      </c>
      <c r="E10351" s="17"/>
      <c r="F10351" s="18"/>
      <c r="G10351" s="36" t="str">
        <f>IF(ISNUMBER(F10351),C10351*F10351,"")</f>
        <v/>
      </c>
    </row>
    <row r="10352" spans="1:7" ht="24" customHeight="1" outlineLevel="2" x14ac:dyDescent="0.2">
      <c r="A10352" s="14" t="s">
        <v>20363</v>
      </c>
      <c r="B10352" s="15" t="s">
        <v>20364</v>
      </c>
      <c r="C10352" s="16">
        <f>52.42/(1+B2)</f>
        <v>52.42</v>
      </c>
      <c r="D10352" s="17" t="s">
        <v>11</v>
      </c>
      <c r="E10352" s="17"/>
      <c r="F10352" s="18"/>
      <c r="G10352" s="36" t="str">
        <f>IF(ISNUMBER(F10352),C10352*F10352,"")</f>
        <v/>
      </c>
    </row>
    <row r="10353" spans="1:7" ht="24" customHeight="1" outlineLevel="2" x14ac:dyDescent="0.2">
      <c r="A10353" s="14" t="s">
        <v>20365</v>
      </c>
      <c r="B10353" s="15" t="s">
        <v>20366</v>
      </c>
      <c r="C10353" s="16">
        <f>66.98/(1+B2)</f>
        <v>66.98</v>
      </c>
      <c r="D10353" s="17" t="s">
        <v>11</v>
      </c>
      <c r="E10353" s="17"/>
      <c r="F10353" s="18"/>
      <c r="G10353" s="36" t="str">
        <f>IF(ISNUMBER(F10353),C10353*F10353,"")</f>
        <v/>
      </c>
    </row>
    <row r="10354" spans="1:7" ht="12" customHeight="1" outlineLevel="2" x14ac:dyDescent="0.2">
      <c r="A10354" s="14" t="s">
        <v>20367</v>
      </c>
      <c r="B10354" s="15" t="s">
        <v>20368</v>
      </c>
      <c r="C10354" s="16">
        <f>36.88/(1+B2)</f>
        <v>36.880000000000003</v>
      </c>
      <c r="D10354" s="17" t="s">
        <v>11</v>
      </c>
      <c r="E10354" s="17"/>
      <c r="F10354" s="18"/>
      <c r="G10354" s="36" t="str">
        <f>IF(ISNUMBER(F10354),C10354*F10354,"")</f>
        <v/>
      </c>
    </row>
    <row r="10355" spans="1:7" ht="12" customHeight="1" outlineLevel="2" x14ac:dyDescent="0.2">
      <c r="A10355" s="14" t="s">
        <v>20369</v>
      </c>
      <c r="B10355" s="15" t="s">
        <v>20370</v>
      </c>
      <c r="C10355" s="16">
        <f>31.49/(1+B2)</f>
        <v>31.49</v>
      </c>
      <c r="D10355" s="17" t="s">
        <v>11</v>
      </c>
      <c r="E10355" s="17"/>
      <c r="F10355" s="18"/>
      <c r="G10355" s="36" t="str">
        <f>IF(ISNUMBER(F10355),C10355*F10355,"")</f>
        <v/>
      </c>
    </row>
    <row r="10356" spans="1:7" ht="12" customHeight="1" outlineLevel="2" x14ac:dyDescent="0.2">
      <c r="A10356" s="14" t="s">
        <v>20371</v>
      </c>
      <c r="B10356" s="15" t="s">
        <v>20372</v>
      </c>
      <c r="C10356" s="16">
        <f>40.3/(1+B2)</f>
        <v>40.299999999999997</v>
      </c>
      <c r="D10356" s="17" t="s">
        <v>11</v>
      </c>
      <c r="E10356" s="17"/>
      <c r="F10356" s="18"/>
      <c r="G10356" s="36" t="str">
        <f>IF(ISNUMBER(F10356),C10356*F10356,"")</f>
        <v/>
      </c>
    </row>
    <row r="10357" spans="1:7" ht="12" customHeight="1" outlineLevel="2" x14ac:dyDescent="0.2">
      <c r="A10357" s="14" t="s">
        <v>20373</v>
      </c>
      <c r="B10357" s="15" t="s">
        <v>20374</v>
      </c>
      <c r="C10357" s="16">
        <f>49.5/(1+B2)</f>
        <v>49.5</v>
      </c>
      <c r="D10357" s="17" t="s">
        <v>11</v>
      </c>
      <c r="E10357" s="17"/>
      <c r="F10357" s="18"/>
      <c r="G10357" s="36" t="str">
        <f>IF(ISNUMBER(F10357),C10357*F10357,"")</f>
        <v/>
      </c>
    </row>
    <row r="10358" spans="1:7" ht="12" customHeight="1" outlineLevel="2" x14ac:dyDescent="0.2">
      <c r="A10358" s="14" t="s">
        <v>20375</v>
      </c>
      <c r="B10358" s="15" t="s">
        <v>20376</v>
      </c>
      <c r="C10358" s="16">
        <f>66.78/(1+B2)</f>
        <v>66.78</v>
      </c>
      <c r="D10358" s="17" t="s">
        <v>11</v>
      </c>
      <c r="E10358" s="17" t="s">
        <v>11</v>
      </c>
      <c r="F10358" s="18"/>
      <c r="G10358" s="36" t="str">
        <f>IF(ISNUMBER(F10358),C10358*F10358,"")</f>
        <v/>
      </c>
    </row>
    <row r="10359" spans="1:7" ht="12" customHeight="1" outlineLevel="2" x14ac:dyDescent="0.2">
      <c r="A10359" s="14" t="s">
        <v>20377</v>
      </c>
      <c r="B10359" s="15" t="s">
        <v>20378</v>
      </c>
      <c r="C10359" s="16">
        <f>74.86/(1+B2)</f>
        <v>74.86</v>
      </c>
      <c r="D10359" s="17" t="s">
        <v>11</v>
      </c>
      <c r="E10359" s="17" t="s">
        <v>11</v>
      </c>
      <c r="F10359" s="18"/>
      <c r="G10359" s="36" t="str">
        <f>IF(ISNUMBER(F10359),C10359*F10359,"")</f>
        <v/>
      </c>
    </row>
    <row r="10360" spans="1:7" ht="12" customHeight="1" outlineLevel="2" x14ac:dyDescent="0.2">
      <c r="A10360" s="14" t="s">
        <v>20379</v>
      </c>
      <c r="B10360" s="15" t="s">
        <v>20380</v>
      </c>
      <c r="C10360" s="16">
        <f>122.38/(1+B2)</f>
        <v>122.38</v>
      </c>
      <c r="D10360" s="17" t="s">
        <v>11</v>
      </c>
      <c r="E10360" s="17"/>
      <c r="F10360" s="18"/>
      <c r="G10360" s="36" t="str">
        <f>IF(ISNUMBER(F10360),C10360*F10360,"")</f>
        <v/>
      </c>
    </row>
    <row r="10361" spans="1:7" ht="24" customHeight="1" outlineLevel="2" x14ac:dyDescent="0.2">
      <c r="A10361" s="14" t="s">
        <v>20381</v>
      </c>
      <c r="B10361" s="15" t="s">
        <v>20382</v>
      </c>
      <c r="C10361" s="16">
        <f>147.31/(1+B2)</f>
        <v>147.31</v>
      </c>
      <c r="D10361" s="17" t="s">
        <v>11</v>
      </c>
      <c r="E10361" s="17"/>
      <c r="F10361" s="18"/>
      <c r="G10361" s="36" t="str">
        <f>IF(ISNUMBER(F10361),C10361*F10361,"")</f>
        <v/>
      </c>
    </row>
    <row r="10362" spans="1:7" ht="12" customHeight="1" outlineLevel="2" x14ac:dyDescent="0.2">
      <c r="A10362" s="14" t="s">
        <v>20383</v>
      </c>
      <c r="B10362" s="15" t="s">
        <v>20384</v>
      </c>
      <c r="C10362" s="16">
        <f>47.1/(1+B2)</f>
        <v>47.1</v>
      </c>
      <c r="D10362" s="17" t="s">
        <v>11</v>
      </c>
      <c r="E10362" s="17" t="s">
        <v>11</v>
      </c>
      <c r="F10362" s="18"/>
      <c r="G10362" s="36" t="str">
        <f>IF(ISNUMBER(F10362),C10362*F10362,"")</f>
        <v/>
      </c>
    </row>
    <row r="10363" spans="1:7" ht="12" customHeight="1" outlineLevel="2" x14ac:dyDescent="0.2">
      <c r="A10363" s="14" t="s">
        <v>20385</v>
      </c>
      <c r="B10363" s="15" t="s">
        <v>20386</v>
      </c>
      <c r="C10363" s="16">
        <f>58.15/(1+B2)</f>
        <v>58.15</v>
      </c>
      <c r="D10363" s="17" t="s">
        <v>11</v>
      </c>
      <c r="E10363" s="17"/>
      <c r="F10363" s="18"/>
      <c r="G10363" s="36" t="str">
        <f>IF(ISNUMBER(F10363),C10363*F10363,"")</f>
        <v/>
      </c>
    </row>
    <row r="10364" spans="1:7" ht="12" customHeight="1" outlineLevel="2" x14ac:dyDescent="0.2">
      <c r="A10364" s="14" t="s">
        <v>20387</v>
      </c>
      <c r="B10364" s="15" t="s">
        <v>20388</v>
      </c>
      <c r="C10364" s="16">
        <f>42.42/(1+B2)</f>
        <v>42.42</v>
      </c>
      <c r="D10364" s="17" t="s">
        <v>11</v>
      </c>
      <c r="E10364" s="17"/>
      <c r="F10364" s="18"/>
      <c r="G10364" s="36" t="str">
        <f>IF(ISNUMBER(F10364),C10364*F10364,"")</f>
        <v/>
      </c>
    </row>
    <row r="10365" spans="1:7" ht="12" customHeight="1" outlineLevel="2" x14ac:dyDescent="0.2">
      <c r="A10365" s="14" t="s">
        <v>20389</v>
      </c>
      <c r="B10365" s="15" t="s">
        <v>20390</v>
      </c>
      <c r="C10365" s="16">
        <f>33.24/(1+B2)</f>
        <v>33.24</v>
      </c>
      <c r="D10365" s="17" t="s">
        <v>11</v>
      </c>
      <c r="E10365" s="17" t="s">
        <v>11</v>
      </c>
      <c r="F10365" s="18"/>
      <c r="G10365" s="36" t="str">
        <f>IF(ISNUMBER(F10365),C10365*F10365,"")</f>
        <v/>
      </c>
    </row>
    <row r="10366" spans="1:7" ht="12" customHeight="1" outlineLevel="2" x14ac:dyDescent="0.2">
      <c r="A10366" s="14" t="s">
        <v>20391</v>
      </c>
      <c r="B10366" s="15" t="s">
        <v>20392</v>
      </c>
      <c r="C10366" s="16">
        <f>47.74/(1+B2)</f>
        <v>47.74</v>
      </c>
      <c r="D10366" s="17" t="s">
        <v>14</v>
      </c>
      <c r="E10366" s="17"/>
      <c r="F10366" s="18"/>
      <c r="G10366" s="36" t="str">
        <f>IF(ISNUMBER(F10366),C10366*F10366,"")</f>
        <v/>
      </c>
    </row>
    <row r="10367" spans="1:7" ht="24" customHeight="1" outlineLevel="2" x14ac:dyDescent="0.2">
      <c r="A10367" s="14" t="s">
        <v>20393</v>
      </c>
      <c r="B10367" s="15" t="s">
        <v>20394</v>
      </c>
      <c r="C10367" s="16">
        <f>52.42/(1+B2)</f>
        <v>52.42</v>
      </c>
      <c r="D10367" s="17" t="s">
        <v>11</v>
      </c>
      <c r="E10367" s="17" t="s">
        <v>11</v>
      </c>
      <c r="F10367" s="18"/>
      <c r="G10367" s="36" t="str">
        <f>IF(ISNUMBER(F10367),C10367*F10367,"")</f>
        <v/>
      </c>
    </row>
    <row r="10368" spans="1:7" ht="12" customHeight="1" outlineLevel="2" x14ac:dyDescent="0.2">
      <c r="A10368" s="14" t="s">
        <v>20395</v>
      </c>
      <c r="B10368" s="15" t="s">
        <v>20396</v>
      </c>
      <c r="C10368" s="16">
        <f>69.66/(1+B2)</f>
        <v>69.66</v>
      </c>
      <c r="D10368" s="17" t="s">
        <v>14</v>
      </c>
      <c r="E10368" s="17"/>
      <c r="F10368" s="18"/>
      <c r="G10368" s="36" t="str">
        <f>IF(ISNUMBER(F10368),C10368*F10368,"")</f>
        <v/>
      </c>
    </row>
    <row r="10369" spans="1:7" ht="24" customHeight="1" outlineLevel="2" x14ac:dyDescent="0.2">
      <c r="A10369" s="14" t="s">
        <v>20397</v>
      </c>
      <c r="B10369" s="15" t="s">
        <v>20398</v>
      </c>
      <c r="C10369" s="16">
        <f>159.32/(1+B2)</f>
        <v>159.32</v>
      </c>
      <c r="D10369" s="17" t="s">
        <v>11</v>
      </c>
      <c r="E10369" s="17"/>
      <c r="F10369" s="18"/>
      <c r="G10369" s="36" t="str">
        <f>IF(ISNUMBER(F10369),C10369*F10369,"")</f>
        <v/>
      </c>
    </row>
    <row r="10370" spans="1:7" ht="12" customHeight="1" outlineLevel="2" x14ac:dyDescent="0.2">
      <c r="A10370" s="14" t="s">
        <v>20399</v>
      </c>
      <c r="B10370" s="15" t="s">
        <v>20400</v>
      </c>
      <c r="C10370" s="16">
        <f>159.32/(1+B2)</f>
        <v>159.32</v>
      </c>
      <c r="D10370" s="17" t="s">
        <v>11</v>
      </c>
      <c r="E10370" s="17"/>
      <c r="F10370" s="18"/>
      <c r="G10370" s="36" t="str">
        <f>IF(ISNUMBER(F10370),C10370*F10370,"")</f>
        <v/>
      </c>
    </row>
    <row r="10371" spans="1:7" ht="24" customHeight="1" outlineLevel="2" x14ac:dyDescent="0.2">
      <c r="A10371" s="14" t="s">
        <v>20401</v>
      </c>
      <c r="B10371" s="15" t="s">
        <v>20402</v>
      </c>
      <c r="C10371" s="16">
        <f>90.22/(1+B2)</f>
        <v>90.22</v>
      </c>
      <c r="D10371" s="17" t="s">
        <v>11</v>
      </c>
      <c r="E10371" s="17" t="s">
        <v>11</v>
      </c>
      <c r="F10371" s="18"/>
      <c r="G10371" s="36" t="str">
        <f>IF(ISNUMBER(F10371),C10371*F10371,"")</f>
        <v/>
      </c>
    </row>
    <row r="10372" spans="1:7" ht="12" customHeight="1" outlineLevel="2" x14ac:dyDescent="0.2">
      <c r="A10372" s="14" t="s">
        <v>20403</v>
      </c>
      <c r="B10372" s="15" t="s">
        <v>20404</v>
      </c>
      <c r="C10372" s="16">
        <f>62.07/(1+B2)</f>
        <v>62.07</v>
      </c>
      <c r="D10372" s="17" t="s">
        <v>11</v>
      </c>
      <c r="E10372" s="17" t="s">
        <v>11</v>
      </c>
      <c r="F10372" s="18"/>
      <c r="G10372" s="36" t="str">
        <f>IF(ISNUMBER(F10372),C10372*F10372,"")</f>
        <v/>
      </c>
    </row>
    <row r="10373" spans="1:7" ht="12" customHeight="1" outlineLevel="2" x14ac:dyDescent="0.2">
      <c r="A10373" s="14" t="s">
        <v>20405</v>
      </c>
      <c r="B10373" s="15" t="s">
        <v>20406</v>
      </c>
      <c r="C10373" s="16">
        <f>30/(1+B2)</f>
        <v>30</v>
      </c>
      <c r="D10373" s="17" t="s">
        <v>11</v>
      </c>
      <c r="E10373" s="17"/>
      <c r="F10373" s="18"/>
      <c r="G10373" s="36" t="str">
        <f>IF(ISNUMBER(F10373),C10373*F10373,"")</f>
        <v/>
      </c>
    </row>
    <row r="10374" spans="1:7" ht="12" customHeight="1" outlineLevel="2" x14ac:dyDescent="0.2">
      <c r="A10374" s="14" t="s">
        <v>20407</v>
      </c>
      <c r="B10374" s="15" t="s">
        <v>20408</v>
      </c>
      <c r="C10374" s="16">
        <f>30/(1+B2)</f>
        <v>30</v>
      </c>
      <c r="D10374" s="17" t="s">
        <v>11</v>
      </c>
      <c r="E10374" s="17"/>
      <c r="F10374" s="18"/>
      <c r="G10374" s="36" t="str">
        <f>IF(ISNUMBER(F10374),C10374*F10374,"")</f>
        <v/>
      </c>
    </row>
    <row r="10375" spans="1:7" ht="12" customHeight="1" outlineLevel="2" x14ac:dyDescent="0.2">
      <c r="A10375" s="14" t="s">
        <v>20409</v>
      </c>
      <c r="B10375" s="15" t="s">
        <v>20410</v>
      </c>
      <c r="C10375" s="16">
        <f>30/(1+B2)</f>
        <v>30</v>
      </c>
      <c r="D10375" s="17" t="s">
        <v>11</v>
      </c>
      <c r="E10375" s="17"/>
      <c r="F10375" s="18"/>
      <c r="G10375" s="36" t="str">
        <f>IF(ISNUMBER(F10375),C10375*F10375,"")</f>
        <v/>
      </c>
    </row>
    <row r="10376" spans="1:7" ht="12" customHeight="1" outlineLevel="2" x14ac:dyDescent="0.2">
      <c r="A10376" s="14" t="s">
        <v>20411</v>
      </c>
      <c r="B10376" s="15" t="s">
        <v>20412</v>
      </c>
      <c r="C10376" s="16">
        <f>66.23/(1+B2)</f>
        <v>66.23</v>
      </c>
      <c r="D10376" s="17" t="s">
        <v>11</v>
      </c>
      <c r="E10376" s="17"/>
      <c r="F10376" s="18"/>
      <c r="G10376" s="36" t="str">
        <f>IF(ISNUMBER(F10376),C10376*F10376,"")</f>
        <v/>
      </c>
    </row>
    <row r="10377" spans="1:7" ht="12" customHeight="1" outlineLevel="2" x14ac:dyDescent="0.2">
      <c r="A10377" s="14" t="s">
        <v>20413</v>
      </c>
      <c r="B10377" s="15" t="s">
        <v>20414</v>
      </c>
      <c r="C10377" s="16">
        <f>67.37/(1+B2)</f>
        <v>67.37</v>
      </c>
      <c r="D10377" s="17" t="s">
        <v>11</v>
      </c>
      <c r="E10377" s="17"/>
      <c r="F10377" s="18"/>
      <c r="G10377" s="36" t="str">
        <f>IF(ISNUMBER(F10377),C10377*F10377,"")</f>
        <v/>
      </c>
    </row>
    <row r="10378" spans="1:7" s="1" customFormat="1" ht="15.95" customHeight="1" x14ac:dyDescent="0.25">
      <c r="A10378" s="8"/>
      <c r="B10378" s="9" t="s">
        <v>20415</v>
      </c>
      <c r="C10378" s="10"/>
      <c r="D10378" s="10"/>
      <c r="E10378" s="10"/>
      <c r="F10378" s="10"/>
      <c r="G10378" s="34"/>
    </row>
    <row r="10379" spans="1:7" s="1" customFormat="1" ht="15.95" customHeight="1" outlineLevel="1" x14ac:dyDescent="0.25">
      <c r="A10379" s="11"/>
      <c r="B10379" s="12" t="s">
        <v>20416</v>
      </c>
      <c r="C10379" s="13"/>
      <c r="D10379" s="13"/>
      <c r="E10379" s="13"/>
      <c r="F10379" s="13"/>
      <c r="G10379" s="35"/>
    </row>
    <row r="10380" spans="1:7" ht="24" customHeight="1" outlineLevel="2" x14ac:dyDescent="0.2">
      <c r="A10380" s="14" t="s">
        <v>20417</v>
      </c>
      <c r="B10380" s="15" t="s">
        <v>20418</v>
      </c>
      <c r="C10380" s="19">
        <f>1066.32/(1+B2)</f>
        <v>1066.32</v>
      </c>
      <c r="D10380" s="17" t="s">
        <v>11</v>
      </c>
      <c r="E10380" s="17"/>
      <c r="F10380" s="18"/>
      <c r="G10380" s="36" t="str">
        <f>IF(ISNUMBER(F10380),C10380*F10380,"")</f>
        <v/>
      </c>
    </row>
    <row r="10381" spans="1:7" ht="24" customHeight="1" outlineLevel="2" x14ac:dyDescent="0.2">
      <c r="A10381" s="14" t="s">
        <v>20419</v>
      </c>
      <c r="B10381" s="15" t="s">
        <v>20420</v>
      </c>
      <c r="C10381" s="16">
        <f>414.69/(1+B2)</f>
        <v>414.69</v>
      </c>
      <c r="D10381" s="17" t="s">
        <v>11</v>
      </c>
      <c r="E10381" s="17"/>
      <c r="F10381" s="18"/>
      <c r="G10381" s="36" t="str">
        <f>IF(ISNUMBER(F10381),C10381*F10381,"")</f>
        <v/>
      </c>
    </row>
    <row r="10382" spans="1:7" s="1" customFormat="1" ht="15.95" customHeight="1" outlineLevel="1" x14ac:dyDescent="0.25">
      <c r="A10382" s="11"/>
      <c r="B10382" s="12" t="s">
        <v>20421</v>
      </c>
      <c r="C10382" s="13"/>
      <c r="D10382" s="13"/>
      <c r="E10382" s="13"/>
      <c r="F10382" s="13"/>
      <c r="G10382" s="35"/>
    </row>
    <row r="10383" spans="1:7" ht="12" customHeight="1" outlineLevel="2" x14ac:dyDescent="0.2">
      <c r="A10383" s="14" t="s">
        <v>20422</v>
      </c>
      <c r="B10383" s="15" t="s">
        <v>20423</v>
      </c>
      <c r="C10383" s="16">
        <f>138.43/(1+B2)</f>
        <v>138.43</v>
      </c>
      <c r="D10383" s="17" t="s">
        <v>14</v>
      </c>
      <c r="E10383" s="17"/>
      <c r="F10383" s="18"/>
      <c r="G10383" s="36" t="str">
        <f>IF(ISNUMBER(F10383),C10383*F10383,"")</f>
        <v/>
      </c>
    </row>
    <row r="10384" spans="1:7" ht="12" customHeight="1" outlineLevel="2" x14ac:dyDescent="0.2">
      <c r="A10384" s="14" t="s">
        <v>20424</v>
      </c>
      <c r="B10384" s="15" t="s">
        <v>20425</v>
      </c>
      <c r="C10384" s="16">
        <f>439.64/(1+B2)</f>
        <v>439.64</v>
      </c>
      <c r="D10384" s="17" t="s">
        <v>11</v>
      </c>
      <c r="E10384" s="17"/>
      <c r="F10384" s="18"/>
      <c r="G10384" s="36" t="str">
        <f>IF(ISNUMBER(F10384),C10384*F10384,"")</f>
        <v/>
      </c>
    </row>
    <row r="10385" spans="1:7" ht="12" customHeight="1" outlineLevel="2" x14ac:dyDescent="0.2">
      <c r="A10385" s="14" t="s">
        <v>20426</v>
      </c>
      <c r="B10385" s="15" t="s">
        <v>20427</v>
      </c>
      <c r="C10385" s="16">
        <f>342.44/(1+B2)</f>
        <v>342.44</v>
      </c>
      <c r="D10385" s="17" t="s">
        <v>11</v>
      </c>
      <c r="E10385" s="17" t="s">
        <v>11</v>
      </c>
      <c r="F10385" s="18"/>
      <c r="G10385" s="36" t="str">
        <f>IF(ISNUMBER(F10385),C10385*F10385,"")</f>
        <v/>
      </c>
    </row>
    <row r="10386" spans="1:7" ht="12" customHeight="1" outlineLevel="2" x14ac:dyDescent="0.2">
      <c r="A10386" s="14" t="s">
        <v>20428</v>
      </c>
      <c r="B10386" s="15" t="s">
        <v>20429</v>
      </c>
      <c r="C10386" s="16">
        <f>35.99/(1+B2)</f>
        <v>35.99</v>
      </c>
      <c r="D10386" s="17" t="s">
        <v>14</v>
      </c>
      <c r="E10386" s="17"/>
      <c r="F10386" s="18"/>
      <c r="G10386" s="36" t="str">
        <f>IF(ISNUMBER(F10386),C10386*F10386,"")</f>
        <v/>
      </c>
    </row>
    <row r="10387" spans="1:7" ht="12" customHeight="1" outlineLevel="2" x14ac:dyDescent="0.2">
      <c r="A10387" s="14" t="s">
        <v>20430</v>
      </c>
      <c r="B10387" s="15" t="s">
        <v>20431</v>
      </c>
      <c r="C10387" s="16">
        <f>36.54/(1+B2)</f>
        <v>36.54</v>
      </c>
      <c r="D10387" s="17" t="s">
        <v>11</v>
      </c>
      <c r="E10387" s="17" t="s">
        <v>14</v>
      </c>
      <c r="F10387" s="18"/>
      <c r="G10387" s="36" t="str">
        <f>IF(ISNUMBER(F10387),C10387*F10387,"")</f>
        <v/>
      </c>
    </row>
    <row r="10388" spans="1:7" ht="24" customHeight="1" outlineLevel="2" x14ac:dyDescent="0.2">
      <c r="A10388" s="14" t="s">
        <v>20432</v>
      </c>
      <c r="B10388" s="15" t="s">
        <v>20433</v>
      </c>
      <c r="C10388" s="16">
        <f>68.33/(1+B2)</f>
        <v>68.33</v>
      </c>
      <c r="D10388" s="17" t="s">
        <v>11</v>
      </c>
      <c r="E10388" s="17" t="s">
        <v>11</v>
      </c>
      <c r="F10388" s="18"/>
      <c r="G10388" s="36" t="str">
        <f>IF(ISNUMBER(F10388),C10388*F10388,"")</f>
        <v/>
      </c>
    </row>
    <row r="10389" spans="1:7" ht="12" customHeight="1" outlineLevel="2" x14ac:dyDescent="0.2">
      <c r="A10389" s="14" t="s">
        <v>20434</v>
      </c>
      <c r="B10389" s="15" t="s">
        <v>20435</v>
      </c>
      <c r="C10389" s="16">
        <f>139.14/(1+B2)</f>
        <v>139.13999999999999</v>
      </c>
      <c r="D10389" s="17" t="s">
        <v>11</v>
      </c>
      <c r="E10389" s="17" t="s">
        <v>11</v>
      </c>
      <c r="F10389" s="18"/>
      <c r="G10389" s="36" t="str">
        <f>IF(ISNUMBER(F10389),C10389*F10389,"")</f>
        <v/>
      </c>
    </row>
    <row r="10390" spans="1:7" ht="12" customHeight="1" outlineLevel="2" x14ac:dyDescent="0.2">
      <c r="A10390" s="14" t="s">
        <v>20436</v>
      </c>
      <c r="B10390" s="15" t="s">
        <v>20437</v>
      </c>
      <c r="C10390" s="16">
        <f>162.13/(1+B2)</f>
        <v>162.13</v>
      </c>
      <c r="D10390" s="17" t="s">
        <v>11</v>
      </c>
      <c r="E10390" s="17" t="s">
        <v>11</v>
      </c>
      <c r="F10390" s="18"/>
      <c r="G10390" s="36" t="str">
        <f>IF(ISNUMBER(F10390),C10390*F10390,"")</f>
        <v/>
      </c>
    </row>
    <row r="10391" spans="1:7" ht="12" customHeight="1" outlineLevel="2" x14ac:dyDescent="0.2">
      <c r="A10391" s="14" t="s">
        <v>20438</v>
      </c>
      <c r="B10391" s="15" t="s">
        <v>20439</v>
      </c>
      <c r="C10391" s="16">
        <f>14.64/(1+B2)</f>
        <v>14.64</v>
      </c>
      <c r="D10391" s="17" t="s">
        <v>14</v>
      </c>
      <c r="E10391" s="17"/>
      <c r="F10391" s="18"/>
      <c r="G10391" s="36" t="str">
        <f>IF(ISNUMBER(F10391),C10391*F10391,"")</f>
        <v/>
      </c>
    </row>
    <row r="10392" spans="1:7" ht="12" customHeight="1" outlineLevel="2" x14ac:dyDescent="0.2">
      <c r="A10392" s="14" t="s">
        <v>20440</v>
      </c>
      <c r="B10392" s="15" t="s">
        <v>20441</v>
      </c>
      <c r="C10392" s="16">
        <f>35.99/(1+B2)</f>
        <v>35.99</v>
      </c>
      <c r="D10392" s="17" t="s">
        <v>14</v>
      </c>
      <c r="E10392" s="17" t="s">
        <v>106</v>
      </c>
      <c r="F10392" s="18"/>
      <c r="G10392" s="36" t="str">
        <f>IF(ISNUMBER(F10392),C10392*F10392,"")</f>
        <v/>
      </c>
    </row>
    <row r="10393" spans="1:7" ht="12" customHeight="1" outlineLevel="2" x14ac:dyDescent="0.2">
      <c r="A10393" s="14" t="s">
        <v>20442</v>
      </c>
      <c r="B10393" s="15" t="s">
        <v>20443</v>
      </c>
      <c r="C10393" s="16">
        <f>42.98/(1+B2)</f>
        <v>42.98</v>
      </c>
      <c r="D10393" s="17" t="s">
        <v>14</v>
      </c>
      <c r="E10393" s="17" t="s">
        <v>106</v>
      </c>
      <c r="F10393" s="18"/>
      <c r="G10393" s="36" t="str">
        <f>IF(ISNUMBER(F10393),C10393*F10393,"")</f>
        <v/>
      </c>
    </row>
    <row r="10394" spans="1:7" ht="12" customHeight="1" outlineLevel="2" x14ac:dyDescent="0.2">
      <c r="A10394" s="14" t="s">
        <v>20444</v>
      </c>
      <c r="B10394" s="15" t="s">
        <v>20445</v>
      </c>
      <c r="C10394" s="16">
        <f>26.79/(1+B2)</f>
        <v>26.79</v>
      </c>
      <c r="D10394" s="17" t="s">
        <v>14</v>
      </c>
      <c r="E10394" s="17"/>
      <c r="F10394" s="18"/>
      <c r="G10394" s="36" t="str">
        <f>IF(ISNUMBER(F10394),C10394*F10394,"")</f>
        <v/>
      </c>
    </row>
    <row r="10395" spans="1:7" ht="12" customHeight="1" outlineLevel="2" x14ac:dyDescent="0.2">
      <c r="A10395" s="14" t="s">
        <v>20446</v>
      </c>
      <c r="B10395" s="15" t="s">
        <v>20447</v>
      </c>
      <c r="C10395" s="16">
        <f>90.05/(1+B2)</f>
        <v>90.05</v>
      </c>
      <c r="D10395" s="17" t="s">
        <v>11</v>
      </c>
      <c r="E10395" s="17"/>
      <c r="F10395" s="18"/>
      <c r="G10395" s="36" t="str">
        <f>IF(ISNUMBER(F10395),C10395*F10395,"")</f>
        <v/>
      </c>
    </row>
    <row r="10396" spans="1:7" ht="12" customHeight="1" outlineLevel="2" x14ac:dyDescent="0.2">
      <c r="A10396" s="14" t="s">
        <v>20448</v>
      </c>
      <c r="B10396" s="15" t="s">
        <v>20449</v>
      </c>
      <c r="C10396" s="16">
        <f>167.42/(1+B2)</f>
        <v>167.42</v>
      </c>
      <c r="D10396" s="17" t="s">
        <v>11</v>
      </c>
      <c r="E10396" s="17"/>
      <c r="F10396" s="18"/>
      <c r="G10396" s="36" t="str">
        <f>IF(ISNUMBER(F10396),C10396*F10396,"")</f>
        <v/>
      </c>
    </row>
    <row r="10397" spans="1:7" ht="12" customHeight="1" outlineLevel="2" x14ac:dyDescent="0.2">
      <c r="A10397" s="14" t="s">
        <v>20450</v>
      </c>
      <c r="B10397" s="15" t="s">
        <v>20451</v>
      </c>
      <c r="C10397" s="16">
        <f>118.66/(1+B2)</f>
        <v>118.66</v>
      </c>
      <c r="D10397" s="17" t="s">
        <v>11</v>
      </c>
      <c r="E10397" s="17" t="s">
        <v>11</v>
      </c>
      <c r="F10397" s="18"/>
      <c r="G10397" s="36" t="str">
        <f>IF(ISNUMBER(F10397),C10397*F10397,"")</f>
        <v/>
      </c>
    </row>
    <row r="10398" spans="1:7" ht="24" customHeight="1" outlineLevel="2" x14ac:dyDescent="0.2">
      <c r="A10398" s="14" t="s">
        <v>20452</v>
      </c>
      <c r="B10398" s="15" t="s">
        <v>20453</v>
      </c>
      <c r="C10398" s="16">
        <f>112.52/(1+B2)</f>
        <v>112.52</v>
      </c>
      <c r="D10398" s="17" t="s">
        <v>11</v>
      </c>
      <c r="E10398" s="17" t="s">
        <v>11</v>
      </c>
      <c r="F10398" s="18"/>
      <c r="G10398" s="36" t="str">
        <f>IF(ISNUMBER(F10398),C10398*F10398,"")</f>
        <v/>
      </c>
    </row>
    <row r="10399" spans="1:7" ht="12" customHeight="1" outlineLevel="2" x14ac:dyDescent="0.2">
      <c r="A10399" s="14" t="s">
        <v>20454</v>
      </c>
      <c r="B10399" s="15" t="s">
        <v>20455</v>
      </c>
      <c r="C10399" s="16">
        <f>203.83/(1+B2)</f>
        <v>203.83</v>
      </c>
      <c r="D10399" s="17" t="s">
        <v>11</v>
      </c>
      <c r="E10399" s="17" t="s">
        <v>11</v>
      </c>
      <c r="F10399" s="18"/>
      <c r="G10399" s="36" t="str">
        <f>IF(ISNUMBER(F10399),C10399*F10399,"")</f>
        <v/>
      </c>
    </row>
    <row r="10400" spans="1:7" ht="24" customHeight="1" outlineLevel="2" x14ac:dyDescent="0.2">
      <c r="A10400" s="14" t="s">
        <v>20456</v>
      </c>
      <c r="B10400" s="15" t="s">
        <v>20457</v>
      </c>
      <c r="C10400" s="16">
        <f>243.46/(1+B2)</f>
        <v>243.46</v>
      </c>
      <c r="D10400" s="17" t="s">
        <v>11</v>
      </c>
      <c r="E10400" s="17"/>
      <c r="F10400" s="18"/>
      <c r="G10400" s="36" t="str">
        <f>IF(ISNUMBER(F10400),C10400*F10400,"")</f>
        <v/>
      </c>
    </row>
    <row r="10401" spans="1:7" ht="12" customHeight="1" outlineLevel="2" x14ac:dyDescent="0.2">
      <c r="A10401" s="14" t="s">
        <v>20458</v>
      </c>
      <c r="B10401" s="15" t="s">
        <v>20459</v>
      </c>
      <c r="C10401" s="16">
        <f>111.91/(1+B2)</f>
        <v>111.91</v>
      </c>
      <c r="D10401" s="17" t="s">
        <v>11</v>
      </c>
      <c r="E10401" s="17" t="s">
        <v>11</v>
      </c>
      <c r="F10401" s="18"/>
      <c r="G10401" s="36" t="str">
        <f>IF(ISNUMBER(F10401),C10401*F10401,"")</f>
        <v/>
      </c>
    </row>
    <row r="10402" spans="1:7" ht="24" customHeight="1" outlineLevel="2" x14ac:dyDescent="0.2">
      <c r="A10402" s="14" t="s">
        <v>20460</v>
      </c>
      <c r="B10402" s="15" t="s">
        <v>20461</v>
      </c>
      <c r="C10402" s="16">
        <f>172.86/(1+B2)</f>
        <v>172.86</v>
      </c>
      <c r="D10402" s="17" t="s">
        <v>11</v>
      </c>
      <c r="E10402" s="17"/>
      <c r="F10402" s="18"/>
      <c r="G10402" s="36" t="str">
        <f>IF(ISNUMBER(F10402),C10402*F10402,"")</f>
        <v/>
      </c>
    </row>
    <row r="10403" spans="1:7" ht="24" customHeight="1" outlineLevel="2" x14ac:dyDescent="0.2">
      <c r="A10403" s="14" t="s">
        <v>20462</v>
      </c>
      <c r="B10403" s="15" t="s">
        <v>20463</v>
      </c>
      <c r="C10403" s="16">
        <f>177.78/(1+B2)</f>
        <v>177.78</v>
      </c>
      <c r="D10403" s="17" t="s">
        <v>11</v>
      </c>
      <c r="E10403" s="17"/>
      <c r="F10403" s="18"/>
      <c r="G10403" s="36" t="str">
        <f>IF(ISNUMBER(F10403),C10403*F10403,"")</f>
        <v/>
      </c>
    </row>
    <row r="10404" spans="1:7" ht="24" customHeight="1" outlineLevel="2" x14ac:dyDescent="0.2">
      <c r="A10404" s="14" t="s">
        <v>20464</v>
      </c>
      <c r="B10404" s="15" t="s">
        <v>20465</v>
      </c>
      <c r="C10404" s="16">
        <f>175.4/(1+B2)</f>
        <v>175.4</v>
      </c>
      <c r="D10404" s="17" t="s">
        <v>11</v>
      </c>
      <c r="E10404" s="17"/>
      <c r="F10404" s="18"/>
      <c r="G10404" s="36" t="str">
        <f>IF(ISNUMBER(F10404),C10404*F10404,"")</f>
        <v/>
      </c>
    </row>
    <row r="10405" spans="1:7" ht="12" customHeight="1" outlineLevel="2" x14ac:dyDescent="0.2">
      <c r="A10405" s="14" t="s">
        <v>20466</v>
      </c>
      <c r="B10405" s="15" t="s">
        <v>20467</v>
      </c>
      <c r="C10405" s="16">
        <f>70.8/(1+B2)</f>
        <v>70.8</v>
      </c>
      <c r="D10405" s="17" t="s">
        <v>11</v>
      </c>
      <c r="E10405" s="17"/>
      <c r="F10405" s="18"/>
      <c r="G10405" s="36" t="str">
        <f>IF(ISNUMBER(F10405),C10405*F10405,"")</f>
        <v/>
      </c>
    </row>
    <row r="10406" spans="1:7" ht="12" customHeight="1" outlineLevel="2" x14ac:dyDescent="0.2">
      <c r="A10406" s="14" t="s">
        <v>20468</v>
      </c>
      <c r="B10406" s="15" t="s">
        <v>20469</v>
      </c>
      <c r="C10406" s="16">
        <f>167.48/(1+B2)</f>
        <v>167.48</v>
      </c>
      <c r="D10406" s="17" t="s">
        <v>11</v>
      </c>
      <c r="E10406" s="17"/>
      <c r="F10406" s="18"/>
      <c r="G10406" s="36" t="str">
        <f>IF(ISNUMBER(F10406),C10406*F10406,"")</f>
        <v/>
      </c>
    </row>
    <row r="10407" spans="1:7" ht="12" customHeight="1" outlineLevel="2" x14ac:dyDescent="0.2">
      <c r="A10407" s="14" t="s">
        <v>20470</v>
      </c>
      <c r="B10407" s="15" t="s">
        <v>20471</v>
      </c>
      <c r="C10407" s="16">
        <f>90.98/(1+B2)</f>
        <v>90.98</v>
      </c>
      <c r="D10407" s="17" t="s">
        <v>14</v>
      </c>
      <c r="E10407" s="17" t="s">
        <v>11</v>
      </c>
      <c r="F10407" s="18"/>
      <c r="G10407" s="36" t="str">
        <f>IF(ISNUMBER(F10407),C10407*F10407,"")</f>
        <v/>
      </c>
    </row>
    <row r="10408" spans="1:7" ht="24" customHeight="1" outlineLevel="2" x14ac:dyDescent="0.2">
      <c r="A10408" s="14" t="s">
        <v>20472</v>
      </c>
      <c r="B10408" s="15" t="s">
        <v>20473</v>
      </c>
      <c r="C10408" s="16">
        <f>219.3/(1+B2)</f>
        <v>219.3</v>
      </c>
      <c r="D10408" s="17" t="s">
        <v>11</v>
      </c>
      <c r="E10408" s="17"/>
      <c r="F10408" s="18"/>
      <c r="G10408" s="36" t="str">
        <f>IF(ISNUMBER(F10408),C10408*F10408,"")</f>
        <v/>
      </c>
    </row>
    <row r="10409" spans="1:7" ht="24" customHeight="1" outlineLevel="2" x14ac:dyDescent="0.2">
      <c r="A10409" s="14" t="s">
        <v>20474</v>
      </c>
      <c r="B10409" s="15" t="s">
        <v>20475</v>
      </c>
      <c r="C10409" s="16">
        <f>39.45/(1+B2)</f>
        <v>39.450000000000003</v>
      </c>
      <c r="D10409" s="17" t="s">
        <v>11</v>
      </c>
      <c r="E10409" s="17"/>
      <c r="F10409" s="18"/>
      <c r="G10409" s="36" t="str">
        <f>IF(ISNUMBER(F10409),C10409*F10409,"")</f>
        <v/>
      </c>
    </row>
    <row r="10410" spans="1:7" ht="24" customHeight="1" outlineLevel="2" x14ac:dyDescent="0.2">
      <c r="A10410" s="14" t="s">
        <v>20476</v>
      </c>
      <c r="B10410" s="15" t="s">
        <v>20477</v>
      </c>
      <c r="C10410" s="16">
        <f>39.45/(1+B2)</f>
        <v>39.450000000000003</v>
      </c>
      <c r="D10410" s="17" t="s">
        <v>53</v>
      </c>
      <c r="E10410" s="17"/>
      <c r="F10410" s="18"/>
      <c r="G10410" s="36" t="str">
        <f>IF(ISNUMBER(F10410),C10410*F10410,"")</f>
        <v/>
      </c>
    </row>
    <row r="10411" spans="1:7" ht="12" customHeight="1" outlineLevel="2" x14ac:dyDescent="0.2">
      <c r="A10411" s="14" t="s">
        <v>20478</v>
      </c>
      <c r="B10411" s="15" t="s">
        <v>20479</v>
      </c>
      <c r="C10411" s="16">
        <f>20/(1+B2)</f>
        <v>20</v>
      </c>
      <c r="D10411" s="17" t="s">
        <v>14</v>
      </c>
      <c r="E10411" s="17"/>
      <c r="F10411" s="18"/>
      <c r="G10411" s="36" t="str">
        <f>IF(ISNUMBER(F10411),C10411*F10411,"")</f>
        <v/>
      </c>
    </row>
    <row r="10412" spans="1:7" ht="12" customHeight="1" outlineLevel="2" x14ac:dyDescent="0.2">
      <c r="A10412" s="14" t="s">
        <v>20480</v>
      </c>
      <c r="B10412" s="15" t="s">
        <v>20481</v>
      </c>
      <c r="C10412" s="16">
        <f>30/(1+B2)</f>
        <v>30</v>
      </c>
      <c r="D10412" s="17" t="s">
        <v>11</v>
      </c>
      <c r="E10412" s="17"/>
      <c r="F10412" s="18"/>
      <c r="G10412" s="36" t="str">
        <f>IF(ISNUMBER(F10412),C10412*F10412,"")</f>
        <v/>
      </c>
    </row>
    <row r="10413" spans="1:7" ht="24" customHeight="1" outlineLevel="2" x14ac:dyDescent="0.2">
      <c r="A10413" s="14" t="s">
        <v>20482</v>
      </c>
      <c r="B10413" s="15" t="s">
        <v>20483</v>
      </c>
      <c r="C10413" s="16">
        <f>172.09/(1+B2)</f>
        <v>172.09</v>
      </c>
      <c r="D10413" s="17" t="s">
        <v>11</v>
      </c>
      <c r="E10413" s="17" t="s">
        <v>11</v>
      </c>
      <c r="F10413" s="18"/>
      <c r="G10413" s="36" t="str">
        <f>IF(ISNUMBER(F10413),C10413*F10413,"")</f>
        <v/>
      </c>
    </row>
    <row r="10414" spans="1:7" ht="24" customHeight="1" outlineLevel="2" x14ac:dyDescent="0.2">
      <c r="A10414" s="14" t="s">
        <v>20484</v>
      </c>
      <c r="B10414" s="15" t="s">
        <v>20485</v>
      </c>
      <c r="C10414" s="16">
        <f>129.06/(1+B2)</f>
        <v>129.06</v>
      </c>
      <c r="D10414" s="17" t="s">
        <v>11</v>
      </c>
      <c r="E10414" s="17"/>
      <c r="F10414" s="18"/>
      <c r="G10414" s="36" t="str">
        <f>IF(ISNUMBER(F10414),C10414*F10414,"")</f>
        <v/>
      </c>
    </row>
    <row r="10415" spans="1:7" ht="24" customHeight="1" outlineLevel="2" x14ac:dyDescent="0.2">
      <c r="A10415" s="14" t="s">
        <v>20486</v>
      </c>
      <c r="B10415" s="15" t="s">
        <v>20487</v>
      </c>
      <c r="C10415" s="16">
        <f>174.71/(1+B2)</f>
        <v>174.71</v>
      </c>
      <c r="D10415" s="17" t="s">
        <v>14</v>
      </c>
      <c r="E10415" s="17"/>
      <c r="F10415" s="18"/>
      <c r="G10415" s="36" t="str">
        <f>IF(ISNUMBER(F10415),C10415*F10415,"")</f>
        <v/>
      </c>
    </row>
    <row r="10416" spans="1:7" ht="12" customHeight="1" outlineLevel="2" x14ac:dyDescent="0.2">
      <c r="A10416" s="14" t="s">
        <v>20488</v>
      </c>
      <c r="B10416" s="15" t="s">
        <v>20489</v>
      </c>
      <c r="C10416" s="16">
        <f>109.27/(1+B2)</f>
        <v>109.27</v>
      </c>
      <c r="D10416" s="17" t="s">
        <v>14</v>
      </c>
      <c r="E10416" s="17"/>
      <c r="F10416" s="18"/>
      <c r="G10416" s="36" t="str">
        <f>IF(ISNUMBER(F10416),C10416*F10416,"")</f>
        <v/>
      </c>
    </row>
    <row r="10417" spans="1:7" ht="12" customHeight="1" outlineLevel="2" x14ac:dyDescent="0.2">
      <c r="A10417" s="14" t="s">
        <v>20490</v>
      </c>
      <c r="B10417" s="15" t="s">
        <v>20491</v>
      </c>
      <c r="C10417" s="16">
        <f>132.6/(1+B2)</f>
        <v>132.6</v>
      </c>
      <c r="D10417" s="17" t="s">
        <v>14</v>
      </c>
      <c r="E10417" s="17"/>
      <c r="F10417" s="18"/>
      <c r="G10417" s="36" t="str">
        <f>IF(ISNUMBER(F10417),C10417*F10417,"")</f>
        <v/>
      </c>
    </row>
    <row r="10418" spans="1:7" ht="12" customHeight="1" outlineLevel="2" x14ac:dyDescent="0.2">
      <c r="A10418" s="14" t="s">
        <v>20492</v>
      </c>
      <c r="B10418" s="15" t="s">
        <v>20493</v>
      </c>
      <c r="C10418" s="16">
        <f>284.66/(1+B2)</f>
        <v>284.66000000000003</v>
      </c>
      <c r="D10418" s="17" t="s">
        <v>14</v>
      </c>
      <c r="E10418" s="17"/>
      <c r="F10418" s="18"/>
      <c r="G10418" s="36" t="str">
        <f>IF(ISNUMBER(F10418),C10418*F10418,"")</f>
        <v/>
      </c>
    </row>
    <row r="10419" spans="1:7" ht="12" customHeight="1" outlineLevel="2" x14ac:dyDescent="0.2">
      <c r="A10419" s="14" t="s">
        <v>20494</v>
      </c>
      <c r="B10419" s="15" t="s">
        <v>20495</v>
      </c>
      <c r="C10419" s="16">
        <f>98.7/(1+B2)</f>
        <v>98.7</v>
      </c>
      <c r="D10419" s="17" t="s">
        <v>11</v>
      </c>
      <c r="E10419" s="17" t="s">
        <v>53</v>
      </c>
      <c r="F10419" s="18"/>
      <c r="G10419" s="36" t="str">
        <f>IF(ISNUMBER(F10419),C10419*F10419,"")</f>
        <v/>
      </c>
    </row>
    <row r="10420" spans="1:7" ht="12" customHeight="1" outlineLevel="2" x14ac:dyDescent="0.2">
      <c r="A10420" s="14" t="s">
        <v>20496</v>
      </c>
      <c r="B10420" s="15" t="s">
        <v>20497</v>
      </c>
      <c r="C10420" s="16">
        <f>105.6/(1+B2)</f>
        <v>105.6</v>
      </c>
      <c r="D10420" s="17" t="s">
        <v>11</v>
      </c>
      <c r="E10420" s="17"/>
      <c r="F10420" s="18"/>
      <c r="G10420" s="36" t="str">
        <f>IF(ISNUMBER(F10420),C10420*F10420,"")</f>
        <v/>
      </c>
    </row>
    <row r="10421" spans="1:7" ht="12" customHeight="1" outlineLevel="2" x14ac:dyDescent="0.2">
      <c r="A10421" s="14" t="s">
        <v>20498</v>
      </c>
      <c r="B10421" s="15" t="s">
        <v>20499</v>
      </c>
      <c r="C10421" s="16">
        <f>243.54/(1+B2)</f>
        <v>243.54</v>
      </c>
      <c r="D10421" s="17" t="s">
        <v>11</v>
      </c>
      <c r="E10421" s="17"/>
      <c r="F10421" s="18"/>
      <c r="G10421" s="36" t="str">
        <f>IF(ISNUMBER(F10421),C10421*F10421,"")</f>
        <v/>
      </c>
    </row>
    <row r="10422" spans="1:7" ht="12" customHeight="1" outlineLevel="2" x14ac:dyDescent="0.2">
      <c r="A10422" s="14" t="s">
        <v>20500</v>
      </c>
      <c r="B10422" s="15" t="s">
        <v>20501</v>
      </c>
      <c r="C10422" s="16">
        <f>135.62/(1+B2)</f>
        <v>135.62</v>
      </c>
      <c r="D10422" s="17" t="s">
        <v>11</v>
      </c>
      <c r="E10422" s="17"/>
      <c r="F10422" s="18"/>
      <c r="G10422" s="36" t="str">
        <f>IF(ISNUMBER(F10422),C10422*F10422,"")</f>
        <v/>
      </c>
    </row>
    <row r="10423" spans="1:7" ht="24" customHeight="1" outlineLevel="2" x14ac:dyDescent="0.2">
      <c r="A10423" s="14" t="s">
        <v>20502</v>
      </c>
      <c r="B10423" s="15" t="s">
        <v>20503</v>
      </c>
      <c r="C10423" s="16">
        <f>371.59/(1+B2)</f>
        <v>371.59</v>
      </c>
      <c r="D10423" s="17" t="s">
        <v>11</v>
      </c>
      <c r="E10423" s="17"/>
      <c r="F10423" s="18"/>
      <c r="G10423" s="36" t="str">
        <f>IF(ISNUMBER(F10423),C10423*F10423,"")</f>
        <v/>
      </c>
    </row>
    <row r="10424" spans="1:7" ht="24" customHeight="1" outlineLevel="2" x14ac:dyDescent="0.2">
      <c r="A10424" s="14" t="s">
        <v>20504</v>
      </c>
      <c r="B10424" s="15" t="s">
        <v>20505</v>
      </c>
      <c r="C10424" s="16">
        <f>432.79/(1+B2)</f>
        <v>432.79</v>
      </c>
      <c r="D10424" s="17" t="s">
        <v>11</v>
      </c>
      <c r="E10424" s="17" t="s">
        <v>11</v>
      </c>
      <c r="F10424" s="18"/>
      <c r="G10424" s="36" t="str">
        <f>IF(ISNUMBER(F10424),C10424*F10424,"")</f>
        <v/>
      </c>
    </row>
    <row r="10425" spans="1:7" ht="24" customHeight="1" outlineLevel="2" x14ac:dyDescent="0.2">
      <c r="A10425" s="14" t="s">
        <v>20506</v>
      </c>
      <c r="B10425" s="15" t="s">
        <v>20507</v>
      </c>
      <c r="C10425" s="16">
        <f>111.98/(1+B2)</f>
        <v>111.98</v>
      </c>
      <c r="D10425" s="17" t="s">
        <v>11</v>
      </c>
      <c r="E10425" s="17"/>
      <c r="F10425" s="18"/>
      <c r="G10425" s="36" t="str">
        <f>IF(ISNUMBER(F10425),C10425*F10425,"")</f>
        <v/>
      </c>
    </row>
    <row r="10426" spans="1:7" ht="12" customHeight="1" outlineLevel="2" x14ac:dyDescent="0.2">
      <c r="A10426" s="14" t="s">
        <v>20508</v>
      </c>
      <c r="B10426" s="15" t="s">
        <v>20509</v>
      </c>
      <c r="C10426" s="16">
        <f>276.48/(1+B2)</f>
        <v>276.48</v>
      </c>
      <c r="D10426" s="17" t="s">
        <v>11</v>
      </c>
      <c r="E10426" s="17" t="s">
        <v>11</v>
      </c>
      <c r="F10426" s="18"/>
      <c r="G10426" s="36" t="str">
        <f>IF(ISNUMBER(F10426),C10426*F10426,"")</f>
        <v/>
      </c>
    </row>
    <row r="10427" spans="1:7" ht="12" customHeight="1" outlineLevel="2" x14ac:dyDescent="0.2">
      <c r="A10427" s="14" t="s">
        <v>20510</v>
      </c>
      <c r="B10427" s="15" t="s">
        <v>20511</v>
      </c>
      <c r="C10427" s="16">
        <f>27.73/(1+B2)</f>
        <v>27.73</v>
      </c>
      <c r="D10427" s="17" t="s">
        <v>53</v>
      </c>
      <c r="E10427" s="17"/>
      <c r="F10427" s="18"/>
      <c r="G10427" s="36" t="str">
        <f>IF(ISNUMBER(F10427),C10427*F10427,"")</f>
        <v/>
      </c>
    </row>
    <row r="10428" spans="1:7" s="1" customFormat="1" ht="15.95" customHeight="1" outlineLevel="1" x14ac:dyDescent="0.25">
      <c r="A10428" s="11"/>
      <c r="B10428" s="12" t="s">
        <v>20512</v>
      </c>
      <c r="C10428" s="13"/>
      <c r="D10428" s="13"/>
      <c r="E10428" s="13"/>
      <c r="F10428" s="13"/>
      <c r="G10428" s="35"/>
    </row>
    <row r="10429" spans="1:7" ht="12" customHeight="1" outlineLevel="2" x14ac:dyDescent="0.2">
      <c r="A10429" s="14" t="s">
        <v>20513</v>
      </c>
      <c r="B10429" s="15" t="s">
        <v>20514</v>
      </c>
      <c r="C10429" s="16">
        <f>190.05/(1+B2)</f>
        <v>190.05</v>
      </c>
      <c r="D10429" s="17" t="s">
        <v>11</v>
      </c>
      <c r="E10429" s="17" t="s">
        <v>11</v>
      </c>
      <c r="F10429" s="18"/>
      <c r="G10429" s="36" t="str">
        <f>IF(ISNUMBER(F10429),C10429*F10429,"")</f>
        <v/>
      </c>
    </row>
    <row r="10430" spans="1:7" ht="12" customHeight="1" outlineLevel="2" x14ac:dyDescent="0.2">
      <c r="A10430" s="14" t="s">
        <v>20515</v>
      </c>
      <c r="B10430" s="15" t="s">
        <v>20516</v>
      </c>
      <c r="C10430" s="19">
        <f>1438.72/(1+B2)</f>
        <v>1438.72</v>
      </c>
      <c r="D10430" s="17" t="s">
        <v>11</v>
      </c>
      <c r="E10430" s="17"/>
      <c r="F10430" s="18"/>
      <c r="G10430" s="36" t="str">
        <f>IF(ISNUMBER(F10430),C10430*F10430,"")</f>
        <v/>
      </c>
    </row>
    <row r="10431" spans="1:7" ht="12" customHeight="1" outlineLevel="2" x14ac:dyDescent="0.2">
      <c r="A10431" s="14" t="s">
        <v>20517</v>
      </c>
      <c r="B10431" s="15" t="s">
        <v>20518</v>
      </c>
      <c r="C10431" s="19">
        <f>1903.99/(1+B2)</f>
        <v>1903.99</v>
      </c>
      <c r="D10431" s="17" t="s">
        <v>11</v>
      </c>
      <c r="E10431" s="17"/>
      <c r="F10431" s="18"/>
      <c r="G10431" s="36" t="str">
        <f>IF(ISNUMBER(F10431),C10431*F10431,"")</f>
        <v/>
      </c>
    </row>
    <row r="10432" spans="1:7" ht="12" customHeight="1" outlineLevel="2" x14ac:dyDescent="0.2">
      <c r="A10432" s="14" t="s">
        <v>20519</v>
      </c>
      <c r="B10432" s="15" t="s">
        <v>20520</v>
      </c>
      <c r="C10432" s="16">
        <f>77.28/(1+B2)</f>
        <v>77.28</v>
      </c>
      <c r="D10432" s="17" t="s">
        <v>11</v>
      </c>
      <c r="E10432" s="17"/>
      <c r="F10432" s="18"/>
      <c r="G10432" s="36" t="str">
        <f>IF(ISNUMBER(F10432),C10432*F10432,"")</f>
        <v/>
      </c>
    </row>
    <row r="10433" spans="1:7" ht="12" customHeight="1" outlineLevel="2" x14ac:dyDescent="0.2">
      <c r="A10433" s="14" t="s">
        <v>20521</v>
      </c>
      <c r="B10433" s="15" t="s">
        <v>20522</v>
      </c>
      <c r="C10433" s="16">
        <f>89.06/(1+B2)</f>
        <v>89.06</v>
      </c>
      <c r="D10433" s="17" t="s">
        <v>11</v>
      </c>
      <c r="E10433" s="17"/>
      <c r="F10433" s="18"/>
      <c r="G10433" s="36" t="str">
        <f>IF(ISNUMBER(F10433),C10433*F10433,"")</f>
        <v/>
      </c>
    </row>
    <row r="10434" spans="1:7" ht="12" customHeight="1" outlineLevel="2" x14ac:dyDescent="0.2">
      <c r="A10434" s="14" t="s">
        <v>20523</v>
      </c>
      <c r="B10434" s="15" t="s">
        <v>20524</v>
      </c>
      <c r="C10434" s="16">
        <f>127.32/(1+B2)</f>
        <v>127.32</v>
      </c>
      <c r="D10434" s="17" t="s">
        <v>11</v>
      </c>
      <c r="E10434" s="17"/>
      <c r="F10434" s="18"/>
      <c r="G10434" s="36" t="str">
        <f>IF(ISNUMBER(F10434),C10434*F10434,"")</f>
        <v/>
      </c>
    </row>
    <row r="10435" spans="1:7" ht="12" customHeight="1" outlineLevel="2" x14ac:dyDescent="0.2">
      <c r="A10435" s="14" t="s">
        <v>20525</v>
      </c>
      <c r="B10435" s="15" t="s">
        <v>20526</v>
      </c>
      <c r="C10435" s="16">
        <f>80.39/(1+B2)</f>
        <v>80.39</v>
      </c>
      <c r="D10435" s="17" t="s">
        <v>11</v>
      </c>
      <c r="E10435" s="17" t="s">
        <v>11</v>
      </c>
      <c r="F10435" s="18"/>
      <c r="G10435" s="36" t="str">
        <f>IF(ISNUMBER(F10435),C10435*F10435,"")</f>
        <v/>
      </c>
    </row>
    <row r="10436" spans="1:7" ht="24" customHeight="1" outlineLevel="2" x14ac:dyDescent="0.2">
      <c r="A10436" s="14" t="s">
        <v>20527</v>
      </c>
      <c r="B10436" s="15" t="s">
        <v>20528</v>
      </c>
      <c r="C10436" s="16">
        <f>309.79/(1+B2)</f>
        <v>309.79000000000002</v>
      </c>
      <c r="D10436" s="17" t="s">
        <v>11</v>
      </c>
      <c r="E10436" s="17" t="s">
        <v>11</v>
      </c>
      <c r="F10436" s="18"/>
      <c r="G10436" s="36" t="str">
        <f>IF(ISNUMBER(F10436),C10436*F10436,"")</f>
        <v/>
      </c>
    </row>
    <row r="10437" spans="1:7" ht="24" customHeight="1" outlineLevel="2" x14ac:dyDescent="0.2">
      <c r="A10437" s="14" t="s">
        <v>20529</v>
      </c>
      <c r="B10437" s="15" t="s">
        <v>20530</v>
      </c>
      <c r="C10437" s="16">
        <f>181.37/(1+B2)</f>
        <v>181.37</v>
      </c>
      <c r="D10437" s="17" t="s">
        <v>14</v>
      </c>
      <c r="E10437" s="17"/>
      <c r="F10437" s="18"/>
      <c r="G10437" s="36" t="str">
        <f>IF(ISNUMBER(F10437),C10437*F10437,"")</f>
        <v/>
      </c>
    </row>
    <row r="10438" spans="1:7" ht="24" customHeight="1" outlineLevel="2" x14ac:dyDescent="0.2">
      <c r="A10438" s="14" t="s">
        <v>20531</v>
      </c>
      <c r="B10438" s="15" t="s">
        <v>20532</v>
      </c>
      <c r="C10438" s="16">
        <f>273.49/(1+B2)</f>
        <v>273.49</v>
      </c>
      <c r="D10438" s="17" t="s">
        <v>11</v>
      </c>
      <c r="E10438" s="17"/>
      <c r="F10438" s="18"/>
      <c r="G10438" s="36" t="str">
        <f>IF(ISNUMBER(F10438),C10438*F10438,"")</f>
        <v/>
      </c>
    </row>
    <row r="10439" spans="1:7" ht="24" customHeight="1" outlineLevel="2" x14ac:dyDescent="0.2">
      <c r="A10439" s="14" t="s">
        <v>20533</v>
      </c>
      <c r="B10439" s="15" t="s">
        <v>20534</v>
      </c>
      <c r="C10439" s="16">
        <f>169.2/(1+B2)</f>
        <v>169.2</v>
      </c>
      <c r="D10439" s="17" t="s">
        <v>11</v>
      </c>
      <c r="E10439" s="17"/>
      <c r="F10439" s="18"/>
      <c r="G10439" s="36" t="str">
        <f>IF(ISNUMBER(F10439),C10439*F10439,"")</f>
        <v/>
      </c>
    </row>
    <row r="10440" spans="1:7" ht="24" customHeight="1" outlineLevel="2" x14ac:dyDescent="0.2">
      <c r="A10440" s="14" t="s">
        <v>20535</v>
      </c>
      <c r="B10440" s="15" t="s">
        <v>20536</v>
      </c>
      <c r="C10440" s="16">
        <f>82.8/(1+B2)</f>
        <v>82.8</v>
      </c>
      <c r="D10440" s="17" t="s">
        <v>11</v>
      </c>
      <c r="E10440" s="17"/>
      <c r="F10440" s="18"/>
      <c r="G10440" s="36" t="str">
        <f>IF(ISNUMBER(F10440),C10440*F10440,"")</f>
        <v/>
      </c>
    </row>
    <row r="10441" spans="1:7" ht="24" customHeight="1" outlineLevel="2" x14ac:dyDescent="0.2">
      <c r="A10441" s="14" t="s">
        <v>20537</v>
      </c>
      <c r="B10441" s="15" t="s">
        <v>20538</v>
      </c>
      <c r="C10441" s="16">
        <f>217.81/(1+B2)</f>
        <v>217.81</v>
      </c>
      <c r="D10441" s="17" t="s">
        <v>11</v>
      </c>
      <c r="E10441" s="17"/>
      <c r="F10441" s="18"/>
      <c r="G10441" s="36" t="str">
        <f>IF(ISNUMBER(F10441),C10441*F10441,"")</f>
        <v/>
      </c>
    </row>
    <row r="10442" spans="1:7" ht="24" customHeight="1" outlineLevel="2" x14ac:dyDescent="0.2">
      <c r="A10442" s="14" t="s">
        <v>20539</v>
      </c>
      <c r="B10442" s="15" t="s">
        <v>20540</v>
      </c>
      <c r="C10442" s="16">
        <f>324.57/(1+B2)</f>
        <v>324.57</v>
      </c>
      <c r="D10442" s="17" t="s">
        <v>11</v>
      </c>
      <c r="E10442" s="17"/>
      <c r="F10442" s="18"/>
      <c r="G10442" s="36" t="str">
        <f>IF(ISNUMBER(F10442),C10442*F10442,"")</f>
        <v/>
      </c>
    </row>
    <row r="10443" spans="1:7" ht="24" customHeight="1" outlineLevel="2" x14ac:dyDescent="0.2">
      <c r="A10443" s="14" t="s">
        <v>20541</v>
      </c>
      <c r="B10443" s="15" t="s">
        <v>20542</v>
      </c>
      <c r="C10443" s="16">
        <f>318.69/(1+B2)</f>
        <v>318.69</v>
      </c>
      <c r="D10443" s="17" t="s">
        <v>11</v>
      </c>
      <c r="E10443" s="17"/>
      <c r="F10443" s="18"/>
      <c r="G10443" s="36" t="str">
        <f>IF(ISNUMBER(F10443),C10443*F10443,"")</f>
        <v/>
      </c>
    </row>
    <row r="10444" spans="1:7" ht="12" customHeight="1" outlineLevel="2" x14ac:dyDescent="0.2">
      <c r="A10444" s="14" t="s">
        <v>20543</v>
      </c>
      <c r="B10444" s="15" t="s">
        <v>20544</v>
      </c>
      <c r="C10444" s="16">
        <f>82.45/(1+B2)</f>
        <v>82.45</v>
      </c>
      <c r="D10444" s="17" t="s">
        <v>14</v>
      </c>
      <c r="E10444" s="17"/>
      <c r="F10444" s="18"/>
      <c r="G10444" s="36" t="str">
        <f>IF(ISNUMBER(F10444),C10444*F10444,"")</f>
        <v/>
      </c>
    </row>
    <row r="10445" spans="1:7" ht="12" customHeight="1" outlineLevel="2" x14ac:dyDescent="0.2">
      <c r="A10445" s="14" t="s">
        <v>20545</v>
      </c>
      <c r="B10445" s="15" t="s">
        <v>20546</v>
      </c>
      <c r="C10445" s="16">
        <f>53.73/(1+B2)</f>
        <v>53.73</v>
      </c>
      <c r="D10445" s="17" t="s">
        <v>11</v>
      </c>
      <c r="E10445" s="17" t="s">
        <v>11</v>
      </c>
      <c r="F10445" s="18"/>
      <c r="G10445" s="36" t="str">
        <f>IF(ISNUMBER(F10445),C10445*F10445,"")</f>
        <v/>
      </c>
    </row>
    <row r="10446" spans="1:7" ht="12" customHeight="1" outlineLevel="2" x14ac:dyDescent="0.2">
      <c r="A10446" s="14" t="s">
        <v>20547</v>
      </c>
      <c r="B10446" s="15" t="s">
        <v>20548</v>
      </c>
      <c r="C10446" s="16">
        <f>96.28/(1+B2)</f>
        <v>96.28</v>
      </c>
      <c r="D10446" s="17" t="s">
        <v>11</v>
      </c>
      <c r="E10446" s="17" t="s">
        <v>11</v>
      </c>
      <c r="F10446" s="18"/>
      <c r="G10446" s="36" t="str">
        <f>IF(ISNUMBER(F10446),C10446*F10446,"")</f>
        <v/>
      </c>
    </row>
    <row r="10447" spans="1:7" ht="24" customHeight="1" outlineLevel="2" x14ac:dyDescent="0.2">
      <c r="A10447" s="14" t="s">
        <v>20549</v>
      </c>
      <c r="B10447" s="15" t="s">
        <v>20550</v>
      </c>
      <c r="C10447" s="16">
        <f>85.64/(1+B2)</f>
        <v>85.64</v>
      </c>
      <c r="D10447" s="17" t="s">
        <v>11</v>
      </c>
      <c r="E10447" s="17"/>
      <c r="F10447" s="18"/>
      <c r="G10447" s="36" t="str">
        <f>IF(ISNUMBER(F10447),C10447*F10447,"")</f>
        <v/>
      </c>
    </row>
    <row r="10448" spans="1:7" ht="24" customHeight="1" outlineLevel="2" x14ac:dyDescent="0.2">
      <c r="A10448" s="14" t="s">
        <v>20551</v>
      </c>
      <c r="B10448" s="15" t="s">
        <v>20552</v>
      </c>
      <c r="C10448" s="16">
        <f>60.61/(1+B2)</f>
        <v>60.61</v>
      </c>
      <c r="D10448" s="17" t="s">
        <v>11</v>
      </c>
      <c r="E10448" s="17"/>
      <c r="F10448" s="18"/>
      <c r="G10448" s="36" t="str">
        <f>IF(ISNUMBER(F10448),C10448*F10448,"")</f>
        <v/>
      </c>
    </row>
    <row r="10449" spans="1:7" ht="12" customHeight="1" outlineLevel="2" x14ac:dyDescent="0.2">
      <c r="A10449" s="14" t="s">
        <v>20553</v>
      </c>
      <c r="B10449" s="15" t="s">
        <v>20554</v>
      </c>
      <c r="C10449" s="16">
        <f>351.43/(1+B2)</f>
        <v>351.43</v>
      </c>
      <c r="D10449" s="17" t="s">
        <v>11</v>
      </c>
      <c r="E10449" s="17" t="s">
        <v>14</v>
      </c>
      <c r="F10449" s="18"/>
      <c r="G10449" s="36" t="str">
        <f>IF(ISNUMBER(F10449),C10449*F10449,"")</f>
        <v/>
      </c>
    </row>
    <row r="10450" spans="1:7" ht="24" customHeight="1" outlineLevel="2" x14ac:dyDescent="0.2">
      <c r="A10450" s="14" t="s">
        <v>20555</v>
      </c>
      <c r="B10450" s="15" t="s">
        <v>20556</v>
      </c>
      <c r="C10450" s="16">
        <f>174.26/(1+B2)</f>
        <v>174.26</v>
      </c>
      <c r="D10450" s="17" t="s">
        <v>11</v>
      </c>
      <c r="E10450" s="17"/>
      <c r="F10450" s="18"/>
      <c r="G10450" s="36" t="str">
        <f>IF(ISNUMBER(F10450),C10450*F10450,"")</f>
        <v/>
      </c>
    </row>
    <row r="10451" spans="1:7" ht="12" customHeight="1" outlineLevel="2" x14ac:dyDescent="0.2">
      <c r="A10451" s="14" t="s">
        <v>20557</v>
      </c>
      <c r="B10451" s="15" t="s">
        <v>20558</v>
      </c>
      <c r="C10451" s="16">
        <f>87.92/(1+B2)</f>
        <v>87.92</v>
      </c>
      <c r="D10451" s="17" t="s">
        <v>11</v>
      </c>
      <c r="E10451" s="17" t="s">
        <v>11</v>
      </c>
      <c r="F10451" s="18"/>
      <c r="G10451" s="36" t="str">
        <f>IF(ISNUMBER(F10451),C10451*F10451,"")</f>
        <v/>
      </c>
    </row>
    <row r="10452" spans="1:7" ht="12" customHeight="1" outlineLevel="2" x14ac:dyDescent="0.2">
      <c r="A10452" s="14" t="s">
        <v>20559</v>
      </c>
      <c r="B10452" s="15" t="s">
        <v>20560</v>
      </c>
      <c r="C10452" s="16">
        <f>144.91/(1+B2)</f>
        <v>144.91</v>
      </c>
      <c r="D10452" s="17" t="s">
        <v>11</v>
      </c>
      <c r="E10452" s="17"/>
      <c r="F10452" s="18"/>
      <c r="G10452" s="36" t="str">
        <f>IF(ISNUMBER(F10452),C10452*F10452,"")</f>
        <v/>
      </c>
    </row>
    <row r="10453" spans="1:7" ht="12" customHeight="1" outlineLevel="2" x14ac:dyDescent="0.2">
      <c r="A10453" s="14" t="s">
        <v>20561</v>
      </c>
      <c r="B10453" s="15" t="s">
        <v>20562</v>
      </c>
      <c r="C10453" s="16">
        <f>198.78/(1+B2)</f>
        <v>198.78</v>
      </c>
      <c r="D10453" s="17" t="s">
        <v>11</v>
      </c>
      <c r="E10453" s="17"/>
      <c r="F10453" s="18"/>
      <c r="G10453" s="36" t="str">
        <f>IF(ISNUMBER(F10453),C10453*F10453,"")</f>
        <v/>
      </c>
    </row>
    <row r="10454" spans="1:7" ht="12" customHeight="1" outlineLevel="2" x14ac:dyDescent="0.2">
      <c r="A10454" s="14" t="s">
        <v>20563</v>
      </c>
      <c r="B10454" s="15" t="s">
        <v>20564</v>
      </c>
      <c r="C10454" s="16">
        <f>57.1/(1+B2)</f>
        <v>57.1</v>
      </c>
      <c r="D10454" s="17" t="s">
        <v>11</v>
      </c>
      <c r="E10454" s="17" t="s">
        <v>11</v>
      </c>
      <c r="F10454" s="18"/>
      <c r="G10454" s="36" t="str">
        <f>IF(ISNUMBER(F10454),C10454*F10454,"")</f>
        <v/>
      </c>
    </row>
    <row r="10455" spans="1:7" ht="12" customHeight="1" outlineLevel="2" x14ac:dyDescent="0.2">
      <c r="A10455" s="14" t="s">
        <v>20565</v>
      </c>
      <c r="B10455" s="15" t="s">
        <v>20566</v>
      </c>
      <c r="C10455" s="16">
        <f>319.68/(1+B2)</f>
        <v>319.68</v>
      </c>
      <c r="D10455" s="17" t="s">
        <v>11</v>
      </c>
      <c r="E10455" s="17"/>
      <c r="F10455" s="18"/>
      <c r="G10455" s="36" t="str">
        <f>IF(ISNUMBER(F10455),C10455*F10455,"")</f>
        <v/>
      </c>
    </row>
    <row r="10456" spans="1:7" ht="12" customHeight="1" outlineLevel="2" x14ac:dyDescent="0.2">
      <c r="A10456" s="14" t="s">
        <v>20567</v>
      </c>
      <c r="B10456" s="15" t="s">
        <v>20568</v>
      </c>
      <c r="C10456" s="16">
        <f>658.15/(1+B2)</f>
        <v>658.15</v>
      </c>
      <c r="D10456" s="17" t="s">
        <v>11</v>
      </c>
      <c r="E10456" s="17"/>
      <c r="F10456" s="18"/>
      <c r="G10456" s="36" t="str">
        <f>IF(ISNUMBER(F10456),C10456*F10456,"")</f>
        <v/>
      </c>
    </row>
    <row r="10457" spans="1:7" ht="24" customHeight="1" outlineLevel="2" x14ac:dyDescent="0.2">
      <c r="A10457" s="14" t="s">
        <v>20569</v>
      </c>
      <c r="B10457" s="15" t="s">
        <v>20570</v>
      </c>
      <c r="C10457" s="16">
        <f>455.86/(1+B2)</f>
        <v>455.86</v>
      </c>
      <c r="D10457" s="17" t="s">
        <v>11</v>
      </c>
      <c r="E10457" s="17"/>
      <c r="F10457" s="18"/>
      <c r="G10457" s="36" t="str">
        <f>IF(ISNUMBER(F10457),C10457*F10457,"")</f>
        <v/>
      </c>
    </row>
    <row r="10458" spans="1:7" ht="24" customHeight="1" outlineLevel="2" x14ac:dyDescent="0.2">
      <c r="A10458" s="14" t="s">
        <v>20571</v>
      </c>
      <c r="B10458" s="15" t="s">
        <v>20572</v>
      </c>
      <c r="C10458" s="16">
        <f>136.5/(1+B2)</f>
        <v>136.5</v>
      </c>
      <c r="D10458" s="17" t="s">
        <v>11</v>
      </c>
      <c r="E10458" s="17"/>
      <c r="F10458" s="18"/>
      <c r="G10458" s="36" t="str">
        <f>IF(ISNUMBER(F10458),C10458*F10458,"")</f>
        <v/>
      </c>
    </row>
    <row r="10459" spans="1:7" ht="24" customHeight="1" outlineLevel="2" x14ac:dyDescent="0.2">
      <c r="A10459" s="14" t="s">
        <v>20573</v>
      </c>
      <c r="B10459" s="15" t="s">
        <v>20574</v>
      </c>
      <c r="C10459" s="16">
        <f>119.07/(1+B2)</f>
        <v>119.07</v>
      </c>
      <c r="D10459" s="17" t="s">
        <v>11</v>
      </c>
      <c r="E10459" s="17"/>
      <c r="F10459" s="18"/>
      <c r="G10459" s="36" t="str">
        <f>IF(ISNUMBER(F10459),C10459*F10459,"")</f>
        <v/>
      </c>
    </row>
    <row r="10460" spans="1:7" ht="24" customHeight="1" outlineLevel="2" x14ac:dyDescent="0.2">
      <c r="A10460" s="14" t="s">
        <v>20575</v>
      </c>
      <c r="B10460" s="15" t="s">
        <v>20576</v>
      </c>
      <c r="C10460" s="16">
        <f>133.6/(1+B2)</f>
        <v>133.6</v>
      </c>
      <c r="D10460" s="17" t="s">
        <v>11</v>
      </c>
      <c r="E10460" s="17"/>
      <c r="F10460" s="18"/>
      <c r="G10460" s="36" t="str">
        <f>IF(ISNUMBER(F10460),C10460*F10460,"")</f>
        <v/>
      </c>
    </row>
    <row r="10461" spans="1:7" ht="24" customHeight="1" outlineLevel="2" x14ac:dyDescent="0.2">
      <c r="A10461" s="14" t="s">
        <v>20577</v>
      </c>
      <c r="B10461" s="15" t="s">
        <v>20578</v>
      </c>
      <c r="C10461" s="16">
        <f>158.77/(1+B2)</f>
        <v>158.77000000000001</v>
      </c>
      <c r="D10461" s="17" t="s">
        <v>11</v>
      </c>
      <c r="E10461" s="17"/>
      <c r="F10461" s="18"/>
      <c r="G10461" s="36" t="str">
        <f>IF(ISNUMBER(F10461),C10461*F10461,"")</f>
        <v/>
      </c>
    </row>
    <row r="10462" spans="1:7" ht="12" customHeight="1" outlineLevel="2" x14ac:dyDescent="0.2">
      <c r="A10462" s="14" t="s">
        <v>20579</v>
      </c>
      <c r="B10462" s="15" t="s">
        <v>20580</v>
      </c>
      <c r="C10462" s="16">
        <f>787.06/(1+B2)</f>
        <v>787.06</v>
      </c>
      <c r="D10462" s="17" t="s">
        <v>11</v>
      </c>
      <c r="E10462" s="17"/>
      <c r="F10462" s="18"/>
      <c r="G10462" s="36" t="str">
        <f>IF(ISNUMBER(F10462),C10462*F10462,"")</f>
        <v/>
      </c>
    </row>
    <row r="10463" spans="1:7" ht="12" customHeight="1" outlineLevel="2" x14ac:dyDescent="0.2">
      <c r="A10463" s="14" t="s">
        <v>20581</v>
      </c>
      <c r="B10463" s="15" t="s">
        <v>20582</v>
      </c>
      <c r="C10463" s="16">
        <f>763.82/(1+B2)</f>
        <v>763.82</v>
      </c>
      <c r="D10463" s="17" t="s">
        <v>11</v>
      </c>
      <c r="E10463" s="17"/>
      <c r="F10463" s="18"/>
      <c r="G10463" s="36" t="str">
        <f>IF(ISNUMBER(F10463),C10463*F10463,"")</f>
        <v/>
      </c>
    </row>
    <row r="10464" spans="1:7" ht="12" customHeight="1" outlineLevel="2" x14ac:dyDescent="0.2">
      <c r="A10464" s="14" t="s">
        <v>20583</v>
      </c>
      <c r="B10464" s="15" t="s">
        <v>20584</v>
      </c>
      <c r="C10464" s="16">
        <f>143.28/(1+B2)</f>
        <v>143.28</v>
      </c>
      <c r="D10464" s="17" t="s">
        <v>14</v>
      </c>
      <c r="E10464" s="17"/>
      <c r="F10464" s="18"/>
      <c r="G10464" s="36" t="str">
        <f>IF(ISNUMBER(F10464),C10464*F10464,"")</f>
        <v/>
      </c>
    </row>
    <row r="10465" spans="1:7" ht="12" customHeight="1" outlineLevel="2" x14ac:dyDescent="0.2">
      <c r="A10465" s="14" t="s">
        <v>20585</v>
      </c>
      <c r="B10465" s="15" t="s">
        <v>20586</v>
      </c>
      <c r="C10465" s="16">
        <f>56.15/(1+B2)</f>
        <v>56.15</v>
      </c>
      <c r="D10465" s="17" t="s">
        <v>11</v>
      </c>
      <c r="E10465" s="17"/>
      <c r="F10465" s="18"/>
      <c r="G10465" s="36" t="str">
        <f>IF(ISNUMBER(F10465),C10465*F10465,"")</f>
        <v/>
      </c>
    </row>
    <row r="10466" spans="1:7" ht="12" customHeight="1" outlineLevel="2" x14ac:dyDescent="0.2">
      <c r="A10466" s="14" t="s">
        <v>20587</v>
      </c>
      <c r="B10466" s="15" t="s">
        <v>20588</v>
      </c>
      <c r="C10466" s="19">
        <f>1659.84/(1+B2)</f>
        <v>1659.84</v>
      </c>
      <c r="D10466" s="17" t="s">
        <v>11</v>
      </c>
      <c r="E10466" s="17"/>
      <c r="F10466" s="18"/>
      <c r="G10466" s="36" t="str">
        <f>IF(ISNUMBER(F10466),C10466*F10466,"")</f>
        <v/>
      </c>
    </row>
    <row r="10467" spans="1:7" ht="12" customHeight="1" outlineLevel="2" x14ac:dyDescent="0.2">
      <c r="A10467" s="14" t="s">
        <v>20589</v>
      </c>
      <c r="B10467" s="15" t="s">
        <v>20590</v>
      </c>
      <c r="C10467" s="16">
        <f>580.52/(1+B2)</f>
        <v>580.52</v>
      </c>
      <c r="D10467" s="17" t="s">
        <v>11</v>
      </c>
      <c r="E10467" s="17"/>
      <c r="F10467" s="18"/>
      <c r="G10467" s="36" t="str">
        <f>IF(ISNUMBER(F10467),C10467*F10467,"")</f>
        <v/>
      </c>
    </row>
    <row r="10468" spans="1:7" ht="12" customHeight="1" outlineLevel="2" x14ac:dyDescent="0.2">
      <c r="A10468" s="14" t="s">
        <v>20591</v>
      </c>
      <c r="B10468" s="15" t="s">
        <v>20592</v>
      </c>
      <c r="C10468" s="16">
        <f>717.19/(1+B2)</f>
        <v>717.19</v>
      </c>
      <c r="D10468" s="17" t="s">
        <v>11</v>
      </c>
      <c r="E10468" s="17"/>
      <c r="F10468" s="18"/>
      <c r="G10468" s="36" t="str">
        <f>IF(ISNUMBER(F10468),C10468*F10468,"")</f>
        <v/>
      </c>
    </row>
    <row r="10469" spans="1:7" ht="12" customHeight="1" outlineLevel="2" x14ac:dyDescent="0.2">
      <c r="A10469" s="14" t="s">
        <v>20593</v>
      </c>
      <c r="B10469" s="15" t="s">
        <v>20594</v>
      </c>
      <c r="C10469" s="16">
        <f>57.1/(1+B2)</f>
        <v>57.1</v>
      </c>
      <c r="D10469" s="17" t="s">
        <v>11</v>
      </c>
      <c r="E10469" s="17"/>
      <c r="F10469" s="18"/>
      <c r="G10469" s="36" t="str">
        <f>IF(ISNUMBER(F10469),C10469*F10469,"")</f>
        <v/>
      </c>
    </row>
    <row r="10470" spans="1:7" ht="24" customHeight="1" outlineLevel="2" x14ac:dyDescent="0.2">
      <c r="A10470" s="14" t="s">
        <v>20595</v>
      </c>
      <c r="B10470" s="15" t="s">
        <v>20596</v>
      </c>
      <c r="C10470" s="16">
        <f>126.53/(1+B2)</f>
        <v>126.53</v>
      </c>
      <c r="D10470" s="17" t="s">
        <v>11</v>
      </c>
      <c r="E10470" s="17" t="s">
        <v>14</v>
      </c>
      <c r="F10470" s="18"/>
      <c r="G10470" s="36" t="str">
        <f>IF(ISNUMBER(F10470),C10470*F10470,"")</f>
        <v/>
      </c>
    </row>
    <row r="10471" spans="1:7" ht="12" customHeight="1" outlineLevel="2" x14ac:dyDescent="0.2">
      <c r="A10471" s="14" t="s">
        <v>20597</v>
      </c>
      <c r="B10471" s="15" t="s">
        <v>20598</v>
      </c>
      <c r="C10471" s="16">
        <f>561.82/(1+B2)</f>
        <v>561.82000000000005</v>
      </c>
      <c r="D10471" s="17" t="s">
        <v>11</v>
      </c>
      <c r="E10471" s="17"/>
      <c r="F10471" s="18"/>
      <c r="G10471" s="36" t="str">
        <f>IF(ISNUMBER(F10471),C10471*F10471,"")</f>
        <v/>
      </c>
    </row>
    <row r="10472" spans="1:7" ht="12" customHeight="1" outlineLevel="2" x14ac:dyDescent="0.2">
      <c r="A10472" s="14" t="s">
        <v>20599</v>
      </c>
      <c r="B10472" s="15" t="s">
        <v>20600</v>
      </c>
      <c r="C10472" s="16">
        <f>268.45/(1+B2)</f>
        <v>268.45</v>
      </c>
      <c r="D10472" s="17" t="s">
        <v>11</v>
      </c>
      <c r="E10472" s="17"/>
      <c r="F10472" s="18"/>
      <c r="G10472" s="36" t="str">
        <f>IF(ISNUMBER(F10472),C10472*F10472,"")</f>
        <v/>
      </c>
    </row>
    <row r="10473" spans="1:7" ht="24" customHeight="1" outlineLevel="2" x14ac:dyDescent="0.2">
      <c r="A10473" s="14" t="s">
        <v>20601</v>
      </c>
      <c r="B10473" s="15" t="s">
        <v>20602</v>
      </c>
      <c r="C10473" s="16">
        <f>353.34/(1+B2)</f>
        <v>353.34</v>
      </c>
      <c r="D10473" s="17" t="s">
        <v>11</v>
      </c>
      <c r="E10473" s="17"/>
      <c r="F10473" s="18"/>
      <c r="G10473" s="36" t="str">
        <f>IF(ISNUMBER(F10473),C10473*F10473,"")</f>
        <v/>
      </c>
    </row>
    <row r="10474" spans="1:7" ht="12" customHeight="1" outlineLevel="2" x14ac:dyDescent="0.2">
      <c r="A10474" s="14" t="s">
        <v>20603</v>
      </c>
      <c r="B10474" s="15" t="s">
        <v>20604</v>
      </c>
      <c r="C10474" s="16">
        <f>392.08/(1+B2)</f>
        <v>392.08</v>
      </c>
      <c r="D10474" s="17" t="s">
        <v>11</v>
      </c>
      <c r="E10474" s="17"/>
      <c r="F10474" s="18"/>
      <c r="G10474" s="36" t="str">
        <f>IF(ISNUMBER(F10474),C10474*F10474,"")</f>
        <v/>
      </c>
    </row>
    <row r="10475" spans="1:7" ht="12" customHeight="1" outlineLevel="2" x14ac:dyDescent="0.2">
      <c r="A10475" s="14" t="s">
        <v>20605</v>
      </c>
      <c r="B10475" s="15" t="s">
        <v>20606</v>
      </c>
      <c r="C10475" s="16">
        <f>485.98/(1+B2)</f>
        <v>485.98</v>
      </c>
      <c r="D10475" s="17" t="s">
        <v>11</v>
      </c>
      <c r="E10475" s="17"/>
      <c r="F10475" s="18"/>
      <c r="G10475" s="36" t="str">
        <f>IF(ISNUMBER(F10475),C10475*F10475,"")</f>
        <v/>
      </c>
    </row>
    <row r="10476" spans="1:7" ht="24" customHeight="1" outlineLevel="2" x14ac:dyDescent="0.2">
      <c r="A10476" s="14" t="s">
        <v>20607</v>
      </c>
      <c r="B10476" s="15" t="s">
        <v>20608</v>
      </c>
      <c r="C10476" s="16">
        <f>339.6/(1+B2)</f>
        <v>339.6</v>
      </c>
      <c r="D10476" s="17" t="s">
        <v>11</v>
      </c>
      <c r="E10476" s="17"/>
      <c r="F10476" s="18"/>
      <c r="G10476" s="36" t="str">
        <f>IF(ISNUMBER(F10476),C10476*F10476,"")</f>
        <v/>
      </c>
    </row>
    <row r="10477" spans="1:7" ht="24" customHeight="1" outlineLevel="2" x14ac:dyDescent="0.2">
      <c r="A10477" s="14" t="s">
        <v>20609</v>
      </c>
      <c r="B10477" s="15" t="s">
        <v>20610</v>
      </c>
      <c r="C10477" s="16">
        <f>388.98/(1+B2)</f>
        <v>388.98</v>
      </c>
      <c r="D10477" s="17" t="s">
        <v>11</v>
      </c>
      <c r="E10477" s="17"/>
      <c r="F10477" s="18"/>
      <c r="G10477" s="36" t="str">
        <f>IF(ISNUMBER(F10477),C10477*F10477,"")</f>
        <v/>
      </c>
    </row>
    <row r="10478" spans="1:7" ht="12" customHeight="1" outlineLevel="2" x14ac:dyDescent="0.2">
      <c r="A10478" s="14" t="s">
        <v>20611</v>
      </c>
      <c r="B10478" s="15" t="s">
        <v>20612</v>
      </c>
      <c r="C10478" s="16">
        <f>414.46/(1+B2)</f>
        <v>414.46</v>
      </c>
      <c r="D10478" s="17" t="s">
        <v>11</v>
      </c>
      <c r="E10478" s="17"/>
      <c r="F10478" s="18"/>
      <c r="G10478" s="36" t="str">
        <f>IF(ISNUMBER(F10478),C10478*F10478,"")</f>
        <v/>
      </c>
    </row>
    <row r="10479" spans="1:7" ht="12" customHeight="1" outlineLevel="2" x14ac:dyDescent="0.2">
      <c r="A10479" s="14" t="s">
        <v>20613</v>
      </c>
      <c r="B10479" s="15" t="s">
        <v>20614</v>
      </c>
      <c r="C10479" s="16">
        <f>308.32/(1+B2)</f>
        <v>308.32</v>
      </c>
      <c r="D10479" s="17" t="s">
        <v>11</v>
      </c>
      <c r="E10479" s="17"/>
      <c r="F10479" s="18"/>
      <c r="G10479" s="36" t="str">
        <f>IF(ISNUMBER(F10479),C10479*F10479,"")</f>
        <v/>
      </c>
    </row>
    <row r="10480" spans="1:7" ht="24" customHeight="1" outlineLevel="2" x14ac:dyDescent="0.2">
      <c r="A10480" s="14" t="s">
        <v>20615</v>
      </c>
      <c r="B10480" s="15" t="s">
        <v>20616</v>
      </c>
      <c r="C10480" s="16">
        <f>228.63/(1+B2)</f>
        <v>228.63</v>
      </c>
      <c r="D10480" s="17" t="s">
        <v>14</v>
      </c>
      <c r="E10480" s="17"/>
      <c r="F10480" s="18"/>
      <c r="G10480" s="36" t="str">
        <f>IF(ISNUMBER(F10480),C10480*F10480,"")</f>
        <v/>
      </c>
    </row>
    <row r="10481" spans="1:7" ht="12" customHeight="1" outlineLevel="2" x14ac:dyDescent="0.2">
      <c r="A10481" s="14" t="s">
        <v>20617</v>
      </c>
      <c r="B10481" s="15" t="s">
        <v>20618</v>
      </c>
      <c r="C10481" s="16">
        <f>928.73/(1+B2)</f>
        <v>928.73</v>
      </c>
      <c r="D10481" s="17" t="s">
        <v>11</v>
      </c>
      <c r="E10481" s="17"/>
      <c r="F10481" s="18"/>
      <c r="G10481" s="36" t="str">
        <f>IF(ISNUMBER(F10481),C10481*F10481,"")</f>
        <v/>
      </c>
    </row>
    <row r="10482" spans="1:7" ht="12" customHeight="1" outlineLevel="2" x14ac:dyDescent="0.2">
      <c r="A10482" s="14" t="s">
        <v>20619</v>
      </c>
      <c r="B10482" s="15" t="s">
        <v>20620</v>
      </c>
      <c r="C10482" s="16">
        <f>883.77/(1+B2)</f>
        <v>883.77</v>
      </c>
      <c r="D10482" s="17" t="s">
        <v>11</v>
      </c>
      <c r="E10482" s="17"/>
      <c r="F10482" s="18"/>
      <c r="G10482" s="36" t="str">
        <f>IF(ISNUMBER(F10482),C10482*F10482,"")</f>
        <v/>
      </c>
    </row>
    <row r="10483" spans="1:7" ht="24" customHeight="1" outlineLevel="2" x14ac:dyDescent="0.2">
      <c r="A10483" s="14" t="s">
        <v>20621</v>
      </c>
      <c r="B10483" s="15" t="s">
        <v>20622</v>
      </c>
      <c r="C10483" s="19">
        <f>1275.24/(1+B2)</f>
        <v>1275.24</v>
      </c>
      <c r="D10483" s="17" t="s">
        <v>11</v>
      </c>
      <c r="E10483" s="17"/>
      <c r="F10483" s="18"/>
      <c r="G10483" s="36" t="str">
        <f>IF(ISNUMBER(F10483),C10483*F10483,"")</f>
        <v/>
      </c>
    </row>
    <row r="10484" spans="1:7" s="1" customFormat="1" ht="15.95" customHeight="1" x14ac:dyDescent="0.25">
      <c r="A10484" s="8"/>
      <c r="B10484" s="9" t="s">
        <v>20623</v>
      </c>
      <c r="C10484" s="10"/>
      <c r="D10484" s="10"/>
      <c r="E10484" s="10"/>
      <c r="F10484" s="10"/>
      <c r="G10484" s="34"/>
    </row>
    <row r="10485" spans="1:7" s="1" customFormat="1" ht="15.95" customHeight="1" outlineLevel="1" x14ac:dyDescent="0.25">
      <c r="A10485" s="11"/>
      <c r="B10485" s="12" t="s">
        <v>20624</v>
      </c>
      <c r="C10485" s="13"/>
      <c r="D10485" s="13"/>
      <c r="E10485" s="13"/>
      <c r="F10485" s="13"/>
      <c r="G10485" s="35"/>
    </row>
    <row r="10486" spans="1:7" ht="12" customHeight="1" outlineLevel="2" x14ac:dyDescent="0.2">
      <c r="A10486" s="14" t="s">
        <v>20625</v>
      </c>
      <c r="B10486" s="15" t="s">
        <v>20626</v>
      </c>
      <c r="C10486" s="16">
        <f>121.38/(1+B2)</f>
        <v>121.38</v>
      </c>
      <c r="D10486" s="17" t="s">
        <v>14</v>
      </c>
      <c r="E10486" s="17"/>
      <c r="F10486" s="18"/>
      <c r="G10486" s="36" t="str">
        <f>IF(ISNUMBER(F10486),C10486*F10486,"")</f>
        <v/>
      </c>
    </row>
    <row r="10487" spans="1:7" ht="12" customHeight="1" outlineLevel="2" x14ac:dyDescent="0.2">
      <c r="A10487" s="14" t="s">
        <v>20627</v>
      </c>
      <c r="B10487" s="15" t="s">
        <v>20628</v>
      </c>
      <c r="C10487" s="16">
        <f>84.27/(1+B2)</f>
        <v>84.27</v>
      </c>
      <c r="D10487" s="17" t="s">
        <v>11</v>
      </c>
      <c r="E10487" s="17" t="s">
        <v>11</v>
      </c>
      <c r="F10487" s="18"/>
      <c r="G10487" s="36" t="str">
        <f>IF(ISNUMBER(F10487),C10487*F10487,"")</f>
        <v/>
      </c>
    </row>
    <row r="10488" spans="1:7" ht="12" customHeight="1" outlineLevel="2" x14ac:dyDescent="0.2">
      <c r="A10488" s="14" t="s">
        <v>20629</v>
      </c>
      <c r="B10488" s="15" t="s">
        <v>20630</v>
      </c>
      <c r="C10488" s="16">
        <f>74.66/(1+B2)</f>
        <v>74.66</v>
      </c>
      <c r="D10488" s="17" t="s">
        <v>14</v>
      </c>
      <c r="E10488" s="17"/>
      <c r="F10488" s="18"/>
      <c r="G10488" s="36" t="str">
        <f>IF(ISNUMBER(F10488),C10488*F10488,"")</f>
        <v/>
      </c>
    </row>
    <row r="10489" spans="1:7" ht="12" customHeight="1" outlineLevel="2" x14ac:dyDescent="0.2">
      <c r="A10489" s="14" t="s">
        <v>20631</v>
      </c>
      <c r="B10489" s="15" t="s">
        <v>20632</v>
      </c>
      <c r="C10489" s="16">
        <f>140.79/(1+B2)</f>
        <v>140.79</v>
      </c>
      <c r="D10489" s="17" t="s">
        <v>106</v>
      </c>
      <c r="E10489" s="17"/>
      <c r="F10489" s="18"/>
      <c r="G10489" s="36" t="str">
        <f>IF(ISNUMBER(F10489),C10489*F10489,"")</f>
        <v/>
      </c>
    </row>
    <row r="10490" spans="1:7" ht="12" customHeight="1" outlineLevel="2" x14ac:dyDescent="0.2">
      <c r="A10490" s="14" t="s">
        <v>20633</v>
      </c>
      <c r="B10490" s="15" t="s">
        <v>20634</v>
      </c>
      <c r="C10490" s="16">
        <f>78.75/(1+B2)</f>
        <v>78.75</v>
      </c>
      <c r="D10490" s="17" t="s">
        <v>53</v>
      </c>
      <c r="E10490" s="17" t="s">
        <v>53</v>
      </c>
      <c r="F10490" s="18"/>
      <c r="G10490" s="36" t="str">
        <f>IF(ISNUMBER(F10490),C10490*F10490,"")</f>
        <v/>
      </c>
    </row>
    <row r="10491" spans="1:7" ht="12" customHeight="1" outlineLevel="2" x14ac:dyDescent="0.2">
      <c r="A10491" s="14" t="s">
        <v>20635</v>
      </c>
      <c r="B10491" s="15" t="s">
        <v>20636</v>
      </c>
      <c r="C10491" s="16">
        <f>75/(1+B2)</f>
        <v>75</v>
      </c>
      <c r="D10491" s="17" t="s">
        <v>11</v>
      </c>
      <c r="E10491" s="17"/>
      <c r="F10491" s="18"/>
      <c r="G10491" s="36" t="str">
        <f>IF(ISNUMBER(F10491),C10491*F10491,"")</f>
        <v/>
      </c>
    </row>
    <row r="10492" spans="1:7" s="1" customFormat="1" ht="15.95" customHeight="1" outlineLevel="1" x14ac:dyDescent="0.25">
      <c r="A10492" s="11"/>
      <c r="B10492" s="12" t="s">
        <v>20637</v>
      </c>
      <c r="C10492" s="13"/>
      <c r="D10492" s="13"/>
      <c r="E10492" s="13"/>
      <c r="F10492" s="13"/>
      <c r="G10492" s="35"/>
    </row>
    <row r="10493" spans="1:7" ht="12" customHeight="1" outlineLevel="2" x14ac:dyDescent="0.2">
      <c r="A10493" s="14" t="s">
        <v>20638</v>
      </c>
      <c r="B10493" s="15" t="s">
        <v>20639</v>
      </c>
      <c r="C10493" s="19">
        <f>1265.71/(1+B2)</f>
        <v>1265.71</v>
      </c>
      <c r="D10493" s="17" t="s">
        <v>11</v>
      </c>
      <c r="E10493" s="17" t="s">
        <v>11</v>
      </c>
      <c r="F10493" s="18"/>
      <c r="G10493" s="36" t="str">
        <f>IF(ISNUMBER(F10493),C10493*F10493,"")</f>
        <v/>
      </c>
    </row>
    <row r="10494" spans="1:7" ht="12" customHeight="1" outlineLevel="2" x14ac:dyDescent="0.2">
      <c r="A10494" s="14" t="s">
        <v>20640</v>
      </c>
      <c r="B10494" s="15" t="s">
        <v>20641</v>
      </c>
      <c r="C10494" s="19">
        <f>1203.12/(1+B2)</f>
        <v>1203.1199999999999</v>
      </c>
      <c r="D10494" s="17"/>
      <c r="E10494" s="17" t="s">
        <v>11</v>
      </c>
      <c r="F10494" s="18"/>
      <c r="G10494" s="36" t="str">
        <f>IF(ISNUMBER(F10494),C10494*F10494,"")</f>
        <v/>
      </c>
    </row>
    <row r="10495" spans="1:7" ht="12" customHeight="1" outlineLevel="2" x14ac:dyDescent="0.2">
      <c r="A10495" s="14" t="s">
        <v>20642</v>
      </c>
      <c r="B10495" s="15" t="s">
        <v>20643</v>
      </c>
      <c r="C10495" s="19">
        <f>3466.42/(1+B2)</f>
        <v>3466.42</v>
      </c>
      <c r="D10495" s="17" t="s">
        <v>11</v>
      </c>
      <c r="E10495" s="17" t="s">
        <v>11</v>
      </c>
      <c r="F10495" s="18"/>
      <c r="G10495" s="36" t="str">
        <f>IF(ISNUMBER(F10495),C10495*F10495,"")</f>
        <v/>
      </c>
    </row>
    <row r="10496" spans="1:7" ht="12" customHeight="1" outlineLevel="2" x14ac:dyDescent="0.2">
      <c r="A10496" s="14" t="s">
        <v>20644</v>
      </c>
      <c r="B10496" s="15" t="s">
        <v>20645</v>
      </c>
      <c r="C10496" s="19">
        <f>1179.25/(1+B2)</f>
        <v>1179.25</v>
      </c>
      <c r="D10496" s="17" t="s">
        <v>11</v>
      </c>
      <c r="E10496" s="17" t="s">
        <v>11</v>
      </c>
      <c r="F10496" s="18"/>
      <c r="G10496" s="36" t="str">
        <f>IF(ISNUMBER(F10496),C10496*F10496,"")</f>
        <v/>
      </c>
    </row>
    <row r="10497" spans="1:7" s="1" customFormat="1" ht="15.95" customHeight="1" outlineLevel="1" x14ac:dyDescent="0.25">
      <c r="A10497" s="11"/>
      <c r="B10497" s="12" t="s">
        <v>20646</v>
      </c>
      <c r="C10497" s="13"/>
      <c r="D10497" s="13"/>
      <c r="E10497" s="13"/>
      <c r="F10497" s="13"/>
      <c r="G10497" s="35"/>
    </row>
    <row r="10498" spans="1:7" ht="12" customHeight="1" outlineLevel="2" x14ac:dyDescent="0.2">
      <c r="A10498" s="14" t="s">
        <v>20647</v>
      </c>
      <c r="B10498" s="15" t="s">
        <v>20648</v>
      </c>
      <c r="C10498" s="16">
        <f>94.38/(1+B2)</f>
        <v>94.38</v>
      </c>
      <c r="D10498" s="17" t="s">
        <v>11</v>
      </c>
      <c r="E10498" s="17" t="s">
        <v>11</v>
      </c>
      <c r="F10498" s="18"/>
      <c r="G10498" s="36" t="str">
        <f>IF(ISNUMBER(F10498),C10498*F10498,"")</f>
        <v/>
      </c>
    </row>
    <row r="10499" spans="1:7" ht="12" customHeight="1" outlineLevel="2" x14ac:dyDescent="0.2">
      <c r="A10499" s="14" t="s">
        <v>20649</v>
      </c>
      <c r="B10499" s="15" t="s">
        <v>20650</v>
      </c>
      <c r="C10499" s="16">
        <f>141.42/(1+B2)</f>
        <v>141.41999999999999</v>
      </c>
      <c r="D10499" s="17" t="s">
        <v>11</v>
      </c>
      <c r="E10499" s="17" t="s">
        <v>11</v>
      </c>
      <c r="F10499" s="18"/>
      <c r="G10499" s="36" t="str">
        <f>IF(ISNUMBER(F10499),C10499*F10499,"")</f>
        <v/>
      </c>
    </row>
    <row r="10500" spans="1:7" ht="12" customHeight="1" outlineLevel="2" x14ac:dyDescent="0.2">
      <c r="A10500" s="14" t="s">
        <v>20651</v>
      </c>
      <c r="B10500" s="15" t="s">
        <v>20652</v>
      </c>
      <c r="C10500" s="16">
        <f>109.38/(1+B2)</f>
        <v>109.38</v>
      </c>
      <c r="D10500" s="17" t="s">
        <v>11</v>
      </c>
      <c r="E10500" s="17" t="s">
        <v>14</v>
      </c>
      <c r="F10500" s="18"/>
      <c r="G10500" s="36" t="str">
        <f>IF(ISNUMBER(F10500),C10500*F10500,"")</f>
        <v/>
      </c>
    </row>
    <row r="10501" spans="1:7" ht="12" customHeight="1" outlineLevel="2" x14ac:dyDescent="0.2">
      <c r="A10501" s="14" t="s">
        <v>20653</v>
      </c>
      <c r="B10501" s="15" t="s">
        <v>20654</v>
      </c>
      <c r="C10501" s="16">
        <f>224.58/(1+B2)</f>
        <v>224.58</v>
      </c>
      <c r="D10501" s="17"/>
      <c r="E10501" s="17" t="s">
        <v>14</v>
      </c>
      <c r="F10501" s="18"/>
      <c r="G10501" s="36" t="str">
        <f>IF(ISNUMBER(F10501),C10501*F10501,"")</f>
        <v/>
      </c>
    </row>
    <row r="10502" spans="1:7" ht="12" customHeight="1" outlineLevel="2" x14ac:dyDescent="0.2">
      <c r="A10502" s="14" t="s">
        <v>20655</v>
      </c>
      <c r="B10502" s="15" t="s">
        <v>20656</v>
      </c>
      <c r="C10502" s="16">
        <f>273.3/(1+B2)</f>
        <v>273.3</v>
      </c>
      <c r="D10502" s="17" t="s">
        <v>11</v>
      </c>
      <c r="E10502" s="17" t="s">
        <v>11</v>
      </c>
      <c r="F10502" s="18"/>
      <c r="G10502" s="36" t="str">
        <f>IF(ISNUMBER(F10502),C10502*F10502,"")</f>
        <v/>
      </c>
    </row>
    <row r="10503" spans="1:7" ht="12" customHeight="1" outlineLevel="2" x14ac:dyDescent="0.2">
      <c r="A10503" s="14" t="s">
        <v>20657</v>
      </c>
      <c r="B10503" s="15" t="s">
        <v>20658</v>
      </c>
      <c r="C10503" s="16">
        <f>131.16/(1+B2)</f>
        <v>131.16</v>
      </c>
      <c r="D10503" s="17" t="s">
        <v>11</v>
      </c>
      <c r="E10503" s="17" t="s">
        <v>11</v>
      </c>
      <c r="F10503" s="18"/>
      <c r="G10503" s="36" t="str">
        <f>IF(ISNUMBER(F10503),C10503*F10503,"")</f>
        <v/>
      </c>
    </row>
    <row r="10504" spans="1:7" ht="12" customHeight="1" outlineLevel="2" x14ac:dyDescent="0.2">
      <c r="A10504" s="14" t="s">
        <v>20659</v>
      </c>
      <c r="B10504" s="15" t="s">
        <v>20660</v>
      </c>
      <c r="C10504" s="16">
        <f>154.48/(1+B2)</f>
        <v>154.47999999999999</v>
      </c>
      <c r="D10504" s="17" t="s">
        <v>11</v>
      </c>
      <c r="E10504" s="17" t="s">
        <v>14</v>
      </c>
      <c r="F10504" s="18"/>
      <c r="G10504" s="36" t="str">
        <f>IF(ISNUMBER(F10504),C10504*F10504,"")</f>
        <v/>
      </c>
    </row>
    <row r="10505" spans="1:7" ht="12" customHeight="1" outlineLevel="2" x14ac:dyDescent="0.2">
      <c r="A10505" s="14" t="s">
        <v>20661</v>
      </c>
      <c r="B10505" s="15" t="s">
        <v>20662</v>
      </c>
      <c r="C10505" s="16">
        <f>138.18/(1+B2)</f>
        <v>138.18</v>
      </c>
      <c r="D10505" s="17" t="s">
        <v>11</v>
      </c>
      <c r="E10505" s="17" t="s">
        <v>11</v>
      </c>
      <c r="F10505" s="18"/>
      <c r="G10505" s="36" t="str">
        <f>IF(ISNUMBER(F10505),C10505*F10505,"")</f>
        <v/>
      </c>
    </row>
    <row r="10506" spans="1:7" ht="12" customHeight="1" outlineLevel="2" x14ac:dyDescent="0.2">
      <c r="A10506" s="14" t="s">
        <v>20663</v>
      </c>
      <c r="B10506" s="15" t="s">
        <v>20664</v>
      </c>
      <c r="C10506" s="16">
        <f>173.88/(1+B2)</f>
        <v>173.88</v>
      </c>
      <c r="D10506" s="17" t="s">
        <v>11</v>
      </c>
      <c r="E10506" s="17" t="s">
        <v>11</v>
      </c>
      <c r="F10506" s="18"/>
      <c r="G10506" s="36" t="str">
        <f>IF(ISNUMBER(F10506),C10506*F10506,"")</f>
        <v/>
      </c>
    </row>
    <row r="10507" spans="1:7" ht="12" customHeight="1" outlineLevel="2" x14ac:dyDescent="0.2">
      <c r="A10507" s="14" t="s">
        <v>20665</v>
      </c>
      <c r="B10507" s="15" t="s">
        <v>20666</v>
      </c>
      <c r="C10507" s="16">
        <f>220.68/(1+B2)</f>
        <v>220.68</v>
      </c>
      <c r="D10507" s="17" t="s">
        <v>11</v>
      </c>
      <c r="E10507" s="17" t="s">
        <v>11</v>
      </c>
      <c r="F10507" s="18"/>
      <c r="G10507" s="36" t="str">
        <f>IF(ISNUMBER(F10507),C10507*F10507,"")</f>
        <v/>
      </c>
    </row>
    <row r="10508" spans="1:7" ht="12" customHeight="1" outlineLevel="2" x14ac:dyDescent="0.2">
      <c r="A10508" s="14" t="s">
        <v>20667</v>
      </c>
      <c r="B10508" s="15" t="s">
        <v>20668</v>
      </c>
      <c r="C10508" s="16">
        <f>221.82/(1+B2)</f>
        <v>221.82</v>
      </c>
      <c r="D10508" s="17" t="s">
        <v>11</v>
      </c>
      <c r="E10508" s="17" t="s">
        <v>11</v>
      </c>
      <c r="F10508" s="18"/>
      <c r="G10508" s="36" t="str">
        <f>IF(ISNUMBER(F10508),C10508*F10508,"")</f>
        <v/>
      </c>
    </row>
    <row r="10509" spans="1:7" ht="12" customHeight="1" outlineLevel="2" x14ac:dyDescent="0.2">
      <c r="A10509" s="14" t="s">
        <v>20669</v>
      </c>
      <c r="B10509" s="15" t="s">
        <v>20670</v>
      </c>
      <c r="C10509" s="16">
        <f>217.62/(1+B2)</f>
        <v>217.62</v>
      </c>
      <c r="D10509" s="17" t="s">
        <v>11</v>
      </c>
      <c r="E10509" s="17" t="s">
        <v>11</v>
      </c>
      <c r="F10509" s="18"/>
      <c r="G10509" s="36" t="str">
        <f>IF(ISNUMBER(F10509),C10509*F10509,"")</f>
        <v/>
      </c>
    </row>
    <row r="10510" spans="1:7" ht="12" customHeight="1" outlineLevel="2" x14ac:dyDescent="0.2">
      <c r="A10510" s="14" t="s">
        <v>20671</v>
      </c>
      <c r="B10510" s="15" t="s">
        <v>20672</v>
      </c>
      <c r="C10510" s="16">
        <f>113.88/(1+B2)</f>
        <v>113.88</v>
      </c>
      <c r="D10510" s="17" t="s">
        <v>11</v>
      </c>
      <c r="E10510" s="17"/>
      <c r="F10510" s="18"/>
      <c r="G10510" s="36" t="str">
        <f>IF(ISNUMBER(F10510),C10510*F10510,"")</f>
        <v/>
      </c>
    </row>
    <row r="10511" spans="1:7" ht="24" customHeight="1" outlineLevel="2" x14ac:dyDescent="0.2">
      <c r="A10511" s="14" t="s">
        <v>20673</v>
      </c>
      <c r="B10511" s="15" t="s">
        <v>20674</v>
      </c>
      <c r="C10511" s="16">
        <f>119.58/(1+B2)</f>
        <v>119.58</v>
      </c>
      <c r="D10511" s="17" t="s">
        <v>11</v>
      </c>
      <c r="E10511" s="17"/>
      <c r="F10511" s="18"/>
      <c r="G10511" s="36" t="str">
        <f>IF(ISNUMBER(F10511),C10511*F10511,"")</f>
        <v/>
      </c>
    </row>
    <row r="10512" spans="1:7" ht="12" customHeight="1" outlineLevel="2" x14ac:dyDescent="0.2">
      <c r="A10512" s="14" t="s">
        <v>20675</v>
      </c>
      <c r="B10512" s="15" t="s">
        <v>20676</v>
      </c>
      <c r="C10512" s="16">
        <f>115.2/(1+B2)</f>
        <v>115.2</v>
      </c>
      <c r="D10512" s="17" t="s">
        <v>11</v>
      </c>
      <c r="E10512" s="17" t="s">
        <v>11</v>
      </c>
      <c r="F10512" s="18"/>
      <c r="G10512" s="36" t="str">
        <f>IF(ISNUMBER(F10512),C10512*F10512,"")</f>
        <v/>
      </c>
    </row>
    <row r="10513" spans="1:7" ht="12" customHeight="1" outlineLevel="2" x14ac:dyDescent="0.2">
      <c r="A10513" s="14" t="s">
        <v>20677</v>
      </c>
      <c r="B10513" s="15" t="s">
        <v>20678</v>
      </c>
      <c r="C10513" s="16">
        <f>86.4/(1+B2)</f>
        <v>86.4</v>
      </c>
      <c r="D10513" s="17" t="s">
        <v>11</v>
      </c>
      <c r="E10513" s="17" t="s">
        <v>14</v>
      </c>
      <c r="F10513" s="18"/>
      <c r="G10513" s="36" t="str">
        <f>IF(ISNUMBER(F10513),C10513*F10513,"")</f>
        <v/>
      </c>
    </row>
    <row r="10514" spans="1:7" ht="12" customHeight="1" outlineLevel="2" x14ac:dyDescent="0.2">
      <c r="A10514" s="14" t="s">
        <v>20679</v>
      </c>
      <c r="B10514" s="15" t="s">
        <v>20680</v>
      </c>
      <c r="C10514" s="16">
        <f>214.65/(1+B2)</f>
        <v>214.65</v>
      </c>
      <c r="D10514" s="17" t="s">
        <v>11</v>
      </c>
      <c r="E10514" s="17" t="s">
        <v>53</v>
      </c>
      <c r="F10514" s="18"/>
      <c r="G10514" s="36" t="str">
        <f>IF(ISNUMBER(F10514),C10514*F10514,"")</f>
        <v/>
      </c>
    </row>
    <row r="10515" spans="1:7" ht="12" customHeight="1" outlineLevel="2" x14ac:dyDescent="0.2">
      <c r="A10515" s="14" t="s">
        <v>20681</v>
      </c>
      <c r="B10515" s="15" t="s">
        <v>20682</v>
      </c>
      <c r="C10515" s="16">
        <f>151.2/(1+B2)</f>
        <v>151.19999999999999</v>
      </c>
      <c r="D10515" s="17" t="s">
        <v>11</v>
      </c>
      <c r="E10515" s="17" t="s">
        <v>53</v>
      </c>
      <c r="F10515" s="18"/>
      <c r="G10515" s="36" t="str">
        <f>IF(ISNUMBER(F10515),C10515*F10515,"")</f>
        <v/>
      </c>
    </row>
    <row r="10516" spans="1:7" ht="12" customHeight="1" outlineLevel="2" x14ac:dyDescent="0.2">
      <c r="A10516" s="14" t="s">
        <v>20683</v>
      </c>
      <c r="B10516" s="15" t="s">
        <v>20684</v>
      </c>
      <c r="C10516" s="16">
        <f>152.15/(1+B2)</f>
        <v>152.15</v>
      </c>
      <c r="D10516" s="17" t="s">
        <v>11</v>
      </c>
      <c r="E10516" s="17" t="s">
        <v>106</v>
      </c>
      <c r="F10516" s="18"/>
      <c r="G10516" s="36" t="str">
        <f>IF(ISNUMBER(F10516),C10516*F10516,"")</f>
        <v/>
      </c>
    </row>
    <row r="10517" spans="1:7" ht="12" customHeight="1" outlineLevel="2" x14ac:dyDescent="0.2">
      <c r="A10517" s="14" t="s">
        <v>20685</v>
      </c>
      <c r="B10517" s="15" t="s">
        <v>20686</v>
      </c>
      <c r="C10517" s="16">
        <f>280.52/(1+B2)</f>
        <v>280.52</v>
      </c>
      <c r="D10517" s="17" t="s">
        <v>11</v>
      </c>
      <c r="E10517" s="17" t="s">
        <v>106</v>
      </c>
      <c r="F10517" s="18"/>
      <c r="G10517" s="36" t="str">
        <f>IF(ISNUMBER(F10517),C10517*F10517,"")</f>
        <v/>
      </c>
    </row>
    <row r="10518" spans="1:7" ht="12" customHeight="1" outlineLevel="2" x14ac:dyDescent="0.2">
      <c r="A10518" s="14" t="s">
        <v>20687</v>
      </c>
      <c r="B10518" s="15" t="s">
        <v>20688</v>
      </c>
      <c r="C10518" s="16">
        <f>83.21/(1+B2)</f>
        <v>83.21</v>
      </c>
      <c r="D10518" s="17" t="s">
        <v>11</v>
      </c>
      <c r="E10518" s="17" t="s">
        <v>53</v>
      </c>
      <c r="F10518" s="18"/>
      <c r="G10518" s="36" t="str">
        <f>IF(ISNUMBER(F10518),C10518*F10518,"")</f>
        <v/>
      </c>
    </row>
    <row r="10519" spans="1:7" ht="12" customHeight="1" outlineLevel="2" x14ac:dyDescent="0.2">
      <c r="A10519" s="14" t="s">
        <v>20689</v>
      </c>
      <c r="B10519" s="15" t="s">
        <v>20690</v>
      </c>
      <c r="C10519" s="16">
        <f>147.84/(1+B2)</f>
        <v>147.84</v>
      </c>
      <c r="D10519" s="17" t="s">
        <v>11</v>
      </c>
      <c r="E10519" s="17" t="s">
        <v>106</v>
      </c>
      <c r="F10519" s="18"/>
      <c r="G10519" s="36" t="str">
        <f>IF(ISNUMBER(F10519),C10519*F10519,"")</f>
        <v/>
      </c>
    </row>
    <row r="10520" spans="1:7" ht="12" customHeight="1" outlineLevel="2" x14ac:dyDescent="0.2">
      <c r="A10520" s="14" t="s">
        <v>20691</v>
      </c>
      <c r="B10520" s="15" t="s">
        <v>20692</v>
      </c>
      <c r="C10520" s="16">
        <f>164.52/(1+B2)</f>
        <v>164.52</v>
      </c>
      <c r="D10520" s="17" t="s">
        <v>11</v>
      </c>
      <c r="E10520" s="17" t="s">
        <v>11</v>
      </c>
      <c r="F10520" s="18"/>
      <c r="G10520" s="36" t="str">
        <f>IF(ISNUMBER(F10520),C10520*F10520,"")</f>
        <v/>
      </c>
    </row>
    <row r="10521" spans="1:7" ht="12" customHeight="1" outlineLevel="2" x14ac:dyDescent="0.2">
      <c r="A10521" s="14" t="s">
        <v>20693</v>
      </c>
      <c r="B10521" s="15" t="s">
        <v>20694</v>
      </c>
      <c r="C10521" s="16">
        <f>139.44/(1+B2)</f>
        <v>139.44</v>
      </c>
      <c r="D10521" s="17" t="s">
        <v>11</v>
      </c>
      <c r="E10521" s="17" t="s">
        <v>11</v>
      </c>
      <c r="F10521" s="18"/>
      <c r="G10521" s="36" t="str">
        <f>IF(ISNUMBER(F10521),C10521*F10521,"")</f>
        <v/>
      </c>
    </row>
    <row r="10522" spans="1:7" ht="12" customHeight="1" outlineLevel="2" x14ac:dyDescent="0.2">
      <c r="A10522" s="14" t="s">
        <v>20695</v>
      </c>
      <c r="B10522" s="15" t="s">
        <v>20696</v>
      </c>
      <c r="C10522" s="16">
        <f>188.1/(1+B2)</f>
        <v>188.1</v>
      </c>
      <c r="D10522" s="17" t="s">
        <v>14</v>
      </c>
      <c r="E10522" s="17" t="s">
        <v>11</v>
      </c>
      <c r="F10522" s="18"/>
      <c r="G10522" s="36" t="str">
        <f>IF(ISNUMBER(F10522),C10522*F10522,"")</f>
        <v/>
      </c>
    </row>
    <row r="10523" spans="1:7" s="1" customFormat="1" ht="15.95" customHeight="1" outlineLevel="1" x14ac:dyDescent="0.25">
      <c r="A10523" s="11"/>
      <c r="B10523" s="12" t="s">
        <v>20697</v>
      </c>
      <c r="C10523" s="13"/>
      <c r="D10523" s="13"/>
      <c r="E10523" s="13"/>
      <c r="F10523" s="13"/>
      <c r="G10523" s="35"/>
    </row>
    <row r="10524" spans="1:7" ht="12" customHeight="1" outlineLevel="2" x14ac:dyDescent="0.2">
      <c r="A10524" s="14" t="s">
        <v>20698</v>
      </c>
      <c r="B10524" s="15" t="s">
        <v>20699</v>
      </c>
      <c r="C10524" s="16">
        <f>214.27/(1+B2)</f>
        <v>214.27</v>
      </c>
      <c r="D10524" s="17" t="s">
        <v>11</v>
      </c>
      <c r="E10524" s="17"/>
      <c r="F10524" s="18"/>
      <c r="G10524" s="36" t="str">
        <f>IF(ISNUMBER(F10524),C10524*F10524,"")</f>
        <v/>
      </c>
    </row>
    <row r="10525" spans="1:7" ht="24" customHeight="1" outlineLevel="2" x14ac:dyDescent="0.2">
      <c r="A10525" s="14" t="s">
        <v>20700</v>
      </c>
      <c r="B10525" s="15" t="s">
        <v>20701</v>
      </c>
      <c r="C10525" s="16">
        <f>269.92/(1+B2)</f>
        <v>269.92</v>
      </c>
      <c r="D10525" s="17" t="s">
        <v>11</v>
      </c>
      <c r="E10525" s="17"/>
      <c r="F10525" s="18"/>
      <c r="G10525" s="36" t="str">
        <f>IF(ISNUMBER(F10525),C10525*F10525,"")</f>
        <v/>
      </c>
    </row>
    <row r="10526" spans="1:7" s="1" customFormat="1" ht="15.95" customHeight="1" outlineLevel="1" x14ac:dyDescent="0.25">
      <c r="A10526" s="11"/>
      <c r="B10526" s="12" t="s">
        <v>20702</v>
      </c>
      <c r="C10526" s="13"/>
      <c r="D10526" s="13"/>
      <c r="E10526" s="13"/>
      <c r="F10526" s="13"/>
      <c r="G10526" s="35"/>
    </row>
    <row r="10527" spans="1:7" ht="24" customHeight="1" outlineLevel="2" x14ac:dyDescent="0.2">
      <c r="A10527" s="14" t="s">
        <v>20703</v>
      </c>
      <c r="B10527" s="15" t="s">
        <v>20704</v>
      </c>
      <c r="C10527" s="16">
        <f>121.71/(1+B2)</f>
        <v>121.71</v>
      </c>
      <c r="D10527" s="17" t="s">
        <v>11</v>
      </c>
      <c r="E10527" s="17"/>
      <c r="F10527" s="18"/>
      <c r="G10527" s="36" t="str">
        <f>IF(ISNUMBER(F10527),C10527*F10527,"")</f>
        <v/>
      </c>
    </row>
    <row r="10528" spans="1:7" ht="12" customHeight="1" outlineLevel="2" x14ac:dyDescent="0.2">
      <c r="A10528" s="14" t="s">
        <v>20705</v>
      </c>
      <c r="B10528" s="15" t="s">
        <v>20706</v>
      </c>
      <c r="C10528" s="16">
        <f>37.04/(1+B2)</f>
        <v>37.04</v>
      </c>
      <c r="D10528" s="17" t="s">
        <v>11</v>
      </c>
      <c r="E10528" s="17"/>
      <c r="F10528" s="18"/>
      <c r="G10528" s="36" t="str">
        <f>IF(ISNUMBER(F10528),C10528*F10528,"")</f>
        <v/>
      </c>
    </row>
    <row r="10529" spans="1:7" ht="12" customHeight="1" outlineLevel="2" x14ac:dyDescent="0.2">
      <c r="A10529" s="14" t="s">
        <v>20707</v>
      </c>
      <c r="B10529" s="15" t="s">
        <v>20708</v>
      </c>
      <c r="C10529" s="16">
        <f>28.6/(1+B2)</f>
        <v>28.6</v>
      </c>
      <c r="D10529" s="17" t="s">
        <v>11</v>
      </c>
      <c r="E10529" s="17"/>
      <c r="F10529" s="18"/>
      <c r="G10529" s="36" t="str">
        <f>IF(ISNUMBER(F10529),C10529*F10529,"")</f>
        <v/>
      </c>
    </row>
    <row r="10530" spans="1:7" ht="24" customHeight="1" outlineLevel="2" x14ac:dyDescent="0.2">
      <c r="A10530" s="14" t="s">
        <v>20709</v>
      </c>
      <c r="B10530" s="15" t="s">
        <v>20710</v>
      </c>
      <c r="C10530" s="16">
        <f>228.38/(1+B2)</f>
        <v>228.38</v>
      </c>
      <c r="D10530" s="17" t="s">
        <v>11</v>
      </c>
      <c r="E10530" s="17" t="s">
        <v>11</v>
      </c>
      <c r="F10530" s="18"/>
      <c r="G10530" s="36" t="str">
        <f>IF(ISNUMBER(F10530),C10530*F10530,"")</f>
        <v/>
      </c>
    </row>
    <row r="10531" spans="1:7" ht="24" customHeight="1" outlineLevel="2" x14ac:dyDescent="0.2">
      <c r="A10531" s="14" t="s">
        <v>20711</v>
      </c>
      <c r="B10531" s="15" t="s">
        <v>20712</v>
      </c>
      <c r="C10531" s="16">
        <f>205.55/(1+B2)</f>
        <v>205.55</v>
      </c>
      <c r="D10531" s="17" t="s">
        <v>11</v>
      </c>
      <c r="E10531" s="17" t="s">
        <v>11</v>
      </c>
      <c r="F10531" s="18"/>
      <c r="G10531" s="36" t="str">
        <f>IF(ISNUMBER(F10531),C10531*F10531,"")</f>
        <v/>
      </c>
    </row>
    <row r="10532" spans="1:7" ht="24" customHeight="1" outlineLevel="2" x14ac:dyDescent="0.2">
      <c r="A10532" s="14" t="s">
        <v>20713</v>
      </c>
      <c r="B10532" s="15" t="s">
        <v>20714</v>
      </c>
      <c r="C10532" s="16">
        <f>177/(1+B2)</f>
        <v>177</v>
      </c>
      <c r="D10532" s="17" t="s">
        <v>11</v>
      </c>
      <c r="E10532" s="17" t="s">
        <v>11</v>
      </c>
      <c r="F10532" s="18"/>
      <c r="G10532" s="36" t="str">
        <f>IF(ISNUMBER(F10532),C10532*F10532,"")</f>
        <v/>
      </c>
    </row>
    <row r="10533" spans="1:7" ht="24" customHeight="1" outlineLevel="2" x14ac:dyDescent="0.2">
      <c r="A10533" s="14" t="s">
        <v>20715</v>
      </c>
      <c r="B10533" s="15" t="s">
        <v>20716</v>
      </c>
      <c r="C10533" s="16">
        <f>425.24/(1+B2)</f>
        <v>425.24</v>
      </c>
      <c r="D10533" s="17" t="s">
        <v>11</v>
      </c>
      <c r="E10533" s="17"/>
      <c r="F10533" s="18"/>
      <c r="G10533" s="36" t="str">
        <f>IF(ISNUMBER(F10533),C10533*F10533,"")</f>
        <v/>
      </c>
    </row>
    <row r="10534" spans="1:7" ht="24" customHeight="1" outlineLevel="2" x14ac:dyDescent="0.2">
      <c r="A10534" s="14" t="s">
        <v>20717</v>
      </c>
      <c r="B10534" s="15" t="s">
        <v>20718</v>
      </c>
      <c r="C10534" s="16">
        <f>274.07/(1+B2)</f>
        <v>274.07</v>
      </c>
      <c r="D10534" s="17" t="s">
        <v>11</v>
      </c>
      <c r="E10534" s="17"/>
      <c r="F10534" s="18"/>
      <c r="G10534" s="36" t="str">
        <f>IF(ISNUMBER(F10534),C10534*F10534,"")</f>
        <v/>
      </c>
    </row>
    <row r="10535" spans="1:7" ht="12" customHeight="1" outlineLevel="2" x14ac:dyDescent="0.2">
      <c r="A10535" s="14" t="s">
        <v>20719</v>
      </c>
      <c r="B10535" s="15" t="s">
        <v>20720</v>
      </c>
      <c r="C10535" s="16">
        <f>31.67/(1+B2)</f>
        <v>31.67</v>
      </c>
      <c r="D10535" s="17" t="s">
        <v>11</v>
      </c>
      <c r="E10535" s="17" t="s">
        <v>53</v>
      </c>
      <c r="F10535" s="18"/>
      <c r="G10535" s="36" t="str">
        <f>IF(ISNUMBER(F10535),C10535*F10535,"")</f>
        <v/>
      </c>
    </row>
    <row r="10536" spans="1:7" ht="12" customHeight="1" outlineLevel="2" x14ac:dyDescent="0.2">
      <c r="A10536" s="14" t="s">
        <v>20721</v>
      </c>
      <c r="B10536" s="15" t="s">
        <v>20722</v>
      </c>
      <c r="C10536" s="16">
        <f>36.9/(1+B2)</f>
        <v>36.9</v>
      </c>
      <c r="D10536" s="17" t="s">
        <v>14</v>
      </c>
      <c r="E10536" s="17" t="s">
        <v>53</v>
      </c>
      <c r="F10536" s="18"/>
      <c r="G10536" s="36" t="str">
        <f>IF(ISNUMBER(F10536),C10536*F10536,"")</f>
        <v/>
      </c>
    </row>
    <row r="10537" spans="1:7" ht="24" customHeight="1" outlineLevel="2" x14ac:dyDescent="0.2">
      <c r="A10537" s="14" t="s">
        <v>20723</v>
      </c>
      <c r="B10537" s="15" t="s">
        <v>20724</v>
      </c>
      <c r="C10537" s="16">
        <f>182.93/(1+B2)</f>
        <v>182.93</v>
      </c>
      <c r="D10537" s="17" t="s">
        <v>11</v>
      </c>
      <c r="E10537" s="17"/>
      <c r="F10537" s="18"/>
      <c r="G10537" s="36" t="str">
        <f>IF(ISNUMBER(F10537),C10537*F10537,"")</f>
        <v/>
      </c>
    </row>
    <row r="10538" spans="1:7" ht="24" customHeight="1" outlineLevel="2" x14ac:dyDescent="0.2">
      <c r="A10538" s="14" t="s">
        <v>20725</v>
      </c>
      <c r="B10538" s="15" t="s">
        <v>20726</v>
      </c>
      <c r="C10538" s="16">
        <f>140.35/(1+B2)</f>
        <v>140.35</v>
      </c>
      <c r="D10538" s="17" t="s">
        <v>11</v>
      </c>
      <c r="E10538" s="17" t="s">
        <v>11</v>
      </c>
      <c r="F10538" s="18"/>
      <c r="G10538" s="36" t="str">
        <f>IF(ISNUMBER(F10538),C10538*F10538,"")</f>
        <v/>
      </c>
    </row>
    <row r="10539" spans="1:7" s="1" customFormat="1" ht="15.95" customHeight="1" outlineLevel="1" x14ac:dyDescent="0.25">
      <c r="A10539" s="11"/>
      <c r="B10539" s="12" t="s">
        <v>20727</v>
      </c>
      <c r="C10539" s="13"/>
      <c r="D10539" s="13"/>
      <c r="E10539" s="13"/>
      <c r="F10539" s="13"/>
      <c r="G10539" s="35"/>
    </row>
    <row r="10540" spans="1:7" ht="12" customHeight="1" outlineLevel="2" x14ac:dyDescent="0.2">
      <c r="A10540" s="14" t="s">
        <v>20728</v>
      </c>
      <c r="B10540" s="15" t="s">
        <v>20729</v>
      </c>
      <c r="C10540" s="16">
        <f>132.36/(1+B2)</f>
        <v>132.36000000000001</v>
      </c>
      <c r="D10540" s="17" t="s">
        <v>11</v>
      </c>
      <c r="E10540" s="17"/>
      <c r="F10540" s="18"/>
      <c r="G10540" s="36" t="str">
        <f>IF(ISNUMBER(F10540),C10540*F10540,"")</f>
        <v/>
      </c>
    </row>
    <row r="10541" spans="1:7" ht="12" customHeight="1" outlineLevel="2" x14ac:dyDescent="0.2">
      <c r="A10541" s="14" t="s">
        <v>20730</v>
      </c>
      <c r="B10541" s="15" t="s">
        <v>20731</v>
      </c>
      <c r="C10541" s="16">
        <f>107.52/(1+B2)</f>
        <v>107.52</v>
      </c>
      <c r="D10541" s="17" t="s">
        <v>11</v>
      </c>
      <c r="E10541" s="17" t="s">
        <v>14</v>
      </c>
      <c r="F10541" s="18"/>
      <c r="G10541" s="36" t="str">
        <f>IF(ISNUMBER(F10541),C10541*F10541,"")</f>
        <v/>
      </c>
    </row>
    <row r="10542" spans="1:7" ht="12" customHeight="1" outlineLevel="2" x14ac:dyDescent="0.2">
      <c r="A10542" s="14" t="s">
        <v>20732</v>
      </c>
      <c r="B10542" s="15" t="s">
        <v>20733</v>
      </c>
      <c r="C10542" s="16">
        <f>133.38/(1+B2)</f>
        <v>133.38</v>
      </c>
      <c r="D10542" s="17" t="s">
        <v>11</v>
      </c>
      <c r="E10542" s="17" t="s">
        <v>106</v>
      </c>
      <c r="F10542" s="18"/>
      <c r="G10542" s="36" t="str">
        <f>IF(ISNUMBER(F10542),C10542*F10542,"")</f>
        <v/>
      </c>
    </row>
    <row r="10543" spans="1:7" ht="12" customHeight="1" outlineLevel="2" x14ac:dyDescent="0.2">
      <c r="A10543" s="14" t="s">
        <v>20734</v>
      </c>
      <c r="B10543" s="15" t="s">
        <v>20735</v>
      </c>
      <c r="C10543" s="16">
        <f>72.68/(1+B2)</f>
        <v>72.680000000000007</v>
      </c>
      <c r="D10543" s="17" t="s">
        <v>11</v>
      </c>
      <c r="E10543" s="17"/>
      <c r="F10543" s="18"/>
      <c r="G10543" s="36" t="str">
        <f>IF(ISNUMBER(F10543),C10543*F10543,"")</f>
        <v/>
      </c>
    </row>
    <row r="10544" spans="1:7" ht="12" customHeight="1" outlineLevel="2" x14ac:dyDescent="0.2">
      <c r="A10544" s="14" t="s">
        <v>20736</v>
      </c>
      <c r="B10544" s="15" t="s">
        <v>20737</v>
      </c>
      <c r="C10544" s="16">
        <f>111.06/(1+B2)</f>
        <v>111.06</v>
      </c>
      <c r="D10544" s="17" t="s">
        <v>11</v>
      </c>
      <c r="E10544" s="17" t="s">
        <v>14</v>
      </c>
      <c r="F10544" s="18"/>
      <c r="G10544" s="36" t="str">
        <f>IF(ISNUMBER(F10544),C10544*F10544,"")</f>
        <v/>
      </c>
    </row>
    <row r="10545" spans="1:7" ht="12" customHeight="1" outlineLevel="2" x14ac:dyDescent="0.2">
      <c r="A10545" s="14" t="s">
        <v>20738</v>
      </c>
      <c r="B10545" s="15" t="s">
        <v>20739</v>
      </c>
      <c r="C10545" s="16">
        <f>101.4/(1+B2)</f>
        <v>101.4</v>
      </c>
      <c r="D10545" s="17" t="s">
        <v>11</v>
      </c>
      <c r="E10545" s="17"/>
      <c r="F10545" s="18"/>
      <c r="G10545" s="36" t="str">
        <f>IF(ISNUMBER(F10545),C10545*F10545,"")</f>
        <v/>
      </c>
    </row>
    <row r="10546" spans="1:7" ht="12" customHeight="1" outlineLevel="2" x14ac:dyDescent="0.2">
      <c r="A10546" s="14" t="s">
        <v>20740</v>
      </c>
      <c r="B10546" s="15" t="s">
        <v>20741</v>
      </c>
      <c r="C10546" s="16">
        <f>39.6/(1+B2)</f>
        <v>39.6</v>
      </c>
      <c r="D10546" s="17" t="s">
        <v>11</v>
      </c>
      <c r="E10546" s="17"/>
      <c r="F10546" s="18"/>
      <c r="G10546" s="36" t="str">
        <f>IF(ISNUMBER(F10546),C10546*F10546,"")</f>
        <v/>
      </c>
    </row>
    <row r="10547" spans="1:7" ht="12" customHeight="1" outlineLevel="2" x14ac:dyDescent="0.2">
      <c r="A10547" s="14" t="s">
        <v>20742</v>
      </c>
      <c r="B10547" s="15" t="s">
        <v>20743</v>
      </c>
      <c r="C10547" s="16">
        <f>40.5/(1+B2)</f>
        <v>40.5</v>
      </c>
      <c r="D10547" s="17" t="s">
        <v>11</v>
      </c>
      <c r="E10547" s="17" t="s">
        <v>53</v>
      </c>
      <c r="F10547" s="18"/>
      <c r="G10547" s="36" t="str">
        <f>IF(ISNUMBER(F10547),C10547*F10547,"")</f>
        <v/>
      </c>
    </row>
    <row r="10548" spans="1:7" ht="12" customHeight="1" outlineLevel="2" x14ac:dyDescent="0.2">
      <c r="A10548" s="14" t="s">
        <v>20744</v>
      </c>
      <c r="B10548" s="15" t="s">
        <v>20745</v>
      </c>
      <c r="C10548" s="16">
        <f>61.94/(1+B2)</f>
        <v>61.94</v>
      </c>
      <c r="D10548" s="17" t="s">
        <v>11</v>
      </c>
      <c r="E10548" s="17"/>
      <c r="F10548" s="18"/>
      <c r="G10548" s="36" t="str">
        <f>IF(ISNUMBER(F10548),C10548*F10548,"")</f>
        <v/>
      </c>
    </row>
    <row r="10549" spans="1:7" ht="12" customHeight="1" outlineLevel="2" x14ac:dyDescent="0.2">
      <c r="A10549" s="14" t="s">
        <v>20746</v>
      </c>
      <c r="B10549" s="15" t="s">
        <v>20747</v>
      </c>
      <c r="C10549" s="16">
        <f>39.97/(1+B2)</f>
        <v>39.97</v>
      </c>
      <c r="D10549" s="17" t="s">
        <v>11</v>
      </c>
      <c r="E10549" s="17" t="s">
        <v>11</v>
      </c>
      <c r="F10549" s="18"/>
      <c r="G10549" s="36" t="str">
        <f>IF(ISNUMBER(F10549),C10549*F10549,"")</f>
        <v/>
      </c>
    </row>
    <row r="10550" spans="1:7" ht="12" customHeight="1" outlineLevel="2" x14ac:dyDescent="0.2">
      <c r="A10550" s="14" t="s">
        <v>20748</v>
      </c>
      <c r="B10550" s="15" t="s">
        <v>20749</v>
      </c>
      <c r="C10550" s="16">
        <f>82.22/(1+B2)</f>
        <v>82.22</v>
      </c>
      <c r="D10550" s="17" t="s">
        <v>11</v>
      </c>
      <c r="E10550" s="17" t="s">
        <v>11</v>
      </c>
      <c r="F10550" s="18"/>
      <c r="G10550" s="36" t="str">
        <f>IF(ISNUMBER(F10550),C10550*F10550,"")</f>
        <v/>
      </c>
    </row>
    <row r="10551" spans="1:7" ht="12" customHeight="1" outlineLevel="2" x14ac:dyDescent="0.2">
      <c r="A10551" s="14" t="s">
        <v>20750</v>
      </c>
      <c r="B10551" s="15" t="s">
        <v>20751</v>
      </c>
      <c r="C10551" s="16">
        <f>85.43/(1+B2)</f>
        <v>85.43</v>
      </c>
      <c r="D10551" s="17" t="s">
        <v>11</v>
      </c>
      <c r="E10551" s="17"/>
      <c r="F10551" s="18"/>
      <c r="G10551" s="36" t="str">
        <f>IF(ISNUMBER(F10551),C10551*F10551,"")</f>
        <v/>
      </c>
    </row>
    <row r="10552" spans="1:7" ht="12" customHeight="1" outlineLevel="2" x14ac:dyDescent="0.2">
      <c r="A10552" s="14" t="s">
        <v>20752</v>
      </c>
      <c r="B10552" s="15" t="s">
        <v>20753</v>
      </c>
      <c r="C10552" s="16">
        <f>88.68/(1+B2)</f>
        <v>88.68</v>
      </c>
      <c r="D10552" s="17" t="s">
        <v>11</v>
      </c>
      <c r="E10552" s="17"/>
      <c r="F10552" s="18"/>
      <c r="G10552" s="36" t="str">
        <f>IF(ISNUMBER(F10552),C10552*F10552,"")</f>
        <v/>
      </c>
    </row>
    <row r="10553" spans="1:7" ht="12" customHeight="1" outlineLevel="2" x14ac:dyDescent="0.2">
      <c r="A10553" s="14" t="s">
        <v>20754</v>
      </c>
      <c r="B10553" s="15" t="s">
        <v>20755</v>
      </c>
      <c r="C10553" s="16">
        <f>63.69/(1+B2)</f>
        <v>63.69</v>
      </c>
      <c r="D10553" s="17" t="s">
        <v>11</v>
      </c>
      <c r="E10553" s="17" t="s">
        <v>11</v>
      </c>
      <c r="F10553" s="18"/>
      <c r="G10553" s="36" t="str">
        <f>IF(ISNUMBER(F10553),C10553*F10553,"")</f>
        <v/>
      </c>
    </row>
    <row r="10554" spans="1:7" s="1" customFormat="1" ht="15.95" customHeight="1" outlineLevel="1" x14ac:dyDescent="0.25">
      <c r="A10554" s="11"/>
      <c r="B10554" s="12" t="s">
        <v>20756</v>
      </c>
      <c r="C10554" s="13"/>
      <c r="D10554" s="13"/>
      <c r="E10554" s="13"/>
      <c r="F10554" s="13"/>
      <c r="G10554" s="35"/>
    </row>
    <row r="10555" spans="1:7" ht="12" customHeight="1" outlineLevel="2" x14ac:dyDescent="0.2">
      <c r="A10555" s="14" t="s">
        <v>20757</v>
      </c>
      <c r="B10555" s="15" t="s">
        <v>20758</v>
      </c>
      <c r="C10555" s="19">
        <f>1858.73/(1+B2)</f>
        <v>1858.73</v>
      </c>
      <c r="D10555" s="17" t="s">
        <v>11</v>
      </c>
      <c r="E10555" s="17"/>
      <c r="F10555" s="18"/>
      <c r="G10555" s="36" t="str">
        <f>IF(ISNUMBER(F10555),C10555*F10555,"")</f>
        <v/>
      </c>
    </row>
    <row r="10556" spans="1:7" ht="24" customHeight="1" outlineLevel="2" x14ac:dyDescent="0.2">
      <c r="A10556" s="14" t="s">
        <v>20759</v>
      </c>
      <c r="B10556" s="15" t="s">
        <v>20760</v>
      </c>
      <c r="C10556" s="19">
        <f>2713/(1+B2)</f>
        <v>2713</v>
      </c>
      <c r="D10556" s="17" t="s">
        <v>11</v>
      </c>
      <c r="E10556" s="17" t="s">
        <v>11</v>
      </c>
      <c r="F10556" s="18"/>
      <c r="G10556" s="36" t="str">
        <f>IF(ISNUMBER(F10556),C10556*F10556,"")</f>
        <v/>
      </c>
    </row>
    <row r="10557" spans="1:7" ht="24" customHeight="1" outlineLevel="2" x14ac:dyDescent="0.2">
      <c r="A10557" s="14" t="s">
        <v>20761</v>
      </c>
      <c r="B10557" s="15" t="s">
        <v>20762</v>
      </c>
      <c r="C10557" s="19">
        <f>1182.82/(1+B2)</f>
        <v>1182.82</v>
      </c>
      <c r="D10557" s="17" t="s">
        <v>11</v>
      </c>
      <c r="E10557" s="17" t="s">
        <v>11</v>
      </c>
      <c r="F10557" s="18"/>
      <c r="G10557" s="36" t="str">
        <f>IF(ISNUMBER(F10557),C10557*F10557,"")</f>
        <v/>
      </c>
    </row>
    <row r="10558" spans="1:7" ht="24" customHeight="1" outlineLevel="2" x14ac:dyDescent="0.2">
      <c r="A10558" s="14" t="s">
        <v>20763</v>
      </c>
      <c r="B10558" s="15" t="s">
        <v>20764</v>
      </c>
      <c r="C10558" s="19">
        <f>1487.05/(1+B2)</f>
        <v>1487.05</v>
      </c>
      <c r="D10558" s="17" t="s">
        <v>11</v>
      </c>
      <c r="E10558" s="17"/>
      <c r="F10558" s="18"/>
      <c r="G10558" s="36" t="str">
        <f>IF(ISNUMBER(F10558),C10558*F10558,"")</f>
        <v/>
      </c>
    </row>
    <row r="10559" spans="1:7" ht="12" customHeight="1" outlineLevel="2" x14ac:dyDescent="0.2">
      <c r="A10559" s="14" t="s">
        <v>20765</v>
      </c>
      <c r="B10559" s="15" t="s">
        <v>20766</v>
      </c>
      <c r="C10559" s="19">
        <f>3382.73/(1+B2)</f>
        <v>3382.73</v>
      </c>
      <c r="D10559" s="17" t="s">
        <v>11</v>
      </c>
      <c r="E10559" s="17" t="s">
        <v>11</v>
      </c>
      <c r="F10559" s="18"/>
      <c r="G10559" s="36" t="str">
        <f>IF(ISNUMBER(F10559),C10559*F10559,"")</f>
        <v/>
      </c>
    </row>
    <row r="10560" spans="1:7" ht="12" customHeight="1" outlineLevel="2" x14ac:dyDescent="0.2">
      <c r="A10560" s="14" t="s">
        <v>20767</v>
      </c>
      <c r="B10560" s="15" t="s">
        <v>20768</v>
      </c>
      <c r="C10560" s="19">
        <f>2752.9/(1+B2)</f>
        <v>2752.9</v>
      </c>
      <c r="D10560" s="17" t="s">
        <v>11</v>
      </c>
      <c r="E10560" s="17"/>
      <c r="F10560" s="18"/>
      <c r="G10560" s="36" t="str">
        <f>IF(ISNUMBER(F10560),C10560*F10560,"")</f>
        <v/>
      </c>
    </row>
    <row r="10561" spans="1:7" ht="12" customHeight="1" outlineLevel="2" x14ac:dyDescent="0.2">
      <c r="A10561" s="14" t="s">
        <v>20769</v>
      </c>
      <c r="B10561" s="15" t="s">
        <v>20770</v>
      </c>
      <c r="C10561" s="19">
        <f>1270/(1+B2)</f>
        <v>1270</v>
      </c>
      <c r="D10561" s="17" t="s">
        <v>11</v>
      </c>
      <c r="E10561" s="17"/>
      <c r="F10561" s="18"/>
      <c r="G10561" s="36" t="str">
        <f>IF(ISNUMBER(F10561),C10561*F10561,"")</f>
        <v/>
      </c>
    </row>
    <row r="10562" spans="1:7" ht="24" customHeight="1" outlineLevel="2" x14ac:dyDescent="0.2">
      <c r="A10562" s="14" t="s">
        <v>20771</v>
      </c>
      <c r="B10562" s="15" t="s">
        <v>20772</v>
      </c>
      <c r="C10562" s="16">
        <f>933.34/(1+B2)</f>
        <v>933.34</v>
      </c>
      <c r="D10562" s="17" t="s">
        <v>11</v>
      </c>
      <c r="E10562" s="17"/>
      <c r="F10562" s="18"/>
      <c r="G10562" s="36" t="str">
        <f>IF(ISNUMBER(F10562),C10562*F10562,"")</f>
        <v/>
      </c>
    </row>
    <row r="10563" spans="1:7" ht="12" customHeight="1" outlineLevel="2" x14ac:dyDescent="0.2">
      <c r="A10563" s="14" t="s">
        <v>20773</v>
      </c>
      <c r="B10563" s="15" t="s">
        <v>20774</v>
      </c>
      <c r="C10563" s="16">
        <f>290.38/(1+B2)</f>
        <v>290.38</v>
      </c>
      <c r="D10563" s="17" t="s">
        <v>11</v>
      </c>
      <c r="E10563" s="17" t="s">
        <v>14</v>
      </c>
      <c r="F10563" s="18"/>
      <c r="G10563" s="36" t="str">
        <f>IF(ISNUMBER(F10563),C10563*F10563,"")</f>
        <v/>
      </c>
    </row>
    <row r="10564" spans="1:7" ht="12" customHeight="1" outlineLevel="2" x14ac:dyDescent="0.2">
      <c r="A10564" s="14" t="s">
        <v>20775</v>
      </c>
      <c r="B10564" s="15" t="s">
        <v>20776</v>
      </c>
      <c r="C10564" s="16">
        <f>428.46/(1+B2)</f>
        <v>428.46</v>
      </c>
      <c r="D10564" s="17" t="s">
        <v>11</v>
      </c>
      <c r="E10564" s="17" t="s">
        <v>14</v>
      </c>
      <c r="F10564" s="18"/>
      <c r="G10564" s="36" t="str">
        <f>IF(ISNUMBER(F10564),C10564*F10564,"")</f>
        <v/>
      </c>
    </row>
    <row r="10565" spans="1:7" ht="24" customHeight="1" outlineLevel="2" x14ac:dyDescent="0.2">
      <c r="A10565" s="14" t="s">
        <v>20777</v>
      </c>
      <c r="B10565" s="15" t="s">
        <v>20778</v>
      </c>
      <c r="C10565" s="19">
        <f>2209/(1+B2)</f>
        <v>2209</v>
      </c>
      <c r="D10565" s="17" t="s">
        <v>11</v>
      </c>
      <c r="E10565" s="17" t="s">
        <v>11</v>
      </c>
      <c r="F10565" s="18"/>
      <c r="G10565" s="36" t="str">
        <f>IF(ISNUMBER(F10565),C10565*F10565,"")</f>
        <v/>
      </c>
    </row>
    <row r="10566" spans="1:7" ht="12" customHeight="1" outlineLevel="2" x14ac:dyDescent="0.2">
      <c r="A10566" s="14" t="s">
        <v>20779</v>
      </c>
      <c r="B10566" s="15" t="s">
        <v>20780</v>
      </c>
      <c r="C10566" s="19">
        <f>1219.79/(1+B2)</f>
        <v>1219.79</v>
      </c>
      <c r="D10566" s="17" t="s">
        <v>11</v>
      </c>
      <c r="E10566" s="17"/>
      <c r="F10566" s="18"/>
      <c r="G10566" s="36" t="str">
        <f>IF(ISNUMBER(F10566),C10566*F10566,"")</f>
        <v/>
      </c>
    </row>
    <row r="10567" spans="1:7" ht="12" customHeight="1" outlineLevel="2" x14ac:dyDescent="0.2">
      <c r="A10567" s="14" t="s">
        <v>20781</v>
      </c>
      <c r="B10567" s="15" t="s">
        <v>20782</v>
      </c>
      <c r="C10567" s="19">
        <f>1951.67/(1+B2)</f>
        <v>1951.67</v>
      </c>
      <c r="D10567" s="17" t="s">
        <v>11</v>
      </c>
      <c r="E10567" s="17"/>
      <c r="F10567" s="18"/>
      <c r="G10567" s="36" t="str">
        <f>IF(ISNUMBER(F10567),C10567*F10567,"")</f>
        <v/>
      </c>
    </row>
    <row r="10568" spans="1:7" s="1" customFormat="1" ht="15.95" customHeight="1" outlineLevel="1" x14ac:dyDescent="0.25">
      <c r="A10568" s="11"/>
      <c r="B10568" s="12" t="s">
        <v>20783</v>
      </c>
      <c r="C10568" s="13"/>
      <c r="D10568" s="13"/>
      <c r="E10568" s="13"/>
      <c r="F10568" s="13"/>
      <c r="G10568" s="35"/>
    </row>
    <row r="10569" spans="1:7" ht="12" customHeight="1" outlineLevel="2" x14ac:dyDescent="0.2">
      <c r="A10569" s="14" t="s">
        <v>20784</v>
      </c>
      <c r="B10569" s="15" t="s">
        <v>20785</v>
      </c>
      <c r="C10569" s="16">
        <f>63.01/(1+B2)</f>
        <v>63.01</v>
      </c>
      <c r="D10569" s="17" t="s">
        <v>53</v>
      </c>
      <c r="E10569" s="17"/>
      <c r="F10569" s="18"/>
      <c r="G10569" s="36" t="str">
        <f>IF(ISNUMBER(F10569),C10569*F10569,"")</f>
        <v/>
      </c>
    </row>
    <row r="10570" spans="1:7" ht="12" customHeight="1" outlineLevel="2" x14ac:dyDescent="0.2">
      <c r="A10570" s="14" t="s">
        <v>20786</v>
      </c>
      <c r="B10570" s="15" t="s">
        <v>20787</v>
      </c>
      <c r="C10570" s="16">
        <f>53.38/(1+B2)</f>
        <v>53.38</v>
      </c>
      <c r="D10570" s="17" t="s">
        <v>14</v>
      </c>
      <c r="E10570" s="17"/>
      <c r="F10570" s="18"/>
      <c r="G10570" s="36" t="str">
        <f>IF(ISNUMBER(F10570),C10570*F10570,"")</f>
        <v/>
      </c>
    </row>
    <row r="10571" spans="1:7" ht="12" customHeight="1" outlineLevel="2" x14ac:dyDescent="0.2">
      <c r="A10571" s="14" t="s">
        <v>20788</v>
      </c>
      <c r="B10571" s="15" t="s">
        <v>20789</v>
      </c>
      <c r="C10571" s="16">
        <f>74.08/(1+B2)</f>
        <v>74.08</v>
      </c>
      <c r="D10571" s="17" t="s">
        <v>14</v>
      </c>
      <c r="E10571" s="17" t="s">
        <v>14</v>
      </c>
      <c r="F10571" s="18"/>
      <c r="G10571" s="36" t="str">
        <f>IF(ISNUMBER(F10571),C10571*F10571,"")</f>
        <v/>
      </c>
    </row>
    <row r="10572" spans="1:7" ht="12" customHeight="1" outlineLevel="2" x14ac:dyDescent="0.2">
      <c r="A10572" s="14" t="s">
        <v>20790</v>
      </c>
      <c r="B10572" s="15" t="s">
        <v>20791</v>
      </c>
      <c r="C10572" s="16">
        <f>55.12/(1+B2)</f>
        <v>55.12</v>
      </c>
      <c r="D10572" s="17" t="s">
        <v>14</v>
      </c>
      <c r="E10572" s="17" t="s">
        <v>106</v>
      </c>
      <c r="F10572" s="18"/>
      <c r="G10572" s="36" t="str">
        <f>IF(ISNUMBER(F10572),C10572*F10572,"")</f>
        <v/>
      </c>
    </row>
    <row r="10573" spans="1:7" ht="12" customHeight="1" outlineLevel="2" x14ac:dyDescent="0.2">
      <c r="A10573" s="14" t="s">
        <v>20792</v>
      </c>
      <c r="B10573" s="15" t="s">
        <v>20793</v>
      </c>
      <c r="C10573" s="16">
        <f>55.12/(1+B2)</f>
        <v>55.12</v>
      </c>
      <c r="D10573" s="17" t="s">
        <v>11</v>
      </c>
      <c r="E10573" s="17" t="s">
        <v>106</v>
      </c>
      <c r="F10573" s="18"/>
      <c r="G10573" s="36" t="str">
        <f>IF(ISNUMBER(F10573),C10573*F10573,"")</f>
        <v/>
      </c>
    </row>
    <row r="10574" spans="1:7" ht="12" customHeight="1" outlineLevel="2" x14ac:dyDescent="0.2">
      <c r="A10574" s="14" t="s">
        <v>20794</v>
      </c>
      <c r="B10574" s="15" t="s">
        <v>20795</v>
      </c>
      <c r="C10574" s="16">
        <f>73.43/(1+B2)</f>
        <v>73.430000000000007</v>
      </c>
      <c r="D10574" s="17" t="s">
        <v>11</v>
      </c>
      <c r="E10574" s="17"/>
      <c r="F10574" s="18"/>
      <c r="G10574" s="36" t="str">
        <f>IF(ISNUMBER(F10574),C10574*F10574,"")</f>
        <v/>
      </c>
    </row>
    <row r="10575" spans="1:7" ht="12" customHeight="1" outlineLevel="2" x14ac:dyDescent="0.2">
      <c r="A10575" s="14" t="s">
        <v>20796</v>
      </c>
      <c r="B10575" s="15" t="s">
        <v>20797</v>
      </c>
      <c r="C10575" s="16">
        <f>195.63/(1+B2)</f>
        <v>195.63</v>
      </c>
      <c r="D10575" s="17" t="s">
        <v>11</v>
      </c>
      <c r="E10575" s="17"/>
      <c r="F10575" s="18"/>
      <c r="G10575" s="36" t="str">
        <f>IF(ISNUMBER(F10575),C10575*F10575,"")</f>
        <v/>
      </c>
    </row>
    <row r="10576" spans="1:7" ht="12" customHeight="1" outlineLevel="2" x14ac:dyDescent="0.2">
      <c r="A10576" s="14" t="s">
        <v>20798</v>
      </c>
      <c r="B10576" s="15" t="s">
        <v>20799</v>
      </c>
      <c r="C10576" s="16">
        <f>86.25/(1+B2)</f>
        <v>86.25</v>
      </c>
      <c r="D10576" s="17" t="s">
        <v>11</v>
      </c>
      <c r="E10576" s="17"/>
      <c r="F10576" s="18"/>
      <c r="G10576" s="36" t="str">
        <f>IF(ISNUMBER(F10576),C10576*F10576,"")</f>
        <v/>
      </c>
    </row>
    <row r="10577" spans="1:7" ht="12" customHeight="1" outlineLevel="2" x14ac:dyDescent="0.2">
      <c r="A10577" s="14" t="s">
        <v>20800</v>
      </c>
      <c r="B10577" s="15" t="s">
        <v>20801</v>
      </c>
      <c r="C10577" s="16">
        <f>317.7/(1+B2)</f>
        <v>317.7</v>
      </c>
      <c r="D10577" s="17" t="s">
        <v>11</v>
      </c>
      <c r="E10577" s="17"/>
      <c r="F10577" s="18"/>
      <c r="G10577" s="36" t="str">
        <f>IF(ISNUMBER(F10577),C10577*F10577,"")</f>
        <v/>
      </c>
    </row>
    <row r="10578" spans="1:7" ht="24" customHeight="1" outlineLevel="2" x14ac:dyDescent="0.2">
      <c r="A10578" s="14" t="s">
        <v>20802</v>
      </c>
      <c r="B10578" s="15" t="s">
        <v>20803</v>
      </c>
      <c r="C10578" s="16">
        <f>128.52/(1+B2)</f>
        <v>128.52000000000001</v>
      </c>
      <c r="D10578" s="17" t="s">
        <v>11</v>
      </c>
      <c r="E10578" s="17" t="s">
        <v>11</v>
      </c>
      <c r="F10578" s="18"/>
      <c r="G10578" s="36" t="str">
        <f>IF(ISNUMBER(F10578),C10578*F10578,"")</f>
        <v/>
      </c>
    </row>
    <row r="10579" spans="1:7" ht="12" customHeight="1" outlineLevel="2" x14ac:dyDescent="0.2">
      <c r="A10579" s="14" t="s">
        <v>20804</v>
      </c>
      <c r="B10579" s="15" t="s">
        <v>20805</v>
      </c>
      <c r="C10579" s="16">
        <f>55.69/(1+B2)</f>
        <v>55.69</v>
      </c>
      <c r="D10579" s="17" t="s">
        <v>11</v>
      </c>
      <c r="E10579" s="17" t="s">
        <v>53</v>
      </c>
      <c r="F10579" s="18"/>
      <c r="G10579" s="36" t="str">
        <f>IF(ISNUMBER(F10579),C10579*F10579,"")</f>
        <v/>
      </c>
    </row>
    <row r="10580" spans="1:7" ht="12" customHeight="1" outlineLevel="2" x14ac:dyDescent="0.2">
      <c r="A10580" s="14" t="s">
        <v>20806</v>
      </c>
      <c r="B10580" s="15" t="s">
        <v>20807</v>
      </c>
      <c r="C10580" s="16">
        <f>315.51/(1+B2)</f>
        <v>315.51</v>
      </c>
      <c r="D10580" s="17" t="s">
        <v>11</v>
      </c>
      <c r="E10580" s="17" t="s">
        <v>106</v>
      </c>
      <c r="F10580" s="18"/>
      <c r="G10580" s="36" t="str">
        <f>IF(ISNUMBER(F10580),C10580*F10580,"")</f>
        <v/>
      </c>
    </row>
    <row r="10581" spans="1:7" ht="12" customHeight="1" outlineLevel="2" x14ac:dyDescent="0.2">
      <c r="A10581" s="14" t="s">
        <v>20808</v>
      </c>
      <c r="B10581" s="15" t="s">
        <v>20809</v>
      </c>
      <c r="C10581" s="16">
        <f>528.07/(1+B2)</f>
        <v>528.07000000000005</v>
      </c>
      <c r="D10581" s="17" t="s">
        <v>11</v>
      </c>
      <c r="E10581" s="17" t="s">
        <v>53</v>
      </c>
      <c r="F10581" s="18"/>
      <c r="G10581" s="36" t="str">
        <f>IF(ISNUMBER(F10581),C10581*F10581,"")</f>
        <v/>
      </c>
    </row>
    <row r="10582" spans="1:7" ht="12" customHeight="1" outlineLevel="2" x14ac:dyDescent="0.2">
      <c r="A10582" s="14" t="s">
        <v>20810</v>
      </c>
      <c r="B10582" s="15" t="s">
        <v>20811</v>
      </c>
      <c r="C10582" s="16">
        <f>79.58/(1+B2)</f>
        <v>79.58</v>
      </c>
      <c r="D10582" s="17" t="s">
        <v>11</v>
      </c>
      <c r="E10582" s="17" t="s">
        <v>106</v>
      </c>
      <c r="F10582" s="18"/>
      <c r="G10582" s="36" t="str">
        <f>IF(ISNUMBER(F10582),C10582*F10582,"")</f>
        <v/>
      </c>
    </row>
    <row r="10583" spans="1:7" ht="12" customHeight="1" outlineLevel="2" x14ac:dyDescent="0.2">
      <c r="A10583" s="14" t="s">
        <v>20812</v>
      </c>
      <c r="B10583" s="15" t="s">
        <v>20813</v>
      </c>
      <c r="C10583" s="16">
        <f>135.18/(1+B2)</f>
        <v>135.18</v>
      </c>
      <c r="D10583" s="17" t="s">
        <v>11</v>
      </c>
      <c r="E10583" s="17" t="s">
        <v>106</v>
      </c>
      <c r="F10583" s="18"/>
      <c r="G10583" s="36" t="str">
        <f>IF(ISNUMBER(F10583),C10583*F10583,"")</f>
        <v/>
      </c>
    </row>
    <row r="10584" spans="1:7" ht="12" customHeight="1" outlineLevel="2" x14ac:dyDescent="0.2">
      <c r="A10584" s="14" t="s">
        <v>20814</v>
      </c>
      <c r="B10584" s="15" t="s">
        <v>20815</v>
      </c>
      <c r="C10584" s="16">
        <f>53.5/(1+B2)</f>
        <v>53.5</v>
      </c>
      <c r="D10584" s="17" t="s">
        <v>53</v>
      </c>
      <c r="E10584" s="17" t="s">
        <v>106</v>
      </c>
      <c r="F10584" s="18"/>
      <c r="G10584" s="36" t="str">
        <f>IF(ISNUMBER(F10584),C10584*F10584,"")</f>
        <v/>
      </c>
    </row>
    <row r="10585" spans="1:7" ht="12" customHeight="1" outlineLevel="2" x14ac:dyDescent="0.2">
      <c r="A10585" s="14" t="s">
        <v>20816</v>
      </c>
      <c r="B10585" s="15" t="s">
        <v>20817</v>
      </c>
      <c r="C10585" s="16">
        <f>315.51/(1+B2)</f>
        <v>315.51</v>
      </c>
      <c r="D10585" s="17" t="s">
        <v>11</v>
      </c>
      <c r="E10585" s="17" t="s">
        <v>106</v>
      </c>
      <c r="F10585" s="18"/>
      <c r="G10585" s="36" t="str">
        <f>IF(ISNUMBER(F10585),C10585*F10585,"")</f>
        <v/>
      </c>
    </row>
    <row r="10586" spans="1:7" ht="12" customHeight="1" outlineLevel="2" x14ac:dyDescent="0.2">
      <c r="A10586" s="14" t="s">
        <v>20818</v>
      </c>
      <c r="B10586" s="15" t="s">
        <v>20819</v>
      </c>
      <c r="C10586" s="16">
        <f>528.07/(1+B2)</f>
        <v>528.07000000000005</v>
      </c>
      <c r="D10586" s="17" t="s">
        <v>11</v>
      </c>
      <c r="E10586" s="17" t="s">
        <v>53</v>
      </c>
      <c r="F10586" s="18"/>
      <c r="G10586" s="36" t="str">
        <f>IF(ISNUMBER(F10586),C10586*F10586,"")</f>
        <v/>
      </c>
    </row>
    <row r="10587" spans="1:7" ht="12" customHeight="1" outlineLevel="2" x14ac:dyDescent="0.2">
      <c r="A10587" s="14" t="s">
        <v>20820</v>
      </c>
      <c r="B10587" s="15" t="s">
        <v>20821</v>
      </c>
      <c r="C10587" s="16">
        <f>79.58/(1+B2)</f>
        <v>79.58</v>
      </c>
      <c r="D10587" s="17" t="s">
        <v>11</v>
      </c>
      <c r="E10587" s="17" t="s">
        <v>106</v>
      </c>
      <c r="F10587" s="18"/>
      <c r="G10587" s="36" t="str">
        <f>IF(ISNUMBER(F10587),C10587*F10587,"")</f>
        <v/>
      </c>
    </row>
    <row r="10588" spans="1:7" ht="12" customHeight="1" outlineLevel="2" x14ac:dyDescent="0.2">
      <c r="A10588" s="14" t="s">
        <v>20822</v>
      </c>
      <c r="B10588" s="15" t="s">
        <v>20823</v>
      </c>
      <c r="C10588" s="16">
        <f>79.58/(1+B2)</f>
        <v>79.58</v>
      </c>
      <c r="D10588" s="17" t="s">
        <v>11</v>
      </c>
      <c r="E10588" s="17" t="s">
        <v>106</v>
      </c>
      <c r="F10588" s="18"/>
      <c r="G10588" s="36" t="str">
        <f>IF(ISNUMBER(F10588),C10588*F10588,"")</f>
        <v/>
      </c>
    </row>
    <row r="10589" spans="1:7" ht="12" customHeight="1" outlineLevel="2" x14ac:dyDescent="0.2">
      <c r="A10589" s="14" t="s">
        <v>20824</v>
      </c>
      <c r="B10589" s="15" t="s">
        <v>20825</v>
      </c>
      <c r="C10589" s="16">
        <f>53.5/(1+B2)</f>
        <v>53.5</v>
      </c>
      <c r="D10589" s="17" t="s">
        <v>11</v>
      </c>
      <c r="E10589" s="17" t="s">
        <v>106</v>
      </c>
      <c r="F10589" s="18"/>
      <c r="G10589" s="36" t="str">
        <f>IF(ISNUMBER(F10589),C10589*F10589,"")</f>
        <v/>
      </c>
    </row>
    <row r="10590" spans="1:7" ht="12" customHeight="1" outlineLevel="2" x14ac:dyDescent="0.2">
      <c r="A10590" s="14" t="s">
        <v>20826</v>
      </c>
      <c r="B10590" s="15" t="s">
        <v>20827</v>
      </c>
      <c r="C10590" s="16">
        <f>79.58/(1+B2)</f>
        <v>79.58</v>
      </c>
      <c r="D10590" s="17" t="s">
        <v>11</v>
      </c>
      <c r="E10590" s="17" t="s">
        <v>53</v>
      </c>
      <c r="F10590" s="18"/>
      <c r="G10590" s="36" t="str">
        <f>IF(ISNUMBER(F10590),C10590*F10590,"")</f>
        <v/>
      </c>
    </row>
    <row r="10591" spans="1:7" ht="12" customHeight="1" outlineLevel="2" x14ac:dyDescent="0.2">
      <c r="A10591" s="14" t="s">
        <v>20828</v>
      </c>
      <c r="B10591" s="15" t="s">
        <v>20829</v>
      </c>
      <c r="C10591" s="16">
        <f>79.58/(1+B2)</f>
        <v>79.58</v>
      </c>
      <c r="D10591" s="17"/>
      <c r="E10591" s="17" t="s">
        <v>53</v>
      </c>
      <c r="F10591" s="18"/>
      <c r="G10591" s="36" t="str">
        <f>IF(ISNUMBER(F10591),C10591*F10591,"")</f>
        <v/>
      </c>
    </row>
    <row r="10592" spans="1:7" ht="12" customHeight="1" outlineLevel="2" x14ac:dyDescent="0.2">
      <c r="A10592" s="14" t="s">
        <v>20830</v>
      </c>
      <c r="B10592" s="15" t="s">
        <v>20831</v>
      </c>
      <c r="C10592" s="16">
        <f>79.58/(1+B2)</f>
        <v>79.58</v>
      </c>
      <c r="D10592" s="17" t="s">
        <v>11</v>
      </c>
      <c r="E10592" s="17" t="s">
        <v>53</v>
      </c>
      <c r="F10592" s="18"/>
      <c r="G10592" s="36" t="str">
        <f>IF(ISNUMBER(F10592),C10592*F10592,"")</f>
        <v/>
      </c>
    </row>
    <row r="10593" spans="1:7" ht="12" customHeight="1" outlineLevel="2" x14ac:dyDescent="0.2">
      <c r="A10593" s="14" t="s">
        <v>20832</v>
      </c>
      <c r="B10593" s="15" t="s">
        <v>20833</v>
      </c>
      <c r="C10593" s="16">
        <f>79.58/(1+B2)</f>
        <v>79.58</v>
      </c>
      <c r="D10593" s="17" t="s">
        <v>11</v>
      </c>
      <c r="E10593" s="17"/>
      <c r="F10593" s="18"/>
      <c r="G10593" s="36" t="str">
        <f>IF(ISNUMBER(F10593),C10593*F10593,"")</f>
        <v/>
      </c>
    </row>
    <row r="10594" spans="1:7" ht="12" customHeight="1" outlineLevel="2" x14ac:dyDescent="0.2">
      <c r="A10594" s="14" t="s">
        <v>20834</v>
      </c>
      <c r="B10594" s="15" t="s">
        <v>20835</v>
      </c>
      <c r="C10594" s="16">
        <f>53.5/(1+B2)</f>
        <v>53.5</v>
      </c>
      <c r="D10594" s="17" t="s">
        <v>11</v>
      </c>
      <c r="E10594" s="17" t="s">
        <v>14</v>
      </c>
      <c r="F10594" s="18"/>
      <c r="G10594" s="36" t="str">
        <f>IF(ISNUMBER(F10594),C10594*F10594,"")</f>
        <v/>
      </c>
    </row>
    <row r="10595" spans="1:7" ht="24" customHeight="1" outlineLevel="2" x14ac:dyDescent="0.2">
      <c r="A10595" s="14" t="s">
        <v>20836</v>
      </c>
      <c r="B10595" s="15" t="s">
        <v>20837</v>
      </c>
      <c r="C10595" s="16">
        <f>79.58/(1+B2)</f>
        <v>79.58</v>
      </c>
      <c r="D10595" s="17" t="s">
        <v>11</v>
      </c>
      <c r="E10595" s="17" t="s">
        <v>106</v>
      </c>
      <c r="F10595" s="18"/>
      <c r="G10595" s="36" t="str">
        <f>IF(ISNUMBER(F10595),C10595*F10595,"")</f>
        <v/>
      </c>
    </row>
    <row r="10596" spans="1:7" ht="12" customHeight="1" outlineLevel="2" x14ac:dyDescent="0.2">
      <c r="A10596" s="14" t="s">
        <v>20838</v>
      </c>
      <c r="B10596" s="15" t="s">
        <v>20839</v>
      </c>
      <c r="C10596" s="16">
        <f>79.58/(1+B2)</f>
        <v>79.58</v>
      </c>
      <c r="D10596" s="17" t="s">
        <v>11</v>
      </c>
      <c r="E10596" s="17" t="s">
        <v>53</v>
      </c>
      <c r="F10596" s="18"/>
      <c r="G10596" s="36" t="str">
        <f>IF(ISNUMBER(F10596),C10596*F10596,"")</f>
        <v/>
      </c>
    </row>
    <row r="10597" spans="1:7" ht="12" customHeight="1" outlineLevel="2" x14ac:dyDescent="0.2">
      <c r="A10597" s="14" t="s">
        <v>20840</v>
      </c>
      <c r="B10597" s="15" t="s">
        <v>20841</v>
      </c>
      <c r="C10597" s="16">
        <f>135.18/(1+B2)</f>
        <v>135.18</v>
      </c>
      <c r="D10597" s="17" t="s">
        <v>11</v>
      </c>
      <c r="E10597" s="17" t="s">
        <v>106</v>
      </c>
      <c r="F10597" s="18"/>
      <c r="G10597" s="36" t="str">
        <f>IF(ISNUMBER(F10597),C10597*F10597,"")</f>
        <v/>
      </c>
    </row>
    <row r="10598" spans="1:7" ht="12" customHeight="1" outlineLevel="2" x14ac:dyDescent="0.2">
      <c r="A10598" s="14" t="s">
        <v>20842</v>
      </c>
      <c r="B10598" s="15" t="s">
        <v>20843</v>
      </c>
      <c r="C10598" s="16">
        <f>315.51/(1+B2)</f>
        <v>315.51</v>
      </c>
      <c r="D10598" s="17" t="s">
        <v>11</v>
      </c>
      <c r="E10598" s="17" t="s">
        <v>106</v>
      </c>
      <c r="F10598" s="18"/>
      <c r="G10598" s="36" t="str">
        <f>IF(ISNUMBER(F10598),C10598*F10598,"")</f>
        <v/>
      </c>
    </row>
    <row r="10599" spans="1:7" ht="12" customHeight="1" outlineLevel="2" x14ac:dyDescent="0.2">
      <c r="A10599" s="14" t="s">
        <v>20844</v>
      </c>
      <c r="B10599" s="15" t="s">
        <v>20845</v>
      </c>
      <c r="C10599" s="16">
        <f>79.58/(1+B2)</f>
        <v>79.58</v>
      </c>
      <c r="D10599" s="17" t="s">
        <v>14</v>
      </c>
      <c r="E10599" s="17" t="s">
        <v>106</v>
      </c>
      <c r="F10599" s="18"/>
      <c r="G10599" s="36" t="str">
        <f>IF(ISNUMBER(F10599),C10599*F10599,"")</f>
        <v/>
      </c>
    </row>
    <row r="10600" spans="1:7" ht="12" customHeight="1" outlineLevel="2" x14ac:dyDescent="0.2">
      <c r="A10600" s="14" t="s">
        <v>20846</v>
      </c>
      <c r="B10600" s="15" t="s">
        <v>20847</v>
      </c>
      <c r="C10600" s="16">
        <f>115.2/(1+B2)</f>
        <v>115.2</v>
      </c>
      <c r="D10600" s="17" t="s">
        <v>53</v>
      </c>
      <c r="E10600" s="17" t="s">
        <v>106</v>
      </c>
      <c r="F10600" s="18"/>
      <c r="G10600" s="36" t="str">
        <f>IF(ISNUMBER(F10600),C10600*F10600,"")</f>
        <v/>
      </c>
    </row>
    <row r="10601" spans="1:7" ht="12" customHeight="1" outlineLevel="2" x14ac:dyDescent="0.2">
      <c r="A10601" s="14" t="s">
        <v>20848</v>
      </c>
      <c r="B10601" s="15" t="s">
        <v>20849</v>
      </c>
      <c r="C10601" s="16">
        <f>263.55/(1+B2)</f>
        <v>263.55</v>
      </c>
      <c r="D10601" s="17" t="s">
        <v>11</v>
      </c>
      <c r="E10601" s="17" t="s">
        <v>106</v>
      </c>
      <c r="F10601" s="18"/>
      <c r="G10601" s="36" t="str">
        <f>IF(ISNUMBER(F10601),C10601*F10601,"")</f>
        <v/>
      </c>
    </row>
    <row r="10602" spans="1:7" ht="12" customHeight="1" outlineLevel="2" x14ac:dyDescent="0.2">
      <c r="A10602" s="14" t="s">
        <v>20850</v>
      </c>
      <c r="B10602" s="15" t="s">
        <v>20851</v>
      </c>
      <c r="C10602" s="16">
        <f>440.91/(1+B2)</f>
        <v>440.91</v>
      </c>
      <c r="D10602" s="17" t="s">
        <v>11</v>
      </c>
      <c r="E10602" s="17" t="s">
        <v>106</v>
      </c>
      <c r="F10602" s="18"/>
      <c r="G10602" s="36" t="str">
        <f>IF(ISNUMBER(F10602),C10602*F10602,"")</f>
        <v/>
      </c>
    </row>
    <row r="10603" spans="1:7" ht="12" customHeight="1" outlineLevel="2" x14ac:dyDescent="0.2">
      <c r="A10603" s="14" t="s">
        <v>20852</v>
      </c>
      <c r="B10603" s="15" t="s">
        <v>20853</v>
      </c>
      <c r="C10603" s="16">
        <f>66.92/(1+B2)</f>
        <v>66.92</v>
      </c>
      <c r="D10603" s="17" t="s">
        <v>11</v>
      </c>
      <c r="E10603" s="17" t="s">
        <v>106</v>
      </c>
      <c r="F10603" s="18"/>
      <c r="G10603" s="36" t="str">
        <f>IF(ISNUMBER(F10603),C10603*F10603,"")</f>
        <v/>
      </c>
    </row>
    <row r="10604" spans="1:7" ht="12" customHeight="1" outlineLevel="2" x14ac:dyDescent="0.2">
      <c r="A10604" s="14" t="s">
        <v>20854</v>
      </c>
      <c r="B10604" s="15" t="s">
        <v>20855</v>
      </c>
      <c r="C10604" s="16">
        <f>116.63/(1+B2)</f>
        <v>116.63</v>
      </c>
      <c r="D10604" s="17" t="s">
        <v>14</v>
      </c>
      <c r="E10604" s="17" t="s">
        <v>106</v>
      </c>
      <c r="F10604" s="18"/>
      <c r="G10604" s="36" t="str">
        <f>IF(ISNUMBER(F10604),C10604*F10604,"")</f>
        <v/>
      </c>
    </row>
    <row r="10605" spans="1:7" ht="12" customHeight="1" outlineLevel="2" x14ac:dyDescent="0.2">
      <c r="A10605" s="14" t="s">
        <v>20856</v>
      </c>
      <c r="B10605" s="15" t="s">
        <v>20857</v>
      </c>
      <c r="C10605" s="16">
        <f>42.82/(1+B2)</f>
        <v>42.82</v>
      </c>
      <c r="D10605" s="17" t="s">
        <v>11</v>
      </c>
      <c r="E10605" s="17" t="s">
        <v>106</v>
      </c>
      <c r="F10605" s="18"/>
      <c r="G10605" s="36" t="str">
        <f>IF(ISNUMBER(F10605),C10605*F10605,"")</f>
        <v/>
      </c>
    </row>
    <row r="10606" spans="1:7" ht="12" customHeight="1" outlineLevel="2" x14ac:dyDescent="0.2">
      <c r="A10606" s="14" t="s">
        <v>20858</v>
      </c>
      <c r="B10606" s="15" t="s">
        <v>20859</v>
      </c>
      <c r="C10606" s="16">
        <f>43.92/(1+B2)</f>
        <v>43.92</v>
      </c>
      <c r="D10606" s="17" t="s">
        <v>11</v>
      </c>
      <c r="E10606" s="17" t="s">
        <v>53</v>
      </c>
      <c r="F10606" s="18"/>
      <c r="G10606" s="36" t="str">
        <f>IF(ISNUMBER(F10606),C10606*F10606,"")</f>
        <v/>
      </c>
    </row>
    <row r="10607" spans="1:7" ht="12" customHeight="1" outlineLevel="2" x14ac:dyDescent="0.2">
      <c r="A10607" s="14" t="s">
        <v>20860</v>
      </c>
      <c r="B10607" s="15" t="s">
        <v>20861</v>
      </c>
      <c r="C10607" s="16">
        <f>43.92/(1+B2)</f>
        <v>43.92</v>
      </c>
      <c r="D10607" s="17"/>
      <c r="E10607" s="17" t="s">
        <v>53</v>
      </c>
      <c r="F10607" s="18"/>
      <c r="G10607" s="36" t="str">
        <f>IF(ISNUMBER(F10607),C10607*F10607,"")</f>
        <v/>
      </c>
    </row>
    <row r="10608" spans="1:7" ht="12" customHeight="1" outlineLevel="2" x14ac:dyDescent="0.2">
      <c r="A10608" s="14" t="s">
        <v>20862</v>
      </c>
      <c r="B10608" s="15" t="s">
        <v>20863</v>
      </c>
      <c r="C10608" s="16">
        <f>102.1/(1+B2)</f>
        <v>102.1</v>
      </c>
      <c r="D10608" s="17" t="s">
        <v>11</v>
      </c>
      <c r="E10608" s="17" t="s">
        <v>106</v>
      </c>
      <c r="F10608" s="18"/>
      <c r="G10608" s="36" t="str">
        <f>IF(ISNUMBER(F10608),C10608*F10608,"")</f>
        <v/>
      </c>
    </row>
    <row r="10609" spans="1:7" ht="12" customHeight="1" outlineLevel="2" x14ac:dyDescent="0.2">
      <c r="A10609" s="14" t="s">
        <v>20864</v>
      </c>
      <c r="B10609" s="15" t="s">
        <v>20865</v>
      </c>
      <c r="C10609" s="16">
        <f>228.39/(1+B2)</f>
        <v>228.39</v>
      </c>
      <c r="D10609" s="17" t="s">
        <v>11</v>
      </c>
      <c r="E10609" s="17" t="s">
        <v>106</v>
      </c>
      <c r="F10609" s="18"/>
      <c r="G10609" s="36" t="str">
        <f>IF(ISNUMBER(F10609),C10609*F10609,"")</f>
        <v/>
      </c>
    </row>
    <row r="10610" spans="1:7" ht="12" customHeight="1" outlineLevel="2" x14ac:dyDescent="0.2">
      <c r="A10610" s="14" t="s">
        <v>20866</v>
      </c>
      <c r="B10610" s="15" t="s">
        <v>20867</v>
      </c>
      <c r="C10610" s="16">
        <f>53.27/(1+B2)</f>
        <v>53.27</v>
      </c>
      <c r="D10610" s="17" t="s">
        <v>14</v>
      </c>
      <c r="E10610" s="17" t="s">
        <v>106</v>
      </c>
      <c r="F10610" s="18"/>
      <c r="G10610" s="36" t="str">
        <f>IF(ISNUMBER(F10610),C10610*F10610,"")</f>
        <v/>
      </c>
    </row>
    <row r="10611" spans="1:7" ht="12" customHeight="1" outlineLevel="2" x14ac:dyDescent="0.2">
      <c r="A10611" s="14" t="s">
        <v>20868</v>
      </c>
      <c r="B10611" s="15" t="s">
        <v>20869</v>
      </c>
      <c r="C10611" s="16">
        <f>383.78/(1+B2)</f>
        <v>383.78</v>
      </c>
      <c r="D10611" s="17" t="s">
        <v>11</v>
      </c>
      <c r="E10611" s="17" t="s">
        <v>53</v>
      </c>
      <c r="F10611" s="18"/>
      <c r="G10611" s="36" t="str">
        <f>IF(ISNUMBER(F10611),C10611*F10611,"")</f>
        <v/>
      </c>
    </row>
    <row r="10612" spans="1:7" ht="12" customHeight="1" outlineLevel="2" x14ac:dyDescent="0.2">
      <c r="A10612" s="14" t="s">
        <v>20870</v>
      </c>
      <c r="B10612" s="15" t="s">
        <v>20871</v>
      </c>
      <c r="C10612" s="16">
        <f>43.92/(1+B2)</f>
        <v>43.92</v>
      </c>
      <c r="D10612" s="17" t="s">
        <v>11</v>
      </c>
      <c r="E10612" s="17"/>
      <c r="F10612" s="18"/>
      <c r="G10612" s="36" t="str">
        <f>IF(ISNUMBER(F10612),C10612*F10612,"")</f>
        <v/>
      </c>
    </row>
    <row r="10613" spans="1:7" ht="12" customHeight="1" outlineLevel="2" x14ac:dyDescent="0.2">
      <c r="A10613" s="14" t="s">
        <v>20872</v>
      </c>
      <c r="B10613" s="15" t="s">
        <v>20873</v>
      </c>
      <c r="C10613" s="16">
        <f>43.92/(1+B2)</f>
        <v>43.92</v>
      </c>
      <c r="D10613" s="17" t="s">
        <v>11</v>
      </c>
      <c r="E10613" s="17" t="s">
        <v>11</v>
      </c>
      <c r="F10613" s="18"/>
      <c r="G10613" s="36" t="str">
        <f>IF(ISNUMBER(F10613),C10613*F10613,"")</f>
        <v/>
      </c>
    </row>
    <row r="10614" spans="1:7" ht="12" customHeight="1" outlineLevel="2" x14ac:dyDescent="0.2">
      <c r="A10614" s="14" t="s">
        <v>20874</v>
      </c>
      <c r="B10614" s="15" t="s">
        <v>20875</v>
      </c>
      <c r="C10614" s="16">
        <f>43.92/(1+B2)</f>
        <v>43.92</v>
      </c>
      <c r="D10614" s="17" t="s">
        <v>11</v>
      </c>
      <c r="E10614" s="17" t="s">
        <v>11</v>
      </c>
      <c r="F10614" s="18"/>
      <c r="G10614" s="36" t="str">
        <f>IF(ISNUMBER(F10614),C10614*F10614,"")</f>
        <v/>
      </c>
    </row>
    <row r="10615" spans="1:7" ht="12" customHeight="1" outlineLevel="2" x14ac:dyDescent="0.2">
      <c r="A10615" s="14" t="s">
        <v>20876</v>
      </c>
      <c r="B10615" s="15" t="s">
        <v>20877</v>
      </c>
      <c r="C10615" s="16">
        <f>50.3/(1+B2)</f>
        <v>50.3</v>
      </c>
      <c r="D10615" s="17" t="s">
        <v>14</v>
      </c>
      <c r="E10615" s="17" t="s">
        <v>53</v>
      </c>
      <c r="F10615" s="18"/>
      <c r="G10615" s="36" t="str">
        <f>IF(ISNUMBER(F10615),C10615*F10615,"")</f>
        <v/>
      </c>
    </row>
    <row r="10616" spans="1:7" ht="12" customHeight="1" outlineLevel="2" x14ac:dyDescent="0.2">
      <c r="A10616" s="14" t="s">
        <v>20878</v>
      </c>
      <c r="B10616" s="15" t="s">
        <v>20879</v>
      </c>
      <c r="C10616" s="16">
        <f>80.92/(1+B2)</f>
        <v>80.92</v>
      </c>
      <c r="D10616" s="17" t="s">
        <v>14</v>
      </c>
      <c r="E10616" s="17" t="s">
        <v>11</v>
      </c>
      <c r="F10616" s="18"/>
      <c r="G10616" s="36" t="str">
        <f>IF(ISNUMBER(F10616),C10616*F10616,"")</f>
        <v/>
      </c>
    </row>
    <row r="10617" spans="1:7" ht="12" customHeight="1" outlineLevel="2" x14ac:dyDescent="0.2">
      <c r="A10617" s="14" t="s">
        <v>20880</v>
      </c>
      <c r="B10617" s="15" t="s">
        <v>20881</v>
      </c>
      <c r="C10617" s="16">
        <f>64.69/(1+B2)</f>
        <v>64.69</v>
      </c>
      <c r="D10617" s="17" t="s">
        <v>11</v>
      </c>
      <c r="E10617" s="17" t="s">
        <v>14</v>
      </c>
      <c r="F10617" s="18"/>
      <c r="G10617" s="36" t="str">
        <f>IF(ISNUMBER(F10617),C10617*F10617,"")</f>
        <v/>
      </c>
    </row>
    <row r="10618" spans="1:7" ht="12" customHeight="1" outlineLevel="2" x14ac:dyDescent="0.2">
      <c r="A10618" s="14" t="s">
        <v>20882</v>
      </c>
      <c r="B10618" s="15" t="s">
        <v>20883</v>
      </c>
      <c r="C10618" s="16">
        <f>43.92/(1+B2)</f>
        <v>43.92</v>
      </c>
      <c r="D10618" s="17" t="s">
        <v>11</v>
      </c>
      <c r="E10618" s="17" t="s">
        <v>14</v>
      </c>
      <c r="F10618" s="18"/>
      <c r="G10618" s="36" t="str">
        <f>IF(ISNUMBER(F10618),C10618*F10618,"")</f>
        <v/>
      </c>
    </row>
    <row r="10619" spans="1:7" ht="12" customHeight="1" outlineLevel="2" x14ac:dyDescent="0.2">
      <c r="A10619" s="14" t="s">
        <v>20884</v>
      </c>
      <c r="B10619" s="15" t="s">
        <v>20885</v>
      </c>
      <c r="C10619" s="16">
        <f>64.69/(1+B2)</f>
        <v>64.69</v>
      </c>
      <c r="D10619" s="17" t="s">
        <v>11</v>
      </c>
      <c r="E10619" s="17" t="s">
        <v>14</v>
      </c>
      <c r="F10619" s="18"/>
      <c r="G10619" s="36" t="str">
        <f>IF(ISNUMBER(F10619),C10619*F10619,"")</f>
        <v/>
      </c>
    </row>
    <row r="10620" spans="1:7" ht="12" customHeight="1" outlineLevel="2" x14ac:dyDescent="0.2">
      <c r="A10620" s="14" t="s">
        <v>20886</v>
      </c>
      <c r="B10620" s="15" t="s">
        <v>20887</v>
      </c>
      <c r="C10620" s="16">
        <f>43.92/(1+B2)</f>
        <v>43.92</v>
      </c>
      <c r="D10620" s="17" t="s">
        <v>11</v>
      </c>
      <c r="E10620" s="17" t="s">
        <v>53</v>
      </c>
      <c r="F10620" s="18"/>
      <c r="G10620" s="36" t="str">
        <f>IF(ISNUMBER(F10620),C10620*F10620,"")</f>
        <v/>
      </c>
    </row>
    <row r="10621" spans="1:7" ht="12" customHeight="1" outlineLevel="2" x14ac:dyDescent="0.2">
      <c r="A10621" s="14" t="s">
        <v>20888</v>
      </c>
      <c r="B10621" s="15" t="s">
        <v>20889</v>
      </c>
      <c r="C10621" s="16">
        <f>64.69/(1+B2)</f>
        <v>64.69</v>
      </c>
      <c r="D10621" s="17" t="s">
        <v>11</v>
      </c>
      <c r="E10621" s="17" t="s">
        <v>106</v>
      </c>
      <c r="F10621" s="18"/>
      <c r="G10621" s="36" t="str">
        <f>IF(ISNUMBER(F10621),C10621*F10621,"")</f>
        <v/>
      </c>
    </row>
    <row r="10622" spans="1:7" ht="12" customHeight="1" outlineLevel="2" x14ac:dyDescent="0.2">
      <c r="A10622" s="14" t="s">
        <v>20890</v>
      </c>
      <c r="B10622" s="15" t="s">
        <v>20891</v>
      </c>
      <c r="C10622" s="16">
        <f>101.61/(1+B2)</f>
        <v>101.61</v>
      </c>
      <c r="D10622" s="17" t="s">
        <v>11</v>
      </c>
      <c r="E10622" s="17" t="s">
        <v>106</v>
      </c>
      <c r="F10622" s="18"/>
      <c r="G10622" s="36" t="str">
        <f>IF(ISNUMBER(F10622),C10622*F10622,"")</f>
        <v/>
      </c>
    </row>
    <row r="10623" spans="1:7" ht="12" customHeight="1" outlineLevel="2" x14ac:dyDescent="0.2">
      <c r="A10623" s="14" t="s">
        <v>20892</v>
      </c>
      <c r="B10623" s="15" t="s">
        <v>20893</v>
      </c>
      <c r="C10623" s="16">
        <f>228.39/(1+B2)</f>
        <v>228.39</v>
      </c>
      <c r="D10623" s="17" t="s">
        <v>11</v>
      </c>
      <c r="E10623" s="17" t="s">
        <v>106</v>
      </c>
      <c r="F10623" s="18"/>
      <c r="G10623" s="36" t="str">
        <f>IF(ISNUMBER(F10623),C10623*F10623,"")</f>
        <v/>
      </c>
    </row>
    <row r="10624" spans="1:7" ht="12" customHeight="1" outlineLevel="2" x14ac:dyDescent="0.2">
      <c r="A10624" s="14" t="s">
        <v>20894</v>
      </c>
      <c r="B10624" s="15" t="s">
        <v>20895</v>
      </c>
      <c r="C10624" s="16">
        <f>53.27/(1+B2)</f>
        <v>53.27</v>
      </c>
      <c r="D10624" s="17"/>
      <c r="E10624" s="17" t="s">
        <v>106</v>
      </c>
      <c r="F10624" s="18"/>
      <c r="G10624" s="36" t="str">
        <f>IF(ISNUMBER(F10624),C10624*F10624,"")</f>
        <v/>
      </c>
    </row>
    <row r="10625" spans="1:7" ht="12" customHeight="1" outlineLevel="2" x14ac:dyDescent="0.2">
      <c r="A10625" s="14" t="s">
        <v>20896</v>
      </c>
      <c r="B10625" s="15" t="s">
        <v>20897</v>
      </c>
      <c r="C10625" s="16">
        <f>383.78/(1+B2)</f>
        <v>383.78</v>
      </c>
      <c r="D10625" s="17" t="s">
        <v>11</v>
      </c>
      <c r="E10625" s="17" t="s">
        <v>106</v>
      </c>
      <c r="F10625" s="18"/>
      <c r="G10625" s="36" t="str">
        <f>IF(ISNUMBER(F10625),C10625*F10625,"")</f>
        <v/>
      </c>
    </row>
    <row r="10626" spans="1:7" ht="12" customHeight="1" outlineLevel="2" x14ac:dyDescent="0.2">
      <c r="A10626" s="14" t="s">
        <v>20898</v>
      </c>
      <c r="B10626" s="15" t="s">
        <v>20899</v>
      </c>
      <c r="C10626" s="16">
        <f>43.92/(1+B2)</f>
        <v>43.92</v>
      </c>
      <c r="D10626" s="17" t="s">
        <v>11</v>
      </c>
      <c r="E10626" s="17"/>
      <c r="F10626" s="18"/>
      <c r="G10626" s="36" t="str">
        <f>IF(ISNUMBER(F10626),C10626*F10626,"")</f>
        <v/>
      </c>
    </row>
    <row r="10627" spans="1:7" ht="12" customHeight="1" outlineLevel="2" x14ac:dyDescent="0.2">
      <c r="A10627" s="14" t="s">
        <v>20900</v>
      </c>
      <c r="B10627" s="15" t="s">
        <v>20901</v>
      </c>
      <c r="C10627" s="16">
        <f>241.77/(1+B2)</f>
        <v>241.77</v>
      </c>
      <c r="D10627" s="17" t="s">
        <v>11</v>
      </c>
      <c r="E10627" s="17" t="s">
        <v>14</v>
      </c>
      <c r="F10627" s="18"/>
      <c r="G10627" s="36" t="str">
        <f>IF(ISNUMBER(F10627),C10627*F10627,"")</f>
        <v/>
      </c>
    </row>
    <row r="10628" spans="1:7" ht="24" customHeight="1" outlineLevel="2" x14ac:dyDescent="0.2">
      <c r="A10628" s="14" t="s">
        <v>20902</v>
      </c>
      <c r="B10628" s="15" t="s">
        <v>20903</v>
      </c>
      <c r="C10628" s="16">
        <f>152.36/(1+B2)</f>
        <v>152.36000000000001</v>
      </c>
      <c r="D10628" s="17" t="s">
        <v>11</v>
      </c>
      <c r="E10628" s="17" t="s">
        <v>106</v>
      </c>
      <c r="F10628" s="18"/>
      <c r="G10628" s="36" t="str">
        <f>IF(ISNUMBER(F10628),C10628*F10628,"")</f>
        <v/>
      </c>
    </row>
    <row r="10629" spans="1:7" ht="24" customHeight="1" outlineLevel="2" x14ac:dyDescent="0.2">
      <c r="A10629" s="14" t="s">
        <v>20904</v>
      </c>
      <c r="B10629" s="15" t="s">
        <v>20905</v>
      </c>
      <c r="C10629" s="16">
        <f>56.87/(1+B2)</f>
        <v>56.87</v>
      </c>
      <c r="D10629" s="17" t="s">
        <v>11</v>
      </c>
      <c r="E10629" s="17" t="s">
        <v>106</v>
      </c>
      <c r="F10629" s="18"/>
      <c r="G10629" s="36" t="str">
        <f>IF(ISNUMBER(F10629),C10629*F10629,"")</f>
        <v/>
      </c>
    </row>
    <row r="10630" spans="1:7" ht="24" customHeight="1" outlineLevel="2" x14ac:dyDescent="0.2">
      <c r="A10630" s="14" t="s">
        <v>20906</v>
      </c>
      <c r="B10630" s="15" t="s">
        <v>20907</v>
      </c>
      <c r="C10630" s="16">
        <f>345.64/(1+B2)</f>
        <v>345.64</v>
      </c>
      <c r="D10630" s="17" t="s">
        <v>11</v>
      </c>
      <c r="E10630" s="17" t="s">
        <v>53</v>
      </c>
      <c r="F10630" s="18"/>
      <c r="G10630" s="36" t="str">
        <f>IF(ISNUMBER(F10630),C10630*F10630,"")</f>
        <v/>
      </c>
    </row>
    <row r="10631" spans="1:7" ht="24" customHeight="1" outlineLevel="2" x14ac:dyDescent="0.2">
      <c r="A10631" s="14" t="s">
        <v>20908</v>
      </c>
      <c r="B10631" s="15" t="s">
        <v>20909</v>
      </c>
      <c r="C10631" s="16">
        <f>574.4/(1+B2)</f>
        <v>574.4</v>
      </c>
      <c r="D10631" s="17" t="s">
        <v>11</v>
      </c>
      <c r="E10631" s="17" t="s">
        <v>53</v>
      </c>
      <c r="F10631" s="18"/>
      <c r="G10631" s="36" t="str">
        <f>IF(ISNUMBER(F10631),C10631*F10631,"")</f>
        <v/>
      </c>
    </row>
    <row r="10632" spans="1:7" ht="24" customHeight="1" outlineLevel="2" x14ac:dyDescent="0.2">
      <c r="A10632" s="14" t="s">
        <v>20910</v>
      </c>
      <c r="B10632" s="15" t="s">
        <v>20911</v>
      </c>
      <c r="C10632" s="16">
        <f>83.61/(1+B2)</f>
        <v>83.61</v>
      </c>
      <c r="D10632" s="17" t="s">
        <v>11</v>
      </c>
      <c r="E10632" s="17" t="s">
        <v>106</v>
      </c>
      <c r="F10632" s="18"/>
      <c r="G10632" s="36" t="str">
        <f>IF(ISNUMBER(F10632),C10632*F10632,"")</f>
        <v/>
      </c>
    </row>
    <row r="10633" spans="1:7" ht="12" customHeight="1" outlineLevel="2" x14ac:dyDescent="0.2">
      <c r="A10633" s="14" t="s">
        <v>20912</v>
      </c>
      <c r="B10633" s="15" t="s">
        <v>20913</v>
      </c>
      <c r="C10633" s="16">
        <f>63.71/(1+B2)</f>
        <v>63.71</v>
      </c>
      <c r="D10633" s="17" t="s">
        <v>14</v>
      </c>
      <c r="E10633" s="17" t="s">
        <v>11</v>
      </c>
      <c r="F10633" s="18"/>
      <c r="G10633" s="36" t="str">
        <f>IF(ISNUMBER(F10633),C10633*F10633,"")</f>
        <v/>
      </c>
    </row>
    <row r="10634" spans="1:7" ht="12" customHeight="1" outlineLevel="2" x14ac:dyDescent="0.2">
      <c r="A10634" s="14" t="s">
        <v>20914</v>
      </c>
      <c r="B10634" s="15" t="s">
        <v>20915</v>
      </c>
      <c r="C10634" s="16">
        <f>39.26/(1+B2)</f>
        <v>39.26</v>
      </c>
      <c r="D10634" s="17" t="s">
        <v>11</v>
      </c>
      <c r="E10634" s="17" t="s">
        <v>14</v>
      </c>
      <c r="F10634" s="18"/>
      <c r="G10634" s="36" t="str">
        <f>IF(ISNUMBER(F10634),C10634*F10634,"")</f>
        <v/>
      </c>
    </row>
    <row r="10635" spans="1:7" ht="12" customHeight="1" outlineLevel="2" x14ac:dyDescent="0.2">
      <c r="A10635" s="14" t="s">
        <v>20916</v>
      </c>
      <c r="B10635" s="15" t="s">
        <v>20917</v>
      </c>
      <c r="C10635" s="16">
        <f>42.5/(1+B2)</f>
        <v>42.5</v>
      </c>
      <c r="D10635" s="17" t="s">
        <v>53</v>
      </c>
      <c r="E10635" s="17" t="s">
        <v>14</v>
      </c>
      <c r="F10635" s="18"/>
      <c r="G10635" s="36" t="str">
        <f>IF(ISNUMBER(F10635),C10635*F10635,"")</f>
        <v/>
      </c>
    </row>
    <row r="10636" spans="1:7" ht="12" customHeight="1" outlineLevel="2" x14ac:dyDescent="0.2">
      <c r="A10636" s="14" t="s">
        <v>20918</v>
      </c>
      <c r="B10636" s="15" t="s">
        <v>20919</v>
      </c>
      <c r="C10636" s="16">
        <f>47.25/(1+B2)</f>
        <v>47.25</v>
      </c>
      <c r="D10636" s="17" t="s">
        <v>11</v>
      </c>
      <c r="E10636" s="17"/>
      <c r="F10636" s="18"/>
      <c r="G10636" s="36" t="str">
        <f>IF(ISNUMBER(F10636),C10636*F10636,"")</f>
        <v/>
      </c>
    </row>
    <row r="10637" spans="1:7" ht="12" customHeight="1" outlineLevel="2" x14ac:dyDescent="0.2">
      <c r="A10637" s="14" t="s">
        <v>20920</v>
      </c>
      <c r="B10637" s="15" t="s">
        <v>20921</v>
      </c>
      <c r="C10637" s="16">
        <f>91.01/(1+B2)</f>
        <v>91.01</v>
      </c>
      <c r="D10637" s="17" t="s">
        <v>14</v>
      </c>
      <c r="E10637" s="17"/>
      <c r="F10637" s="18"/>
      <c r="G10637" s="36" t="str">
        <f>IF(ISNUMBER(F10637),C10637*F10637,"")</f>
        <v/>
      </c>
    </row>
    <row r="10638" spans="1:7" ht="12" customHeight="1" outlineLevel="2" x14ac:dyDescent="0.2">
      <c r="A10638" s="14" t="s">
        <v>20922</v>
      </c>
      <c r="B10638" s="15" t="s">
        <v>20923</v>
      </c>
      <c r="C10638" s="16">
        <f>84.38/(1+B2)</f>
        <v>84.38</v>
      </c>
      <c r="D10638" s="17" t="s">
        <v>11</v>
      </c>
      <c r="E10638" s="17"/>
      <c r="F10638" s="18"/>
      <c r="G10638" s="36" t="str">
        <f>IF(ISNUMBER(F10638),C10638*F10638,"")</f>
        <v/>
      </c>
    </row>
    <row r="10639" spans="1:7" ht="12" customHeight="1" outlineLevel="2" x14ac:dyDescent="0.2">
      <c r="A10639" s="14" t="s">
        <v>20924</v>
      </c>
      <c r="B10639" s="15" t="s">
        <v>20925</v>
      </c>
      <c r="C10639" s="16">
        <f>142.2/(1+B2)</f>
        <v>142.19999999999999</v>
      </c>
      <c r="D10639" s="17" t="s">
        <v>11</v>
      </c>
      <c r="E10639" s="17" t="s">
        <v>14</v>
      </c>
      <c r="F10639" s="18"/>
      <c r="G10639" s="36" t="str">
        <f>IF(ISNUMBER(F10639),C10639*F10639,"")</f>
        <v/>
      </c>
    </row>
    <row r="10640" spans="1:7" ht="12" customHeight="1" outlineLevel="2" x14ac:dyDescent="0.2">
      <c r="A10640" s="14" t="s">
        <v>20926</v>
      </c>
      <c r="B10640" s="15" t="s">
        <v>20927</v>
      </c>
      <c r="C10640" s="16">
        <f>123.75/(1+B2)</f>
        <v>123.75</v>
      </c>
      <c r="D10640" s="17" t="s">
        <v>11</v>
      </c>
      <c r="E10640" s="17" t="s">
        <v>14</v>
      </c>
      <c r="F10640" s="18"/>
      <c r="G10640" s="36" t="str">
        <f>IF(ISNUMBER(F10640),C10640*F10640,"")</f>
        <v/>
      </c>
    </row>
    <row r="10641" spans="1:7" ht="12" customHeight="1" outlineLevel="2" x14ac:dyDescent="0.2">
      <c r="A10641" s="14" t="s">
        <v>20928</v>
      </c>
      <c r="B10641" s="15" t="s">
        <v>20929</v>
      </c>
      <c r="C10641" s="16">
        <f>88.88/(1+B2)</f>
        <v>88.88</v>
      </c>
      <c r="D10641" s="17" t="s">
        <v>11</v>
      </c>
      <c r="E10641" s="17" t="s">
        <v>53</v>
      </c>
      <c r="F10641" s="18"/>
      <c r="G10641" s="36" t="str">
        <f>IF(ISNUMBER(F10641),C10641*F10641,"")</f>
        <v/>
      </c>
    </row>
    <row r="10642" spans="1:7" ht="12" customHeight="1" outlineLevel="2" x14ac:dyDescent="0.2">
      <c r="A10642" s="14" t="s">
        <v>20930</v>
      </c>
      <c r="B10642" s="15" t="s">
        <v>20931</v>
      </c>
      <c r="C10642" s="16">
        <f>122.63/(1+B2)</f>
        <v>122.63</v>
      </c>
      <c r="D10642" s="17" t="s">
        <v>11</v>
      </c>
      <c r="E10642" s="17" t="s">
        <v>11</v>
      </c>
      <c r="F10642" s="18"/>
      <c r="G10642" s="36" t="str">
        <f>IF(ISNUMBER(F10642),C10642*F10642,"")</f>
        <v/>
      </c>
    </row>
    <row r="10643" spans="1:7" ht="12" customHeight="1" outlineLevel="2" x14ac:dyDescent="0.2">
      <c r="A10643" s="14" t="s">
        <v>20932</v>
      </c>
      <c r="B10643" s="15" t="s">
        <v>20933</v>
      </c>
      <c r="C10643" s="16">
        <f>106.2/(1+B2)</f>
        <v>106.2</v>
      </c>
      <c r="D10643" s="17" t="s">
        <v>11</v>
      </c>
      <c r="E10643" s="17" t="s">
        <v>14</v>
      </c>
      <c r="F10643" s="18"/>
      <c r="G10643" s="36" t="str">
        <f>IF(ISNUMBER(F10643),C10643*F10643,"")</f>
        <v/>
      </c>
    </row>
    <row r="10644" spans="1:7" s="1" customFormat="1" ht="15.95" customHeight="1" outlineLevel="1" x14ac:dyDescent="0.25">
      <c r="A10644" s="11"/>
      <c r="B10644" s="12" t="s">
        <v>20934</v>
      </c>
      <c r="C10644" s="13"/>
      <c r="D10644" s="13"/>
      <c r="E10644" s="13"/>
      <c r="F10644" s="13"/>
      <c r="G10644" s="35"/>
    </row>
    <row r="10645" spans="1:7" ht="12" customHeight="1" outlineLevel="2" x14ac:dyDescent="0.2">
      <c r="A10645" s="14" t="s">
        <v>20935</v>
      </c>
      <c r="B10645" s="15" t="s">
        <v>20936</v>
      </c>
      <c r="C10645" s="16">
        <f>667/(1+B2)</f>
        <v>667</v>
      </c>
      <c r="D10645" s="17" t="s">
        <v>11</v>
      </c>
      <c r="E10645" s="17" t="s">
        <v>11</v>
      </c>
      <c r="F10645" s="18"/>
      <c r="G10645" s="36" t="str">
        <f>IF(ISNUMBER(F10645),C10645*F10645,"")</f>
        <v/>
      </c>
    </row>
    <row r="10646" spans="1:7" ht="12" customHeight="1" outlineLevel="2" x14ac:dyDescent="0.2">
      <c r="A10646" s="14" t="s">
        <v>20937</v>
      </c>
      <c r="B10646" s="15" t="s">
        <v>20938</v>
      </c>
      <c r="C10646" s="16">
        <f>299.34/(1+B2)</f>
        <v>299.33999999999997</v>
      </c>
      <c r="D10646" s="17" t="s">
        <v>11</v>
      </c>
      <c r="E10646" s="17"/>
      <c r="F10646" s="18"/>
      <c r="G10646" s="36" t="str">
        <f>IF(ISNUMBER(F10646),C10646*F10646,"")</f>
        <v/>
      </c>
    </row>
    <row r="10647" spans="1:7" ht="24" customHeight="1" outlineLevel="2" x14ac:dyDescent="0.2">
      <c r="A10647" s="14" t="s">
        <v>20939</v>
      </c>
      <c r="B10647" s="15" t="s">
        <v>20940</v>
      </c>
      <c r="C10647" s="16">
        <f>385.6/(1+B2)</f>
        <v>385.6</v>
      </c>
      <c r="D10647" s="17" t="s">
        <v>11</v>
      </c>
      <c r="E10647" s="17"/>
      <c r="F10647" s="18"/>
      <c r="G10647" s="36" t="str">
        <f>IF(ISNUMBER(F10647),C10647*F10647,"")</f>
        <v/>
      </c>
    </row>
    <row r="10648" spans="1:7" ht="24" customHeight="1" outlineLevel="2" x14ac:dyDescent="0.2">
      <c r="A10648" s="14" t="s">
        <v>20941</v>
      </c>
      <c r="B10648" s="15" t="s">
        <v>20942</v>
      </c>
      <c r="C10648" s="16">
        <f>586.36/(1+B2)</f>
        <v>586.36</v>
      </c>
      <c r="D10648" s="17" t="s">
        <v>11</v>
      </c>
      <c r="E10648" s="17"/>
      <c r="F10648" s="18"/>
      <c r="G10648" s="36" t="str">
        <f>IF(ISNUMBER(F10648),C10648*F10648,"")</f>
        <v/>
      </c>
    </row>
    <row r="10649" spans="1:7" ht="12" customHeight="1" outlineLevel="2" x14ac:dyDescent="0.2">
      <c r="A10649" s="14" t="s">
        <v>20943</v>
      </c>
      <c r="B10649" s="15" t="s">
        <v>20944</v>
      </c>
      <c r="C10649" s="16">
        <f>211.81/(1+B2)</f>
        <v>211.81</v>
      </c>
      <c r="D10649" s="17" t="s">
        <v>11</v>
      </c>
      <c r="E10649" s="17"/>
      <c r="F10649" s="18"/>
      <c r="G10649" s="36" t="str">
        <f>IF(ISNUMBER(F10649),C10649*F10649,"")</f>
        <v/>
      </c>
    </row>
    <row r="10650" spans="1:7" ht="24" customHeight="1" outlineLevel="2" x14ac:dyDescent="0.2">
      <c r="A10650" s="14" t="s">
        <v>20945</v>
      </c>
      <c r="B10650" s="15" t="s">
        <v>20946</v>
      </c>
      <c r="C10650" s="16">
        <f>393.06/(1+B2)</f>
        <v>393.06</v>
      </c>
      <c r="D10650" s="17" t="s">
        <v>11</v>
      </c>
      <c r="E10650" s="17"/>
      <c r="F10650" s="18"/>
      <c r="G10650" s="36" t="str">
        <f>IF(ISNUMBER(F10650),C10650*F10650,"")</f>
        <v/>
      </c>
    </row>
    <row r="10651" spans="1:7" ht="12" customHeight="1" outlineLevel="2" x14ac:dyDescent="0.2">
      <c r="A10651" s="14" t="s">
        <v>20947</v>
      </c>
      <c r="B10651" s="15" t="s">
        <v>20948</v>
      </c>
      <c r="C10651" s="16">
        <f>44.16/(1+B2)</f>
        <v>44.16</v>
      </c>
      <c r="D10651" s="17" t="s">
        <v>11</v>
      </c>
      <c r="E10651" s="17" t="s">
        <v>106</v>
      </c>
      <c r="F10651" s="18"/>
      <c r="G10651" s="36" t="str">
        <f>IF(ISNUMBER(F10651),C10651*F10651,"")</f>
        <v/>
      </c>
    </row>
    <row r="10652" spans="1:7" ht="12" customHeight="1" outlineLevel="2" x14ac:dyDescent="0.2">
      <c r="A10652" s="14" t="s">
        <v>20949</v>
      </c>
      <c r="B10652" s="15" t="s">
        <v>20950</v>
      </c>
      <c r="C10652" s="16">
        <f>23.94/(1+B2)</f>
        <v>23.94</v>
      </c>
      <c r="D10652" s="17" t="s">
        <v>11</v>
      </c>
      <c r="E10652" s="17" t="s">
        <v>106</v>
      </c>
      <c r="F10652" s="18"/>
      <c r="G10652" s="36" t="str">
        <f>IF(ISNUMBER(F10652),C10652*F10652,"")</f>
        <v/>
      </c>
    </row>
    <row r="10653" spans="1:7" ht="12" customHeight="1" outlineLevel="2" x14ac:dyDescent="0.2">
      <c r="A10653" s="14" t="s">
        <v>20951</v>
      </c>
      <c r="B10653" s="15" t="s">
        <v>20952</v>
      </c>
      <c r="C10653" s="16">
        <f>60.47/(1+B2)</f>
        <v>60.47</v>
      </c>
      <c r="D10653" s="17" t="s">
        <v>11</v>
      </c>
      <c r="E10653" s="17" t="s">
        <v>106</v>
      </c>
      <c r="F10653" s="18"/>
      <c r="G10653" s="36" t="str">
        <f>IF(ISNUMBER(F10653),C10653*F10653,"")</f>
        <v/>
      </c>
    </row>
    <row r="10654" spans="1:7" ht="12" customHeight="1" outlineLevel="2" x14ac:dyDescent="0.2">
      <c r="A10654" s="14" t="s">
        <v>20953</v>
      </c>
      <c r="B10654" s="15" t="s">
        <v>20954</v>
      </c>
      <c r="C10654" s="16">
        <f>69.42/(1+B2)</f>
        <v>69.42</v>
      </c>
      <c r="D10654" s="17" t="s">
        <v>11</v>
      </c>
      <c r="E10654" s="17" t="s">
        <v>11</v>
      </c>
      <c r="F10654" s="18"/>
      <c r="G10654" s="36" t="str">
        <f>IF(ISNUMBER(F10654),C10654*F10654,"")</f>
        <v/>
      </c>
    </row>
    <row r="10655" spans="1:7" ht="12" customHeight="1" outlineLevel="2" x14ac:dyDescent="0.2">
      <c r="A10655" s="14" t="s">
        <v>20955</v>
      </c>
      <c r="B10655" s="15" t="s">
        <v>20956</v>
      </c>
      <c r="C10655" s="16">
        <f>511.09/(1+B2)</f>
        <v>511.09</v>
      </c>
      <c r="D10655" s="17" t="s">
        <v>11</v>
      </c>
      <c r="E10655" s="17"/>
      <c r="F10655" s="18"/>
      <c r="G10655" s="36" t="str">
        <f>IF(ISNUMBER(F10655),C10655*F10655,"")</f>
        <v/>
      </c>
    </row>
    <row r="10656" spans="1:7" ht="12" customHeight="1" outlineLevel="2" x14ac:dyDescent="0.2">
      <c r="A10656" s="14" t="s">
        <v>20957</v>
      </c>
      <c r="B10656" s="15" t="s">
        <v>20958</v>
      </c>
      <c r="C10656" s="19">
        <f>1130.7/(1+B2)</f>
        <v>1130.7</v>
      </c>
      <c r="D10656" s="17" t="s">
        <v>11</v>
      </c>
      <c r="E10656" s="17"/>
      <c r="F10656" s="18"/>
      <c r="G10656" s="36" t="str">
        <f>IF(ISNUMBER(F10656),C10656*F10656,"")</f>
        <v/>
      </c>
    </row>
    <row r="10657" spans="1:7" ht="12" customHeight="1" outlineLevel="2" x14ac:dyDescent="0.2">
      <c r="A10657" s="14" t="s">
        <v>20959</v>
      </c>
      <c r="B10657" s="15" t="s">
        <v>20960</v>
      </c>
      <c r="C10657" s="16">
        <f>709.56/(1+B2)</f>
        <v>709.56</v>
      </c>
      <c r="D10657" s="17" t="s">
        <v>11</v>
      </c>
      <c r="E10657" s="17"/>
      <c r="F10657" s="18"/>
      <c r="G10657" s="36" t="str">
        <f>IF(ISNUMBER(F10657),C10657*F10657,"")</f>
        <v/>
      </c>
    </row>
    <row r="10658" spans="1:7" ht="24" customHeight="1" outlineLevel="2" x14ac:dyDescent="0.2">
      <c r="A10658" s="14" t="s">
        <v>20961</v>
      </c>
      <c r="B10658" s="15" t="s">
        <v>20962</v>
      </c>
      <c r="C10658" s="16">
        <f>343.25/(1+B2)</f>
        <v>343.25</v>
      </c>
      <c r="D10658" s="17" t="s">
        <v>11</v>
      </c>
      <c r="E10658" s="17"/>
      <c r="F10658" s="18"/>
      <c r="G10658" s="36" t="str">
        <f>IF(ISNUMBER(F10658),C10658*F10658,"")</f>
        <v/>
      </c>
    </row>
    <row r="10659" spans="1:7" ht="24" customHeight="1" outlineLevel="2" x14ac:dyDescent="0.2">
      <c r="A10659" s="14" t="s">
        <v>20963</v>
      </c>
      <c r="B10659" s="15" t="s">
        <v>20964</v>
      </c>
      <c r="C10659" s="16">
        <f>474.55/(1+B2)</f>
        <v>474.55</v>
      </c>
      <c r="D10659" s="17" t="s">
        <v>11</v>
      </c>
      <c r="E10659" s="17"/>
      <c r="F10659" s="18"/>
      <c r="G10659" s="36" t="str">
        <f>IF(ISNUMBER(F10659),C10659*F10659,"")</f>
        <v/>
      </c>
    </row>
    <row r="10660" spans="1:7" ht="24" customHeight="1" outlineLevel="2" x14ac:dyDescent="0.2">
      <c r="A10660" s="14" t="s">
        <v>20965</v>
      </c>
      <c r="B10660" s="15" t="s">
        <v>20966</v>
      </c>
      <c r="C10660" s="16">
        <f>535.71/(1+B2)</f>
        <v>535.71</v>
      </c>
      <c r="D10660" s="17" t="s">
        <v>11</v>
      </c>
      <c r="E10660" s="17"/>
      <c r="F10660" s="18"/>
      <c r="G10660" s="36" t="str">
        <f>IF(ISNUMBER(F10660),C10660*F10660,"")</f>
        <v/>
      </c>
    </row>
    <row r="10661" spans="1:7" ht="24" customHeight="1" outlineLevel="2" x14ac:dyDescent="0.2">
      <c r="A10661" s="14" t="s">
        <v>20967</v>
      </c>
      <c r="B10661" s="15" t="s">
        <v>20968</v>
      </c>
      <c r="C10661" s="16">
        <f>665.48/(1+B2)</f>
        <v>665.48</v>
      </c>
      <c r="D10661" s="17" t="s">
        <v>11</v>
      </c>
      <c r="E10661" s="17"/>
      <c r="F10661" s="18"/>
      <c r="G10661" s="36" t="str">
        <f>IF(ISNUMBER(F10661),C10661*F10661,"")</f>
        <v/>
      </c>
    </row>
    <row r="10662" spans="1:7" ht="24" customHeight="1" outlineLevel="2" x14ac:dyDescent="0.2">
      <c r="A10662" s="14" t="s">
        <v>20969</v>
      </c>
      <c r="B10662" s="15" t="s">
        <v>20970</v>
      </c>
      <c r="C10662" s="16">
        <f>341.53/(1+B2)</f>
        <v>341.53</v>
      </c>
      <c r="D10662" s="17" t="s">
        <v>11</v>
      </c>
      <c r="E10662" s="17"/>
      <c r="F10662" s="18"/>
      <c r="G10662" s="36" t="str">
        <f>IF(ISNUMBER(F10662),C10662*F10662,"")</f>
        <v/>
      </c>
    </row>
    <row r="10663" spans="1:7" ht="24" customHeight="1" outlineLevel="2" x14ac:dyDescent="0.2">
      <c r="A10663" s="14" t="s">
        <v>20971</v>
      </c>
      <c r="B10663" s="15" t="s">
        <v>20972</v>
      </c>
      <c r="C10663" s="16">
        <f>645.45/(1+B2)</f>
        <v>645.45000000000005</v>
      </c>
      <c r="D10663" s="17" t="s">
        <v>11</v>
      </c>
      <c r="E10663" s="17"/>
      <c r="F10663" s="18"/>
      <c r="G10663" s="36" t="str">
        <f>IF(ISNUMBER(F10663),C10663*F10663,"")</f>
        <v/>
      </c>
    </row>
    <row r="10664" spans="1:7" ht="24" customHeight="1" outlineLevel="2" x14ac:dyDescent="0.2">
      <c r="A10664" s="14" t="s">
        <v>20973</v>
      </c>
      <c r="B10664" s="15" t="s">
        <v>20974</v>
      </c>
      <c r="C10664" s="16">
        <f>645.56/(1+B2)</f>
        <v>645.55999999999995</v>
      </c>
      <c r="D10664" s="17" t="s">
        <v>11</v>
      </c>
      <c r="E10664" s="17"/>
      <c r="F10664" s="18"/>
      <c r="G10664" s="36" t="str">
        <f>IF(ISNUMBER(F10664),C10664*F10664,"")</f>
        <v/>
      </c>
    </row>
    <row r="10665" spans="1:7" ht="24" customHeight="1" outlineLevel="2" x14ac:dyDescent="0.2">
      <c r="A10665" s="14" t="s">
        <v>20975</v>
      </c>
      <c r="B10665" s="15" t="s">
        <v>20976</v>
      </c>
      <c r="C10665" s="16">
        <f>520.08/(1+B2)</f>
        <v>520.08000000000004</v>
      </c>
      <c r="D10665" s="17" t="s">
        <v>11</v>
      </c>
      <c r="E10665" s="17"/>
      <c r="F10665" s="18"/>
      <c r="G10665" s="36" t="str">
        <f>IF(ISNUMBER(F10665),C10665*F10665,"")</f>
        <v/>
      </c>
    </row>
    <row r="10666" spans="1:7" ht="12" customHeight="1" outlineLevel="2" x14ac:dyDescent="0.2">
      <c r="A10666" s="14" t="s">
        <v>20977</v>
      </c>
      <c r="B10666" s="15" t="s">
        <v>20978</v>
      </c>
      <c r="C10666" s="16">
        <f>196.23/(1+B2)</f>
        <v>196.23</v>
      </c>
      <c r="D10666" s="17" t="s">
        <v>11</v>
      </c>
      <c r="E10666" s="17" t="s">
        <v>11</v>
      </c>
      <c r="F10666" s="18"/>
      <c r="G10666" s="36" t="str">
        <f>IF(ISNUMBER(F10666),C10666*F10666,"")</f>
        <v/>
      </c>
    </row>
    <row r="10667" spans="1:7" ht="12" customHeight="1" outlineLevel="2" x14ac:dyDescent="0.2">
      <c r="A10667" s="14" t="s">
        <v>20979</v>
      </c>
      <c r="B10667" s="15" t="s">
        <v>20980</v>
      </c>
      <c r="C10667" s="16">
        <f>164.68/(1+B2)</f>
        <v>164.68</v>
      </c>
      <c r="D10667" s="17" t="s">
        <v>11</v>
      </c>
      <c r="E10667" s="17" t="s">
        <v>53</v>
      </c>
      <c r="F10667" s="18"/>
      <c r="G10667" s="36" t="str">
        <f>IF(ISNUMBER(F10667),C10667*F10667,"")</f>
        <v/>
      </c>
    </row>
    <row r="10668" spans="1:7" ht="24" customHeight="1" outlineLevel="2" x14ac:dyDescent="0.2">
      <c r="A10668" s="14" t="s">
        <v>20981</v>
      </c>
      <c r="B10668" s="15" t="s">
        <v>20982</v>
      </c>
      <c r="C10668" s="16">
        <f>411.02/(1+B2)</f>
        <v>411.02</v>
      </c>
      <c r="D10668" s="17" t="s">
        <v>11</v>
      </c>
      <c r="E10668" s="17"/>
      <c r="F10668" s="18"/>
      <c r="G10668" s="36" t="str">
        <f>IF(ISNUMBER(F10668),C10668*F10668,"")</f>
        <v/>
      </c>
    </row>
    <row r="10669" spans="1:7" ht="24" customHeight="1" outlineLevel="2" x14ac:dyDescent="0.2">
      <c r="A10669" s="14" t="s">
        <v>20983</v>
      </c>
      <c r="B10669" s="15" t="s">
        <v>20984</v>
      </c>
      <c r="C10669" s="19">
        <f>1045.65/(1+B2)</f>
        <v>1045.6500000000001</v>
      </c>
      <c r="D10669" s="17" t="s">
        <v>11</v>
      </c>
      <c r="E10669" s="17"/>
      <c r="F10669" s="18"/>
      <c r="G10669" s="36" t="str">
        <f>IF(ISNUMBER(F10669),C10669*F10669,"")</f>
        <v/>
      </c>
    </row>
    <row r="10670" spans="1:7" ht="12" customHeight="1" outlineLevel="2" x14ac:dyDescent="0.2">
      <c r="A10670" s="14" t="s">
        <v>20985</v>
      </c>
      <c r="B10670" s="15" t="s">
        <v>20986</v>
      </c>
      <c r="C10670" s="16">
        <f>270.8/(1+B2)</f>
        <v>270.8</v>
      </c>
      <c r="D10670" s="17" t="s">
        <v>11</v>
      </c>
      <c r="E10670" s="17"/>
      <c r="F10670" s="18"/>
      <c r="G10670" s="36" t="str">
        <f>IF(ISNUMBER(F10670),C10670*F10670,"")</f>
        <v/>
      </c>
    </row>
    <row r="10671" spans="1:7" ht="24" customHeight="1" outlineLevel="2" x14ac:dyDescent="0.2">
      <c r="A10671" s="14" t="s">
        <v>20987</v>
      </c>
      <c r="B10671" s="15" t="s">
        <v>20988</v>
      </c>
      <c r="C10671" s="19">
        <f>1319.33/(1+B2)</f>
        <v>1319.33</v>
      </c>
      <c r="D10671" s="17" t="s">
        <v>11</v>
      </c>
      <c r="E10671" s="17"/>
      <c r="F10671" s="18"/>
      <c r="G10671" s="36" t="str">
        <f>IF(ISNUMBER(F10671),C10671*F10671,"")</f>
        <v/>
      </c>
    </row>
    <row r="10672" spans="1:7" ht="12" customHeight="1" outlineLevel="2" x14ac:dyDescent="0.2">
      <c r="A10672" s="14" t="s">
        <v>20989</v>
      </c>
      <c r="B10672" s="15" t="s">
        <v>20990</v>
      </c>
      <c r="C10672" s="16">
        <f>945.59/(1+B2)</f>
        <v>945.59</v>
      </c>
      <c r="D10672" s="17" t="s">
        <v>11</v>
      </c>
      <c r="E10672" s="17"/>
      <c r="F10672" s="18"/>
      <c r="G10672" s="36" t="str">
        <f>IF(ISNUMBER(F10672),C10672*F10672,"")</f>
        <v/>
      </c>
    </row>
    <row r="10673" spans="1:7" s="1" customFormat="1" ht="15.95" customHeight="1" outlineLevel="1" x14ac:dyDescent="0.25">
      <c r="A10673" s="11"/>
      <c r="B10673" s="12" t="s">
        <v>20991</v>
      </c>
      <c r="C10673" s="13"/>
      <c r="D10673" s="13"/>
      <c r="E10673" s="13"/>
      <c r="F10673" s="13"/>
      <c r="G10673" s="35"/>
    </row>
    <row r="10674" spans="1:7" ht="12" customHeight="1" outlineLevel="2" x14ac:dyDescent="0.2">
      <c r="A10674" s="14" t="s">
        <v>20992</v>
      </c>
      <c r="B10674" s="15" t="s">
        <v>20993</v>
      </c>
      <c r="C10674" s="16">
        <f>393.69/(1+B2)</f>
        <v>393.69</v>
      </c>
      <c r="D10674" s="17" t="s">
        <v>11</v>
      </c>
      <c r="E10674" s="17" t="s">
        <v>11</v>
      </c>
      <c r="F10674" s="18"/>
      <c r="G10674" s="36" t="str">
        <f>IF(ISNUMBER(F10674),C10674*F10674,"")</f>
        <v/>
      </c>
    </row>
    <row r="10675" spans="1:7" ht="12" customHeight="1" outlineLevel="2" x14ac:dyDescent="0.2">
      <c r="A10675" s="14" t="s">
        <v>20994</v>
      </c>
      <c r="B10675" s="15" t="s">
        <v>20995</v>
      </c>
      <c r="C10675" s="16">
        <f>367.87/(1+B2)</f>
        <v>367.87</v>
      </c>
      <c r="D10675" s="17" t="s">
        <v>11</v>
      </c>
      <c r="E10675" s="17" t="s">
        <v>11</v>
      </c>
      <c r="F10675" s="18"/>
      <c r="G10675" s="36" t="str">
        <f>IF(ISNUMBER(F10675),C10675*F10675,"")</f>
        <v/>
      </c>
    </row>
    <row r="10676" spans="1:7" ht="12" customHeight="1" outlineLevel="2" x14ac:dyDescent="0.2">
      <c r="A10676" s="14" t="s">
        <v>20996</v>
      </c>
      <c r="B10676" s="15" t="s">
        <v>20997</v>
      </c>
      <c r="C10676" s="16">
        <f>155.51/(1+B2)</f>
        <v>155.51</v>
      </c>
      <c r="D10676" s="17" t="s">
        <v>11</v>
      </c>
      <c r="E10676" s="17" t="s">
        <v>11</v>
      </c>
      <c r="F10676" s="18"/>
      <c r="G10676" s="36" t="str">
        <f>IF(ISNUMBER(F10676),C10676*F10676,"")</f>
        <v/>
      </c>
    </row>
    <row r="10677" spans="1:7" ht="12" customHeight="1" outlineLevel="2" x14ac:dyDescent="0.2">
      <c r="A10677" s="14" t="s">
        <v>20998</v>
      </c>
      <c r="B10677" s="15" t="s">
        <v>20999</v>
      </c>
      <c r="C10677" s="16">
        <f>157.92/(1+B2)</f>
        <v>157.91999999999999</v>
      </c>
      <c r="D10677" s="17" t="s">
        <v>14</v>
      </c>
      <c r="E10677" s="17" t="s">
        <v>11</v>
      </c>
      <c r="F10677" s="18"/>
      <c r="G10677" s="36" t="str">
        <f>IF(ISNUMBER(F10677),C10677*F10677,"")</f>
        <v/>
      </c>
    </row>
    <row r="10678" spans="1:7" ht="12" customHeight="1" outlineLevel="2" x14ac:dyDescent="0.2">
      <c r="A10678" s="14" t="s">
        <v>21000</v>
      </c>
      <c r="B10678" s="15" t="s">
        <v>21001</v>
      </c>
      <c r="C10678" s="16">
        <f>221.39/(1+B2)</f>
        <v>221.39</v>
      </c>
      <c r="D10678" s="17" t="s">
        <v>11</v>
      </c>
      <c r="E10678" s="17"/>
      <c r="F10678" s="18"/>
      <c r="G10678" s="36" t="str">
        <f>IF(ISNUMBER(F10678),C10678*F10678,"")</f>
        <v/>
      </c>
    </row>
    <row r="10679" spans="1:7" ht="12" customHeight="1" outlineLevel="2" x14ac:dyDescent="0.2">
      <c r="A10679" s="14" t="s">
        <v>21002</v>
      </c>
      <c r="B10679" s="15" t="s">
        <v>21003</v>
      </c>
      <c r="C10679" s="16">
        <f>244.58/(1+B2)</f>
        <v>244.58</v>
      </c>
      <c r="D10679" s="17" t="s">
        <v>11</v>
      </c>
      <c r="E10679" s="17"/>
      <c r="F10679" s="18"/>
      <c r="G10679" s="36" t="str">
        <f>IF(ISNUMBER(F10679),C10679*F10679,"")</f>
        <v/>
      </c>
    </row>
    <row r="10680" spans="1:7" ht="12" customHeight="1" outlineLevel="2" x14ac:dyDescent="0.2">
      <c r="A10680" s="14" t="s">
        <v>21004</v>
      </c>
      <c r="B10680" s="15" t="s">
        <v>21005</v>
      </c>
      <c r="C10680" s="16">
        <f>872.37/(1+B2)</f>
        <v>872.37</v>
      </c>
      <c r="D10680" s="17" t="s">
        <v>11</v>
      </c>
      <c r="E10680" s="17"/>
      <c r="F10680" s="18"/>
      <c r="G10680" s="36" t="str">
        <f>IF(ISNUMBER(F10680),C10680*F10680,"")</f>
        <v/>
      </c>
    </row>
    <row r="10681" spans="1:7" ht="12" customHeight="1" outlineLevel="2" x14ac:dyDescent="0.2">
      <c r="A10681" s="14" t="s">
        <v>21006</v>
      </c>
      <c r="B10681" s="15" t="s">
        <v>21007</v>
      </c>
      <c r="C10681" s="16">
        <f>58.57/(1+B2)</f>
        <v>58.57</v>
      </c>
      <c r="D10681" s="17" t="s">
        <v>11</v>
      </c>
      <c r="E10681" s="17" t="s">
        <v>53</v>
      </c>
      <c r="F10681" s="18"/>
      <c r="G10681" s="36" t="str">
        <f>IF(ISNUMBER(F10681),C10681*F10681,"")</f>
        <v/>
      </c>
    </row>
    <row r="10682" spans="1:7" ht="12" customHeight="1" outlineLevel="2" x14ac:dyDescent="0.2">
      <c r="A10682" s="14" t="s">
        <v>21008</v>
      </c>
      <c r="B10682" s="15" t="s">
        <v>21009</v>
      </c>
      <c r="C10682" s="16">
        <f>72.1/(1+B2)</f>
        <v>72.099999999999994</v>
      </c>
      <c r="D10682" s="17" t="s">
        <v>14</v>
      </c>
      <c r="E10682" s="17"/>
      <c r="F10682" s="18"/>
      <c r="G10682" s="36" t="str">
        <f>IF(ISNUMBER(F10682),C10682*F10682,"")</f>
        <v/>
      </c>
    </row>
    <row r="10683" spans="1:7" ht="12" customHeight="1" outlineLevel="2" x14ac:dyDescent="0.2">
      <c r="A10683" s="14" t="s">
        <v>21010</v>
      </c>
      <c r="B10683" s="15" t="s">
        <v>21011</v>
      </c>
      <c r="C10683" s="16">
        <f>116.63/(1+B2)</f>
        <v>116.63</v>
      </c>
      <c r="D10683" s="17" t="s">
        <v>14</v>
      </c>
      <c r="E10683" s="17" t="s">
        <v>14</v>
      </c>
      <c r="F10683" s="18"/>
      <c r="G10683" s="36" t="str">
        <f>IF(ISNUMBER(F10683),C10683*F10683,"")</f>
        <v/>
      </c>
    </row>
    <row r="10684" spans="1:7" ht="12" customHeight="1" outlineLevel="2" x14ac:dyDescent="0.2">
      <c r="A10684" s="14" t="s">
        <v>21012</v>
      </c>
      <c r="B10684" s="15" t="s">
        <v>21013</v>
      </c>
      <c r="C10684" s="16">
        <f>162.88/(1+B2)</f>
        <v>162.88</v>
      </c>
      <c r="D10684" s="17" t="s">
        <v>14</v>
      </c>
      <c r="E10684" s="17" t="s">
        <v>14</v>
      </c>
      <c r="F10684" s="18"/>
      <c r="G10684" s="36" t="str">
        <f>IF(ISNUMBER(F10684),C10684*F10684,"")</f>
        <v/>
      </c>
    </row>
    <row r="10685" spans="1:7" ht="12" customHeight="1" outlineLevel="2" x14ac:dyDescent="0.2">
      <c r="A10685" s="14" t="s">
        <v>21014</v>
      </c>
      <c r="B10685" s="15" t="s">
        <v>21015</v>
      </c>
      <c r="C10685" s="16">
        <f>110.81/(1+B2)</f>
        <v>110.81</v>
      </c>
      <c r="D10685" s="17" t="s">
        <v>11</v>
      </c>
      <c r="E10685" s="17" t="s">
        <v>106</v>
      </c>
      <c r="F10685" s="18"/>
      <c r="G10685" s="36" t="str">
        <f>IF(ISNUMBER(F10685),C10685*F10685,"")</f>
        <v/>
      </c>
    </row>
    <row r="10686" spans="1:7" ht="12" customHeight="1" outlineLevel="2" x14ac:dyDescent="0.2">
      <c r="A10686" s="14" t="s">
        <v>21016</v>
      </c>
      <c r="B10686" s="15" t="s">
        <v>21017</v>
      </c>
      <c r="C10686" s="16">
        <f>147.99/(1+B2)</f>
        <v>147.99</v>
      </c>
      <c r="D10686" s="17" t="s">
        <v>11</v>
      </c>
      <c r="E10686" s="17" t="s">
        <v>106</v>
      </c>
      <c r="F10686" s="18"/>
      <c r="G10686" s="36" t="str">
        <f>IF(ISNUMBER(F10686),C10686*F10686,"")</f>
        <v/>
      </c>
    </row>
    <row r="10687" spans="1:7" ht="12" customHeight="1" outlineLevel="2" x14ac:dyDescent="0.2">
      <c r="A10687" s="14" t="s">
        <v>21018</v>
      </c>
      <c r="B10687" s="15" t="s">
        <v>21019</v>
      </c>
      <c r="C10687" s="16">
        <f>158.19/(1+B2)</f>
        <v>158.19</v>
      </c>
      <c r="D10687" s="17" t="s">
        <v>11</v>
      </c>
      <c r="E10687" s="17" t="s">
        <v>11</v>
      </c>
      <c r="F10687" s="18"/>
      <c r="G10687" s="36" t="str">
        <f>IF(ISNUMBER(F10687),C10687*F10687,"")</f>
        <v/>
      </c>
    </row>
    <row r="10688" spans="1:7" s="1" customFormat="1" ht="15.95" customHeight="1" outlineLevel="1" x14ac:dyDescent="0.25">
      <c r="A10688" s="11"/>
      <c r="B10688" s="12" t="s">
        <v>21020</v>
      </c>
      <c r="C10688" s="13"/>
      <c r="D10688" s="13"/>
      <c r="E10688" s="13"/>
      <c r="F10688" s="13"/>
      <c r="G10688" s="35"/>
    </row>
    <row r="10689" spans="1:7" ht="12" customHeight="1" outlineLevel="2" x14ac:dyDescent="0.2">
      <c r="A10689" s="14" t="s">
        <v>21021</v>
      </c>
      <c r="B10689" s="15" t="s">
        <v>21022</v>
      </c>
      <c r="C10689" s="16">
        <f>47.13/(1+B2)</f>
        <v>47.13</v>
      </c>
      <c r="D10689" s="17" t="s">
        <v>11</v>
      </c>
      <c r="E10689" s="17"/>
      <c r="F10689" s="18"/>
      <c r="G10689" s="36" t="str">
        <f>IF(ISNUMBER(F10689),C10689*F10689,"")</f>
        <v/>
      </c>
    </row>
    <row r="10690" spans="1:7" ht="24" customHeight="1" outlineLevel="2" x14ac:dyDescent="0.2">
      <c r="A10690" s="14" t="s">
        <v>21023</v>
      </c>
      <c r="B10690" s="15" t="s">
        <v>21024</v>
      </c>
      <c r="C10690" s="16">
        <f>44.05/(1+B2)</f>
        <v>44.05</v>
      </c>
      <c r="D10690" s="17" t="s">
        <v>11</v>
      </c>
      <c r="E10690" s="17"/>
      <c r="F10690" s="18"/>
      <c r="G10690" s="36" t="str">
        <f>IF(ISNUMBER(F10690),C10690*F10690,"")</f>
        <v/>
      </c>
    </row>
    <row r="10691" spans="1:7" ht="24" customHeight="1" outlineLevel="2" x14ac:dyDescent="0.2">
      <c r="A10691" s="14" t="s">
        <v>21025</v>
      </c>
      <c r="B10691" s="15" t="s">
        <v>21026</v>
      </c>
      <c r="C10691" s="16">
        <f>143.95/(1+B2)</f>
        <v>143.94999999999999</v>
      </c>
      <c r="D10691" s="17" t="s">
        <v>11</v>
      </c>
      <c r="E10691" s="17"/>
      <c r="F10691" s="18"/>
      <c r="G10691" s="36" t="str">
        <f>IF(ISNUMBER(F10691),C10691*F10691,"")</f>
        <v/>
      </c>
    </row>
    <row r="10692" spans="1:7" ht="24" customHeight="1" outlineLevel="2" x14ac:dyDescent="0.2">
      <c r="A10692" s="14" t="s">
        <v>21027</v>
      </c>
      <c r="B10692" s="15" t="s">
        <v>21028</v>
      </c>
      <c r="C10692" s="16">
        <f>39.27/(1+B2)</f>
        <v>39.270000000000003</v>
      </c>
      <c r="D10692" s="17" t="s">
        <v>14</v>
      </c>
      <c r="E10692" s="17"/>
      <c r="F10692" s="18"/>
      <c r="G10692" s="36" t="str">
        <f>IF(ISNUMBER(F10692),C10692*F10692,"")</f>
        <v/>
      </c>
    </row>
    <row r="10693" spans="1:7" ht="24" customHeight="1" outlineLevel="2" x14ac:dyDescent="0.2">
      <c r="A10693" s="14" t="s">
        <v>21029</v>
      </c>
      <c r="B10693" s="15" t="s">
        <v>21030</v>
      </c>
      <c r="C10693" s="16">
        <f>49.1/(1+B2)</f>
        <v>49.1</v>
      </c>
      <c r="D10693" s="17" t="s">
        <v>14</v>
      </c>
      <c r="E10693" s="17"/>
      <c r="F10693" s="18"/>
      <c r="G10693" s="36" t="str">
        <f>IF(ISNUMBER(F10693),C10693*F10693,"")</f>
        <v/>
      </c>
    </row>
    <row r="10694" spans="1:7" ht="12" customHeight="1" outlineLevel="2" x14ac:dyDescent="0.2">
      <c r="A10694" s="14" t="s">
        <v>21031</v>
      </c>
      <c r="B10694" s="15" t="s">
        <v>21032</v>
      </c>
      <c r="C10694" s="19">
        <f>3711.83/(1+B2)</f>
        <v>3711.83</v>
      </c>
      <c r="D10694" s="17" t="s">
        <v>11</v>
      </c>
      <c r="E10694" s="17"/>
      <c r="F10694" s="18"/>
      <c r="G10694" s="36" t="str">
        <f>IF(ISNUMBER(F10694),C10694*F10694,"")</f>
        <v/>
      </c>
    </row>
    <row r="10695" spans="1:7" ht="12" customHeight="1" outlineLevel="2" x14ac:dyDescent="0.2">
      <c r="A10695" s="14" t="s">
        <v>21033</v>
      </c>
      <c r="B10695" s="15" t="s">
        <v>21034</v>
      </c>
      <c r="C10695" s="16">
        <f>34.24/(1+B2)</f>
        <v>34.24</v>
      </c>
      <c r="D10695" s="17" t="s">
        <v>53</v>
      </c>
      <c r="E10695" s="17"/>
      <c r="F10695" s="18"/>
      <c r="G10695" s="36" t="str">
        <f>IF(ISNUMBER(F10695),C10695*F10695,"")</f>
        <v/>
      </c>
    </row>
    <row r="10696" spans="1:7" ht="12" customHeight="1" outlineLevel="2" x14ac:dyDescent="0.2">
      <c r="A10696" s="14" t="s">
        <v>21035</v>
      </c>
      <c r="B10696" s="15" t="s">
        <v>21036</v>
      </c>
      <c r="C10696" s="16">
        <f>73.55/(1+B2)</f>
        <v>73.55</v>
      </c>
      <c r="D10696" s="17" t="s">
        <v>14</v>
      </c>
      <c r="E10696" s="17"/>
      <c r="F10696" s="18"/>
      <c r="G10696" s="36" t="str">
        <f>IF(ISNUMBER(F10696),C10696*F10696,"")</f>
        <v/>
      </c>
    </row>
    <row r="10697" spans="1:7" ht="24" customHeight="1" outlineLevel="2" x14ac:dyDescent="0.2">
      <c r="A10697" s="14" t="s">
        <v>21037</v>
      </c>
      <c r="B10697" s="15" t="s">
        <v>21038</v>
      </c>
      <c r="C10697" s="16">
        <f>139.81/(1+B2)</f>
        <v>139.81</v>
      </c>
      <c r="D10697" s="17" t="s">
        <v>11</v>
      </c>
      <c r="E10697" s="17"/>
      <c r="F10697" s="18"/>
      <c r="G10697" s="36" t="str">
        <f>IF(ISNUMBER(F10697),C10697*F10697,"")</f>
        <v/>
      </c>
    </row>
    <row r="10698" spans="1:7" ht="24" customHeight="1" outlineLevel="2" x14ac:dyDescent="0.2">
      <c r="A10698" s="14" t="s">
        <v>21039</v>
      </c>
      <c r="B10698" s="15" t="s">
        <v>21040</v>
      </c>
      <c r="C10698" s="16">
        <f>423.77/(1+B2)</f>
        <v>423.77</v>
      </c>
      <c r="D10698" s="17" t="s">
        <v>11</v>
      </c>
      <c r="E10698" s="17"/>
      <c r="F10698" s="18"/>
      <c r="G10698" s="36" t="str">
        <f>IF(ISNUMBER(F10698),C10698*F10698,"")</f>
        <v/>
      </c>
    </row>
    <row r="10699" spans="1:7" ht="24" customHeight="1" outlineLevel="2" x14ac:dyDescent="0.2">
      <c r="A10699" s="14" t="s">
        <v>21041</v>
      </c>
      <c r="B10699" s="15" t="s">
        <v>21042</v>
      </c>
      <c r="C10699" s="16">
        <f>518.28/(1+B2)</f>
        <v>518.28</v>
      </c>
      <c r="D10699" s="17" t="s">
        <v>11</v>
      </c>
      <c r="E10699" s="17"/>
      <c r="F10699" s="18"/>
      <c r="G10699" s="36" t="str">
        <f>IF(ISNUMBER(F10699),C10699*F10699,"")</f>
        <v/>
      </c>
    </row>
    <row r="10700" spans="1:7" ht="24" customHeight="1" outlineLevel="2" x14ac:dyDescent="0.2">
      <c r="A10700" s="14" t="s">
        <v>21043</v>
      </c>
      <c r="B10700" s="15" t="s">
        <v>21044</v>
      </c>
      <c r="C10700" s="16">
        <f>133.3/(1+B2)</f>
        <v>133.30000000000001</v>
      </c>
      <c r="D10700" s="17" t="s">
        <v>11</v>
      </c>
      <c r="E10700" s="17"/>
      <c r="F10700" s="18"/>
      <c r="G10700" s="36" t="str">
        <f>IF(ISNUMBER(F10700),C10700*F10700,"")</f>
        <v/>
      </c>
    </row>
    <row r="10701" spans="1:7" ht="12" customHeight="1" outlineLevel="2" x14ac:dyDescent="0.2">
      <c r="A10701" s="14" t="s">
        <v>21045</v>
      </c>
      <c r="B10701" s="15" t="s">
        <v>21046</v>
      </c>
      <c r="C10701" s="16">
        <f>357.89/(1+B2)</f>
        <v>357.89</v>
      </c>
      <c r="D10701" s="17" t="s">
        <v>11</v>
      </c>
      <c r="E10701" s="17"/>
      <c r="F10701" s="18"/>
      <c r="G10701" s="36" t="str">
        <f>IF(ISNUMBER(F10701),C10701*F10701,"")</f>
        <v/>
      </c>
    </row>
    <row r="10702" spans="1:7" ht="12" customHeight="1" outlineLevel="2" x14ac:dyDescent="0.2">
      <c r="A10702" s="14" t="s">
        <v>21047</v>
      </c>
      <c r="B10702" s="15" t="s">
        <v>21048</v>
      </c>
      <c r="C10702" s="16">
        <f>327.84/(1+B2)</f>
        <v>327.84</v>
      </c>
      <c r="D10702" s="17" t="s">
        <v>11</v>
      </c>
      <c r="E10702" s="17"/>
      <c r="F10702" s="18"/>
      <c r="G10702" s="36" t="str">
        <f>IF(ISNUMBER(F10702),C10702*F10702,"")</f>
        <v/>
      </c>
    </row>
    <row r="10703" spans="1:7" ht="12" customHeight="1" outlineLevel="2" x14ac:dyDescent="0.2">
      <c r="A10703" s="14" t="s">
        <v>21049</v>
      </c>
      <c r="B10703" s="15" t="s">
        <v>21050</v>
      </c>
      <c r="C10703" s="19">
        <f>1025.4/(1+B2)</f>
        <v>1025.4000000000001</v>
      </c>
      <c r="D10703" s="17" t="s">
        <v>11</v>
      </c>
      <c r="E10703" s="17"/>
      <c r="F10703" s="18"/>
      <c r="G10703" s="36" t="str">
        <f>IF(ISNUMBER(F10703),C10703*F10703,"")</f>
        <v/>
      </c>
    </row>
    <row r="10704" spans="1:7" ht="12" customHeight="1" outlineLevel="2" x14ac:dyDescent="0.2">
      <c r="A10704" s="14" t="s">
        <v>21051</v>
      </c>
      <c r="B10704" s="15" t="s">
        <v>21052</v>
      </c>
      <c r="C10704" s="16">
        <f>472.67/(1+B2)</f>
        <v>472.67</v>
      </c>
      <c r="D10704" s="17" t="s">
        <v>11</v>
      </c>
      <c r="E10704" s="17"/>
      <c r="F10704" s="18"/>
      <c r="G10704" s="36" t="str">
        <f>IF(ISNUMBER(F10704),C10704*F10704,"")</f>
        <v/>
      </c>
    </row>
    <row r="10705" spans="1:7" ht="12" customHeight="1" outlineLevel="2" x14ac:dyDescent="0.2">
      <c r="A10705" s="14" t="s">
        <v>21053</v>
      </c>
      <c r="B10705" s="15" t="s">
        <v>21054</v>
      </c>
      <c r="C10705" s="16">
        <f>949.73/(1+B2)</f>
        <v>949.73</v>
      </c>
      <c r="D10705" s="17" t="s">
        <v>11</v>
      </c>
      <c r="E10705" s="17"/>
      <c r="F10705" s="18"/>
      <c r="G10705" s="36" t="str">
        <f>IF(ISNUMBER(F10705),C10705*F10705,"")</f>
        <v/>
      </c>
    </row>
    <row r="10706" spans="1:7" ht="12" customHeight="1" outlineLevel="2" x14ac:dyDescent="0.2">
      <c r="A10706" s="14" t="s">
        <v>21055</v>
      </c>
      <c r="B10706" s="15" t="s">
        <v>21056</v>
      </c>
      <c r="C10706" s="16">
        <f>357.34/(1+B2)</f>
        <v>357.34</v>
      </c>
      <c r="D10706" s="17" t="s">
        <v>11</v>
      </c>
      <c r="E10706" s="17"/>
      <c r="F10706" s="18"/>
      <c r="G10706" s="36" t="str">
        <f>IF(ISNUMBER(F10706),C10706*F10706,"")</f>
        <v/>
      </c>
    </row>
    <row r="10707" spans="1:7" ht="12" customHeight="1" outlineLevel="2" x14ac:dyDescent="0.2">
      <c r="A10707" s="14" t="s">
        <v>21057</v>
      </c>
      <c r="B10707" s="15" t="s">
        <v>21058</v>
      </c>
      <c r="C10707" s="16">
        <f>378.25/(1+B2)</f>
        <v>378.25</v>
      </c>
      <c r="D10707" s="17" t="s">
        <v>11</v>
      </c>
      <c r="E10707" s="17"/>
      <c r="F10707" s="18"/>
      <c r="G10707" s="36" t="str">
        <f>IF(ISNUMBER(F10707),C10707*F10707,"")</f>
        <v/>
      </c>
    </row>
    <row r="10708" spans="1:7" ht="12" customHeight="1" outlineLevel="2" x14ac:dyDescent="0.2">
      <c r="A10708" s="14" t="s">
        <v>21059</v>
      </c>
      <c r="B10708" s="15" t="s">
        <v>21060</v>
      </c>
      <c r="C10708" s="16">
        <f>539.23/(1+B2)</f>
        <v>539.23</v>
      </c>
      <c r="D10708" s="17" t="s">
        <v>11</v>
      </c>
      <c r="E10708" s="17"/>
      <c r="F10708" s="18"/>
      <c r="G10708" s="36" t="str">
        <f>IF(ISNUMBER(F10708),C10708*F10708,"")</f>
        <v/>
      </c>
    </row>
    <row r="10709" spans="1:7" ht="12" customHeight="1" outlineLevel="2" x14ac:dyDescent="0.2">
      <c r="A10709" s="14" t="s">
        <v>21061</v>
      </c>
      <c r="B10709" s="15" t="s">
        <v>21062</v>
      </c>
      <c r="C10709" s="16">
        <f>89.2/(1+B2)</f>
        <v>89.2</v>
      </c>
      <c r="D10709" s="17" t="s">
        <v>11</v>
      </c>
      <c r="E10709" s="17"/>
      <c r="F10709" s="18"/>
      <c r="G10709" s="36" t="str">
        <f>IF(ISNUMBER(F10709),C10709*F10709,"")</f>
        <v/>
      </c>
    </row>
    <row r="10710" spans="1:7" ht="12" customHeight="1" outlineLevel="2" x14ac:dyDescent="0.2">
      <c r="A10710" s="14" t="s">
        <v>21063</v>
      </c>
      <c r="B10710" s="15" t="s">
        <v>21064</v>
      </c>
      <c r="C10710" s="16">
        <f>57.12/(1+B2)</f>
        <v>57.12</v>
      </c>
      <c r="D10710" s="17" t="s">
        <v>11</v>
      </c>
      <c r="E10710" s="17"/>
      <c r="F10710" s="18"/>
      <c r="G10710" s="36" t="str">
        <f>IF(ISNUMBER(F10710),C10710*F10710,"")</f>
        <v/>
      </c>
    </row>
    <row r="10711" spans="1:7" ht="24" customHeight="1" outlineLevel="2" x14ac:dyDescent="0.2">
      <c r="A10711" s="14" t="s">
        <v>21065</v>
      </c>
      <c r="B10711" s="15" t="s">
        <v>21066</v>
      </c>
      <c r="C10711" s="16">
        <f>165.81/(1+B2)</f>
        <v>165.81</v>
      </c>
      <c r="D10711" s="17" t="s">
        <v>11</v>
      </c>
      <c r="E10711" s="17"/>
      <c r="F10711" s="18"/>
      <c r="G10711" s="36" t="str">
        <f>IF(ISNUMBER(F10711),C10711*F10711,"")</f>
        <v/>
      </c>
    </row>
    <row r="10712" spans="1:7" ht="24" customHeight="1" outlineLevel="2" x14ac:dyDescent="0.2">
      <c r="A10712" s="14" t="s">
        <v>21067</v>
      </c>
      <c r="B10712" s="15" t="s">
        <v>21068</v>
      </c>
      <c r="C10712" s="16">
        <f>77.51/(1+B2)</f>
        <v>77.510000000000005</v>
      </c>
      <c r="D10712" s="17" t="s">
        <v>11</v>
      </c>
      <c r="E10712" s="17"/>
      <c r="F10712" s="18"/>
      <c r="G10712" s="36" t="str">
        <f>IF(ISNUMBER(F10712),C10712*F10712,"")</f>
        <v/>
      </c>
    </row>
    <row r="10713" spans="1:7" ht="24" customHeight="1" outlineLevel="2" x14ac:dyDescent="0.2">
      <c r="A10713" s="14" t="s">
        <v>21069</v>
      </c>
      <c r="B10713" s="15" t="s">
        <v>21070</v>
      </c>
      <c r="C10713" s="16">
        <f>87.54/(1+B2)</f>
        <v>87.54</v>
      </c>
      <c r="D10713" s="17" t="s">
        <v>11</v>
      </c>
      <c r="E10713" s="17"/>
      <c r="F10713" s="18"/>
      <c r="G10713" s="36" t="str">
        <f>IF(ISNUMBER(F10713),C10713*F10713,"")</f>
        <v/>
      </c>
    </row>
    <row r="10714" spans="1:7" ht="24" customHeight="1" outlineLevel="2" x14ac:dyDescent="0.2">
      <c r="A10714" s="14" t="s">
        <v>21071</v>
      </c>
      <c r="B10714" s="15" t="s">
        <v>21072</v>
      </c>
      <c r="C10714" s="16">
        <f>66.52/(1+B2)</f>
        <v>66.52</v>
      </c>
      <c r="D10714" s="17" t="s">
        <v>11</v>
      </c>
      <c r="E10714" s="17"/>
      <c r="F10714" s="18"/>
      <c r="G10714" s="36" t="str">
        <f>IF(ISNUMBER(F10714),C10714*F10714,"")</f>
        <v/>
      </c>
    </row>
    <row r="10715" spans="1:7" ht="24" customHeight="1" outlineLevel="2" x14ac:dyDescent="0.2">
      <c r="A10715" s="14" t="s">
        <v>21073</v>
      </c>
      <c r="B10715" s="15" t="s">
        <v>21074</v>
      </c>
      <c r="C10715" s="16">
        <f>74.5/(1+B2)</f>
        <v>74.5</v>
      </c>
      <c r="D10715" s="17" t="s">
        <v>14</v>
      </c>
      <c r="E10715" s="17"/>
      <c r="F10715" s="18"/>
      <c r="G10715" s="36" t="str">
        <f>IF(ISNUMBER(F10715),C10715*F10715,"")</f>
        <v/>
      </c>
    </row>
    <row r="10716" spans="1:7" ht="24" customHeight="1" outlineLevel="2" x14ac:dyDescent="0.2">
      <c r="A10716" s="14" t="s">
        <v>21075</v>
      </c>
      <c r="B10716" s="15" t="s">
        <v>21076</v>
      </c>
      <c r="C10716" s="16">
        <f>78.68/(1+B2)</f>
        <v>78.680000000000007</v>
      </c>
      <c r="D10716" s="17" t="s">
        <v>11</v>
      </c>
      <c r="E10716" s="17"/>
      <c r="F10716" s="18"/>
      <c r="G10716" s="36" t="str">
        <f>IF(ISNUMBER(F10716),C10716*F10716,"")</f>
        <v/>
      </c>
    </row>
    <row r="10717" spans="1:7" ht="12" customHeight="1" outlineLevel="2" x14ac:dyDescent="0.2">
      <c r="A10717" s="14" t="s">
        <v>21077</v>
      </c>
      <c r="B10717" s="15" t="s">
        <v>21078</v>
      </c>
      <c r="C10717" s="16">
        <f>54.06/(1+B2)</f>
        <v>54.06</v>
      </c>
      <c r="D10717" s="17" t="s">
        <v>11</v>
      </c>
      <c r="E10717" s="17"/>
      <c r="F10717" s="18"/>
      <c r="G10717" s="36" t="str">
        <f>IF(ISNUMBER(F10717),C10717*F10717,"")</f>
        <v/>
      </c>
    </row>
    <row r="10718" spans="1:7" s="1" customFormat="1" ht="15.95" customHeight="1" outlineLevel="1" x14ac:dyDescent="0.25">
      <c r="A10718" s="11"/>
      <c r="B10718" s="12" t="s">
        <v>21079</v>
      </c>
      <c r="C10718" s="13"/>
      <c r="D10718" s="13"/>
      <c r="E10718" s="13"/>
      <c r="F10718" s="13"/>
      <c r="G10718" s="35"/>
    </row>
    <row r="10719" spans="1:7" ht="12" customHeight="1" outlineLevel="2" x14ac:dyDescent="0.2">
      <c r="A10719" s="14" t="s">
        <v>21080</v>
      </c>
      <c r="B10719" s="15" t="s">
        <v>21081</v>
      </c>
      <c r="C10719" s="16">
        <f>185.94/(1+B2)</f>
        <v>185.94</v>
      </c>
      <c r="D10719" s="17" t="s">
        <v>11</v>
      </c>
      <c r="E10719" s="17"/>
      <c r="F10719" s="18"/>
      <c r="G10719" s="36" t="str">
        <f>IF(ISNUMBER(F10719),C10719*F10719,"")</f>
        <v/>
      </c>
    </row>
    <row r="10720" spans="1:7" ht="24" customHeight="1" outlineLevel="2" x14ac:dyDescent="0.2">
      <c r="A10720" s="14" t="s">
        <v>21082</v>
      </c>
      <c r="B10720" s="15" t="s">
        <v>21083</v>
      </c>
      <c r="C10720" s="16">
        <f>287.52/(1+B2)</f>
        <v>287.52</v>
      </c>
      <c r="D10720" s="17" t="s">
        <v>11</v>
      </c>
      <c r="E10720" s="17"/>
      <c r="F10720" s="18"/>
      <c r="G10720" s="36" t="str">
        <f>IF(ISNUMBER(F10720),C10720*F10720,"")</f>
        <v/>
      </c>
    </row>
    <row r="10721" spans="1:7" ht="24" customHeight="1" outlineLevel="2" x14ac:dyDescent="0.2">
      <c r="A10721" s="14" t="s">
        <v>21084</v>
      </c>
      <c r="B10721" s="15" t="s">
        <v>21085</v>
      </c>
      <c r="C10721" s="16">
        <f>119.53/(1+B2)</f>
        <v>119.53</v>
      </c>
      <c r="D10721" s="17" t="s">
        <v>11</v>
      </c>
      <c r="E10721" s="17"/>
      <c r="F10721" s="18"/>
      <c r="G10721" s="36" t="str">
        <f>IF(ISNUMBER(F10721),C10721*F10721,"")</f>
        <v/>
      </c>
    </row>
    <row r="10722" spans="1:7" ht="12" customHeight="1" outlineLevel="2" x14ac:dyDescent="0.2">
      <c r="A10722" s="14" t="s">
        <v>21086</v>
      </c>
      <c r="B10722" s="15" t="s">
        <v>21087</v>
      </c>
      <c r="C10722" s="16">
        <f>220.72/(1+B2)</f>
        <v>220.72</v>
      </c>
      <c r="D10722" s="17" t="s">
        <v>11</v>
      </c>
      <c r="E10722" s="17"/>
      <c r="F10722" s="18"/>
      <c r="G10722" s="36" t="str">
        <f>IF(ISNUMBER(F10722),C10722*F10722,"")</f>
        <v/>
      </c>
    </row>
    <row r="10723" spans="1:7" ht="12" customHeight="1" outlineLevel="2" x14ac:dyDescent="0.2">
      <c r="A10723" s="14" t="s">
        <v>21088</v>
      </c>
      <c r="B10723" s="15" t="s">
        <v>21089</v>
      </c>
      <c r="C10723" s="16">
        <f>233.79/(1+B2)</f>
        <v>233.79</v>
      </c>
      <c r="D10723" s="17" t="s">
        <v>11</v>
      </c>
      <c r="E10723" s="17"/>
      <c r="F10723" s="18"/>
      <c r="G10723" s="36" t="str">
        <f>IF(ISNUMBER(F10723),C10723*F10723,"")</f>
        <v/>
      </c>
    </row>
    <row r="10724" spans="1:7" ht="12" customHeight="1" outlineLevel="2" x14ac:dyDescent="0.2">
      <c r="A10724" s="14" t="s">
        <v>21090</v>
      </c>
      <c r="B10724" s="15" t="s">
        <v>21091</v>
      </c>
      <c r="C10724" s="16">
        <f>233.79/(1+B2)</f>
        <v>233.79</v>
      </c>
      <c r="D10724" s="17" t="s">
        <v>11</v>
      </c>
      <c r="E10724" s="17"/>
      <c r="F10724" s="18"/>
      <c r="G10724" s="36" t="str">
        <f>IF(ISNUMBER(F10724),C10724*F10724,"")</f>
        <v/>
      </c>
    </row>
    <row r="10725" spans="1:7" ht="12" customHeight="1" outlineLevel="2" x14ac:dyDescent="0.2">
      <c r="A10725" s="14" t="s">
        <v>21092</v>
      </c>
      <c r="B10725" s="15" t="s">
        <v>21093</v>
      </c>
      <c r="C10725" s="16">
        <f>190.65/(1+B2)</f>
        <v>190.65</v>
      </c>
      <c r="D10725" s="17" t="s">
        <v>11</v>
      </c>
      <c r="E10725" s="17"/>
      <c r="F10725" s="18"/>
      <c r="G10725" s="36" t="str">
        <f>IF(ISNUMBER(F10725),C10725*F10725,"")</f>
        <v/>
      </c>
    </row>
    <row r="10726" spans="1:7" ht="24" customHeight="1" outlineLevel="2" x14ac:dyDescent="0.2">
      <c r="A10726" s="14" t="s">
        <v>21094</v>
      </c>
      <c r="B10726" s="15" t="s">
        <v>21095</v>
      </c>
      <c r="C10726" s="16">
        <f>148.58/(1+B2)</f>
        <v>148.58000000000001</v>
      </c>
      <c r="D10726" s="17" t="s">
        <v>11</v>
      </c>
      <c r="E10726" s="17"/>
      <c r="F10726" s="18"/>
      <c r="G10726" s="36" t="str">
        <f>IF(ISNUMBER(F10726),C10726*F10726,"")</f>
        <v/>
      </c>
    </row>
    <row r="10727" spans="1:7" ht="12" customHeight="1" outlineLevel="2" x14ac:dyDescent="0.2">
      <c r="A10727" s="14" t="s">
        <v>21096</v>
      </c>
      <c r="B10727" s="15" t="s">
        <v>21097</v>
      </c>
      <c r="C10727" s="16">
        <f>192.34/(1+B2)</f>
        <v>192.34</v>
      </c>
      <c r="D10727" s="17" t="s">
        <v>11</v>
      </c>
      <c r="E10727" s="17"/>
      <c r="F10727" s="18"/>
      <c r="G10727" s="36" t="str">
        <f>IF(ISNUMBER(F10727),C10727*F10727,"")</f>
        <v/>
      </c>
    </row>
    <row r="10728" spans="1:7" ht="24" customHeight="1" outlineLevel="2" x14ac:dyDescent="0.2">
      <c r="A10728" s="14" t="s">
        <v>21098</v>
      </c>
      <c r="B10728" s="15" t="s">
        <v>21099</v>
      </c>
      <c r="C10728" s="16">
        <f>207.17/(1+B2)</f>
        <v>207.17</v>
      </c>
      <c r="D10728" s="17" t="s">
        <v>11</v>
      </c>
      <c r="E10728" s="17"/>
      <c r="F10728" s="18"/>
      <c r="G10728" s="36" t="str">
        <f>IF(ISNUMBER(F10728),C10728*F10728,"")</f>
        <v/>
      </c>
    </row>
    <row r="10729" spans="1:7" ht="24" customHeight="1" outlineLevel="2" x14ac:dyDescent="0.2">
      <c r="A10729" s="14" t="s">
        <v>21100</v>
      </c>
      <c r="B10729" s="15" t="s">
        <v>21101</v>
      </c>
      <c r="C10729" s="16">
        <f>122.87/(1+B2)</f>
        <v>122.87</v>
      </c>
      <c r="D10729" s="17" t="s">
        <v>11</v>
      </c>
      <c r="E10729" s="17"/>
      <c r="F10729" s="18"/>
      <c r="G10729" s="36" t="str">
        <f>IF(ISNUMBER(F10729),C10729*F10729,"")</f>
        <v/>
      </c>
    </row>
    <row r="10730" spans="1:7" ht="24" customHeight="1" outlineLevel="2" x14ac:dyDescent="0.2">
      <c r="A10730" s="14" t="s">
        <v>21102</v>
      </c>
      <c r="B10730" s="15" t="s">
        <v>21103</v>
      </c>
      <c r="C10730" s="16">
        <f>191.26/(1+B2)</f>
        <v>191.26</v>
      </c>
      <c r="D10730" s="17" t="s">
        <v>11</v>
      </c>
      <c r="E10730" s="17"/>
      <c r="F10730" s="18"/>
      <c r="G10730" s="36" t="str">
        <f>IF(ISNUMBER(F10730),C10730*F10730,"")</f>
        <v/>
      </c>
    </row>
    <row r="10731" spans="1:7" ht="24" customHeight="1" outlineLevel="2" x14ac:dyDescent="0.2">
      <c r="A10731" s="14" t="s">
        <v>21104</v>
      </c>
      <c r="B10731" s="15" t="s">
        <v>21105</v>
      </c>
      <c r="C10731" s="16">
        <f>582.52/(1+B2)</f>
        <v>582.52</v>
      </c>
      <c r="D10731" s="17" t="s">
        <v>11</v>
      </c>
      <c r="E10731" s="17"/>
      <c r="F10731" s="18"/>
      <c r="G10731" s="36" t="str">
        <f>IF(ISNUMBER(F10731),C10731*F10731,"")</f>
        <v/>
      </c>
    </row>
    <row r="10732" spans="1:7" ht="12" customHeight="1" outlineLevel="2" x14ac:dyDescent="0.2">
      <c r="A10732" s="14" t="s">
        <v>21106</v>
      </c>
      <c r="B10732" s="15" t="s">
        <v>21107</v>
      </c>
      <c r="C10732" s="16">
        <f>201.36/(1+B2)</f>
        <v>201.36</v>
      </c>
      <c r="D10732" s="17" t="s">
        <v>11</v>
      </c>
      <c r="E10732" s="17"/>
      <c r="F10732" s="18"/>
      <c r="G10732" s="36" t="str">
        <f>IF(ISNUMBER(F10732),C10732*F10732,"")</f>
        <v/>
      </c>
    </row>
    <row r="10733" spans="1:7" ht="24" customHeight="1" outlineLevel="2" x14ac:dyDescent="0.2">
      <c r="A10733" s="14" t="s">
        <v>21108</v>
      </c>
      <c r="B10733" s="15" t="s">
        <v>21109</v>
      </c>
      <c r="C10733" s="16">
        <f>198.22/(1+B2)</f>
        <v>198.22</v>
      </c>
      <c r="D10733" s="17" t="s">
        <v>11</v>
      </c>
      <c r="E10733" s="17"/>
      <c r="F10733" s="18"/>
      <c r="G10733" s="36" t="str">
        <f>IF(ISNUMBER(F10733),C10733*F10733,"")</f>
        <v/>
      </c>
    </row>
    <row r="10734" spans="1:7" ht="12" customHeight="1" outlineLevel="2" x14ac:dyDescent="0.2">
      <c r="A10734" s="14" t="s">
        <v>21110</v>
      </c>
      <c r="B10734" s="15" t="s">
        <v>21111</v>
      </c>
      <c r="C10734" s="16">
        <f>215.88/(1+B2)</f>
        <v>215.88</v>
      </c>
      <c r="D10734" s="17" t="s">
        <v>11</v>
      </c>
      <c r="E10734" s="17"/>
      <c r="F10734" s="18"/>
      <c r="G10734" s="36" t="str">
        <f>IF(ISNUMBER(F10734),C10734*F10734,"")</f>
        <v/>
      </c>
    </row>
    <row r="10735" spans="1:7" ht="24" customHeight="1" outlineLevel="2" x14ac:dyDescent="0.2">
      <c r="A10735" s="14" t="s">
        <v>21112</v>
      </c>
      <c r="B10735" s="15" t="s">
        <v>21113</v>
      </c>
      <c r="C10735" s="16">
        <f>215.88/(1+B2)</f>
        <v>215.88</v>
      </c>
      <c r="D10735" s="17" t="s">
        <v>11</v>
      </c>
      <c r="E10735" s="17"/>
      <c r="F10735" s="18"/>
      <c r="G10735" s="36" t="str">
        <f>IF(ISNUMBER(F10735),C10735*F10735,"")</f>
        <v/>
      </c>
    </row>
    <row r="10736" spans="1:7" s="1" customFormat="1" ht="15.95" customHeight="1" outlineLevel="1" x14ac:dyDescent="0.25">
      <c r="A10736" s="11"/>
      <c r="B10736" s="12" t="s">
        <v>21114</v>
      </c>
      <c r="C10736" s="13"/>
      <c r="D10736" s="13"/>
      <c r="E10736" s="13"/>
      <c r="F10736" s="13"/>
      <c r="G10736" s="35"/>
    </row>
    <row r="10737" spans="1:7" ht="24" customHeight="1" outlineLevel="2" x14ac:dyDescent="0.2">
      <c r="A10737" s="14" t="s">
        <v>21115</v>
      </c>
      <c r="B10737" s="15" t="s">
        <v>21116</v>
      </c>
      <c r="C10737" s="16">
        <f>89.62/(1+B2)</f>
        <v>89.62</v>
      </c>
      <c r="D10737" s="17" t="s">
        <v>11</v>
      </c>
      <c r="E10737" s="17"/>
      <c r="F10737" s="18"/>
      <c r="G10737" s="36" t="str">
        <f>IF(ISNUMBER(F10737),C10737*F10737,"")</f>
        <v/>
      </c>
    </row>
    <row r="10738" spans="1:7" ht="24" customHeight="1" outlineLevel="2" x14ac:dyDescent="0.2">
      <c r="A10738" s="14" t="s">
        <v>21117</v>
      </c>
      <c r="B10738" s="15" t="s">
        <v>21118</v>
      </c>
      <c r="C10738" s="16">
        <f>89.62/(1+B2)</f>
        <v>89.62</v>
      </c>
      <c r="D10738" s="17" t="s">
        <v>11</v>
      </c>
      <c r="E10738" s="17"/>
      <c r="F10738" s="18"/>
      <c r="G10738" s="36" t="str">
        <f>IF(ISNUMBER(F10738),C10738*F10738,"")</f>
        <v/>
      </c>
    </row>
    <row r="10739" spans="1:7" ht="12" customHeight="1" outlineLevel="2" x14ac:dyDescent="0.2">
      <c r="A10739" s="14" t="s">
        <v>21119</v>
      </c>
      <c r="B10739" s="15" t="s">
        <v>21120</v>
      </c>
      <c r="C10739" s="16">
        <f>837.6/(1+B2)</f>
        <v>837.6</v>
      </c>
      <c r="D10739" s="17" t="s">
        <v>11</v>
      </c>
      <c r="E10739" s="17" t="s">
        <v>11</v>
      </c>
      <c r="F10739" s="18"/>
      <c r="G10739" s="36" t="str">
        <f>IF(ISNUMBER(F10739),C10739*F10739,"")</f>
        <v/>
      </c>
    </row>
    <row r="10740" spans="1:7" ht="12" customHeight="1" outlineLevel="2" x14ac:dyDescent="0.2">
      <c r="A10740" s="14" t="s">
        <v>21121</v>
      </c>
      <c r="B10740" s="15" t="s">
        <v>21122</v>
      </c>
      <c r="C10740" s="19">
        <f>1047/(1+B2)</f>
        <v>1047</v>
      </c>
      <c r="D10740" s="17" t="s">
        <v>11</v>
      </c>
      <c r="E10740" s="17" t="s">
        <v>14</v>
      </c>
      <c r="F10740" s="18"/>
      <c r="G10740" s="36" t="str">
        <f>IF(ISNUMBER(F10740),C10740*F10740,"")</f>
        <v/>
      </c>
    </row>
    <row r="10741" spans="1:7" ht="12" customHeight="1" outlineLevel="2" x14ac:dyDescent="0.2">
      <c r="A10741" s="14" t="s">
        <v>21123</v>
      </c>
      <c r="B10741" s="15" t="s">
        <v>21124</v>
      </c>
      <c r="C10741" s="16">
        <f>502.8/(1+B2)</f>
        <v>502.8</v>
      </c>
      <c r="D10741" s="17" t="s">
        <v>11</v>
      </c>
      <c r="E10741" s="17"/>
      <c r="F10741" s="18"/>
      <c r="G10741" s="36" t="str">
        <f>IF(ISNUMBER(F10741),C10741*F10741,"")</f>
        <v/>
      </c>
    </row>
    <row r="10742" spans="1:7" ht="12" customHeight="1" outlineLevel="2" x14ac:dyDescent="0.2">
      <c r="A10742" s="14" t="s">
        <v>21125</v>
      </c>
      <c r="B10742" s="15" t="s">
        <v>21126</v>
      </c>
      <c r="C10742" s="19">
        <f>1005.6/(1+B2)</f>
        <v>1005.6</v>
      </c>
      <c r="D10742" s="17" t="s">
        <v>11</v>
      </c>
      <c r="E10742" s="17" t="s">
        <v>11</v>
      </c>
      <c r="F10742" s="18"/>
      <c r="G10742" s="36" t="str">
        <f>IF(ISNUMBER(F10742),C10742*F10742,"")</f>
        <v/>
      </c>
    </row>
    <row r="10743" spans="1:7" ht="12" customHeight="1" outlineLevel="2" x14ac:dyDescent="0.2">
      <c r="A10743" s="14" t="s">
        <v>21127</v>
      </c>
      <c r="B10743" s="15" t="s">
        <v>21128</v>
      </c>
      <c r="C10743" s="16">
        <f>627.6/(1+B2)</f>
        <v>627.6</v>
      </c>
      <c r="D10743" s="17" t="s">
        <v>11</v>
      </c>
      <c r="E10743" s="17" t="s">
        <v>14</v>
      </c>
      <c r="F10743" s="18"/>
      <c r="G10743" s="36" t="str">
        <f>IF(ISNUMBER(F10743),C10743*F10743,"")</f>
        <v/>
      </c>
    </row>
    <row r="10744" spans="1:7" ht="12" customHeight="1" outlineLevel="2" x14ac:dyDescent="0.2">
      <c r="A10744" s="14" t="s">
        <v>21129</v>
      </c>
      <c r="B10744" s="15" t="s">
        <v>21130</v>
      </c>
      <c r="C10744" s="19">
        <f>1255.2/(1+B2)</f>
        <v>1255.2</v>
      </c>
      <c r="D10744" s="17" t="s">
        <v>11</v>
      </c>
      <c r="E10744" s="17" t="s">
        <v>11</v>
      </c>
      <c r="F10744" s="18"/>
      <c r="G10744" s="36" t="str">
        <f>IF(ISNUMBER(F10744),C10744*F10744,"")</f>
        <v/>
      </c>
    </row>
    <row r="10745" spans="1:7" ht="12" customHeight="1" outlineLevel="2" x14ac:dyDescent="0.2">
      <c r="A10745" s="14" t="s">
        <v>21131</v>
      </c>
      <c r="B10745" s="15" t="s">
        <v>21132</v>
      </c>
      <c r="C10745" s="19">
        <f>1569/(1+B2)</f>
        <v>1569</v>
      </c>
      <c r="D10745" s="17" t="s">
        <v>11</v>
      </c>
      <c r="E10745" s="17" t="s">
        <v>11</v>
      </c>
      <c r="F10745" s="18"/>
      <c r="G10745" s="36" t="str">
        <f>IF(ISNUMBER(F10745),C10745*F10745,"")</f>
        <v/>
      </c>
    </row>
    <row r="10746" spans="1:7" ht="12" customHeight="1" outlineLevel="2" x14ac:dyDescent="0.2">
      <c r="A10746" s="14" t="s">
        <v>21133</v>
      </c>
      <c r="B10746" s="15" t="s">
        <v>21134</v>
      </c>
      <c r="C10746" s="16">
        <f>747.6/(1+B2)</f>
        <v>747.6</v>
      </c>
      <c r="D10746" s="17" t="s">
        <v>11</v>
      </c>
      <c r="E10746" s="17"/>
      <c r="F10746" s="18"/>
      <c r="G10746" s="36" t="str">
        <f>IF(ISNUMBER(F10746),C10746*F10746,"")</f>
        <v/>
      </c>
    </row>
    <row r="10747" spans="1:7" ht="12" customHeight="1" outlineLevel="2" x14ac:dyDescent="0.2">
      <c r="A10747" s="14" t="s">
        <v>21135</v>
      </c>
      <c r="B10747" s="15" t="s">
        <v>21136</v>
      </c>
      <c r="C10747" s="19">
        <f>1495.2/(1+B2)</f>
        <v>1495.2</v>
      </c>
      <c r="D10747" s="17" t="s">
        <v>11</v>
      </c>
      <c r="E10747" s="17" t="s">
        <v>11</v>
      </c>
      <c r="F10747" s="18"/>
      <c r="G10747" s="36" t="str">
        <f>IF(ISNUMBER(F10747),C10747*F10747,"")</f>
        <v/>
      </c>
    </row>
    <row r="10748" spans="1:7" ht="12" customHeight="1" outlineLevel="2" x14ac:dyDescent="0.2">
      <c r="A10748" s="14" t="s">
        <v>21137</v>
      </c>
      <c r="B10748" s="15" t="s">
        <v>21138</v>
      </c>
      <c r="C10748" s="19">
        <f>3738/(1+B2)</f>
        <v>3738</v>
      </c>
      <c r="D10748" s="17" t="s">
        <v>11</v>
      </c>
      <c r="E10748" s="17"/>
      <c r="F10748" s="18"/>
      <c r="G10748" s="36" t="str">
        <f>IF(ISNUMBER(F10748),C10748*F10748,"")</f>
        <v/>
      </c>
    </row>
    <row r="10749" spans="1:7" ht="12" customHeight="1" outlineLevel="2" x14ac:dyDescent="0.2">
      <c r="A10749" s="14" t="s">
        <v>21139</v>
      </c>
      <c r="B10749" s="15" t="s">
        <v>21140</v>
      </c>
      <c r="C10749" s="16">
        <f>924/(1+B2)</f>
        <v>924</v>
      </c>
      <c r="D10749" s="17" t="s">
        <v>11</v>
      </c>
      <c r="E10749" s="17" t="s">
        <v>14</v>
      </c>
      <c r="F10749" s="18"/>
      <c r="G10749" s="36" t="str">
        <f>IF(ISNUMBER(F10749),C10749*F10749,"")</f>
        <v/>
      </c>
    </row>
    <row r="10750" spans="1:7" ht="12" customHeight="1" outlineLevel="2" x14ac:dyDescent="0.2">
      <c r="A10750" s="14" t="s">
        <v>21141</v>
      </c>
      <c r="B10750" s="15" t="s">
        <v>21142</v>
      </c>
      <c r="C10750" s="19">
        <f>1848/(1+B2)</f>
        <v>1848</v>
      </c>
      <c r="D10750" s="17" t="s">
        <v>11</v>
      </c>
      <c r="E10750" s="17" t="s">
        <v>11</v>
      </c>
      <c r="F10750" s="18"/>
      <c r="G10750" s="36" t="str">
        <f>IF(ISNUMBER(F10750),C10750*F10750,"")</f>
        <v/>
      </c>
    </row>
    <row r="10751" spans="1:7" ht="12" customHeight="1" outlineLevel="2" x14ac:dyDescent="0.2">
      <c r="A10751" s="14" t="s">
        <v>21143</v>
      </c>
      <c r="B10751" s="15" t="s">
        <v>21144</v>
      </c>
      <c r="C10751" s="19">
        <f>2310/(1+B2)</f>
        <v>2310</v>
      </c>
      <c r="D10751" s="17" t="s">
        <v>11</v>
      </c>
      <c r="E10751" s="17" t="s">
        <v>11</v>
      </c>
      <c r="F10751" s="18"/>
      <c r="G10751" s="36" t="str">
        <f>IF(ISNUMBER(F10751),C10751*F10751,"")</f>
        <v/>
      </c>
    </row>
    <row r="10752" spans="1:7" ht="12" customHeight="1" outlineLevel="2" x14ac:dyDescent="0.2">
      <c r="A10752" s="14" t="s">
        <v>21145</v>
      </c>
      <c r="B10752" s="15" t="s">
        <v>21146</v>
      </c>
      <c r="C10752" s="16">
        <f>252/(1+B2)</f>
        <v>252</v>
      </c>
      <c r="D10752" s="17" t="s">
        <v>11</v>
      </c>
      <c r="E10752" s="17"/>
      <c r="F10752" s="18"/>
      <c r="G10752" s="36" t="str">
        <f>IF(ISNUMBER(F10752),C10752*F10752,"")</f>
        <v/>
      </c>
    </row>
    <row r="10753" spans="1:7" ht="12" customHeight="1" outlineLevel="2" x14ac:dyDescent="0.2">
      <c r="A10753" s="14" t="s">
        <v>21147</v>
      </c>
      <c r="B10753" s="15" t="s">
        <v>21148</v>
      </c>
      <c r="C10753" s="16">
        <f>213.01/(1+B2)</f>
        <v>213.01</v>
      </c>
      <c r="D10753" s="17" t="s">
        <v>11</v>
      </c>
      <c r="E10753" s="17"/>
      <c r="F10753" s="18"/>
      <c r="G10753" s="36" t="str">
        <f>IF(ISNUMBER(F10753),C10753*F10753,"")</f>
        <v/>
      </c>
    </row>
    <row r="10754" spans="1:7" ht="12" customHeight="1" outlineLevel="2" x14ac:dyDescent="0.2">
      <c r="A10754" s="14" t="s">
        <v>21149</v>
      </c>
      <c r="B10754" s="15" t="s">
        <v>21150</v>
      </c>
      <c r="C10754" s="16">
        <f>190.62/(1+B2)</f>
        <v>190.62</v>
      </c>
      <c r="D10754" s="17" t="s">
        <v>11</v>
      </c>
      <c r="E10754" s="17"/>
      <c r="F10754" s="18"/>
      <c r="G10754" s="36" t="str">
        <f>IF(ISNUMBER(F10754),C10754*F10754,"")</f>
        <v/>
      </c>
    </row>
    <row r="10755" spans="1:7" ht="12" customHeight="1" outlineLevel="2" x14ac:dyDescent="0.2">
      <c r="A10755" s="14" t="s">
        <v>21151</v>
      </c>
      <c r="B10755" s="15" t="s">
        <v>21152</v>
      </c>
      <c r="C10755" s="16">
        <f>264.91/(1+B2)</f>
        <v>264.91000000000003</v>
      </c>
      <c r="D10755" s="17" t="s">
        <v>11</v>
      </c>
      <c r="E10755" s="17" t="s">
        <v>11</v>
      </c>
      <c r="F10755" s="18"/>
      <c r="G10755" s="36" t="str">
        <f>IF(ISNUMBER(F10755),C10755*F10755,"")</f>
        <v/>
      </c>
    </row>
    <row r="10756" spans="1:7" ht="12" customHeight="1" outlineLevel="2" x14ac:dyDescent="0.2">
      <c r="A10756" s="14" t="s">
        <v>21153</v>
      </c>
      <c r="B10756" s="15" t="s">
        <v>21154</v>
      </c>
      <c r="C10756" s="16">
        <f>653.29/(1+B2)</f>
        <v>653.29</v>
      </c>
      <c r="D10756" s="17" t="s">
        <v>11</v>
      </c>
      <c r="E10756" s="17" t="s">
        <v>11</v>
      </c>
      <c r="F10756" s="18"/>
      <c r="G10756" s="36" t="str">
        <f>IF(ISNUMBER(F10756),C10756*F10756,"")</f>
        <v/>
      </c>
    </row>
    <row r="10757" spans="1:7" ht="12" customHeight="1" outlineLevel="2" x14ac:dyDescent="0.2">
      <c r="A10757" s="14" t="s">
        <v>21155</v>
      </c>
      <c r="B10757" s="15" t="s">
        <v>21156</v>
      </c>
      <c r="C10757" s="19">
        <f>1093.41/(1+B2)</f>
        <v>1093.4100000000001</v>
      </c>
      <c r="D10757" s="17" t="s">
        <v>11</v>
      </c>
      <c r="E10757" s="17"/>
      <c r="F10757" s="18"/>
      <c r="G10757" s="36" t="str">
        <f>IF(ISNUMBER(F10757),C10757*F10757,"")</f>
        <v/>
      </c>
    </row>
    <row r="10758" spans="1:7" ht="12" customHeight="1" outlineLevel="2" x14ac:dyDescent="0.2">
      <c r="A10758" s="14" t="s">
        <v>21157</v>
      </c>
      <c r="B10758" s="15" t="s">
        <v>21158</v>
      </c>
      <c r="C10758" s="16">
        <f>298.91/(1+B2)</f>
        <v>298.91000000000003</v>
      </c>
      <c r="D10758" s="17" t="s">
        <v>11</v>
      </c>
      <c r="E10758" s="17" t="s">
        <v>11</v>
      </c>
      <c r="F10758" s="18"/>
      <c r="G10758" s="36" t="str">
        <f>IF(ISNUMBER(F10758),C10758*F10758,"")</f>
        <v/>
      </c>
    </row>
    <row r="10759" spans="1:7" ht="12" customHeight="1" outlineLevel="2" x14ac:dyDescent="0.2">
      <c r="A10759" s="14" t="s">
        <v>21159</v>
      </c>
      <c r="B10759" s="15" t="s">
        <v>21160</v>
      </c>
      <c r="C10759" s="16">
        <f>493.86/(1+B2)</f>
        <v>493.86</v>
      </c>
      <c r="D10759" s="17" t="s">
        <v>11</v>
      </c>
      <c r="E10759" s="17"/>
      <c r="F10759" s="18"/>
      <c r="G10759" s="36" t="str">
        <f>IF(ISNUMBER(F10759),C10759*F10759,"")</f>
        <v/>
      </c>
    </row>
    <row r="10760" spans="1:7" ht="12" customHeight="1" outlineLevel="2" x14ac:dyDescent="0.2">
      <c r="A10760" s="14" t="s">
        <v>21161</v>
      </c>
      <c r="B10760" s="15" t="s">
        <v>21162</v>
      </c>
      <c r="C10760" s="16">
        <f>863.49/(1+B2)</f>
        <v>863.49</v>
      </c>
      <c r="D10760" s="17" t="s">
        <v>11</v>
      </c>
      <c r="E10760" s="17"/>
      <c r="F10760" s="18"/>
      <c r="G10760" s="36" t="str">
        <f>IF(ISNUMBER(F10760),C10760*F10760,"")</f>
        <v/>
      </c>
    </row>
    <row r="10761" spans="1:7" s="1" customFormat="1" ht="15.95" customHeight="1" outlineLevel="1" x14ac:dyDescent="0.25">
      <c r="A10761" s="11"/>
      <c r="B10761" s="12" t="s">
        <v>21163</v>
      </c>
      <c r="C10761" s="13"/>
      <c r="D10761" s="13"/>
      <c r="E10761" s="13"/>
      <c r="F10761" s="13"/>
      <c r="G10761" s="35"/>
    </row>
    <row r="10762" spans="1:7" ht="12" customHeight="1" outlineLevel="2" x14ac:dyDescent="0.2">
      <c r="A10762" s="14" t="s">
        <v>21164</v>
      </c>
      <c r="B10762" s="15" t="s">
        <v>21165</v>
      </c>
      <c r="C10762" s="19">
        <f>1110.4/(1+B2)</f>
        <v>1110.4000000000001</v>
      </c>
      <c r="D10762" s="17" t="s">
        <v>11</v>
      </c>
      <c r="E10762" s="17"/>
      <c r="F10762" s="18"/>
      <c r="G10762" s="36" t="str">
        <f>IF(ISNUMBER(F10762),C10762*F10762,"")</f>
        <v/>
      </c>
    </row>
    <row r="10763" spans="1:7" ht="12" customHeight="1" outlineLevel="2" x14ac:dyDescent="0.2">
      <c r="A10763" s="14" t="s">
        <v>21166</v>
      </c>
      <c r="B10763" s="15" t="s">
        <v>21167</v>
      </c>
      <c r="C10763" s="16">
        <f>225.98/(1+B2)</f>
        <v>225.98</v>
      </c>
      <c r="D10763" s="17" t="s">
        <v>11</v>
      </c>
      <c r="E10763" s="17"/>
      <c r="F10763" s="18"/>
      <c r="G10763" s="36" t="str">
        <f>IF(ISNUMBER(F10763),C10763*F10763,"")</f>
        <v/>
      </c>
    </row>
    <row r="10764" spans="1:7" ht="12" customHeight="1" outlineLevel="2" x14ac:dyDescent="0.2">
      <c r="A10764" s="14" t="s">
        <v>21168</v>
      </c>
      <c r="B10764" s="15" t="s">
        <v>21169</v>
      </c>
      <c r="C10764" s="16">
        <f>292.99/(1+B2)</f>
        <v>292.99</v>
      </c>
      <c r="D10764" s="17" t="s">
        <v>11</v>
      </c>
      <c r="E10764" s="17"/>
      <c r="F10764" s="18"/>
      <c r="G10764" s="36" t="str">
        <f>IF(ISNUMBER(F10764),C10764*F10764,"")</f>
        <v/>
      </c>
    </row>
    <row r="10765" spans="1:7" ht="24" customHeight="1" outlineLevel="2" x14ac:dyDescent="0.2">
      <c r="A10765" s="14" t="s">
        <v>21170</v>
      </c>
      <c r="B10765" s="15" t="s">
        <v>21171</v>
      </c>
      <c r="C10765" s="16">
        <f>776.76/(1+B2)</f>
        <v>776.76</v>
      </c>
      <c r="D10765" s="17" t="s">
        <v>11</v>
      </c>
      <c r="E10765" s="17"/>
      <c r="F10765" s="18"/>
      <c r="G10765" s="36" t="str">
        <f>IF(ISNUMBER(F10765),C10765*F10765,"")</f>
        <v/>
      </c>
    </row>
    <row r="10766" spans="1:7" ht="12" customHeight="1" outlineLevel="2" x14ac:dyDescent="0.2">
      <c r="A10766" s="14" t="s">
        <v>21172</v>
      </c>
      <c r="B10766" s="15" t="s">
        <v>21173</v>
      </c>
      <c r="C10766" s="16">
        <f>864.79/(1+B2)</f>
        <v>864.79</v>
      </c>
      <c r="D10766" s="17" t="s">
        <v>11</v>
      </c>
      <c r="E10766" s="17" t="s">
        <v>11</v>
      </c>
      <c r="F10766" s="18"/>
      <c r="G10766" s="36" t="str">
        <f>IF(ISNUMBER(F10766),C10766*F10766,"")</f>
        <v/>
      </c>
    </row>
    <row r="10767" spans="1:7" ht="24" customHeight="1" outlineLevel="2" x14ac:dyDescent="0.2">
      <c r="A10767" s="14" t="s">
        <v>21174</v>
      </c>
      <c r="B10767" s="15" t="s">
        <v>21175</v>
      </c>
      <c r="C10767" s="16">
        <f>757.95/(1+B2)</f>
        <v>757.95</v>
      </c>
      <c r="D10767" s="17" t="s">
        <v>11</v>
      </c>
      <c r="E10767" s="17"/>
      <c r="F10767" s="18"/>
      <c r="G10767" s="36" t="str">
        <f>IF(ISNUMBER(F10767),C10767*F10767,"")</f>
        <v/>
      </c>
    </row>
    <row r="10768" spans="1:7" ht="24" customHeight="1" outlineLevel="2" x14ac:dyDescent="0.2">
      <c r="A10768" s="14" t="s">
        <v>21176</v>
      </c>
      <c r="B10768" s="15" t="s">
        <v>21177</v>
      </c>
      <c r="C10768" s="19">
        <f>1067.46/(1+B2)</f>
        <v>1067.46</v>
      </c>
      <c r="D10768" s="17" t="s">
        <v>11</v>
      </c>
      <c r="E10768" s="17"/>
      <c r="F10768" s="18"/>
      <c r="G10768" s="36" t="str">
        <f>IF(ISNUMBER(F10768),C10768*F10768,"")</f>
        <v/>
      </c>
    </row>
    <row r="10769" spans="1:7" ht="24" customHeight="1" outlineLevel="2" x14ac:dyDescent="0.2">
      <c r="A10769" s="14" t="s">
        <v>21178</v>
      </c>
      <c r="B10769" s="15" t="s">
        <v>21179</v>
      </c>
      <c r="C10769" s="19">
        <f>1067.46/(1+B2)</f>
        <v>1067.46</v>
      </c>
      <c r="D10769" s="17" t="s">
        <v>11</v>
      </c>
      <c r="E10769" s="17"/>
      <c r="F10769" s="18"/>
      <c r="G10769" s="36" t="str">
        <f>IF(ISNUMBER(F10769),C10769*F10769,"")</f>
        <v/>
      </c>
    </row>
    <row r="10770" spans="1:7" ht="24" customHeight="1" outlineLevel="2" x14ac:dyDescent="0.2">
      <c r="A10770" s="14" t="s">
        <v>21180</v>
      </c>
      <c r="B10770" s="15" t="s">
        <v>21181</v>
      </c>
      <c r="C10770" s="19">
        <f>1381.17/(1+B2)</f>
        <v>1381.17</v>
      </c>
      <c r="D10770" s="17" t="s">
        <v>11</v>
      </c>
      <c r="E10770" s="17"/>
      <c r="F10770" s="18"/>
      <c r="G10770" s="36" t="str">
        <f>IF(ISNUMBER(F10770),C10770*F10770,"")</f>
        <v/>
      </c>
    </row>
    <row r="10771" spans="1:7" ht="12" customHeight="1" outlineLevel="2" x14ac:dyDescent="0.2">
      <c r="A10771" s="14" t="s">
        <v>21182</v>
      </c>
      <c r="B10771" s="15" t="s">
        <v>21183</v>
      </c>
      <c r="C10771" s="16">
        <f>38.8/(1+B2)</f>
        <v>38.799999999999997</v>
      </c>
      <c r="D10771" s="17" t="s">
        <v>11</v>
      </c>
      <c r="E10771" s="17" t="s">
        <v>106</v>
      </c>
      <c r="F10771" s="18"/>
      <c r="G10771" s="36" t="str">
        <f>IF(ISNUMBER(F10771),C10771*F10771,"")</f>
        <v/>
      </c>
    </row>
    <row r="10772" spans="1:7" ht="12" customHeight="1" outlineLevel="2" x14ac:dyDescent="0.2">
      <c r="A10772" s="14" t="s">
        <v>21184</v>
      </c>
      <c r="B10772" s="15" t="s">
        <v>21185</v>
      </c>
      <c r="C10772" s="16">
        <f>54.9/(1+B2)</f>
        <v>54.9</v>
      </c>
      <c r="D10772" s="17" t="s">
        <v>11</v>
      </c>
      <c r="E10772" s="17" t="s">
        <v>53</v>
      </c>
      <c r="F10772" s="18"/>
      <c r="G10772" s="36" t="str">
        <f>IF(ISNUMBER(F10772),C10772*F10772,"")</f>
        <v/>
      </c>
    </row>
    <row r="10773" spans="1:7" ht="12" customHeight="1" outlineLevel="2" x14ac:dyDescent="0.2">
      <c r="A10773" s="14" t="s">
        <v>21186</v>
      </c>
      <c r="B10773" s="15" t="s">
        <v>21187</v>
      </c>
      <c r="C10773" s="16">
        <f>53.55/(1+B2)</f>
        <v>53.55</v>
      </c>
      <c r="D10773" s="17" t="s">
        <v>11</v>
      </c>
      <c r="E10773" s="17" t="s">
        <v>11</v>
      </c>
      <c r="F10773" s="18"/>
      <c r="G10773" s="36" t="str">
        <f>IF(ISNUMBER(F10773),C10773*F10773,"")</f>
        <v/>
      </c>
    </row>
    <row r="10774" spans="1:7" ht="12" customHeight="1" outlineLevel="2" x14ac:dyDescent="0.2">
      <c r="A10774" s="14" t="s">
        <v>21188</v>
      </c>
      <c r="B10774" s="15" t="s">
        <v>21189</v>
      </c>
      <c r="C10774" s="16">
        <f>50.25/(1+B2)</f>
        <v>50.25</v>
      </c>
      <c r="D10774" s="17" t="s">
        <v>11</v>
      </c>
      <c r="E10774" s="17" t="s">
        <v>106</v>
      </c>
      <c r="F10774" s="18"/>
      <c r="G10774" s="36" t="str">
        <f>IF(ISNUMBER(F10774),C10774*F10774,"")</f>
        <v/>
      </c>
    </row>
    <row r="10775" spans="1:7" ht="12" customHeight="1" outlineLevel="2" x14ac:dyDescent="0.2">
      <c r="A10775" s="14" t="s">
        <v>21190</v>
      </c>
      <c r="B10775" s="15" t="s">
        <v>21191</v>
      </c>
      <c r="C10775" s="16">
        <f>109.25/(1+B2)</f>
        <v>109.25</v>
      </c>
      <c r="D10775" s="17" t="s">
        <v>11</v>
      </c>
      <c r="E10775" s="17" t="s">
        <v>53</v>
      </c>
      <c r="F10775" s="18"/>
      <c r="G10775" s="36" t="str">
        <f>IF(ISNUMBER(F10775),C10775*F10775,"")</f>
        <v/>
      </c>
    </row>
    <row r="10776" spans="1:7" ht="12" customHeight="1" outlineLevel="2" x14ac:dyDescent="0.2">
      <c r="A10776" s="14" t="s">
        <v>21192</v>
      </c>
      <c r="B10776" s="15" t="s">
        <v>21193</v>
      </c>
      <c r="C10776" s="16">
        <f>50.55/(1+B2)</f>
        <v>50.55</v>
      </c>
      <c r="D10776" s="17" t="s">
        <v>11</v>
      </c>
      <c r="E10776" s="17" t="s">
        <v>53</v>
      </c>
      <c r="F10776" s="18"/>
      <c r="G10776" s="36" t="str">
        <f>IF(ISNUMBER(F10776),C10776*F10776,"")</f>
        <v/>
      </c>
    </row>
    <row r="10777" spans="1:7" ht="12" customHeight="1" outlineLevel="2" x14ac:dyDescent="0.2">
      <c r="A10777" s="14" t="s">
        <v>21194</v>
      </c>
      <c r="B10777" s="15" t="s">
        <v>21195</v>
      </c>
      <c r="C10777" s="16">
        <f>900/(1+B2)</f>
        <v>900</v>
      </c>
      <c r="D10777" s="17" t="s">
        <v>11</v>
      </c>
      <c r="E10777" s="17" t="s">
        <v>14</v>
      </c>
      <c r="F10777" s="18"/>
      <c r="G10777" s="36" t="str">
        <f>IF(ISNUMBER(F10777),C10777*F10777,"")</f>
        <v/>
      </c>
    </row>
    <row r="10778" spans="1:7" ht="12" customHeight="1" outlineLevel="2" x14ac:dyDescent="0.2">
      <c r="A10778" s="14" t="s">
        <v>21196</v>
      </c>
      <c r="B10778" s="15" t="s">
        <v>21197</v>
      </c>
      <c r="C10778" s="19">
        <f>3982.23/(1+B2)</f>
        <v>3982.23</v>
      </c>
      <c r="D10778" s="17" t="s">
        <v>11</v>
      </c>
      <c r="E10778" s="17" t="s">
        <v>106</v>
      </c>
      <c r="F10778" s="18"/>
      <c r="G10778" s="36" t="str">
        <f>IF(ISNUMBER(F10778),C10778*F10778,"")</f>
        <v/>
      </c>
    </row>
    <row r="10779" spans="1:7" ht="12" customHeight="1" outlineLevel="2" x14ac:dyDescent="0.2">
      <c r="A10779" s="14" t="s">
        <v>21198</v>
      </c>
      <c r="B10779" s="15" t="s">
        <v>21199</v>
      </c>
      <c r="C10779" s="19">
        <f>3541.29/(1+B2)</f>
        <v>3541.29</v>
      </c>
      <c r="D10779" s="17" t="s">
        <v>11</v>
      </c>
      <c r="E10779" s="17" t="s">
        <v>53</v>
      </c>
      <c r="F10779" s="18"/>
      <c r="G10779" s="36" t="str">
        <f>IF(ISNUMBER(F10779),C10779*F10779,"")</f>
        <v/>
      </c>
    </row>
    <row r="10780" spans="1:7" ht="12" customHeight="1" outlineLevel="2" x14ac:dyDescent="0.2">
      <c r="A10780" s="14" t="s">
        <v>21200</v>
      </c>
      <c r="B10780" s="15" t="s">
        <v>21201</v>
      </c>
      <c r="C10780" s="19">
        <f>1839.37/(1+B2)</f>
        <v>1839.37</v>
      </c>
      <c r="D10780" s="17" t="s">
        <v>11</v>
      </c>
      <c r="E10780" s="17" t="s">
        <v>11</v>
      </c>
      <c r="F10780" s="18"/>
      <c r="G10780" s="36" t="str">
        <f>IF(ISNUMBER(F10780),C10780*F10780,"")</f>
        <v/>
      </c>
    </row>
    <row r="10781" spans="1:7" s="1" customFormat="1" ht="15.95" customHeight="1" outlineLevel="1" x14ac:dyDescent="0.25">
      <c r="A10781" s="11"/>
      <c r="B10781" s="12" t="s">
        <v>21202</v>
      </c>
      <c r="C10781" s="13"/>
      <c r="D10781" s="13"/>
      <c r="E10781" s="13"/>
      <c r="F10781" s="13"/>
      <c r="G10781" s="35"/>
    </row>
    <row r="10782" spans="1:7" ht="12" customHeight="1" outlineLevel="2" x14ac:dyDescent="0.2">
      <c r="A10782" s="14" t="s">
        <v>21203</v>
      </c>
      <c r="B10782" s="15" t="s">
        <v>21204</v>
      </c>
      <c r="C10782" s="16">
        <f>139.28/(1+B2)</f>
        <v>139.28</v>
      </c>
      <c r="D10782" s="17" t="s">
        <v>11</v>
      </c>
      <c r="E10782" s="17"/>
      <c r="F10782" s="18"/>
      <c r="G10782" s="36" t="str">
        <f>IF(ISNUMBER(F10782),C10782*F10782,"")</f>
        <v/>
      </c>
    </row>
    <row r="10783" spans="1:7" ht="12" customHeight="1" outlineLevel="2" x14ac:dyDescent="0.2">
      <c r="A10783" s="14" t="s">
        <v>21205</v>
      </c>
      <c r="B10783" s="15" t="s">
        <v>21206</v>
      </c>
      <c r="C10783" s="16">
        <f>150/(1+B2)</f>
        <v>150</v>
      </c>
      <c r="D10783" s="17" t="s">
        <v>11</v>
      </c>
      <c r="E10783" s="17"/>
      <c r="F10783" s="18"/>
      <c r="G10783" s="36" t="str">
        <f>IF(ISNUMBER(F10783),C10783*F10783,"")</f>
        <v/>
      </c>
    </row>
    <row r="10784" spans="1:7" ht="24" customHeight="1" outlineLevel="2" x14ac:dyDescent="0.2">
      <c r="A10784" s="14" t="s">
        <v>21207</v>
      </c>
      <c r="B10784" s="15" t="s">
        <v>21208</v>
      </c>
      <c r="C10784" s="19">
        <f>1495.34/(1+B2)</f>
        <v>1495.34</v>
      </c>
      <c r="D10784" s="17" t="s">
        <v>11</v>
      </c>
      <c r="E10784" s="17"/>
      <c r="F10784" s="18"/>
      <c r="G10784" s="36" t="str">
        <f>IF(ISNUMBER(F10784),C10784*F10784,"")</f>
        <v/>
      </c>
    </row>
    <row r="10785" spans="1:7" ht="12" customHeight="1" outlineLevel="2" x14ac:dyDescent="0.2">
      <c r="A10785" s="14" t="s">
        <v>21209</v>
      </c>
      <c r="B10785" s="15" t="s">
        <v>21210</v>
      </c>
      <c r="C10785" s="16">
        <f>86.24/(1+B2)</f>
        <v>86.24</v>
      </c>
      <c r="D10785" s="17" t="s">
        <v>14</v>
      </c>
      <c r="E10785" s="17"/>
      <c r="F10785" s="18"/>
      <c r="G10785" s="36" t="str">
        <f>IF(ISNUMBER(F10785),C10785*F10785,"")</f>
        <v/>
      </c>
    </row>
    <row r="10786" spans="1:7" ht="12" customHeight="1" outlineLevel="2" x14ac:dyDescent="0.2">
      <c r="A10786" s="14" t="s">
        <v>21211</v>
      </c>
      <c r="B10786" s="15" t="s">
        <v>21212</v>
      </c>
      <c r="C10786" s="16">
        <f>142.74/(1+B2)</f>
        <v>142.74</v>
      </c>
      <c r="D10786" s="17" t="s">
        <v>11</v>
      </c>
      <c r="E10786" s="17"/>
      <c r="F10786" s="18"/>
      <c r="G10786" s="36" t="str">
        <f>IF(ISNUMBER(F10786),C10786*F10786,"")</f>
        <v/>
      </c>
    </row>
    <row r="10787" spans="1:7" ht="12" customHeight="1" outlineLevel="2" x14ac:dyDescent="0.2">
      <c r="A10787" s="14" t="s">
        <v>21213</v>
      </c>
      <c r="B10787" s="15" t="s">
        <v>21214</v>
      </c>
      <c r="C10787" s="16">
        <f>110.69/(1+B2)</f>
        <v>110.69</v>
      </c>
      <c r="D10787" s="17" t="s">
        <v>11</v>
      </c>
      <c r="E10787" s="17" t="s">
        <v>106</v>
      </c>
      <c r="F10787" s="18"/>
      <c r="G10787" s="36" t="str">
        <f>IF(ISNUMBER(F10787),C10787*F10787,"")</f>
        <v/>
      </c>
    </row>
    <row r="10788" spans="1:7" ht="12" customHeight="1" outlineLevel="2" x14ac:dyDescent="0.2">
      <c r="A10788" s="14" t="s">
        <v>21215</v>
      </c>
      <c r="B10788" s="15" t="s">
        <v>21216</v>
      </c>
      <c r="C10788" s="16">
        <f>95.91/(1+B2)</f>
        <v>95.91</v>
      </c>
      <c r="D10788" s="17" t="s">
        <v>11</v>
      </c>
      <c r="E10788" s="17" t="s">
        <v>106</v>
      </c>
      <c r="F10788" s="18"/>
      <c r="G10788" s="36" t="str">
        <f>IF(ISNUMBER(F10788),C10788*F10788,"")</f>
        <v/>
      </c>
    </row>
    <row r="10789" spans="1:7" ht="12" customHeight="1" outlineLevel="2" x14ac:dyDescent="0.2">
      <c r="A10789" s="14" t="s">
        <v>21217</v>
      </c>
      <c r="B10789" s="15" t="s">
        <v>21218</v>
      </c>
      <c r="C10789" s="16">
        <f>207.85/(1+B2)</f>
        <v>207.85</v>
      </c>
      <c r="D10789" s="17" t="s">
        <v>11</v>
      </c>
      <c r="E10789" s="17"/>
      <c r="F10789" s="18"/>
      <c r="G10789" s="36" t="str">
        <f>IF(ISNUMBER(F10789),C10789*F10789,"")</f>
        <v/>
      </c>
    </row>
    <row r="10790" spans="1:7" s="1" customFormat="1" ht="15.95" customHeight="1" outlineLevel="1" x14ac:dyDescent="0.25">
      <c r="A10790" s="11"/>
      <c r="B10790" s="12" t="s">
        <v>21219</v>
      </c>
      <c r="C10790" s="13"/>
      <c r="D10790" s="13"/>
      <c r="E10790" s="13"/>
      <c r="F10790" s="13"/>
      <c r="G10790" s="35"/>
    </row>
    <row r="10791" spans="1:7" ht="12" customHeight="1" outlineLevel="2" x14ac:dyDescent="0.2">
      <c r="A10791" s="14" t="s">
        <v>21220</v>
      </c>
      <c r="B10791" s="15" t="s">
        <v>21221</v>
      </c>
      <c r="C10791" s="16">
        <f>94.21/(1+B2)</f>
        <v>94.21</v>
      </c>
      <c r="D10791" s="17" t="s">
        <v>11</v>
      </c>
      <c r="E10791" s="17" t="s">
        <v>14</v>
      </c>
      <c r="F10791" s="18"/>
      <c r="G10791" s="36" t="str">
        <f>IF(ISNUMBER(F10791),C10791*F10791,"")</f>
        <v/>
      </c>
    </row>
    <row r="10792" spans="1:7" ht="12" customHeight="1" outlineLevel="2" x14ac:dyDescent="0.2">
      <c r="A10792" s="14" t="s">
        <v>21222</v>
      </c>
      <c r="B10792" s="15" t="s">
        <v>21223</v>
      </c>
      <c r="C10792" s="16">
        <f>61.11/(1+B2)</f>
        <v>61.11</v>
      </c>
      <c r="D10792" s="17" t="s">
        <v>11</v>
      </c>
      <c r="E10792" s="17"/>
      <c r="F10792" s="18"/>
      <c r="G10792" s="36" t="str">
        <f>IF(ISNUMBER(F10792),C10792*F10792,"")</f>
        <v/>
      </c>
    </row>
    <row r="10793" spans="1:7" ht="12" customHeight="1" outlineLevel="2" x14ac:dyDescent="0.2">
      <c r="A10793" s="14" t="s">
        <v>21224</v>
      </c>
      <c r="B10793" s="15" t="s">
        <v>21225</v>
      </c>
      <c r="C10793" s="16">
        <f>48.21/(1+B2)</f>
        <v>48.21</v>
      </c>
      <c r="D10793" s="17" t="s">
        <v>14</v>
      </c>
      <c r="E10793" s="17"/>
      <c r="F10793" s="18"/>
      <c r="G10793" s="36" t="str">
        <f>IF(ISNUMBER(F10793),C10793*F10793,"")</f>
        <v/>
      </c>
    </row>
    <row r="10794" spans="1:7" ht="12" customHeight="1" outlineLevel="2" x14ac:dyDescent="0.2">
      <c r="A10794" s="14" t="s">
        <v>21226</v>
      </c>
      <c r="B10794" s="15" t="s">
        <v>21227</v>
      </c>
      <c r="C10794" s="16">
        <f>7.86/(1+B2)</f>
        <v>7.86</v>
      </c>
      <c r="D10794" s="17" t="s">
        <v>53</v>
      </c>
      <c r="E10794" s="17" t="s">
        <v>106</v>
      </c>
      <c r="F10794" s="18"/>
      <c r="G10794" s="36" t="str">
        <f>IF(ISNUMBER(F10794),C10794*F10794,"")</f>
        <v/>
      </c>
    </row>
    <row r="10795" spans="1:7" ht="12" customHeight="1" outlineLevel="2" x14ac:dyDescent="0.2">
      <c r="A10795" s="14" t="s">
        <v>21228</v>
      </c>
      <c r="B10795" s="15" t="s">
        <v>21229</v>
      </c>
      <c r="C10795" s="16">
        <f>74.09/(1+B2)</f>
        <v>74.09</v>
      </c>
      <c r="D10795" s="17" t="s">
        <v>11</v>
      </c>
      <c r="E10795" s="17"/>
      <c r="F10795" s="18"/>
      <c r="G10795" s="36" t="str">
        <f>IF(ISNUMBER(F10795),C10795*F10795,"")</f>
        <v/>
      </c>
    </row>
    <row r="10796" spans="1:7" ht="12" customHeight="1" outlineLevel="2" x14ac:dyDescent="0.2">
      <c r="A10796" s="14" t="s">
        <v>21230</v>
      </c>
      <c r="B10796" s="15" t="s">
        <v>21231</v>
      </c>
      <c r="C10796" s="16">
        <f>10.89/(1+B2)</f>
        <v>10.89</v>
      </c>
      <c r="D10796" s="17" t="s">
        <v>11</v>
      </c>
      <c r="E10796" s="17"/>
      <c r="F10796" s="18"/>
      <c r="G10796" s="36" t="str">
        <f>IF(ISNUMBER(F10796),C10796*F10796,"")</f>
        <v/>
      </c>
    </row>
    <row r="10797" spans="1:7" ht="12" customHeight="1" outlineLevel="2" x14ac:dyDescent="0.2">
      <c r="A10797" s="14" t="s">
        <v>21232</v>
      </c>
      <c r="B10797" s="15" t="s">
        <v>21233</v>
      </c>
      <c r="C10797" s="16">
        <f>199.01/(1+B2)</f>
        <v>199.01</v>
      </c>
      <c r="D10797" s="17" t="s">
        <v>11</v>
      </c>
      <c r="E10797" s="17" t="s">
        <v>53</v>
      </c>
      <c r="F10797" s="18"/>
      <c r="G10797" s="36" t="str">
        <f>IF(ISNUMBER(F10797),C10797*F10797,"")</f>
        <v/>
      </c>
    </row>
    <row r="10798" spans="1:7" ht="12" customHeight="1" outlineLevel="2" x14ac:dyDescent="0.2">
      <c r="A10798" s="14" t="s">
        <v>21234</v>
      </c>
      <c r="B10798" s="15" t="s">
        <v>21235</v>
      </c>
      <c r="C10798" s="16">
        <f>154.16/(1+B2)</f>
        <v>154.16</v>
      </c>
      <c r="D10798" s="17" t="s">
        <v>53</v>
      </c>
      <c r="E10798" s="17" t="s">
        <v>53</v>
      </c>
      <c r="F10798" s="18"/>
      <c r="G10798" s="36" t="str">
        <f>IF(ISNUMBER(F10798),C10798*F10798,"")</f>
        <v/>
      </c>
    </row>
    <row r="10799" spans="1:7" ht="12" customHeight="1" outlineLevel="2" x14ac:dyDescent="0.2">
      <c r="A10799" s="14" t="s">
        <v>21236</v>
      </c>
      <c r="B10799" s="15" t="s">
        <v>21237</v>
      </c>
      <c r="C10799" s="16">
        <f>105.21/(1+B2)</f>
        <v>105.21</v>
      </c>
      <c r="D10799" s="17" t="s">
        <v>53</v>
      </c>
      <c r="E10799" s="17" t="s">
        <v>106</v>
      </c>
      <c r="F10799" s="18"/>
      <c r="G10799" s="36" t="str">
        <f>IF(ISNUMBER(F10799),C10799*F10799,"")</f>
        <v/>
      </c>
    </row>
    <row r="10800" spans="1:7" ht="12" customHeight="1" outlineLevel="2" x14ac:dyDescent="0.2">
      <c r="A10800" s="14" t="s">
        <v>21238</v>
      </c>
      <c r="B10800" s="15" t="s">
        <v>21239</v>
      </c>
      <c r="C10800" s="16">
        <f>87.72/(1+B2)</f>
        <v>87.72</v>
      </c>
      <c r="D10800" s="17" t="s">
        <v>11</v>
      </c>
      <c r="E10800" s="17" t="s">
        <v>106</v>
      </c>
      <c r="F10800" s="18"/>
      <c r="G10800" s="36" t="str">
        <f>IF(ISNUMBER(F10800),C10800*F10800,"")</f>
        <v/>
      </c>
    </row>
    <row r="10801" spans="1:7" ht="12" customHeight="1" outlineLevel="2" x14ac:dyDescent="0.2">
      <c r="A10801" s="14" t="s">
        <v>21240</v>
      </c>
      <c r="B10801" s="15" t="s">
        <v>21241</v>
      </c>
      <c r="C10801" s="16">
        <f>111.68/(1+B2)</f>
        <v>111.68</v>
      </c>
      <c r="D10801" s="17" t="s">
        <v>106</v>
      </c>
      <c r="E10801" s="17" t="s">
        <v>106</v>
      </c>
      <c r="F10801" s="18"/>
      <c r="G10801" s="36" t="str">
        <f>IF(ISNUMBER(F10801),C10801*F10801,"")</f>
        <v/>
      </c>
    </row>
    <row r="10802" spans="1:7" ht="12" customHeight="1" outlineLevel="2" x14ac:dyDescent="0.2">
      <c r="A10802" s="14" t="s">
        <v>21242</v>
      </c>
      <c r="B10802" s="15" t="s">
        <v>21243</v>
      </c>
      <c r="C10802" s="16">
        <f>58.68/(1+B2)</f>
        <v>58.68</v>
      </c>
      <c r="D10802" s="17" t="s">
        <v>14</v>
      </c>
      <c r="E10802" s="17"/>
      <c r="F10802" s="18"/>
      <c r="G10802" s="36" t="str">
        <f>IF(ISNUMBER(F10802),C10802*F10802,"")</f>
        <v/>
      </c>
    </row>
    <row r="10803" spans="1:7" ht="12" customHeight="1" outlineLevel="2" x14ac:dyDescent="0.2">
      <c r="A10803" s="14" t="s">
        <v>21244</v>
      </c>
      <c r="B10803" s="15" t="s">
        <v>21245</v>
      </c>
      <c r="C10803" s="16">
        <f>5.56/(1+B2)</f>
        <v>5.56</v>
      </c>
      <c r="D10803" s="17" t="s">
        <v>106</v>
      </c>
      <c r="E10803" s="17" t="s">
        <v>106</v>
      </c>
      <c r="F10803" s="18"/>
      <c r="G10803" s="36" t="str">
        <f>IF(ISNUMBER(F10803),C10803*F10803,"")</f>
        <v/>
      </c>
    </row>
    <row r="10804" spans="1:7" ht="24" customHeight="1" outlineLevel="2" x14ac:dyDescent="0.2">
      <c r="A10804" s="14" t="s">
        <v>21246</v>
      </c>
      <c r="B10804" s="15" t="s">
        <v>21247</v>
      </c>
      <c r="C10804" s="16">
        <f>103.86/(1+B2)</f>
        <v>103.86</v>
      </c>
      <c r="D10804" s="17" t="s">
        <v>14</v>
      </c>
      <c r="E10804" s="17"/>
      <c r="F10804" s="18"/>
      <c r="G10804" s="36" t="str">
        <f>IF(ISNUMBER(F10804),C10804*F10804,"")</f>
        <v/>
      </c>
    </row>
    <row r="10805" spans="1:7" ht="24" customHeight="1" outlineLevel="2" x14ac:dyDescent="0.2">
      <c r="A10805" s="14" t="s">
        <v>21248</v>
      </c>
      <c r="B10805" s="15" t="s">
        <v>21249</v>
      </c>
      <c r="C10805" s="16">
        <f>141.03/(1+B2)</f>
        <v>141.03</v>
      </c>
      <c r="D10805" s="17" t="s">
        <v>14</v>
      </c>
      <c r="E10805" s="17"/>
      <c r="F10805" s="18"/>
      <c r="G10805" s="36" t="str">
        <f>IF(ISNUMBER(F10805),C10805*F10805,"")</f>
        <v/>
      </c>
    </row>
    <row r="10806" spans="1:7" ht="24" customHeight="1" outlineLevel="2" x14ac:dyDescent="0.2">
      <c r="A10806" s="14" t="s">
        <v>21250</v>
      </c>
      <c r="B10806" s="15" t="s">
        <v>21251</v>
      </c>
      <c r="C10806" s="16">
        <f>196.81/(1+B2)</f>
        <v>196.81</v>
      </c>
      <c r="D10806" s="17" t="s">
        <v>14</v>
      </c>
      <c r="E10806" s="17"/>
      <c r="F10806" s="18"/>
      <c r="G10806" s="36" t="str">
        <f>IF(ISNUMBER(F10806),C10806*F10806,"")</f>
        <v/>
      </c>
    </row>
    <row r="10807" spans="1:7" ht="12" customHeight="1" outlineLevel="2" x14ac:dyDescent="0.2">
      <c r="A10807" s="14" t="s">
        <v>21252</v>
      </c>
      <c r="B10807" s="15" t="s">
        <v>21253</v>
      </c>
      <c r="C10807" s="16">
        <f>92.11/(1+B2)</f>
        <v>92.11</v>
      </c>
      <c r="D10807" s="17" t="s">
        <v>11</v>
      </c>
      <c r="E10807" s="17"/>
      <c r="F10807" s="18"/>
      <c r="G10807" s="36" t="str">
        <f>IF(ISNUMBER(F10807),C10807*F10807,"")</f>
        <v/>
      </c>
    </row>
    <row r="10808" spans="1:7" ht="12" customHeight="1" outlineLevel="2" x14ac:dyDescent="0.2">
      <c r="A10808" s="14" t="s">
        <v>21254</v>
      </c>
      <c r="B10808" s="15" t="s">
        <v>21255</v>
      </c>
      <c r="C10808" s="16">
        <f>62/(1+B2)</f>
        <v>62</v>
      </c>
      <c r="D10808" s="17" t="s">
        <v>11</v>
      </c>
      <c r="E10808" s="17" t="s">
        <v>53</v>
      </c>
      <c r="F10808" s="18"/>
      <c r="G10808" s="36" t="str">
        <f>IF(ISNUMBER(F10808),C10808*F10808,"")</f>
        <v/>
      </c>
    </row>
    <row r="10809" spans="1:7" ht="12" customHeight="1" outlineLevel="2" x14ac:dyDescent="0.2">
      <c r="A10809" s="14" t="s">
        <v>21256</v>
      </c>
      <c r="B10809" s="15" t="s">
        <v>21257</v>
      </c>
      <c r="C10809" s="16">
        <f>44/(1+B2)</f>
        <v>44</v>
      </c>
      <c r="D10809" s="17" t="s">
        <v>53</v>
      </c>
      <c r="E10809" s="17" t="s">
        <v>14</v>
      </c>
      <c r="F10809" s="18"/>
      <c r="G10809" s="36" t="str">
        <f>IF(ISNUMBER(F10809),C10809*F10809,"")</f>
        <v/>
      </c>
    </row>
    <row r="10810" spans="1:7" ht="12" customHeight="1" outlineLevel="2" x14ac:dyDescent="0.2">
      <c r="A10810" s="14" t="s">
        <v>21258</v>
      </c>
      <c r="B10810" s="15" t="s">
        <v>21259</v>
      </c>
      <c r="C10810" s="16">
        <f>74.22/(1+B2)</f>
        <v>74.22</v>
      </c>
      <c r="D10810" s="17" t="s">
        <v>53</v>
      </c>
      <c r="E10810" s="17" t="s">
        <v>106</v>
      </c>
      <c r="F10810" s="18"/>
      <c r="G10810" s="36" t="str">
        <f>IF(ISNUMBER(F10810),C10810*F10810,"")</f>
        <v/>
      </c>
    </row>
    <row r="10811" spans="1:7" ht="12" customHeight="1" outlineLevel="2" x14ac:dyDescent="0.2">
      <c r="A10811" s="14" t="s">
        <v>21260</v>
      </c>
      <c r="B10811" s="15" t="s">
        <v>21261</v>
      </c>
      <c r="C10811" s="16">
        <f>55.21/(1+B2)</f>
        <v>55.21</v>
      </c>
      <c r="D10811" s="17" t="s">
        <v>11</v>
      </c>
      <c r="E10811" s="17"/>
      <c r="F10811" s="18"/>
      <c r="G10811" s="36" t="str">
        <f>IF(ISNUMBER(F10811),C10811*F10811,"")</f>
        <v/>
      </c>
    </row>
    <row r="10812" spans="1:7" ht="12" customHeight="1" outlineLevel="2" x14ac:dyDescent="0.2">
      <c r="A10812" s="14" t="s">
        <v>21262</v>
      </c>
      <c r="B10812" s="15" t="s">
        <v>21263</v>
      </c>
      <c r="C10812" s="16">
        <f>65.18/(1+B2)</f>
        <v>65.180000000000007</v>
      </c>
      <c r="D10812" s="17" t="s">
        <v>11</v>
      </c>
      <c r="E10812" s="17"/>
      <c r="F10812" s="18"/>
      <c r="G10812" s="36" t="str">
        <f>IF(ISNUMBER(F10812),C10812*F10812,"")</f>
        <v/>
      </c>
    </row>
    <row r="10813" spans="1:7" ht="12" customHeight="1" outlineLevel="2" x14ac:dyDescent="0.2">
      <c r="A10813" s="14" t="s">
        <v>21264</v>
      </c>
      <c r="B10813" s="15" t="s">
        <v>21265</v>
      </c>
      <c r="C10813" s="16">
        <f>285.9/(1+B2)</f>
        <v>285.89999999999998</v>
      </c>
      <c r="D10813" s="17" t="s">
        <v>14</v>
      </c>
      <c r="E10813" s="17"/>
      <c r="F10813" s="18"/>
      <c r="G10813" s="36" t="str">
        <f>IF(ISNUMBER(F10813),C10813*F10813,"")</f>
        <v/>
      </c>
    </row>
    <row r="10814" spans="1:7" ht="12" customHeight="1" outlineLevel="2" x14ac:dyDescent="0.2">
      <c r="A10814" s="14" t="s">
        <v>21266</v>
      </c>
      <c r="B10814" s="15" t="s">
        <v>21267</v>
      </c>
      <c r="C10814" s="16">
        <f>273.03/(1+B2)</f>
        <v>273.02999999999997</v>
      </c>
      <c r="D10814" s="17" t="s">
        <v>11</v>
      </c>
      <c r="E10814" s="17" t="s">
        <v>11</v>
      </c>
      <c r="F10814" s="18"/>
      <c r="G10814" s="36" t="str">
        <f>IF(ISNUMBER(F10814),C10814*F10814,"")</f>
        <v/>
      </c>
    </row>
    <row r="10815" spans="1:7" ht="12" customHeight="1" outlineLevel="2" x14ac:dyDescent="0.2">
      <c r="A10815" s="14" t="s">
        <v>21268</v>
      </c>
      <c r="B10815" s="15" t="s">
        <v>21269</v>
      </c>
      <c r="C10815" s="16">
        <f>375.7/(1+B2)</f>
        <v>375.7</v>
      </c>
      <c r="D10815" s="17" t="s">
        <v>11</v>
      </c>
      <c r="E10815" s="17" t="s">
        <v>11</v>
      </c>
      <c r="F10815" s="18"/>
      <c r="G10815" s="36" t="str">
        <f>IF(ISNUMBER(F10815),C10815*F10815,"")</f>
        <v/>
      </c>
    </row>
    <row r="10816" spans="1:7" ht="12" customHeight="1" outlineLevel="2" x14ac:dyDescent="0.2">
      <c r="A10816" s="14" t="s">
        <v>21270</v>
      </c>
      <c r="B10816" s="15" t="s">
        <v>21271</v>
      </c>
      <c r="C10816" s="16">
        <f>345.6/(1+B2)</f>
        <v>345.6</v>
      </c>
      <c r="D10816" s="17" t="s">
        <v>11</v>
      </c>
      <c r="E10816" s="17"/>
      <c r="F10816" s="18"/>
      <c r="G10816" s="36" t="str">
        <f>IF(ISNUMBER(F10816),C10816*F10816,"")</f>
        <v/>
      </c>
    </row>
    <row r="10817" spans="1:7" ht="12" customHeight="1" outlineLevel="2" x14ac:dyDescent="0.2">
      <c r="A10817" s="14" t="s">
        <v>21272</v>
      </c>
      <c r="B10817" s="15" t="s">
        <v>21273</v>
      </c>
      <c r="C10817" s="16">
        <f>428.91/(1+B2)</f>
        <v>428.91</v>
      </c>
      <c r="D10817" s="17" t="s">
        <v>11</v>
      </c>
      <c r="E10817" s="17" t="s">
        <v>14</v>
      </c>
      <c r="F10817" s="18"/>
      <c r="G10817" s="36" t="str">
        <f>IF(ISNUMBER(F10817),C10817*F10817,"")</f>
        <v/>
      </c>
    </row>
    <row r="10818" spans="1:7" ht="12" customHeight="1" outlineLevel="2" x14ac:dyDescent="0.2">
      <c r="A10818" s="14" t="s">
        <v>21274</v>
      </c>
      <c r="B10818" s="15" t="s">
        <v>21275</v>
      </c>
      <c r="C10818" s="16">
        <f>309.01/(1+B2)</f>
        <v>309.01</v>
      </c>
      <c r="D10818" s="17" t="s">
        <v>11</v>
      </c>
      <c r="E10818" s="17"/>
      <c r="F10818" s="18"/>
      <c r="G10818" s="36" t="str">
        <f>IF(ISNUMBER(F10818),C10818*F10818,"")</f>
        <v/>
      </c>
    </row>
    <row r="10819" spans="1:7" ht="12" customHeight="1" outlineLevel="2" x14ac:dyDescent="0.2">
      <c r="A10819" s="14" t="s">
        <v>21276</v>
      </c>
      <c r="B10819" s="15" t="s">
        <v>21277</v>
      </c>
      <c r="C10819" s="16">
        <f>295.48/(1+B2)</f>
        <v>295.48</v>
      </c>
      <c r="D10819" s="17" t="s">
        <v>11</v>
      </c>
      <c r="E10819" s="17" t="s">
        <v>53</v>
      </c>
      <c r="F10819" s="18"/>
      <c r="G10819" s="36" t="str">
        <f>IF(ISNUMBER(F10819),C10819*F10819,"")</f>
        <v/>
      </c>
    </row>
    <row r="10820" spans="1:7" ht="12" customHeight="1" outlineLevel="2" x14ac:dyDescent="0.2">
      <c r="A10820" s="14" t="s">
        <v>21278</v>
      </c>
      <c r="B10820" s="15" t="s">
        <v>21279</v>
      </c>
      <c r="C10820" s="16">
        <f>26.85/(1+B2)</f>
        <v>26.85</v>
      </c>
      <c r="D10820" s="17" t="s">
        <v>14</v>
      </c>
      <c r="E10820" s="17"/>
      <c r="F10820" s="18"/>
      <c r="G10820" s="36" t="str">
        <f>IF(ISNUMBER(F10820),C10820*F10820,"")</f>
        <v/>
      </c>
    </row>
    <row r="10821" spans="1:7" ht="12" customHeight="1" outlineLevel="2" x14ac:dyDescent="0.2">
      <c r="A10821" s="14" t="s">
        <v>21280</v>
      </c>
      <c r="B10821" s="15" t="s">
        <v>21281</v>
      </c>
      <c r="C10821" s="16">
        <f>134.15/(1+B2)</f>
        <v>134.15</v>
      </c>
      <c r="D10821" s="17" t="s">
        <v>11</v>
      </c>
      <c r="E10821" s="17"/>
      <c r="F10821" s="18"/>
      <c r="G10821" s="36" t="str">
        <f>IF(ISNUMBER(F10821),C10821*F10821,"")</f>
        <v/>
      </c>
    </row>
    <row r="10822" spans="1:7" s="1" customFormat="1" ht="15.95" customHeight="1" outlineLevel="1" x14ac:dyDescent="0.25">
      <c r="A10822" s="11"/>
      <c r="B10822" s="12" t="s">
        <v>21282</v>
      </c>
      <c r="C10822" s="13"/>
      <c r="D10822" s="13"/>
      <c r="E10822" s="13"/>
      <c r="F10822" s="13"/>
      <c r="G10822" s="35"/>
    </row>
    <row r="10823" spans="1:7" ht="24" customHeight="1" outlineLevel="2" x14ac:dyDescent="0.2">
      <c r="A10823" s="14" t="s">
        <v>21283</v>
      </c>
      <c r="B10823" s="15" t="s">
        <v>21284</v>
      </c>
      <c r="C10823" s="16">
        <f>452.1/(1+B2)</f>
        <v>452.1</v>
      </c>
      <c r="D10823" s="17" t="s">
        <v>11</v>
      </c>
      <c r="E10823" s="17" t="s">
        <v>11</v>
      </c>
      <c r="F10823" s="18"/>
      <c r="G10823" s="36" t="str">
        <f>IF(ISNUMBER(F10823),C10823*F10823,"")</f>
        <v/>
      </c>
    </row>
    <row r="10824" spans="1:7" ht="12" customHeight="1" outlineLevel="2" x14ac:dyDescent="0.2">
      <c r="A10824" s="14" t="s">
        <v>21285</v>
      </c>
      <c r="B10824" s="15" t="s">
        <v>21286</v>
      </c>
      <c r="C10824" s="16">
        <f>169.72/(1+B2)</f>
        <v>169.72</v>
      </c>
      <c r="D10824" s="17" t="s">
        <v>11</v>
      </c>
      <c r="E10824" s="17"/>
      <c r="F10824" s="18"/>
      <c r="G10824" s="36" t="str">
        <f>IF(ISNUMBER(F10824),C10824*F10824,"")</f>
        <v/>
      </c>
    </row>
    <row r="10825" spans="1:7" ht="24" customHeight="1" outlineLevel="2" x14ac:dyDescent="0.2">
      <c r="A10825" s="14" t="s">
        <v>21287</v>
      </c>
      <c r="B10825" s="15" t="s">
        <v>21288</v>
      </c>
      <c r="C10825" s="16">
        <f>546.57/(1+B2)</f>
        <v>546.57000000000005</v>
      </c>
      <c r="D10825" s="17" t="s">
        <v>11</v>
      </c>
      <c r="E10825" s="17"/>
      <c r="F10825" s="18"/>
      <c r="G10825" s="36" t="str">
        <f>IF(ISNUMBER(F10825),C10825*F10825,"")</f>
        <v/>
      </c>
    </row>
    <row r="10826" spans="1:7" ht="24" customHeight="1" outlineLevel="2" x14ac:dyDescent="0.2">
      <c r="A10826" s="14" t="s">
        <v>21289</v>
      </c>
      <c r="B10826" s="15" t="s">
        <v>21290</v>
      </c>
      <c r="C10826" s="19">
        <f>1181.13/(1+B2)</f>
        <v>1181.1300000000001</v>
      </c>
      <c r="D10826" s="17" t="s">
        <v>11</v>
      </c>
      <c r="E10826" s="17"/>
      <c r="F10826" s="18"/>
      <c r="G10826" s="36" t="str">
        <f>IF(ISNUMBER(F10826),C10826*F10826,"")</f>
        <v/>
      </c>
    </row>
    <row r="10827" spans="1:7" ht="24" customHeight="1" outlineLevel="2" x14ac:dyDescent="0.2">
      <c r="A10827" s="14" t="s">
        <v>21291</v>
      </c>
      <c r="B10827" s="15" t="s">
        <v>21292</v>
      </c>
      <c r="C10827" s="19">
        <f>1195.83/(1+B2)</f>
        <v>1195.83</v>
      </c>
      <c r="D10827" s="17" t="s">
        <v>11</v>
      </c>
      <c r="E10827" s="17"/>
      <c r="F10827" s="18"/>
      <c r="G10827" s="36" t="str">
        <f>IF(ISNUMBER(F10827),C10827*F10827,"")</f>
        <v/>
      </c>
    </row>
    <row r="10828" spans="1:7" ht="24" customHeight="1" outlineLevel="2" x14ac:dyDescent="0.2">
      <c r="A10828" s="14" t="s">
        <v>21293</v>
      </c>
      <c r="B10828" s="15" t="s">
        <v>21294</v>
      </c>
      <c r="C10828" s="19">
        <f>1419.15/(1+B2)</f>
        <v>1419.15</v>
      </c>
      <c r="D10828" s="17" t="s">
        <v>11</v>
      </c>
      <c r="E10828" s="17"/>
      <c r="F10828" s="18"/>
      <c r="G10828" s="36" t="str">
        <f>IF(ISNUMBER(F10828),C10828*F10828,"")</f>
        <v/>
      </c>
    </row>
    <row r="10829" spans="1:7" ht="12" customHeight="1" outlineLevel="2" x14ac:dyDescent="0.2">
      <c r="A10829" s="14" t="s">
        <v>21295</v>
      </c>
      <c r="B10829" s="15" t="s">
        <v>21296</v>
      </c>
      <c r="C10829" s="16">
        <f>310.31/(1+B2)</f>
        <v>310.31</v>
      </c>
      <c r="D10829" s="17" t="s">
        <v>53</v>
      </c>
      <c r="E10829" s="17" t="s">
        <v>106</v>
      </c>
      <c r="F10829" s="18"/>
      <c r="G10829" s="36" t="str">
        <f>IF(ISNUMBER(F10829),C10829*F10829,"")</f>
        <v/>
      </c>
    </row>
    <row r="10830" spans="1:7" ht="12" customHeight="1" outlineLevel="2" x14ac:dyDescent="0.2">
      <c r="A10830" s="14" t="s">
        <v>21297</v>
      </c>
      <c r="B10830" s="15" t="s">
        <v>21298</v>
      </c>
      <c r="C10830" s="16">
        <f>294.97/(1+B2)</f>
        <v>294.97000000000003</v>
      </c>
      <c r="D10830" s="17" t="s">
        <v>11</v>
      </c>
      <c r="E10830" s="17" t="s">
        <v>106</v>
      </c>
      <c r="F10830" s="18"/>
      <c r="G10830" s="36" t="str">
        <f>IF(ISNUMBER(F10830),C10830*F10830,"")</f>
        <v/>
      </c>
    </row>
    <row r="10831" spans="1:7" ht="12" customHeight="1" outlineLevel="2" x14ac:dyDescent="0.2">
      <c r="A10831" s="14" t="s">
        <v>21299</v>
      </c>
      <c r="B10831" s="15" t="s">
        <v>21300</v>
      </c>
      <c r="C10831" s="16">
        <f>38.93/(1+B2)</f>
        <v>38.93</v>
      </c>
      <c r="D10831" s="17" t="s">
        <v>53</v>
      </c>
      <c r="E10831" s="17"/>
      <c r="F10831" s="18"/>
      <c r="G10831" s="36" t="str">
        <f>IF(ISNUMBER(F10831),C10831*F10831,"")</f>
        <v/>
      </c>
    </row>
    <row r="10832" spans="1:7" ht="12" customHeight="1" outlineLevel="2" x14ac:dyDescent="0.2">
      <c r="A10832" s="14" t="s">
        <v>21301</v>
      </c>
      <c r="B10832" s="15" t="s">
        <v>21302</v>
      </c>
      <c r="C10832" s="16">
        <f>23.95/(1+B2)</f>
        <v>23.95</v>
      </c>
      <c r="D10832" s="17" t="s">
        <v>14</v>
      </c>
      <c r="E10832" s="17" t="s">
        <v>106</v>
      </c>
      <c r="F10832" s="18"/>
      <c r="G10832" s="36" t="str">
        <f>IF(ISNUMBER(F10832),C10832*F10832,"")</f>
        <v/>
      </c>
    </row>
    <row r="10833" spans="1:7" ht="12" customHeight="1" outlineLevel="2" x14ac:dyDescent="0.2">
      <c r="A10833" s="14" t="s">
        <v>21303</v>
      </c>
      <c r="B10833" s="15" t="s">
        <v>21304</v>
      </c>
      <c r="C10833" s="16">
        <f>20.89/(1+B2)</f>
        <v>20.89</v>
      </c>
      <c r="D10833" s="17" t="s">
        <v>14</v>
      </c>
      <c r="E10833" s="17"/>
      <c r="F10833" s="18"/>
      <c r="G10833" s="36" t="str">
        <f>IF(ISNUMBER(F10833),C10833*F10833,"")</f>
        <v/>
      </c>
    </row>
    <row r="10834" spans="1:7" ht="12" customHeight="1" outlineLevel="2" x14ac:dyDescent="0.2">
      <c r="A10834" s="14" t="s">
        <v>21305</v>
      </c>
      <c r="B10834" s="15" t="s">
        <v>21306</v>
      </c>
      <c r="C10834" s="16">
        <f>42.33/(1+B2)</f>
        <v>42.33</v>
      </c>
      <c r="D10834" s="17" t="s">
        <v>14</v>
      </c>
      <c r="E10834" s="17" t="s">
        <v>14</v>
      </c>
      <c r="F10834" s="18"/>
      <c r="G10834" s="36" t="str">
        <f>IF(ISNUMBER(F10834),C10834*F10834,"")</f>
        <v/>
      </c>
    </row>
    <row r="10835" spans="1:7" ht="12" customHeight="1" outlineLevel="2" x14ac:dyDescent="0.2">
      <c r="A10835" s="14" t="s">
        <v>21307</v>
      </c>
      <c r="B10835" s="15" t="s">
        <v>21308</v>
      </c>
      <c r="C10835" s="16">
        <f>51.09/(1+B2)</f>
        <v>51.09</v>
      </c>
      <c r="D10835" s="17" t="s">
        <v>106</v>
      </c>
      <c r="E10835" s="17"/>
      <c r="F10835" s="18"/>
      <c r="G10835" s="36" t="str">
        <f>IF(ISNUMBER(F10835),C10835*F10835,"")</f>
        <v/>
      </c>
    </row>
    <row r="10836" spans="1:7" ht="12" customHeight="1" outlineLevel="2" x14ac:dyDescent="0.2">
      <c r="A10836" s="14" t="s">
        <v>21309</v>
      </c>
      <c r="B10836" s="15" t="s">
        <v>21310</v>
      </c>
      <c r="C10836" s="16">
        <f>33.23/(1+B2)</f>
        <v>33.229999999999997</v>
      </c>
      <c r="D10836" s="17" t="s">
        <v>53</v>
      </c>
      <c r="E10836" s="17" t="s">
        <v>53</v>
      </c>
      <c r="F10836" s="18"/>
      <c r="G10836" s="36" t="str">
        <f>IF(ISNUMBER(F10836),C10836*F10836,"")</f>
        <v/>
      </c>
    </row>
    <row r="10837" spans="1:7" ht="12" customHeight="1" outlineLevel="2" x14ac:dyDescent="0.2">
      <c r="A10837" s="14" t="s">
        <v>21311</v>
      </c>
      <c r="B10837" s="15" t="s">
        <v>21312</v>
      </c>
      <c r="C10837" s="16">
        <f>31.09/(1+B2)</f>
        <v>31.09</v>
      </c>
      <c r="D10837" s="17" t="s">
        <v>11</v>
      </c>
      <c r="E10837" s="17" t="s">
        <v>106</v>
      </c>
      <c r="F10837" s="18"/>
      <c r="G10837" s="36" t="str">
        <f>IF(ISNUMBER(F10837),C10837*F10837,"")</f>
        <v/>
      </c>
    </row>
    <row r="10838" spans="1:7" ht="12" customHeight="1" outlineLevel="2" x14ac:dyDescent="0.2">
      <c r="A10838" s="14" t="s">
        <v>21313</v>
      </c>
      <c r="B10838" s="15" t="s">
        <v>21314</v>
      </c>
      <c r="C10838" s="16">
        <f>71.46/(1+B2)</f>
        <v>71.459999999999994</v>
      </c>
      <c r="D10838" s="17" t="s">
        <v>11</v>
      </c>
      <c r="E10838" s="17" t="s">
        <v>53</v>
      </c>
      <c r="F10838" s="18"/>
      <c r="G10838" s="36" t="str">
        <f>IF(ISNUMBER(F10838),C10838*F10838,"")</f>
        <v/>
      </c>
    </row>
    <row r="10839" spans="1:7" ht="12" customHeight="1" outlineLevel="2" x14ac:dyDescent="0.2">
      <c r="A10839" s="14" t="s">
        <v>21315</v>
      </c>
      <c r="B10839" s="15" t="s">
        <v>21316</v>
      </c>
      <c r="C10839" s="16">
        <f>79.61/(1+B2)</f>
        <v>79.61</v>
      </c>
      <c r="D10839" s="17" t="s">
        <v>11</v>
      </c>
      <c r="E10839" s="17"/>
      <c r="F10839" s="18"/>
      <c r="G10839" s="36" t="str">
        <f>IF(ISNUMBER(F10839),C10839*F10839,"")</f>
        <v/>
      </c>
    </row>
    <row r="10840" spans="1:7" ht="12" customHeight="1" outlineLevel="2" x14ac:dyDescent="0.2">
      <c r="A10840" s="14" t="s">
        <v>21317</v>
      </c>
      <c r="B10840" s="15" t="s">
        <v>21318</v>
      </c>
      <c r="C10840" s="16">
        <f>53.76/(1+B2)</f>
        <v>53.76</v>
      </c>
      <c r="D10840" s="17" t="s">
        <v>53</v>
      </c>
      <c r="E10840" s="17"/>
      <c r="F10840" s="18"/>
      <c r="G10840" s="36" t="str">
        <f>IF(ISNUMBER(F10840),C10840*F10840,"")</f>
        <v/>
      </c>
    </row>
    <row r="10841" spans="1:7" ht="12" customHeight="1" outlineLevel="2" x14ac:dyDescent="0.2">
      <c r="A10841" s="14" t="s">
        <v>21319</v>
      </c>
      <c r="B10841" s="15" t="s">
        <v>21320</v>
      </c>
      <c r="C10841" s="16">
        <f>79.61/(1+B2)</f>
        <v>79.61</v>
      </c>
      <c r="D10841" s="17" t="s">
        <v>11</v>
      </c>
      <c r="E10841" s="17" t="s">
        <v>11</v>
      </c>
      <c r="F10841" s="18"/>
      <c r="G10841" s="36" t="str">
        <f>IF(ISNUMBER(F10841),C10841*F10841,"")</f>
        <v/>
      </c>
    </row>
    <row r="10842" spans="1:7" ht="12" customHeight="1" outlineLevel="2" x14ac:dyDescent="0.2">
      <c r="A10842" s="14" t="s">
        <v>21321</v>
      </c>
      <c r="B10842" s="15" t="s">
        <v>21322</v>
      </c>
      <c r="C10842" s="16">
        <f>46.98/(1+B2)</f>
        <v>46.98</v>
      </c>
      <c r="D10842" s="17" t="s">
        <v>11</v>
      </c>
      <c r="E10842" s="17" t="s">
        <v>53</v>
      </c>
      <c r="F10842" s="18"/>
      <c r="G10842" s="36" t="str">
        <f>IF(ISNUMBER(F10842),C10842*F10842,"")</f>
        <v/>
      </c>
    </row>
    <row r="10843" spans="1:7" ht="12" customHeight="1" outlineLevel="2" x14ac:dyDescent="0.2">
      <c r="A10843" s="14" t="s">
        <v>21323</v>
      </c>
      <c r="B10843" s="15" t="s">
        <v>21324</v>
      </c>
      <c r="C10843" s="16">
        <f>77.04/(1+B2)</f>
        <v>77.040000000000006</v>
      </c>
      <c r="D10843" s="17" t="s">
        <v>11</v>
      </c>
      <c r="E10843" s="17" t="s">
        <v>53</v>
      </c>
      <c r="F10843" s="18"/>
      <c r="G10843" s="36" t="str">
        <f>IF(ISNUMBER(F10843),C10843*F10843,"")</f>
        <v/>
      </c>
    </row>
    <row r="10844" spans="1:7" ht="12" customHeight="1" outlineLevel="2" x14ac:dyDescent="0.2">
      <c r="A10844" s="14" t="s">
        <v>21325</v>
      </c>
      <c r="B10844" s="15" t="s">
        <v>21326</v>
      </c>
      <c r="C10844" s="16">
        <f>79.31/(1+B2)</f>
        <v>79.31</v>
      </c>
      <c r="D10844" s="17" t="s">
        <v>11</v>
      </c>
      <c r="E10844" s="17" t="s">
        <v>53</v>
      </c>
      <c r="F10844" s="18"/>
      <c r="G10844" s="36" t="str">
        <f>IF(ISNUMBER(F10844),C10844*F10844,"")</f>
        <v/>
      </c>
    </row>
    <row r="10845" spans="1:7" ht="12" customHeight="1" outlineLevel="2" x14ac:dyDescent="0.2">
      <c r="A10845" s="14" t="s">
        <v>21327</v>
      </c>
      <c r="B10845" s="15" t="s">
        <v>21328</v>
      </c>
      <c r="C10845" s="16">
        <f>92.1/(1+B2)</f>
        <v>92.1</v>
      </c>
      <c r="D10845" s="17" t="s">
        <v>11</v>
      </c>
      <c r="E10845" s="17" t="s">
        <v>14</v>
      </c>
      <c r="F10845" s="18"/>
      <c r="G10845" s="36" t="str">
        <f>IF(ISNUMBER(F10845),C10845*F10845,"")</f>
        <v/>
      </c>
    </row>
    <row r="10846" spans="1:7" ht="12" customHeight="1" outlineLevel="2" x14ac:dyDescent="0.2">
      <c r="A10846" s="14" t="s">
        <v>21329</v>
      </c>
      <c r="B10846" s="15" t="s">
        <v>21330</v>
      </c>
      <c r="C10846" s="16">
        <f>51.47/(1+B2)</f>
        <v>51.47</v>
      </c>
      <c r="D10846" s="17" t="s">
        <v>53</v>
      </c>
      <c r="E10846" s="17"/>
      <c r="F10846" s="18"/>
      <c r="G10846" s="36" t="str">
        <f>IF(ISNUMBER(F10846),C10846*F10846,"")</f>
        <v/>
      </c>
    </row>
    <row r="10847" spans="1:7" ht="12" customHeight="1" outlineLevel="2" x14ac:dyDescent="0.2">
      <c r="A10847" s="14" t="s">
        <v>21331</v>
      </c>
      <c r="B10847" s="15" t="s">
        <v>21332</v>
      </c>
      <c r="C10847" s="16">
        <f>55.46/(1+B2)</f>
        <v>55.46</v>
      </c>
      <c r="D10847" s="17" t="s">
        <v>14</v>
      </c>
      <c r="E10847" s="17" t="s">
        <v>14</v>
      </c>
      <c r="F10847" s="18"/>
      <c r="G10847" s="36" t="str">
        <f>IF(ISNUMBER(F10847),C10847*F10847,"")</f>
        <v/>
      </c>
    </row>
    <row r="10848" spans="1:7" ht="12" customHeight="1" outlineLevel="2" x14ac:dyDescent="0.2">
      <c r="A10848" s="14" t="s">
        <v>21333</v>
      </c>
      <c r="B10848" s="15" t="s">
        <v>21334</v>
      </c>
      <c r="C10848" s="16">
        <f>80.76/(1+B2)</f>
        <v>80.760000000000005</v>
      </c>
      <c r="D10848" s="17" t="s">
        <v>11</v>
      </c>
      <c r="E10848" s="17" t="s">
        <v>53</v>
      </c>
      <c r="F10848" s="18"/>
      <c r="G10848" s="36" t="str">
        <f>IF(ISNUMBER(F10848),C10848*F10848,"")</f>
        <v/>
      </c>
    </row>
    <row r="10849" spans="1:7" ht="12" customHeight="1" outlineLevel="2" x14ac:dyDescent="0.2">
      <c r="A10849" s="14" t="s">
        <v>21335</v>
      </c>
      <c r="B10849" s="15" t="s">
        <v>21336</v>
      </c>
      <c r="C10849" s="16">
        <f>102/(1+B2)</f>
        <v>102</v>
      </c>
      <c r="D10849" s="17" t="s">
        <v>14</v>
      </c>
      <c r="E10849" s="17"/>
      <c r="F10849" s="18"/>
      <c r="G10849" s="36" t="str">
        <f>IF(ISNUMBER(F10849),C10849*F10849,"")</f>
        <v/>
      </c>
    </row>
    <row r="10850" spans="1:7" ht="12" customHeight="1" outlineLevel="2" x14ac:dyDescent="0.2">
      <c r="A10850" s="14" t="s">
        <v>21337</v>
      </c>
      <c r="B10850" s="15" t="s">
        <v>21338</v>
      </c>
      <c r="C10850" s="16">
        <f>114.96/(1+B2)</f>
        <v>114.96</v>
      </c>
      <c r="D10850" s="17" t="s">
        <v>11</v>
      </c>
      <c r="E10850" s="17" t="s">
        <v>11</v>
      </c>
      <c r="F10850" s="18"/>
      <c r="G10850" s="36" t="str">
        <f>IF(ISNUMBER(F10850),C10850*F10850,"")</f>
        <v/>
      </c>
    </row>
    <row r="10851" spans="1:7" ht="12" customHeight="1" outlineLevel="2" x14ac:dyDescent="0.2">
      <c r="A10851" s="14" t="s">
        <v>21339</v>
      </c>
      <c r="B10851" s="15" t="s">
        <v>21340</v>
      </c>
      <c r="C10851" s="16">
        <f>117.36/(1+B2)</f>
        <v>117.36</v>
      </c>
      <c r="D10851" s="17" t="s">
        <v>11</v>
      </c>
      <c r="E10851" s="17" t="s">
        <v>11</v>
      </c>
      <c r="F10851" s="18"/>
      <c r="G10851" s="36" t="str">
        <f>IF(ISNUMBER(F10851),C10851*F10851,"")</f>
        <v/>
      </c>
    </row>
    <row r="10852" spans="1:7" ht="12" customHeight="1" outlineLevel="2" x14ac:dyDescent="0.2">
      <c r="A10852" s="14" t="s">
        <v>21341</v>
      </c>
      <c r="B10852" s="15" t="s">
        <v>21342</v>
      </c>
      <c r="C10852" s="16">
        <f>46.92/(1+B2)</f>
        <v>46.92</v>
      </c>
      <c r="D10852" s="17" t="s">
        <v>11</v>
      </c>
      <c r="E10852" s="17"/>
      <c r="F10852" s="18"/>
      <c r="G10852" s="36" t="str">
        <f>IF(ISNUMBER(F10852),C10852*F10852,"")</f>
        <v/>
      </c>
    </row>
    <row r="10853" spans="1:7" ht="12" customHeight="1" outlineLevel="2" x14ac:dyDescent="0.2">
      <c r="A10853" s="14" t="s">
        <v>21343</v>
      </c>
      <c r="B10853" s="15" t="s">
        <v>21344</v>
      </c>
      <c r="C10853" s="16">
        <f>45.48/(1+B2)</f>
        <v>45.48</v>
      </c>
      <c r="D10853" s="17" t="s">
        <v>11</v>
      </c>
      <c r="E10853" s="17" t="s">
        <v>14</v>
      </c>
      <c r="F10853" s="18"/>
      <c r="G10853" s="36" t="str">
        <f>IF(ISNUMBER(F10853),C10853*F10853,"")</f>
        <v/>
      </c>
    </row>
    <row r="10854" spans="1:7" s="1" customFormat="1" ht="15.95" customHeight="1" x14ac:dyDescent="0.25">
      <c r="A10854" s="8"/>
      <c r="B10854" s="9" t="s">
        <v>21345</v>
      </c>
      <c r="C10854" s="10"/>
      <c r="D10854" s="10"/>
      <c r="E10854" s="10"/>
      <c r="F10854" s="10"/>
      <c r="G10854" s="34"/>
    </row>
    <row r="10855" spans="1:7" s="1" customFormat="1" ht="15.95" customHeight="1" outlineLevel="1" x14ac:dyDescent="0.25">
      <c r="A10855" s="11"/>
      <c r="B10855" s="12" t="s">
        <v>21346</v>
      </c>
      <c r="C10855" s="13"/>
      <c r="D10855" s="13"/>
      <c r="E10855" s="13"/>
      <c r="F10855" s="13"/>
      <c r="G10855" s="35"/>
    </row>
    <row r="10856" spans="1:7" ht="12" customHeight="1" outlineLevel="2" x14ac:dyDescent="0.2">
      <c r="A10856" s="14" t="s">
        <v>21347</v>
      </c>
      <c r="B10856" s="15" t="s">
        <v>21348</v>
      </c>
      <c r="C10856" s="16">
        <f>9.65/(1+B2)</f>
        <v>9.65</v>
      </c>
      <c r="D10856" s="17" t="s">
        <v>106</v>
      </c>
      <c r="E10856" s="17"/>
      <c r="F10856" s="18"/>
      <c r="G10856" s="36" t="str">
        <f>IF(ISNUMBER(F10856),C10856*F10856,"")</f>
        <v/>
      </c>
    </row>
    <row r="10857" spans="1:7" ht="12" customHeight="1" outlineLevel="2" x14ac:dyDescent="0.2">
      <c r="A10857" s="14" t="s">
        <v>21349</v>
      </c>
      <c r="B10857" s="15" t="s">
        <v>21350</v>
      </c>
      <c r="C10857" s="16">
        <f>13.96/(1+B2)</f>
        <v>13.96</v>
      </c>
      <c r="D10857" s="17" t="s">
        <v>53</v>
      </c>
      <c r="E10857" s="17"/>
      <c r="F10857" s="18"/>
      <c r="G10857" s="36" t="str">
        <f>IF(ISNUMBER(F10857),C10857*F10857,"")</f>
        <v/>
      </c>
    </row>
    <row r="10858" spans="1:7" ht="12" customHeight="1" outlineLevel="2" x14ac:dyDescent="0.2">
      <c r="A10858" s="14" t="s">
        <v>21351</v>
      </c>
      <c r="B10858" s="15" t="s">
        <v>21352</v>
      </c>
      <c r="C10858" s="16">
        <f>11.7/(1+B2)</f>
        <v>11.7</v>
      </c>
      <c r="D10858" s="17" t="s">
        <v>11</v>
      </c>
      <c r="E10858" s="17"/>
      <c r="F10858" s="18"/>
      <c r="G10858" s="36" t="str">
        <f>IF(ISNUMBER(F10858),C10858*F10858,"")</f>
        <v/>
      </c>
    </row>
    <row r="10859" spans="1:7" ht="12" customHeight="1" outlineLevel="2" x14ac:dyDescent="0.2">
      <c r="A10859" s="14" t="s">
        <v>21353</v>
      </c>
      <c r="B10859" s="15" t="s">
        <v>21354</v>
      </c>
      <c r="C10859" s="16">
        <f>23.76/(1+B2)</f>
        <v>23.76</v>
      </c>
      <c r="D10859" s="17" t="s">
        <v>11</v>
      </c>
      <c r="E10859" s="17"/>
      <c r="F10859" s="18"/>
      <c r="G10859" s="36" t="str">
        <f>IF(ISNUMBER(F10859),C10859*F10859,"")</f>
        <v/>
      </c>
    </row>
    <row r="10860" spans="1:7" ht="12" customHeight="1" outlineLevel="2" x14ac:dyDescent="0.2">
      <c r="A10860" s="14" t="s">
        <v>21355</v>
      </c>
      <c r="B10860" s="15" t="s">
        <v>21356</v>
      </c>
      <c r="C10860" s="16">
        <f>23.76/(1+B2)</f>
        <v>23.76</v>
      </c>
      <c r="D10860" s="17" t="s">
        <v>11</v>
      </c>
      <c r="E10860" s="17"/>
      <c r="F10860" s="18"/>
      <c r="G10860" s="36" t="str">
        <f>IF(ISNUMBER(F10860),C10860*F10860,"")</f>
        <v/>
      </c>
    </row>
    <row r="10861" spans="1:7" ht="12" customHeight="1" outlineLevel="2" x14ac:dyDescent="0.2">
      <c r="A10861" s="14" t="s">
        <v>21357</v>
      </c>
      <c r="B10861" s="15" t="s">
        <v>21358</v>
      </c>
      <c r="C10861" s="16">
        <f>23.76/(1+B2)</f>
        <v>23.76</v>
      </c>
      <c r="D10861" s="17" t="s">
        <v>11</v>
      </c>
      <c r="E10861" s="17"/>
      <c r="F10861" s="18"/>
      <c r="G10861" s="36" t="str">
        <f>IF(ISNUMBER(F10861),C10861*F10861,"")</f>
        <v/>
      </c>
    </row>
    <row r="10862" spans="1:7" ht="12" customHeight="1" outlineLevel="2" x14ac:dyDescent="0.2">
      <c r="A10862" s="14" t="s">
        <v>21359</v>
      </c>
      <c r="B10862" s="15" t="s">
        <v>21360</v>
      </c>
      <c r="C10862" s="16">
        <f>21.06/(1+B2)</f>
        <v>21.06</v>
      </c>
      <c r="D10862" s="17" t="s">
        <v>14</v>
      </c>
      <c r="E10862" s="17"/>
      <c r="F10862" s="18"/>
      <c r="G10862" s="36" t="str">
        <f>IF(ISNUMBER(F10862),C10862*F10862,"")</f>
        <v/>
      </c>
    </row>
    <row r="10863" spans="1:7" ht="12" customHeight="1" outlineLevel="2" x14ac:dyDescent="0.2">
      <c r="A10863" s="14" t="s">
        <v>21361</v>
      </c>
      <c r="B10863" s="15" t="s">
        <v>21362</v>
      </c>
      <c r="C10863" s="16">
        <f>23.76/(1+B2)</f>
        <v>23.76</v>
      </c>
      <c r="D10863" s="17" t="s">
        <v>11</v>
      </c>
      <c r="E10863" s="17"/>
      <c r="F10863" s="18"/>
      <c r="G10863" s="36" t="str">
        <f>IF(ISNUMBER(F10863),C10863*F10863,"")</f>
        <v/>
      </c>
    </row>
    <row r="10864" spans="1:7" ht="12" customHeight="1" outlineLevel="2" x14ac:dyDescent="0.2">
      <c r="A10864" s="14" t="s">
        <v>21363</v>
      </c>
      <c r="B10864" s="15" t="s">
        <v>21364</v>
      </c>
      <c r="C10864" s="16">
        <f>19.85/(1+B2)</f>
        <v>19.850000000000001</v>
      </c>
      <c r="D10864" s="17" t="s">
        <v>11</v>
      </c>
      <c r="E10864" s="17"/>
      <c r="F10864" s="18"/>
      <c r="G10864" s="36" t="str">
        <f>IF(ISNUMBER(F10864),C10864*F10864,"")</f>
        <v/>
      </c>
    </row>
    <row r="10865" spans="1:7" ht="12" customHeight="1" outlineLevel="2" x14ac:dyDescent="0.2">
      <c r="A10865" s="14" t="s">
        <v>21365</v>
      </c>
      <c r="B10865" s="15" t="s">
        <v>21366</v>
      </c>
      <c r="C10865" s="16">
        <f>14/(1+B2)</f>
        <v>14</v>
      </c>
      <c r="D10865" s="17" t="s">
        <v>11</v>
      </c>
      <c r="E10865" s="17"/>
      <c r="F10865" s="18"/>
      <c r="G10865" s="36" t="str">
        <f>IF(ISNUMBER(F10865),C10865*F10865,"")</f>
        <v/>
      </c>
    </row>
    <row r="10866" spans="1:7" ht="12" customHeight="1" outlineLevel="2" x14ac:dyDescent="0.2">
      <c r="A10866" s="14" t="s">
        <v>21367</v>
      </c>
      <c r="B10866" s="15" t="s">
        <v>21368</v>
      </c>
      <c r="C10866" s="16">
        <f>14/(1+B2)</f>
        <v>14</v>
      </c>
      <c r="D10866" s="17" t="s">
        <v>11</v>
      </c>
      <c r="E10866" s="17"/>
      <c r="F10866" s="18"/>
      <c r="G10866" s="36" t="str">
        <f>IF(ISNUMBER(F10866),C10866*F10866,"")</f>
        <v/>
      </c>
    </row>
    <row r="10867" spans="1:7" ht="12" customHeight="1" outlineLevel="2" x14ac:dyDescent="0.2">
      <c r="A10867" s="14" t="s">
        <v>21369</v>
      </c>
      <c r="B10867" s="15" t="s">
        <v>21370</v>
      </c>
      <c r="C10867" s="16">
        <f>9.6/(1+B2)</f>
        <v>9.6</v>
      </c>
      <c r="D10867" s="17" t="s">
        <v>11</v>
      </c>
      <c r="E10867" s="17"/>
      <c r="F10867" s="18"/>
      <c r="G10867" s="36" t="str">
        <f>IF(ISNUMBER(F10867),C10867*F10867,"")</f>
        <v/>
      </c>
    </row>
    <row r="10868" spans="1:7" ht="12" customHeight="1" outlineLevel="2" x14ac:dyDescent="0.2">
      <c r="A10868" s="14" t="s">
        <v>21371</v>
      </c>
      <c r="B10868" s="15" t="s">
        <v>21372</v>
      </c>
      <c r="C10868" s="16">
        <f>19.1/(1+B2)</f>
        <v>19.100000000000001</v>
      </c>
      <c r="D10868" s="17" t="s">
        <v>11</v>
      </c>
      <c r="E10868" s="17"/>
      <c r="F10868" s="18"/>
      <c r="G10868" s="36" t="str">
        <f>IF(ISNUMBER(F10868),C10868*F10868,"")</f>
        <v/>
      </c>
    </row>
    <row r="10869" spans="1:7" ht="12" customHeight="1" outlineLevel="2" x14ac:dyDescent="0.2">
      <c r="A10869" s="14" t="s">
        <v>21373</v>
      </c>
      <c r="B10869" s="15" t="s">
        <v>21374</v>
      </c>
      <c r="C10869" s="16">
        <f>9.8/(1+B2)</f>
        <v>9.8000000000000007</v>
      </c>
      <c r="D10869" s="17" t="s">
        <v>11</v>
      </c>
      <c r="E10869" s="17"/>
      <c r="F10869" s="18"/>
      <c r="G10869" s="36" t="str">
        <f>IF(ISNUMBER(F10869),C10869*F10869,"")</f>
        <v/>
      </c>
    </row>
    <row r="10870" spans="1:7" ht="12" customHeight="1" outlineLevel="2" x14ac:dyDescent="0.2">
      <c r="A10870" s="14" t="s">
        <v>21375</v>
      </c>
      <c r="B10870" s="15" t="s">
        <v>21376</v>
      </c>
      <c r="C10870" s="16">
        <f>9.8/(1+B2)</f>
        <v>9.8000000000000007</v>
      </c>
      <c r="D10870" s="17" t="s">
        <v>11</v>
      </c>
      <c r="E10870" s="17"/>
      <c r="F10870" s="18"/>
      <c r="G10870" s="36" t="str">
        <f>IF(ISNUMBER(F10870),C10870*F10870,"")</f>
        <v/>
      </c>
    </row>
    <row r="10871" spans="1:7" ht="24" customHeight="1" outlineLevel="2" x14ac:dyDescent="0.2">
      <c r="A10871" s="14" t="s">
        <v>21377</v>
      </c>
      <c r="B10871" s="15" t="s">
        <v>21378</v>
      </c>
      <c r="C10871" s="16">
        <f>80.77/(1+B2)</f>
        <v>80.77</v>
      </c>
      <c r="D10871" s="17" t="s">
        <v>14</v>
      </c>
      <c r="E10871" s="17"/>
      <c r="F10871" s="18"/>
      <c r="G10871" s="36" t="str">
        <f>IF(ISNUMBER(F10871),C10871*F10871,"")</f>
        <v/>
      </c>
    </row>
    <row r="10872" spans="1:7" ht="12" customHeight="1" outlineLevel="2" x14ac:dyDescent="0.2">
      <c r="A10872" s="14" t="s">
        <v>21379</v>
      </c>
      <c r="B10872" s="15" t="s">
        <v>21380</v>
      </c>
      <c r="C10872" s="16">
        <f>110.76/(1+B2)</f>
        <v>110.76</v>
      </c>
      <c r="D10872" s="17" t="s">
        <v>53</v>
      </c>
      <c r="E10872" s="17"/>
      <c r="F10872" s="18"/>
      <c r="G10872" s="36" t="str">
        <f>IF(ISNUMBER(F10872),C10872*F10872,"")</f>
        <v/>
      </c>
    </row>
    <row r="10873" spans="1:7" ht="24" customHeight="1" outlineLevel="2" x14ac:dyDescent="0.2">
      <c r="A10873" s="14" t="s">
        <v>21381</v>
      </c>
      <c r="B10873" s="15" t="s">
        <v>21382</v>
      </c>
      <c r="C10873" s="16">
        <f>100.5/(1+B2)</f>
        <v>100.5</v>
      </c>
      <c r="D10873" s="17" t="s">
        <v>14</v>
      </c>
      <c r="E10873" s="17"/>
      <c r="F10873" s="18"/>
      <c r="G10873" s="36" t="str">
        <f>IF(ISNUMBER(F10873),C10873*F10873,"")</f>
        <v/>
      </c>
    </row>
    <row r="10874" spans="1:7" ht="24" customHeight="1" outlineLevel="2" x14ac:dyDescent="0.2">
      <c r="A10874" s="14" t="s">
        <v>21383</v>
      </c>
      <c r="B10874" s="15" t="s">
        <v>21384</v>
      </c>
      <c r="C10874" s="16">
        <f>126.11/(1+B2)</f>
        <v>126.11</v>
      </c>
      <c r="D10874" s="17" t="s">
        <v>14</v>
      </c>
      <c r="E10874" s="17"/>
      <c r="F10874" s="18"/>
      <c r="G10874" s="36" t="str">
        <f>IF(ISNUMBER(F10874),C10874*F10874,"")</f>
        <v/>
      </c>
    </row>
    <row r="10875" spans="1:7" s="1" customFormat="1" ht="15.95" customHeight="1" outlineLevel="1" x14ac:dyDescent="0.25">
      <c r="A10875" s="11"/>
      <c r="B10875" s="12" t="s">
        <v>21385</v>
      </c>
      <c r="C10875" s="13"/>
      <c r="D10875" s="13"/>
      <c r="E10875" s="13"/>
      <c r="F10875" s="13"/>
      <c r="G10875" s="35"/>
    </row>
    <row r="10876" spans="1:7" ht="12" customHeight="1" outlineLevel="2" x14ac:dyDescent="0.2">
      <c r="A10876" s="14" t="s">
        <v>21386</v>
      </c>
      <c r="B10876" s="15" t="s">
        <v>21387</v>
      </c>
      <c r="C10876" s="16">
        <f>620/(1+B2)</f>
        <v>620</v>
      </c>
      <c r="D10876" s="17" t="s">
        <v>11</v>
      </c>
      <c r="E10876" s="17"/>
      <c r="F10876" s="18"/>
      <c r="G10876" s="36" t="str">
        <f>IF(ISNUMBER(F10876),C10876*F10876,"")</f>
        <v/>
      </c>
    </row>
    <row r="10877" spans="1:7" ht="12" customHeight="1" outlineLevel="2" x14ac:dyDescent="0.2">
      <c r="A10877" s="14" t="s">
        <v>21388</v>
      </c>
      <c r="B10877" s="15" t="s">
        <v>21389</v>
      </c>
      <c r="C10877" s="16">
        <f>87.77/(1+B2)</f>
        <v>87.77</v>
      </c>
      <c r="D10877" s="17" t="s">
        <v>11</v>
      </c>
      <c r="E10877" s="17"/>
      <c r="F10877" s="18"/>
      <c r="G10877" s="36" t="str">
        <f>IF(ISNUMBER(F10877),C10877*F10877,"")</f>
        <v/>
      </c>
    </row>
    <row r="10878" spans="1:7" ht="12" customHeight="1" outlineLevel="2" x14ac:dyDescent="0.2">
      <c r="A10878" s="14" t="s">
        <v>21390</v>
      </c>
      <c r="B10878" s="15" t="s">
        <v>21391</v>
      </c>
      <c r="C10878" s="16">
        <f>87.77/(1+B2)</f>
        <v>87.77</v>
      </c>
      <c r="D10878" s="17" t="s">
        <v>11</v>
      </c>
      <c r="E10878" s="17"/>
      <c r="F10878" s="18"/>
      <c r="G10878" s="36" t="str">
        <f>IF(ISNUMBER(F10878),C10878*F10878,"")</f>
        <v/>
      </c>
    </row>
    <row r="10879" spans="1:7" ht="12" customHeight="1" outlineLevel="2" x14ac:dyDescent="0.2">
      <c r="A10879" s="14" t="s">
        <v>21392</v>
      </c>
      <c r="B10879" s="15" t="s">
        <v>21393</v>
      </c>
      <c r="C10879" s="16">
        <f>59.23/(1+B2)</f>
        <v>59.23</v>
      </c>
      <c r="D10879" s="17" t="s">
        <v>11</v>
      </c>
      <c r="E10879" s="17"/>
      <c r="F10879" s="18"/>
      <c r="G10879" s="36" t="str">
        <f>IF(ISNUMBER(F10879),C10879*F10879,"")</f>
        <v/>
      </c>
    </row>
    <row r="10880" spans="1:7" ht="12" customHeight="1" outlineLevel="2" x14ac:dyDescent="0.2">
      <c r="A10880" s="14" t="s">
        <v>21394</v>
      </c>
      <c r="B10880" s="15" t="s">
        <v>21395</v>
      </c>
      <c r="C10880" s="16">
        <f>76.22/(1+B2)</f>
        <v>76.22</v>
      </c>
      <c r="D10880" s="17" t="s">
        <v>11</v>
      </c>
      <c r="E10880" s="17"/>
      <c r="F10880" s="18"/>
      <c r="G10880" s="36" t="str">
        <f>IF(ISNUMBER(F10880),C10880*F10880,"")</f>
        <v/>
      </c>
    </row>
    <row r="10881" spans="1:7" ht="12" customHeight="1" outlineLevel="2" x14ac:dyDescent="0.2">
      <c r="A10881" s="14" t="s">
        <v>21396</v>
      </c>
      <c r="B10881" s="15" t="s">
        <v>21397</v>
      </c>
      <c r="C10881" s="16">
        <f>75.82/(1+B2)</f>
        <v>75.819999999999993</v>
      </c>
      <c r="D10881" s="17" t="s">
        <v>11</v>
      </c>
      <c r="E10881" s="17"/>
      <c r="F10881" s="18"/>
      <c r="G10881" s="36" t="str">
        <f>IF(ISNUMBER(F10881),C10881*F10881,"")</f>
        <v/>
      </c>
    </row>
    <row r="10882" spans="1:7" ht="24" customHeight="1" outlineLevel="2" x14ac:dyDescent="0.2">
      <c r="A10882" s="14" t="s">
        <v>21398</v>
      </c>
      <c r="B10882" s="15" t="s">
        <v>21399</v>
      </c>
      <c r="C10882" s="16">
        <f>64.87/(1+B2)</f>
        <v>64.87</v>
      </c>
      <c r="D10882" s="17" t="s">
        <v>11</v>
      </c>
      <c r="E10882" s="17"/>
      <c r="F10882" s="18"/>
      <c r="G10882" s="36" t="str">
        <f>IF(ISNUMBER(F10882),C10882*F10882,"")</f>
        <v/>
      </c>
    </row>
    <row r="10883" spans="1:7" ht="24" customHeight="1" outlineLevel="2" x14ac:dyDescent="0.2">
      <c r="A10883" s="14" t="s">
        <v>21400</v>
      </c>
      <c r="B10883" s="15" t="s">
        <v>21401</v>
      </c>
      <c r="C10883" s="16">
        <f>77.02/(1+B2)</f>
        <v>77.02</v>
      </c>
      <c r="D10883" s="17" t="s">
        <v>11</v>
      </c>
      <c r="E10883" s="17"/>
      <c r="F10883" s="18"/>
      <c r="G10883" s="36" t="str">
        <f>IF(ISNUMBER(F10883),C10883*F10883,"")</f>
        <v/>
      </c>
    </row>
    <row r="10884" spans="1:7" ht="24" customHeight="1" outlineLevel="2" x14ac:dyDescent="0.2">
      <c r="A10884" s="14" t="s">
        <v>21402</v>
      </c>
      <c r="B10884" s="15" t="s">
        <v>21403</v>
      </c>
      <c r="C10884" s="16">
        <f>2.68/(1+B2)</f>
        <v>2.68</v>
      </c>
      <c r="D10884" s="17" t="s">
        <v>11</v>
      </c>
      <c r="E10884" s="17"/>
      <c r="F10884" s="18"/>
      <c r="G10884" s="36" t="str">
        <f>IF(ISNUMBER(F10884),C10884*F10884,"")</f>
        <v/>
      </c>
    </row>
    <row r="10885" spans="1:7" ht="24" customHeight="1" outlineLevel="2" x14ac:dyDescent="0.2">
      <c r="A10885" s="14" t="s">
        <v>21404</v>
      </c>
      <c r="B10885" s="15" t="s">
        <v>21405</v>
      </c>
      <c r="C10885" s="16">
        <f>15.85/(1+B2)</f>
        <v>15.85</v>
      </c>
      <c r="D10885" s="17" t="s">
        <v>53</v>
      </c>
      <c r="E10885" s="17" t="s">
        <v>11</v>
      </c>
      <c r="F10885" s="18"/>
      <c r="G10885" s="36" t="str">
        <f>IF(ISNUMBER(F10885),C10885*F10885,"")</f>
        <v/>
      </c>
    </row>
    <row r="10886" spans="1:7" ht="24" customHeight="1" outlineLevel="2" x14ac:dyDescent="0.2">
      <c r="A10886" s="14" t="s">
        <v>21406</v>
      </c>
      <c r="B10886" s="15" t="s">
        <v>21407</v>
      </c>
      <c r="C10886" s="16">
        <f>10.37/(1+B2)</f>
        <v>10.37</v>
      </c>
      <c r="D10886" s="17" t="s">
        <v>53</v>
      </c>
      <c r="E10886" s="17"/>
      <c r="F10886" s="18"/>
      <c r="G10886" s="36" t="str">
        <f>IF(ISNUMBER(F10886),C10886*F10886,"")</f>
        <v/>
      </c>
    </row>
    <row r="10887" spans="1:7" ht="24" customHeight="1" outlineLevel="2" x14ac:dyDescent="0.2">
      <c r="A10887" s="14" t="s">
        <v>21408</v>
      </c>
      <c r="B10887" s="15" t="s">
        <v>21409</v>
      </c>
      <c r="C10887" s="16">
        <f>30.6/(1+B2)</f>
        <v>30.6</v>
      </c>
      <c r="D10887" s="17" t="s">
        <v>14</v>
      </c>
      <c r="E10887" s="17"/>
      <c r="F10887" s="18"/>
      <c r="G10887" s="36" t="str">
        <f>IF(ISNUMBER(F10887),C10887*F10887,"")</f>
        <v/>
      </c>
    </row>
    <row r="10888" spans="1:7" ht="24" customHeight="1" outlineLevel="2" x14ac:dyDescent="0.2">
      <c r="A10888" s="14" t="s">
        <v>21410</v>
      </c>
      <c r="B10888" s="15" t="s">
        <v>21411</v>
      </c>
      <c r="C10888" s="16">
        <f>34.61/(1+B2)</f>
        <v>34.61</v>
      </c>
      <c r="D10888" s="17" t="s">
        <v>11</v>
      </c>
      <c r="E10888" s="17"/>
      <c r="F10888" s="18"/>
      <c r="G10888" s="36" t="str">
        <f>IF(ISNUMBER(F10888),C10888*F10888,"")</f>
        <v/>
      </c>
    </row>
    <row r="10889" spans="1:7" s="1" customFormat="1" ht="15.95" customHeight="1" outlineLevel="1" x14ac:dyDescent="0.25">
      <c r="A10889" s="11"/>
      <c r="B10889" s="12" t="s">
        <v>21412</v>
      </c>
      <c r="C10889" s="13"/>
      <c r="D10889" s="13"/>
      <c r="E10889" s="13"/>
      <c r="F10889" s="13"/>
      <c r="G10889" s="35"/>
    </row>
    <row r="10890" spans="1:7" ht="12" customHeight="1" outlineLevel="2" x14ac:dyDescent="0.2">
      <c r="A10890" s="14" t="s">
        <v>21413</v>
      </c>
      <c r="B10890" s="15" t="s">
        <v>21414</v>
      </c>
      <c r="C10890" s="16">
        <f>84/(1+B2)</f>
        <v>84</v>
      </c>
      <c r="D10890" s="17" t="s">
        <v>11</v>
      </c>
      <c r="E10890" s="17"/>
      <c r="F10890" s="18"/>
      <c r="G10890" s="36" t="str">
        <f>IF(ISNUMBER(F10890),C10890*F10890,"")</f>
        <v/>
      </c>
    </row>
    <row r="10891" spans="1:7" ht="12" customHeight="1" outlineLevel="2" x14ac:dyDescent="0.2">
      <c r="A10891" s="14" t="s">
        <v>21415</v>
      </c>
      <c r="B10891" s="15" t="s">
        <v>21416</v>
      </c>
      <c r="C10891" s="16">
        <f>222.6/(1+B2)</f>
        <v>222.6</v>
      </c>
      <c r="D10891" s="17" t="s">
        <v>11</v>
      </c>
      <c r="E10891" s="17"/>
      <c r="F10891" s="18"/>
      <c r="G10891" s="36" t="str">
        <f>IF(ISNUMBER(F10891),C10891*F10891,"")</f>
        <v/>
      </c>
    </row>
    <row r="10892" spans="1:7" ht="12" customHeight="1" outlineLevel="2" x14ac:dyDescent="0.2">
      <c r="A10892" s="14" t="s">
        <v>21417</v>
      </c>
      <c r="B10892" s="15" t="s">
        <v>21418</v>
      </c>
      <c r="C10892" s="16">
        <f>98/(1+B2)</f>
        <v>98</v>
      </c>
      <c r="D10892" s="17" t="s">
        <v>11</v>
      </c>
      <c r="E10892" s="17"/>
      <c r="F10892" s="18"/>
      <c r="G10892" s="36" t="str">
        <f>IF(ISNUMBER(F10892),C10892*F10892,"")</f>
        <v/>
      </c>
    </row>
    <row r="10893" spans="1:7" ht="12" customHeight="1" outlineLevel="2" x14ac:dyDescent="0.2">
      <c r="A10893" s="14" t="s">
        <v>21419</v>
      </c>
      <c r="B10893" s="15" t="s">
        <v>21420</v>
      </c>
      <c r="C10893" s="16">
        <f>149.8/(1+B2)</f>
        <v>149.80000000000001</v>
      </c>
      <c r="D10893" s="17" t="s">
        <v>11</v>
      </c>
      <c r="E10893" s="17"/>
      <c r="F10893" s="18"/>
      <c r="G10893" s="36" t="str">
        <f>IF(ISNUMBER(F10893),C10893*F10893,"")</f>
        <v/>
      </c>
    </row>
    <row r="10894" spans="1:7" ht="12" customHeight="1" outlineLevel="2" x14ac:dyDescent="0.2">
      <c r="A10894" s="14" t="s">
        <v>21421</v>
      </c>
      <c r="B10894" s="15" t="s">
        <v>21422</v>
      </c>
      <c r="C10894" s="16">
        <f>194.6/(1+B2)</f>
        <v>194.6</v>
      </c>
      <c r="D10894" s="17" t="s">
        <v>11</v>
      </c>
      <c r="E10894" s="17"/>
      <c r="F10894" s="18"/>
      <c r="G10894" s="36" t="str">
        <f>IF(ISNUMBER(F10894),C10894*F10894,"")</f>
        <v/>
      </c>
    </row>
    <row r="10895" spans="1:7" ht="12" customHeight="1" outlineLevel="2" x14ac:dyDescent="0.2">
      <c r="A10895" s="14" t="s">
        <v>21423</v>
      </c>
      <c r="B10895" s="15" t="s">
        <v>21424</v>
      </c>
      <c r="C10895" s="16">
        <f>168/(1+B2)</f>
        <v>168</v>
      </c>
      <c r="D10895" s="17" t="s">
        <v>11</v>
      </c>
      <c r="E10895" s="17"/>
      <c r="F10895" s="18"/>
      <c r="G10895" s="36" t="str">
        <f>IF(ISNUMBER(F10895),C10895*F10895,"")</f>
        <v/>
      </c>
    </row>
    <row r="10896" spans="1:7" ht="12" customHeight="1" outlineLevel="2" x14ac:dyDescent="0.2">
      <c r="A10896" s="14" t="s">
        <v>21425</v>
      </c>
      <c r="B10896" s="15" t="s">
        <v>21426</v>
      </c>
      <c r="C10896" s="16">
        <f>194.6/(1+B2)</f>
        <v>194.6</v>
      </c>
      <c r="D10896" s="17" t="s">
        <v>11</v>
      </c>
      <c r="E10896" s="17"/>
      <c r="F10896" s="18"/>
      <c r="G10896" s="36" t="str">
        <f>IF(ISNUMBER(F10896),C10896*F10896,"")</f>
        <v/>
      </c>
    </row>
    <row r="10897" spans="1:7" ht="12" customHeight="1" outlineLevel="2" x14ac:dyDescent="0.2">
      <c r="A10897" s="14" t="s">
        <v>21427</v>
      </c>
      <c r="B10897" s="15" t="s">
        <v>21428</v>
      </c>
      <c r="C10897" s="16">
        <f>194.6/(1+B2)</f>
        <v>194.6</v>
      </c>
      <c r="D10897" s="17" t="s">
        <v>11</v>
      </c>
      <c r="E10897" s="17"/>
      <c r="F10897" s="18"/>
      <c r="G10897" s="36" t="str">
        <f>IF(ISNUMBER(F10897),C10897*F10897,"")</f>
        <v/>
      </c>
    </row>
    <row r="10898" spans="1:7" ht="12" customHeight="1" outlineLevel="2" x14ac:dyDescent="0.2">
      <c r="A10898" s="14" t="s">
        <v>21429</v>
      </c>
      <c r="B10898" s="15" t="s">
        <v>21430</v>
      </c>
      <c r="C10898" s="16">
        <f>180.6/(1+B2)</f>
        <v>180.6</v>
      </c>
      <c r="D10898" s="17" t="s">
        <v>11</v>
      </c>
      <c r="E10898" s="17"/>
      <c r="F10898" s="18"/>
      <c r="G10898" s="36" t="str">
        <f>IF(ISNUMBER(F10898),C10898*F10898,"")</f>
        <v/>
      </c>
    </row>
    <row r="10899" spans="1:7" ht="12" customHeight="1" outlineLevel="2" x14ac:dyDescent="0.2">
      <c r="A10899" s="14" t="s">
        <v>21431</v>
      </c>
      <c r="B10899" s="15" t="s">
        <v>21432</v>
      </c>
      <c r="C10899" s="16">
        <f>168/(1+B2)</f>
        <v>168</v>
      </c>
      <c r="D10899" s="17" t="s">
        <v>11</v>
      </c>
      <c r="E10899" s="17"/>
      <c r="F10899" s="18"/>
      <c r="G10899" s="36" t="str">
        <f>IF(ISNUMBER(F10899),C10899*F10899,"")</f>
        <v/>
      </c>
    </row>
    <row r="10900" spans="1:7" ht="12" customHeight="1" outlineLevel="2" x14ac:dyDescent="0.2">
      <c r="A10900" s="14" t="s">
        <v>21433</v>
      </c>
      <c r="B10900" s="15" t="s">
        <v>21434</v>
      </c>
      <c r="C10900" s="16">
        <f>180.6/(1+B2)</f>
        <v>180.6</v>
      </c>
      <c r="D10900" s="17" t="s">
        <v>11</v>
      </c>
      <c r="E10900" s="17"/>
      <c r="F10900" s="18"/>
      <c r="G10900" s="36" t="str">
        <f>IF(ISNUMBER(F10900),C10900*F10900,"")</f>
        <v/>
      </c>
    </row>
    <row r="10901" spans="1:7" ht="12" customHeight="1" outlineLevel="2" x14ac:dyDescent="0.2">
      <c r="A10901" s="14" t="s">
        <v>21435</v>
      </c>
      <c r="B10901" s="15" t="s">
        <v>21436</v>
      </c>
      <c r="C10901" s="16">
        <f>168/(1+B2)</f>
        <v>168</v>
      </c>
      <c r="D10901" s="17" t="s">
        <v>11</v>
      </c>
      <c r="E10901" s="17"/>
      <c r="F10901" s="18"/>
      <c r="G10901" s="36" t="str">
        <f>IF(ISNUMBER(F10901),C10901*F10901,"")</f>
        <v/>
      </c>
    </row>
    <row r="10902" spans="1:7" ht="12" customHeight="1" outlineLevel="2" x14ac:dyDescent="0.2">
      <c r="A10902" s="14" t="s">
        <v>21437</v>
      </c>
      <c r="B10902" s="15" t="s">
        <v>21438</v>
      </c>
      <c r="C10902" s="16">
        <f>194.6/(1+B2)</f>
        <v>194.6</v>
      </c>
      <c r="D10902" s="17" t="s">
        <v>11</v>
      </c>
      <c r="E10902" s="17"/>
      <c r="F10902" s="18"/>
      <c r="G10902" s="36" t="str">
        <f>IF(ISNUMBER(F10902),C10902*F10902,"")</f>
        <v/>
      </c>
    </row>
    <row r="10903" spans="1:7" ht="12" customHeight="1" outlineLevel="2" x14ac:dyDescent="0.2">
      <c r="A10903" s="14" t="s">
        <v>21439</v>
      </c>
      <c r="B10903" s="15" t="s">
        <v>21440</v>
      </c>
      <c r="C10903" s="16">
        <f>155.4/(1+B2)</f>
        <v>155.4</v>
      </c>
      <c r="D10903" s="17" t="s">
        <v>11</v>
      </c>
      <c r="E10903" s="17"/>
      <c r="F10903" s="18"/>
      <c r="G10903" s="36" t="str">
        <f>IF(ISNUMBER(F10903),C10903*F10903,"")</f>
        <v/>
      </c>
    </row>
    <row r="10904" spans="1:7" ht="12" customHeight="1" outlineLevel="2" x14ac:dyDescent="0.2">
      <c r="A10904" s="14" t="s">
        <v>21441</v>
      </c>
      <c r="B10904" s="15" t="s">
        <v>21442</v>
      </c>
      <c r="C10904" s="16">
        <f>222.6/(1+B2)</f>
        <v>222.6</v>
      </c>
      <c r="D10904" s="17" t="s">
        <v>11</v>
      </c>
      <c r="E10904" s="17"/>
      <c r="F10904" s="18"/>
      <c r="G10904" s="36" t="str">
        <f>IF(ISNUMBER(F10904),C10904*F10904,"")</f>
        <v/>
      </c>
    </row>
    <row r="10905" spans="1:7" ht="12" customHeight="1" outlineLevel="2" x14ac:dyDescent="0.2">
      <c r="A10905" s="14" t="s">
        <v>21443</v>
      </c>
      <c r="B10905" s="15" t="s">
        <v>21444</v>
      </c>
      <c r="C10905" s="16">
        <f>168/(1+B2)</f>
        <v>168</v>
      </c>
      <c r="D10905" s="17" t="s">
        <v>11</v>
      </c>
      <c r="E10905" s="17"/>
      <c r="F10905" s="18"/>
      <c r="G10905" s="36" t="str">
        <f>IF(ISNUMBER(F10905),C10905*F10905,"")</f>
        <v/>
      </c>
    </row>
    <row r="10906" spans="1:7" ht="12" customHeight="1" outlineLevel="2" x14ac:dyDescent="0.2">
      <c r="A10906" s="14" t="s">
        <v>21445</v>
      </c>
      <c r="B10906" s="15" t="s">
        <v>21446</v>
      </c>
      <c r="C10906" s="16">
        <f>155.4/(1+B2)</f>
        <v>155.4</v>
      </c>
      <c r="D10906" s="17" t="s">
        <v>11</v>
      </c>
      <c r="E10906" s="17"/>
      <c r="F10906" s="18"/>
      <c r="G10906" s="36" t="str">
        <f>IF(ISNUMBER(F10906),C10906*F10906,"")</f>
        <v/>
      </c>
    </row>
    <row r="10907" spans="1:7" ht="12" customHeight="1" outlineLevel="2" x14ac:dyDescent="0.2">
      <c r="A10907" s="14" t="s">
        <v>21447</v>
      </c>
      <c r="B10907" s="15" t="s">
        <v>21448</v>
      </c>
      <c r="C10907" s="16">
        <f>194.6/(1+B2)</f>
        <v>194.6</v>
      </c>
      <c r="D10907" s="17" t="s">
        <v>11</v>
      </c>
      <c r="E10907" s="17"/>
      <c r="F10907" s="18"/>
      <c r="G10907" s="36" t="str">
        <f>IF(ISNUMBER(F10907),C10907*F10907,"")</f>
        <v/>
      </c>
    </row>
    <row r="10908" spans="1:7" ht="12" customHeight="1" outlineLevel="2" x14ac:dyDescent="0.2">
      <c r="A10908" s="14" t="s">
        <v>21449</v>
      </c>
      <c r="B10908" s="15" t="s">
        <v>21450</v>
      </c>
      <c r="C10908" s="16">
        <f>231/(1+B2)</f>
        <v>231</v>
      </c>
      <c r="D10908" s="17" t="s">
        <v>11</v>
      </c>
      <c r="E10908" s="17"/>
      <c r="F10908" s="18"/>
      <c r="G10908" s="36" t="str">
        <f>IF(ISNUMBER(F10908),C10908*F10908,"")</f>
        <v/>
      </c>
    </row>
    <row r="10909" spans="1:7" ht="12" customHeight="1" outlineLevel="2" x14ac:dyDescent="0.2">
      <c r="A10909" s="14" t="s">
        <v>21451</v>
      </c>
      <c r="B10909" s="15" t="s">
        <v>21452</v>
      </c>
      <c r="C10909" s="16">
        <f>194.6/(1+B2)</f>
        <v>194.6</v>
      </c>
      <c r="D10909" s="17" t="s">
        <v>11</v>
      </c>
      <c r="E10909" s="17"/>
      <c r="F10909" s="18"/>
      <c r="G10909" s="36" t="str">
        <f>IF(ISNUMBER(F10909),C10909*F10909,"")</f>
        <v/>
      </c>
    </row>
    <row r="10910" spans="1:7" ht="12" customHeight="1" outlineLevel="2" x14ac:dyDescent="0.2">
      <c r="A10910" s="14" t="s">
        <v>21453</v>
      </c>
      <c r="B10910" s="15" t="s">
        <v>21454</v>
      </c>
      <c r="C10910" s="16">
        <f>89.6/(1+B2)</f>
        <v>89.6</v>
      </c>
      <c r="D10910" s="17" t="s">
        <v>11</v>
      </c>
      <c r="E10910" s="17"/>
      <c r="F10910" s="18"/>
      <c r="G10910" s="36" t="str">
        <f>IF(ISNUMBER(F10910),C10910*F10910,"")</f>
        <v/>
      </c>
    </row>
    <row r="10911" spans="1:7" ht="12" customHeight="1" outlineLevel="2" x14ac:dyDescent="0.2">
      <c r="A10911" s="14" t="s">
        <v>21455</v>
      </c>
      <c r="B10911" s="15" t="s">
        <v>21456</v>
      </c>
      <c r="C10911" s="16">
        <f>194.6/(1+B2)</f>
        <v>194.6</v>
      </c>
      <c r="D10911" s="17" t="s">
        <v>11</v>
      </c>
      <c r="E10911" s="17"/>
      <c r="F10911" s="18"/>
      <c r="G10911" s="36" t="str">
        <f>IF(ISNUMBER(F10911),C10911*F10911,"")</f>
        <v/>
      </c>
    </row>
    <row r="10912" spans="1:7" ht="12" customHeight="1" outlineLevel="2" x14ac:dyDescent="0.2">
      <c r="A10912" s="14" t="s">
        <v>21457</v>
      </c>
      <c r="B10912" s="15" t="s">
        <v>21458</v>
      </c>
      <c r="C10912" s="16">
        <f>278.6/(1+B2)</f>
        <v>278.60000000000002</v>
      </c>
      <c r="D10912" s="17" t="s">
        <v>11</v>
      </c>
      <c r="E10912" s="17"/>
      <c r="F10912" s="18"/>
      <c r="G10912" s="36" t="str">
        <f>IF(ISNUMBER(F10912),C10912*F10912,"")</f>
        <v/>
      </c>
    </row>
    <row r="10913" spans="1:7" ht="12" customHeight="1" outlineLevel="2" x14ac:dyDescent="0.2">
      <c r="A10913" s="14" t="s">
        <v>21459</v>
      </c>
      <c r="B10913" s="15" t="s">
        <v>21460</v>
      </c>
      <c r="C10913" s="16">
        <f>278.6/(1+B2)</f>
        <v>278.60000000000002</v>
      </c>
      <c r="D10913" s="17" t="s">
        <v>11</v>
      </c>
      <c r="E10913" s="17"/>
      <c r="F10913" s="18"/>
      <c r="G10913" s="36" t="str">
        <f>IF(ISNUMBER(F10913),C10913*F10913,"")</f>
        <v/>
      </c>
    </row>
    <row r="10914" spans="1:7" ht="12" customHeight="1" outlineLevel="2" x14ac:dyDescent="0.2">
      <c r="A10914" s="14" t="s">
        <v>21461</v>
      </c>
      <c r="B10914" s="15" t="s">
        <v>21462</v>
      </c>
      <c r="C10914" s="16">
        <f>226.8/(1+B2)</f>
        <v>226.8</v>
      </c>
      <c r="D10914" s="17" t="s">
        <v>11</v>
      </c>
      <c r="E10914" s="17"/>
      <c r="F10914" s="18"/>
      <c r="G10914" s="36" t="str">
        <f>IF(ISNUMBER(F10914),C10914*F10914,"")</f>
        <v/>
      </c>
    </row>
    <row r="10915" spans="1:7" ht="24" customHeight="1" outlineLevel="2" x14ac:dyDescent="0.2">
      <c r="A10915" s="14" t="s">
        <v>21463</v>
      </c>
      <c r="B10915" s="15" t="s">
        <v>21464</v>
      </c>
      <c r="C10915" s="16">
        <f>350.91/(1+B2)</f>
        <v>350.91</v>
      </c>
      <c r="D10915" s="17" t="s">
        <v>11</v>
      </c>
      <c r="E10915" s="17"/>
      <c r="F10915" s="18"/>
      <c r="G10915" s="36" t="str">
        <f>IF(ISNUMBER(F10915),C10915*F10915,"")</f>
        <v/>
      </c>
    </row>
    <row r="10916" spans="1:7" ht="24" customHeight="1" outlineLevel="2" x14ac:dyDescent="0.2">
      <c r="A10916" s="14" t="s">
        <v>21465</v>
      </c>
      <c r="B10916" s="15" t="s">
        <v>21466</v>
      </c>
      <c r="C10916" s="16">
        <f>412.94/(1+B2)</f>
        <v>412.94</v>
      </c>
      <c r="D10916" s="17" t="s">
        <v>11</v>
      </c>
      <c r="E10916" s="17"/>
      <c r="F10916" s="18"/>
      <c r="G10916" s="36" t="str">
        <f>IF(ISNUMBER(F10916),C10916*F10916,"")</f>
        <v/>
      </c>
    </row>
    <row r="10917" spans="1:7" ht="24" customHeight="1" outlineLevel="2" x14ac:dyDescent="0.2">
      <c r="A10917" s="14" t="s">
        <v>21467</v>
      </c>
      <c r="B10917" s="15" t="s">
        <v>21468</v>
      </c>
      <c r="C10917" s="16">
        <f>397.64/(1+B2)</f>
        <v>397.64</v>
      </c>
      <c r="D10917" s="17" t="s">
        <v>11</v>
      </c>
      <c r="E10917" s="17"/>
      <c r="F10917" s="18"/>
      <c r="G10917" s="36" t="str">
        <f>IF(ISNUMBER(F10917),C10917*F10917,"")</f>
        <v/>
      </c>
    </row>
    <row r="10918" spans="1:7" ht="24" customHeight="1" outlineLevel="2" x14ac:dyDescent="0.2">
      <c r="A10918" s="14" t="s">
        <v>21469</v>
      </c>
      <c r="B10918" s="15" t="s">
        <v>21470</v>
      </c>
      <c r="C10918" s="16">
        <f>240.73/(1+B2)</f>
        <v>240.73</v>
      </c>
      <c r="D10918" s="17" t="s">
        <v>11</v>
      </c>
      <c r="E10918" s="17"/>
      <c r="F10918" s="18"/>
      <c r="G10918" s="36" t="str">
        <f>IF(ISNUMBER(F10918),C10918*F10918,"")</f>
        <v/>
      </c>
    </row>
    <row r="10919" spans="1:7" ht="24" customHeight="1" outlineLevel="2" x14ac:dyDescent="0.2">
      <c r="A10919" s="14" t="s">
        <v>21471</v>
      </c>
      <c r="B10919" s="15" t="s">
        <v>21472</v>
      </c>
      <c r="C10919" s="16">
        <f>162.96/(1+B2)</f>
        <v>162.96</v>
      </c>
      <c r="D10919" s="17" t="s">
        <v>11</v>
      </c>
      <c r="E10919" s="17"/>
      <c r="F10919" s="18"/>
      <c r="G10919" s="36" t="str">
        <f>IF(ISNUMBER(F10919),C10919*F10919,"")</f>
        <v/>
      </c>
    </row>
    <row r="10920" spans="1:7" ht="24" customHeight="1" outlineLevel="2" x14ac:dyDescent="0.2">
      <c r="A10920" s="14" t="s">
        <v>21473</v>
      </c>
      <c r="B10920" s="15" t="s">
        <v>21474</v>
      </c>
      <c r="C10920" s="16">
        <f>445.12/(1+B2)</f>
        <v>445.12</v>
      </c>
      <c r="D10920" s="17" t="s">
        <v>11</v>
      </c>
      <c r="E10920" s="17"/>
      <c r="F10920" s="18"/>
      <c r="G10920" s="36" t="str">
        <f>IF(ISNUMBER(F10920),C10920*F10920,"")</f>
        <v/>
      </c>
    </row>
    <row r="10921" spans="1:7" ht="24" customHeight="1" outlineLevel="2" x14ac:dyDescent="0.2">
      <c r="A10921" s="14" t="s">
        <v>21475</v>
      </c>
      <c r="B10921" s="15" t="s">
        <v>21476</v>
      </c>
      <c r="C10921" s="16">
        <f>272.43/(1+B2)</f>
        <v>272.43</v>
      </c>
      <c r="D10921" s="17" t="s">
        <v>11</v>
      </c>
      <c r="E10921" s="17"/>
      <c r="F10921" s="18"/>
      <c r="G10921" s="36" t="str">
        <f>IF(ISNUMBER(F10921),C10921*F10921,"")</f>
        <v/>
      </c>
    </row>
    <row r="10922" spans="1:7" ht="24" customHeight="1" outlineLevel="2" x14ac:dyDescent="0.2">
      <c r="A10922" s="14" t="s">
        <v>21477</v>
      </c>
      <c r="B10922" s="15" t="s">
        <v>21478</v>
      </c>
      <c r="C10922" s="16">
        <f>264.81/(1+B2)</f>
        <v>264.81</v>
      </c>
      <c r="D10922" s="17" t="s">
        <v>11</v>
      </c>
      <c r="E10922" s="17"/>
      <c r="F10922" s="18"/>
      <c r="G10922" s="36" t="str">
        <f>IF(ISNUMBER(F10922),C10922*F10922,"")</f>
        <v/>
      </c>
    </row>
    <row r="10923" spans="1:7" ht="24" customHeight="1" outlineLevel="2" x14ac:dyDescent="0.2">
      <c r="A10923" s="14" t="s">
        <v>21479</v>
      </c>
      <c r="B10923" s="15" t="s">
        <v>21480</v>
      </c>
      <c r="C10923" s="16">
        <f>272.43/(1+B2)</f>
        <v>272.43</v>
      </c>
      <c r="D10923" s="17" t="s">
        <v>11</v>
      </c>
      <c r="E10923" s="17"/>
      <c r="F10923" s="18"/>
      <c r="G10923" s="36" t="str">
        <f>IF(ISNUMBER(F10923),C10923*F10923,"")</f>
        <v/>
      </c>
    </row>
    <row r="10924" spans="1:7" ht="24" customHeight="1" outlineLevel="2" x14ac:dyDescent="0.2">
      <c r="A10924" s="14" t="s">
        <v>21481</v>
      </c>
      <c r="B10924" s="15" t="s">
        <v>21482</v>
      </c>
      <c r="C10924" s="16">
        <f>282.91/(1+B2)</f>
        <v>282.91000000000003</v>
      </c>
      <c r="D10924" s="17" t="s">
        <v>11</v>
      </c>
      <c r="E10924" s="17"/>
      <c r="F10924" s="18"/>
      <c r="G10924" s="36" t="str">
        <f>IF(ISNUMBER(F10924),C10924*F10924,"")</f>
        <v/>
      </c>
    </row>
    <row r="10925" spans="1:7" ht="24" customHeight="1" outlineLevel="2" x14ac:dyDescent="0.2">
      <c r="A10925" s="14" t="s">
        <v>21483</v>
      </c>
      <c r="B10925" s="15" t="s">
        <v>21484</v>
      </c>
      <c r="C10925" s="16">
        <f>255.2/(1+B2)</f>
        <v>255.2</v>
      </c>
      <c r="D10925" s="17" t="s">
        <v>11</v>
      </c>
      <c r="E10925" s="17"/>
      <c r="F10925" s="18"/>
      <c r="G10925" s="36" t="str">
        <f>IF(ISNUMBER(F10925),C10925*F10925,"")</f>
        <v/>
      </c>
    </row>
    <row r="10926" spans="1:7" ht="24" customHeight="1" outlineLevel="2" x14ac:dyDescent="0.2">
      <c r="A10926" s="14" t="s">
        <v>21485</v>
      </c>
      <c r="B10926" s="15" t="s">
        <v>21486</v>
      </c>
      <c r="C10926" s="16">
        <f>358.13/(1+B2)</f>
        <v>358.13</v>
      </c>
      <c r="D10926" s="17" t="s">
        <v>11</v>
      </c>
      <c r="E10926" s="17"/>
      <c r="F10926" s="18"/>
      <c r="G10926" s="36" t="str">
        <f>IF(ISNUMBER(F10926),C10926*F10926,"")</f>
        <v/>
      </c>
    </row>
    <row r="10927" spans="1:7" ht="24" customHeight="1" outlineLevel="2" x14ac:dyDescent="0.2">
      <c r="A10927" s="14" t="s">
        <v>21487</v>
      </c>
      <c r="B10927" s="15" t="s">
        <v>21488</v>
      </c>
      <c r="C10927" s="16">
        <f>264.81/(1+B2)</f>
        <v>264.81</v>
      </c>
      <c r="D10927" s="17" t="s">
        <v>11</v>
      </c>
      <c r="E10927" s="17"/>
      <c r="F10927" s="18"/>
      <c r="G10927" s="36" t="str">
        <f>IF(ISNUMBER(F10927),C10927*F10927,"")</f>
        <v/>
      </c>
    </row>
    <row r="10928" spans="1:7" ht="24" customHeight="1" outlineLevel="2" x14ac:dyDescent="0.2">
      <c r="A10928" s="14" t="s">
        <v>21489</v>
      </c>
      <c r="B10928" s="15" t="s">
        <v>21490</v>
      </c>
      <c r="C10928" s="16">
        <f>150.93/(1+B2)</f>
        <v>150.93</v>
      </c>
      <c r="D10928" s="17" t="s">
        <v>11</v>
      </c>
      <c r="E10928" s="17"/>
      <c r="F10928" s="18"/>
      <c r="G10928" s="36" t="str">
        <f>IF(ISNUMBER(F10928),C10928*F10928,"")</f>
        <v/>
      </c>
    </row>
    <row r="10929" spans="1:7" ht="24" customHeight="1" outlineLevel="2" x14ac:dyDescent="0.2">
      <c r="A10929" s="14" t="s">
        <v>21491</v>
      </c>
      <c r="B10929" s="15" t="s">
        <v>21492</v>
      </c>
      <c r="C10929" s="16">
        <f>121.66/(1+B2)</f>
        <v>121.66</v>
      </c>
      <c r="D10929" s="17" t="s">
        <v>11</v>
      </c>
      <c r="E10929" s="17"/>
      <c r="F10929" s="18"/>
      <c r="G10929" s="36" t="str">
        <f>IF(ISNUMBER(F10929),C10929*F10929,"")</f>
        <v/>
      </c>
    </row>
    <row r="10930" spans="1:7" ht="12" customHeight="1" outlineLevel="2" x14ac:dyDescent="0.2">
      <c r="A10930" s="14" t="s">
        <v>21493</v>
      </c>
      <c r="B10930" s="15" t="s">
        <v>21494</v>
      </c>
      <c r="C10930" s="16">
        <f>113.64/(1+B2)</f>
        <v>113.64</v>
      </c>
      <c r="D10930" s="17" t="s">
        <v>11</v>
      </c>
      <c r="E10930" s="17"/>
      <c r="F10930" s="18"/>
      <c r="G10930" s="36" t="str">
        <f>IF(ISNUMBER(F10930),C10930*F10930,"")</f>
        <v/>
      </c>
    </row>
    <row r="10931" spans="1:7" ht="12" customHeight="1" outlineLevel="2" x14ac:dyDescent="0.2">
      <c r="A10931" s="14" t="s">
        <v>21495</v>
      </c>
      <c r="B10931" s="15" t="s">
        <v>21496</v>
      </c>
      <c r="C10931" s="16">
        <f>292.5/(1+B2)</f>
        <v>292.5</v>
      </c>
      <c r="D10931" s="17" t="s">
        <v>11</v>
      </c>
      <c r="E10931" s="17"/>
      <c r="F10931" s="18"/>
      <c r="G10931" s="36" t="str">
        <f>IF(ISNUMBER(F10931),C10931*F10931,"")</f>
        <v/>
      </c>
    </row>
    <row r="10932" spans="1:7" ht="24" customHeight="1" outlineLevel="2" x14ac:dyDescent="0.2">
      <c r="A10932" s="14" t="s">
        <v>21497</v>
      </c>
      <c r="B10932" s="15" t="s">
        <v>21498</v>
      </c>
      <c r="C10932" s="16">
        <f>121.66/(1+B2)</f>
        <v>121.66</v>
      </c>
      <c r="D10932" s="17" t="s">
        <v>11</v>
      </c>
      <c r="E10932" s="17"/>
      <c r="F10932" s="18"/>
      <c r="G10932" s="36" t="str">
        <f>IF(ISNUMBER(F10932),C10932*F10932,"")</f>
        <v/>
      </c>
    </row>
    <row r="10933" spans="1:7" ht="12" customHeight="1" outlineLevel="2" x14ac:dyDescent="0.2">
      <c r="A10933" s="14" t="s">
        <v>21499</v>
      </c>
      <c r="B10933" s="15" t="s">
        <v>21500</v>
      </c>
      <c r="C10933" s="16">
        <f>780/(1+B2)</f>
        <v>780</v>
      </c>
      <c r="D10933" s="17" t="s">
        <v>11</v>
      </c>
      <c r="E10933" s="17"/>
      <c r="F10933" s="18"/>
      <c r="G10933" s="36" t="str">
        <f>IF(ISNUMBER(F10933),C10933*F10933,"")</f>
        <v/>
      </c>
    </row>
    <row r="10934" spans="1:7" s="1" customFormat="1" ht="15.95" customHeight="1" outlineLevel="1" x14ac:dyDescent="0.25">
      <c r="A10934" s="11"/>
      <c r="B10934" s="12" t="s">
        <v>21501</v>
      </c>
      <c r="C10934" s="13"/>
      <c r="D10934" s="13"/>
      <c r="E10934" s="13"/>
      <c r="F10934" s="13"/>
      <c r="G10934" s="35"/>
    </row>
    <row r="10935" spans="1:7" ht="12" customHeight="1" outlineLevel="2" x14ac:dyDescent="0.2">
      <c r="A10935" s="14" t="s">
        <v>21502</v>
      </c>
      <c r="B10935" s="15" t="s">
        <v>21503</v>
      </c>
      <c r="C10935" s="16">
        <f>129.82/(1+B2)</f>
        <v>129.82</v>
      </c>
      <c r="D10935" s="17" t="s">
        <v>11</v>
      </c>
      <c r="E10935" s="17"/>
      <c r="F10935" s="18"/>
      <c r="G10935" s="36" t="str">
        <f>IF(ISNUMBER(F10935),C10935*F10935,"")</f>
        <v/>
      </c>
    </row>
    <row r="10936" spans="1:7" ht="12" customHeight="1" outlineLevel="2" x14ac:dyDescent="0.2">
      <c r="A10936" s="14" t="s">
        <v>21504</v>
      </c>
      <c r="B10936" s="15" t="s">
        <v>21505</v>
      </c>
      <c r="C10936" s="16">
        <f>152.09/(1+B2)</f>
        <v>152.09</v>
      </c>
      <c r="D10936" s="17" t="s">
        <v>11</v>
      </c>
      <c r="E10936" s="17"/>
      <c r="F10936" s="18"/>
      <c r="G10936" s="36" t="str">
        <f>IF(ISNUMBER(F10936),C10936*F10936,"")</f>
        <v/>
      </c>
    </row>
    <row r="10937" spans="1:7" ht="12" customHeight="1" outlineLevel="2" x14ac:dyDescent="0.2">
      <c r="A10937" s="14" t="s">
        <v>21506</v>
      </c>
      <c r="B10937" s="15" t="s">
        <v>21507</v>
      </c>
      <c r="C10937" s="16">
        <f>152.2/(1+B2)</f>
        <v>152.19999999999999</v>
      </c>
      <c r="D10937" s="17" t="s">
        <v>11</v>
      </c>
      <c r="E10937" s="17"/>
      <c r="F10937" s="18"/>
      <c r="G10937" s="36" t="str">
        <f>IF(ISNUMBER(F10937),C10937*F10937,"")</f>
        <v/>
      </c>
    </row>
    <row r="10938" spans="1:7" ht="12" customHeight="1" outlineLevel="2" x14ac:dyDescent="0.2">
      <c r="A10938" s="14" t="s">
        <v>21508</v>
      </c>
      <c r="B10938" s="15" t="s">
        <v>21509</v>
      </c>
      <c r="C10938" s="16">
        <f>45/(1+B2)</f>
        <v>45</v>
      </c>
      <c r="D10938" s="17" t="s">
        <v>11</v>
      </c>
      <c r="E10938" s="17"/>
      <c r="F10938" s="18"/>
      <c r="G10938" s="36" t="str">
        <f>IF(ISNUMBER(F10938),C10938*F10938,"")</f>
        <v/>
      </c>
    </row>
    <row r="10939" spans="1:7" ht="24" customHeight="1" outlineLevel="2" x14ac:dyDescent="0.2">
      <c r="A10939" s="14" t="s">
        <v>21510</v>
      </c>
      <c r="B10939" s="15" t="s">
        <v>21511</v>
      </c>
      <c r="C10939" s="16">
        <f>23.37/(1+B2)</f>
        <v>23.37</v>
      </c>
      <c r="D10939" s="17" t="s">
        <v>11</v>
      </c>
      <c r="E10939" s="17"/>
      <c r="F10939" s="18"/>
      <c r="G10939" s="36" t="str">
        <f>IF(ISNUMBER(F10939),C10939*F10939,"")</f>
        <v/>
      </c>
    </row>
    <row r="10940" spans="1:7" ht="24" customHeight="1" outlineLevel="2" x14ac:dyDescent="0.2">
      <c r="A10940" s="14" t="s">
        <v>21512</v>
      </c>
      <c r="B10940" s="15" t="s">
        <v>21513</v>
      </c>
      <c r="C10940" s="16">
        <f>12.04/(1+B2)</f>
        <v>12.04</v>
      </c>
      <c r="D10940" s="17" t="s">
        <v>11</v>
      </c>
      <c r="E10940" s="17"/>
      <c r="F10940" s="18"/>
      <c r="G10940" s="36" t="str">
        <f>IF(ISNUMBER(F10940),C10940*F10940,"")</f>
        <v/>
      </c>
    </row>
    <row r="10941" spans="1:7" ht="24" customHeight="1" outlineLevel="2" x14ac:dyDescent="0.2">
      <c r="A10941" s="14" t="s">
        <v>21514</v>
      </c>
      <c r="B10941" s="15" t="s">
        <v>21515</v>
      </c>
      <c r="C10941" s="16">
        <f>43.3/(1+B2)</f>
        <v>43.3</v>
      </c>
      <c r="D10941" s="17" t="s">
        <v>11</v>
      </c>
      <c r="E10941" s="17" t="s">
        <v>14</v>
      </c>
      <c r="F10941" s="18"/>
      <c r="G10941" s="36" t="str">
        <f>IF(ISNUMBER(F10941),C10941*F10941,"")</f>
        <v/>
      </c>
    </row>
    <row r="10942" spans="1:7" ht="24" customHeight="1" outlineLevel="2" x14ac:dyDescent="0.2">
      <c r="A10942" s="14" t="s">
        <v>21516</v>
      </c>
      <c r="B10942" s="15" t="s">
        <v>21517</v>
      </c>
      <c r="C10942" s="16">
        <f>35.64/(1+B2)</f>
        <v>35.64</v>
      </c>
      <c r="D10942" s="17" t="s">
        <v>11</v>
      </c>
      <c r="E10942" s="17"/>
      <c r="F10942" s="18"/>
      <c r="G10942" s="36" t="str">
        <f>IF(ISNUMBER(F10942),C10942*F10942,"")</f>
        <v/>
      </c>
    </row>
    <row r="10943" spans="1:7" ht="24" customHeight="1" outlineLevel="2" x14ac:dyDescent="0.2">
      <c r="A10943" s="14" t="s">
        <v>21518</v>
      </c>
      <c r="B10943" s="15" t="s">
        <v>21519</v>
      </c>
      <c r="C10943" s="16">
        <f>52.86/(1+B2)</f>
        <v>52.86</v>
      </c>
      <c r="D10943" s="17" t="s">
        <v>11</v>
      </c>
      <c r="E10943" s="17"/>
      <c r="F10943" s="18"/>
      <c r="G10943" s="36" t="str">
        <f>IF(ISNUMBER(F10943),C10943*F10943,"")</f>
        <v/>
      </c>
    </row>
    <row r="10944" spans="1:7" ht="24" customHeight="1" outlineLevel="2" x14ac:dyDescent="0.2">
      <c r="A10944" s="14" t="s">
        <v>21520</v>
      </c>
      <c r="B10944" s="15" t="s">
        <v>21521</v>
      </c>
      <c r="C10944" s="16">
        <f>55.21/(1+B2)</f>
        <v>55.21</v>
      </c>
      <c r="D10944" s="17" t="s">
        <v>11</v>
      </c>
      <c r="E10944" s="17"/>
      <c r="F10944" s="18"/>
      <c r="G10944" s="36" t="str">
        <f>IF(ISNUMBER(F10944),C10944*F10944,"")</f>
        <v/>
      </c>
    </row>
    <row r="10945" spans="1:7" ht="12" customHeight="1" outlineLevel="2" x14ac:dyDescent="0.2">
      <c r="A10945" s="14" t="s">
        <v>21522</v>
      </c>
      <c r="B10945" s="15" t="s">
        <v>21523</v>
      </c>
      <c r="C10945" s="16">
        <f>28.11/(1+B2)</f>
        <v>28.11</v>
      </c>
      <c r="D10945" s="17" t="s">
        <v>14</v>
      </c>
      <c r="E10945" s="17" t="s">
        <v>14</v>
      </c>
      <c r="F10945" s="18"/>
      <c r="G10945" s="36" t="str">
        <f>IF(ISNUMBER(F10945),C10945*F10945,"")</f>
        <v/>
      </c>
    </row>
    <row r="10946" spans="1:7" ht="12" customHeight="1" outlineLevel="2" x14ac:dyDescent="0.2">
      <c r="A10946" s="14" t="s">
        <v>21524</v>
      </c>
      <c r="B10946" s="15" t="s">
        <v>21525</v>
      </c>
      <c r="C10946" s="16">
        <f>60.35/(1+B2)</f>
        <v>60.35</v>
      </c>
      <c r="D10946" s="17" t="s">
        <v>11</v>
      </c>
      <c r="E10946" s="17"/>
      <c r="F10946" s="18"/>
      <c r="G10946" s="36" t="str">
        <f>IF(ISNUMBER(F10946),C10946*F10946,"")</f>
        <v/>
      </c>
    </row>
    <row r="10947" spans="1:7" ht="12" customHeight="1" outlineLevel="2" x14ac:dyDescent="0.2">
      <c r="A10947" s="14" t="s">
        <v>21526</v>
      </c>
      <c r="B10947" s="15" t="s">
        <v>21527</v>
      </c>
      <c r="C10947" s="16">
        <f>67.76/(1+B2)</f>
        <v>67.760000000000005</v>
      </c>
      <c r="D10947" s="17" t="s">
        <v>11</v>
      </c>
      <c r="E10947" s="17"/>
      <c r="F10947" s="18"/>
      <c r="G10947" s="36" t="str">
        <f>IF(ISNUMBER(F10947),C10947*F10947,"")</f>
        <v/>
      </c>
    </row>
    <row r="10948" spans="1:7" ht="12" customHeight="1" outlineLevel="2" x14ac:dyDescent="0.2">
      <c r="A10948" s="14" t="s">
        <v>21528</v>
      </c>
      <c r="B10948" s="15" t="s">
        <v>21529</v>
      </c>
      <c r="C10948" s="16">
        <f>245.19/(1+B2)</f>
        <v>245.19</v>
      </c>
      <c r="D10948" s="17" t="s">
        <v>11</v>
      </c>
      <c r="E10948" s="17"/>
      <c r="F10948" s="18"/>
      <c r="G10948" s="36" t="str">
        <f>IF(ISNUMBER(F10948),C10948*F10948,"")</f>
        <v/>
      </c>
    </row>
    <row r="10949" spans="1:7" ht="12" customHeight="1" outlineLevel="2" x14ac:dyDescent="0.2">
      <c r="A10949" s="14" t="s">
        <v>21530</v>
      </c>
      <c r="B10949" s="15" t="s">
        <v>21531</v>
      </c>
      <c r="C10949" s="16">
        <f>104.37/(1+B2)</f>
        <v>104.37</v>
      </c>
      <c r="D10949" s="17" t="s">
        <v>11</v>
      </c>
      <c r="E10949" s="17"/>
      <c r="F10949" s="18"/>
      <c r="G10949" s="36" t="str">
        <f>IF(ISNUMBER(F10949),C10949*F10949,"")</f>
        <v/>
      </c>
    </row>
    <row r="10950" spans="1:7" ht="12" customHeight="1" outlineLevel="2" x14ac:dyDescent="0.2">
      <c r="A10950" s="14" t="s">
        <v>21532</v>
      </c>
      <c r="B10950" s="15" t="s">
        <v>21533</v>
      </c>
      <c r="C10950" s="16">
        <f>133.2/(1+B2)</f>
        <v>133.19999999999999</v>
      </c>
      <c r="D10950" s="17" t="s">
        <v>11</v>
      </c>
      <c r="E10950" s="17"/>
      <c r="F10950" s="18"/>
      <c r="G10950" s="36" t="str">
        <f>IF(ISNUMBER(F10950),C10950*F10950,"")</f>
        <v/>
      </c>
    </row>
    <row r="10951" spans="1:7" ht="12" customHeight="1" outlineLevel="2" x14ac:dyDescent="0.2">
      <c r="A10951" s="14" t="s">
        <v>21534</v>
      </c>
      <c r="B10951" s="15" t="s">
        <v>21535</v>
      </c>
      <c r="C10951" s="16">
        <f>133.2/(1+B2)</f>
        <v>133.19999999999999</v>
      </c>
      <c r="D10951" s="17" t="s">
        <v>11</v>
      </c>
      <c r="E10951" s="17"/>
      <c r="F10951" s="18"/>
      <c r="G10951" s="36" t="str">
        <f>IF(ISNUMBER(F10951),C10951*F10951,"")</f>
        <v/>
      </c>
    </row>
    <row r="10952" spans="1:7" ht="12" customHeight="1" outlineLevel="2" x14ac:dyDescent="0.2">
      <c r="A10952" s="14" t="s">
        <v>21536</v>
      </c>
      <c r="B10952" s="15" t="s">
        <v>21537</v>
      </c>
      <c r="C10952" s="16">
        <f>142.3/(1+B2)</f>
        <v>142.30000000000001</v>
      </c>
      <c r="D10952" s="17" t="s">
        <v>11</v>
      </c>
      <c r="E10952" s="17"/>
      <c r="F10952" s="18"/>
      <c r="G10952" s="36" t="str">
        <f>IF(ISNUMBER(F10952),C10952*F10952,"")</f>
        <v/>
      </c>
    </row>
    <row r="10953" spans="1:7" ht="12" customHeight="1" outlineLevel="2" x14ac:dyDescent="0.2">
      <c r="A10953" s="14" t="s">
        <v>21538</v>
      </c>
      <c r="B10953" s="15" t="s">
        <v>21539</v>
      </c>
      <c r="C10953" s="16">
        <f>133.2/(1+B2)</f>
        <v>133.19999999999999</v>
      </c>
      <c r="D10953" s="17" t="s">
        <v>11</v>
      </c>
      <c r="E10953" s="17"/>
      <c r="F10953" s="18"/>
      <c r="G10953" s="36" t="str">
        <f>IF(ISNUMBER(F10953),C10953*F10953,"")</f>
        <v/>
      </c>
    </row>
    <row r="10954" spans="1:7" ht="12" customHeight="1" outlineLevel="2" x14ac:dyDescent="0.2">
      <c r="A10954" s="14" t="s">
        <v>21540</v>
      </c>
      <c r="B10954" s="15" t="s">
        <v>21541</v>
      </c>
      <c r="C10954" s="16">
        <f>28.2/(1+B2)</f>
        <v>28.2</v>
      </c>
      <c r="D10954" s="17" t="s">
        <v>53</v>
      </c>
      <c r="E10954" s="17"/>
      <c r="F10954" s="18"/>
      <c r="G10954" s="36" t="str">
        <f>IF(ISNUMBER(F10954),C10954*F10954,"")</f>
        <v/>
      </c>
    </row>
    <row r="10955" spans="1:7" ht="12" customHeight="1" outlineLevel="2" x14ac:dyDescent="0.2">
      <c r="A10955" s="14" t="s">
        <v>21542</v>
      </c>
      <c r="B10955" s="15" t="s">
        <v>21543</v>
      </c>
      <c r="C10955" s="16">
        <f>130.96/(1+B2)</f>
        <v>130.96</v>
      </c>
      <c r="D10955" s="17" t="s">
        <v>11</v>
      </c>
      <c r="E10955" s="17"/>
      <c r="F10955" s="18"/>
      <c r="G10955" s="36" t="str">
        <f>IF(ISNUMBER(F10955),C10955*F10955,"")</f>
        <v/>
      </c>
    </row>
    <row r="10956" spans="1:7" ht="24" customHeight="1" outlineLevel="2" x14ac:dyDescent="0.2">
      <c r="A10956" s="14" t="s">
        <v>21544</v>
      </c>
      <c r="B10956" s="15" t="s">
        <v>21545</v>
      </c>
      <c r="C10956" s="16">
        <f>129.73/(1+B2)</f>
        <v>129.72999999999999</v>
      </c>
      <c r="D10956" s="17" t="s">
        <v>11</v>
      </c>
      <c r="E10956" s="17"/>
      <c r="F10956" s="18"/>
      <c r="G10956" s="36" t="str">
        <f>IF(ISNUMBER(F10956),C10956*F10956,"")</f>
        <v/>
      </c>
    </row>
    <row r="10957" spans="1:7" ht="12" customHeight="1" outlineLevel="2" x14ac:dyDescent="0.2">
      <c r="A10957" s="14" t="s">
        <v>21546</v>
      </c>
      <c r="B10957" s="15" t="s">
        <v>21547</v>
      </c>
      <c r="C10957" s="16">
        <f>62.92/(1+B2)</f>
        <v>62.92</v>
      </c>
      <c r="D10957" s="17" t="s">
        <v>11</v>
      </c>
      <c r="E10957" s="17"/>
      <c r="F10957" s="18"/>
      <c r="G10957" s="36" t="str">
        <f>IF(ISNUMBER(F10957),C10957*F10957,"")</f>
        <v/>
      </c>
    </row>
    <row r="10958" spans="1:7" ht="12" customHeight="1" outlineLevel="2" x14ac:dyDescent="0.2">
      <c r="A10958" s="14" t="s">
        <v>21548</v>
      </c>
      <c r="B10958" s="15" t="s">
        <v>21549</v>
      </c>
      <c r="C10958" s="16">
        <f>161.07/(1+B2)</f>
        <v>161.07</v>
      </c>
      <c r="D10958" s="17" t="s">
        <v>11</v>
      </c>
      <c r="E10958" s="17"/>
      <c r="F10958" s="18"/>
      <c r="G10958" s="36" t="str">
        <f>IF(ISNUMBER(F10958),C10958*F10958,"")</f>
        <v/>
      </c>
    </row>
    <row r="10959" spans="1:7" ht="12" customHeight="1" outlineLevel="2" x14ac:dyDescent="0.2">
      <c r="A10959" s="14" t="s">
        <v>21550</v>
      </c>
      <c r="B10959" s="15" t="s">
        <v>21551</v>
      </c>
      <c r="C10959" s="16">
        <f>145.68/(1+B2)</f>
        <v>145.68</v>
      </c>
      <c r="D10959" s="17" t="s">
        <v>11</v>
      </c>
      <c r="E10959" s="17"/>
      <c r="F10959" s="18"/>
      <c r="G10959" s="36" t="str">
        <f>IF(ISNUMBER(F10959),C10959*F10959,"")</f>
        <v/>
      </c>
    </row>
    <row r="10960" spans="1:7" s="1" customFormat="1" ht="15.95" customHeight="1" outlineLevel="1" x14ac:dyDescent="0.25">
      <c r="A10960" s="11"/>
      <c r="B10960" s="12" t="s">
        <v>21552</v>
      </c>
      <c r="C10960" s="13"/>
      <c r="D10960" s="13"/>
      <c r="E10960" s="13"/>
      <c r="F10960" s="13"/>
      <c r="G10960" s="35"/>
    </row>
    <row r="10961" spans="1:7" ht="12" customHeight="1" outlineLevel="2" x14ac:dyDescent="0.2">
      <c r="A10961" s="14" t="s">
        <v>21553</v>
      </c>
      <c r="B10961" s="15" t="s">
        <v>21554</v>
      </c>
      <c r="C10961" s="16">
        <f>45.1/(1+B2)</f>
        <v>45.1</v>
      </c>
      <c r="D10961" s="17" t="s">
        <v>11</v>
      </c>
      <c r="E10961" s="17"/>
      <c r="F10961" s="18"/>
      <c r="G10961" s="36" t="str">
        <f>IF(ISNUMBER(F10961),C10961*F10961,"")</f>
        <v/>
      </c>
    </row>
    <row r="10962" spans="1:7" ht="12" customHeight="1" outlineLevel="2" x14ac:dyDescent="0.2">
      <c r="A10962" s="14" t="s">
        <v>21555</v>
      </c>
      <c r="B10962" s="15" t="s">
        <v>21556</v>
      </c>
      <c r="C10962" s="16">
        <f>103.1/(1+B2)</f>
        <v>103.1</v>
      </c>
      <c r="D10962" s="17" t="s">
        <v>11</v>
      </c>
      <c r="E10962" s="17"/>
      <c r="F10962" s="18"/>
      <c r="G10962" s="36" t="str">
        <f>IF(ISNUMBER(F10962),C10962*F10962,"")</f>
        <v/>
      </c>
    </row>
    <row r="10963" spans="1:7" ht="12" customHeight="1" outlineLevel="2" x14ac:dyDescent="0.2">
      <c r="A10963" s="14" t="s">
        <v>21557</v>
      </c>
      <c r="B10963" s="15" t="s">
        <v>21558</v>
      </c>
      <c r="C10963" s="16">
        <f>103.1/(1+B2)</f>
        <v>103.1</v>
      </c>
      <c r="D10963" s="17" t="s">
        <v>11</v>
      </c>
      <c r="E10963" s="17"/>
      <c r="F10963" s="18"/>
      <c r="G10963" s="36" t="str">
        <f>IF(ISNUMBER(F10963),C10963*F10963,"")</f>
        <v/>
      </c>
    </row>
    <row r="10964" spans="1:7" ht="12" customHeight="1" outlineLevel="2" x14ac:dyDescent="0.2">
      <c r="A10964" s="14" t="s">
        <v>21559</v>
      </c>
      <c r="B10964" s="15" t="s">
        <v>21560</v>
      </c>
      <c r="C10964" s="16">
        <f>138.39/(1+B2)</f>
        <v>138.38999999999999</v>
      </c>
      <c r="D10964" s="17" t="s">
        <v>11</v>
      </c>
      <c r="E10964" s="17"/>
      <c r="F10964" s="18"/>
      <c r="G10964" s="36" t="str">
        <f>IF(ISNUMBER(F10964),C10964*F10964,"")</f>
        <v/>
      </c>
    </row>
    <row r="10965" spans="1:7" ht="12" customHeight="1" outlineLevel="2" x14ac:dyDescent="0.2">
      <c r="A10965" s="14" t="s">
        <v>21561</v>
      </c>
      <c r="B10965" s="15" t="s">
        <v>21562</v>
      </c>
      <c r="C10965" s="16">
        <f>276.1/(1+B2)</f>
        <v>276.10000000000002</v>
      </c>
      <c r="D10965" s="17" t="s">
        <v>11</v>
      </c>
      <c r="E10965" s="17"/>
      <c r="F10965" s="18"/>
      <c r="G10965" s="36" t="str">
        <f>IF(ISNUMBER(F10965),C10965*F10965,"")</f>
        <v/>
      </c>
    </row>
    <row r="10966" spans="1:7" ht="12" customHeight="1" outlineLevel="2" x14ac:dyDescent="0.2">
      <c r="A10966" s="14" t="s">
        <v>21563</v>
      </c>
      <c r="B10966" s="15" t="s">
        <v>21564</v>
      </c>
      <c r="C10966" s="16">
        <f>276.1/(1+B2)</f>
        <v>276.10000000000002</v>
      </c>
      <c r="D10966" s="17" t="s">
        <v>11</v>
      </c>
      <c r="E10966" s="17"/>
      <c r="F10966" s="18"/>
      <c r="G10966" s="36" t="str">
        <f>IF(ISNUMBER(F10966),C10966*F10966,"")</f>
        <v/>
      </c>
    </row>
    <row r="10967" spans="1:7" ht="12" customHeight="1" outlineLevel="2" x14ac:dyDescent="0.2">
      <c r="A10967" s="14" t="s">
        <v>21565</v>
      </c>
      <c r="B10967" s="15" t="s">
        <v>21566</v>
      </c>
      <c r="C10967" s="16">
        <f>236.97/(1+B2)</f>
        <v>236.97</v>
      </c>
      <c r="D10967" s="17" t="s">
        <v>11</v>
      </c>
      <c r="E10967" s="17"/>
      <c r="F10967" s="18"/>
      <c r="G10967" s="36" t="str">
        <f>IF(ISNUMBER(F10967),C10967*F10967,"")</f>
        <v/>
      </c>
    </row>
    <row r="10968" spans="1:7" ht="12" customHeight="1" outlineLevel="2" x14ac:dyDescent="0.2">
      <c r="A10968" s="14" t="s">
        <v>21567</v>
      </c>
      <c r="B10968" s="15" t="s">
        <v>21568</v>
      </c>
      <c r="C10968" s="16">
        <f>243.01/(1+B2)</f>
        <v>243.01</v>
      </c>
      <c r="D10968" s="17" t="s">
        <v>11</v>
      </c>
      <c r="E10968" s="17"/>
      <c r="F10968" s="18"/>
      <c r="G10968" s="36" t="str">
        <f>IF(ISNUMBER(F10968),C10968*F10968,"")</f>
        <v/>
      </c>
    </row>
    <row r="10969" spans="1:7" ht="12" customHeight="1" outlineLevel="2" x14ac:dyDescent="0.2">
      <c r="A10969" s="14" t="s">
        <v>21569</v>
      </c>
      <c r="B10969" s="15" t="s">
        <v>21570</v>
      </c>
      <c r="C10969" s="16">
        <f>32.19/(1+B2)</f>
        <v>32.19</v>
      </c>
      <c r="D10969" s="17" t="s">
        <v>11</v>
      </c>
      <c r="E10969" s="17"/>
      <c r="F10969" s="18"/>
      <c r="G10969" s="36" t="str">
        <f>IF(ISNUMBER(F10969),C10969*F10969,"")</f>
        <v/>
      </c>
    </row>
    <row r="10970" spans="1:7" ht="12" customHeight="1" outlineLevel="2" x14ac:dyDescent="0.2">
      <c r="A10970" s="14" t="s">
        <v>21571</v>
      </c>
      <c r="B10970" s="15" t="s">
        <v>21572</v>
      </c>
      <c r="C10970" s="16">
        <f>36.18/(1+B2)</f>
        <v>36.18</v>
      </c>
      <c r="D10970" s="17" t="s">
        <v>11</v>
      </c>
      <c r="E10970" s="17"/>
      <c r="F10970" s="18"/>
      <c r="G10970" s="36" t="str">
        <f>IF(ISNUMBER(F10970),C10970*F10970,"")</f>
        <v/>
      </c>
    </row>
    <row r="10971" spans="1:7" ht="12" customHeight="1" outlineLevel="2" x14ac:dyDescent="0.2">
      <c r="A10971" s="14" t="s">
        <v>21573</v>
      </c>
      <c r="B10971" s="15" t="s">
        <v>21574</v>
      </c>
      <c r="C10971" s="16">
        <f>124.73/(1+B2)</f>
        <v>124.73</v>
      </c>
      <c r="D10971" s="17" t="s">
        <v>11</v>
      </c>
      <c r="E10971" s="17"/>
      <c r="F10971" s="18"/>
      <c r="G10971" s="36" t="str">
        <f>IF(ISNUMBER(F10971),C10971*F10971,"")</f>
        <v/>
      </c>
    </row>
    <row r="10972" spans="1:7" ht="12" customHeight="1" outlineLevel="2" x14ac:dyDescent="0.2">
      <c r="A10972" s="14" t="s">
        <v>21575</v>
      </c>
      <c r="B10972" s="15" t="s">
        <v>21576</v>
      </c>
      <c r="C10972" s="16">
        <f>83.82/(1+B2)</f>
        <v>83.82</v>
      </c>
      <c r="D10972" s="17" t="s">
        <v>14</v>
      </c>
      <c r="E10972" s="17"/>
      <c r="F10972" s="18"/>
      <c r="G10972" s="36" t="str">
        <f>IF(ISNUMBER(F10972),C10972*F10972,"")</f>
        <v/>
      </c>
    </row>
    <row r="10973" spans="1:7" ht="12" customHeight="1" outlineLevel="2" x14ac:dyDescent="0.2">
      <c r="A10973" s="14" t="s">
        <v>21577</v>
      </c>
      <c r="B10973" s="15" t="s">
        <v>21578</v>
      </c>
      <c r="C10973" s="16">
        <f>100.72/(1+B2)</f>
        <v>100.72</v>
      </c>
      <c r="D10973" s="17" t="s">
        <v>11</v>
      </c>
      <c r="E10973" s="17"/>
      <c r="F10973" s="18"/>
      <c r="G10973" s="36" t="str">
        <f>IF(ISNUMBER(F10973),C10973*F10973,"")</f>
        <v/>
      </c>
    </row>
    <row r="10974" spans="1:7" ht="12" customHeight="1" outlineLevel="2" x14ac:dyDescent="0.2">
      <c r="A10974" s="14" t="s">
        <v>21579</v>
      </c>
      <c r="B10974" s="15" t="s">
        <v>21580</v>
      </c>
      <c r="C10974" s="16">
        <f>112.63/(1+B2)</f>
        <v>112.63</v>
      </c>
      <c r="D10974" s="17" t="s">
        <v>11</v>
      </c>
      <c r="E10974" s="17"/>
      <c r="F10974" s="18"/>
      <c r="G10974" s="36" t="str">
        <f>IF(ISNUMBER(F10974),C10974*F10974,"")</f>
        <v/>
      </c>
    </row>
    <row r="10975" spans="1:7" ht="12" customHeight="1" outlineLevel="2" x14ac:dyDescent="0.2">
      <c r="A10975" s="14" t="s">
        <v>21581</v>
      </c>
      <c r="B10975" s="15" t="s">
        <v>21582</v>
      </c>
      <c r="C10975" s="16">
        <f>59.8/(1+B2)</f>
        <v>59.8</v>
      </c>
      <c r="D10975" s="17" t="s">
        <v>11</v>
      </c>
      <c r="E10975" s="17"/>
      <c r="F10975" s="18"/>
      <c r="G10975" s="36" t="str">
        <f>IF(ISNUMBER(F10975),C10975*F10975,"")</f>
        <v/>
      </c>
    </row>
    <row r="10976" spans="1:7" ht="24" customHeight="1" outlineLevel="2" x14ac:dyDescent="0.2">
      <c r="A10976" s="14" t="s">
        <v>21583</v>
      </c>
      <c r="B10976" s="15" t="s">
        <v>21584</v>
      </c>
      <c r="C10976" s="16">
        <f>129.74/(1+B2)</f>
        <v>129.74</v>
      </c>
      <c r="D10976" s="17" t="s">
        <v>11</v>
      </c>
      <c r="E10976" s="17"/>
      <c r="F10976" s="18"/>
      <c r="G10976" s="36" t="str">
        <f>IF(ISNUMBER(F10976),C10976*F10976,"")</f>
        <v/>
      </c>
    </row>
    <row r="10977" spans="1:7" ht="24" customHeight="1" outlineLevel="2" x14ac:dyDescent="0.2">
      <c r="A10977" s="14" t="s">
        <v>21585</v>
      </c>
      <c r="B10977" s="15" t="s">
        <v>21586</v>
      </c>
      <c r="C10977" s="16">
        <f>131.29/(1+B2)</f>
        <v>131.29</v>
      </c>
      <c r="D10977" s="17" t="s">
        <v>11</v>
      </c>
      <c r="E10977" s="17"/>
      <c r="F10977" s="18"/>
      <c r="G10977" s="36" t="str">
        <f>IF(ISNUMBER(F10977),C10977*F10977,"")</f>
        <v/>
      </c>
    </row>
    <row r="10978" spans="1:7" ht="24" customHeight="1" outlineLevel="2" x14ac:dyDescent="0.2">
      <c r="A10978" s="14" t="s">
        <v>21587</v>
      </c>
      <c r="B10978" s="15" t="s">
        <v>21588</v>
      </c>
      <c r="C10978" s="16">
        <f>125.97/(1+B2)</f>
        <v>125.97</v>
      </c>
      <c r="D10978" s="17" t="s">
        <v>11</v>
      </c>
      <c r="E10978" s="17"/>
      <c r="F10978" s="18"/>
      <c r="G10978" s="36" t="str">
        <f>IF(ISNUMBER(F10978),C10978*F10978,"")</f>
        <v/>
      </c>
    </row>
    <row r="10979" spans="1:7" ht="12" customHeight="1" outlineLevel="2" x14ac:dyDescent="0.2">
      <c r="A10979" s="14" t="s">
        <v>21589</v>
      </c>
      <c r="B10979" s="15" t="s">
        <v>21590</v>
      </c>
      <c r="C10979" s="16">
        <f>109.5/(1+B2)</f>
        <v>109.5</v>
      </c>
      <c r="D10979" s="17" t="s">
        <v>11</v>
      </c>
      <c r="E10979" s="17"/>
      <c r="F10979" s="18"/>
      <c r="G10979" s="36" t="str">
        <f>IF(ISNUMBER(F10979),C10979*F10979,"")</f>
        <v/>
      </c>
    </row>
    <row r="10980" spans="1:7" ht="24" customHeight="1" outlineLevel="2" x14ac:dyDescent="0.2">
      <c r="A10980" s="14" t="s">
        <v>21591</v>
      </c>
      <c r="B10980" s="15" t="s">
        <v>21592</v>
      </c>
      <c r="C10980" s="16">
        <f>80.7/(1+B2)</f>
        <v>80.7</v>
      </c>
      <c r="D10980" s="17" t="s">
        <v>11</v>
      </c>
      <c r="E10980" s="17"/>
      <c r="F10980" s="18"/>
      <c r="G10980" s="36" t="str">
        <f>IF(ISNUMBER(F10980),C10980*F10980,"")</f>
        <v/>
      </c>
    </row>
    <row r="10981" spans="1:7" ht="12" customHeight="1" outlineLevel="2" x14ac:dyDescent="0.2">
      <c r="A10981" s="14" t="s">
        <v>21593</v>
      </c>
      <c r="B10981" s="15" t="s">
        <v>21594</v>
      </c>
      <c r="C10981" s="16">
        <f>43.44/(1+B2)</f>
        <v>43.44</v>
      </c>
      <c r="D10981" s="17" t="s">
        <v>11</v>
      </c>
      <c r="E10981" s="17"/>
      <c r="F10981" s="18"/>
      <c r="G10981" s="36" t="str">
        <f>IF(ISNUMBER(F10981),C10981*F10981,"")</f>
        <v/>
      </c>
    </row>
    <row r="10982" spans="1:7" ht="12" customHeight="1" outlineLevel="2" x14ac:dyDescent="0.2">
      <c r="A10982" s="14" t="s">
        <v>21595</v>
      </c>
      <c r="B10982" s="15" t="s">
        <v>21596</v>
      </c>
      <c r="C10982" s="16">
        <f>58.8/(1+B2)</f>
        <v>58.8</v>
      </c>
      <c r="D10982" s="17" t="s">
        <v>11</v>
      </c>
      <c r="E10982" s="17"/>
      <c r="F10982" s="18"/>
      <c r="G10982" s="36" t="str">
        <f>IF(ISNUMBER(F10982),C10982*F10982,"")</f>
        <v/>
      </c>
    </row>
    <row r="10983" spans="1:7" ht="12" customHeight="1" outlineLevel="2" x14ac:dyDescent="0.2">
      <c r="A10983" s="14" t="s">
        <v>21597</v>
      </c>
      <c r="B10983" s="15" t="s">
        <v>21598</v>
      </c>
      <c r="C10983" s="16">
        <f>179.48/(1+B2)</f>
        <v>179.48</v>
      </c>
      <c r="D10983" s="17" t="s">
        <v>11</v>
      </c>
      <c r="E10983" s="17"/>
      <c r="F10983" s="18"/>
      <c r="G10983" s="36" t="str">
        <f>IF(ISNUMBER(F10983),C10983*F10983,"")</f>
        <v/>
      </c>
    </row>
    <row r="10984" spans="1:7" s="1" customFormat="1" ht="15.95" customHeight="1" x14ac:dyDescent="0.25">
      <c r="A10984" s="8"/>
      <c r="B10984" s="9" t="s">
        <v>21599</v>
      </c>
      <c r="C10984" s="10"/>
      <c r="D10984" s="10"/>
      <c r="E10984" s="10"/>
      <c r="F10984" s="10"/>
      <c r="G10984" s="34"/>
    </row>
    <row r="10985" spans="1:7" s="1" customFormat="1" ht="15.95" customHeight="1" outlineLevel="1" x14ac:dyDescent="0.25">
      <c r="A10985" s="11"/>
      <c r="B10985" s="12" t="s">
        <v>21600</v>
      </c>
      <c r="C10985" s="13"/>
      <c r="D10985" s="13"/>
      <c r="E10985" s="13"/>
      <c r="F10985" s="13"/>
      <c r="G10985" s="35"/>
    </row>
    <row r="10986" spans="1:7" ht="12" customHeight="1" outlineLevel="2" x14ac:dyDescent="0.2">
      <c r="A10986" s="14" t="s">
        <v>21601</v>
      </c>
      <c r="B10986" s="15" t="s">
        <v>21602</v>
      </c>
      <c r="C10986" s="16">
        <f>455/(1+B2)</f>
        <v>455</v>
      </c>
      <c r="D10986" s="17" t="s">
        <v>53</v>
      </c>
      <c r="E10986" s="17"/>
      <c r="F10986" s="18"/>
      <c r="G10986" s="36" t="str">
        <f>IF(ISNUMBER(F10986),C10986*F10986,"")</f>
        <v/>
      </c>
    </row>
    <row r="10987" spans="1:7" s="1" customFormat="1" ht="15.95" customHeight="1" outlineLevel="1" x14ac:dyDescent="0.25">
      <c r="A10987" s="11"/>
      <c r="B10987" s="12" t="s">
        <v>21603</v>
      </c>
      <c r="C10987" s="13"/>
      <c r="D10987" s="13"/>
      <c r="E10987" s="13"/>
      <c r="F10987" s="13"/>
      <c r="G10987" s="35"/>
    </row>
    <row r="10988" spans="1:7" ht="12" customHeight="1" outlineLevel="2" x14ac:dyDescent="0.2">
      <c r="A10988" s="14" t="s">
        <v>21604</v>
      </c>
      <c r="B10988" s="15" t="s">
        <v>21605</v>
      </c>
      <c r="C10988" s="16">
        <f>57.9/(1+B2)</f>
        <v>57.9</v>
      </c>
      <c r="D10988" s="17" t="s">
        <v>11</v>
      </c>
      <c r="E10988" s="17" t="s">
        <v>106</v>
      </c>
      <c r="F10988" s="18"/>
      <c r="G10988" s="36" t="str">
        <f>IF(ISNUMBER(F10988),C10988*F10988,"")</f>
        <v/>
      </c>
    </row>
    <row r="10989" spans="1:7" ht="12" customHeight="1" outlineLevel="2" x14ac:dyDescent="0.2">
      <c r="A10989" s="14" t="s">
        <v>21606</v>
      </c>
      <c r="B10989" s="15" t="s">
        <v>21607</v>
      </c>
      <c r="C10989" s="16">
        <f>121.13/(1+B2)</f>
        <v>121.13</v>
      </c>
      <c r="D10989" s="17" t="s">
        <v>14</v>
      </c>
      <c r="E10989" s="17" t="s">
        <v>53</v>
      </c>
      <c r="F10989" s="18"/>
      <c r="G10989" s="36" t="str">
        <f>IF(ISNUMBER(F10989),C10989*F10989,"")</f>
        <v/>
      </c>
    </row>
    <row r="10990" spans="1:7" ht="12" customHeight="1" outlineLevel="2" x14ac:dyDescent="0.2">
      <c r="A10990" s="14" t="s">
        <v>21608</v>
      </c>
      <c r="B10990" s="15" t="s">
        <v>21609</v>
      </c>
      <c r="C10990" s="16">
        <f>227.11/(1+B2)</f>
        <v>227.11</v>
      </c>
      <c r="D10990" s="17" t="s">
        <v>11</v>
      </c>
      <c r="E10990" s="17" t="s">
        <v>53</v>
      </c>
      <c r="F10990" s="18"/>
      <c r="G10990" s="36" t="str">
        <f>IF(ISNUMBER(F10990),C10990*F10990,"")</f>
        <v/>
      </c>
    </row>
    <row r="10991" spans="1:7" ht="12" customHeight="1" outlineLevel="2" x14ac:dyDescent="0.2">
      <c r="A10991" s="14" t="s">
        <v>21610</v>
      </c>
      <c r="B10991" s="15" t="s">
        <v>21611</v>
      </c>
      <c r="C10991" s="16">
        <f>229.36/(1+B2)</f>
        <v>229.36</v>
      </c>
      <c r="D10991" s="17" t="s">
        <v>11</v>
      </c>
      <c r="E10991" s="17"/>
      <c r="F10991" s="18"/>
      <c r="G10991" s="36" t="str">
        <f>IF(ISNUMBER(F10991),C10991*F10991,"")</f>
        <v/>
      </c>
    </row>
    <row r="10992" spans="1:7" s="1" customFormat="1" ht="15.95" customHeight="1" outlineLevel="1" x14ac:dyDescent="0.25">
      <c r="A10992" s="11"/>
      <c r="B10992" s="12" t="s">
        <v>21612</v>
      </c>
      <c r="C10992" s="13"/>
      <c r="D10992" s="13"/>
      <c r="E10992" s="13"/>
      <c r="F10992" s="13"/>
      <c r="G10992" s="35"/>
    </row>
    <row r="10993" spans="1:7" ht="12" customHeight="1" outlineLevel="2" x14ac:dyDescent="0.2">
      <c r="A10993" s="14" t="s">
        <v>21613</v>
      </c>
      <c r="B10993" s="15" t="s">
        <v>21614</v>
      </c>
      <c r="C10993" s="16">
        <f>403.2/(1+B2)</f>
        <v>403.2</v>
      </c>
      <c r="D10993" s="17" t="s">
        <v>11</v>
      </c>
      <c r="E10993" s="17"/>
      <c r="F10993" s="18"/>
      <c r="G10993" s="36" t="str">
        <f>IF(ISNUMBER(F10993),C10993*F10993,"")</f>
        <v/>
      </c>
    </row>
    <row r="10994" spans="1:7" s="1" customFormat="1" ht="15.95" customHeight="1" outlineLevel="1" x14ac:dyDescent="0.25">
      <c r="A10994" s="11"/>
      <c r="B10994" s="12" t="s">
        <v>21615</v>
      </c>
      <c r="C10994" s="13"/>
      <c r="D10994" s="13"/>
      <c r="E10994" s="13"/>
      <c r="F10994" s="13"/>
      <c r="G10994" s="35"/>
    </row>
    <row r="10995" spans="1:7" ht="12" customHeight="1" outlineLevel="2" x14ac:dyDescent="0.2">
      <c r="A10995" s="14" t="s">
        <v>21616</v>
      </c>
      <c r="B10995" s="15" t="s">
        <v>21617</v>
      </c>
      <c r="C10995" s="16">
        <f>31.25/(1+B2)</f>
        <v>31.25</v>
      </c>
      <c r="D10995" s="17" t="s">
        <v>14</v>
      </c>
      <c r="E10995" s="17"/>
      <c r="F10995" s="18"/>
      <c r="G10995" s="36" t="str">
        <f>IF(ISNUMBER(F10995),C10995*F10995,"")</f>
        <v/>
      </c>
    </row>
    <row r="10996" spans="1:7" ht="12" customHeight="1" outlineLevel="2" x14ac:dyDescent="0.2">
      <c r="A10996" s="14" t="s">
        <v>21618</v>
      </c>
      <c r="B10996" s="15" t="s">
        <v>21619</v>
      </c>
      <c r="C10996" s="19">
        <f>4011/(1+B2)</f>
        <v>4011</v>
      </c>
      <c r="D10996" s="17" t="s">
        <v>11</v>
      </c>
      <c r="E10996" s="17" t="s">
        <v>11</v>
      </c>
      <c r="F10996" s="18"/>
      <c r="G10996" s="36" t="str">
        <f>IF(ISNUMBER(F10996),C10996*F10996,"")</f>
        <v/>
      </c>
    </row>
    <row r="10997" spans="1:7" ht="12" customHeight="1" outlineLevel="2" x14ac:dyDescent="0.2">
      <c r="A10997" s="14" t="s">
        <v>21620</v>
      </c>
      <c r="B10997" s="15" t="s">
        <v>21621</v>
      </c>
      <c r="C10997" s="16">
        <f>34.9/(1+B2)</f>
        <v>34.9</v>
      </c>
      <c r="D10997" s="17"/>
      <c r="E10997" s="17" t="s">
        <v>53</v>
      </c>
      <c r="F10997" s="18"/>
      <c r="G10997" s="36" t="str">
        <f>IF(ISNUMBER(F10997),C10997*F10997,"")</f>
        <v/>
      </c>
    </row>
    <row r="10998" spans="1:7" ht="12" customHeight="1" outlineLevel="2" x14ac:dyDescent="0.2">
      <c r="A10998" s="14" t="s">
        <v>21622</v>
      </c>
      <c r="B10998" s="15" t="s">
        <v>21623</v>
      </c>
      <c r="C10998" s="16">
        <f>56.34/(1+B2)</f>
        <v>56.34</v>
      </c>
      <c r="D10998" s="17" t="s">
        <v>14</v>
      </c>
      <c r="E10998" s="17"/>
      <c r="F10998" s="18"/>
      <c r="G10998" s="36" t="str">
        <f>IF(ISNUMBER(F10998),C10998*F10998,"")</f>
        <v/>
      </c>
    </row>
    <row r="10999" spans="1:7" ht="12" customHeight="1" outlineLevel="2" x14ac:dyDescent="0.2">
      <c r="A10999" s="14" t="s">
        <v>21624</v>
      </c>
      <c r="B10999" s="15" t="s">
        <v>21625</v>
      </c>
      <c r="C10999" s="16">
        <f>58.38/(1+B2)</f>
        <v>58.38</v>
      </c>
      <c r="D10999" s="17" t="s">
        <v>11</v>
      </c>
      <c r="E10999" s="17"/>
      <c r="F10999" s="18"/>
      <c r="G10999" s="36" t="str">
        <f>IF(ISNUMBER(F10999),C10999*F10999,"")</f>
        <v/>
      </c>
    </row>
    <row r="11000" spans="1:7" ht="12" customHeight="1" outlineLevel="2" x14ac:dyDescent="0.2">
      <c r="A11000" s="14" t="s">
        <v>21626</v>
      </c>
      <c r="B11000" s="15" t="s">
        <v>21627</v>
      </c>
      <c r="C11000" s="16">
        <f>87.53/(1+B2)</f>
        <v>87.53</v>
      </c>
      <c r="D11000" s="17" t="s">
        <v>53</v>
      </c>
      <c r="E11000" s="17" t="s">
        <v>11</v>
      </c>
      <c r="F11000" s="18"/>
      <c r="G11000" s="36" t="str">
        <f>IF(ISNUMBER(F11000),C11000*F11000,"")</f>
        <v/>
      </c>
    </row>
    <row r="11001" spans="1:7" ht="12" customHeight="1" outlineLevel="2" x14ac:dyDescent="0.2">
      <c r="A11001" s="14" t="s">
        <v>21628</v>
      </c>
      <c r="B11001" s="15" t="s">
        <v>21629</v>
      </c>
      <c r="C11001" s="16">
        <f>68.9/(1+B2)</f>
        <v>68.900000000000006</v>
      </c>
      <c r="D11001" s="17" t="s">
        <v>14</v>
      </c>
      <c r="E11001" s="17" t="s">
        <v>106</v>
      </c>
      <c r="F11001" s="18"/>
      <c r="G11001" s="36" t="str">
        <f>IF(ISNUMBER(F11001),C11001*F11001,"")</f>
        <v/>
      </c>
    </row>
    <row r="11002" spans="1:7" ht="12" customHeight="1" outlineLevel="2" x14ac:dyDescent="0.2">
      <c r="A11002" s="14" t="s">
        <v>21630</v>
      </c>
      <c r="B11002" s="15" t="s">
        <v>21631</v>
      </c>
      <c r="C11002" s="16">
        <f>155.75/(1+B2)</f>
        <v>155.75</v>
      </c>
      <c r="D11002" s="17" t="s">
        <v>11</v>
      </c>
      <c r="E11002" s="17"/>
      <c r="F11002" s="18"/>
      <c r="G11002" s="36" t="str">
        <f>IF(ISNUMBER(F11002),C11002*F11002,"")</f>
        <v/>
      </c>
    </row>
    <row r="11003" spans="1:7" ht="12" customHeight="1" outlineLevel="2" x14ac:dyDescent="0.2">
      <c r="A11003" s="14" t="s">
        <v>21632</v>
      </c>
      <c r="B11003" s="15" t="s">
        <v>21633</v>
      </c>
      <c r="C11003" s="16">
        <f>14.4/(1+B2)</f>
        <v>14.4</v>
      </c>
      <c r="D11003" s="17" t="s">
        <v>11</v>
      </c>
      <c r="E11003" s="17"/>
      <c r="F11003" s="18"/>
      <c r="G11003" s="36" t="str">
        <f>IF(ISNUMBER(F11003),C11003*F11003,"")</f>
        <v/>
      </c>
    </row>
    <row r="11004" spans="1:7" ht="12" customHeight="1" outlineLevel="2" x14ac:dyDescent="0.2">
      <c r="A11004" s="14" t="s">
        <v>21634</v>
      </c>
      <c r="B11004" s="15" t="s">
        <v>21635</v>
      </c>
      <c r="C11004" s="16">
        <f>28.1/(1+B2)</f>
        <v>28.1</v>
      </c>
      <c r="D11004" s="17" t="s">
        <v>53</v>
      </c>
      <c r="E11004" s="17" t="s">
        <v>14</v>
      </c>
      <c r="F11004" s="18"/>
      <c r="G11004" s="36" t="str">
        <f>IF(ISNUMBER(F11004),C11004*F11004,"")</f>
        <v/>
      </c>
    </row>
    <row r="11005" spans="1:7" ht="12" customHeight="1" outlineLevel="2" x14ac:dyDescent="0.2">
      <c r="A11005" s="14" t="s">
        <v>21636</v>
      </c>
      <c r="B11005" s="15" t="s">
        <v>21637</v>
      </c>
      <c r="C11005" s="16">
        <f>13.37/(1+B2)</f>
        <v>13.37</v>
      </c>
      <c r="D11005" s="17" t="s">
        <v>11</v>
      </c>
      <c r="E11005" s="17"/>
      <c r="F11005" s="18"/>
      <c r="G11005" s="36" t="str">
        <f>IF(ISNUMBER(F11005),C11005*F11005,"")</f>
        <v/>
      </c>
    </row>
    <row r="11006" spans="1:7" ht="12" customHeight="1" outlineLevel="2" x14ac:dyDescent="0.2">
      <c r="A11006" s="14" t="s">
        <v>21638</v>
      </c>
      <c r="B11006" s="15" t="s">
        <v>21639</v>
      </c>
      <c r="C11006" s="16">
        <f>33.2/(1+B2)</f>
        <v>33.200000000000003</v>
      </c>
      <c r="D11006" s="17"/>
      <c r="E11006" s="17" t="s">
        <v>53</v>
      </c>
      <c r="F11006" s="18"/>
      <c r="G11006" s="36" t="str">
        <f>IF(ISNUMBER(F11006),C11006*F11006,"")</f>
        <v/>
      </c>
    </row>
    <row r="11007" spans="1:7" ht="12" customHeight="1" outlineLevel="2" x14ac:dyDescent="0.2">
      <c r="A11007" s="14" t="s">
        <v>21640</v>
      </c>
      <c r="B11007" s="15" t="s">
        <v>21641</v>
      </c>
      <c r="C11007" s="16">
        <f>32.82/(1+B2)</f>
        <v>32.82</v>
      </c>
      <c r="D11007" s="17" t="s">
        <v>11</v>
      </c>
      <c r="E11007" s="17"/>
      <c r="F11007" s="18"/>
      <c r="G11007" s="36" t="str">
        <f>IF(ISNUMBER(F11007),C11007*F11007,"")</f>
        <v/>
      </c>
    </row>
    <row r="11008" spans="1:7" ht="12" customHeight="1" outlineLevel="2" x14ac:dyDescent="0.2">
      <c r="A11008" s="14" t="s">
        <v>21642</v>
      </c>
      <c r="B11008" s="15" t="s">
        <v>21643</v>
      </c>
      <c r="C11008" s="16">
        <f>46.17/(1+B2)</f>
        <v>46.17</v>
      </c>
      <c r="D11008" s="17" t="s">
        <v>11</v>
      </c>
      <c r="E11008" s="17" t="s">
        <v>53</v>
      </c>
      <c r="F11008" s="18"/>
      <c r="G11008" s="36" t="str">
        <f>IF(ISNUMBER(F11008),C11008*F11008,"")</f>
        <v/>
      </c>
    </row>
    <row r="11009" spans="1:7" ht="12" customHeight="1" outlineLevel="2" x14ac:dyDescent="0.2">
      <c r="A11009" s="14" t="s">
        <v>21644</v>
      </c>
      <c r="B11009" s="15" t="s">
        <v>21645</v>
      </c>
      <c r="C11009" s="16">
        <f>50/(1+B2)</f>
        <v>50</v>
      </c>
      <c r="D11009" s="17" t="s">
        <v>11</v>
      </c>
      <c r="E11009" s="17" t="s">
        <v>106</v>
      </c>
      <c r="F11009" s="18"/>
      <c r="G11009" s="36" t="str">
        <f>IF(ISNUMBER(F11009),C11009*F11009,"")</f>
        <v/>
      </c>
    </row>
    <row r="11010" spans="1:7" ht="12" customHeight="1" outlineLevel="2" x14ac:dyDescent="0.2">
      <c r="A11010" s="14" t="s">
        <v>21646</v>
      </c>
      <c r="B11010" s="15" t="s">
        <v>21647</v>
      </c>
      <c r="C11010" s="16">
        <f>43/(1+B2)</f>
        <v>43</v>
      </c>
      <c r="D11010" s="17" t="s">
        <v>53</v>
      </c>
      <c r="E11010" s="17"/>
      <c r="F11010" s="18"/>
      <c r="G11010" s="36" t="str">
        <f>IF(ISNUMBER(F11010),C11010*F11010,"")</f>
        <v/>
      </c>
    </row>
    <row r="11011" spans="1:7" ht="12" customHeight="1" outlineLevel="2" x14ac:dyDescent="0.2">
      <c r="A11011" s="14" t="s">
        <v>21648</v>
      </c>
      <c r="B11011" s="15" t="s">
        <v>21649</v>
      </c>
      <c r="C11011" s="16">
        <f>44.71/(1+B2)</f>
        <v>44.71</v>
      </c>
      <c r="D11011" s="17" t="s">
        <v>11</v>
      </c>
      <c r="E11011" s="17" t="s">
        <v>14</v>
      </c>
      <c r="F11011" s="18"/>
      <c r="G11011" s="36" t="str">
        <f>IF(ISNUMBER(F11011),C11011*F11011,"")</f>
        <v/>
      </c>
    </row>
    <row r="11012" spans="1:7" ht="12" customHeight="1" outlineLevel="2" x14ac:dyDescent="0.2">
      <c r="A11012" s="14" t="s">
        <v>21650</v>
      </c>
      <c r="B11012" s="15" t="s">
        <v>21651</v>
      </c>
      <c r="C11012" s="16">
        <f>76/(1+B2)</f>
        <v>76</v>
      </c>
      <c r="D11012" s="17" t="s">
        <v>14</v>
      </c>
      <c r="E11012" s="17"/>
      <c r="F11012" s="18"/>
      <c r="G11012" s="36" t="str">
        <f>IF(ISNUMBER(F11012),C11012*F11012,"")</f>
        <v/>
      </c>
    </row>
    <row r="11013" spans="1:7" ht="12" customHeight="1" outlineLevel="2" x14ac:dyDescent="0.2">
      <c r="A11013" s="14" t="s">
        <v>21652</v>
      </c>
      <c r="B11013" s="15" t="s">
        <v>21653</v>
      </c>
      <c r="C11013" s="16">
        <f>75.76/(1+B2)</f>
        <v>75.760000000000005</v>
      </c>
      <c r="D11013" s="17" t="s">
        <v>11</v>
      </c>
      <c r="E11013" s="17"/>
      <c r="F11013" s="18"/>
      <c r="G11013" s="36" t="str">
        <f>IF(ISNUMBER(F11013),C11013*F11013,"")</f>
        <v/>
      </c>
    </row>
    <row r="11014" spans="1:7" ht="12" customHeight="1" outlineLevel="2" x14ac:dyDescent="0.2">
      <c r="A11014" s="14" t="s">
        <v>21654</v>
      </c>
      <c r="B11014" s="15" t="s">
        <v>21655</v>
      </c>
      <c r="C11014" s="16">
        <f>71.47/(1+B2)</f>
        <v>71.47</v>
      </c>
      <c r="D11014" s="17" t="s">
        <v>11</v>
      </c>
      <c r="E11014" s="17" t="s">
        <v>14</v>
      </c>
      <c r="F11014" s="18"/>
      <c r="G11014" s="36" t="str">
        <f>IF(ISNUMBER(F11014),C11014*F11014,"")</f>
        <v/>
      </c>
    </row>
    <row r="11015" spans="1:7" s="1" customFormat="1" ht="15.95" customHeight="1" outlineLevel="1" x14ac:dyDescent="0.25">
      <c r="A11015" s="11"/>
      <c r="B11015" s="12" t="s">
        <v>21656</v>
      </c>
      <c r="C11015" s="13"/>
      <c r="D11015" s="13"/>
      <c r="E11015" s="13"/>
      <c r="F11015" s="13"/>
      <c r="G11015" s="35"/>
    </row>
    <row r="11016" spans="1:7" ht="12" customHeight="1" outlineLevel="2" x14ac:dyDescent="0.2">
      <c r="A11016" s="14" t="s">
        <v>21657</v>
      </c>
      <c r="B11016" s="15" t="s">
        <v>21658</v>
      </c>
      <c r="C11016" s="19">
        <f>1500/(1+B2)</f>
        <v>1500</v>
      </c>
      <c r="D11016" s="17" t="s">
        <v>11</v>
      </c>
      <c r="E11016" s="17" t="s">
        <v>53</v>
      </c>
      <c r="F11016" s="18"/>
      <c r="G11016" s="36" t="str">
        <f>IF(ISNUMBER(F11016),C11016*F11016,"")</f>
        <v/>
      </c>
    </row>
    <row r="11017" spans="1:7" ht="12" customHeight="1" outlineLevel="2" x14ac:dyDescent="0.2">
      <c r="A11017" s="14" t="s">
        <v>21659</v>
      </c>
      <c r="B11017" s="15" t="s">
        <v>21660</v>
      </c>
      <c r="C11017" s="19">
        <f>1500/(1+B2)</f>
        <v>1500</v>
      </c>
      <c r="D11017" s="17" t="s">
        <v>11</v>
      </c>
      <c r="E11017" s="17" t="s">
        <v>11</v>
      </c>
      <c r="F11017" s="18"/>
      <c r="G11017" s="36" t="str">
        <f>IF(ISNUMBER(F11017),C11017*F11017,"")</f>
        <v/>
      </c>
    </row>
    <row r="11018" spans="1:7" ht="12" customHeight="1" outlineLevel="2" x14ac:dyDescent="0.2">
      <c r="A11018" s="14" t="s">
        <v>21661</v>
      </c>
      <c r="B11018" s="15" t="s">
        <v>21662</v>
      </c>
      <c r="C11018" s="19">
        <f>1783.93/(1+B2)</f>
        <v>1783.93</v>
      </c>
      <c r="D11018" s="17" t="s">
        <v>11</v>
      </c>
      <c r="E11018" s="17"/>
      <c r="F11018" s="18"/>
      <c r="G11018" s="36" t="str">
        <f>IF(ISNUMBER(F11018),C11018*F11018,"")</f>
        <v/>
      </c>
    </row>
    <row r="11019" spans="1:7" ht="12" customHeight="1" outlineLevel="2" x14ac:dyDescent="0.2">
      <c r="A11019" s="14" t="s">
        <v>21663</v>
      </c>
      <c r="B11019" s="15" t="s">
        <v>21664</v>
      </c>
      <c r="C11019" s="19">
        <f>1702.88/(1+B2)</f>
        <v>1702.88</v>
      </c>
      <c r="D11019" s="17" t="s">
        <v>11</v>
      </c>
      <c r="E11019" s="17" t="s">
        <v>11</v>
      </c>
      <c r="F11019" s="18"/>
      <c r="G11019" s="36" t="str">
        <f>IF(ISNUMBER(F11019),C11019*F11019,"")</f>
        <v/>
      </c>
    </row>
    <row r="11020" spans="1:7" ht="12" customHeight="1" outlineLevel="2" x14ac:dyDescent="0.2">
      <c r="A11020" s="14" t="s">
        <v>21665</v>
      </c>
      <c r="B11020" s="15" t="s">
        <v>21666</v>
      </c>
      <c r="C11020" s="19">
        <f>1783.93/(1+B2)</f>
        <v>1783.93</v>
      </c>
      <c r="D11020" s="17" t="s">
        <v>11</v>
      </c>
      <c r="E11020" s="17" t="s">
        <v>14</v>
      </c>
      <c r="F11020" s="18"/>
      <c r="G11020" s="36" t="str">
        <f>IF(ISNUMBER(F11020),C11020*F11020,"")</f>
        <v/>
      </c>
    </row>
    <row r="11021" spans="1:7" ht="12" customHeight="1" outlineLevel="2" x14ac:dyDescent="0.2">
      <c r="A11021" s="14" t="s">
        <v>21667</v>
      </c>
      <c r="B11021" s="15" t="s">
        <v>21668</v>
      </c>
      <c r="C11021" s="19">
        <f>1702.88/(1+B2)</f>
        <v>1702.88</v>
      </c>
      <c r="D11021" s="17"/>
      <c r="E11021" s="17" t="s">
        <v>11</v>
      </c>
      <c r="F11021" s="18"/>
      <c r="G11021" s="36" t="str">
        <f>IF(ISNUMBER(F11021),C11021*F11021,"")</f>
        <v/>
      </c>
    </row>
    <row r="11022" spans="1:7" ht="12" customHeight="1" outlineLevel="2" x14ac:dyDescent="0.2">
      <c r="A11022" s="14" t="s">
        <v>21669</v>
      </c>
      <c r="B11022" s="15" t="s">
        <v>21670</v>
      </c>
      <c r="C11022" s="19">
        <f>4211.76/(1+B2)</f>
        <v>4211.76</v>
      </c>
      <c r="D11022" s="17" t="s">
        <v>11</v>
      </c>
      <c r="E11022" s="17" t="s">
        <v>11</v>
      </c>
      <c r="F11022" s="18"/>
      <c r="G11022" s="36" t="str">
        <f>IF(ISNUMBER(F11022),C11022*F11022,"")</f>
        <v/>
      </c>
    </row>
    <row r="11023" spans="1:7" ht="12" customHeight="1" outlineLevel="2" x14ac:dyDescent="0.2">
      <c r="A11023" s="14" t="s">
        <v>21671</v>
      </c>
      <c r="B11023" s="15" t="s">
        <v>21672</v>
      </c>
      <c r="C11023" s="19">
        <f>1422/(1+B2)</f>
        <v>1422</v>
      </c>
      <c r="D11023" s="17" t="s">
        <v>11</v>
      </c>
      <c r="E11023" s="17" t="s">
        <v>11</v>
      </c>
      <c r="F11023" s="18"/>
      <c r="G11023" s="36" t="str">
        <f>IF(ISNUMBER(F11023),C11023*F11023,"")</f>
        <v/>
      </c>
    </row>
    <row r="11024" spans="1:7" ht="12" customHeight="1" outlineLevel="2" x14ac:dyDescent="0.2">
      <c r="A11024" s="14" t="s">
        <v>21673</v>
      </c>
      <c r="B11024" s="15" t="s">
        <v>21674</v>
      </c>
      <c r="C11024" s="19">
        <f>1305.9/(1+B2)</f>
        <v>1305.9000000000001</v>
      </c>
      <c r="D11024" s="17" t="s">
        <v>11</v>
      </c>
      <c r="E11024" s="17" t="s">
        <v>11</v>
      </c>
      <c r="F11024" s="18"/>
      <c r="G11024" s="36" t="str">
        <f>IF(ISNUMBER(F11024),C11024*F11024,"")</f>
        <v/>
      </c>
    </row>
    <row r="11025" spans="1:7" ht="12" customHeight="1" outlineLevel="2" x14ac:dyDescent="0.2">
      <c r="A11025" s="14" t="s">
        <v>21675</v>
      </c>
      <c r="B11025" s="15" t="s">
        <v>21676</v>
      </c>
      <c r="C11025" s="19">
        <f>1440.14/(1+B2)</f>
        <v>1440.14</v>
      </c>
      <c r="D11025" s="17" t="s">
        <v>11</v>
      </c>
      <c r="E11025" s="17" t="s">
        <v>11</v>
      </c>
      <c r="F11025" s="18"/>
      <c r="G11025" s="36" t="str">
        <f>IF(ISNUMBER(F11025),C11025*F11025,"")</f>
        <v/>
      </c>
    </row>
    <row r="11026" spans="1:7" ht="12" customHeight="1" outlineLevel="2" x14ac:dyDescent="0.2">
      <c r="A11026" s="14" t="s">
        <v>21677</v>
      </c>
      <c r="B11026" s="15" t="s">
        <v>21678</v>
      </c>
      <c r="C11026" s="19">
        <f>1641.41/(1+B2)</f>
        <v>1641.41</v>
      </c>
      <c r="D11026" s="17" t="s">
        <v>11</v>
      </c>
      <c r="E11026" s="17" t="s">
        <v>106</v>
      </c>
      <c r="F11026" s="18"/>
      <c r="G11026" s="36" t="str">
        <f>IF(ISNUMBER(F11026),C11026*F11026,"")</f>
        <v/>
      </c>
    </row>
    <row r="11027" spans="1:7" ht="12" customHeight="1" outlineLevel="2" x14ac:dyDescent="0.2">
      <c r="A11027" s="14" t="s">
        <v>21679</v>
      </c>
      <c r="B11027" s="15" t="s">
        <v>21680</v>
      </c>
      <c r="C11027" s="19">
        <f>1443.3/(1+B2)</f>
        <v>1443.3</v>
      </c>
      <c r="D11027" s="17" t="s">
        <v>11</v>
      </c>
      <c r="E11027" s="17" t="s">
        <v>53</v>
      </c>
      <c r="F11027" s="18"/>
      <c r="G11027" s="36" t="str">
        <f>IF(ISNUMBER(F11027),C11027*F11027,"")</f>
        <v/>
      </c>
    </row>
    <row r="11028" spans="1:7" ht="12" customHeight="1" outlineLevel="2" x14ac:dyDescent="0.2">
      <c r="A11028" s="14" t="s">
        <v>21681</v>
      </c>
      <c r="B11028" s="15" t="s">
        <v>21682</v>
      </c>
      <c r="C11028" s="19">
        <f>1641.41/(1+B2)</f>
        <v>1641.41</v>
      </c>
      <c r="D11028" s="17" t="s">
        <v>11</v>
      </c>
      <c r="E11028" s="17" t="s">
        <v>14</v>
      </c>
      <c r="F11028" s="18"/>
      <c r="G11028" s="36" t="str">
        <f>IF(ISNUMBER(F11028),C11028*F11028,"")</f>
        <v/>
      </c>
    </row>
    <row r="11029" spans="1:7" ht="12" customHeight="1" outlineLevel="2" x14ac:dyDescent="0.2">
      <c r="A11029" s="14" t="s">
        <v>21683</v>
      </c>
      <c r="B11029" s="15" t="s">
        <v>21684</v>
      </c>
      <c r="C11029" s="19">
        <f>2769.85/(1+B2)</f>
        <v>2769.85</v>
      </c>
      <c r="D11029" s="17" t="s">
        <v>11</v>
      </c>
      <c r="E11029" s="17" t="s">
        <v>14</v>
      </c>
      <c r="F11029" s="18"/>
      <c r="G11029" s="36" t="str">
        <f>IF(ISNUMBER(F11029),C11029*F11029,"")</f>
        <v/>
      </c>
    </row>
    <row r="11030" spans="1:7" ht="12" customHeight="1" outlineLevel="2" x14ac:dyDescent="0.2">
      <c r="A11030" s="14" t="s">
        <v>21685</v>
      </c>
      <c r="B11030" s="15" t="s">
        <v>21686</v>
      </c>
      <c r="C11030" s="19">
        <f>1379.58/(1+B2)</f>
        <v>1379.58</v>
      </c>
      <c r="D11030" s="17" t="s">
        <v>11</v>
      </c>
      <c r="E11030" s="17" t="s">
        <v>11</v>
      </c>
      <c r="F11030" s="18"/>
      <c r="G11030" s="36" t="str">
        <f>IF(ISNUMBER(F11030),C11030*F11030,"")</f>
        <v/>
      </c>
    </row>
    <row r="11031" spans="1:7" ht="12" customHeight="1" outlineLevel="2" x14ac:dyDescent="0.2">
      <c r="A11031" s="14" t="s">
        <v>21687</v>
      </c>
      <c r="B11031" s="15" t="s">
        <v>21688</v>
      </c>
      <c r="C11031" s="19">
        <f>1379.58/(1+B2)</f>
        <v>1379.58</v>
      </c>
      <c r="D11031" s="17" t="s">
        <v>11</v>
      </c>
      <c r="E11031" s="17" t="s">
        <v>11</v>
      </c>
      <c r="F11031" s="18"/>
      <c r="G11031" s="36" t="str">
        <f>IF(ISNUMBER(F11031),C11031*F11031,"")</f>
        <v/>
      </c>
    </row>
    <row r="11032" spans="1:7" ht="12" customHeight="1" outlineLevel="2" x14ac:dyDescent="0.2">
      <c r="A11032" s="14" t="s">
        <v>21689</v>
      </c>
      <c r="B11032" s="15" t="s">
        <v>21690</v>
      </c>
      <c r="C11032" s="19">
        <f>1379.58/(1+B2)</f>
        <v>1379.58</v>
      </c>
      <c r="D11032" s="17" t="s">
        <v>11</v>
      </c>
      <c r="E11032" s="17" t="s">
        <v>11</v>
      </c>
      <c r="F11032" s="18"/>
      <c r="G11032" s="36" t="str">
        <f>IF(ISNUMBER(F11032),C11032*F11032,"")</f>
        <v/>
      </c>
    </row>
    <row r="11033" spans="1:7" ht="12" customHeight="1" outlineLevel="2" x14ac:dyDescent="0.2">
      <c r="A11033" s="14" t="s">
        <v>21691</v>
      </c>
      <c r="B11033" s="15" t="s">
        <v>21692</v>
      </c>
      <c r="C11033" s="16">
        <f>59.48/(1+B2)</f>
        <v>59.48</v>
      </c>
      <c r="D11033" s="17" t="s">
        <v>53</v>
      </c>
      <c r="E11033" s="17" t="s">
        <v>106</v>
      </c>
      <c r="F11033" s="18"/>
      <c r="G11033" s="36" t="str">
        <f>IF(ISNUMBER(F11033),C11033*F11033,"")</f>
        <v/>
      </c>
    </row>
    <row r="11034" spans="1:7" s="1" customFormat="1" ht="15.95" customHeight="1" outlineLevel="1" x14ac:dyDescent="0.25">
      <c r="A11034" s="11"/>
      <c r="B11034" s="12" t="s">
        <v>21693</v>
      </c>
      <c r="C11034" s="13"/>
      <c r="D11034" s="13"/>
      <c r="E11034" s="13"/>
      <c r="F11034" s="13"/>
      <c r="G11034" s="35"/>
    </row>
    <row r="11035" spans="1:7" ht="12" customHeight="1" outlineLevel="2" x14ac:dyDescent="0.2">
      <c r="A11035" s="14" t="s">
        <v>21694</v>
      </c>
      <c r="B11035" s="15" t="s">
        <v>21695</v>
      </c>
      <c r="C11035" s="16">
        <f>298.11/(1+B2)</f>
        <v>298.11</v>
      </c>
      <c r="D11035" s="17" t="s">
        <v>11</v>
      </c>
      <c r="E11035" s="17"/>
      <c r="F11035" s="18"/>
      <c r="G11035" s="36" t="str">
        <f>IF(ISNUMBER(F11035),C11035*F11035,"")</f>
        <v/>
      </c>
    </row>
    <row r="11036" spans="1:7" ht="12" customHeight="1" outlineLevel="2" x14ac:dyDescent="0.2">
      <c r="A11036" s="14" t="s">
        <v>21696</v>
      </c>
      <c r="B11036" s="15" t="s">
        <v>21697</v>
      </c>
      <c r="C11036" s="16">
        <f>170.21/(1+B2)</f>
        <v>170.21</v>
      </c>
      <c r="D11036" s="17" t="s">
        <v>11</v>
      </c>
      <c r="E11036" s="17"/>
      <c r="F11036" s="18"/>
      <c r="G11036" s="36" t="str">
        <f>IF(ISNUMBER(F11036),C11036*F11036,"")</f>
        <v/>
      </c>
    </row>
    <row r="11037" spans="1:7" ht="12" customHeight="1" outlineLevel="2" x14ac:dyDescent="0.2">
      <c r="A11037" s="14" t="s">
        <v>21698</v>
      </c>
      <c r="B11037" s="15" t="s">
        <v>21699</v>
      </c>
      <c r="C11037" s="16">
        <f>156.6/(1+B2)</f>
        <v>156.6</v>
      </c>
      <c r="D11037" s="17" t="s">
        <v>11</v>
      </c>
      <c r="E11037" s="17"/>
      <c r="F11037" s="18"/>
      <c r="G11037" s="36" t="str">
        <f>IF(ISNUMBER(F11037),C11037*F11037,"")</f>
        <v/>
      </c>
    </row>
    <row r="11038" spans="1:7" ht="12" customHeight="1" outlineLevel="2" x14ac:dyDescent="0.2">
      <c r="A11038" s="14" t="s">
        <v>21700</v>
      </c>
      <c r="B11038" s="15" t="s">
        <v>21701</v>
      </c>
      <c r="C11038" s="16">
        <f>198.34/(1+B2)</f>
        <v>198.34</v>
      </c>
      <c r="D11038" s="17" t="s">
        <v>11</v>
      </c>
      <c r="E11038" s="17"/>
      <c r="F11038" s="18"/>
      <c r="G11038" s="36" t="str">
        <f>IF(ISNUMBER(F11038),C11038*F11038,"")</f>
        <v/>
      </c>
    </row>
    <row r="11039" spans="1:7" ht="12" customHeight="1" outlineLevel="2" x14ac:dyDescent="0.2">
      <c r="A11039" s="14" t="s">
        <v>21702</v>
      </c>
      <c r="B11039" s="15" t="s">
        <v>21703</v>
      </c>
      <c r="C11039" s="16">
        <f>184.36/(1+B2)</f>
        <v>184.36</v>
      </c>
      <c r="D11039" s="17" t="s">
        <v>11</v>
      </c>
      <c r="E11039" s="17"/>
      <c r="F11039" s="18"/>
      <c r="G11039" s="36" t="str">
        <f>IF(ISNUMBER(F11039),C11039*F11039,"")</f>
        <v/>
      </c>
    </row>
    <row r="11040" spans="1:7" ht="12" customHeight="1" outlineLevel="2" x14ac:dyDescent="0.2">
      <c r="A11040" s="14" t="s">
        <v>21704</v>
      </c>
      <c r="B11040" s="15" t="s">
        <v>21705</v>
      </c>
      <c r="C11040" s="16">
        <f>136.86/(1+B2)</f>
        <v>136.86000000000001</v>
      </c>
      <c r="D11040" s="17" t="s">
        <v>11</v>
      </c>
      <c r="E11040" s="17"/>
      <c r="F11040" s="18"/>
      <c r="G11040" s="36" t="str">
        <f>IF(ISNUMBER(F11040),C11040*F11040,"")</f>
        <v/>
      </c>
    </row>
    <row r="11041" spans="1:7" ht="12" customHeight="1" outlineLevel="2" x14ac:dyDescent="0.2">
      <c r="A11041" s="14" t="s">
        <v>21706</v>
      </c>
      <c r="B11041" s="15" t="s">
        <v>21707</v>
      </c>
      <c r="C11041" s="16">
        <f>144.31/(1+B2)</f>
        <v>144.31</v>
      </c>
      <c r="D11041" s="17" t="s">
        <v>11</v>
      </c>
      <c r="E11041" s="17"/>
      <c r="F11041" s="18"/>
      <c r="G11041" s="36" t="str">
        <f>IF(ISNUMBER(F11041),C11041*F11041,"")</f>
        <v/>
      </c>
    </row>
    <row r="11042" spans="1:7" ht="12" customHeight="1" outlineLevel="2" x14ac:dyDescent="0.2">
      <c r="A11042" s="14" t="s">
        <v>21708</v>
      </c>
      <c r="B11042" s="15" t="s">
        <v>21709</v>
      </c>
      <c r="C11042" s="16">
        <f>144.31/(1+B2)</f>
        <v>144.31</v>
      </c>
      <c r="D11042" s="17" t="s">
        <v>11</v>
      </c>
      <c r="E11042" s="17"/>
      <c r="F11042" s="18"/>
      <c r="G11042" s="36" t="str">
        <f>IF(ISNUMBER(F11042),C11042*F11042,"")</f>
        <v/>
      </c>
    </row>
    <row r="11043" spans="1:7" ht="12" customHeight="1" outlineLevel="2" x14ac:dyDescent="0.2">
      <c r="A11043" s="14" t="s">
        <v>21710</v>
      </c>
      <c r="B11043" s="15" t="s">
        <v>21711</v>
      </c>
      <c r="C11043" s="16">
        <f>144.31/(1+B2)</f>
        <v>144.31</v>
      </c>
      <c r="D11043" s="17" t="s">
        <v>11</v>
      </c>
      <c r="E11043" s="17"/>
      <c r="F11043" s="18"/>
      <c r="G11043" s="36" t="str">
        <f>IF(ISNUMBER(F11043),C11043*F11043,"")</f>
        <v/>
      </c>
    </row>
    <row r="11044" spans="1:7" ht="24" customHeight="1" outlineLevel="2" x14ac:dyDescent="0.2">
      <c r="A11044" s="14" t="s">
        <v>21712</v>
      </c>
      <c r="B11044" s="15" t="s">
        <v>21713</v>
      </c>
      <c r="C11044" s="16">
        <f>47.75/(1+B2)</f>
        <v>47.75</v>
      </c>
      <c r="D11044" s="17" t="s">
        <v>11</v>
      </c>
      <c r="E11044" s="17"/>
      <c r="F11044" s="18"/>
      <c r="G11044" s="36" t="str">
        <f>IF(ISNUMBER(F11044),C11044*F11044,"")</f>
        <v/>
      </c>
    </row>
    <row r="11045" spans="1:7" ht="12" customHeight="1" outlineLevel="2" x14ac:dyDescent="0.2">
      <c r="A11045" s="14" t="s">
        <v>21714</v>
      </c>
      <c r="B11045" s="15" t="s">
        <v>21715</v>
      </c>
      <c r="C11045" s="16">
        <f>127.26/(1+B2)</f>
        <v>127.26</v>
      </c>
      <c r="D11045" s="17" t="s">
        <v>11</v>
      </c>
      <c r="E11045" s="17"/>
      <c r="F11045" s="18"/>
      <c r="G11045" s="36" t="str">
        <f>IF(ISNUMBER(F11045),C11045*F11045,"")</f>
        <v/>
      </c>
    </row>
    <row r="11046" spans="1:7" ht="12" customHeight="1" outlineLevel="2" x14ac:dyDescent="0.2">
      <c r="A11046" s="14" t="s">
        <v>21716</v>
      </c>
      <c r="B11046" s="15" t="s">
        <v>21717</v>
      </c>
      <c r="C11046" s="16">
        <f>209.32/(1+B2)</f>
        <v>209.32</v>
      </c>
      <c r="D11046" s="17" t="s">
        <v>14</v>
      </c>
      <c r="E11046" s="17"/>
      <c r="F11046" s="18"/>
      <c r="G11046" s="36" t="str">
        <f>IF(ISNUMBER(F11046),C11046*F11046,"")</f>
        <v/>
      </c>
    </row>
    <row r="11047" spans="1:7" ht="12" customHeight="1" outlineLevel="2" x14ac:dyDescent="0.2">
      <c r="A11047" s="14" t="s">
        <v>21718</v>
      </c>
      <c r="B11047" s="15" t="s">
        <v>21719</v>
      </c>
      <c r="C11047" s="16">
        <f>206.51/(1+B2)</f>
        <v>206.51</v>
      </c>
      <c r="D11047" s="17" t="s">
        <v>11</v>
      </c>
      <c r="E11047" s="17"/>
      <c r="F11047" s="18"/>
      <c r="G11047" s="36" t="str">
        <f>IF(ISNUMBER(F11047),C11047*F11047,"")</f>
        <v/>
      </c>
    </row>
    <row r="11048" spans="1:7" ht="12" customHeight="1" outlineLevel="2" x14ac:dyDescent="0.2">
      <c r="A11048" s="14" t="s">
        <v>21720</v>
      </c>
      <c r="B11048" s="15" t="s">
        <v>21721</v>
      </c>
      <c r="C11048" s="16">
        <f>206.51/(1+B2)</f>
        <v>206.51</v>
      </c>
      <c r="D11048" s="17" t="s">
        <v>11</v>
      </c>
      <c r="E11048" s="17"/>
      <c r="F11048" s="18"/>
      <c r="G11048" s="36" t="str">
        <f>IF(ISNUMBER(F11048),C11048*F11048,"")</f>
        <v/>
      </c>
    </row>
    <row r="11049" spans="1:7" ht="12" customHeight="1" outlineLevel="2" x14ac:dyDescent="0.2">
      <c r="A11049" s="14" t="s">
        <v>21722</v>
      </c>
      <c r="B11049" s="15" t="s">
        <v>21723</v>
      </c>
      <c r="C11049" s="16">
        <f>206.51/(1+B2)</f>
        <v>206.51</v>
      </c>
      <c r="D11049" s="17" t="s">
        <v>11</v>
      </c>
      <c r="E11049" s="17"/>
      <c r="F11049" s="18"/>
      <c r="G11049" s="36" t="str">
        <f>IF(ISNUMBER(F11049),C11049*F11049,"")</f>
        <v/>
      </c>
    </row>
    <row r="11050" spans="1:7" ht="12" customHeight="1" outlineLevel="2" x14ac:dyDescent="0.2">
      <c r="A11050" s="14" t="s">
        <v>21724</v>
      </c>
      <c r="B11050" s="15" t="s">
        <v>21725</v>
      </c>
      <c r="C11050" s="16">
        <f>55.41/(1+B2)</f>
        <v>55.41</v>
      </c>
      <c r="D11050" s="17" t="s">
        <v>11</v>
      </c>
      <c r="E11050" s="17"/>
      <c r="F11050" s="18"/>
      <c r="G11050" s="36" t="str">
        <f>IF(ISNUMBER(F11050),C11050*F11050,"")</f>
        <v/>
      </c>
    </row>
    <row r="11051" spans="1:7" ht="12" customHeight="1" outlineLevel="2" x14ac:dyDescent="0.2">
      <c r="A11051" s="14" t="s">
        <v>21726</v>
      </c>
      <c r="B11051" s="15" t="s">
        <v>21727</v>
      </c>
      <c r="C11051" s="16">
        <f>157.77/(1+B2)</f>
        <v>157.77000000000001</v>
      </c>
      <c r="D11051" s="17" t="s">
        <v>53</v>
      </c>
      <c r="E11051" s="17"/>
      <c r="F11051" s="18"/>
      <c r="G11051" s="36" t="str">
        <f>IF(ISNUMBER(F11051),C11051*F11051,"")</f>
        <v/>
      </c>
    </row>
    <row r="11052" spans="1:7" ht="12" customHeight="1" outlineLevel="2" x14ac:dyDescent="0.2">
      <c r="A11052" s="14" t="s">
        <v>21728</v>
      </c>
      <c r="B11052" s="15" t="s">
        <v>21729</v>
      </c>
      <c r="C11052" s="16">
        <f>16.9/(1+B2)</f>
        <v>16.899999999999999</v>
      </c>
      <c r="D11052" s="17" t="s">
        <v>11</v>
      </c>
      <c r="E11052" s="17"/>
      <c r="F11052" s="18"/>
      <c r="G11052" s="36" t="str">
        <f>IF(ISNUMBER(F11052),C11052*F11052,"")</f>
        <v/>
      </c>
    </row>
    <row r="11053" spans="1:7" ht="12" customHeight="1" outlineLevel="2" x14ac:dyDescent="0.2">
      <c r="A11053" s="14" t="s">
        <v>21730</v>
      </c>
      <c r="B11053" s="15" t="s">
        <v>21731</v>
      </c>
      <c r="C11053" s="16">
        <f>48.58/(1+B2)</f>
        <v>48.58</v>
      </c>
      <c r="D11053" s="17" t="s">
        <v>11</v>
      </c>
      <c r="E11053" s="17"/>
      <c r="F11053" s="18"/>
      <c r="G11053" s="36" t="str">
        <f>IF(ISNUMBER(F11053),C11053*F11053,"")</f>
        <v/>
      </c>
    </row>
    <row r="11054" spans="1:7" ht="12" customHeight="1" outlineLevel="2" x14ac:dyDescent="0.2">
      <c r="A11054" s="14" t="s">
        <v>21732</v>
      </c>
      <c r="B11054" s="15" t="s">
        <v>21733</v>
      </c>
      <c r="C11054" s="16">
        <f>48.58/(1+B2)</f>
        <v>48.58</v>
      </c>
      <c r="D11054" s="17" t="s">
        <v>11</v>
      </c>
      <c r="E11054" s="17"/>
      <c r="F11054" s="18"/>
      <c r="G11054" s="36" t="str">
        <f>IF(ISNUMBER(F11054),C11054*F11054,"")</f>
        <v/>
      </c>
    </row>
    <row r="11055" spans="1:7" ht="12" customHeight="1" outlineLevel="2" x14ac:dyDescent="0.2">
      <c r="A11055" s="14" t="s">
        <v>21734</v>
      </c>
      <c r="B11055" s="15" t="s">
        <v>21735</v>
      </c>
      <c r="C11055" s="16">
        <f>343.99/(1+B2)</f>
        <v>343.99</v>
      </c>
      <c r="D11055" s="17" t="s">
        <v>11</v>
      </c>
      <c r="E11055" s="17"/>
      <c r="F11055" s="18"/>
      <c r="G11055" s="36" t="str">
        <f>IF(ISNUMBER(F11055),C11055*F11055,"")</f>
        <v/>
      </c>
    </row>
    <row r="11056" spans="1:7" ht="12" customHeight="1" outlineLevel="2" x14ac:dyDescent="0.2">
      <c r="A11056" s="14" t="s">
        <v>21736</v>
      </c>
      <c r="B11056" s="15" t="s">
        <v>21737</v>
      </c>
      <c r="C11056" s="16">
        <f>9.13/(1+B2)</f>
        <v>9.1300000000000008</v>
      </c>
      <c r="D11056" s="17" t="s">
        <v>11</v>
      </c>
      <c r="E11056" s="17"/>
      <c r="F11056" s="18"/>
      <c r="G11056" s="36" t="str">
        <f>IF(ISNUMBER(F11056),C11056*F11056,"")</f>
        <v/>
      </c>
    </row>
    <row r="11057" spans="1:7" s="1" customFormat="1" ht="15.95" customHeight="1" outlineLevel="1" x14ac:dyDescent="0.25">
      <c r="A11057" s="11"/>
      <c r="B11057" s="12" t="s">
        <v>21738</v>
      </c>
      <c r="C11057" s="13"/>
      <c r="D11057" s="13"/>
      <c r="E11057" s="13"/>
      <c r="F11057" s="13"/>
      <c r="G11057" s="35"/>
    </row>
    <row r="11058" spans="1:7" s="1" customFormat="1" ht="12.95" customHeight="1" outlineLevel="2" x14ac:dyDescent="0.2">
      <c r="A11058" s="20"/>
      <c r="B11058" s="21" t="s">
        <v>21739</v>
      </c>
      <c r="C11058" s="22"/>
      <c r="D11058" s="22"/>
      <c r="E11058" s="22"/>
      <c r="F11058" s="22"/>
      <c r="G11058" s="37"/>
    </row>
    <row r="11059" spans="1:7" ht="12" customHeight="1" outlineLevel="3" x14ac:dyDescent="0.2">
      <c r="A11059" s="14" t="s">
        <v>21740</v>
      </c>
      <c r="B11059" s="15" t="s">
        <v>21741</v>
      </c>
      <c r="C11059" s="16">
        <f>92.81/(1+B2)</f>
        <v>92.81</v>
      </c>
      <c r="D11059" s="17" t="s">
        <v>11</v>
      </c>
      <c r="E11059" s="17"/>
      <c r="F11059" s="18"/>
      <c r="G11059" s="36" t="str">
        <f>IF(ISNUMBER(F11059),C11059*F11059,"")</f>
        <v/>
      </c>
    </row>
    <row r="11060" spans="1:7" ht="12" customHeight="1" outlineLevel="3" x14ac:dyDescent="0.2">
      <c r="A11060" s="14" t="s">
        <v>21742</v>
      </c>
      <c r="B11060" s="15" t="s">
        <v>21743</v>
      </c>
      <c r="C11060" s="16">
        <f>60.75/(1+B2)</f>
        <v>60.75</v>
      </c>
      <c r="D11060" s="17" t="s">
        <v>11</v>
      </c>
      <c r="E11060" s="17"/>
      <c r="F11060" s="18"/>
      <c r="G11060" s="36" t="str">
        <f>IF(ISNUMBER(F11060),C11060*F11060,"")</f>
        <v/>
      </c>
    </row>
    <row r="11061" spans="1:7" ht="12" customHeight="1" outlineLevel="3" x14ac:dyDescent="0.2">
      <c r="A11061" s="14" t="s">
        <v>21744</v>
      </c>
      <c r="B11061" s="15" t="s">
        <v>21745</v>
      </c>
      <c r="C11061" s="16">
        <f>92.81/(1+B2)</f>
        <v>92.81</v>
      </c>
      <c r="D11061" s="17" t="s">
        <v>11</v>
      </c>
      <c r="E11061" s="17"/>
      <c r="F11061" s="18"/>
      <c r="G11061" s="36" t="str">
        <f>IF(ISNUMBER(F11061),C11061*F11061,"")</f>
        <v/>
      </c>
    </row>
    <row r="11062" spans="1:7" ht="12" customHeight="1" outlineLevel="3" x14ac:dyDescent="0.2">
      <c r="A11062" s="14" t="s">
        <v>21746</v>
      </c>
      <c r="B11062" s="15" t="s">
        <v>21747</v>
      </c>
      <c r="C11062" s="16">
        <f>60.75/(1+B2)</f>
        <v>60.75</v>
      </c>
      <c r="D11062" s="17" t="s">
        <v>11</v>
      </c>
      <c r="E11062" s="17"/>
      <c r="F11062" s="18"/>
      <c r="G11062" s="36" t="str">
        <f>IF(ISNUMBER(F11062),C11062*F11062,"")</f>
        <v/>
      </c>
    </row>
    <row r="11063" spans="1:7" ht="12" customHeight="1" outlineLevel="3" x14ac:dyDescent="0.2">
      <c r="A11063" s="14" t="s">
        <v>21748</v>
      </c>
      <c r="B11063" s="15" t="s">
        <v>21749</v>
      </c>
      <c r="C11063" s="16">
        <f>60.75/(1+B2)</f>
        <v>60.75</v>
      </c>
      <c r="D11063" s="17" t="s">
        <v>11</v>
      </c>
      <c r="E11063" s="17"/>
      <c r="F11063" s="18"/>
      <c r="G11063" s="36" t="str">
        <f>IF(ISNUMBER(F11063),C11063*F11063,"")</f>
        <v/>
      </c>
    </row>
    <row r="11064" spans="1:7" ht="12" customHeight="1" outlineLevel="3" x14ac:dyDescent="0.2">
      <c r="A11064" s="14" t="s">
        <v>21750</v>
      </c>
      <c r="B11064" s="15" t="s">
        <v>21751</v>
      </c>
      <c r="C11064" s="16">
        <f>107.5/(1+B2)</f>
        <v>107.5</v>
      </c>
      <c r="D11064" s="17" t="s">
        <v>11</v>
      </c>
      <c r="E11064" s="17"/>
      <c r="F11064" s="18"/>
      <c r="G11064" s="36" t="str">
        <f>IF(ISNUMBER(F11064),C11064*F11064,"")</f>
        <v/>
      </c>
    </row>
    <row r="11065" spans="1:7" ht="12" customHeight="1" outlineLevel="3" x14ac:dyDescent="0.2">
      <c r="A11065" s="14" t="s">
        <v>21752</v>
      </c>
      <c r="B11065" s="15" t="s">
        <v>21753</v>
      </c>
      <c r="C11065" s="16">
        <f>60.75/(1+B2)</f>
        <v>60.75</v>
      </c>
      <c r="D11065" s="17" t="s">
        <v>11</v>
      </c>
      <c r="E11065" s="17" t="s">
        <v>14</v>
      </c>
      <c r="F11065" s="18"/>
      <c r="G11065" s="36" t="str">
        <f>IF(ISNUMBER(F11065),C11065*F11065,"")</f>
        <v/>
      </c>
    </row>
    <row r="11066" spans="1:7" ht="12" customHeight="1" outlineLevel="3" x14ac:dyDescent="0.2">
      <c r="A11066" s="14" t="s">
        <v>21754</v>
      </c>
      <c r="B11066" s="15" t="s">
        <v>21755</v>
      </c>
      <c r="C11066" s="16">
        <f>583.23/(1+B2)</f>
        <v>583.23</v>
      </c>
      <c r="D11066" s="17" t="s">
        <v>11</v>
      </c>
      <c r="E11066" s="17"/>
      <c r="F11066" s="18"/>
      <c r="G11066" s="36" t="str">
        <f>IF(ISNUMBER(F11066),C11066*F11066,"")</f>
        <v/>
      </c>
    </row>
    <row r="11067" spans="1:7" ht="12" customHeight="1" outlineLevel="3" x14ac:dyDescent="0.2">
      <c r="A11067" s="14" t="s">
        <v>21756</v>
      </c>
      <c r="B11067" s="15" t="s">
        <v>21757</v>
      </c>
      <c r="C11067" s="16">
        <f>504.24/(1+B2)</f>
        <v>504.24</v>
      </c>
      <c r="D11067" s="17" t="s">
        <v>11</v>
      </c>
      <c r="E11067" s="17"/>
      <c r="F11067" s="18"/>
      <c r="G11067" s="36" t="str">
        <f>IF(ISNUMBER(F11067),C11067*F11067,"")</f>
        <v/>
      </c>
    </row>
    <row r="11068" spans="1:7" ht="12" customHeight="1" outlineLevel="3" x14ac:dyDescent="0.2">
      <c r="A11068" s="14" t="s">
        <v>21758</v>
      </c>
      <c r="B11068" s="15" t="s">
        <v>21759</v>
      </c>
      <c r="C11068" s="16">
        <f>423.28/(1+B2)</f>
        <v>423.28</v>
      </c>
      <c r="D11068" s="17" t="s">
        <v>11</v>
      </c>
      <c r="E11068" s="17"/>
      <c r="F11068" s="18"/>
      <c r="G11068" s="36" t="str">
        <f>IF(ISNUMBER(F11068),C11068*F11068,"")</f>
        <v/>
      </c>
    </row>
    <row r="11069" spans="1:7" ht="12" customHeight="1" outlineLevel="3" x14ac:dyDescent="0.2">
      <c r="A11069" s="14" t="s">
        <v>21760</v>
      </c>
      <c r="B11069" s="15" t="s">
        <v>21761</v>
      </c>
      <c r="C11069" s="16">
        <f>423.28/(1+B2)</f>
        <v>423.28</v>
      </c>
      <c r="D11069" s="17" t="s">
        <v>11</v>
      </c>
      <c r="E11069" s="17"/>
      <c r="F11069" s="18"/>
      <c r="G11069" s="36" t="str">
        <f>IF(ISNUMBER(F11069),C11069*F11069,"")</f>
        <v/>
      </c>
    </row>
    <row r="11070" spans="1:7" ht="12" customHeight="1" outlineLevel="3" x14ac:dyDescent="0.2">
      <c r="A11070" s="14" t="s">
        <v>21762</v>
      </c>
      <c r="B11070" s="15" t="s">
        <v>21763</v>
      </c>
      <c r="C11070" s="16">
        <f>423.28/(1+B2)</f>
        <v>423.28</v>
      </c>
      <c r="D11070" s="17" t="s">
        <v>11</v>
      </c>
      <c r="E11070" s="17"/>
      <c r="F11070" s="18"/>
      <c r="G11070" s="36" t="str">
        <f>IF(ISNUMBER(F11070),C11070*F11070,"")</f>
        <v/>
      </c>
    </row>
    <row r="11071" spans="1:7" ht="12" customHeight="1" outlineLevel="3" x14ac:dyDescent="0.2">
      <c r="A11071" s="14" t="s">
        <v>21764</v>
      </c>
      <c r="B11071" s="15" t="s">
        <v>21765</v>
      </c>
      <c r="C11071" s="16">
        <f>423.28/(1+B2)</f>
        <v>423.28</v>
      </c>
      <c r="D11071" s="17" t="s">
        <v>11</v>
      </c>
      <c r="E11071" s="17"/>
      <c r="F11071" s="18"/>
      <c r="G11071" s="36" t="str">
        <f>IF(ISNUMBER(F11071),C11071*F11071,"")</f>
        <v/>
      </c>
    </row>
    <row r="11072" spans="1:7" ht="12" customHeight="1" outlineLevel="3" x14ac:dyDescent="0.2">
      <c r="A11072" s="14" t="s">
        <v>21766</v>
      </c>
      <c r="B11072" s="15" t="s">
        <v>21767</v>
      </c>
      <c r="C11072" s="16">
        <f>423.28/(1+B2)</f>
        <v>423.28</v>
      </c>
      <c r="D11072" s="17" t="s">
        <v>11</v>
      </c>
      <c r="E11072" s="17"/>
      <c r="F11072" s="18"/>
      <c r="G11072" s="36" t="str">
        <f>IF(ISNUMBER(F11072),C11072*F11072,"")</f>
        <v/>
      </c>
    </row>
    <row r="11073" spans="1:7" ht="12" customHeight="1" outlineLevel="3" x14ac:dyDescent="0.2">
      <c r="A11073" s="14" t="s">
        <v>21768</v>
      </c>
      <c r="B11073" s="15" t="s">
        <v>21769</v>
      </c>
      <c r="C11073" s="16">
        <f>423.28/(1+B2)</f>
        <v>423.28</v>
      </c>
      <c r="D11073" s="17" t="s">
        <v>11</v>
      </c>
      <c r="E11073" s="17"/>
      <c r="F11073" s="18"/>
      <c r="G11073" s="36" t="str">
        <f>IF(ISNUMBER(F11073),C11073*F11073,"")</f>
        <v/>
      </c>
    </row>
    <row r="11074" spans="1:7" ht="12" customHeight="1" outlineLevel="3" x14ac:dyDescent="0.2">
      <c r="A11074" s="14" t="s">
        <v>21770</v>
      </c>
      <c r="B11074" s="15" t="s">
        <v>21771</v>
      </c>
      <c r="C11074" s="16">
        <f>423.28/(1+B2)</f>
        <v>423.28</v>
      </c>
      <c r="D11074" s="17" t="s">
        <v>11</v>
      </c>
      <c r="E11074" s="17"/>
      <c r="F11074" s="18"/>
      <c r="G11074" s="36" t="str">
        <f>IF(ISNUMBER(F11074),C11074*F11074,"")</f>
        <v/>
      </c>
    </row>
    <row r="11075" spans="1:7" ht="12" customHeight="1" outlineLevel="3" x14ac:dyDescent="0.2">
      <c r="A11075" s="14" t="s">
        <v>21772</v>
      </c>
      <c r="B11075" s="15" t="s">
        <v>21773</v>
      </c>
      <c r="C11075" s="16">
        <f>423.28/(1+B2)</f>
        <v>423.28</v>
      </c>
      <c r="D11075" s="17" t="s">
        <v>11</v>
      </c>
      <c r="E11075" s="17"/>
      <c r="F11075" s="18"/>
      <c r="G11075" s="36" t="str">
        <f>IF(ISNUMBER(F11075),C11075*F11075,"")</f>
        <v/>
      </c>
    </row>
    <row r="11076" spans="1:7" ht="12" customHeight="1" outlineLevel="3" x14ac:dyDescent="0.2">
      <c r="A11076" s="14" t="s">
        <v>21774</v>
      </c>
      <c r="B11076" s="15" t="s">
        <v>21775</v>
      </c>
      <c r="C11076" s="16">
        <f>423.28/(1+B2)</f>
        <v>423.28</v>
      </c>
      <c r="D11076" s="17" t="s">
        <v>11</v>
      </c>
      <c r="E11076" s="17"/>
      <c r="F11076" s="18"/>
      <c r="G11076" s="36" t="str">
        <f>IF(ISNUMBER(F11076),C11076*F11076,"")</f>
        <v/>
      </c>
    </row>
    <row r="11077" spans="1:7" ht="12" customHeight="1" outlineLevel="3" x14ac:dyDescent="0.2">
      <c r="A11077" s="14" t="s">
        <v>21776</v>
      </c>
      <c r="B11077" s="15" t="s">
        <v>21777</v>
      </c>
      <c r="C11077" s="16">
        <f>359.17/(1+B2)</f>
        <v>359.17</v>
      </c>
      <c r="D11077" s="17" t="s">
        <v>11</v>
      </c>
      <c r="E11077" s="17"/>
      <c r="F11077" s="18"/>
      <c r="G11077" s="36" t="str">
        <f>IF(ISNUMBER(F11077),C11077*F11077,"")</f>
        <v/>
      </c>
    </row>
    <row r="11078" spans="1:7" ht="12" customHeight="1" outlineLevel="3" x14ac:dyDescent="0.2">
      <c r="A11078" s="14" t="s">
        <v>21778</v>
      </c>
      <c r="B11078" s="15" t="s">
        <v>21779</v>
      </c>
      <c r="C11078" s="16">
        <f>359.17/(1+B2)</f>
        <v>359.17</v>
      </c>
      <c r="D11078" s="17" t="s">
        <v>11</v>
      </c>
      <c r="E11078" s="17"/>
      <c r="F11078" s="18"/>
      <c r="G11078" s="36" t="str">
        <f>IF(ISNUMBER(F11078),C11078*F11078,"")</f>
        <v/>
      </c>
    </row>
    <row r="11079" spans="1:7" ht="12" customHeight="1" outlineLevel="3" x14ac:dyDescent="0.2">
      <c r="A11079" s="14" t="s">
        <v>21780</v>
      </c>
      <c r="B11079" s="15" t="s">
        <v>21781</v>
      </c>
      <c r="C11079" s="16">
        <f>378.81/(1+B2)</f>
        <v>378.81</v>
      </c>
      <c r="D11079" s="17" t="s">
        <v>11</v>
      </c>
      <c r="E11079" s="17"/>
      <c r="F11079" s="18"/>
      <c r="G11079" s="36" t="str">
        <f>IF(ISNUMBER(F11079),C11079*F11079,"")</f>
        <v/>
      </c>
    </row>
    <row r="11080" spans="1:7" ht="12" customHeight="1" outlineLevel="3" x14ac:dyDescent="0.2">
      <c r="A11080" s="14" t="s">
        <v>21782</v>
      </c>
      <c r="B11080" s="15" t="s">
        <v>21783</v>
      </c>
      <c r="C11080" s="16">
        <f>378.81/(1+B2)</f>
        <v>378.81</v>
      </c>
      <c r="D11080" s="17" t="s">
        <v>11</v>
      </c>
      <c r="E11080" s="17" t="s">
        <v>11</v>
      </c>
      <c r="F11080" s="18"/>
      <c r="G11080" s="36" t="str">
        <f>IF(ISNUMBER(F11080),C11080*F11080,"")</f>
        <v/>
      </c>
    </row>
    <row r="11081" spans="1:7" ht="12" customHeight="1" outlineLevel="3" x14ac:dyDescent="0.2">
      <c r="A11081" s="14" t="s">
        <v>21784</v>
      </c>
      <c r="B11081" s="15" t="s">
        <v>21785</v>
      </c>
      <c r="C11081" s="16">
        <f>378.81/(1+B2)</f>
        <v>378.81</v>
      </c>
      <c r="D11081" s="17" t="s">
        <v>11</v>
      </c>
      <c r="E11081" s="17"/>
      <c r="F11081" s="18"/>
      <c r="G11081" s="36" t="str">
        <f>IF(ISNUMBER(F11081),C11081*F11081,"")</f>
        <v/>
      </c>
    </row>
    <row r="11082" spans="1:7" ht="12" customHeight="1" outlineLevel="3" x14ac:dyDescent="0.2">
      <c r="A11082" s="14" t="s">
        <v>21786</v>
      </c>
      <c r="B11082" s="15" t="s">
        <v>21787</v>
      </c>
      <c r="C11082" s="16">
        <f>378.81/(1+B2)</f>
        <v>378.81</v>
      </c>
      <c r="D11082" s="17" t="s">
        <v>11</v>
      </c>
      <c r="E11082" s="17" t="s">
        <v>11</v>
      </c>
      <c r="F11082" s="18"/>
      <c r="G11082" s="36" t="str">
        <f>IF(ISNUMBER(F11082),C11082*F11082,"")</f>
        <v/>
      </c>
    </row>
    <row r="11083" spans="1:7" ht="12" customHeight="1" outlineLevel="3" x14ac:dyDescent="0.2">
      <c r="A11083" s="14" t="s">
        <v>21788</v>
      </c>
      <c r="B11083" s="15" t="s">
        <v>21789</v>
      </c>
      <c r="C11083" s="16">
        <f>378.81/(1+B2)</f>
        <v>378.81</v>
      </c>
      <c r="D11083" s="17" t="s">
        <v>11</v>
      </c>
      <c r="E11083" s="17"/>
      <c r="F11083" s="18"/>
      <c r="G11083" s="36" t="str">
        <f>IF(ISNUMBER(F11083),C11083*F11083,"")</f>
        <v/>
      </c>
    </row>
    <row r="11084" spans="1:7" ht="12" customHeight="1" outlineLevel="3" x14ac:dyDescent="0.2">
      <c r="A11084" s="14" t="s">
        <v>21790</v>
      </c>
      <c r="B11084" s="15" t="s">
        <v>21791</v>
      </c>
      <c r="C11084" s="16">
        <f>378.81/(1+B2)</f>
        <v>378.81</v>
      </c>
      <c r="D11084" s="17" t="s">
        <v>11</v>
      </c>
      <c r="E11084" s="17"/>
      <c r="F11084" s="18"/>
      <c r="G11084" s="36" t="str">
        <f>IF(ISNUMBER(F11084),C11084*F11084,"")</f>
        <v/>
      </c>
    </row>
    <row r="11085" spans="1:7" ht="12" customHeight="1" outlineLevel="3" x14ac:dyDescent="0.2">
      <c r="A11085" s="14" t="s">
        <v>21792</v>
      </c>
      <c r="B11085" s="15" t="s">
        <v>21793</v>
      </c>
      <c r="C11085" s="16">
        <f>378.81/(1+B2)</f>
        <v>378.81</v>
      </c>
      <c r="D11085" s="17" t="s">
        <v>11</v>
      </c>
      <c r="E11085" s="17" t="s">
        <v>14</v>
      </c>
      <c r="F11085" s="18"/>
      <c r="G11085" s="36" t="str">
        <f>IF(ISNUMBER(F11085),C11085*F11085,"")</f>
        <v/>
      </c>
    </row>
    <row r="11086" spans="1:7" ht="12" customHeight="1" outlineLevel="3" x14ac:dyDescent="0.2">
      <c r="A11086" s="14" t="s">
        <v>21794</v>
      </c>
      <c r="B11086" s="15" t="s">
        <v>21795</v>
      </c>
      <c r="C11086" s="16">
        <f>278.52/(1+B2)</f>
        <v>278.52</v>
      </c>
      <c r="D11086" s="17" t="s">
        <v>11</v>
      </c>
      <c r="E11086" s="17"/>
      <c r="F11086" s="18"/>
      <c r="G11086" s="36" t="str">
        <f>IF(ISNUMBER(F11086),C11086*F11086,"")</f>
        <v/>
      </c>
    </row>
    <row r="11087" spans="1:7" ht="12" customHeight="1" outlineLevel="3" x14ac:dyDescent="0.2">
      <c r="A11087" s="14" t="s">
        <v>21796</v>
      </c>
      <c r="B11087" s="15" t="s">
        <v>21797</v>
      </c>
      <c r="C11087" s="16">
        <f>378.81/(1+B2)</f>
        <v>378.81</v>
      </c>
      <c r="D11087" s="17" t="s">
        <v>11</v>
      </c>
      <c r="E11087" s="17" t="s">
        <v>11</v>
      </c>
      <c r="F11087" s="18"/>
      <c r="G11087" s="36" t="str">
        <f>IF(ISNUMBER(F11087),C11087*F11087,"")</f>
        <v/>
      </c>
    </row>
    <row r="11088" spans="1:7" ht="24" customHeight="1" outlineLevel="3" x14ac:dyDescent="0.2">
      <c r="A11088" s="14" t="s">
        <v>21798</v>
      </c>
      <c r="B11088" s="15" t="s">
        <v>21799</v>
      </c>
      <c r="C11088" s="16">
        <f>378.81/(1+B2)</f>
        <v>378.81</v>
      </c>
      <c r="D11088" s="17" t="s">
        <v>11</v>
      </c>
      <c r="E11088" s="17" t="s">
        <v>11</v>
      </c>
      <c r="F11088" s="18"/>
      <c r="G11088" s="36" t="str">
        <f>IF(ISNUMBER(F11088),C11088*F11088,"")</f>
        <v/>
      </c>
    </row>
    <row r="11089" spans="1:7" ht="12" customHeight="1" outlineLevel="3" x14ac:dyDescent="0.2">
      <c r="A11089" s="14" t="s">
        <v>21800</v>
      </c>
      <c r="B11089" s="15" t="s">
        <v>21801</v>
      </c>
      <c r="C11089" s="16">
        <f>378.81/(1+B2)</f>
        <v>378.81</v>
      </c>
      <c r="D11089" s="17" t="s">
        <v>11</v>
      </c>
      <c r="E11089" s="17" t="s">
        <v>11</v>
      </c>
      <c r="F11089" s="18"/>
      <c r="G11089" s="36" t="str">
        <f>IF(ISNUMBER(F11089),C11089*F11089,"")</f>
        <v/>
      </c>
    </row>
    <row r="11090" spans="1:7" ht="12" customHeight="1" outlineLevel="3" x14ac:dyDescent="0.2">
      <c r="A11090" s="14" t="s">
        <v>21802</v>
      </c>
      <c r="B11090" s="15" t="s">
        <v>21803</v>
      </c>
      <c r="C11090" s="16">
        <f>378.81/(1+B2)</f>
        <v>378.81</v>
      </c>
      <c r="D11090" s="17" t="s">
        <v>11</v>
      </c>
      <c r="E11090" s="17"/>
      <c r="F11090" s="18"/>
      <c r="G11090" s="36" t="str">
        <f>IF(ISNUMBER(F11090),C11090*F11090,"")</f>
        <v/>
      </c>
    </row>
    <row r="11091" spans="1:7" ht="12" customHeight="1" outlineLevel="3" x14ac:dyDescent="0.2">
      <c r="A11091" s="14" t="s">
        <v>21804</v>
      </c>
      <c r="B11091" s="15" t="s">
        <v>21805</v>
      </c>
      <c r="C11091" s="16">
        <f>378.81/(1+B2)</f>
        <v>378.81</v>
      </c>
      <c r="D11091" s="17" t="s">
        <v>11</v>
      </c>
      <c r="E11091" s="17"/>
      <c r="F11091" s="18"/>
      <c r="G11091" s="36" t="str">
        <f>IF(ISNUMBER(F11091),C11091*F11091,"")</f>
        <v/>
      </c>
    </row>
    <row r="11092" spans="1:7" ht="12" customHeight="1" outlineLevel="3" x14ac:dyDescent="0.2">
      <c r="A11092" s="14" t="s">
        <v>21806</v>
      </c>
      <c r="B11092" s="15" t="s">
        <v>21807</v>
      </c>
      <c r="C11092" s="16">
        <f>378.81/(1+B2)</f>
        <v>378.81</v>
      </c>
      <c r="D11092" s="17" t="s">
        <v>11</v>
      </c>
      <c r="E11092" s="17"/>
      <c r="F11092" s="18"/>
      <c r="G11092" s="36" t="str">
        <f>IF(ISNUMBER(F11092),C11092*F11092,"")</f>
        <v/>
      </c>
    </row>
    <row r="11093" spans="1:7" ht="12" customHeight="1" outlineLevel="3" x14ac:dyDescent="0.2">
      <c r="A11093" s="14" t="s">
        <v>21808</v>
      </c>
      <c r="B11093" s="15" t="s">
        <v>21809</v>
      </c>
      <c r="C11093" s="16">
        <f>378.81/(1+B2)</f>
        <v>378.81</v>
      </c>
      <c r="D11093" s="17" t="s">
        <v>14</v>
      </c>
      <c r="E11093" s="17"/>
      <c r="F11093" s="18"/>
      <c r="G11093" s="36" t="str">
        <f>IF(ISNUMBER(F11093),C11093*F11093,"")</f>
        <v/>
      </c>
    </row>
    <row r="11094" spans="1:7" ht="12" customHeight="1" outlineLevel="3" x14ac:dyDescent="0.2">
      <c r="A11094" s="14" t="s">
        <v>21810</v>
      </c>
      <c r="B11094" s="15" t="s">
        <v>21811</v>
      </c>
      <c r="C11094" s="16">
        <f>378.81/(1+B2)</f>
        <v>378.81</v>
      </c>
      <c r="D11094" s="17" t="s">
        <v>11</v>
      </c>
      <c r="E11094" s="17" t="s">
        <v>11</v>
      </c>
      <c r="F11094" s="18"/>
      <c r="G11094" s="36" t="str">
        <f>IF(ISNUMBER(F11094),C11094*F11094,"")</f>
        <v/>
      </c>
    </row>
    <row r="11095" spans="1:7" ht="12" customHeight="1" outlineLevel="3" x14ac:dyDescent="0.2">
      <c r="A11095" s="14" t="s">
        <v>21812</v>
      </c>
      <c r="B11095" s="15" t="s">
        <v>21813</v>
      </c>
      <c r="C11095" s="16">
        <f>378.81/(1+B2)</f>
        <v>378.81</v>
      </c>
      <c r="D11095" s="17" t="s">
        <v>11</v>
      </c>
      <c r="E11095" s="17"/>
      <c r="F11095" s="18"/>
      <c r="G11095" s="36" t="str">
        <f>IF(ISNUMBER(F11095),C11095*F11095,"")</f>
        <v/>
      </c>
    </row>
    <row r="11096" spans="1:7" ht="12" customHeight="1" outlineLevel="3" x14ac:dyDescent="0.2">
      <c r="A11096" s="14" t="s">
        <v>21814</v>
      </c>
      <c r="B11096" s="15" t="s">
        <v>21815</v>
      </c>
      <c r="C11096" s="16">
        <f>378.81/(1+B2)</f>
        <v>378.81</v>
      </c>
      <c r="D11096" s="17" t="s">
        <v>11</v>
      </c>
      <c r="E11096" s="17"/>
      <c r="F11096" s="18"/>
      <c r="G11096" s="36" t="str">
        <f>IF(ISNUMBER(F11096),C11096*F11096,"")</f>
        <v/>
      </c>
    </row>
    <row r="11097" spans="1:7" ht="12" customHeight="1" outlineLevel="3" x14ac:dyDescent="0.2">
      <c r="A11097" s="14" t="s">
        <v>21816</v>
      </c>
      <c r="B11097" s="15" t="s">
        <v>21817</v>
      </c>
      <c r="C11097" s="16">
        <f>378.81/(1+B2)</f>
        <v>378.81</v>
      </c>
      <c r="D11097" s="17" t="s">
        <v>11</v>
      </c>
      <c r="E11097" s="17" t="s">
        <v>11</v>
      </c>
      <c r="F11097" s="18"/>
      <c r="G11097" s="36" t="str">
        <f>IF(ISNUMBER(F11097),C11097*F11097,"")</f>
        <v/>
      </c>
    </row>
    <row r="11098" spans="1:7" ht="12" customHeight="1" outlineLevel="3" x14ac:dyDescent="0.2">
      <c r="A11098" s="14" t="s">
        <v>21818</v>
      </c>
      <c r="B11098" s="15" t="s">
        <v>21819</v>
      </c>
      <c r="C11098" s="16">
        <f>404.61/(1+B2)</f>
        <v>404.61</v>
      </c>
      <c r="D11098" s="17" t="s">
        <v>11</v>
      </c>
      <c r="E11098" s="17" t="s">
        <v>14</v>
      </c>
      <c r="F11098" s="18"/>
      <c r="G11098" s="36" t="str">
        <f>IF(ISNUMBER(F11098),C11098*F11098,"")</f>
        <v/>
      </c>
    </row>
    <row r="11099" spans="1:7" ht="12" customHeight="1" outlineLevel="3" x14ac:dyDescent="0.2">
      <c r="A11099" s="14" t="s">
        <v>21820</v>
      </c>
      <c r="B11099" s="15" t="s">
        <v>21821</v>
      </c>
      <c r="C11099" s="16">
        <f>378.81/(1+B2)</f>
        <v>378.81</v>
      </c>
      <c r="D11099" s="17" t="s">
        <v>11</v>
      </c>
      <c r="E11099" s="17" t="s">
        <v>11</v>
      </c>
      <c r="F11099" s="18"/>
      <c r="G11099" s="36" t="str">
        <f>IF(ISNUMBER(F11099),C11099*F11099,"")</f>
        <v/>
      </c>
    </row>
    <row r="11100" spans="1:7" ht="12" customHeight="1" outlineLevel="3" x14ac:dyDescent="0.2">
      <c r="A11100" s="14" t="s">
        <v>21822</v>
      </c>
      <c r="B11100" s="15" t="s">
        <v>21823</v>
      </c>
      <c r="C11100" s="16">
        <f>378.81/(1+B2)</f>
        <v>378.81</v>
      </c>
      <c r="D11100" s="17" t="s">
        <v>11</v>
      </c>
      <c r="E11100" s="17" t="s">
        <v>11</v>
      </c>
      <c r="F11100" s="18"/>
      <c r="G11100" s="36" t="str">
        <f>IF(ISNUMBER(F11100),C11100*F11100,"")</f>
        <v/>
      </c>
    </row>
    <row r="11101" spans="1:7" ht="12" customHeight="1" outlineLevel="3" x14ac:dyDescent="0.2">
      <c r="A11101" s="14" t="s">
        <v>21824</v>
      </c>
      <c r="B11101" s="15" t="s">
        <v>21825</v>
      </c>
      <c r="C11101" s="16">
        <f>378.81/(1+B2)</f>
        <v>378.81</v>
      </c>
      <c r="D11101" s="17" t="s">
        <v>11</v>
      </c>
      <c r="E11101" s="17" t="s">
        <v>11</v>
      </c>
      <c r="F11101" s="18"/>
      <c r="G11101" s="36" t="str">
        <f>IF(ISNUMBER(F11101),C11101*F11101,"")</f>
        <v/>
      </c>
    </row>
    <row r="11102" spans="1:7" ht="12" customHeight="1" outlineLevel="3" x14ac:dyDescent="0.2">
      <c r="A11102" s="14" t="s">
        <v>21826</v>
      </c>
      <c r="B11102" s="15" t="s">
        <v>21827</v>
      </c>
      <c r="C11102" s="16">
        <f>378.81/(1+B2)</f>
        <v>378.81</v>
      </c>
      <c r="D11102" s="17" t="s">
        <v>11</v>
      </c>
      <c r="E11102" s="17"/>
      <c r="F11102" s="18"/>
      <c r="G11102" s="36" t="str">
        <f>IF(ISNUMBER(F11102),C11102*F11102,"")</f>
        <v/>
      </c>
    </row>
    <row r="11103" spans="1:7" ht="12" customHeight="1" outlineLevel="3" x14ac:dyDescent="0.2">
      <c r="A11103" s="14" t="s">
        <v>21828</v>
      </c>
      <c r="B11103" s="15" t="s">
        <v>21829</v>
      </c>
      <c r="C11103" s="16">
        <f>378.81/(1+B2)</f>
        <v>378.81</v>
      </c>
      <c r="D11103" s="17" t="s">
        <v>11</v>
      </c>
      <c r="E11103" s="17" t="s">
        <v>11</v>
      </c>
      <c r="F11103" s="18"/>
      <c r="G11103" s="36" t="str">
        <f>IF(ISNUMBER(F11103),C11103*F11103,"")</f>
        <v/>
      </c>
    </row>
    <row r="11104" spans="1:7" ht="12" customHeight="1" outlineLevel="3" x14ac:dyDescent="0.2">
      <c r="A11104" s="14" t="s">
        <v>21830</v>
      </c>
      <c r="B11104" s="15" t="s">
        <v>21831</v>
      </c>
      <c r="C11104" s="16">
        <f>378.81/(1+B2)</f>
        <v>378.81</v>
      </c>
      <c r="D11104" s="17" t="s">
        <v>14</v>
      </c>
      <c r="E11104" s="17"/>
      <c r="F11104" s="18"/>
      <c r="G11104" s="36" t="str">
        <f>IF(ISNUMBER(F11104),C11104*F11104,"")</f>
        <v/>
      </c>
    </row>
    <row r="11105" spans="1:7" ht="12" customHeight="1" outlineLevel="3" x14ac:dyDescent="0.2">
      <c r="A11105" s="14" t="s">
        <v>21832</v>
      </c>
      <c r="B11105" s="15" t="s">
        <v>21833</v>
      </c>
      <c r="C11105" s="16">
        <f>378.81/(1+B2)</f>
        <v>378.81</v>
      </c>
      <c r="D11105" s="17" t="s">
        <v>11</v>
      </c>
      <c r="E11105" s="17"/>
      <c r="F11105" s="18"/>
      <c r="G11105" s="36" t="str">
        <f>IF(ISNUMBER(F11105),C11105*F11105,"")</f>
        <v/>
      </c>
    </row>
    <row r="11106" spans="1:7" ht="12" customHeight="1" outlineLevel="3" x14ac:dyDescent="0.2">
      <c r="A11106" s="14" t="s">
        <v>21834</v>
      </c>
      <c r="B11106" s="15" t="s">
        <v>21835</v>
      </c>
      <c r="C11106" s="16">
        <f>378.81/(1+B2)</f>
        <v>378.81</v>
      </c>
      <c r="D11106" s="17" t="s">
        <v>11</v>
      </c>
      <c r="E11106" s="17"/>
      <c r="F11106" s="18"/>
      <c r="G11106" s="36" t="str">
        <f>IF(ISNUMBER(F11106),C11106*F11106,"")</f>
        <v/>
      </c>
    </row>
    <row r="11107" spans="1:7" ht="12" customHeight="1" outlineLevel="3" x14ac:dyDescent="0.2">
      <c r="A11107" s="14" t="s">
        <v>21836</v>
      </c>
      <c r="B11107" s="15" t="s">
        <v>21837</v>
      </c>
      <c r="C11107" s="16">
        <f>378.81/(1+B2)</f>
        <v>378.81</v>
      </c>
      <c r="D11107" s="17" t="s">
        <v>11</v>
      </c>
      <c r="E11107" s="17"/>
      <c r="F11107" s="18"/>
      <c r="G11107" s="36" t="str">
        <f>IF(ISNUMBER(F11107),C11107*F11107,"")</f>
        <v/>
      </c>
    </row>
    <row r="11108" spans="1:7" ht="12" customHeight="1" outlineLevel="3" x14ac:dyDescent="0.2">
      <c r="A11108" s="14" t="s">
        <v>21838</v>
      </c>
      <c r="B11108" s="15" t="s">
        <v>21839</v>
      </c>
      <c r="C11108" s="16">
        <f>378.81/(1+B2)</f>
        <v>378.81</v>
      </c>
      <c r="D11108" s="17" t="s">
        <v>11</v>
      </c>
      <c r="E11108" s="17"/>
      <c r="F11108" s="18"/>
      <c r="G11108" s="36" t="str">
        <f>IF(ISNUMBER(F11108),C11108*F11108,"")</f>
        <v/>
      </c>
    </row>
    <row r="11109" spans="1:7" ht="12" customHeight="1" outlineLevel="3" x14ac:dyDescent="0.2">
      <c r="A11109" s="14" t="s">
        <v>21840</v>
      </c>
      <c r="B11109" s="15" t="s">
        <v>21841</v>
      </c>
      <c r="C11109" s="16">
        <f>378.81/(1+B2)</f>
        <v>378.81</v>
      </c>
      <c r="D11109" s="17" t="s">
        <v>11</v>
      </c>
      <c r="E11109" s="17"/>
      <c r="F11109" s="18"/>
      <c r="G11109" s="36" t="str">
        <f>IF(ISNUMBER(F11109),C11109*F11109,"")</f>
        <v/>
      </c>
    </row>
    <row r="11110" spans="1:7" ht="12" customHeight="1" outlineLevel="3" x14ac:dyDescent="0.2">
      <c r="A11110" s="14" t="s">
        <v>21842</v>
      </c>
      <c r="B11110" s="15" t="s">
        <v>21843</v>
      </c>
      <c r="C11110" s="16">
        <f>130.75/(1+B2)</f>
        <v>130.75</v>
      </c>
      <c r="D11110" s="17" t="s">
        <v>14</v>
      </c>
      <c r="E11110" s="17" t="s">
        <v>11</v>
      </c>
      <c r="F11110" s="18"/>
      <c r="G11110" s="36" t="str">
        <f>IF(ISNUMBER(F11110),C11110*F11110,"")</f>
        <v/>
      </c>
    </row>
    <row r="11111" spans="1:7" ht="12" customHeight="1" outlineLevel="3" x14ac:dyDescent="0.2">
      <c r="A11111" s="14" t="s">
        <v>21844</v>
      </c>
      <c r="B11111" s="15" t="s">
        <v>21845</v>
      </c>
      <c r="C11111" s="16">
        <f>378.81/(1+B2)</f>
        <v>378.81</v>
      </c>
      <c r="D11111" s="17" t="s">
        <v>14</v>
      </c>
      <c r="E11111" s="17"/>
      <c r="F11111" s="18"/>
      <c r="G11111" s="36" t="str">
        <f>IF(ISNUMBER(F11111),C11111*F11111,"")</f>
        <v/>
      </c>
    </row>
    <row r="11112" spans="1:7" ht="12" customHeight="1" outlineLevel="3" x14ac:dyDescent="0.2">
      <c r="A11112" s="14" t="s">
        <v>21846</v>
      </c>
      <c r="B11112" s="15" t="s">
        <v>21847</v>
      </c>
      <c r="C11112" s="16">
        <f>92.81/(1+B2)</f>
        <v>92.81</v>
      </c>
      <c r="D11112" s="17" t="s">
        <v>11</v>
      </c>
      <c r="E11112" s="17"/>
      <c r="F11112" s="18"/>
      <c r="G11112" s="36" t="str">
        <f>IF(ISNUMBER(F11112),C11112*F11112,"")</f>
        <v/>
      </c>
    </row>
    <row r="11113" spans="1:7" ht="12" customHeight="1" outlineLevel="3" x14ac:dyDescent="0.2">
      <c r="A11113" s="14" t="s">
        <v>21848</v>
      </c>
      <c r="B11113" s="15" t="s">
        <v>21849</v>
      </c>
      <c r="C11113" s="16">
        <f>378.81/(1+B2)</f>
        <v>378.81</v>
      </c>
      <c r="D11113" s="17" t="s">
        <v>11</v>
      </c>
      <c r="E11113" s="17"/>
      <c r="F11113" s="18"/>
      <c r="G11113" s="36" t="str">
        <f>IF(ISNUMBER(F11113),C11113*F11113,"")</f>
        <v/>
      </c>
    </row>
    <row r="11114" spans="1:7" ht="12" customHeight="1" outlineLevel="3" x14ac:dyDescent="0.2">
      <c r="A11114" s="14" t="s">
        <v>21850</v>
      </c>
      <c r="B11114" s="15" t="s">
        <v>21851</v>
      </c>
      <c r="C11114" s="16">
        <f>378.81/(1+B2)</f>
        <v>378.81</v>
      </c>
      <c r="D11114" s="17" t="s">
        <v>11</v>
      </c>
      <c r="E11114" s="17"/>
      <c r="F11114" s="18"/>
      <c r="G11114" s="36" t="str">
        <f>IF(ISNUMBER(F11114),C11114*F11114,"")</f>
        <v/>
      </c>
    </row>
    <row r="11115" spans="1:7" ht="12" customHeight="1" outlineLevel="3" x14ac:dyDescent="0.2">
      <c r="A11115" s="14" t="s">
        <v>21852</v>
      </c>
      <c r="B11115" s="15" t="s">
        <v>21853</v>
      </c>
      <c r="C11115" s="16">
        <f>378.81/(1+B2)</f>
        <v>378.81</v>
      </c>
      <c r="D11115" s="17" t="s">
        <v>14</v>
      </c>
      <c r="E11115" s="17"/>
      <c r="F11115" s="18"/>
      <c r="G11115" s="36" t="str">
        <f>IF(ISNUMBER(F11115),C11115*F11115,"")</f>
        <v/>
      </c>
    </row>
    <row r="11116" spans="1:7" ht="12" customHeight="1" outlineLevel="3" x14ac:dyDescent="0.2">
      <c r="A11116" s="14" t="s">
        <v>21854</v>
      </c>
      <c r="B11116" s="15" t="s">
        <v>21855</v>
      </c>
      <c r="C11116" s="16">
        <f>378.81/(1+B2)</f>
        <v>378.81</v>
      </c>
      <c r="D11116" s="17" t="s">
        <v>11</v>
      </c>
      <c r="E11116" s="17"/>
      <c r="F11116" s="18"/>
      <c r="G11116" s="36" t="str">
        <f>IF(ISNUMBER(F11116),C11116*F11116,"")</f>
        <v/>
      </c>
    </row>
    <row r="11117" spans="1:7" ht="12" customHeight="1" outlineLevel="3" x14ac:dyDescent="0.2">
      <c r="A11117" s="14" t="s">
        <v>21856</v>
      </c>
      <c r="B11117" s="15" t="s">
        <v>21857</v>
      </c>
      <c r="C11117" s="16">
        <f>378.81/(1+B2)</f>
        <v>378.81</v>
      </c>
      <c r="D11117" s="17" t="s">
        <v>11</v>
      </c>
      <c r="E11117" s="17"/>
      <c r="F11117" s="18"/>
      <c r="G11117" s="36" t="str">
        <f>IF(ISNUMBER(F11117),C11117*F11117,"")</f>
        <v/>
      </c>
    </row>
    <row r="11118" spans="1:7" ht="12" customHeight="1" outlineLevel="3" x14ac:dyDescent="0.2">
      <c r="A11118" s="14" t="s">
        <v>21858</v>
      </c>
      <c r="B11118" s="15" t="s">
        <v>21859</v>
      </c>
      <c r="C11118" s="16">
        <f>378.81/(1+B2)</f>
        <v>378.81</v>
      </c>
      <c r="D11118" s="17" t="s">
        <v>11</v>
      </c>
      <c r="E11118" s="17"/>
      <c r="F11118" s="18"/>
      <c r="G11118" s="36" t="str">
        <f>IF(ISNUMBER(F11118),C11118*F11118,"")</f>
        <v/>
      </c>
    </row>
    <row r="11119" spans="1:7" ht="12" customHeight="1" outlineLevel="3" x14ac:dyDescent="0.2">
      <c r="A11119" s="14" t="s">
        <v>21860</v>
      </c>
      <c r="B11119" s="15" t="s">
        <v>21861</v>
      </c>
      <c r="C11119" s="16">
        <f>543.51/(1+B2)</f>
        <v>543.51</v>
      </c>
      <c r="D11119" s="17" t="s">
        <v>11</v>
      </c>
      <c r="E11119" s="17" t="s">
        <v>11</v>
      </c>
      <c r="F11119" s="18"/>
      <c r="G11119" s="36" t="str">
        <f>IF(ISNUMBER(F11119),C11119*F11119,"")</f>
        <v/>
      </c>
    </row>
    <row r="11120" spans="1:7" s="1" customFormat="1" ht="12.95" customHeight="1" outlineLevel="2" x14ac:dyDescent="0.2">
      <c r="A11120" s="20"/>
      <c r="B11120" s="21" t="s">
        <v>21862</v>
      </c>
      <c r="C11120" s="22"/>
      <c r="D11120" s="22"/>
      <c r="E11120" s="22"/>
      <c r="F11120" s="22"/>
      <c r="G11120" s="37"/>
    </row>
    <row r="11121" spans="1:7" ht="24" customHeight="1" outlineLevel="3" x14ac:dyDescent="0.2">
      <c r="A11121" s="14" t="s">
        <v>21863</v>
      </c>
      <c r="B11121" s="15" t="s">
        <v>21864</v>
      </c>
      <c r="C11121" s="16">
        <f>174.86/(1+B2)</f>
        <v>174.86</v>
      </c>
      <c r="D11121" s="17" t="s">
        <v>11</v>
      </c>
      <c r="E11121" s="17"/>
      <c r="F11121" s="18"/>
      <c r="G11121" s="36" t="str">
        <f>IF(ISNUMBER(F11121),C11121*F11121,"")</f>
        <v/>
      </c>
    </row>
    <row r="11122" spans="1:7" ht="24" customHeight="1" outlineLevel="3" x14ac:dyDescent="0.2">
      <c r="A11122" s="14" t="s">
        <v>21865</v>
      </c>
      <c r="B11122" s="15" t="s">
        <v>21866</v>
      </c>
      <c r="C11122" s="16">
        <f>174.86/(1+B2)</f>
        <v>174.86</v>
      </c>
      <c r="D11122" s="17" t="s">
        <v>11</v>
      </c>
      <c r="E11122" s="17"/>
      <c r="F11122" s="18"/>
      <c r="G11122" s="36" t="str">
        <f>IF(ISNUMBER(F11122),C11122*F11122,"")</f>
        <v/>
      </c>
    </row>
    <row r="11123" spans="1:7" ht="24" customHeight="1" outlineLevel="3" x14ac:dyDescent="0.2">
      <c r="A11123" s="14" t="s">
        <v>21867</v>
      </c>
      <c r="B11123" s="15" t="s">
        <v>21868</v>
      </c>
      <c r="C11123" s="16">
        <f>174.86/(1+B2)</f>
        <v>174.86</v>
      </c>
      <c r="D11123" s="17" t="s">
        <v>11</v>
      </c>
      <c r="E11123" s="17"/>
      <c r="F11123" s="18"/>
      <c r="G11123" s="36" t="str">
        <f>IF(ISNUMBER(F11123),C11123*F11123,"")</f>
        <v/>
      </c>
    </row>
    <row r="11124" spans="1:7" ht="24" customHeight="1" outlineLevel="3" x14ac:dyDescent="0.2">
      <c r="A11124" s="14" t="s">
        <v>21869</v>
      </c>
      <c r="B11124" s="15" t="s">
        <v>21870</v>
      </c>
      <c r="C11124" s="16">
        <f>174.86/(1+B2)</f>
        <v>174.86</v>
      </c>
      <c r="D11124" s="17" t="s">
        <v>11</v>
      </c>
      <c r="E11124" s="17"/>
      <c r="F11124" s="18"/>
      <c r="G11124" s="36" t="str">
        <f>IF(ISNUMBER(F11124),C11124*F11124,"")</f>
        <v/>
      </c>
    </row>
    <row r="11125" spans="1:7" ht="24" customHeight="1" outlineLevel="3" x14ac:dyDescent="0.2">
      <c r="A11125" s="14" t="s">
        <v>21871</v>
      </c>
      <c r="B11125" s="15" t="s">
        <v>21872</v>
      </c>
      <c r="C11125" s="16">
        <f>174.86/(1+B2)</f>
        <v>174.86</v>
      </c>
      <c r="D11125" s="17" t="s">
        <v>11</v>
      </c>
      <c r="E11125" s="17"/>
      <c r="F11125" s="18"/>
      <c r="G11125" s="36" t="str">
        <f>IF(ISNUMBER(F11125),C11125*F11125,"")</f>
        <v/>
      </c>
    </row>
    <row r="11126" spans="1:7" ht="24" customHeight="1" outlineLevel="3" x14ac:dyDescent="0.2">
      <c r="A11126" s="14" t="s">
        <v>21873</v>
      </c>
      <c r="B11126" s="15" t="s">
        <v>21874</v>
      </c>
      <c r="C11126" s="16">
        <f>174.86/(1+B2)</f>
        <v>174.86</v>
      </c>
      <c r="D11126" s="17" t="s">
        <v>11</v>
      </c>
      <c r="E11126" s="17"/>
      <c r="F11126" s="18"/>
      <c r="G11126" s="36" t="str">
        <f>IF(ISNUMBER(F11126),C11126*F11126,"")</f>
        <v/>
      </c>
    </row>
    <row r="11127" spans="1:7" ht="24" customHeight="1" outlineLevel="3" x14ac:dyDescent="0.2">
      <c r="A11127" s="14" t="s">
        <v>21875</v>
      </c>
      <c r="B11127" s="15" t="s">
        <v>21876</v>
      </c>
      <c r="C11127" s="16">
        <f>73.04/(1+B2)</f>
        <v>73.040000000000006</v>
      </c>
      <c r="D11127" s="17" t="s">
        <v>11</v>
      </c>
      <c r="E11127" s="17"/>
      <c r="F11127" s="18"/>
      <c r="G11127" s="36" t="str">
        <f>IF(ISNUMBER(F11127),C11127*F11127,"")</f>
        <v/>
      </c>
    </row>
    <row r="11128" spans="1:7" ht="24" customHeight="1" outlineLevel="3" x14ac:dyDescent="0.2">
      <c r="A11128" s="14" t="s">
        <v>21877</v>
      </c>
      <c r="B11128" s="15" t="s">
        <v>21878</v>
      </c>
      <c r="C11128" s="16">
        <f>105.6/(1+B2)</f>
        <v>105.6</v>
      </c>
      <c r="D11128" s="17" t="s">
        <v>11</v>
      </c>
      <c r="E11128" s="17" t="s">
        <v>11</v>
      </c>
      <c r="F11128" s="18"/>
      <c r="G11128" s="36" t="str">
        <f>IF(ISNUMBER(F11128),C11128*F11128,"")</f>
        <v/>
      </c>
    </row>
    <row r="11129" spans="1:7" ht="12" customHeight="1" outlineLevel="3" x14ac:dyDescent="0.2">
      <c r="A11129" s="14" t="s">
        <v>21879</v>
      </c>
      <c r="B11129" s="15" t="s">
        <v>21880</v>
      </c>
      <c r="C11129" s="16">
        <f>136.38/(1+B2)</f>
        <v>136.38</v>
      </c>
      <c r="D11129" s="17" t="s">
        <v>11</v>
      </c>
      <c r="E11129" s="17" t="s">
        <v>11</v>
      </c>
      <c r="F11129" s="18"/>
      <c r="G11129" s="36" t="str">
        <f>IF(ISNUMBER(F11129),C11129*F11129,"")</f>
        <v/>
      </c>
    </row>
    <row r="11130" spans="1:7" ht="12" customHeight="1" outlineLevel="3" x14ac:dyDescent="0.2">
      <c r="A11130" s="14" t="s">
        <v>21881</v>
      </c>
      <c r="B11130" s="15" t="s">
        <v>21882</v>
      </c>
      <c r="C11130" s="16">
        <f>226.02/(1+B2)</f>
        <v>226.02</v>
      </c>
      <c r="D11130" s="17" t="s">
        <v>11</v>
      </c>
      <c r="E11130" s="17"/>
      <c r="F11130" s="18"/>
      <c r="G11130" s="36" t="str">
        <f>IF(ISNUMBER(F11130),C11130*F11130,"")</f>
        <v/>
      </c>
    </row>
    <row r="11131" spans="1:7" ht="24" customHeight="1" outlineLevel="3" x14ac:dyDescent="0.2">
      <c r="A11131" s="14" t="s">
        <v>21883</v>
      </c>
      <c r="B11131" s="15" t="s">
        <v>21884</v>
      </c>
      <c r="C11131" s="16">
        <f>123.55/(1+B2)</f>
        <v>123.55</v>
      </c>
      <c r="D11131" s="17" t="s">
        <v>11</v>
      </c>
      <c r="E11131" s="17"/>
      <c r="F11131" s="18"/>
      <c r="G11131" s="36" t="str">
        <f>IF(ISNUMBER(F11131),C11131*F11131,"")</f>
        <v/>
      </c>
    </row>
    <row r="11132" spans="1:7" ht="24" customHeight="1" outlineLevel="3" x14ac:dyDescent="0.2">
      <c r="A11132" s="14" t="s">
        <v>21885</v>
      </c>
      <c r="B11132" s="15" t="s">
        <v>21886</v>
      </c>
      <c r="C11132" s="16">
        <f>123.55/(1+B2)</f>
        <v>123.55</v>
      </c>
      <c r="D11132" s="17" t="s">
        <v>11</v>
      </c>
      <c r="E11132" s="17"/>
      <c r="F11132" s="18"/>
      <c r="G11132" s="36" t="str">
        <f>IF(ISNUMBER(F11132),C11132*F11132,"")</f>
        <v/>
      </c>
    </row>
    <row r="11133" spans="1:7" ht="24" customHeight="1" outlineLevel="3" x14ac:dyDescent="0.2">
      <c r="A11133" s="14" t="s">
        <v>21887</v>
      </c>
      <c r="B11133" s="15" t="s">
        <v>21888</v>
      </c>
      <c r="C11133" s="16">
        <f>168.96/(1+B2)</f>
        <v>168.96</v>
      </c>
      <c r="D11133" s="17" t="s">
        <v>11</v>
      </c>
      <c r="E11133" s="17" t="s">
        <v>11</v>
      </c>
      <c r="F11133" s="18"/>
      <c r="G11133" s="36" t="str">
        <f>IF(ISNUMBER(F11133),C11133*F11133,"")</f>
        <v/>
      </c>
    </row>
    <row r="11134" spans="1:7" ht="24" customHeight="1" outlineLevel="3" x14ac:dyDescent="0.2">
      <c r="A11134" s="14" t="s">
        <v>21889</v>
      </c>
      <c r="B11134" s="15" t="s">
        <v>21890</v>
      </c>
      <c r="C11134" s="16">
        <f>133.06/(1+B2)</f>
        <v>133.06</v>
      </c>
      <c r="D11134" s="17" t="s">
        <v>11</v>
      </c>
      <c r="E11134" s="17" t="s">
        <v>11</v>
      </c>
      <c r="F11134" s="18"/>
      <c r="G11134" s="36" t="str">
        <f>IF(ISNUMBER(F11134),C11134*F11134,"")</f>
        <v/>
      </c>
    </row>
    <row r="11135" spans="1:7" ht="24" customHeight="1" outlineLevel="3" x14ac:dyDescent="0.2">
      <c r="A11135" s="14" t="s">
        <v>21891</v>
      </c>
      <c r="B11135" s="15" t="s">
        <v>21892</v>
      </c>
      <c r="C11135" s="16">
        <f>312.89/(1+B2)</f>
        <v>312.89</v>
      </c>
      <c r="D11135" s="17" t="s">
        <v>11</v>
      </c>
      <c r="E11135" s="17" t="s">
        <v>11</v>
      </c>
      <c r="F11135" s="18"/>
      <c r="G11135" s="36" t="str">
        <f>IF(ISNUMBER(F11135),C11135*F11135,"")</f>
        <v/>
      </c>
    </row>
    <row r="11136" spans="1:7" ht="24" customHeight="1" outlineLevel="3" x14ac:dyDescent="0.2">
      <c r="A11136" s="14" t="s">
        <v>21893</v>
      </c>
      <c r="B11136" s="15" t="s">
        <v>21894</v>
      </c>
      <c r="C11136" s="16">
        <f>312.89/(1+B2)</f>
        <v>312.89</v>
      </c>
      <c r="D11136" s="17" t="s">
        <v>11</v>
      </c>
      <c r="E11136" s="17"/>
      <c r="F11136" s="18"/>
      <c r="G11136" s="36" t="str">
        <f>IF(ISNUMBER(F11136),C11136*F11136,"")</f>
        <v/>
      </c>
    </row>
    <row r="11137" spans="1:7" ht="12" customHeight="1" outlineLevel="3" x14ac:dyDescent="0.2">
      <c r="A11137" s="14" t="s">
        <v>21895</v>
      </c>
      <c r="B11137" s="15" t="s">
        <v>21896</v>
      </c>
      <c r="C11137" s="16">
        <f>312.89/(1+B2)</f>
        <v>312.89</v>
      </c>
      <c r="D11137" s="17" t="s">
        <v>11</v>
      </c>
      <c r="E11137" s="17" t="s">
        <v>11</v>
      </c>
      <c r="F11137" s="18"/>
      <c r="G11137" s="36" t="str">
        <f>IF(ISNUMBER(F11137),C11137*F11137,"")</f>
        <v/>
      </c>
    </row>
    <row r="11138" spans="1:7" ht="12" customHeight="1" outlineLevel="3" x14ac:dyDescent="0.2">
      <c r="A11138" s="14" t="s">
        <v>21897</v>
      </c>
      <c r="B11138" s="15" t="s">
        <v>21898</v>
      </c>
      <c r="C11138" s="16">
        <f>312.89/(1+B2)</f>
        <v>312.89</v>
      </c>
      <c r="D11138" s="17" t="s">
        <v>11</v>
      </c>
      <c r="E11138" s="17"/>
      <c r="F11138" s="18"/>
      <c r="G11138" s="36" t="str">
        <f>IF(ISNUMBER(F11138),C11138*F11138,"")</f>
        <v/>
      </c>
    </row>
    <row r="11139" spans="1:7" ht="24" customHeight="1" outlineLevel="3" x14ac:dyDescent="0.2">
      <c r="A11139" s="14" t="s">
        <v>21899</v>
      </c>
      <c r="B11139" s="15" t="s">
        <v>21900</v>
      </c>
      <c r="C11139" s="16">
        <f>465.56/(1+B2)</f>
        <v>465.56</v>
      </c>
      <c r="D11139" s="17" t="s">
        <v>11</v>
      </c>
      <c r="E11139" s="17"/>
      <c r="F11139" s="18"/>
      <c r="G11139" s="36" t="str">
        <f>IF(ISNUMBER(F11139),C11139*F11139,"")</f>
        <v/>
      </c>
    </row>
    <row r="11140" spans="1:7" ht="12" customHeight="1" outlineLevel="3" x14ac:dyDescent="0.2">
      <c r="A11140" s="14" t="s">
        <v>21901</v>
      </c>
      <c r="B11140" s="15" t="s">
        <v>21902</v>
      </c>
      <c r="C11140" s="16">
        <f>228.38/(1+B2)</f>
        <v>228.38</v>
      </c>
      <c r="D11140" s="17" t="s">
        <v>11</v>
      </c>
      <c r="E11140" s="17"/>
      <c r="F11140" s="18"/>
      <c r="G11140" s="36" t="str">
        <f>IF(ISNUMBER(F11140),C11140*F11140,"")</f>
        <v/>
      </c>
    </row>
    <row r="11141" spans="1:7" ht="12" customHeight="1" outlineLevel="3" x14ac:dyDescent="0.2">
      <c r="A11141" s="14" t="s">
        <v>21903</v>
      </c>
      <c r="B11141" s="15" t="s">
        <v>21904</v>
      </c>
      <c r="C11141" s="16">
        <f>228.38/(1+B2)</f>
        <v>228.38</v>
      </c>
      <c r="D11141" s="17" t="s">
        <v>11</v>
      </c>
      <c r="E11141" s="17"/>
      <c r="F11141" s="18"/>
      <c r="G11141" s="36" t="str">
        <f>IF(ISNUMBER(F11141),C11141*F11141,"")</f>
        <v/>
      </c>
    </row>
    <row r="11142" spans="1:7" ht="12" customHeight="1" outlineLevel="3" x14ac:dyDescent="0.2">
      <c r="A11142" s="14" t="s">
        <v>21905</v>
      </c>
      <c r="B11142" s="15" t="s">
        <v>21906</v>
      </c>
      <c r="C11142" s="16">
        <f>228.38/(1+B2)</f>
        <v>228.38</v>
      </c>
      <c r="D11142" s="17" t="s">
        <v>11</v>
      </c>
      <c r="E11142" s="17"/>
      <c r="F11142" s="18"/>
      <c r="G11142" s="36" t="str">
        <f>IF(ISNUMBER(F11142),C11142*F11142,"")</f>
        <v/>
      </c>
    </row>
    <row r="11143" spans="1:7" ht="12" customHeight="1" outlineLevel="3" x14ac:dyDescent="0.2">
      <c r="A11143" s="14" t="s">
        <v>21907</v>
      </c>
      <c r="B11143" s="15" t="s">
        <v>21908</v>
      </c>
      <c r="C11143" s="16">
        <f>476.57/(1+B2)</f>
        <v>476.57</v>
      </c>
      <c r="D11143" s="17" t="s">
        <v>11</v>
      </c>
      <c r="E11143" s="17"/>
      <c r="F11143" s="18"/>
      <c r="G11143" s="36" t="str">
        <f>IF(ISNUMBER(F11143),C11143*F11143,"")</f>
        <v/>
      </c>
    </row>
    <row r="11144" spans="1:7" ht="24" customHeight="1" outlineLevel="3" x14ac:dyDescent="0.2">
      <c r="A11144" s="14" t="s">
        <v>21909</v>
      </c>
      <c r="B11144" s="15" t="s">
        <v>21910</v>
      </c>
      <c r="C11144" s="16">
        <f>288.8/(1+B2)</f>
        <v>288.8</v>
      </c>
      <c r="D11144" s="17" t="s">
        <v>11</v>
      </c>
      <c r="E11144" s="17"/>
      <c r="F11144" s="18"/>
      <c r="G11144" s="36" t="str">
        <f>IF(ISNUMBER(F11144),C11144*F11144,"")</f>
        <v/>
      </c>
    </row>
    <row r="11145" spans="1:7" ht="24" customHeight="1" outlineLevel="3" x14ac:dyDescent="0.2">
      <c r="A11145" s="14" t="s">
        <v>21911</v>
      </c>
      <c r="B11145" s="15" t="s">
        <v>21912</v>
      </c>
      <c r="C11145" s="16">
        <f>288.8/(1+B2)</f>
        <v>288.8</v>
      </c>
      <c r="D11145" s="17" t="s">
        <v>11</v>
      </c>
      <c r="E11145" s="17"/>
      <c r="F11145" s="18"/>
      <c r="G11145" s="36" t="str">
        <f>IF(ISNUMBER(F11145),C11145*F11145,"")</f>
        <v/>
      </c>
    </row>
    <row r="11146" spans="1:7" ht="24" customHeight="1" outlineLevel="3" x14ac:dyDescent="0.2">
      <c r="A11146" s="14" t="s">
        <v>21913</v>
      </c>
      <c r="B11146" s="15" t="s">
        <v>21914</v>
      </c>
      <c r="C11146" s="16">
        <f>409.15/(1+B2)</f>
        <v>409.15</v>
      </c>
      <c r="D11146" s="17" t="s">
        <v>11</v>
      </c>
      <c r="E11146" s="17"/>
      <c r="F11146" s="18"/>
      <c r="G11146" s="36" t="str">
        <f>IF(ISNUMBER(F11146),C11146*F11146,"")</f>
        <v/>
      </c>
    </row>
    <row r="11147" spans="1:7" ht="24" customHeight="1" outlineLevel="3" x14ac:dyDescent="0.2">
      <c r="A11147" s="14" t="s">
        <v>21915</v>
      </c>
      <c r="B11147" s="15" t="s">
        <v>21916</v>
      </c>
      <c r="C11147" s="16">
        <f>409.15/(1+B2)</f>
        <v>409.15</v>
      </c>
      <c r="D11147" s="17" t="s">
        <v>11</v>
      </c>
      <c r="E11147" s="17"/>
      <c r="F11147" s="18"/>
      <c r="G11147" s="36" t="str">
        <f>IF(ISNUMBER(F11147),C11147*F11147,"")</f>
        <v/>
      </c>
    </row>
    <row r="11148" spans="1:7" ht="24" customHeight="1" outlineLevel="3" x14ac:dyDescent="0.2">
      <c r="A11148" s="14" t="s">
        <v>21917</v>
      </c>
      <c r="B11148" s="15" t="s">
        <v>21918</v>
      </c>
      <c r="C11148" s="16">
        <f>409.15/(1+B2)</f>
        <v>409.15</v>
      </c>
      <c r="D11148" s="17" t="s">
        <v>11</v>
      </c>
      <c r="E11148" s="17" t="s">
        <v>11</v>
      </c>
      <c r="F11148" s="18"/>
      <c r="G11148" s="36" t="str">
        <f>IF(ISNUMBER(F11148),C11148*F11148,"")</f>
        <v/>
      </c>
    </row>
    <row r="11149" spans="1:7" ht="24" customHeight="1" outlineLevel="3" x14ac:dyDescent="0.2">
      <c r="A11149" s="14" t="s">
        <v>21919</v>
      </c>
      <c r="B11149" s="15" t="s">
        <v>21920</v>
      </c>
      <c r="C11149" s="16">
        <f>409.15/(1+B2)</f>
        <v>409.15</v>
      </c>
      <c r="D11149" s="17" t="s">
        <v>11</v>
      </c>
      <c r="E11149" s="17"/>
      <c r="F11149" s="18"/>
      <c r="G11149" s="36" t="str">
        <f>IF(ISNUMBER(F11149),C11149*F11149,"")</f>
        <v/>
      </c>
    </row>
    <row r="11150" spans="1:7" ht="12" customHeight="1" outlineLevel="3" x14ac:dyDescent="0.2">
      <c r="A11150" s="14" t="s">
        <v>21921</v>
      </c>
      <c r="B11150" s="15" t="s">
        <v>21922</v>
      </c>
      <c r="C11150" s="16">
        <f>506.95/(1+B2)</f>
        <v>506.95</v>
      </c>
      <c r="D11150" s="17" t="s">
        <v>11</v>
      </c>
      <c r="E11150" s="17"/>
      <c r="F11150" s="18"/>
      <c r="G11150" s="36" t="str">
        <f>IF(ISNUMBER(F11150),C11150*F11150,"")</f>
        <v/>
      </c>
    </row>
    <row r="11151" spans="1:7" ht="24" customHeight="1" outlineLevel="3" x14ac:dyDescent="0.2">
      <c r="A11151" s="14" t="s">
        <v>21923</v>
      </c>
      <c r="B11151" s="15" t="s">
        <v>21924</v>
      </c>
      <c r="C11151" s="16">
        <f>452.06/(1+B2)</f>
        <v>452.06</v>
      </c>
      <c r="D11151" s="17" t="s">
        <v>11</v>
      </c>
      <c r="E11151" s="17"/>
      <c r="F11151" s="18"/>
      <c r="G11151" s="36" t="str">
        <f>IF(ISNUMBER(F11151),C11151*F11151,"")</f>
        <v/>
      </c>
    </row>
    <row r="11152" spans="1:7" ht="24" customHeight="1" outlineLevel="3" x14ac:dyDescent="0.2">
      <c r="A11152" s="14" t="s">
        <v>21925</v>
      </c>
      <c r="B11152" s="15" t="s">
        <v>21926</v>
      </c>
      <c r="C11152" s="16">
        <f>465.56/(1+B2)</f>
        <v>465.56</v>
      </c>
      <c r="D11152" s="17" t="s">
        <v>14</v>
      </c>
      <c r="E11152" s="17"/>
      <c r="F11152" s="18"/>
      <c r="G11152" s="36" t="str">
        <f>IF(ISNUMBER(F11152),C11152*F11152,"")</f>
        <v/>
      </c>
    </row>
    <row r="11153" spans="1:7" ht="24" customHeight="1" outlineLevel="3" x14ac:dyDescent="0.2">
      <c r="A11153" s="14" t="s">
        <v>21927</v>
      </c>
      <c r="B11153" s="15" t="s">
        <v>21928</v>
      </c>
      <c r="C11153" s="16">
        <f>312.89/(1+B2)</f>
        <v>312.89</v>
      </c>
      <c r="D11153" s="17" t="s">
        <v>11</v>
      </c>
      <c r="E11153" s="17" t="s">
        <v>11</v>
      </c>
      <c r="F11153" s="18"/>
      <c r="G11153" s="36" t="str">
        <f>IF(ISNUMBER(F11153),C11153*F11153,"")</f>
        <v/>
      </c>
    </row>
    <row r="11154" spans="1:7" ht="24" customHeight="1" outlineLevel="3" x14ac:dyDescent="0.2">
      <c r="A11154" s="14" t="s">
        <v>21929</v>
      </c>
      <c r="B11154" s="15" t="s">
        <v>21930</v>
      </c>
      <c r="C11154" s="16">
        <f>312.89/(1+B2)</f>
        <v>312.89</v>
      </c>
      <c r="D11154" s="17" t="s">
        <v>11</v>
      </c>
      <c r="E11154" s="17"/>
      <c r="F11154" s="18"/>
      <c r="G11154" s="36" t="str">
        <f>IF(ISNUMBER(F11154),C11154*F11154,"")</f>
        <v/>
      </c>
    </row>
    <row r="11155" spans="1:7" ht="24" customHeight="1" outlineLevel="3" x14ac:dyDescent="0.2">
      <c r="A11155" s="14" t="s">
        <v>21931</v>
      </c>
      <c r="B11155" s="15" t="s">
        <v>21932</v>
      </c>
      <c r="C11155" s="16">
        <f>312.89/(1+B2)</f>
        <v>312.89</v>
      </c>
      <c r="D11155" s="17" t="s">
        <v>11</v>
      </c>
      <c r="E11155" s="17"/>
      <c r="F11155" s="18"/>
      <c r="G11155" s="36" t="str">
        <f>IF(ISNUMBER(F11155),C11155*F11155,"")</f>
        <v/>
      </c>
    </row>
    <row r="11156" spans="1:7" ht="24" customHeight="1" outlineLevel="3" x14ac:dyDescent="0.2">
      <c r="A11156" s="14" t="s">
        <v>21933</v>
      </c>
      <c r="B11156" s="15" t="s">
        <v>21934</v>
      </c>
      <c r="C11156" s="16">
        <f>312.89/(1+B2)</f>
        <v>312.89</v>
      </c>
      <c r="D11156" s="17" t="s">
        <v>11</v>
      </c>
      <c r="E11156" s="17"/>
      <c r="F11156" s="18"/>
      <c r="G11156" s="36" t="str">
        <f>IF(ISNUMBER(F11156),C11156*F11156,"")</f>
        <v/>
      </c>
    </row>
    <row r="11157" spans="1:7" ht="24" customHeight="1" outlineLevel="3" x14ac:dyDescent="0.2">
      <c r="A11157" s="14" t="s">
        <v>21935</v>
      </c>
      <c r="B11157" s="15" t="s">
        <v>21936</v>
      </c>
      <c r="C11157" s="16">
        <f>287.7/(1+B2)</f>
        <v>287.7</v>
      </c>
      <c r="D11157" s="17" t="s">
        <v>11</v>
      </c>
      <c r="E11157" s="17"/>
      <c r="F11157" s="18"/>
      <c r="G11157" s="36" t="str">
        <f>IF(ISNUMBER(F11157),C11157*F11157,"")</f>
        <v/>
      </c>
    </row>
    <row r="11158" spans="1:7" ht="12" customHeight="1" outlineLevel="3" x14ac:dyDescent="0.2">
      <c r="A11158" s="14" t="s">
        <v>21937</v>
      </c>
      <c r="B11158" s="15" t="s">
        <v>21938</v>
      </c>
      <c r="C11158" s="16">
        <f>85.74/(1+B2)</f>
        <v>85.74</v>
      </c>
      <c r="D11158" s="17" t="s">
        <v>11</v>
      </c>
      <c r="E11158" s="17"/>
      <c r="F11158" s="18"/>
      <c r="G11158" s="36" t="str">
        <f>IF(ISNUMBER(F11158),C11158*F11158,"")</f>
        <v/>
      </c>
    </row>
    <row r="11159" spans="1:7" ht="12" customHeight="1" outlineLevel="3" x14ac:dyDescent="0.2">
      <c r="A11159" s="14" t="s">
        <v>21939</v>
      </c>
      <c r="B11159" s="15" t="s">
        <v>21940</v>
      </c>
      <c r="C11159" s="16">
        <f>85.74/(1+B2)</f>
        <v>85.74</v>
      </c>
      <c r="D11159" s="17" t="s">
        <v>11</v>
      </c>
      <c r="E11159" s="17"/>
      <c r="F11159" s="18"/>
      <c r="G11159" s="36" t="str">
        <f>IF(ISNUMBER(F11159),C11159*F11159,"")</f>
        <v/>
      </c>
    </row>
    <row r="11160" spans="1:7" ht="12" customHeight="1" outlineLevel="3" x14ac:dyDescent="0.2">
      <c r="A11160" s="14" t="s">
        <v>21941</v>
      </c>
      <c r="B11160" s="15" t="s">
        <v>21942</v>
      </c>
      <c r="C11160" s="16">
        <f>302.6/(1+B2)</f>
        <v>302.60000000000002</v>
      </c>
      <c r="D11160" s="17" t="s">
        <v>11</v>
      </c>
      <c r="E11160" s="17"/>
      <c r="F11160" s="18"/>
      <c r="G11160" s="36" t="str">
        <f>IF(ISNUMBER(F11160),C11160*F11160,"")</f>
        <v/>
      </c>
    </row>
    <row r="11161" spans="1:7" ht="12" customHeight="1" outlineLevel="3" x14ac:dyDescent="0.2">
      <c r="A11161" s="14" t="s">
        <v>21943</v>
      </c>
      <c r="B11161" s="15" t="s">
        <v>21944</v>
      </c>
      <c r="C11161" s="16">
        <f>302.6/(1+B2)</f>
        <v>302.60000000000002</v>
      </c>
      <c r="D11161" s="17" t="s">
        <v>11</v>
      </c>
      <c r="E11161" s="17"/>
      <c r="F11161" s="18"/>
      <c r="G11161" s="36" t="str">
        <f>IF(ISNUMBER(F11161),C11161*F11161,"")</f>
        <v/>
      </c>
    </row>
    <row r="11162" spans="1:7" ht="12" customHeight="1" outlineLevel="3" x14ac:dyDescent="0.2">
      <c r="A11162" s="14" t="s">
        <v>21945</v>
      </c>
      <c r="B11162" s="15" t="s">
        <v>21946</v>
      </c>
      <c r="C11162" s="16">
        <f>302.6/(1+B2)</f>
        <v>302.60000000000002</v>
      </c>
      <c r="D11162" s="17" t="s">
        <v>11</v>
      </c>
      <c r="E11162" s="17"/>
      <c r="F11162" s="18"/>
      <c r="G11162" s="36" t="str">
        <f>IF(ISNUMBER(F11162),C11162*F11162,"")</f>
        <v/>
      </c>
    </row>
    <row r="11163" spans="1:7" ht="12" customHeight="1" outlineLevel="3" x14ac:dyDescent="0.2">
      <c r="A11163" s="14" t="s">
        <v>21947</v>
      </c>
      <c r="B11163" s="15" t="s">
        <v>21948</v>
      </c>
      <c r="C11163" s="16">
        <f>302.6/(1+B2)</f>
        <v>302.60000000000002</v>
      </c>
      <c r="D11163" s="17" t="s">
        <v>11</v>
      </c>
      <c r="E11163" s="17"/>
      <c r="F11163" s="18"/>
      <c r="G11163" s="36" t="str">
        <f>IF(ISNUMBER(F11163),C11163*F11163,"")</f>
        <v/>
      </c>
    </row>
    <row r="11164" spans="1:7" ht="12" customHeight="1" outlineLevel="3" x14ac:dyDescent="0.2">
      <c r="A11164" s="14" t="s">
        <v>21949</v>
      </c>
      <c r="B11164" s="15" t="s">
        <v>21950</v>
      </c>
      <c r="C11164" s="16">
        <f>214.48/(1+B2)</f>
        <v>214.48</v>
      </c>
      <c r="D11164" s="17" t="s">
        <v>11</v>
      </c>
      <c r="E11164" s="17"/>
      <c r="F11164" s="18"/>
      <c r="G11164" s="36" t="str">
        <f>IF(ISNUMBER(F11164),C11164*F11164,"")</f>
        <v/>
      </c>
    </row>
    <row r="11165" spans="1:7" ht="12" customHeight="1" outlineLevel="3" x14ac:dyDescent="0.2">
      <c r="A11165" s="14" t="s">
        <v>21951</v>
      </c>
      <c r="B11165" s="15" t="s">
        <v>21952</v>
      </c>
      <c r="C11165" s="16">
        <f>458.54/(1+B2)</f>
        <v>458.54</v>
      </c>
      <c r="D11165" s="17" t="s">
        <v>11</v>
      </c>
      <c r="E11165" s="17"/>
      <c r="F11165" s="18"/>
      <c r="G11165" s="36" t="str">
        <f>IF(ISNUMBER(F11165),C11165*F11165,"")</f>
        <v/>
      </c>
    </row>
    <row r="11166" spans="1:7" ht="12" customHeight="1" outlineLevel="3" x14ac:dyDescent="0.2">
      <c r="A11166" s="14" t="s">
        <v>21953</v>
      </c>
      <c r="B11166" s="15" t="s">
        <v>21954</v>
      </c>
      <c r="C11166" s="16">
        <f>339.66/(1+B2)</f>
        <v>339.66</v>
      </c>
      <c r="D11166" s="17" t="s">
        <v>11</v>
      </c>
      <c r="E11166" s="17"/>
      <c r="F11166" s="18"/>
      <c r="G11166" s="36" t="str">
        <f>IF(ISNUMBER(F11166),C11166*F11166,"")</f>
        <v/>
      </c>
    </row>
    <row r="11167" spans="1:7" ht="12" customHeight="1" outlineLevel="3" x14ac:dyDescent="0.2">
      <c r="A11167" s="14" t="s">
        <v>21955</v>
      </c>
      <c r="B11167" s="15" t="s">
        <v>21956</v>
      </c>
      <c r="C11167" s="16">
        <f>532.31/(1+B2)</f>
        <v>532.30999999999995</v>
      </c>
      <c r="D11167" s="17" t="s">
        <v>11</v>
      </c>
      <c r="E11167" s="17"/>
      <c r="F11167" s="18"/>
      <c r="G11167" s="36" t="str">
        <f>IF(ISNUMBER(F11167),C11167*F11167,"")</f>
        <v/>
      </c>
    </row>
    <row r="11168" spans="1:7" ht="12" customHeight="1" outlineLevel="3" x14ac:dyDescent="0.2">
      <c r="A11168" s="14" t="s">
        <v>21957</v>
      </c>
      <c r="B11168" s="15" t="s">
        <v>21958</v>
      </c>
      <c r="C11168" s="16">
        <f>560.57/(1+B2)</f>
        <v>560.57000000000005</v>
      </c>
      <c r="D11168" s="17" t="s">
        <v>11</v>
      </c>
      <c r="E11168" s="17"/>
      <c r="F11168" s="18"/>
      <c r="G11168" s="36" t="str">
        <f>IF(ISNUMBER(F11168),C11168*F11168,"")</f>
        <v/>
      </c>
    </row>
    <row r="11169" spans="1:7" ht="12" customHeight="1" outlineLevel="3" x14ac:dyDescent="0.2">
      <c r="A11169" s="14" t="s">
        <v>21959</v>
      </c>
      <c r="B11169" s="15" t="s">
        <v>21960</v>
      </c>
      <c r="C11169" s="16">
        <f>517.67/(1+B2)</f>
        <v>517.66999999999996</v>
      </c>
      <c r="D11169" s="17" t="s">
        <v>14</v>
      </c>
      <c r="E11169" s="17"/>
      <c r="F11169" s="18"/>
      <c r="G11169" s="36" t="str">
        <f>IF(ISNUMBER(F11169),C11169*F11169,"")</f>
        <v/>
      </c>
    </row>
    <row r="11170" spans="1:7" ht="12" customHeight="1" outlineLevel="3" x14ac:dyDescent="0.2">
      <c r="A11170" s="14" t="s">
        <v>21961</v>
      </c>
      <c r="B11170" s="15" t="s">
        <v>21962</v>
      </c>
      <c r="C11170" s="16">
        <f>642.76/(1+B2)</f>
        <v>642.76</v>
      </c>
      <c r="D11170" s="17" t="s">
        <v>11</v>
      </c>
      <c r="E11170" s="17"/>
      <c r="F11170" s="18"/>
      <c r="G11170" s="36" t="str">
        <f>IF(ISNUMBER(F11170),C11170*F11170,"")</f>
        <v/>
      </c>
    </row>
    <row r="11171" spans="1:7" ht="12" customHeight="1" outlineLevel="3" x14ac:dyDescent="0.2">
      <c r="A11171" s="14" t="s">
        <v>21963</v>
      </c>
      <c r="B11171" s="15" t="s">
        <v>21964</v>
      </c>
      <c r="C11171" s="16">
        <f>642.76/(1+B2)</f>
        <v>642.76</v>
      </c>
      <c r="D11171" s="17" t="s">
        <v>11</v>
      </c>
      <c r="E11171" s="17"/>
      <c r="F11171" s="18"/>
      <c r="G11171" s="36" t="str">
        <f>IF(ISNUMBER(F11171),C11171*F11171,"")</f>
        <v/>
      </c>
    </row>
    <row r="11172" spans="1:7" s="1" customFormat="1" ht="15.95" customHeight="1" outlineLevel="1" x14ac:dyDescent="0.25">
      <c r="A11172" s="11"/>
      <c r="B11172" s="12" t="s">
        <v>21965</v>
      </c>
      <c r="C11172" s="13"/>
      <c r="D11172" s="13"/>
      <c r="E11172" s="13"/>
      <c r="F11172" s="13"/>
      <c r="G11172" s="35"/>
    </row>
    <row r="11173" spans="1:7" ht="12" customHeight="1" outlineLevel="2" x14ac:dyDescent="0.2">
      <c r="A11173" s="14" t="s">
        <v>21966</v>
      </c>
      <c r="B11173" s="15" t="s">
        <v>21967</v>
      </c>
      <c r="C11173" s="16">
        <f>191.4/(1+B2)</f>
        <v>191.4</v>
      </c>
      <c r="D11173" s="17" t="s">
        <v>11</v>
      </c>
      <c r="E11173" s="17" t="s">
        <v>11</v>
      </c>
      <c r="F11173" s="18"/>
      <c r="G11173" s="36" t="str">
        <f>IF(ISNUMBER(F11173),C11173*F11173,"")</f>
        <v/>
      </c>
    </row>
    <row r="11174" spans="1:7" ht="12" customHeight="1" outlineLevel="2" x14ac:dyDescent="0.2">
      <c r="A11174" s="14" t="s">
        <v>21968</v>
      </c>
      <c r="B11174" s="15" t="s">
        <v>21969</v>
      </c>
      <c r="C11174" s="16">
        <f>108.43/(1+B2)</f>
        <v>108.43</v>
      </c>
      <c r="D11174" s="17" t="s">
        <v>11</v>
      </c>
      <c r="E11174" s="17"/>
      <c r="F11174" s="18"/>
      <c r="G11174" s="36" t="str">
        <f>IF(ISNUMBER(F11174),C11174*F11174,"")</f>
        <v/>
      </c>
    </row>
    <row r="11175" spans="1:7" ht="12" customHeight="1" outlineLevel="2" x14ac:dyDescent="0.2">
      <c r="A11175" s="14" t="s">
        <v>21970</v>
      </c>
      <c r="B11175" s="15" t="s">
        <v>21971</v>
      </c>
      <c r="C11175" s="16">
        <f>131.66/(1+B2)</f>
        <v>131.66</v>
      </c>
      <c r="D11175" s="17" t="s">
        <v>11</v>
      </c>
      <c r="E11175" s="17"/>
      <c r="F11175" s="18"/>
      <c r="G11175" s="36" t="str">
        <f>IF(ISNUMBER(F11175),C11175*F11175,"")</f>
        <v/>
      </c>
    </row>
    <row r="11176" spans="1:7" ht="12" customHeight="1" outlineLevel="2" x14ac:dyDescent="0.2">
      <c r="A11176" s="14" t="s">
        <v>21972</v>
      </c>
      <c r="B11176" s="15" t="s">
        <v>21973</v>
      </c>
      <c r="C11176" s="16">
        <f>244.71/(1+B2)</f>
        <v>244.71</v>
      </c>
      <c r="D11176" s="17" t="s">
        <v>11</v>
      </c>
      <c r="E11176" s="17"/>
      <c r="F11176" s="18"/>
      <c r="G11176" s="36" t="str">
        <f>IF(ISNUMBER(F11176),C11176*F11176,"")</f>
        <v/>
      </c>
    </row>
    <row r="11177" spans="1:7" s="1" customFormat="1" ht="15.95" customHeight="1" x14ac:dyDescent="0.25">
      <c r="A11177" s="8"/>
      <c r="B11177" s="9" t="s">
        <v>21974</v>
      </c>
      <c r="C11177" s="10"/>
      <c r="D11177" s="10"/>
      <c r="E11177" s="10"/>
      <c r="F11177" s="10"/>
      <c r="G11177" s="34"/>
    </row>
    <row r="11178" spans="1:7" ht="24" customHeight="1" outlineLevel="1" x14ac:dyDescent="0.2">
      <c r="A11178" s="14" t="s">
        <v>21975</v>
      </c>
      <c r="B11178" s="15" t="s">
        <v>21976</v>
      </c>
      <c r="C11178" s="16">
        <f>178.12/(1+B2)</f>
        <v>178.12</v>
      </c>
      <c r="D11178" s="17" t="s">
        <v>11</v>
      </c>
      <c r="E11178" s="17"/>
      <c r="F11178" s="18"/>
      <c r="G11178" s="36" t="str">
        <f>IF(ISNUMBER(F11178),C11178*F11178,"")</f>
        <v/>
      </c>
    </row>
    <row r="11179" spans="1:7" ht="24" customHeight="1" outlineLevel="1" x14ac:dyDescent="0.2">
      <c r="A11179" s="14" t="s">
        <v>21977</v>
      </c>
      <c r="B11179" s="15" t="s">
        <v>21978</v>
      </c>
      <c r="C11179" s="16">
        <f>155.3/(1+B2)</f>
        <v>155.30000000000001</v>
      </c>
      <c r="D11179" s="17" t="s">
        <v>11</v>
      </c>
      <c r="E11179" s="17"/>
      <c r="F11179" s="18"/>
      <c r="G11179" s="36" t="str">
        <f>IF(ISNUMBER(F11179),C11179*F11179,"")</f>
        <v/>
      </c>
    </row>
    <row r="11180" spans="1:7" ht="24" customHeight="1" outlineLevel="1" x14ac:dyDescent="0.2">
      <c r="A11180" s="14" t="s">
        <v>21979</v>
      </c>
      <c r="B11180" s="15" t="s">
        <v>21980</v>
      </c>
      <c r="C11180" s="16">
        <f>303.35/(1+B2)</f>
        <v>303.35000000000002</v>
      </c>
      <c r="D11180" s="17" t="s">
        <v>11</v>
      </c>
      <c r="E11180" s="17"/>
      <c r="F11180" s="18"/>
      <c r="G11180" s="36" t="str">
        <f>IF(ISNUMBER(F11180),C11180*F11180,"")</f>
        <v/>
      </c>
    </row>
    <row r="11181" spans="1:7" ht="24" customHeight="1" outlineLevel="1" x14ac:dyDescent="0.2">
      <c r="A11181" s="14" t="s">
        <v>21981</v>
      </c>
      <c r="B11181" s="15" t="s">
        <v>21982</v>
      </c>
      <c r="C11181" s="16">
        <f>383.69/(1+B2)</f>
        <v>383.69</v>
      </c>
      <c r="D11181" s="17" t="s">
        <v>11</v>
      </c>
      <c r="E11181" s="17"/>
      <c r="F11181" s="18"/>
      <c r="G11181" s="36" t="str">
        <f>IF(ISNUMBER(F11181),C11181*F11181,"")</f>
        <v/>
      </c>
    </row>
    <row r="11182" spans="1:7" ht="24" customHeight="1" outlineLevel="1" x14ac:dyDescent="0.2">
      <c r="A11182" s="14" t="s">
        <v>21983</v>
      </c>
      <c r="B11182" s="15" t="s">
        <v>21984</v>
      </c>
      <c r="C11182" s="16">
        <f>298.29/(1+B2)</f>
        <v>298.29000000000002</v>
      </c>
      <c r="D11182" s="17" t="s">
        <v>11</v>
      </c>
      <c r="E11182" s="17"/>
      <c r="F11182" s="18"/>
      <c r="G11182" s="36" t="str">
        <f>IF(ISNUMBER(F11182),C11182*F11182,"")</f>
        <v/>
      </c>
    </row>
    <row r="11183" spans="1:7" s="1" customFormat="1" ht="15.95" customHeight="1" x14ac:dyDescent="0.25">
      <c r="A11183" s="8"/>
      <c r="B11183" s="9" t="s">
        <v>21985</v>
      </c>
      <c r="C11183" s="10"/>
      <c r="D11183" s="10"/>
      <c r="E11183" s="10"/>
      <c r="F11183" s="10"/>
      <c r="G11183" s="34"/>
    </row>
    <row r="11184" spans="1:7" ht="12" customHeight="1" outlineLevel="1" x14ac:dyDescent="0.2">
      <c r="A11184" s="14" t="s">
        <v>21986</v>
      </c>
      <c r="B11184" s="15" t="s">
        <v>21987</v>
      </c>
      <c r="C11184" s="16">
        <f>33.95/(1+B2)</f>
        <v>33.950000000000003</v>
      </c>
      <c r="D11184" s="17" t="s">
        <v>11</v>
      </c>
      <c r="E11184" s="17"/>
      <c r="F11184" s="18"/>
      <c r="G11184" s="36" t="str">
        <f>IF(ISNUMBER(F11184),C11184*F11184,"")</f>
        <v/>
      </c>
    </row>
    <row r="11185" spans="1:7" ht="12" customHeight="1" outlineLevel="1" x14ac:dyDescent="0.2">
      <c r="A11185" s="14" t="s">
        <v>21988</v>
      </c>
      <c r="B11185" s="15" t="s">
        <v>21989</v>
      </c>
      <c r="C11185" s="16">
        <f>33.95/(1+B2)</f>
        <v>33.950000000000003</v>
      </c>
      <c r="D11185" s="17" t="s">
        <v>11</v>
      </c>
      <c r="E11185" s="17"/>
      <c r="F11185" s="18"/>
      <c r="G11185" s="36" t="str">
        <f>IF(ISNUMBER(F11185),C11185*F11185,"")</f>
        <v/>
      </c>
    </row>
    <row r="11186" spans="1:7" ht="12" customHeight="1" outlineLevel="1" x14ac:dyDescent="0.2">
      <c r="A11186" s="14" t="s">
        <v>21990</v>
      </c>
      <c r="B11186" s="15" t="s">
        <v>21991</v>
      </c>
      <c r="C11186" s="16">
        <f>33.95/(1+B2)</f>
        <v>33.950000000000003</v>
      </c>
      <c r="D11186" s="17" t="s">
        <v>11</v>
      </c>
      <c r="E11186" s="17"/>
      <c r="F11186" s="18"/>
      <c r="G11186" s="36" t="str">
        <f>IF(ISNUMBER(F11186),C11186*F11186,"")</f>
        <v/>
      </c>
    </row>
    <row r="11187" spans="1:7" ht="12" customHeight="1" outlineLevel="1" x14ac:dyDescent="0.2">
      <c r="A11187" s="14" t="s">
        <v>21992</v>
      </c>
      <c r="B11187" s="15" t="s">
        <v>21993</v>
      </c>
      <c r="C11187" s="16">
        <f>33.95/(1+B2)</f>
        <v>33.950000000000003</v>
      </c>
      <c r="D11187" s="17" t="s">
        <v>11</v>
      </c>
      <c r="E11187" s="17"/>
      <c r="F11187" s="18"/>
      <c r="G11187" s="36" t="str">
        <f>IF(ISNUMBER(F11187),C11187*F11187,"")</f>
        <v/>
      </c>
    </row>
    <row r="11188" spans="1:7" ht="12" customHeight="1" outlineLevel="1" x14ac:dyDescent="0.2">
      <c r="A11188" s="14" t="s">
        <v>21994</v>
      </c>
      <c r="B11188" s="15" t="s">
        <v>21995</v>
      </c>
      <c r="C11188" s="16">
        <f>58.24/(1+B2)</f>
        <v>58.24</v>
      </c>
      <c r="D11188" s="17" t="s">
        <v>11</v>
      </c>
      <c r="E11188" s="17"/>
      <c r="F11188" s="18"/>
      <c r="G11188" s="36" t="str">
        <f>IF(ISNUMBER(F11188),C11188*F11188,"")</f>
        <v/>
      </c>
    </row>
    <row r="11189" spans="1:7" ht="12" customHeight="1" outlineLevel="1" x14ac:dyDescent="0.2">
      <c r="A11189" s="14" t="s">
        <v>21996</v>
      </c>
      <c r="B11189" s="15" t="s">
        <v>21997</v>
      </c>
      <c r="C11189" s="16">
        <f>58.24/(1+B2)</f>
        <v>58.24</v>
      </c>
      <c r="D11189" s="17" t="s">
        <v>11</v>
      </c>
      <c r="E11189" s="17"/>
      <c r="F11189" s="18"/>
      <c r="G11189" s="36" t="str">
        <f>IF(ISNUMBER(F11189),C11189*F11189,"")</f>
        <v/>
      </c>
    </row>
    <row r="11190" spans="1:7" ht="12" customHeight="1" outlineLevel="1" x14ac:dyDescent="0.2">
      <c r="A11190" s="14" t="s">
        <v>21998</v>
      </c>
      <c r="B11190" s="15" t="s">
        <v>21999</v>
      </c>
      <c r="C11190" s="16">
        <f>58.24/(1+B2)</f>
        <v>58.24</v>
      </c>
      <c r="D11190" s="17" t="s">
        <v>11</v>
      </c>
      <c r="E11190" s="17"/>
      <c r="F11190" s="18"/>
      <c r="G11190" s="36" t="str">
        <f>IF(ISNUMBER(F11190),C11190*F11190,"")</f>
        <v/>
      </c>
    </row>
    <row r="11191" spans="1:7" ht="12" customHeight="1" outlineLevel="1" x14ac:dyDescent="0.2">
      <c r="A11191" s="14" t="s">
        <v>22000</v>
      </c>
      <c r="B11191" s="15" t="s">
        <v>22001</v>
      </c>
      <c r="C11191" s="16">
        <f>58.24/(1+B2)</f>
        <v>58.24</v>
      </c>
      <c r="D11191" s="17" t="s">
        <v>11</v>
      </c>
      <c r="E11191" s="17"/>
      <c r="F11191" s="18"/>
      <c r="G11191" s="36" t="str">
        <f>IF(ISNUMBER(F11191),C11191*F11191,"")</f>
        <v/>
      </c>
    </row>
    <row r="11192" spans="1:7" ht="12" customHeight="1" outlineLevel="1" x14ac:dyDescent="0.2">
      <c r="A11192" s="14" t="s">
        <v>22002</v>
      </c>
      <c r="B11192" s="15" t="s">
        <v>22003</v>
      </c>
      <c r="C11192" s="16">
        <f>36.48/(1+B2)</f>
        <v>36.479999999999997</v>
      </c>
      <c r="D11192" s="17" t="s">
        <v>11</v>
      </c>
      <c r="E11192" s="17" t="s">
        <v>11</v>
      </c>
      <c r="F11192" s="18"/>
      <c r="G11192" s="36" t="str">
        <f>IF(ISNUMBER(F11192),C11192*F11192,"")</f>
        <v/>
      </c>
    </row>
    <row r="11193" spans="1:7" ht="12" customHeight="1" outlineLevel="1" x14ac:dyDescent="0.2">
      <c r="A11193" s="14" t="s">
        <v>22004</v>
      </c>
      <c r="B11193" s="15" t="s">
        <v>22005</v>
      </c>
      <c r="C11193" s="16">
        <f>98.66/(1+B2)</f>
        <v>98.66</v>
      </c>
      <c r="D11193" s="17" t="s">
        <v>11</v>
      </c>
      <c r="E11193" s="17"/>
      <c r="F11193" s="18"/>
      <c r="G11193" s="36" t="str">
        <f>IF(ISNUMBER(F11193),C11193*F11193,"")</f>
        <v/>
      </c>
    </row>
    <row r="11194" spans="1:7" ht="12" customHeight="1" outlineLevel="1" x14ac:dyDescent="0.2">
      <c r="A11194" s="14" t="s">
        <v>22006</v>
      </c>
      <c r="B11194" s="15" t="s">
        <v>22007</v>
      </c>
      <c r="C11194" s="16">
        <f>98.66/(1+B2)</f>
        <v>98.66</v>
      </c>
      <c r="D11194" s="17" t="s">
        <v>11</v>
      </c>
      <c r="E11194" s="17"/>
      <c r="F11194" s="18"/>
      <c r="G11194" s="36" t="str">
        <f>IF(ISNUMBER(F11194),C11194*F11194,"")</f>
        <v/>
      </c>
    </row>
    <row r="11195" spans="1:7" ht="24" customHeight="1" outlineLevel="1" x14ac:dyDescent="0.2">
      <c r="A11195" s="14" t="s">
        <v>22008</v>
      </c>
      <c r="B11195" s="15" t="s">
        <v>22009</v>
      </c>
      <c r="C11195" s="16">
        <f>159.86/(1+B2)</f>
        <v>159.86000000000001</v>
      </c>
      <c r="D11195" s="17" t="s">
        <v>11</v>
      </c>
      <c r="E11195" s="17"/>
      <c r="F11195" s="18"/>
      <c r="G11195" s="36" t="str">
        <f>IF(ISNUMBER(F11195),C11195*F11195,"")</f>
        <v/>
      </c>
    </row>
    <row r="11196" spans="1:7" ht="24" customHeight="1" outlineLevel="1" x14ac:dyDescent="0.2">
      <c r="A11196" s="14" t="s">
        <v>22010</v>
      </c>
      <c r="B11196" s="15" t="s">
        <v>22011</v>
      </c>
      <c r="C11196" s="16">
        <f>91.36/(1+B2)</f>
        <v>91.36</v>
      </c>
      <c r="D11196" s="17" t="s">
        <v>11</v>
      </c>
      <c r="E11196" s="17"/>
      <c r="F11196" s="18"/>
      <c r="G11196" s="36" t="str">
        <f>IF(ISNUMBER(F11196),C11196*F11196,"")</f>
        <v/>
      </c>
    </row>
    <row r="11197" spans="1:7" ht="24" customHeight="1" outlineLevel="1" x14ac:dyDescent="0.2">
      <c r="A11197" s="14" t="s">
        <v>22012</v>
      </c>
      <c r="B11197" s="15" t="s">
        <v>22013</v>
      </c>
      <c r="C11197" s="16">
        <f>91.36/(1+B2)</f>
        <v>91.36</v>
      </c>
      <c r="D11197" s="17" t="s">
        <v>11</v>
      </c>
      <c r="E11197" s="17"/>
      <c r="F11197" s="18"/>
      <c r="G11197" s="36" t="str">
        <f>IF(ISNUMBER(F11197),C11197*F11197,"")</f>
        <v/>
      </c>
    </row>
    <row r="11198" spans="1:7" ht="12" customHeight="1" outlineLevel="1" x14ac:dyDescent="0.2">
      <c r="A11198" s="14" t="s">
        <v>22014</v>
      </c>
      <c r="B11198" s="15" t="s">
        <v>22015</v>
      </c>
      <c r="C11198" s="16">
        <f>43.86/(1+B2)</f>
        <v>43.86</v>
      </c>
      <c r="D11198" s="17" t="s">
        <v>11</v>
      </c>
      <c r="E11198" s="17"/>
      <c r="F11198" s="18"/>
      <c r="G11198" s="36" t="str">
        <f>IF(ISNUMBER(F11198),C11198*F11198,"")</f>
        <v/>
      </c>
    </row>
    <row r="11199" spans="1:7" ht="24" customHeight="1" outlineLevel="1" x14ac:dyDescent="0.2">
      <c r="A11199" s="14" t="s">
        <v>22016</v>
      </c>
      <c r="B11199" s="15" t="s">
        <v>22017</v>
      </c>
      <c r="C11199" s="16">
        <f>68.52/(1+B2)</f>
        <v>68.52</v>
      </c>
      <c r="D11199" s="17" t="s">
        <v>11</v>
      </c>
      <c r="E11199" s="17"/>
      <c r="F11199" s="18"/>
      <c r="G11199" s="36" t="str">
        <f>IF(ISNUMBER(F11199),C11199*F11199,"")</f>
        <v/>
      </c>
    </row>
    <row r="11200" spans="1:7" ht="24" customHeight="1" outlineLevel="1" x14ac:dyDescent="0.2">
      <c r="A11200" s="14" t="s">
        <v>22018</v>
      </c>
      <c r="B11200" s="15" t="s">
        <v>22019</v>
      </c>
      <c r="C11200" s="16">
        <f>68.52/(1+B2)</f>
        <v>68.52</v>
      </c>
      <c r="D11200" s="17" t="s">
        <v>11</v>
      </c>
      <c r="E11200" s="17"/>
      <c r="F11200" s="18"/>
      <c r="G11200" s="36" t="str">
        <f>IF(ISNUMBER(F11200),C11200*F11200,"")</f>
        <v/>
      </c>
    </row>
    <row r="11201" spans="1:7" ht="12" customHeight="1" outlineLevel="1" x14ac:dyDescent="0.2">
      <c r="A11201" s="14" t="s">
        <v>22020</v>
      </c>
      <c r="B11201" s="15" t="s">
        <v>22021</v>
      </c>
      <c r="C11201" s="16">
        <f>150.73/(1+B2)</f>
        <v>150.72999999999999</v>
      </c>
      <c r="D11201" s="17" t="s">
        <v>11</v>
      </c>
      <c r="E11201" s="17"/>
      <c r="F11201" s="18"/>
      <c r="G11201" s="36" t="str">
        <f>IF(ISNUMBER(F11201),C11201*F11201,"")</f>
        <v/>
      </c>
    </row>
    <row r="11202" spans="1:7" ht="12" customHeight="1" outlineLevel="1" x14ac:dyDescent="0.2">
      <c r="A11202" s="14" t="s">
        <v>22022</v>
      </c>
      <c r="B11202" s="15" t="s">
        <v>22023</v>
      </c>
      <c r="C11202" s="16">
        <f>132.47/(1+B2)</f>
        <v>132.47</v>
      </c>
      <c r="D11202" s="17" t="s">
        <v>11</v>
      </c>
      <c r="E11202" s="17"/>
      <c r="F11202" s="18"/>
      <c r="G11202" s="36" t="str">
        <f>IF(ISNUMBER(F11202),C11202*F11202,"")</f>
        <v/>
      </c>
    </row>
    <row r="11203" spans="1:7" ht="12" customHeight="1" outlineLevel="1" x14ac:dyDescent="0.2">
      <c r="A11203" s="14" t="s">
        <v>22024</v>
      </c>
      <c r="B11203" s="15" t="s">
        <v>22025</v>
      </c>
      <c r="C11203" s="16">
        <f>45.67/(1+B2)</f>
        <v>45.67</v>
      </c>
      <c r="D11203" s="17" t="s">
        <v>11</v>
      </c>
      <c r="E11203" s="17" t="s">
        <v>11</v>
      </c>
      <c r="F11203" s="18"/>
      <c r="G11203" s="36" t="str">
        <f>IF(ISNUMBER(F11203),C11203*F11203,"")</f>
        <v/>
      </c>
    </row>
    <row r="11204" spans="1:7" ht="12" customHeight="1" outlineLevel="1" x14ac:dyDescent="0.2">
      <c r="A11204" s="14" t="s">
        <v>22026</v>
      </c>
      <c r="B11204" s="15" t="s">
        <v>22027</v>
      </c>
      <c r="C11204" s="16">
        <f>118.76/(1+B2)</f>
        <v>118.76</v>
      </c>
      <c r="D11204" s="17" t="s">
        <v>11</v>
      </c>
      <c r="E11204" s="17"/>
      <c r="F11204" s="18"/>
      <c r="G11204" s="36" t="str">
        <f>IF(ISNUMBER(F11204),C11204*F11204,"")</f>
        <v/>
      </c>
    </row>
    <row r="11205" spans="1:7" ht="12" customHeight="1" outlineLevel="1" x14ac:dyDescent="0.2">
      <c r="A11205" s="14" t="s">
        <v>22028</v>
      </c>
      <c r="B11205" s="15" t="s">
        <v>22029</v>
      </c>
      <c r="C11205" s="16">
        <f>118.76/(1+B2)</f>
        <v>118.76</v>
      </c>
      <c r="D11205" s="17" t="s">
        <v>11</v>
      </c>
      <c r="E11205" s="17"/>
      <c r="F11205" s="18"/>
      <c r="G11205" s="36" t="str">
        <f>IF(ISNUMBER(F11205),C11205*F11205,"")</f>
        <v/>
      </c>
    </row>
    <row r="11206" spans="1:7" ht="12" customHeight="1" outlineLevel="1" x14ac:dyDescent="0.2">
      <c r="A11206" s="14" t="s">
        <v>22030</v>
      </c>
      <c r="B11206" s="15" t="s">
        <v>22031</v>
      </c>
      <c r="C11206" s="16">
        <f>82.22/(1+B2)</f>
        <v>82.22</v>
      </c>
      <c r="D11206" s="17" t="s">
        <v>11</v>
      </c>
      <c r="E11206" s="17"/>
      <c r="F11206" s="18"/>
      <c r="G11206" s="36" t="str">
        <f>IF(ISNUMBER(F11206),C11206*F11206,"")</f>
        <v/>
      </c>
    </row>
    <row r="11207" spans="1:7" ht="12" customHeight="1" outlineLevel="1" x14ac:dyDescent="0.2">
      <c r="A11207" s="14" t="s">
        <v>22032</v>
      </c>
      <c r="B11207" s="15" t="s">
        <v>22033</v>
      </c>
      <c r="C11207" s="16">
        <f>82.22/(1+B2)</f>
        <v>82.22</v>
      </c>
      <c r="D11207" s="17" t="s">
        <v>11</v>
      </c>
      <c r="E11207" s="17"/>
      <c r="F11207" s="18"/>
      <c r="G11207" s="36" t="str">
        <f>IF(ISNUMBER(F11207),C11207*F11207,"")</f>
        <v/>
      </c>
    </row>
    <row r="11208" spans="1:7" ht="24" customHeight="1" outlineLevel="1" x14ac:dyDescent="0.2">
      <c r="A11208" s="14" t="s">
        <v>22034</v>
      </c>
      <c r="B11208" s="15" t="s">
        <v>22035</v>
      </c>
      <c r="C11208" s="16">
        <f>95.92/(1+B2)</f>
        <v>95.92</v>
      </c>
      <c r="D11208" s="17" t="s">
        <v>11</v>
      </c>
      <c r="E11208" s="17"/>
      <c r="F11208" s="18"/>
      <c r="G11208" s="36" t="str">
        <f>IF(ISNUMBER(F11208),C11208*F11208,"")</f>
        <v/>
      </c>
    </row>
    <row r="11209" spans="1:7" ht="24" customHeight="1" outlineLevel="1" x14ac:dyDescent="0.2">
      <c r="A11209" s="14" t="s">
        <v>22036</v>
      </c>
      <c r="B11209" s="15" t="s">
        <v>22037</v>
      </c>
      <c r="C11209" s="16">
        <f>95.92/(1+B2)</f>
        <v>95.92</v>
      </c>
      <c r="D11209" s="17" t="s">
        <v>11</v>
      </c>
      <c r="E11209" s="17"/>
      <c r="F11209" s="18"/>
      <c r="G11209" s="36" t="str">
        <f>IF(ISNUMBER(F11209),C11209*F11209,"")</f>
        <v/>
      </c>
    </row>
    <row r="11210" spans="1:7" ht="24" customHeight="1" outlineLevel="1" x14ac:dyDescent="0.2">
      <c r="A11210" s="14" t="s">
        <v>22038</v>
      </c>
      <c r="B11210" s="15" t="s">
        <v>22039</v>
      </c>
      <c r="C11210" s="16">
        <f>95.92/(1+B2)</f>
        <v>95.92</v>
      </c>
      <c r="D11210" s="17" t="s">
        <v>11</v>
      </c>
      <c r="E11210" s="17"/>
      <c r="F11210" s="18"/>
      <c r="G11210" s="36" t="str">
        <f>IF(ISNUMBER(F11210),C11210*F11210,"")</f>
        <v/>
      </c>
    </row>
    <row r="11211" spans="1:7" ht="12" customHeight="1" outlineLevel="1" x14ac:dyDescent="0.2">
      <c r="A11211" s="14" t="s">
        <v>22040</v>
      </c>
      <c r="B11211" s="15" t="s">
        <v>22041</v>
      </c>
      <c r="C11211" s="16">
        <f>93.85/(1+B2)</f>
        <v>93.85</v>
      </c>
      <c r="D11211" s="17" t="s">
        <v>11</v>
      </c>
      <c r="E11211" s="17"/>
      <c r="F11211" s="18"/>
      <c r="G11211" s="36" t="str">
        <f>IF(ISNUMBER(F11211),C11211*F11211,"")</f>
        <v/>
      </c>
    </row>
    <row r="11212" spans="1:7" ht="12" customHeight="1" outlineLevel="1" x14ac:dyDescent="0.2">
      <c r="A11212" s="14" t="s">
        <v>22042</v>
      </c>
      <c r="B11212" s="15" t="s">
        <v>22043</v>
      </c>
      <c r="C11212" s="16">
        <f>93.85/(1+B2)</f>
        <v>93.85</v>
      </c>
      <c r="D11212" s="17" t="s">
        <v>11</v>
      </c>
      <c r="E11212" s="17"/>
      <c r="F11212" s="18"/>
      <c r="G11212" s="36" t="str">
        <f>IF(ISNUMBER(F11212),C11212*F11212,"")</f>
        <v/>
      </c>
    </row>
    <row r="11213" spans="1:7" ht="12" customHeight="1" outlineLevel="1" x14ac:dyDescent="0.2">
      <c r="A11213" s="14" t="s">
        <v>22044</v>
      </c>
      <c r="B11213" s="15" t="s">
        <v>22045</v>
      </c>
      <c r="C11213" s="16">
        <f>93.85/(1+B2)</f>
        <v>93.85</v>
      </c>
      <c r="D11213" s="17" t="s">
        <v>11</v>
      </c>
      <c r="E11213" s="17"/>
      <c r="F11213" s="18"/>
      <c r="G11213" s="36" t="str">
        <f>IF(ISNUMBER(F11213),C11213*F11213,"")</f>
        <v/>
      </c>
    </row>
    <row r="11214" spans="1:7" ht="12" customHeight="1" outlineLevel="1" x14ac:dyDescent="0.2">
      <c r="A11214" s="14" t="s">
        <v>22046</v>
      </c>
      <c r="B11214" s="15" t="s">
        <v>22047</v>
      </c>
      <c r="C11214" s="16">
        <f>93.18/(1+B2)</f>
        <v>93.18</v>
      </c>
      <c r="D11214" s="17" t="s">
        <v>11</v>
      </c>
      <c r="E11214" s="17"/>
      <c r="F11214" s="18"/>
      <c r="G11214" s="36" t="str">
        <f>IF(ISNUMBER(F11214),C11214*F11214,"")</f>
        <v/>
      </c>
    </row>
    <row r="11215" spans="1:7" ht="12" customHeight="1" outlineLevel="1" x14ac:dyDescent="0.2">
      <c r="A11215" s="14" t="s">
        <v>22048</v>
      </c>
      <c r="B11215" s="15" t="s">
        <v>22049</v>
      </c>
      <c r="C11215" s="16">
        <f>93.18/(1+B2)</f>
        <v>93.18</v>
      </c>
      <c r="D11215" s="17" t="s">
        <v>11</v>
      </c>
      <c r="E11215" s="17"/>
      <c r="F11215" s="18"/>
      <c r="G11215" s="36" t="str">
        <f>IF(ISNUMBER(F11215),C11215*F11215,"")</f>
        <v/>
      </c>
    </row>
    <row r="11216" spans="1:7" ht="12" customHeight="1" outlineLevel="1" x14ac:dyDescent="0.2">
      <c r="A11216" s="14" t="s">
        <v>22050</v>
      </c>
      <c r="B11216" s="15" t="s">
        <v>22051</v>
      </c>
      <c r="C11216" s="16">
        <f>41.05/(1+B2)</f>
        <v>41.05</v>
      </c>
      <c r="D11216" s="17" t="s">
        <v>11</v>
      </c>
      <c r="E11216" s="17"/>
      <c r="F11216" s="18"/>
      <c r="G11216" s="36" t="str">
        <f>IF(ISNUMBER(F11216),C11216*F11216,"")</f>
        <v/>
      </c>
    </row>
    <row r="11217" spans="1:7" ht="24" customHeight="1" outlineLevel="1" x14ac:dyDescent="0.2">
      <c r="A11217" s="14" t="s">
        <v>22052</v>
      </c>
      <c r="B11217" s="15" t="s">
        <v>22053</v>
      </c>
      <c r="C11217" s="16">
        <f>97.5/(1+B2)</f>
        <v>97.5</v>
      </c>
      <c r="D11217" s="17" t="s">
        <v>11</v>
      </c>
      <c r="E11217" s="17"/>
      <c r="F11217" s="18"/>
      <c r="G11217" s="36" t="str">
        <f>IF(ISNUMBER(F11217),C11217*F11217,"")</f>
        <v/>
      </c>
    </row>
    <row r="11218" spans="1:7" ht="24" customHeight="1" outlineLevel="1" x14ac:dyDescent="0.2">
      <c r="A11218" s="14" t="s">
        <v>22054</v>
      </c>
      <c r="B11218" s="15" t="s">
        <v>22055</v>
      </c>
      <c r="C11218" s="16">
        <f>164.44/(1+B2)</f>
        <v>164.44</v>
      </c>
      <c r="D11218" s="17" t="s">
        <v>11</v>
      </c>
      <c r="E11218" s="17"/>
      <c r="F11218" s="18"/>
      <c r="G11218" s="36" t="str">
        <f>IF(ISNUMBER(F11218),C11218*F11218,"")</f>
        <v/>
      </c>
    </row>
    <row r="11219" spans="1:7" ht="24" customHeight="1" outlineLevel="1" x14ac:dyDescent="0.2">
      <c r="A11219" s="14" t="s">
        <v>22056</v>
      </c>
      <c r="B11219" s="15" t="s">
        <v>22057</v>
      </c>
      <c r="C11219" s="16">
        <f>164.44/(1+B2)</f>
        <v>164.44</v>
      </c>
      <c r="D11219" s="17" t="s">
        <v>11</v>
      </c>
      <c r="E11219" s="17"/>
      <c r="F11219" s="18"/>
      <c r="G11219" s="36" t="str">
        <f>IF(ISNUMBER(F11219),C11219*F11219,"")</f>
        <v/>
      </c>
    </row>
    <row r="11220" spans="1:7" ht="24" customHeight="1" outlineLevel="1" x14ac:dyDescent="0.2">
      <c r="A11220" s="14" t="s">
        <v>22058</v>
      </c>
      <c r="B11220" s="15" t="s">
        <v>22059</v>
      </c>
      <c r="C11220" s="16">
        <f>164.44/(1+B2)</f>
        <v>164.44</v>
      </c>
      <c r="D11220" s="17" t="s">
        <v>11</v>
      </c>
      <c r="E11220" s="17"/>
      <c r="F11220" s="18"/>
      <c r="G11220" s="36" t="str">
        <f>IF(ISNUMBER(F11220),C11220*F11220,"")</f>
        <v/>
      </c>
    </row>
    <row r="11221" spans="1:7" ht="12" customHeight="1" outlineLevel="1" x14ac:dyDescent="0.2">
      <c r="A11221" s="14" t="s">
        <v>22060</v>
      </c>
      <c r="B11221" s="15" t="s">
        <v>22061</v>
      </c>
      <c r="C11221" s="16">
        <f>114.82/(1+B2)</f>
        <v>114.82</v>
      </c>
      <c r="D11221" s="17" t="s">
        <v>11</v>
      </c>
      <c r="E11221" s="17"/>
      <c r="F11221" s="18"/>
      <c r="G11221" s="36" t="str">
        <f>IF(ISNUMBER(F11221),C11221*F11221,"")</f>
        <v/>
      </c>
    </row>
    <row r="11222" spans="1:7" ht="24" customHeight="1" outlineLevel="1" x14ac:dyDescent="0.2">
      <c r="A11222" s="14" t="s">
        <v>22062</v>
      </c>
      <c r="B11222" s="15" t="s">
        <v>22063</v>
      </c>
      <c r="C11222" s="16">
        <f>123.32/(1+B2)</f>
        <v>123.32</v>
      </c>
      <c r="D11222" s="17" t="s">
        <v>11</v>
      </c>
      <c r="E11222" s="17"/>
      <c r="F11222" s="18"/>
      <c r="G11222" s="36" t="str">
        <f>IF(ISNUMBER(F11222),C11222*F11222,"")</f>
        <v/>
      </c>
    </row>
    <row r="11223" spans="1:7" ht="24" customHeight="1" outlineLevel="1" x14ac:dyDescent="0.2">
      <c r="A11223" s="14" t="s">
        <v>22064</v>
      </c>
      <c r="B11223" s="15" t="s">
        <v>22065</v>
      </c>
      <c r="C11223" s="16">
        <f>123.32/(1+B2)</f>
        <v>123.32</v>
      </c>
      <c r="D11223" s="17" t="s">
        <v>11</v>
      </c>
      <c r="E11223" s="17"/>
      <c r="F11223" s="18"/>
      <c r="G11223" s="36" t="str">
        <f>IF(ISNUMBER(F11223),C11223*F11223,"")</f>
        <v/>
      </c>
    </row>
    <row r="11224" spans="1:7" ht="24" customHeight="1" outlineLevel="1" x14ac:dyDescent="0.2">
      <c r="A11224" s="14" t="s">
        <v>22066</v>
      </c>
      <c r="B11224" s="15" t="s">
        <v>22067</v>
      </c>
      <c r="C11224" s="16">
        <f>123.32/(1+B2)</f>
        <v>123.32</v>
      </c>
      <c r="D11224" s="17" t="s">
        <v>11</v>
      </c>
      <c r="E11224" s="17"/>
      <c r="F11224" s="18"/>
      <c r="G11224" s="36" t="str">
        <f>IF(ISNUMBER(F11224),C11224*F11224,"")</f>
        <v/>
      </c>
    </row>
    <row r="11225" spans="1:7" s="1" customFormat="1" ht="15.95" customHeight="1" x14ac:dyDescent="0.25">
      <c r="A11225" s="8"/>
      <c r="B11225" s="9" t="s">
        <v>22068</v>
      </c>
      <c r="C11225" s="10"/>
      <c r="D11225" s="10"/>
      <c r="E11225" s="10"/>
      <c r="F11225" s="10"/>
      <c r="G11225" s="34"/>
    </row>
    <row r="11226" spans="1:7" s="1" customFormat="1" ht="15.95" customHeight="1" outlineLevel="1" x14ac:dyDescent="0.25">
      <c r="A11226" s="11"/>
      <c r="B11226" s="12" t="s">
        <v>22069</v>
      </c>
      <c r="C11226" s="13"/>
      <c r="D11226" s="13"/>
      <c r="E11226" s="13"/>
      <c r="F11226" s="13"/>
      <c r="G11226" s="35"/>
    </row>
    <row r="11227" spans="1:7" ht="12" customHeight="1" outlineLevel="2" x14ac:dyDescent="0.2">
      <c r="A11227" s="14" t="s">
        <v>22070</v>
      </c>
      <c r="B11227" s="15" t="s">
        <v>22071</v>
      </c>
      <c r="C11227" s="16">
        <f>25/(1+B2)</f>
        <v>25</v>
      </c>
      <c r="D11227" s="17" t="s">
        <v>11</v>
      </c>
      <c r="E11227" s="17"/>
      <c r="F11227" s="18"/>
      <c r="G11227" s="36" t="str">
        <f>IF(ISNUMBER(F11227),C11227*F11227,"")</f>
        <v/>
      </c>
    </row>
    <row r="11228" spans="1:7" ht="12" customHeight="1" outlineLevel="2" x14ac:dyDescent="0.2">
      <c r="A11228" s="14" t="s">
        <v>22072</v>
      </c>
      <c r="B11228" s="15" t="s">
        <v>22073</v>
      </c>
      <c r="C11228" s="16">
        <f>107.5/(1+B2)</f>
        <v>107.5</v>
      </c>
      <c r="D11228" s="17" t="s">
        <v>11</v>
      </c>
      <c r="E11228" s="17" t="s">
        <v>53</v>
      </c>
      <c r="F11228" s="18"/>
      <c r="G11228" s="36" t="str">
        <f>IF(ISNUMBER(F11228),C11228*F11228,"")</f>
        <v/>
      </c>
    </row>
    <row r="11229" spans="1:7" ht="12" customHeight="1" outlineLevel="2" x14ac:dyDescent="0.2">
      <c r="A11229" s="14" t="s">
        <v>22074</v>
      </c>
      <c r="B11229" s="15" t="s">
        <v>22075</v>
      </c>
      <c r="C11229" s="16">
        <f>83.7/(1+B2)</f>
        <v>83.7</v>
      </c>
      <c r="D11229" s="17" t="s">
        <v>53</v>
      </c>
      <c r="E11229" s="17" t="s">
        <v>14</v>
      </c>
      <c r="F11229" s="18"/>
      <c r="G11229" s="36" t="str">
        <f>IF(ISNUMBER(F11229),C11229*F11229,"")</f>
        <v/>
      </c>
    </row>
    <row r="11230" spans="1:7" ht="12" customHeight="1" outlineLevel="2" x14ac:dyDescent="0.2">
      <c r="A11230" s="14" t="s">
        <v>22076</v>
      </c>
      <c r="B11230" s="15" t="s">
        <v>22077</v>
      </c>
      <c r="C11230" s="16">
        <f>84.86/(1+B2)</f>
        <v>84.86</v>
      </c>
      <c r="D11230" s="17" t="s">
        <v>53</v>
      </c>
      <c r="E11230" s="17" t="s">
        <v>53</v>
      </c>
      <c r="F11230" s="18"/>
      <c r="G11230" s="36" t="str">
        <f>IF(ISNUMBER(F11230),C11230*F11230,"")</f>
        <v/>
      </c>
    </row>
    <row r="11231" spans="1:7" ht="12" customHeight="1" outlineLevel="2" x14ac:dyDescent="0.2">
      <c r="A11231" s="14" t="s">
        <v>22078</v>
      </c>
      <c r="B11231" s="15" t="s">
        <v>22079</v>
      </c>
      <c r="C11231" s="16">
        <f>84.86/(1+B2)</f>
        <v>84.86</v>
      </c>
      <c r="D11231" s="17" t="s">
        <v>11</v>
      </c>
      <c r="E11231" s="17" t="s">
        <v>14</v>
      </c>
      <c r="F11231" s="18"/>
      <c r="G11231" s="36" t="str">
        <f>IF(ISNUMBER(F11231),C11231*F11231,"")</f>
        <v/>
      </c>
    </row>
    <row r="11232" spans="1:7" ht="12" customHeight="1" outlineLevel="2" x14ac:dyDescent="0.2">
      <c r="A11232" s="14" t="s">
        <v>22080</v>
      </c>
      <c r="B11232" s="15" t="s">
        <v>22081</v>
      </c>
      <c r="C11232" s="16">
        <f>157.5/(1+B2)</f>
        <v>157.5</v>
      </c>
      <c r="D11232" s="17" t="s">
        <v>11</v>
      </c>
      <c r="E11232" s="17" t="s">
        <v>53</v>
      </c>
      <c r="F11232" s="18"/>
      <c r="G11232" s="36" t="str">
        <f>IF(ISNUMBER(F11232),C11232*F11232,"")</f>
        <v/>
      </c>
    </row>
    <row r="11233" spans="1:7" ht="12" customHeight="1" outlineLevel="2" x14ac:dyDescent="0.2">
      <c r="A11233" s="14" t="s">
        <v>22082</v>
      </c>
      <c r="B11233" s="15" t="s">
        <v>22083</v>
      </c>
      <c r="C11233" s="16">
        <f>33.36/(1+B2)</f>
        <v>33.36</v>
      </c>
      <c r="D11233" s="17" t="s">
        <v>11</v>
      </c>
      <c r="E11233" s="17" t="s">
        <v>11</v>
      </c>
      <c r="F11233" s="18"/>
      <c r="G11233" s="36" t="str">
        <f>IF(ISNUMBER(F11233),C11233*F11233,"")</f>
        <v/>
      </c>
    </row>
    <row r="11234" spans="1:7" ht="12" customHeight="1" outlineLevel="2" x14ac:dyDescent="0.2">
      <c r="A11234" s="14" t="s">
        <v>22084</v>
      </c>
      <c r="B11234" s="15" t="s">
        <v>22085</v>
      </c>
      <c r="C11234" s="16">
        <f>36/(1+B2)</f>
        <v>36</v>
      </c>
      <c r="D11234" s="17" t="s">
        <v>14</v>
      </c>
      <c r="E11234" s="17"/>
      <c r="F11234" s="18"/>
      <c r="G11234" s="36" t="str">
        <f>IF(ISNUMBER(F11234),C11234*F11234,"")</f>
        <v/>
      </c>
    </row>
    <row r="11235" spans="1:7" ht="12" customHeight="1" outlineLevel="2" x14ac:dyDescent="0.2">
      <c r="A11235" s="14" t="s">
        <v>22086</v>
      </c>
      <c r="B11235" s="15" t="s">
        <v>22087</v>
      </c>
      <c r="C11235" s="16">
        <f>80.21/(1+B2)</f>
        <v>80.209999999999994</v>
      </c>
      <c r="D11235" s="17" t="s">
        <v>14</v>
      </c>
      <c r="E11235" s="17" t="s">
        <v>53</v>
      </c>
      <c r="F11235" s="18"/>
      <c r="G11235" s="36" t="str">
        <f>IF(ISNUMBER(F11235),C11235*F11235,"")</f>
        <v/>
      </c>
    </row>
    <row r="11236" spans="1:7" ht="12" customHeight="1" outlineLevel="2" x14ac:dyDescent="0.2">
      <c r="A11236" s="14" t="s">
        <v>22088</v>
      </c>
      <c r="B11236" s="15" t="s">
        <v>22089</v>
      </c>
      <c r="C11236" s="16">
        <f>67.43/(1+B2)</f>
        <v>67.430000000000007</v>
      </c>
      <c r="D11236" s="17" t="s">
        <v>14</v>
      </c>
      <c r="E11236" s="17" t="s">
        <v>106</v>
      </c>
      <c r="F11236" s="18"/>
      <c r="G11236" s="36" t="str">
        <f>IF(ISNUMBER(F11236),C11236*F11236,"")</f>
        <v/>
      </c>
    </row>
    <row r="11237" spans="1:7" ht="12" customHeight="1" outlineLevel="2" x14ac:dyDescent="0.2">
      <c r="A11237" s="14" t="s">
        <v>22090</v>
      </c>
      <c r="B11237" s="15" t="s">
        <v>22091</v>
      </c>
      <c r="C11237" s="16">
        <f>31.6/(1+B2)</f>
        <v>31.6</v>
      </c>
      <c r="D11237" s="17" t="s">
        <v>11</v>
      </c>
      <c r="E11237" s="17" t="s">
        <v>11</v>
      </c>
      <c r="F11237" s="18"/>
      <c r="G11237" s="36" t="str">
        <f>IF(ISNUMBER(F11237),C11237*F11237,"")</f>
        <v/>
      </c>
    </row>
    <row r="11238" spans="1:7" ht="12" customHeight="1" outlineLevel="2" x14ac:dyDescent="0.2">
      <c r="A11238" s="14" t="s">
        <v>22092</v>
      </c>
      <c r="B11238" s="15" t="s">
        <v>22093</v>
      </c>
      <c r="C11238" s="16">
        <f>80.21/(1+B2)</f>
        <v>80.209999999999994</v>
      </c>
      <c r="D11238" s="17" t="s">
        <v>11</v>
      </c>
      <c r="E11238" s="17" t="s">
        <v>53</v>
      </c>
      <c r="F11238" s="18"/>
      <c r="G11238" s="36" t="str">
        <f>IF(ISNUMBER(F11238),C11238*F11238,"")</f>
        <v/>
      </c>
    </row>
    <row r="11239" spans="1:7" ht="12" customHeight="1" outlineLevel="2" x14ac:dyDescent="0.2">
      <c r="A11239" s="14" t="s">
        <v>22094</v>
      </c>
      <c r="B11239" s="15" t="s">
        <v>22095</v>
      </c>
      <c r="C11239" s="16">
        <f>36.19/(1+B2)</f>
        <v>36.19</v>
      </c>
      <c r="D11239" s="17" t="s">
        <v>11</v>
      </c>
      <c r="E11239" s="17" t="s">
        <v>53</v>
      </c>
      <c r="F11239" s="18"/>
      <c r="G11239" s="36" t="str">
        <f>IF(ISNUMBER(F11239),C11239*F11239,"")</f>
        <v/>
      </c>
    </row>
    <row r="11240" spans="1:7" ht="12" customHeight="1" outlineLevel="2" x14ac:dyDescent="0.2">
      <c r="A11240" s="14" t="s">
        <v>22096</v>
      </c>
      <c r="B11240" s="15" t="s">
        <v>22097</v>
      </c>
      <c r="C11240" s="16">
        <f>24.34/(1+B2)</f>
        <v>24.34</v>
      </c>
      <c r="D11240" s="17" t="s">
        <v>11</v>
      </c>
      <c r="E11240" s="17"/>
      <c r="F11240" s="18"/>
      <c r="G11240" s="36" t="str">
        <f>IF(ISNUMBER(F11240),C11240*F11240,"")</f>
        <v/>
      </c>
    </row>
    <row r="11241" spans="1:7" ht="12" customHeight="1" outlineLevel="2" x14ac:dyDescent="0.2">
      <c r="A11241" s="14" t="s">
        <v>22098</v>
      </c>
      <c r="B11241" s="15" t="s">
        <v>22099</v>
      </c>
      <c r="C11241" s="16">
        <f>78.75/(1+B2)</f>
        <v>78.75</v>
      </c>
      <c r="D11241" s="17" t="s">
        <v>53</v>
      </c>
      <c r="E11241" s="17" t="s">
        <v>106</v>
      </c>
      <c r="F11241" s="18"/>
      <c r="G11241" s="36" t="str">
        <f>IF(ISNUMBER(F11241),C11241*F11241,"")</f>
        <v/>
      </c>
    </row>
    <row r="11242" spans="1:7" ht="12" customHeight="1" outlineLevel="2" x14ac:dyDescent="0.2">
      <c r="A11242" s="14" t="s">
        <v>22100</v>
      </c>
      <c r="B11242" s="15" t="s">
        <v>22101</v>
      </c>
      <c r="C11242" s="16">
        <f>44.66/(1+B2)</f>
        <v>44.66</v>
      </c>
      <c r="D11242" s="17" t="s">
        <v>11</v>
      </c>
      <c r="E11242" s="17" t="s">
        <v>53</v>
      </c>
      <c r="F11242" s="18"/>
      <c r="G11242" s="36" t="str">
        <f>IF(ISNUMBER(F11242),C11242*F11242,"")</f>
        <v/>
      </c>
    </row>
    <row r="11243" spans="1:7" ht="12" customHeight="1" outlineLevel="2" x14ac:dyDescent="0.2">
      <c r="A11243" s="14" t="s">
        <v>22102</v>
      </c>
      <c r="B11243" s="15" t="s">
        <v>22103</v>
      </c>
      <c r="C11243" s="16">
        <f>96.53/(1+B2)</f>
        <v>96.53</v>
      </c>
      <c r="D11243" s="17" t="s">
        <v>11</v>
      </c>
      <c r="E11243" s="17" t="s">
        <v>14</v>
      </c>
      <c r="F11243" s="18"/>
      <c r="G11243" s="36" t="str">
        <f>IF(ISNUMBER(F11243),C11243*F11243,"")</f>
        <v/>
      </c>
    </row>
    <row r="11244" spans="1:7" ht="12" customHeight="1" outlineLevel="2" x14ac:dyDescent="0.2">
      <c r="A11244" s="14" t="s">
        <v>22104</v>
      </c>
      <c r="B11244" s="15" t="s">
        <v>22105</v>
      </c>
      <c r="C11244" s="16">
        <f>90/(1+B2)</f>
        <v>90</v>
      </c>
      <c r="D11244" s="17" t="s">
        <v>11</v>
      </c>
      <c r="E11244" s="17" t="s">
        <v>53</v>
      </c>
      <c r="F11244" s="18"/>
      <c r="G11244" s="36" t="str">
        <f>IF(ISNUMBER(F11244),C11244*F11244,"")</f>
        <v/>
      </c>
    </row>
    <row r="11245" spans="1:7" ht="12" customHeight="1" outlineLevel="2" x14ac:dyDescent="0.2">
      <c r="A11245" s="14" t="s">
        <v>22106</v>
      </c>
      <c r="B11245" s="15" t="s">
        <v>22107</v>
      </c>
      <c r="C11245" s="16">
        <f>83.7/(1+B2)</f>
        <v>83.7</v>
      </c>
      <c r="D11245" s="17" t="s">
        <v>53</v>
      </c>
      <c r="E11245" s="17" t="s">
        <v>14</v>
      </c>
      <c r="F11245" s="18"/>
      <c r="G11245" s="36" t="str">
        <f>IF(ISNUMBER(F11245),C11245*F11245,"")</f>
        <v/>
      </c>
    </row>
    <row r="11246" spans="1:7" ht="12" customHeight="1" outlineLevel="2" x14ac:dyDescent="0.2">
      <c r="A11246" s="14" t="s">
        <v>22108</v>
      </c>
      <c r="B11246" s="15" t="s">
        <v>22109</v>
      </c>
      <c r="C11246" s="16">
        <f>60.67/(1+B2)</f>
        <v>60.67</v>
      </c>
      <c r="D11246" s="17" t="s">
        <v>14</v>
      </c>
      <c r="E11246" s="17"/>
      <c r="F11246" s="18"/>
      <c r="G11246" s="36" t="str">
        <f>IF(ISNUMBER(F11246),C11246*F11246,"")</f>
        <v/>
      </c>
    </row>
    <row r="11247" spans="1:7" ht="12" customHeight="1" outlineLevel="2" x14ac:dyDescent="0.2">
      <c r="A11247" s="14" t="s">
        <v>22110</v>
      </c>
      <c r="B11247" s="15" t="s">
        <v>22111</v>
      </c>
      <c r="C11247" s="16">
        <f>25.31/(1+B2)</f>
        <v>25.31</v>
      </c>
      <c r="D11247" s="17" t="s">
        <v>11</v>
      </c>
      <c r="E11247" s="17" t="s">
        <v>53</v>
      </c>
      <c r="F11247" s="18"/>
      <c r="G11247" s="36" t="str">
        <f>IF(ISNUMBER(F11247),C11247*F11247,"")</f>
        <v/>
      </c>
    </row>
    <row r="11248" spans="1:7" ht="24" customHeight="1" outlineLevel="2" x14ac:dyDescent="0.2">
      <c r="A11248" s="14" t="s">
        <v>22112</v>
      </c>
      <c r="B11248" s="15" t="s">
        <v>22113</v>
      </c>
      <c r="C11248" s="16">
        <f>19.96/(1+B2)</f>
        <v>19.96</v>
      </c>
      <c r="D11248" s="17" t="s">
        <v>11</v>
      </c>
      <c r="E11248" s="17" t="s">
        <v>14</v>
      </c>
      <c r="F11248" s="18"/>
      <c r="G11248" s="36" t="str">
        <f>IF(ISNUMBER(F11248),C11248*F11248,"")</f>
        <v/>
      </c>
    </row>
    <row r="11249" spans="1:7" ht="12" customHeight="1" outlineLevel="2" x14ac:dyDescent="0.2">
      <c r="A11249" s="14" t="s">
        <v>22114</v>
      </c>
      <c r="B11249" s="15" t="s">
        <v>22115</v>
      </c>
      <c r="C11249" s="16">
        <f>87.19/(1+B2)</f>
        <v>87.19</v>
      </c>
      <c r="D11249" s="17" t="s">
        <v>11</v>
      </c>
      <c r="E11249" s="17" t="s">
        <v>14</v>
      </c>
      <c r="F11249" s="18"/>
      <c r="G11249" s="36" t="str">
        <f>IF(ISNUMBER(F11249),C11249*F11249,"")</f>
        <v/>
      </c>
    </row>
    <row r="11250" spans="1:7" ht="12" customHeight="1" outlineLevel="2" x14ac:dyDescent="0.2">
      <c r="A11250" s="14" t="s">
        <v>22116</v>
      </c>
      <c r="B11250" s="15" t="s">
        <v>22117</v>
      </c>
      <c r="C11250" s="16">
        <f>95/(1+B2)</f>
        <v>95</v>
      </c>
      <c r="D11250" s="17" t="s">
        <v>11</v>
      </c>
      <c r="E11250" s="17" t="s">
        <v>53</v>
      </c>
      <c r="F11250" s="18"/>
      <c r="G11250" s="36" t="str">
        <f>IF(ISNUMBER(F11250),C11250*F11250,"")</f>
        <v/>
      </c>
    </row>
    <row r="11251" spans="1:7" ht="12" customHeight="1" outlineLevel="2" x14ac:dyDescent="0.2">
      <c r="A11251" s="14" t="s">
        <v>22118</v>
      </c>
      <c r="B11251" s="15" t="s">
        <v>22119</v>
      </c>
      <c r="C11251" s="16">
        <f>34.73/(1+B2)</f>
        <v>34.729999999999997</v>
      </c>
      <c r="D11251" s="17" t="s">
        <v>11</v>
      </c>
      <c r="E11251" s="17" t="s">
        <v>53</v>
      </c>
      <c r="F11251" s="18"/>
      <c r="G11251" s="36" t="str">
        <f>IF(ISNUMBER(F11251),C11251*F11251,"")</f>
        <v/>
      </c>
    </row>
    <row r="11252" spans="1:7" ht="12" customHeight="1" outlineLevel="2" x14ac:dyDescent="0.2">
      <c r="A11252" s="14" t="s">
        <v>22120</v>
      </c>
      <c r="B11252" s="15" t="s">
        <v>22121</v>
      </c>
      <c r="C11252" s="16">
        <f>31.99/(1+B2)</f>
        <v>31.99</v>
      </c>
      <c r="D11252" s="17" t="s">
        <v>11</v>
      </c>
      <c r="E11252" s="17" t="s">
        <v>11</v>
      </c>
      <c r="F11252" s="18"/>
      <c r="G11252" s="36" t="str">
        <f>IF(ISNUMBER(F11252),C11252*F11252,"")</f>
        <v/>
      </c>
    </row>
    <row r="11253" spans="1:7" ht="12" customHeight="1" outlineLevel="2" x14ac:dyDescent="0.2">
      <c r="A11253" s="14" t="s">
        <v>22122</v>
      </c>
      <c r="B11253" s="15" t="s">
        <v>22123</v>
      </c>
      <c r="C11253" s="16">
        <f>34.22/(1+B2)</f>
        <v>34.22</v>
      </c>
      <c r="D11253" s="17" t="s">
        <v>11</v>
      </c>
      <c r="E11253" s="17" t="s">
        <v>14</v>
      </c>
      <c r="F11253" s="18"/>
      <c r="G11253" s="36" t="str">
        <f>IF(ISNUMBER(F11253),C11253*F11253,"")</f>
        <v/>
      </c>
    </row>
    <row r="11254" spans="1:7" ht="12" customHeight="1" outlineLevel="2" x14ac:dyDescent="0.2">
      <c r="A11254" s="14" t="s">
        <v>22124</v>
      </c>
      <c r="B11254" s="15" t="s">
        <v>22125</v>
      </c>
      <c r="C11254" s="16">
        <f>75.56/(1+B2)</f>
        <v>75.56</v>
      </c>
      <c r="D11254" s="17" t="s">
        <v>11</v>
      </c>
      <c r="E11254" s="17" t="s">
        <v>53</v>
      </c>
      <c r="F11254" s="18"/>
      <c r="G11254" s="36" t="str">
        <f>IF(ISNUMBER(F11254),C11254*F11254,"")</f>
        <v/>
      </c>
    </row>
    <row r="11255" spans="1:7" ht="12" customHeight="1" outlineLevel="2" x14ac:dyDescent="0.2">
      <c r="A11255" s="14" t="s">
        <v>22126</v>
      </c>
      <c r="B11255" s="15" t="s">
        <v>22127</v>
      </c>
      <c r="C11255" s="16">
        <f>103.75/(1+B2)</f>
        <v>103.75</v>
      </c>
      <c r="D11255" s="17" t="s">
        <v>11</v>
      </c>
      <c r="E11255" s="17" t="s">
        <v>53</v>
      </c>
      <c r="F11255" s="18"/>
      <c r="G11255" s="36" t="str">
        <f>IF(ISNUMBER(F11255),C11255*F11255,"")</f>
        <v/>
      </c>
    </row>
    <row r="11256" spans="1:7" ht="12" customHeight="1" outlineLevel="2" x14ac:dyDescent="0.2">
      <c r="A11256" s="14" t="s">
        <v>22128</v>
      </c>
      <c r="B11256" s="15" t="s">
        <v>22129</v>
      </c>
      <c r="C11256" s="16">
        <f>122.5/(1+B2)</f>
        <v>122.5</v>
      </c>
      <c r="D11256" s="17" t="s">
        <v>11</v>
      </c>
      <c r="E11256" s="17" t="s">
        <v>14</v>
      </c>
      <c r="F11256" s="18"/>
      <c r="G11256" s="36" t="str">
        <f>IF(ISNUMBER(F11256),C11256*F11256,"")</f>
        <v/>
      </c>
    </row>
    <row r="11257" spans="1:7" ht="12" customHeight="1" outlineLevel="2" x14ac:dyDescent="0.2">
      <c r="A11257" s="14" t="s">
        <v>22130</v>
      </c>
      <c r="B11257" s="15" t="s">
        <v>22131</v>
      </c>
      <c r="C11257" s="16">
        <f>109.28/(1+B2)</f>
        <v>109.28</v>
      </c>
      <c r="D11257" s="17" t="s">
        <v>11</v>
      </c>
      <c r="E11257" s="17"/>
      <c r="F11257" s="18"/>
      <c r="G11257" s="36" t="str">
        <f>IF(ISNUMBER(F11257),C11257*F11257,"")</f>
        <v/>
      </c>
    </row>
    <row r="11258" spans="1:7" ht="12" customHeight="1" outlineLevel="2" x14ac:dyDescent="0.2">
      <c r="A11258" s="14" t="s">
        <v>22132</v>
      </c>
      <c r="B11258" s="15" t="s">
        <v>22133</v>
      </c>
      <c r="C11258" s="16">
        <f>106.95/(1+B2)</f>
        <v>106.95</v>
      </c>
      <c r="D11258" s="17" t="s">
        <v>53</v>
      </c>
      <c r="E11258" s="17" t="s">
        <v>53</v>
      </c>
      <c r="F11258" s="18"/>
      <c r="G11258" s="36" t="str">
        <f>IF(ISNUMBER(F11258),C11258*F11258,"")</f>
        <v/>
      </c>
    </row>
    <row r="11259" spans="1:7" ht="12" customHeight="1" outlineLevel="2" x14ac:dyDescent="0.2">
      <c r="A11259" s="14" t="s">
        <v>22134</v>
      </c>
      <c r="B11259" s="15" t="s">
        <v>22135</v>
      </c>
      <c r="C11259" s="16">
        <f>186.25/(1+B2)</f>
        <v>186.25</v>
      </c>
      <c r="D11259" s="17" t="s">
        <v>11</v>
      </c>
      <c r="E11259" s="17" t="s">
        <v>14</v>
      </c>
      <c r="F11259" s="18"/>
      <c r="G11259" s="36" t="str">
        <f>IF(ISNUMBER(F11259),C11259*F11259,"")</f>
        <v/>
      </c>
    </row>
    <row r="11260" spans="1:7" ht="24" customHeight="1" outlineLevel="2" x14ac:dyDescent="0.2">
      <c r="A11260" s="14" t="s">
        <v>22136</v>
      </c>
      <c r="B11260" s="15" t="s">
        <v>22137</v>
      </c>
      <c r="C11260" s="16">
        <f>43.68/(1+B2)</f>
        <v>43.68</v>
      </c>
      <c r="D11260" s="17" t="s">
        <v>11</v>
      </c>
      <c r="E11260" s="17" t="s">
        <v>14</v>
      </c>
      <c r="F11260" s="18"/>
      <c r="G11260" s="36" t="str">
        <f>IF(ISNUMBER(F11260),C11260*F11260,"")</f>
        <v/>
      </c>
    </row>
    <row r="11261" spans="1:7" ht="12" customHeight="1" outlineLevel="2" x14ac:dyDescent="0.2">
      <c r="A11261" s="14" t="s">
        <v>22138</v>
      </c>
      <c r="B11261" s="15" t="s">
        <v>22139</v>
      </c>
      <c r="C11261" s="16">
        <f>52.31/(1+B2)</f>
        <v>52.31</v>
      </c>
      <c r="D11261" s="17" t="s">
        <v>53</v>
      </c>
      <c r="E11261" s="17"/>
      <c r="F11261" s="18"/>
      <c r="G11261" s="36" t="str">
        <f>IF(ISNUMBER(F11261),C11261*F11261,"")</f>
        <v/>
      </c>
    </row>
    <row r="11262" spans="1:7" ht="12" customHeight="1" outlineLevel="2" x14ac:dyDescent="0.2">
      <c r="A11262" s="14" t="s">
        <v>22140</v>
      </c>
      <c r="B11262" s="15" t="s">
        <v>22141</v>
      </c>
      <c r="C11262" s="16">
        <f>83.7/(1+B2)</f>
        <v>83.7</v>
      </c>
      <c r="D11262" s="17" t="s">
        <v>53</v>
      </c>
      <c r="E11262" s="17"/>
      <c r="F11262" s="18"/>
      <c r="G11262" s="36" t="str">
        <f>IF(ISNUMBER(F11262),C11262*F11262,"")</f>
        <v/>
      </c>
    </row>
    <row r="11263" spans="1:7" ht="12" customHeight="1" outlineLevel="2" x14ac:dyDescent="0.2">
      <c r="A11263" s="14" t="s">
        <v>22142</v>
      </c>
      <c r="B11263" s="15" t="s">
        <v>22143</v>
      </c>
      <c r="C11263" s="16">
        <f>101.14/(1+B2)</f>
        <v>101.14</v>
      </c>
      <c r="D11263" s="17" t="s">
        <v>11</v>
      </c>
      <c r="E11263" s="17"/>
      <c r="F11263" s="18"/>
      <c r="G11263" s="36" t="str">
        <f>IF(ISNUMBER(F11263),C11263*F11263,"")</f>
        <v/>
      </c>
    </row>
    <row r="11264" spans="1:7" ht="12" customHeight="1" outlineLevel="2" x14ac:dyDescent="0.2">
      <c r="A11264" s="14" t="s">
        <v>22144</v>
      </c>
      <c r="B11264" s="15" t="s">
        <v>22145</v>
      </c>
      <c r="C11264" s="16">
        <f>101.14/(1+B2)</f>
        <v>101.14</v>
      </c>
      <c r="D11264" s="17" t="s">
        <v>11</v>
      </c>
      <c r="E11264" s="17" t="s">
        <v>11</v>
      </c>
      <c r="F11264" s="18"/>
      <c r="G11264" s="36" t="str">
        <f>IF(ISNUMBER(F11264),C11264*F11264,"")</f>
        <v/>
      </c>
    </row>
    <row r="11265" spans="1:7" ht="12" customHeight="1" outlineLevel="2" x14ac:dyDescent="0.2">
      <c r="A11265" s="14" t="s">
        <v>22146</v>
      </c>
      <c r="B11265" s="15" t="s">
        <v>22147</v>
      </c>
      <c r="C11265" s="16">
        <f>95.33/(1+B2)</f>
        <v>95.33</v>
      </c>
      <c r="D11265" s="17" t="s">
        <v>11</v>
      </c>
      <c r="E11265" s="17" t="s">
        <v>53</v>
      </c>
      <c r="F11265" s="18"/>
      <c r="G11265" s="36" t="str">
        <f>IF(ISNUMBER(F11265),C11265*F11265,"")</f>
        <v/>
      </c>
    </row>
    <row r="11266" spans="1:7" ht="12" customHeight="1" outlineLevel="2" x14ac:dyDescent="0.2">
      <c r="A11266" s="14" t="s">
        <v>22148</v>
      </c>
      <c r="B11266" s="15" t="s">
        <v>22149</v>
      </c>
      <c r="C11266" s="16">
        <f>84.86/(1+B2)</f>
        <v>84.86</v>
      </c>
      <c r="D11266" s="17" t="s">
        <v>11</v>
      </c>
      <c r="E11266" s="17" t="s">
        <v>11</v>
      </c>
      <c r="F11266" s="18"/>
      <c r="G11266" s="36" t="str">
        <f>IF(ISNUMBER(F11266),C11266*F11266,"")</f>
        <v/>
      </c>
    </row>
    <row r="11267" spans="1:7" ht="12" customHeight="1" outlineLevel="2" x14ac:dyDescent="0.2">
      <c r="A11267" s="14" t="s">
        <v>22150</v>
      </c>
      <c r="B11267" s="15" t="s">
        <v>22151</v>
      </c>
      <c r="C11267" s="16">
        <f>98.81/(1+B2)</f>
        <v>98.81</v>
      </c>
      <c r="D11267" s="17" t="s">
        <v>11</v>
      </c>
      <c r="E11267" s="17" t="s">
        <v>53</v>
      </c>
      <c r="F11267" s="18"/>
      <c r="G11267" s="36" t="str">
        <f>IF(ISNUMBER(F11267),C11267*F11267,"")</f>
        <v/>
      </c>
    </row>
    <row r="11268" spans="1:7" ht="12" customHeight="1" outlineLevel="2" x14ac:dyDescent="0.2">
      <c r="A11268" s="14" t="s">
        <v>22152</v>
      </c>
      <c r="B11268" s="15" t="s">
        <v>22153</v>
      </c>
      <c r="C11268" s="16">
        <f>128.75/(1+B2)</f>
        <v>128.75</v>
      </c>
      <c r="D11268" s="17" t="s">
        <v>11</v>
      </c>
      <c r="E11268" s="17" t="s">
        <v>14</v>
      </c>
      <c r="F11268" s="18"/>
      <c r="G11268" s="36" t="str">
        <f>IF(ISNUMBER(F11268),C11268*F11268,"")</f>
        <v/>
      </c>
    </row>
    <row r="11269" spans="1:7" ht="12" customHeight="1" outlineLevel="2" x14ac:dyDescent="0.2">
      <c r="A11269" s="14" t="s">
        <v>22154</v>
      </c>
      <c r="B11269" s="15" t="s">
        <v>22155</v>
      </c>
      <c r="C11269" s="16">
        <f>95.33/(1+B2)</f>
        <v>95.33</v>
      </c>
      <c r="D11269" s="17" t="s">
        <v>14</v>
      </c>
      <c r="E11269" s="17" t="s">
        <v>53</v>
      </c>
      <c r="F11269" s="18"/>
      <c r="G11269" s="36" t="str">
        <f>IF(ISNUMBER(F11269),C11269*F11269,"")</f>
        <v/>
      </c>
    </row>
    <row r="11270" spans="1:7" ht="12" customHeight="1" outlineLevel="2" x14ac:dyDescent="0.2">
      <c r="A11270" s="14" t="s">
        <v>22156</v>
      </c>
      <c r="B11270" s="15" t="s">
        <v>22157</v>
      </c>
      <c r="C11270" s="16">
        <f>95.33/(1+B2)</f>
        <v>95.33</v>
      </c>
      <c r="D11270" s="17" t="s">
        <v>11</v>
      </c>
      <c r="E11270" s="17" t="s">
        <v>53</v>
      </c>
      <c r="F11270" s="18"/>
      <c r="G11270" s="36" t="str">
        <f>IF(ISNUMBER(F11270),C11270*F11270,"")</f>
        <v/>
      </c>
    </row>
    <row r="11271" spans="1:7" ht="12" customHeight="1" outlineLevel="2" x14ac:dyDescent="0.2">
      <c r="A11271" s="14" t="s">
        <v>22158</v>
      </c>
      <c r="B11271" s="15" t="s">
        <v>22159</v>
      </c>
      <c r="C11271" s="16">
        <f>93.75/(1+B2)</f>
        <v>93.75</v>
      </c>
      <c r="D11271" s="17" t="s">
        <v>11</v>
      </c>
      <c r="E11271" s="17" t="s">
        <v>14</v>
      </c>
      <c r="F11271" s="18"/>
      <c r="G11271" s="36" t="str">
        <f>IF(ISNUMBER(F11271),C11271*F11271,"")</f>
        <v/>
      </c>
    </row>
    <row r="11272" spans="1:7" ht="12" customHeight="1" outlineLevel="2" x14ac:dyDescent="0.2">
      <c r="A11272" s="14" t="s">
        <v>22160</v>
      </c>
      <c r="B11272" s="15" t="s">
        <v>22161</v>
      </c>
      <c r="C11272" s="16">
        <f>87.19/(1+B2)</f>
        <v>87.19</v>
      </c>
      <c r="D11272" s="17" t="s">
        <v>11</v>
      </c>
      <c r="E11272" s="17" t="s">
        <v>14</v>
      </c>
      <c r="F11272" s="18"/>
      <c r="G11272" s="36" t="str">
        <f>IF(ISNUMBER(F11272),C11272*F11272,"")</f>
        <v/>
      </c>
    </row>
    <row r="11273" spans="1:7" ht="12" customHeight="1" outlineLevel="2" x14ac:dyDescent="0.2">
      <c r="A11273" s="14" t="s">
        <v>22162</v>
      </c>
      <c r="B11273" s="15" t="s">
        <v>22163</v>
      </c>
      <c r="C11273" s="16">
        <f>83.7/(1+B2)</f>
        <v>83.7</v>
      </c>
      <c r="D11273" s="17" t="s">
        <v>14</v>
      </c>
      <c r="E11273" s="17"/>
      <c r="F11273" s="18"/>
      <c r="G11273" s="36" t="str">
        <f>IF(ISNUMBER(F11273),C11273*F11273,"")</f>
        <v/>
      </c>
    </row>
    <row r="11274" spans="1:7" ht="12" customHeight="1" outlineLevel="2" x14ac:dyDescent="0.2">
      <c r="A11274" s="14" t="s">
        <v>22164</v>
      </c>
      <c r="B11274" s="15" t="s">
        <v>22165</v>
      </c>
      <c r="C11274" s="16">
        <f>90.68/(1+B2)</f>
        <v>90.68</v>
      </c>
      <c r="D11274" s="17" t="s">
        <v>11</v>
      </c>
      <c r="E11274" s="17" t="s">
        <v>11</v>
      </c>
      <c r="F11274" s="18"/>
      <c r="G11274" s="36" t="str">
        <f>IF(ISNUMBER(F11274),C11274*F11274,"")</f>
        <v/>
      </c>
    </row>
    <row r="11275" spans="1:7" ht="12" customHeight="1" outlineLevel="2" x14ac:dyDescent="0.2">
      <c r="A11275" s="14" t="s">
        <v>22166</v>
      </c>
      <c r="B11275" s="15" t="s">
        <v>22167</v>
      </c>
      <c r="C11275" s="16">
        <f>103.46/(1+B2)</f>
        <v>103.46</v>
      </c>
      <c r="D11275" s="17" t="s">
        <v>53</v>
      </c>
      <c r="E11275" s="17"/>
      <c r="F11275" s="18"/>
      <c r="G11275" s="36" t="str">
        <f>IF(ISNUMBER(F11275),C11275*F11275,"")</f>
        <v/>
      </c>
    </row>
    <row r="11276" spans="1:7" ht="12" customHeight="1" outlineLevel="2" x14ac:dyDescent="0.2">
      <c r="A11276" s="14" t="s">
        <v>22168</v>
      </c>
      <c r="B11276" s="15" t="s">
        <v>22169</v>
      </c>
      <c r="C11276" s="16">
        <f>98.81/(1+B2)</f>
        <v>98.81</v>
      </c>
      <c r="D11276" s="17" t="s">
        <v>11</v>
      </c>
      <c r="E11276" s="17" t="s">
        <v>53</v>
      </c>
      <c r="F11276" s="18"/>
      <c r="G11276" s="36" t="str">
        <f>IF(ISNUMBER(F11276),C11276*F11276,"")</f>
        <v/>
      </c>
    </row>
    <row r="11277" spans="1:7" ht="12" customHeight="1" outlineLevel="2" x14ac:dyDescent="0.2">
      <c r="A11277" s="14" t="s">
        <v>22170</v>
      </c>
      <c r="B11277" s="15" t="s">
        <v>22171</v>
      </c>
      <c r="C11277" s="16">
        <f>83.7/(1+B2)</f>
        <v>83.7</v>
      </c>
      <c r="D11277" s="17" t="s">
        <v>53</v>
      </c>
      <c r="E11277" s="17"/>
      <c r="F11277" s="18"/>
      <c r="G11277" s="36" t="str">
        <f>IF(ISNUMBER(F11277),C11277*F11277,"")</f>
        <v/>
      </c>
    </row>
    <row r="11278" spans="1:7" ht="12" customHeight="1" outlineLevel="2" x14ac:dyDescent="0.2">
      <c r="A11278" s="14" t="s">
        <v>22172</v>
      </c>
      <c r="B11278" s="15" t="s">
        <v>22173</v>
      </c>
      <c r="C11278" s="16">
        <f>103.46/(1+B2)</f>
        <v>103.46</v>
      </c>
      <c r="D11278" s="17" t="s">
        <v>11</v>
      </c>
      <c r="E11278" s="17" t="s">
        <v>53</v>
      </c>
      <c r="F11278" s="18"/>
      <c r="G11278" s="36" t="str">
        <f>IF(ISNUMBER(F11278),C11278*F11278,"")</f>
        <v/>
      </c>
    </row>
    <row r="11279" spans="1:7" ht="12" customHeight="1" outlineLevel="2" x14ac:dyDescent="0.2">
      <c r="A11279" s="14" t="s">
        <v>22174</v>
      </c>
      <c r="B11279" s="15" t="s">
        <v>22175</v>
      </c>
      <c r="C11279" s="16">
        <f>70.49/(1+B2)</f>
        <v>70.489999999999995</v>
      </c>
      <c r="D11279" s="17" t="s">
        <v>11</v>
      </c>
      <c r="E11279" s="17" t="s">
        <v>53</v>
      </c>
      <c r="F11279" s="18"/>
      <c r="G11279" s="36" t="str">
        <f>IF(ISNUMBER(F11279),C11279*F11279,"")</f>
        <v/>
      </c>
    </row>
    <row r="11280" spans="1:7" ht="12" customHeight="1" outlineLevel="2" x14ac:dyDescent="0.2">
      <c r="A11280" s="14" t="s">
        <v>22176</v>
      </c>
      <c r="B11280" s="15" t="s">
        <v>22177</v>
      </c>
      <c r="C11280" s="16">
        <f>83.7/(1+B2)</f>
        <v>83.7</v>
      </c>
      <c r="D11280" s="17" t="s">
        <v>11</v>
      </c>
      <c r="E11280" s="17"/>
      <c r="F11280" s="18"/>
      <c r="G11280" s="36" t="str">
        <f>IF(ISNUMBER(F11280),C11280*F11280,"")</f>
        <v/>
      </c>
    </row>
    <row r="11281" spans="1:7" ht="12" customHeight="1" outlineLevel="2" x14ac:dyDescent="0.2">
      <c r="A11281" s="14" t="s">
        <v>22178</v>
      </c>
      <c r="B11281" s="15" t="s">
        <v>22179</v>
      </c>
      <c r="C11281" s="16">
        <f>96.49/(1+B2)</f>
        <v>96.49</v>
      </c>
      <c r="D11281" s="17" t="s">
        <v>11</v>
      </c>
      <c r="E11281" s="17"/>
      <c r="F11281" s="18"/>
      <c r="G11281" s="36" t="str">
        <f>IF(ISNUMBER(F11281),C11281*F11281,"")</f>
        <v/>
      </c>
    </row>
    <row r="11282" spans="1:7" ht="12" customHeight="1" outlineLevel="2" x14ac:dyDescent="0.2">
      <c r="A11282" s="14" t="s">
        <v>22180</v>
      </c>
      <c r="B11282" s="15" t="s">
        <v>22181</v>
      </c>
      <c r="C11282" s="16">
        <f>98.81/(1+B2)</f>
        <v>98.81</v>
      </c>
      <c r="D11282" s="17" t="s">
        <v>11</v>
      </c>
      <c r="E11282" s="17" t="s">
        <v>53</v>
      </c>
      <c r="F11282" s="18"/>
      <c r="G11282" s="36" t="str">
        <f>IF(ISNUMBER(F11282),C11282*F11282,"")</f>
        <v/>
      </c>
    </row>
    <row r="11283" spans="1:7" ht="12" customHeight="1" outlineLevel="2" x14ac:dyDescent="0.2">
      <c r="A11283" s="14" t="s">
        <v>22182</v>
      </c>
      <c r="B11283" s="15" t="s">
        <v>22183</v>
      </c>
      <c r="C11283" s="16">
        <f>103.46/(1+B2)</f>
        <v>103.46</v>
      </c>
      <c r="D11283" s="17" t="s">
        <v>14</v>
      </c>
      <c r="E11283" s="17"/>
      <c r="F11283" s="18"/>
      <c r="G11283" s="36" t="str">
        <f>IF(ISNUMBER(F11283),C11283*F11283,"")</f>
        <v/>
      </c>
    </row>
    <row r="11284" spans="1:7" ht="12" customHeight="1" outlineLevel="2" x14ac:dyDescent="0.2">
      <c r="A11284" s="14" t="s">
        <v>22184</v>
      </c>
      <c r="B11284" s="15" t="s">
        <v>22185</v>
      </c>
      <c r="C11284" s="16">
        <f>98.81/(1+B2)</f>
        <v>98.81</v>
      </c>
      <c r="D11284" s="17" t="s">
        <v>53</v>
      </c>
      <c r="E11284" s="17" t="s">
        <v>14</v>
      </c>
      <c r="F11284" s="18"/>
      <c r="G11284" s="36" t="str">
        <f>IF(ISNUMBER(F11284),C11284*F11284,"")</f>
        <v/>
      </c>
    </row>
    <row r="11285" spans="1:7" ht="12" customHeight="1" outlineLevel="2" x14ac:dyDescent="0.2">
      <c r="A11285" s="14" t="s">
        <v>22186</v>
      </c>
      <c r="B11285" s="15" t="s">
        <v>22187</v>
      </c>
      <c r="C11285" s="16">
        <f>93/(1+B2)</f>
        <v>93</v>
      </c>
      <c r="D11285" s="17" t="s">
        <v>14</v>
      </c>
      <c r="E11285" s="17"/>
      <c r="F11285" s="18"/>
      <c r="G11285" s="36" t="str">
        <f>IF(ISNUMBER(F11285),C11285*F11285,"")</f>
        <v/>
      </c>
    </row>
    <row r="11286" spans="1:7" ht="12" customHeight="1" outlineLevel="2" x14ac:dyDescent="0.2">
      <c r="A11286" s="14" t="s">
        <v>22188</v>
      </c>
      <c r="B11286" s="15" t="s">
        <v>22189</v>
      </c>
      <c r="C11286" s="16">
        <f>115.09/(1+B2)</f>
        <v>115.09</v>
      </c>
      <c r="D11286" s="17" t="s">
        <v>11</v>
      </c>
      <c r="E11286" s="17"/>
      <c r="F11286" s="18"/>
      <c r="G11286" s="36" t="str">
        <f>IF(ISNUMBER(F11286),C11286*F11286,"")</f>
        <v/>
      </c>
    </row>
    <row r="11287" spans="1:7" ht="12" customHeight="1" outlineLevel="2" x14ac:dyDescent="0.2">
      <c r="A11287" s="14" t="s">
        <v>22190</v>
      </c>
      <c r="B11287" s="15" t="s">
        <v>22191</v>
      </c>
      <c r="C11287" s="16">
        <f>98.81/(1+B2)</f>
        <v>98.81</v>
      </c>
      <c r="D11287" s="17" t="s">
        <v>53</v>
      </c>
      <c r="E11287" s="17"/>
      <c r="F11287" s="18"/>
      <c r="G11287" s="36" t="str">
        <f>IF(ISNUMBER(F11287),C11287*F11287,"")</f>
        <v/>
      </c>
    </row>
    <row r="11288" spans="1:7" ht="12" customHeight="1" outlineLevel="2" x14ac:dyDescent="0.2">
      <c r="A11288" s="14" t="s">
        <v>22192</v>
      </c>
      <c r="B11288" s="15" t="s">
        <v>22193</v>
      </c>
      <c r="C11288" s="16">
        <f>103.46/(1+B2)</f>
        <v>103.46</v>
      </c>
      <c r="D11288" s="17" t="s">
        <v>11</v>
      </c>
      <c r="E11288" s="17"/>
      <c r="F11288" s="18"/>
      <c r="G11288" s="36" t="str">
        <f>IF(ISNUMBER(F11288),C11288*F11288,"")</f>
        <v/>
      </c>
    </row>
    <row r="11289" spans="1:7" ht="12" customHeight="1" outlineLevel="2" x14ac:dyDescent="0.2">
      <c r="A11289" s="14" t="s">
        <v>22194</v>
      </c>
      <c r="B11289" s="15" t="s">
        <v>22195</v>
      </c>
      <c r="C11289" s="16">
        <f>131.25/(1+B2)</f>
        <v>131.25</v>
      </c>
      <c r="D11289" s="17" t="s">
        <v>11</v>
      </c>
      <c r="E11289" s="17" t="s">
        <v>14</v>
      </c>
      <c r="F11289" s="18"/>
      <c r="G11289" s="36" t="str">
        <f>IF(ISNUMBER(F11289),C11289*F11289,"")</f>
        <v/>
      </c>
    </row>
    <row r="11290" spans="1:7" ht="12" customHeight="1" outlineLevel="2" x14ac:dyDescent="0.2">
      <c r="A11290" s="14" t="s">
        <v>22196</v>
      </c>
      <c r="B11290" s="15" t="s">
        <v>22197</v>
      </c>
      <c r="C11290" s="16">
        <f>102.5/(1+B2)</f>
        <v>102.5</v>
      </c>
      <c r="D11290" s="17" t="s">
        <v>11</v>
      </c>
      <c r="E11290" s="17" t="s">
        <v>53</v>
      </c>
      <c r="F11290" s="18"/>
      <c r="G11290" s="36" t="str">
        <f>IF(ISNUMBER(F11290),C11290*F11290,"")</f>
        <v/>
      </c>
    </row>
    <row r="11291" spans="1:7" ht="12" customHeight="1" outlineLevel="2" x14ac:dyDescent="0.2">
      <c r="A11291" s="14" t="s">
        <v>22198</v>
      </c>
      <c r="B11291" s="15" t="s">
        <v>22199</v>
      </c>
      <c r="C11291" s="16">
        <f>112.76/(1+B2)</f>
        <v>112.76</v>
      </c>
      <c r="D11291" s="17" t="s">
        <v>53</v>
      </c>
      <c r="E11291" s="17" t="s">
        <v>53</v>
      </c>
      <c r="F11291" s="18"/>
      <c r="G11291" s="36" t="str">
        <f>IF(ISNUMBER(F11291),C11291*F11291,"")</f>
        <v/>
      </c>
    </row>
    <row r="11292" spans="1:7" ht="12" customHeight="1" outlineLevel="2" x14ac:dyDescent="0.2">
      <c r="A11292" s="14" t="s">
        <v>22200</v>
      </c>
      <c r="B11292" s="15" t="s">
        <v>22201</v>
      </c>
      <c r="C11292" s="16">
        <f>90/(1+B2)</f>
        <v>90</v>
      </c>
      <c r="D11292" s="17" t="s">
        <v>11</v>
      </c>
      <c r="E11292" s="17" t="s">
        <v>14</v>
      </c>
      <c r="F11292" s="18"/>
      <c r="G11292" s="36" t="str">
        <f>IF(ISNUMBER(F11292),C11292*F11292,"")</f>
        <v/>
      </c>
    </row>
    <row r="11293" spans="1:7" ht="12" customHeight="1" outlineLevel="2" x14ac:dyDescent="0.2">
      <c r="A11293" s="14" t="s">
        <v>22202</v>
      </c>
      <c r="B11293" s="15" t="s">
        <v>22203</v>
      </c>
      <c r="C11293" s="16">
        <f>93/(1+B2)</f>
        <v>93</v>
      </c>
      <c r="D11293" s="17" t="s">
        <v>53</v>
      </c>
      <c r="E11293" s="17"/>
      <c r="F11293" s="18"/>
      <c r="G11293" s="36" t="str">
        <f>IF(ISNUMBER(F11293),C11293*F11293,"")</f>
        <v/>
      </c>
    </row>
    <row r="11294" spans="1:7" ht="12" customHeight="1" outlineLevel="2" x14ac:dyDescent="0.2">
      <c r="A11294" s="14" t="s">
        <v>22204</v>
      </c>
      <c r="B11294" s="15" t="s">
        <v>22205</v>
      </c>
      <c r="C11294" s="16">
        <f>55.76/(1+B2)</f>
        <v>55.76</v>
      </c>
      <c r="D11294" s="17" t="s">
        <v>11</v>
      </c>
      <c r="E11294" s="17" t="s">
        <v>11</v>
      </c>
      <c r="F11294" s="18"/>
      <c r="G11294" s="36" t="str">
        <f>IF(ISNUMBER(F11294),C11294*F11294,"")</f>
        <v/>
      </c>
    </row>
    <row r="11295" spans="1:7" ht="12" customHeight="1" outlineLevel="2" x14ac:dyDescent="0.2">
      <c r="A11295" s="14" t="s">
        <v>22206</v>
      </c>
      <c r="B11295" s="15" t="s">
        <v>22207</v>
      </c>
      <c r="C11295" s="16">
        <f>37.95/(1+B2)</f>
        <v>37.950000000000003</v>
      </c>
      <c r="D11295" s="17" t="s">
        <v>14</v>
      </c>
      <c r="E11295" s="17" t="s">
        <v>14</v>
      </c>
      <c r="F11295" s="18"/>
      <c r="G11295" s="36" t="str">
        <f>IF(ISNUMBER(F11295),C11295*F11295,"")</f>
        <v/>
      </c>
    </row>
    <row r="11296" spans="1:7" ht="12" customHeight="1" outlineLevel="2" x14ac:dyDescent="0.2">
      <c r="A11296" s="14" t="s">
        <v>22208</v>
      </c>
      <c r="B11296" s="15" t="s">
        <v>22209</v>
      </c>
      <c r="C11296" s="16">
        <f>96.49/(1+B2)</f>
        <v>96.49</v>
      </c>
      <c r="D11296" s="17" t="s">
        <v>53</v>
      </c>
      <c r="E11296" s="17"/>
      <c r="F11296" s="18"/>
      <c r="G11296" s="36" t="str">
        <f>IF(ISNUMBER(F11296),C11296*F11296,"")</f>
        <v/>
      </c>
    </row>
    <row r="11297" spans="1:7" ht="12" customHeight="1" outlineLevel="2" x14ac:dyDescent="0.2">
      <c r="A11297" s="14" t="s">
        <v>22210</v>
      </c>
      <c r="B11297" s="15" t="s">
        <v>22211</v>
      </c>
      <c r="C11297" s="16">
        <f>91.84/(1+B2)</f>
        <v>91.84</v>
      </c>
      <c r="D11297" s="17" t="s">
        <v>11</v>
      </c>
      <c r="E11297" s="17"/>
      <c r="F11297" s="18"/>
      <c r="G11297" s="36" t="str">
        <f>IF(ISNUMBER(F11297),C11297*F11297,"")</f>
        <v/>
      </c>
    </row>
    <row r="11298" spans="1:7" ht="12" customHeight="1" outlineLevel="2" x14ac:dyDescent="0.2">
      <c r="A11298" s="14" t="s">
        <v>22212</v>
      </c>
      <c r="B11298" s="15" t="s">
        <v>22213</v>
      </c>
      <c r="C11298" s="16">
        <f>88.35/(1+B2)</f>
        <v>88.35</v>
      </c>
      <c r="D11298" s="17" t="s">
        <v>11</v>
      </c>
      <c r="E11298" s="17"/>
      <c r="F11298" s="18"/>
      <c r="G11298" s="36" t="str">
        <f>IF(ISNUMBER(F11298),C11298*F11298,"")</f>
        <v/>
      </c>
    </row>
    <row r="11299" spans="1:7" ht="12" customHeight="1" outlineLevel="2" x14ac:dyDescent="0.2">
      <c r="A11299" s="14" t="s">
        <v>22214</v>
      </c>
      <c r="B11299" s="15" t="s">
        <v>22215</v>
      </c>
      <c r="C11299" s="16">
        <f>111.25/(1+B2)</f>
        <v>111.25</v>
      </c>
      <c r="D11299" s="17" t="s">
        <v>11</v>
      </c>
      <c r="E11299" s="17" t="s">
        <v>14</v>
      </c>
      <c r="F11299" s="18"/>
      <c r="G11299" s="36" t="str">
        <f>IF(ISNUMBER(F11299),C11299*F11299,"")</f>
        <v/>
      </c>
    </row>
    <row r="11300" spans="1:7" ht="12" customHeight="1" outlineLevel="2" x14ac:dyDescent="0.2">
      <c r="A11300" s="14" t="s">
        <v>22216</v>
      </c>
      <c r="B11300" s="15" t="s">
        <v>22217</v>
      </c>
      <c r="C11300" s="16">
        <f>98.81/(1+B2)</f>
        <v>98.81</v>
      </c>
      <c r="D11300" s="17" t="s">
        <v>11</v>
      </c>
      <c r="E11300" s="17" t="s">
        <v>53</v>
      </c>
      <c r="F11300" s="18"/>
      <c r="G11300" s="36" t="str">
        <f>IF(ISNUMBER(F11300),C11300*F11300,"")</f>
        <v/>
      </c>
    </row>
    <row r="11301" spans="1:7" ht="12" customHeight="1" outlineLevel="2" x14ac:dyDescent="0.2">
      <c r="A11301" s="14" t="s">
        <v>22218</v>
      </c>
      <c r="B11301" s="15" t="s">
        <v>22219</v>
      </c>
      <c r="C11301" s="16">
        <f>83.7/(1+B2)</f>
        <v>83.7</v>
      </c>
      <c r="D11301" s="17" t="s">
        <v>14</v>
      </c>
      <c r="E11301" s="17"/>
      <c r="F11301" s="18"/>
      <c r="G11301" s="36" t="str">
        <f>IF(ISNUMBER(F11301),C11301*F11301,"")</f>
        <v/>
      </c>
    </row>
    <row r="11302" spans="1:7" ht="12" customHeight="1" outlineLevel="2" x14ac:dyDescent="0.2">
      <c r="A11302" s="14" t="s">
        <v>22220</v>
      </c>
      <c r="B11302" s="15" t="s">
        <v>22221</v>
      </c>
      <c r="C11302" s="16">
        <f>84.86/(1+B2)</f>
        <v>84.86</v>
      </c>
      <c r="D11302" s="17" t="s">
        <v>11</v>
      </c>
      <c r="E11302" s="17" t="s">
        <v>14</v>
      </c>
      <c r="F11302" s="18"/>
      <c r="G11302" s="36" t="str">
        <f>IF(ISNUMBER(F11302),C11302*F11302,"")</f>
        <v/>
      </c>
    </row>
    <row r="11303" spans="1:7" ht="12" customHeight="1" outlineLevel="2" x14ac:dyDescent="0.2">
      <c r="A11303" s="14" t="s">
        <v>22222</v>
      </c>
      <c r="B11303" s="15" t="s">
        <v>22223</v>
      </c>
      <c r="C11303" s="16">
        <f>112.5/(1+B2)</f>
        <v>112.5</v>
      </c>
      <c r="D11303" s="17" t="s">
        <v>11</v>
      </c>
      <c r="E11303" s="17" t="s">
        <v>14</v>
      </c>
      <c r="F11303" s="18"/>
      <c r="G11303" s="36" t="str">
        <f>IF(ISNUMBER(F11303),C11303*F11303,"")</f>
        <v/>
      </c>
    </row>
    <row r="11304" spans="1:7" ht="12" customHeight="1" outlineLevel="2" x14ac:dyDescent="0.2">
      <c r="A11304" s="14" t="s">
        <v>22224</v>
      </c>
      <c r="B11304" s="15" t="s">
        <v>22225</v>
      </c>
      <c r="C11304" s="16">
        <f>79.2/(1+B2)</f>
        <v>79.2</v>
      </c>
      <c r="D11304" s="17" t="s">
        <v>14</v>
      </c>
      <c r="E11304" s="17"/>
      <c r="F11304" s="18"/>
      <c r="G11304" s="36" t="str">
        <f>IF(ISNUMBER(F11304),C11304*F11304,"")</f>
        <v/>
      </c>
    </row>
    <row r="11305" spans="1:7" ht="12" customHeight="1" outlineLevel="2" x14ac:dyDescent="0.2">
      <c r="A11305" s="14" t="s">
        <v>22226</v>
      </c>
      <c r="B11305" s="15" t="s">
        <v>22227</v>
      </c>
      <c r="C11305" s="16">
        <f>90/(1+B2)</f>
        <v>90</v>
      </c>
      <c r="D11305" s="17" t="s">
        <v>11</v>
      </c>
      <c r="E11305" s="17" t="s">
        <v>53</v>
      </c>
      <c r="F11305" s="18"/>
      <c r="G11305" s="36" t="str">
        <f>IF(ISNUMBER(F11305),C11305*F11305,"")</f>
        <v/>
      </c>
    </row>
    <row r="11306" spans="1:7" ht="12" customHeight="1" outlineLevel="2" x14ac:dyDescent="0.2">
      <c r="A11306" s="14" t="s">
        <v>22228</v>
      </c>
      <c r="B11306" s="15" t="s">
        <v>22229</v>
      </c>
      <c r="C11306" s="16">
        <f>95.33/(1+B2)</f>
        <v>95.33</v>
      </c>
      <c r="D11306" s="17" t="s">
        <v>11</v>
      </c>
      <c r="E11306" s="17" t="s">
        <v>14</v>
      </c>
      <c r="F11306" s="18"/>
      <c r="G11306" s="36" t="str">
        <f>IF(ISNUMBER(F11306),C11306*F11306,"")</f>
        <v/>
      </c>
    </row>
    <row r="11307" spans="1:7" ht="12" customHeight="1" outlineLevel="2" x14ac:dyDescent="0.2">
      <c r="A11307" s="14" t="s">
        <v>22230</v>
      </c>
      <c r="B11307" s="15" t="s">
        <v>22231</v>
      </c>
      <c r="C11307" s="16">
        <f>96.49/(1+B2)</f>
        <v>96.49</v>
      </c>
      <c r="D11307" s="17" t="s">
        <v>53</v>
      </c>
      <c r="E11307" s="17"/>
      <c r="F11307" s="18"/>
      <c r="G11307" s="36" t="str">
        <f>IF(ISNUMBER(F11307),C11307*F11307,"")</f>
        <v/>
      </c>
    </row>
    <row r="11308" spans="1:7" ht="12" customHeight="1" outlineLevel="2" x14ac:dyDescent="0.2">
      <c r="A11308" s="14" t="s">
        <v>22232</v>
      </c>
      <c r="B11308" s="15" t="s">
        <v>22233</v>
      </c>
      <c r="C11308" s="16">
        <f>98.81/(1+B2)</f>
        <v>98.81</v>
      </c>
      <c r="D11308" s="17" t="s">
        <v>11</v>
      </c>
      <c r="E11308" s="17" t="s">
        <v>14</v>
      </c>
      <c r="F11308" s="18"/>
      <c r="G11308" s="36" t="str">
        <f>IF(ISNUMBER(F11308),C11308*F11308,"")</f>
        <v/>
      </c>
    </row>
    <row r="11309" spans="1:7" ht="12" customHeight="1" outlineLevel="2" x14ac:dyDescent="0.2">
      <c r="A11309" s="14" t="s">
        <v>22234</v>
      </c>
      <c r="B11309" s="15" t="s">
        <v>22235</v>
      </c>
      <c r="C11309" s="16">
        <f>122.5/(1+B2)</f>
        <v>122.5</v>
      </c>
      <c r="D11309" s="17" t="s">
        <v>11</v>
      </c>
      <c r="E11309" s="17" t="s">
        <v>53</v>
      </c>
      <c r="F11309" s="18"/>
      <c r="G11309" s="36" t="str">
        <f>IF(ISNUMBER(F11309),C11309*F11309,"")</f>
        <v/>
      </c>
    </row>
    <row r="11310" spans="1:7" ht="12" customHeight="1" outlineLevel="2" x14ac:dyDescent="0.2">
      <c r="A11310" s="14" t="s">
        <v>22236</v>
      </c>
      <c r="B11310" s="15" t="s">
        <v>22237</v>
      </c>
      <c r="C11310" s="16">
        <f>83.7/(1+B2)</f>
        <v>83.7</v>
      </c>
      <c r="D11310" s="17" t="s">
        <v>53</v>
      </c>
      <c r="E11310" s="17" t="s">
        <v>53</v>
      </c>
      <c r="F11310" s="18"/>
      <c r="G11310" s="36" t="str">
        <f>IF(ISNUMBER(F11310),C11310*F11310,"")</f>
        <v/>
      </c>
    </row>
    <row r="11311" spans="1:7" ht="12" customHeight="1" outlineLevel="2" x14ac:dyDescent="0.2">
      <c r="A11311" s="14" t="s">
        <v>22238</v>
      </c>
      <c r="B11311" s="15" t="s">
        <v>22239</v>
      </c>
      <c r="C11311" s="16">
        <f>98.81/(1+B2)</f>
        <v>98.81</v>
      </c>
      <c r="D11311" s="17" t="s">
        <v>53</v>
      </c>
      <c r="E11311" s="17" t="s">
        <v>14</v>
      </c>
      <c r="F11311" s="18"/>
      <c r="G11311" s="36" t="str">
        <f>IF(ISNUMBER(F11311),C11311*F11311,"")</f>
        <v/>
      </c>
    </row>
    <row r="11312" spans="1:7" ht="12" customHeight="1" outlineLevel="2" x14ac:dyDescent="0.2">
      <c r="A11312" s="14" t="s">
        <v>22240</v>
      </c>
      <c r="B11312" s="15" t="s">
        <v>22241</v>
      </c>
      <c r="C11312" s="16">
        <f>106.25/(1+B2)</f>
        <v>106.25</v>
      </c>
      <c r="D11312" s="17" t="s">
        <v>11</v>
      </c>
      <c r="E11312" s="17" t="s">
        <v>53</v>
      </c>
      <c r="F11312" s="18"/>
      <c r="G11312" s="36" t="str">
        <f>IF(ISNUMBER(F11312),C11312*F11312,"")</f>
        <v/>
      </c>
    </row>
    <row r="11313" spans="1:7" ht="12" customHeight="1" outlineLevel="2" x14ac:dyDescent="0.2">
      <c r="A11313" s="14" t="s">
        <v>22242</v>
      </c>
      <c r="B11313" s="15" t="s">
        <v>22243</v>
      </c>
      <c r="C11313" s="16">
        <f>110/(1+B2)</f>
        <v>110</v>
      </c>
      <c r="D11313" s="17" t="s">
        <v>11</v>
      </c>
      <c r="E11313" s="17" t="s">
        <v>53</v>
      </c>
      <c r="F11313" s="18"/>
      <c r="G11313" s="36" t="str">
        <f>IF(ISNUMBER(F11313),C11313*F11313,"")</f>
        <v/>
      </c>
    </row>
    <row r="11314" spans="1:7" ht="12" customHeight="1" outlineLevel="2" x14ac:dyDescent="0.2">
      <c r="A11314" s="14" t="s">
        <v>22244</v>
      </c>
      <c r="B11314" s="15" t="s">
        <v>22245</v>
      </c>
      <c r="C11314" s="16">
        <f>103.75/(1+B2)</f>
        <v>103.75</v>
      </c>
      <c r="D11314" s="17" t="s">
        <v>11</v>
      </c>
      <c r="E11314" s="17" t="s">
        <v>14</v>
      </c>
      <c r="F11314" s="18"/>
      <c r="G11314" s="36" t="str">
        <f>IF(ISNUMBER(F11314),C11314*F11314,"")</f>
        <v/>
      </c>
    </row>
    <row r="11315" spans="1:7" ht="12" customHeight="1" outlineLevel="2" x14ac:dyDescent="0.2">
      <c r="A11315" s="14" t="s">
        <v>22246</v>
      </c>
      <c r="B11315" s="15" t="s">
        <v>22247</v>
      </c>
      <c r="C11315" s="16">
        <f>127.88/(1+B2)</f>
        <v>127.88</v>
      </c>
      <c r="D11315" s="17" t="s">
        <v>11</v>
      </c>
      <c r="E11315" s="17" t="s">
        <v>11</v>
      </c>
      <c r="F11315" s="18"/>
      <c r="G11315" s="36" t="str">
        <f>IF(ISNUMBER(F11315),C11315*F11315,"")</f>
        <v/>
      </c>
    </row>
    <row r="11316" spans="1:7" ht="12" customHeight="1" outlineLevel="2" x14ac:dyDescent="0.2">
      <c r="A11316" s="14" t="s">
        <v>22248</v>
      </c>
      <c r="B11316" s="15" t="s">
        <v>22249</v>
      </c>
      <c r="C11316" s="16">
        <f>125/(1+B2)</f>
        <v>125</v>
      </c>
      <c r="D11316" s="17" t="s">
        <v>11</v>
      </c>
      <c r="E11316" s="17" t="s">
        <v>53</v>
      </c>
      <c r="F11316" s="18"/>
      <c r="G11316" s="36" t="str">
        <f>IF(ISNUMBER(F11316),C11316*F11316,"")</f>
        <v/>
      </c>
    </row>
    <row r="11317" spans="1:7" ht="12" customHeight="1" outlineLevel="2" x14ac:dyDescent="0.2">
      <c r="A11317" s="14" t="s">
        <v>22250</v>
      </c>
      <c r="B11317" s="15" t="s">
        <v>22251</v>
      </c>
      <c r="C11317" s="16">
        <f>111.25/(1+B2)</f>
        <v>111.25</v>
      </c>
      <c r="D11317" s="17" t="s">
        <v>11</v>
      </c>
      <c r="E11317" s="17" t="s">
        <v>53</v>
      </c>
      <c r="F11317" s="18"/>
      <c r="G11317" s="36" t="str">
        <f>IF(ISNUMBER(F11317),C11317*F11317,"")</f>
        <v/>
      </c>
    </row>
    <row r="11318" spans="1:7" ht="12" customHeight="1" outlineLevel="2" x14ac:dyDescent="0.2">
      <c r="A11318" s="14" t="s">
        <v>22252</v>
      </c>
      <c r="B11318" s="15" t="s">
        <v>22253</v>
      </c>
      <c r="C11318" s="16">
        <f>103.75/(1+B2)</f>
        <v>103.75</v>
      </c>
      <c r="D11318" s="17" t="s">
        <v>11</v>
      </c>
      <c r="E11318" s="17" t="s">
        <v>53</v>
      </c>
      <c r="F11318" s="18"/>
      <c r="G11318" s="36" t="str">
        <f>IF(ISNUMBER(F11318),C11318*F11318,"")</f>
        <v/>
      </c>
    </row>
    <row r="11319" spans="1:7" ht="12" customHeight="1" outlineLevel="2" x14ac:dyDescent="0.2">
      <c r="A11319" s="14" t="s">
        <v>22254</v>
      </c>
      <c r="B11319" s="15" t="s">
        <v>22255</v>
      </c>
      <c r="C11319" s="16">
        <f>116.25/(1+B2)</f>
        <v>116.25</v>
      </c>
      <c r="D11319" s="17" t="s">
        <v>11</v>
      </c>
      <c r="E11319" s="17" t="s">
        <v>106</v>
      </c>
      <c r="F11319" s="18"/>
      <c r="G11319" s="36" t="str">
        <f>IF(ISNUMBER(F11319),C11319*F11319,"")</f>
        <v/>
      </c>
    </row>
    <row r="11320" spans="1:7" ht="12" customHeight="1" outlineLevel="2" x14ac:dyDescent="0.2">
      <c r="A11320" s="14" t="s">
        <v>22256</v>
      </c>
      <c r="B11320" s="15" t="s">
        <v>22257</v>
      </c>
      <c r="C11320" s="16">
        <f>152.5/(1+B2)</f>
        <v>152.5</v>
      </c>
      <c r="D11320" s="17" t="s">
        <v>11</v>
      </c>
      <c r="E11320" s="17" t="s">
        <v>53</v>
      </c>
      <c r="F11320" s="18"/>
      <c r="G11320" s="36" t="str">
        <f>IF(ISNUMBER(F11320),C11320*F11320,"")</f>
        <v/>
      </c>
    </row>
    <row r="11321" spans="1:7" ht="12" customHeight="1" outlineLevel="2" x14ac:dyDescent="0.2">
      <c r="A11321" s="14" t="s">
        <v>22258</v>
      </c>
      <c r="B11321" s="15" t="s">
        <v>22259</v>
      </c>
      <c r="C11321" s="16">
        <f>81.25/(1+B2)</f>
        <v>81.25</v>
      </c>
      <c r="D11321" s="17" t="s">
        <v>14</v>
      </c>
      <c r="E11321" s="17" t="s">
        <v>53</v>
      </c>
      <c r="F11321" s="18"/>
      <c r="G11321" s="36" t="str">
        <f>IF(ISNUMBER(F11321),C11321*F11321,"")</f>
        <v/>
      </c>
    </row>
    <row r="11322" spans="1:7" ht="12" customHeight="1" outlineLevel="2" x14ac:dyDescent="0.2">
      <c r="A11322" s="14" t="s">
        <v>22260</v>
      </c>
      <c r="B11322" s="15" t="s">
        <v>22261</v>
      </c>
      <c r="C11322" s="16">
        <f>108.75/(1+B2)</f>
        <v>108.75</v>
      </c>
      <c r="D11322" s="17" t="s">
        <v>11</v>
      </c>
      <c r="E11322" s="17" t="s">
        <v>106</v>
      </c>
      <c r="F11322" s="18"/>
      <c r="G11322" s="36" t="str">
        <f>IF(ISNUMBER(F11322),C11322*F11322,"")</f>
        <v/>
      </c>
    </row>
    <row r="11323" spans="1:7" ht="12" customHeight="1" outlineLevel="2" x14ac:dyDescent="0.2">
      <c r="A11323" s="14" t="s">
        <v>22262</v>
      </c>
      <c r="B11323" s="15" t="s">
        <v>22263</v>
      </c>
      <c r="C11323" s="16">
        <f>67.43/(1+B2)</f>
        <v>67.430000000000007</v>
      </c>
      <c r="D11323" s="17" t="s">
        <v>11</v>
      </c>
      <c r="E11323" s="17" t="s">
        <v>14</v>
      </c>
      <c r="F11323" s="18"/>
      <c r="G11323" s="36" t="str">
        <f>IF(ISNUMBER(F11323),C11323*F11323,"")</f>
        <v/>
      </c>
    </row>
    <row r="11324" spans="1:7" ht="12" customHeight="1" outlineLevel="2" x14ac:dyDescent="0.2">
      <c r="A11324" s="14" t="s">
        <v>22264</v>
      </c>
      <c r="B11324" s="15" t="s">
        <v>22265</v>
      </c>
      <c r="C11324" s="16">
        <f>110/(1+B2)</f>
        <v>110</v>
      </c>
      <c r="D11324" s="17" t="s">
        <v>11</v>
      </c>
      <c r="E11324" s="17" t="s">
        <v>53</v>
      </c>
      <c r="F11324" s="18"/>
      <c r="G11324" s="36" t="str">
        <f>IF(ISNUMBER(F11324),C11324*F11324,"")</f>
        <v/>
      </c>
    </row>
    <row r="11325" spans="1:7" ht="12" customHeight="1" outlineLevel="2" x14ac:dyDescent="0.2">
      <c r="A11325" s="14" t="s">
        <v>22266</v>
      </c>
      <c r="B11325" s="15" t="s">
        <v>22267</v>
      </c>
      <c r="C11325" s="16">
        <f>95/(1+B2)</f>
        <v>95</v>
      </c>
      <c r="D11325" s="17" t="s">
        <v>11</v>
      </c>
      <c r="E11325" s="17" t="s">
        <v>53</v>
      </c>
      <c r="F11325" s="18"/>
      <c r="G11325" s="36" t="str">
        <f>IF(ISNUMBER(F11325),C11325*F11325,"")</f>
        <v/>
      </c>
    </row>
    <row r="11326" spans="1:7" ht="12" customHeight="1" outlineLevel="2" x14ac:dyDescent="0.2">
      <c r="A11326" s="14" t="s">
        <v>22268</v>
      </c>
      <c r="B11326" s="15" t="s">
        <v>22269</v>
      </c>
      <c r="C11326" s="16">
        <f>84.86/(1+B2)</f>
        <v>84.86</v>
      </c>
      <c r="D11326" s="17" t="s">
        <v>11</v>
      </c>
      <c r="E11326" s="17" t="s">
        <v>11</v>
      </c>
      <c r="F11326" s="18"/>
      <c r="G11326" s="36" t="str">
        <f>IF(ISNUMBER(F11326),C11326*F11326,"")</f>
        <v/>
      </c>
    </row>
    <row r="11327" spans="1:7" ht="24" customHeight="1" outlineLevel="2" x14ac:dyDescent="0.2">
      <c r="A11327" s="14" t="s">
        <v>22270</v>
      </c>
      <c r="B11327" s="15" t="s">
        <v>22271</v>
      </c>
      <c r="C11327" s="16">
        <f>232.85/(1+B2)</f>
        <v>232.85</v>
      </c>
      <c r="D11327" s="17" t="s">
        <v>11</v>
      </c>
      <c r="E11327" s="17"/>
      <c r="F11327" s="18"/>
      <c r="G11327" s="36" t="str">
        <f>IF(ISNUMBER(F11327),C11327*F11327,"")</f>
        <v/>
      </c>
    </row>
    <row r="11328" spans="1:7" ht="12" customHeight="1" outlineLevel="2" x14ac:dyDescent="0.2">
      <c r="A11328" s="14" t="s">
        <v>22272</v>
      </c>
      <c r="B11328" s="15" t="s">
        <v>22273</v>
      </c>
      <c r="C11328" s="16">
        <f>150.73/(1+B2)</f>
        <v>150.72999999999999</v>
      </c>
      <c r="D11328" s="17" t="s">
        <v>11</v>
      </c>
      <c r="E11328" s="17" t="s">
        <v>11</v>
      </c>
      <c r="F11328" s="18"/>
      <c r="G11328" s="36" t="str">
        <f>IF(ISNUMBER(F11328),C11328*F11328,"")</f>
        <v/>
      </c>
    </row>
    <row r="11329" spans="1:7" ht="24" customHeight="1" outlineLevel="2" x14ac:dyDescent="0.2">
      <c r="A11329" s="14" t="s">
        <v>22274</v>
      </c>
      <c r="B11329" s="15" t="s">
        <v>22275</v>
      </c>
      <c r="C11329" s="16">
        <f>74.9/(1+B2)</f>
        <v>74.900000000000006</v>
      </c>
      <c r="D11329" s="17" t="s">
        <v>11</v>
      </c>
      <c r="E11329" s="17" t="s">
        <v>11</v>
      </c>
      <c r="F11329" s="18"/>
      <c r="G11329" s="36" t="str">
        <f>IF(ISNUMBER(F11329),C11329*F11329,"")</f>
        <v/>
      </c>
    </row>
    <row r="11330" spans="1:7" s="1" customFormat="1" ht="15.95" customHeight="1" outlineLevel="1" x14ac:dyDescent="0.25">
      <c r="A11330" s="11"/>
      <c r="B11330" s="12" t="s">
        <v>22276</v>
      </c>
      <c r="C11330" s="13"/>
      <c r="D11330" s="13"/>
      <c r="E11330" s="13"/>
      <c r="F11330" s="13"/>
      <c r="G11330" s="35"/>
    </row>
    <row r="11331" spans="1:7" ht="12" customHeight="1" outlineLevel="2" x14ac:dyDescent="0.2">
      <c r="A11331" s="14" t="s">
        <v>22277</v>
      </c>
      <c r="B11331" s="15" t="s">
        <v>22278</v>
      </c>
      <c r="C11331" s="16">
        <f>70.04/(1+B2)</f>
        <v>70.040000000000006</v>
      </c>
      <c r="D11331" s="17" t="s">
        <v>53</v>
      </c>
      <c r="E11331" s="17"/>
      <c r="F11331" s="18"/>
      <c r="G11331" s="36" t="str">
        <f>IF(ISNUMBER(F11331),C11331*F11331,"")</f>
        <v/>
      </c>
    </row>
    <row r="11332" spans="1:7" ht="12" customHeight="1" outlineLevel="2" x14ac:dyDescent="0.2">
      <c r="A11332" s="14" t="s">
        <v>22279</v>
      </c>
      <c r="B11332" s="15" t="s">
        <v>22280</v>
      </c>
      <c r="C11332" s="16">
        <f>75.84/(1+B2)</f>
        <v>75.84</v>
      </c>
      <c r="D11332" s="17" t="s">
        <v>11</v>
      </c>
      <c r="E11332" s="17" t="s">
        <v>53</v>
      </c>
      <c r="F11332" s="18"/>
      <c r="G11332" s="36" t="str">
        <f>IF(ISNUMBER(F11332),C11332*F11332,"")</f>
        <v/>
      </c>
    </row>
    <row r="11333" spans="1:7" ht="12" customHeight="1" outlineLevel="2" x14ac:dyDescent="0.2">
      <c r="A11333" s="14" t="s">
        <v>22281</v>
      </c>
      <c r="B11333" s="15" t="s">
        <v>22282</v>
      </c>
      <c r="C11333" s="16">
        <f>88.44/(1+B2)</f>
        <v>88.44</v>
      </c>
      <c r="D11333" s="17" t="s">
        <v>14</v>
      </c>
      <c r="E11333" s="17" t="s">
        <v>53</v>
      </c>
      <c r="F11333" s="18"/>
      <c r="G11333" s="36" t="str">
        <f>IF(ISNUMBER(F11333),C11333*F11333,"")</f>
        <v/>
      </c>
    </row>
    <row r="11334" spans="1:7" ht="12" customHeight="1" outlineLevel="2" x14ac:dyDescent="0.2">
      <c r="A11334" s="14" t="s">
        <v>22283</v>
      </c>
      <c r="B11334" s="15" t="s">
        <v>22284</v>
      </c>
      <c r="C11334" s="16">
        <f>58.49/(1+B2)</f>
        <v>58.49</v>
      </c>
      <c r="D11334" s="17" t="s">
        <v>11</v>
      </c>
      <c r="E11334" s="17" t="s">
        <v>14</v>
      </c>
      <c r="F11334" s="18"/>
      <c r="G11334" s="36" t="str">
        <f>IF(ISNUMBER(F11334),C11334*F11334,"")</f>
        <v/>
      </c>
    </row>
    <row r="11335" spans="1:7" ht="12" customHeight="1" outlineLevel="2" x14ac:dyDescent="0.2">
      <c r="A11335" s="14" t="s">
        <v>22285</v>
      </c>
      <c r="B11335" s="15" t="s">
        <v>22286</v>
      </c>
      <c r="C11335" s="16">
        <f>69.21/(1+B2)</f>
        <v>69.209999999999994</v>
      </c>
      <c r="D11335" s="17" t="s">
        <v>11</v>
      </c>
      <c r="E11335" s="17" t="s">
        <v>14</v>
      </c>
      <c r="F11335" s="18"/>
      <c r="G11335" s="36" t="str">
        <f>IF(ISNUMBER(F11335),C11335*F11335,"")</f>
        <v/>
      </c>
    </row>
    <row r="11336" spans="1:7" ht="12" customHeight="1" outlineLevel="2" x14ac:dyDescent="0.2">
      <c r="A11336" s="14" t="s">
        <v>22287</v>
      </c>
      <c r="B11336" s="15" t="s">
        <v>22288</v>
      </c>
      <c r="C11336" s="16">
        <f>48.73/(1+B2)</f>
        <v>48.73</v>
      </c>
      <c r="D11336" s="17" t="s">
        <v>11</v>
      </c>
      <c r="E11336" s="17" t="s">
        <v>53</v>
      </c>
      <c r="F11336" s="18"/>
      <c r="G11336" s="36" t="str">
        <f>IF(ISNUMBER(F11336),C11336*F11336,"")</f>
        <v/>
      </c>
    </row>
    <row r="11337" spans="1:7" ht="12" customHeight="1" outlineLevel="2" x14ac:dyDescent="0.2">
      <c r="A11337" s="14" t="s">
        <v>22289</v>
      </c>
      <c r="B11337" s="15" t="s">
        <v>22290</v>
      </c>
      <c r="C11337" s="16">
        <f>135.2/(1+B2)</f>
        <v>135.19999999999999</v>
      </c>
      <c r="D11337" s="17" t="s">
        <v>53</v>
      </c>
      <c r="E11337" s="17" t="s">
        <v>11</v>
      </c>
      <c r="F11337" s="18"/>
      <c r="G11337" s="36" t="str">
        <f>IF(ISNUMBER(F11337),C11337*F11337,"")</f>
        <v/>
      </c>
    </row>
    <row r="11338" spans="1:7" ht="12" customHeight="1" outlineLevel="2" x14ac:dyDescent="0.2">
      <c r="A11338" s="14" t="s">
        <v>22291</v>
      </c>
      <c r="B11338" s="15" t="s">
        <v>22292</v>
      </c>
      <c r="C11338" s="16">
        <f>135.2/(1+B2)</f>
        <v>135.19999999999999</v>
      </c>
      <c r="D11338" s="17" t="s">
        <v>11</v>
      </c>
      <c r="E11338" s="17"/>
      <c r="F11338" s="18"/>
      <c r="G11338" s="36" t="str">
        <f>IF(ISNUMBER(F11338),C11338*F11338,"")</f>
        <v/>
      </c>
    </row>
    <row r="11339" spans="1:7" ht="12" customHeight="1" outlineLevel="2" x14ac:dyDescent="0.2">
      <c r="A11339" s="14" t="s">
        <v>22293</v>
      </c>
      <c r="B11339" s="15" t="s">
        <v>22294</v>
      </c>
      <c r="C11339" s="16">
        <f>75.71/(1+B2)</f>
        <v>75.709999999999994</v>
      </c>
      <c r="D11339" s="17" t="s">
        <v>11</v>
      </c>
      <c r="E11339" s="17" t="s">
        <v>53</v>
      </c>
      <c r="F11339" s="18"/>
      <c r="G11339" s="36" t="str">
        <f>IF(ISNUMBER(F11339),C11339*F11339,"")</f>
        <v/>
      </c>
    </row>
    <row r="11340" spans="1:7" ht="12" customHeight="1" outlineLevel="2" x14ac:dyDescent="0.2">
      <c r="A11340" s="14" t="s">
        <v>22295</v>
      </c>
      <c r="B11340" s="15" t="s">
        <v>22296</v>
      </c>
      <c r="C11340" s="16">
        <f>72.85/(1+B2)</f>
        <v>72.849999999999994</v>
      </c>
      <c r="D11340" s="17" t="s">
        <v>14</v>
      </c>
      <c r="E11340" s="17" t="s">
        <v>53</v>
      </c>
      <c r="F11340" s="18"/>
      <c r="G11340" s="36" t="str">
        <f>IF(ISNUMBER(F11340),C11340*F11340,"")</f>
        <v/>
      </c>
    </row>
    <row r="11341" spans="1:7" ht="12" customHeight="1" outlineLevel="2" x14ac:dyDescent="0.2">
      <c r="A11341" s="14" t="s">
        <v>22297</v>
      </c>
      <c r="B11341" s="15" t="s">
        <v>22298</v>
      </c>
      <c r="C11341" s="16">
        <f>27.91/(1+B2)</f>
        <v>27.91</v>
      </c>
      <c r="D11341" s="17" t="s">
        <v>106</v>
      </c>
      <c r="E11341" s="17"/>
      <c r="F11341" s="18"/>
      <c r="G11341" s="36" t="str">
        <f>IF(ISNUMBER(F11341),C11341*F11341,"")</f>
        <v/>
      </c>
    </row>
    <row r="11342" spans="1:7" ht="12" customHeight="1" outlineLevel="2" x14ac:dyDescent="0.2">
      <c r="A11342" s="14" t="s">
        <v>22299</v>
      </c>
      <c r="B11342" s="15" t="s">
        <v>22300</v>
      </c>
      <c r="C11342" s="16">
        <f>75.84/(1+B2)</f>
        <v>75.84</v>
      </c>
      <c r="D11342" s="17" t="s">
        <v>11</v>
      </c>
      <c r="E11342" s="17" t="s">
        <v>53</v>
      </c>
      <c r="F11342" s="18"/>
      <c r="G11342" s="36" t="str">
        <f>IF(ISNUMBER(F11342),C11342*F11342,"")</f>
        <v/>
      </c>
    </row>
    <row r="11343" spans="1:7" ht="12" customHeight="1" outlineLevel="2" x14ac:dyDescent="0.2">
      <c r="A11343" s="14" t="s">
        <v>22301</v>
      </c>
      <c r="B11343" s="15" t="s">
        <v>22302</v>
      </c>
      <c r="C11343" s="16">
        <f>83.56/(1+B2)</f>
        <v>83.56</v>
      </c>
      <c r="D11343" s="17" t="s">
        <v>11</v>
      </c>
      <c r="E11343" s="17" t="s">
        <v>53</v>
      </c>
      <c r="F11343" s="18"/>
      <c r="G11343" s="36" t="str">
        <f>IF(ISNUMBER(F11343),C11343*F11343,"")</f>
        <v/>
      </c>
    </row>
    <row r="11344" spans="1:7" ht="12" customHeight="1" outlineLevel="2" x14ac:dyDescent="0.2">
      <c r="A11344" s="14" t="s">
        <v>22303</v>
      </c>
      <c r="B11344" s="15" t="s">
        <v>22304</v>
      </c>
      <c r="C11344" s="16">
        <f>22.71/(1+B2)</f>
        <v>22.71</v>
      </c>
      <c r="D11344" s="17" t="s">
        <v>53</v>
      </c>
      <c r="E11344" s="17"/>
      <c r="F11344" s="18"/>
      <c r="G11344" s="36" t="str">
        <f>IF(ISNUMBER(F11344),C11344*F11344,"")</f>
        <v/>
      </c>
    </row>
    <row r="11345" spans="1:7" ht="12" customHeight="1" outlineLevel="2" x14ac:dyDescent="0.2">
      <c r="A11345" s="14" t="s">
        <v>22305</v>
      </c>
      <c r="B11345" s="15" t="s">
        <v>22306</v>
      </c>
      <c r="C11345" s="16">
        <f>53.84/(1+B2)</f>
        <v>53.84</v>
      </c>
      <c r="D11345" s="17" t="s">
        <v>11</v>
      </c>
      <c r="E11345" s="17"/>
      <c r="F11345" s="18"/>
      <c r="G11345" s="36" t="str">
        <f>IF(ISNUMBER(F11345),C11345*F11345,"")</f>
        <v/>
      </c>
    </row>
    <row r="11346" spans="1:7" ht="12" customHeight="1" outlineLevel="2" x14ac:dyDescent="0.2">
      <c r="A11346" s="14" t="s">
        <v>22307</v>
      </c>
      <c r="B11346" s="15" t="s">
        <v>22308</v>
      </c>
      <c r="C11346" s="16">
        <f>85.65/(1+B2)</f>
        <v>85.65</v>
      </c>
      <c r="D11346" s="17" t="s">
        <v>11</v>
      </c>
      <c r="E11346" s="17" t="s">
        <v>14</v>
      </c>
      <c r="F11346" s="18"/>
      <c r="G11346" s="36" t="str">
        <f>IF(ISNUMBER(F11346),C11346*F11346,"")</f>
        <v/>
      </c>
    </row>
    <row r="11347" spans="1:7" ht="12" customHeight="1" outlineLevel="2" x14ac:dyDescent="0.2">
      <c r="A11347" s="14" t="s">
        <v>22309</v>
      </c>
      <c r="B11347" s="15" t="s">
        <v>22310</v>
      </c>
      <c r="C11347" s="16">
        <f>27.84/(1+B2)</f>
        <v>27.84</v>
      </c>
      <c r="D11347" s="17" t="s">
        <v>106</v>
      </c>
      <c r="E11347" s="17"/>
      <c r="F11347" s="18"/>
      <c r="G11347" s="36" t="str">
        <f>IF(ISNUMBER(F11347),C11347*F11347,"")</f>
        <v/>
      </c>
    </row>
    <row r="11348" spans="1:7" ht="12" customHeight="1" outlineLevel="2" x14ac:dyDescent="0.2">
      <c r="A11348" s="14" t="s">
        <v>22311</v>
      </c>
      <c r="B11348" s="15" t="s">
        <v>22312</v>
      </c>
      <c r="C11348" s="16">
        <f>41.18/(1+B2)</f>
        <v>41.18</v>
      </c>
      <c r="D11348" s="17" t="s">
        <v>53</v>
      </c>
      <c r="E11348" s="17"/>
      <c r="F11348" s="18"/>
      <c r="G11348" s="36" t="str">
        <f>IF(ISNUMBER(F11348),C11348*F11348,"")</f>
        <v/>
      </c>
    </row>
    <row r="11349" spans="1:7" ht="12" customHeight="1" outlineLevel="2" x14ac:dyDescent="0.2">
      <c r="A11349" s="14" t="s">
        <v>22313</v>
      </c>
      <c r="B11349" s="15" t="s">
        <v>22314</v>
      </c>
      <c r="C11349" s="16">
        <f>56.64/(1+B2)</f>
        <v>56.64</v>
      </c>
      <c r="D11349" s="17" t="s">
        <v>53</v>
      </c>
      <c r="E11349" s="17" t="s">
        <v>53</v>
      </c>
      <c r="F11349" s="18"/>
      <c r="G11349" s="36" t="str">
        <f>IF(ISNUMBER(F11349),C11349*F11349,"")</f>
        <v/>
      </c>
    </row>
    <row r="11350" spans="1:7" ht="12" customHeight="1" outlineLevel="2" x14ac:dyDescent="0.2">
      <c r="A11350" s="14" t="s">
        <v>22315</v>
      </c>
      <c r="B11350" s="15" t="s">
        <v>22316</v>
      </c>
      <c r="C11350" s="16">
        <f>67.1/(1+B2)</f>
        <v>67.099999999999994</v>
      </c>
      <c r="D11350" s="17" t="s">
        <v>53</v>
      </c>
      <c r="E11350" s="17" t="s">
        <v>53</v>
      </c>
      <c r="F11350" s="18"/>
      <c r="G11350" s="36" t="str">
        <f>IF(ISNUMBER(F11350),C11350*F11350,"")</f>
        <v/>
      </c>
    </row>
    <row r="11351" spans="1:7" ht="12" customHeight="1" outlineLevel="2" x14ac:dyDescent="0.2">
      <c r="A11351" s="14" t="s">
        <v>22317</v>
      </c>
      <c r="B11351" s="15" t="s">
        <v>22318</v>
      </c>
      <c r="C11351" s="16">
        <f>35.74/(1+B2)</f>
        <v>35.74</v>
      </c>
      <c r="D11351" s="17" t="s">
        <v>11</v>
      </c>
      <c r="E11351" s="17" t="s">
        <v>106</v>
      </c>
      <c r="F11351" s="18"/>
      <c r="G11351" s="36" t="str">
        <f>IF(ISNUMBER(F11351),C11351*F11351,"")</f>
        <v/>
      </c>
    </row>
    <row r="11352" spans="1:7" ht="12" customHeight="1" outlineLevel="2" x14ac:dyDescent="0.2">
      <c r="A11352" s="14" t="s">
        <v>22319</v>
      </c>
      <c r="B11352" s="15" t="s">
        <v>22320</v>
      </c>
      <c r="C11352" s="16">
        <f>59.99/(1+B2)</f>
        <v>59.99</v>
      </c>
      <c r="D11352" s="17" t="s">
        <v>11</v>
      </c>
      <c r="E11352" s="17" t="s">
        <v>14</v>
      </c>
      <c r="F11352" s="18"/>
      <c r="G11352" s="36" t="str">
        <f>IF(ISNUMBER(F11352),C11352*F11352,"")</f>
        <v/>
      </c>
    </row>
    <row r="11353" spans="1:7" ht="12" customHeight="1" outlineLevel="2" x14ac:dyDescent="0.2">
      <c r="A11353" s="14" t="s">
        <v>22321</v>
      </c>
      <c r="B11353" s="15" t="s">
        <v>22322</v>
      </c>
      <c r="C11353" s="16">
        <f>62.81/(1+B2)</f>
        <v>62.81</v>
      </c>
      <c r="D11353" s="17" t="s">
        <v>11</v>
      </c>
      <c r="E11353" s="17"/>
      <c r="F11353" s="18"/>
      <c r="G11353" s="36" t="str">
        <f>IF(ISNUMBER(F11353),C11353*F11353,"")</f>
        <v/>
      </c>
    </row>
    <row r="11354" spans="1:7" ht="12" customHeight="1" outlineLevel="2" x14ac:dyDescent="0.2">
      <c r="A11354" s="14" t="s">
        <v>22323</v>
      </c>
      <c r="B11354" s="15" t="s">
        <v>22324</v>
      </c>
      <c r="C11354" s="16">
        <f>17.21/(1+B2)</f>
        <v>17.21</v>
      </c>
      <c r="D11354" s="17" t="s">
        <v>11</v>
      </c>
      <c r="E11354" s="17"/>
      <c r="F11354" s="18"/>
      <c r="G11354" s="36" t="str">
        <f>IF(ISNUMBER(F11354),C11354*F11354,"")</f>
        <v/>
      </c>
    </row>
    <row r="11355" spans="1:7" ht="12" customHeight="1" outlineLevel="2" x14ac:dyDescent="0.2">
      <c r="A11355" s="14" t="s">
        <v>22325</v>
      </c>
      <c r="B11355" s="15" t="s">
        <v>22326</v>
      </c>
      <c r="C11355" s="16">
        <f>27.06/(1+B2)</f>
        <v>27.06</v>
      </c>
      <c r="D11355" s="17" t="s">
        <v>11</v>
      </c>
      <c r="E11355" s="17"/>
      <c r="F11355" s="18"/>
      <c r="G11355" s="36" t="str">
        <f>IF(ISNUMBER(F11355),C11355*F11355,"")</f>
        <v/>
      </c>
    </row>
    <row r="11356" spans="1:7" ht="12" customHeight="1" outlineLevel="2" x14ac:dyDescent="0.2">
      <c r="A11356" s="14" t="s">
        <v>22327</v>
      </c>
      <c r="B11356" s="15" t="s">
        <v>22328</v>
      </c>
      <c r="C11356" s="16">
        <f>75.77/(1+B2)</f>
        <v>75.77</v>
      </c>
      <c r="D11356" s="17" t="s">
        <v>14</v>
      </c>
      <c r="E11356" s="17"/>
      <c r="F11356" s="18"/>
      <c r="G11356" s="36" t="str">
        <f>IF(ISNUMBER(F11356),C11356*F11356,"")</f>
        <v/>
      </c>
    </row>
    <row r="11357" spans="1:7" ht="12" customHeight="1" outlineLevel="2" x14ac:dyDescent="0.2">
      <c r="A11357" s="14" t="s">
        <v>22329</v>
      </c>
      <c r="B11357" s="15" t="s">
        <v>22330</v>
      </c>
      <c r="C11357" s="16">
        <f>13.67/(1+B2)</f>
        <v>13.67</v>
      </c>
      <c r="D11357" s="17" t="s">
        <v>14</v>
      </c>
      <c r="E11357" s="17" t="s">
        <v>53</v>
      </c>
      <c r="F11357" s="18"/>
      <c r="G11357" s="36" t="str">
        <f>IF(ISNUMBER(F11357),C11357*F11357,"")</f>
        <v/>
      </c>
    </row>
    <row r="11358" spans="1:7" ht="12" customHeight="1" outlineLevel="2" x14ac:dyDescent="0.2">
      <c r="A11358" s="14" t="s">
        <v>22331</v>
      </c>
      <c r="B11358" s="15" t="s">
        <v>22332</v>
      </c>
      <c r="C11358" s="16">
        <f>16.82/(1+B2)</f>
        <v>16.82</v>
      </c>
      <c r="D11358" s="17" t="s">
        <v>11</v>
      </c>
      <c r="E11358" s="17" t="s">
        <v>14</v>
      </c>
      <c r="F11358" s="18"/>
      <c r="G11358" s="36" t="str">
        <f>IF(ISNUMBER(F11358),C11358*F11358,"")</f>
        <v/>
      </c>
    </row>
    <row r="11359" spans="1:7" ht="12" customHeight="1" outlineLevel="2" x14ac:dyDescent="0.2">
      <c r="A11359" s="14" t="s">
        <v>22333</v>
      </c>
      <c r="B11359" s="15" t="s">
        <v>22334</v>
      </c>
      <c r="C11359" s="16">
        <f>37.8/(1+B2)</f>
        <v>37.799999999999997</v>
      </c>
      <c r="D11359" s="17" t="s">
        <v>11</v>
      </c>
      <c r="E11359" s="17" t="s">
        <v>11</v>
      </c>
      <c r="F11359" s="18"/>
      <c r="G11359" s="36" t="str">
        <f>IF(ISNUMBER(F11359),C11359*F11359,"")</f>
        <v/>
      </c>
    </row>
    <row r="11360" spans="1:7" ht="12" customHeight="1" outlineLevel="2" x14ac:dyDescent="0.2">
      <c r="A11360" s="14" t="s">
        <v>22335</v>
      </c>
      <c r="B11360" s="15" t="s">
        <v>22336</v>
      </c>
      <c r="C11360" s="16">
        <f>69.88/(1+B2)</f>
        <v>69.88</v>
      </c>
      <c r="D11360" s="17" t="s">
        <v>14</v>
      </c>
      <c r="E11360" s="17"/>
      <c r="F11360" s="18"/>
      <c r="G11360" s="36" t="str">
        <f>IF(ISNUMBER(F11360),C11360*F11360,"")</f>
        <v/>
      </c>
    </row>
    <row r="11361" spans="1:7" ht="12" customHeight="1" outlineLevel="2" x14ac:dyDescent="0.2">
      <c r="A11361" s="14" t="s">
        <v>22337</v>
      </c>
      <c r="B11361" s="15" t="s">
        <v>22338</v>
      </c>
      <c r="C11361" s="16">
        <f>68.52/(1+B2)</f>
        <v>68.52</v>
      </c>
      <c r="D11361" s="17" t="s">
        <v>11</v>
      </c>
      <c r="E11361" s="17" t="s">
        <v>11</v>
      </c>
      <c r="F11361" s="18"/>
      <c r="G11361" s="36" t="str">
        <f>IF(ISNUMBER(F11361),C11361*F11361,"")</f>
        <v/>
      </c>
    </row>
    <row r="11362" spans="1:7" ht="12" customHeight="1" outlineLevel="2" x14ac:dyDescent="0.2">
      <c r="A11362" s="14" t="s">
        <v>22339</v>
      </c>
      <c r="B11362" s="15" t="s">
        <v>22340</v>
      </c>
      <c r="C11362" s="16">
        <f>8.57/(1+B2)</f>
        <v>8.57</v>
      </c>
      <c r="D11362" s="17" t="s">
        <v>11</v>
      </c>
      <c r="E11362" s="17" t="s">
        <v>53</v>
      </c>
      <c r="F11362" s="18"/>
      <c r="G11362" s="36" t="str">
        <f>IF(ISNUMBER(F11362),C11362*F11362,"")</f>
        <v/>
      </c>
    </row>
    <row r="11363" spans="1:7" ht="12" customHeight="1" outlineLevel="2" x14ac:dyDescent="0.2">
      <c r="A11363" s="14" t="s">
        <v>22341</v>
      </c>
      <c r="B11363" s="15" t="s">
        <v>22342</v>
      </c>
      <c r="C11363" s="16">
        <f>24.46/(1+B2)</f>
        <v>24.46</v>
      </c>
      <c r="D11363" s="17" t="s">
        <v>14</v>
      </c>
      <c r="E11363" s="17" t="s">
        <v>14</v>
      </c>
      <c r="F11363" s="18"/>
      <c r="G11363" s="36" t="str">
        <f>IF(ISNUMBER(F11363),C11363*F11363,"")</f>
        <v/>
      </c>
    </row>
    <row r="11364" spans="1:7" ht="12" customHeight="1" outlineLevel="2" x14ac:dyDescent="0.2">
      <c r="A11364" s="14" t="s">
        <v>22343</v>
      </c>
      <c r="B11364" s="15" t="s">
        <v>22344</v>
      </c>
      <c r="C11364" s="16">
        <f>42.93/(1+B2)</f>
        <v>42.93</v>
      </c>
      <c r="D11364" s="17" t="s">
        <v>11</v>
      </c>
      <c r="E11364" s="17" t="s">
        <v>11</v>
      </c>
      <c r="F11364" s="18"/>
      <c r="G11364" s="36" t="str">
        <f>IF(ISNUMBER(F11364),C11364*F11364,"")</f>
        <v/>
      </c>
    </row>
    <row r="11365" spans="1:7" ht="12" customHeight="1" outlineLevel="2" x14ac:dyDescent="0.2">
      <c r="A11365" s="14" t="s">
        <v>22345</v>
      </c>
      <c r="B11365" s="15" t="s">
        <v>22346</v>
      </c>
      <c r="C11365" s="16">
        <f>63.95/(1+B2)</f>
        <v>63.95</v>
      </c>
      <c r="D11365" s="17" t="s">
        <v>11</v>
      </c>
      <c r="E11365" s="17" t="s">
        <v>11</v>
      </c>
      <c r="F11365" s="18"/>
      <c r="G11365" s="36" t="str">
        <f>IF(ISNUMBER(F11365),C11365*F11365,"")</f>
        <v/>
      </c>
    </row>
    <row r="11366" spans="1:7" s="1" customFormat="1" ht="15.95" customHeight="1" outlineLevel="1" x14ac:dyDescent="0.25">
      <c r="A11366" s="11"/>
      <c r="B11366" s="12" t="s">
        <v>22347</v>
      </c>
      <c r="C11366" s="13"/>
      <c r="D11366" s="13"/>
      <c r="E11366" s="13"/>
      <c r="F11366" s="13"/>
      <c r="G11366" s="35"/>
    </row>
    <row r="11367" spans="1:7" ht="12" customHeight="1" outlineLevel="2" x14ac:dyDescent="0.2">
      <c r="A11367" s="14" t="s">
        <v>22348</v>
      </c>
      <c r="B11367" s="15" t="s">
        <v>22349</v>
      </c>
      <c r="C11367" s="16">
        <f>106.25/(1+B2)</f>
        <v>106.25</v>
      </c>
      <c r="D11367" s="17" t="s">
        <v>11</v>
      </c>
      <c r="E11367" s="17"/>
      <c r="F11367" s="18"/>
      <c r="G11367" s="36" t="str">
        <f>IF(ISNUMBER(F11367),C11367*F11367,"")</f>
        <v/>
      </c>
    </row>
    <row r="11368" spans="1:7" ht="12" customHeight="1" outlineLevel="2" x14ac:dyDescent="0.2">
      <c r="A11368" s="14" t="s">
        <v>22350</v>
      </c>
      <c r="B11368" s="15" t="s">
        <v>22351</v>
      </c>
      <c r="C11368" s="16">
        <f>106.25/(1+B2)</f>
        <v>106.25</v>
      </c>
      <c r="D11368" s="17" t="s">
        <v>11</v>
      </c>
      <c r="E11368" s="17" t="s">
        <v>11</v>
      </c>
      <c r="F11368" s="18"/>
      <c r="G11368" s="36" t="str">
        <f>IF(ISNUMBER(F11368),C11368*F11368,"")</f>
        <v/>
      </c>
    </row>
    <row r="11369" spans="1:7" ht="12" customHeight="1" outlineLevel="2" x14ac:dyDescent="0.2">
      <c r="A11369" s="14" t="s">
        <v>22352</v>
      </c>
      <c r="B11369" s="15" t="s">
        <v>22353</v>
      </c>
      <c r="C11369" s="16">
        <f>82.5/(1+B2)</f>
        <v>82.5</v>
      </c>
      <c r="D11369" s="17" t="s">
        <v>11</v>
      </c>
      <c r="E11369" s="17" t="s">
        <v>53</v>
      </c>
      <c r="F11369" s="18"/>
      <c r="G11369" s="36" t="str">
        <f>IF(ISNUMBER(F11369),C11369*F11369,"")</f>
        <v/>
      </c>
    </row>
    <row r="11370" spans="1:7" ht="12" customHeight="1" outlineLevel="2" x14ac:dyDescent="0.2">
      <c r="A11370" s="14" t="s">
        <v>22354</v>
      </c>
      <c r="B11370" s="15" t="s">
        <v>22355</v>
      </c>
      <c r="C11370" s="16">
        <f>82.5/(1+B2)</f>
        <v>82.5</v>
      </c>
      <c r="D11370" s="17" t="s">
        <v>11</v>
      </c>
      <c r="E11370" s="17" t="s">
        <v>53</v>
      </c>
      <c r="F11370" s="18"/>
      <c r="G11370" s="36" t="str">
        <f>IF(ISNUMBER(F11370),C11370*F11370,"")</f>
        <v/>
      </c>
    </row>
    <row r="11371" spans="1:7" ht="12" customHeight="1" outlineLevel="2" x14ac:dyDescent="0.2">
      <c r="A11371" s="14" t="s">
        <v>22356</v>
      </c>
      <c r="B11371" s="15" t="s">
        <v>22357</v>
      </c>
      <c r="C11371" s="16">
        <f>100/(1+B2)</f>
        <v>100</v>
      </c>
      <c r="D11371" s="17" t="s">
        <v>11</v>
      </c>
      <c r="E11371" s="17" t="s">
        <v>14</v>
      </c>
      <c r="F11371" s="18"/>
      <c r="G11371" s="36" t="str">
        <f>IF(ISNUMBER(F11371),C11371*F11371,"")</f>
        <v/>
      </c>
    </row>
    <row r="11372" spans="1:7" ht="12" customHeight="1" outlineLevel="2" x14ac:dyDescent="0.2">
      <c r="A11372" s="14" t="s">
        <v>22358</v>
      </c>
      <c r="B11372" s="15" t="s">
        <v>22359</v>
      </c>
      <c r="C11372" s="16">
        <f>100/(1+B2)</f>
        <v>100</v>
      </c>
      <c r="D11372" s="17" t="s">
        <v>11</v>
      </c>
      <c r="E11372" s="17" t="s">
        <v>11</v>
      </c>
      <c r="F11372" s="18"/>
      <c r="G11372" s="36" t="str">
        <f>IF(ISNUMBER(F11372),C11372*F11372,"")</f>
        <v/>
      </c>
    </row>
    <row r="11373" spans="1:7" ht="12" customHeight="1" outlineLevel="2" x14ac:dyDescent="0.2">
      <c r="A11373" s="14" t="s">
        <v>22360</v>
      </c>
      <c r="B11373" s="15" t="s">
        <v>22361</v>
      </c>
      <c r="C11373" s="16">
        <f>58.15/(1+B2)</f>
        <v>58.15</v>
      </c>
      <c r="D11373" s="17" t="s">
        <v>11</v>
      </c>
      <c r="E11373" s="17" t="s">
        <v>53</v>
      </c>
      <c r="F11373" s="18"/>
      <c r="G11373" s="36" t="str">
        <f>IF(ISNUMBER(F11373),C11373*F11373,"")</f>
        <v/>
      </c>
    </row>
    <row r="11374" spans="1:7" ht="12" customHeight="1" outlineLevel="2" x14ac:dyDescent="0.2">
      <c r="A11374" s="14" t="s">
        <v>22362</v>
      </c>
      <c r="B11374" s="15" t="s">
        <v>22363</v>
      </c>
      <c r="C11374" s="16">
        <f>58.15/(1+B2)</f>
        <v>58.15</v>
      </c>
      <c r="D11374" s="17" t="s">
        <v>11</v>
      </c>
      <c r="E11374" s="17" t="s">
        <v>53</v>
      </c>
      <c r="F11374" s="18"/>
      <c r="G11374" s="36" t="str">
        <f>IF(ISNUMBER(F11374),C11374*F11374,"")</f>
        <v/>
      </c>
    </row>
    <row r="11375" spans="1:7" ht="12" customHeight="1" outlineLevel="2" x14ac:dyDescent="0.2">
      <c r="A11375" s="14" t="s">
        <v>22364</v>
      </c>
      <c r="B11375" s="15" t="s">
        <v>22365</v>
      </c>
      <c r="C11375" s="16">
        <f>59.88/(1+B2)</f>
        <v>59.88</v>
      </c>
      <c r="D11375" s="17" t="s">
        <v>11</v>
      </c>
      <c r="E11375" s="17"/>
      <c r="F11375" s="18"/>
      <c r="G11375" s="36" t="str">
        <f>IF(ISNUMBER(F11375),C11375*F11375,"")</f>
        <v/>
      </c>
    </row>
    <row r="11376" spans="1:7" ht="12" customHeight="1" outlineLevel="2" x14ac:dyDescent="0.2">
      <c r="A11376" s="14" t="s">
        <v>22366</v>
      </c>
      <c r="B11376" s="15" t="s">
        <v>22367</v>
      </c>
      <c r="C11376" s="16">
        <f>56.28/(1+B2)</f>
        <v>56.28</v>
      </c>
      <c r="D11376" s="17" t="s">
        <v>11</v>
      </c>
      <c r="E11376" s="17"/>
      <c r="F11376" s="18"/>
      <c r="G11376" s="36" t="str">
        <f>IF(ISNUMBER(F11376),C11376*F11376,"")</f>
        <v/>
      </c>
    </row>
    <row r="11377" spans="1:7" ht="12" customHeight="1" outlineLevel="2" x14ac:dyDescent="0.2">
      <c r="A11377" s="14" t="s">
        <v>22368</v>
      </c>
      <c r="B11377" s="15" t="s">
        <v>22369</v>
      </c>
      <c r="C11377" s="16">
        <f>75.84/(1+B2)</f>
        <v>75.84</v>
      </c>
      <c r="D11377" s="17" t="s">
        <v>53</v>
      </c>
      <c r="E11377" s="17"/>
      <c r="F11377" s="18"/>
      <c r="G11377" s="36" t="str">
        <f>IF(ISNUMBER(F11377),C11377*F11377,"")</f>
        <v/>
      </c>
    </row>
    <row r="11378" spans="1:7" ht="12" customHeight="1" outlineLevel="2" x14ac:dyDescent="0.2">
      <c r="A11378" s="14" t="s">
        <v>22370</v>
      </c>
      <c r="B11378" s="15" t="s">
        <v>22371</v>
      </c>
      <c r="C11378" s="16">
        <f>75.84/(1+B2)</f>
        <v>75.84</v>
      </c>
      <c r="D11378" s="17" t="s">
        <v>53</v>
      </c>
      <c r="E11378" s="17"/>
      <c r="F11378" s="18"/>
      <c r="G11378" s="36" t="str">
        <f>IF(ISNUMBER(F11378),C11378*F11378,"")</f>
        <v/>
      </c>
    </row>
    <row r="11379" spans="1:7" ht="24" customHeight="1" outlineLevel="2" x14ac:dyDescent="0.2">
      <c r="A11379" s="14" t="s">
        <v>22372</v>
      </c>
      <c r="B11379" s="15" t="s">
        <v>22373</v>
      </c>
      <c r="C11379" s="16">
        <f>75.84/(1+B2)</f>
        <v>75.84</v>
      </c>
      <c r="D11379" s="17" t="s">
        <v>53</v>
      </c>
      <c r="E11379" s="17"/>
      <c r="F11379" s="18"/>
      <c r="G11379" s="36" t="str">
        <f>IF(ISNUMBER(F11379),C11379*F11379,"")</f>
        <v/>
      </c>
    </row>
    <row r="11380" spans="1:7" ht="12" customHeight="1" outlineLevel="2" x14ac:dyDescent="0.2">
      <c r="A11380" s="14" t="s">
        <v>22374</v>
      </c>
      <c r="B11380" s="15" t="s">
        <v>22375</v>
      </c>
      <c r="C11380" s="16">
        <f>75.84/(1+B2)</f>
        <v>75.84</v>
      </c>
      <c r="D11380" s="17" t="s">
        <v>53</v>
      </c>
      <c r="E11380" s="17"/>
      <c r="F11380" s="18"/>
      <c r="G11380" s="36" t="str">
        <f>IF(ISNUMBER(F11380),C11380*F11380,"")</f>
        <v/>
      </c>
    </row>
    <row r="11381" spans="1:7" ht="12" customHeight="1" outlineLevel="2" x14ac:dyDescent="0.2">
      <c r="A11381" s="14" t="s">
        <v>22376</v>
      </c>
      <c r="B11381" s="15" t="s">
        <v>22377</v>
      </c>
      <c r="C11381" s="16">
        <f>75.84/(1+B2)</f>
        <v>75.84</v>
      </c>
      <c r="D11381" s="17" t="s">
        <v>53</v>
      </c>
      <c r="E11381" s="17"/>
      <c r="F11381" s="18"/>
      <c r="G11381" s="36" t="str">
        <f>IF(ISNUMBER(F11381),C11381*F11381,"")</f>
        <v/>
      </c>
    </row>
    <row r="11382" spans="1:7" ht="12" customHeight="1" outlineLevel="2" x14ac:dyDescent="0.2">
      <c r="A11382" s="14" t="s">
        <v>22378</v>
      </c>
      <c r="B11382" s="15" t="s">
        <v>22379</v>
      </c>
      <c r="C11382" s="16">
        <f>75.84/(1+B2)</f>
        <v>75.84</v>
      </c>
      <c r="D11382" s="17" t="s">
        <v>53</v>
      </c>
      <c r="E11382" s="17"/>
      <c r="F11382" s="18"/>
      <c r="G11382" s="36" t="str">
        <f>IF(ISNUMBER(F11382),C11382*F11382,"")</f>
        <v/>
      </c>
    </row>
    <row r="11383" spans="1:7" ht="12" customHeight="1" outlineLevel="2" x14ac:dyDescent="0.2">
      <c r="A11383" s="14" t="s">
        <v>22380</v>
      </c>
      <c r="B11383" s="15" t="s">
        <v>22381</v>
      </c>
      <c r="C11383" s="16">
        <f>56.93/(1+B2)</f>
        <v>56.93</v>
      </c>
      <c r="D11383" s="17" t="s">
        <v>53</v>
      </c>
      <c r="E11383" s="17"/>
      <c r="F11383" s="18"/>
      <c r="G11383" s="36" t="str">
        <f>IF(ISNUMBER(F11383),C11383*F11383,"")</f>
        <v/>
      </c>
    </row>
    <row r="11384" spans="1:7" ht="12" customHeight="1" outlineLevel="2" x14ac:dyDescent="0.2">
      <c r="A11384" s="14" t="s">
        <v>22382</v>
      </c>
      <c r="B11384" s="15" t="s">
        <v>22383</v>
      </c>
      <c r="C11384" s="16">
        <f>62.16/(1+B2)</f>
        <v>62.16</v>
      </c>
      <c r="D11384" s="17" t="s">
        <v>53</v>
      </c>
      <c r="E11384" s="17"/>
      <c r="F11384" s="18"/>
      <c r="G11384" s="36" t="str">
        <f>IF(ISNUMBER(F11384),C11384*F11384,"")</f>
        <v/>
      </c>
    </row>
    <row r="11385" spans="1:7" ht="12" customHeight="1" outlineLevel="2" x14ac:dyDescent="0.2">
      <c r="A11385" s="14" t="s">
        <v>22384</v>
      </c>
      <c r="B11385" s="15" t="s">
        <v>22385</v>
      </c>
      <c r="C11385" s="16">
        <f>59.62/(1+B2)</f>
        <v>59.62</v>
      </c>
      <c r="D11385" s="17" t="s">
        <v>53</v>
      </c>
      <c r="E11385" s="17"/>
      <c r="F11385" s="18"/>
      <c r="G11385" s="36" t="str">
        <f>IF(ISNUMBER(F11385),C11385*F11385,"")</f>
        <v/>
      </c>
    </row>
    <row r="11386" spans="1:7" ht="12" customHeight="1" outlineLevel="2" x14ac:dyDescent="0.2">
      <c r="A11386" s="14" t="s">
        <v>22386</v>
      </c>
      <c r="B11386" s="15" t="s">
        <v>22387</v>
      </c>
      <c r="C11386" s="16">
        <f>64.8/(1+B2)</f>
        <v>64.8</v>
      </c>
      <c r="D11386" s="17" t="s">
        <v>53</v>
      </c>
      <c r="E11386" s="17"/>
      <c r="F11386" s="18"/>
      <c r="G11386" s="36" t="str">
        <f>IF(ISNUMBER(F11386),C11386*F11386,"")</f>
        <v/>
      </c>
    </row>
    <row r="11387" spans="1:7" ht="24" customHeight="1" outlineLevel="2" x14ac:dyDescent="0.2">
      <c r="A11387" s="14" t="s">
        <v>22388</v>
      </c>
      <c r="B11387" s="15" t="s">
        <v>22389</v>
      </c>
      <c r="C11387" s="16">
        <f>70.18/(1+B2)</f>
        <v>70.180000000000007</v>
      </c>
      <c r="D11387" s="17" t="s">
        <v>11</v>
      </c>
      <c r="E11387" s="17"/>
      <c r="F11387" s="18"/>
      <c r="G11387" s="36" t="str">
        <f>IF(ISNUMBER(F11387),C11387*F11387,"")</f>
        <v/>
      </c>
    </row>
    <row r="11388" spans="1:7" ht="24" customHeight="1" outlineLevel="2" x14ac:dyDescent="0.2">
      <c r="A11388" s="14" t="s">
        <v>22390</v>
      </c>
      <c r="B11388" s="15" t="s">
        <v>22391</v>
      </c>
      <c r="C11388" s="16">
        <f>64.38/(1+B2)</f>
        <v>64.38</v>
      </c>
      <c r="D11388" s="17" t="s">
        <v>53</v>
      </c>
      <c r="E11388" s="17"/>
      <c r="F11388" s="18"/>
      <c r="G11388" s="36" t="str">
        <f>IF(ISNUMBER(F11388),C11388*F11388,"")</f>
        <v/>
      </c>
    </row>
    <row r="11389" spans="1:7" ht="24" customHeight="1" outlineLevel="2" x14ac:dyDescent="0.2">
      <c r="A11389" s="14" t="s">
        <v>22392</v>
      </c>
      <c r="B11389" s="15" t="s">
        <v>22393</v>
      </c>
      <c r="C11389" s="16">
        <f>64.38/(1+B2)</f>
        <v>64.38</v>
      </c>
      <c r="D11389" s="17" t="s">
        <v>14</v>
      </c>
      <c r="E11389" s="17"/>
      <c r="F11389" s="18"/>
      <c r="G11389" s="36" t="str">
        <f>IF(ISNUMBER(F11389),C11389*F11389,"")</f>
        <v/>
      </c>
    </row>
    <row r="11390" spans="1:7" ht="12" customHeight="1" outlineLevel="2" x14ac:dyDescent="0.2">
      <c r="A11390" s="14" t="s">
        <v>22394</v>
      </c>
      <c r="B11390" s="15" t="s">
        <v>22395</v>
      </c>
      <c r="C11390" s="16">
        <f>64.38/(1+B2)</f>
        <v>64.38</v>
      </c>
      <c r="D11390" s="17" t="s">
        <v>14</v>
      </c>
      <c r="E11390" s="17"/>
      <c r="F11390" s="18"/>
      <c r="G11390" s="36" t="str">
        <f>IF(ISNUMBER(F11390),C11390*F11390,"")</f>
        <v/>
      </c>
    </row>
    <row r="11391" spans="1:7" ht="12" customHeight="1" outlineLevel="2" x14ac:dyDescent="0.2">
      <c r="A11391" s="14" t="s">
        <v>22396</v>
      </c>
      <c r="B11391" s="15" t="s">
        <v>22397</v>
      </c>
      <c r="C11391" s="16">
        <f>65/(1+B2)</f>
        <v>65</v>
      </c>
      <c r="D11391" s="17" t="s">
        <v>11</v>
      </c>
      <c r="E11391" s="17" t="s">
        <v>11</v>
      </c>
      <c r="F11391" s="18"/>
      <c r="G11391" s="36" t="str">
        <f>IF(ISNUMBER(F11391),C11391*F11391,"")</f>
        <v/>
      </c>
    </row>
    <row r="11392" spans="1:7" ht="12" customHeight="1" outlineLevel="2" x14ac:dyDescent="0.2">
      <c r="A11392" s="14" t="s">
        <v>22398</v>
      </c>
      <c r="B11392" s="15" t="s">
        <v>22399</v>
      </c>
      <c r="C11392" s="16">
        <f>121.25/(1+B2)</f>
        <v>121.25</v>
      </c>
      <c r="D11392" s="17" t="s">
        <v>11</v>
      </c>
      <c r="E11392" s="17"/>
      <c r="F11392" s="18"/>
      <c r="G11392" s="36" t="str">
        <f>IF(ISNUMBER(F11392),C11392*F11392,"")</f>
        <v/>
      </c>
    </row>
    <row r="11393" spans="1:7" ht="24" customHeight="1" outlineLevel="2" x14ac:dyDescent="0.2">
      <c r="A11393" s="14" t="s">
        <v>22400</v>
      </c>
      <c r="B11393" s="15" t="s">
        <v>22401</v>
      </c>
      <c r="C11393" s="16">
        <f>65/(1+B2)</f>
        <v>65</v>
      </c>
      <c r="D11393" s="17" t="s">
        <v>11</v>
      </c>
      <c r="E11393" s="17" t="s">
        <v>11</v>
      </c>
      <c r="F11393" s="18"/>
      <c r="G11393" s="36" t="str">
        <f>IF(ISNUMBER(F11393),C11393*F11393,"")</f>
        <v/>
      </c>
    </row>
    <row r="11394" spans="1:7" ht="24" customHeight="1" outlineLevel="2" x14ac:dyDescent="0.2">
      <c r="A11394" s="14" t="s">
        <v>22402</v>
      </c>
      <c r="B11394" s="15" t="s">
        <v>22403</v>
      </c>
      <c r="C11394" s="16">
        <f>121.25/(1+B2)</f>
        <v>121.25</v>
      </c>
      <c r="D11394" s="17" t="s">
        <v>11</v>
      </c>
      <c r="E11394" s="17"/>
      <c r="F11394" s="18"/>
      <c r="G11394" s="36" t="str">
        <f>IF(ISNUMBER(F11394),C11394*F11394,"")</f>
        <v/>
      </c>
    </row>
    <row r="11395" spans="1:7" ht="24" customHeight="1" outlineLevel="2" x14ac:dyDescent="0.2">
      <c r="A11395" s="14" t="s">
        <v>22404</v>
      </c>
      <c r="B11395" s="15" t="s">
        <v>22405</v>
      </c>
      <c r="C11395" s="16">
        <f>65/(1+B2)</f>
        <v>65</v>
      </c>
      <c r="D11395" s="17" t="s">
        <v>11</v>
      </c>
      <c r="E11395" s="17" t="s">
        <v>14</v>
      </c>
      <c r="F11395" s="18"/>
      <c r="G11395" s="36" t="str">
        <f>IF(ISNUMBER(F11395),C11395*F11395,"")</f>
        <v/>
      </c>
    </row>
    <row r="11396" spans="1:7" ht="24" customHeight="1" outlineLevel="2" x14ac:dyDescent="0.2">
      <c r="A11396" s="14" t="s">
        <v>22406</v>
      </c>
      <c r="B11396" s="15" t="s">
        <v>22407</v>
      </c>
      <c r="C11396" s="16">
        <f>65/(1+B2)</f>
        <v>65</v>
      </c>
      <c r="D11396" s="17" t="s">
        <v>11</v>
      </c>
      <c r="E11396" s="17" t="s">
        <v>14</v>
      </c>
      <c r="F11396" s="18"/>
      <c r="G11396" s="36" t="str">
        <f>IF(ISNUMBER(F11396),C11396*F11396,"")</f>
        <v/>
      </c>
    </row>
    <row r="11397" spans="1:7" ht="12" customHeight="1" outlineLevel="2" x14ac:dyDescent="0.2">
      <c r="A11397" s="14" t="s">
        <v>22408</v>
      </c>
      <c r="B11397" s="15" t="s">
        <v>22409</v>
      </c>
      <c r="C11397" s="16">
        <f>59.9/(1+B2)</f>
        <v>59.9</v>
      </c>
      <c r="D11397" s="17" t="s">
        <v>14</v>
      </c>
      <c r="E11397" s="17"/>
      <c r="F11397" s="18"/>
      <c r="G11397" s="36" t="str">
        <f>IF(ISNUMBER(F11397),C11397*F11397,"")</f>
        <v/>
      </c>
    </row>
    <row r="11398" spans="1:7" ht="12" customHeight="1" outlineLevel="2" x14ac:dyDescent="0.2">
      <c r="A11398" s="14" t="s">
        <v>22410</v>
      </c>
      <c r="B11398" s="15" t="s">
        <v>22411</v>
      </c>
      <c r="C11398" s="16">
        <f>45.79/(1+B2)</f>
        <v>45.79</v>
      </c>
      <c r="D11398" s="17" t="s">
        <v>53</v>
      </c>
      <c r="E11398" s="17"/>
      <c r="F11398" s="18"/>
      <c r="G11398" s="36" t="str">
        <f>IF(ISNUMBER(F11398),C11398*F11398,"")</f>
        <v/>
      </c>
    </row>
    <row r="11399" spans="1:7" ht="24" customHeight="1" outlineLevel="2" x14ac:dyDescent="0.2">
      <c r="A11399" s="14" t="s">
        <v>22412</v>
      </c>
      <c r="B11399" s="15" t="s">
        <v>22413</v>
      </c>
      <c r="C11399" s="16">
        <f>59.62/(1+B2)</f>
        <v>59.62</v>
      </c>
      <c r="D11399" s="17" t="s">
        <v>53</v>
      </c>
      <c r="E11399" s="17"/>
      <c r="F11399" s="18"/>
      <c r="G11399" s="36" t="str">
        <f>IF(ISNUMBER(F11399),C11399*F11399,"")</f>
        <v/>
      </c>
    </row>
    <row r="11400" spans="1:7" ht="12" customHeight="1" outlineLevel="2" x14ac:dyDescent="0.2">
      <c r="A11400" s="14" t="s">
        <v>22414</v>
      </c>
      <c r="B11400" s="15" t="s">
        <v>22415</v>
      </c>
      <c r="C11400" s="16">
        <f>125/(1+B2)</f>
        <v>125</v>
      </c>
      <c r="D11400" s="17" t="s">
        <v>14</v>
      </c>
      <c r="E11400" s="17"/>
      <c r="F11400" s="18"/>
      <c r="G11400" s="36" t="str">
        <f>IF(ISNUMBER(F11400),C11400*F11400,"")</f>
        <v/>
      </c>
    </row>
    <row r="11401" spans="1:7" ht="12" customHeight="1" outlineLevel="2" x14ac:dyDescent="0.2">
      <c r="A11401" s="14" t="s">
        <v>22416</v>
      </c>
      <c r="B11401" s="15" t="s">
        <v>22417</v>
      </c>
      <c r="C11401" s="16">
        <f>132.5/(1+B2)</f>
        <v>132.5</v>
      </c>
      <c r="D11401" s="17" t="s">
        <v>11</v>
      </c>
      <c r="E11401" s="17" t="s">
        <v>11</v>
      </c>
      <c r="F11401" s="18"/>
      <c r="G11401" s="36" t="str">
        <f>IF(ISNUMBER(F11401),C11401*F11401,"")</f>
        <v/>
      </c>
    </row>
    <row r="11402" spans="1:7" s="1" customFormat="1" ht="15.95" customHeight="1" outlineLevel="1" x14ac:dyDescent="0.25">
      <c r="A11402" s="11"/>
      <c r="B11402" s="12" t="s">
        <v>22418</v>
      </c>
      <c r="C11402" s="13"/>
      <c r="D11402" s="13"/>
      <c r="E11402" s="13"/>
      <c r="F11402" s="13"/>
      <c r="G11402" s="35"/>
    </row>
    <row r="11403" spans="1:7" ht="12" customHeight="1" outlineLevel="2" x14ac:dyDescent="0.2">
      <c r="A11403" s="14" t="s">
        <v>22419</v>
      </c>
      <c r="B11403" s="15" t="s">
        <v>22420</v>
      </c>
      <c r="C11403" s="16">
        <f>56.44/(1+B2)</f>
        <v>56.44</v>
      </c>
      <c r="D11403" s="17" t="s">
        <v>14</v>
      </c>
      <c r="E11403" s="17" t="s">
        <v>11</v>
      </c>
      <c r="F11403" s="18"/>
      <c r="G11403" s="36" t="str">
        <f>IF(ISNUMBER(F11403),C11403*F11403,"")</f>
        <v/>
      </c>
    </row>
    <row r="11404" spans="1:7" ht="12" customHeight="1" outlineLevel="2" x14ac:dyDescent="0.2">
      <c r="A11404" s="14" t="s">
        <v>22421</v>
      </c>
      <c r="B11404" s="15" t="s">
        <v>22422</v>
      </c>
      <c r="C11404" s="16">
        <f>165.15/(1+B2)</f>
        <v>165.15</v>
      </c>
      <c r="D11404" s="17" t="s">
        <v>14</v>
      </c>
      <c r="E11404" s="17" t="s">
        <v>106</v>
      </c>
      <c r="F11404" s="18"/>
      <c r="G11404" s="36" t="str">
        <f>IF(ISNUMBER(F11404),C11404*F11404,"")</f>
        <v/>
      </c>
    </row>
    <row r="11405" spans="1:7" ht="12" customHeight="1" outlineLevel="2" x14ac:dyDescent="0.2">
      <c r="A11405" s="14" t="s">
        <v>22423</v>
      </c>
      <c r="B11405" s="15" t="s">
        <v>22424</v>
      </c>
      <c r="C11405" s="16">
        <f>18.29/(1+B2)</f>
        <v>18.29</v>
      </c>
      <c r="D11405" s="17" t="s">
        <v>106</v>
      </c>
      <c r="E11405" s="17" t="s">
        <v>106</v>
      </c>
      <c r="F11405" s="18"/>
      <c r="G11405" s="36" t="str">
        <f>IF(ISNUMBER(F11405),C11405*F11405,"")</f>
        <v/>
      </c>
    </row>
    <row r="11406" spans="1:7" ht="12" customHeight="1" outlineLevel="2" x14ac:dyDescent="0.2">
      <c r="A11406" s="14" t="s">
        <v>22425</v>
      </c>
      <c r="B11406" s="15" t="s">
        <v>22426</v>
      </c>
      <c r="C11406" s="16">
        <f>49.98/(1+B2)</f>
        <v>49.98</v>
      </c>
      <c r="D11406" s="17" t="s">
        <v>11</v>
      </c>
      <c r="E11406" s="17" t="s">
        <v>53</v>
      </c>
      <c r="F11406" s="18"/>
      <c r="G11406" s="36" t="str">
        <f>IF(ISNUMBER(F11406),C11406*F11406,"")</f>
        <v/>
      </c>
    </row>
    <row r="11407" spans="1:7" ht="12" customHeight="1" outlineLevel="2" x14ac:dyDescent="0.2">
      <c r="A11407" s="14" t="s">
        <v>22427</v>
      </c>
      <c r="B11407" s="15" t="s">
        <v>22428</v>
      </c>
      <c r="C11407" s="16">
        <f>242.93/(1+B2)</f>
        <v>242.93</v>
      </c>
      <c r="D11407" s="17" t="s">
        <v>11</v>
      </c>
      <c r="E11407" s="17" t="s">
        <v>11</v>
      </c>
      <c r="F11407" s="18"/>
      <c r="G11407" s="36" t="str">
        <f>IF(ISNUMBER(F11407),C11407*F11407,"")</f>
        <v/>
      </c>
    </row>
    <row r="11408" spans="1:7" ht="12" customHeight="1" outlineLevel="2" x14ac:dyDescent="0.2">
      <c r="A11408" s="14" t="s">
        <v>22429</v>
      </c>
      <c r="B11408" s="15" t="s">
        <v>22430</v>
      </c>
      <c r="C11408" s="16">
        <f>89.47/(1+B2)</f>
        <v>89.47</v>
      </c>
      <c r="D11408" s="17" t="s">
        <v>14</v>
      </c>
      <c r="E11408" s="17" t="s">
        <v>11</v>
      </c>
      <c r="F11408" s="18"/>
      <c r="G11408" s="36" t="str">
        <f>IF(ISNUMBER(F11408),C11408*F11408,"")</f>
        <v/>
      </c>
    </row>
    <row r="11409" spans="1:7" ht="12" customHeight="1" outlineLevel="2" x14ac:dyDescent="0.2">
      <c r="A11409" s="14" t="s">
        <v>22431</v>
      </c>
      <c r="B11409" s="15" t="s">
        <v>22432</v>
      </c>
      <c r="C11409" s="16">
        <f>89.47/(1+B2)</f>
        <v>89.47</v>
      </c>
      <c r="D11409" s="17" t="s">
        <v>11</v>
      </c>
      <c r="E11409" s="17"/>
      <c r="F11409" s="18"/>
      <c r="G11409" s="36" t="str">
        <f>IF(ISNUMBER(F11409),C11409*F11409,"")</f>
        <v/>
      </c>
    </row>
    <row r="11410" spans="1:7" ht="12" customHeight="1" outlineLevel="2" x14ac:dyDescent="0.2">
      <c r="A11410" s="14" t="s">
        <v>22433</v>
      </c>
      <c r="B11410" s="15" t="s">
        <v>22434</v>
      </c>
      <c r="C11410" s="16">
        <f>89.47/(1+B2)</f>
        <v>89.47</v>
      </c>
      <c r="D11410" s="17" t="s">
        <v>14</v>
      </c>
      <c r="E11410" s="17"/>
      <c r="F11410" s="18"/>
      <c r="G11410" s="36" t="str">
        <f>IF(ISNUMBER(F11410),C11410*F11410,"")</f>
        <v/>
      </c>
    </row>
    <row r="11411" spans="1:7" ht="12" customHeight="1" outlineLevel="2" x14ac:dyDescent="0.2">
      <c r="A11411" s="14" t="s">
        <v>22435</v>
      </c>
      <c r="B11411" s="15" t="s">
        <v>22436</v>
      </c>
      <c r="C11411" s="16">
        <f>91.01/(1+B2)</f>
        <v>91.01</v>
      </c>
      <c r="D11411" s="17" t="s">
        <v>14</v>
      </c>
      <c r="E11411" s="17"/>
      <c r="F11411" s="18"/>
      <c r="G11411" s="36" t="str">
        <f>IF(ISNUMBER(F11411),C11411*F11411,"")</f>
        <v/>
      </c>
    </row>
    <row r="11412" spans="1:7" ht="12" customHeight="1" outlineLevel="2" x14ac:dyDescent="0.2">
      <c r="A11412" s="14" t="s">
        <v>22437</v>
      </c>
      <c r="B11412" s="15" t="s">
        <v>22438</v>
      </c>
      <c r="C11412" s="16">
        <f>124.85/(1+B2)</f>
        <v>124.85</v>
      </c>
      <c r="D11412" s="17" t="s">
        <v>11</v>
      </c>
      <c r="E11412" s="17"/>
      <c r="F11412" s="18"/>
      <c r="G11412" s="36" t="str">
        <f>IF(ISNUMBER(F11412),C11412*F11412,"")</f>
        <v/>
      </c>
    </row>
    <row r="11413" spans="1:7" ht="12" customHeight="1" outlineLevel="2" x14ac:dyDescent="0.2">
      <c r="A11413" s="14" t="s">
        <v>22439</v>
      </c>
      <c r="B11413" s="15" t="s">
        <v>22440</v>
      </c>
      <c r="C11413" s="16">
        <f>118.94/(1+B2)</f>
        <v>118.94</v>
      </c>
      <c r="D11413" s="17" t="s">
        <v>11</v>
      </c>
      <c r="E11413" s="17" t="s">
        <v>11</v>
      </c>
      <c r="F11413" s="18"/>
      <c r="G11413" s="36" t="str">
        <f>IF(ISNUMBER(F11413),C11413*F11413,"")</f>
        <v/>
      </c>
    </row>
    <row r="11414" spans="1:7" ht="12" customHeight="1" outlineLevel="2" x14ac:dyDescent="0.2">
      <c r="A11414" s="14" t="s">
        <v>22441</v>
      </c>
      <c r="B11414" s="15" t="s">
        <v>22442</v>
      </c>
      <c r="C11414" s="16">
        <f>50.06/(1+B2)</f>
        <v>50.06</v>
      </c>
      <c r="D11414" s="17" t="s">
        <v>14</v>
      </c>
      <c r="E11414" s="17" t="s">
        <v>106</v>
      </c>
      <c r="F11414" s="18"/>
      <c r="G11414" s="36" t="str">
        <f>IF(ISNUMBER(F11414),C11414*F11414,"")</f>
        <v/>
      </c>
    </row>
    <row r="11415" spans="1:7" ht="12" customHeight="1" outlineLevel="2" x14ac:dyDescent="0.2">
      <c r="A11415" s="14" t="s">
        <v>22443</v>
      </c>
      <c r="B11415" s="15" t="s">
        <v>22444</v>
      </c>
      <c r="C11415" s="16">
        <f>42.25/(1+B2)</f>
        <v>42.25</v>
      </c>
      <c r="D11415" s="17" t="s">
        <v>11</v>
      </c>
      <c r="E11415" s="17" t="s">
        <v>11</v>
      </c>
      <c r="F11415" s="18"/>
      <c r="G11415" s="36" t="str">
        <f>IF(ISNUMBER(F11415),C11415*F11415,"")</f>
        <v/>
      </c>
    </row>
    <row r="11416" spans="1:7" ht="24" customHeight="1" outlineLevel="2" x14ac:dyDescent="0.2">
      <c r="A11416" s="14" t="s">
        <v>22445</v>
      </c>
      <c r="B11416" s="15" t="s">
        <v>22446</v>
      </c>
      <c r="C11416" s="16">
        <f>69.67/(1+B2)</f>
        <v>69.67</v>
      </c>
      <c r="D11416" s="17" t="s">
        <v>11</v>
      </c>
      <c r="E11416" s="17" t="s">
        <v>14</v>
      </c>
      <c r="F11416" s="18"/>
      <c r="G11416" s="36" t="str">
        <f>IF(ISNUMBER(F11416),C11416*F11416,"")</f>
        <v/>
      </c>
    </row>
    <row r="11417" spans="1:7" ht="24" customHeight="1" outlineLevel="2" x14ac:dyDescent="0.2">
      <c r="A11417" s="14" t="s">
        <v>22447</v>
      </c>
      <c r="B11417" s="15" t="s">
        <v>22448</v>
      </c>
      <c r="C11417" s="16">
        <f>63.87/(1+B2)</f>
        <v>63.87</v>
      </c>
      <c r="D11417" s="17" t="s">
        <v>11</v>
      </c>
      <c r="E11417" s="17"/>
      <c r="F11417" s="18"/>
      <c r="G11417" s="36" t="str">
        <f>IF(ISNUMBER(F11417),C11417*F11417,"")</f>
        <v/>
      </c>
    </row>
    <row r="11418" spans="1:7" ht="12" customHeight="1" outlineLevel="2" x14ac:dyDescent="0.2">
      <c r="A11418" s="14" t="s">
        <v>22449</v>
      </c>
      <c r="B11418" s="15" t="s">
        <v>22450</v>
      </c>
      <c r="C11418" s="16">
        <f>75.48/(1+B2)</f>
        <v>75.48</v>
      </c>
      <c r="D11418" s="17" t="s">
        <v>11</v>
      </c>
      <c r="E11418" s="17"/>
      <c r="F11418" s="18"/>
      <c r="G11418" s="36" t="str">
        <f>IF(ISNUMBER(F11418),C11418*F11418,"")</f>
        <v/>
      </c>
    </row>
    <row r="11419" spans="1:7" ht="12" customHeight="1" outlineLevel="2" x14ac:dyDescent="0.2">
      <c r="A11419" s="14" t="s">
        <v>22451</v>
      </c>
      <c r="B11419" s="15" t="s">
        <v>22452</v>
      </c>
      <c r="C11419" s="16">
        <f>60.48/(1+B2)</f>
        <v>60.48</v>
      </c>
      <c r="D11419" s="17" t="s">
        <v>11</v>
      </c>
      <c r="E11419" s="17"/>
      <c r="F11419" s="18"/>
      <c r="G11419" s="36" t="str">
        <f>IF(ISNUMBER(F11419),C11419*F11419,"")</f>
        <v/>
      </c>
    </row>
    <row r="11420" spans="1:7" ht="12" customHeight="1" outlineLevel="2" x14ac:dyDescent="0.2">
      <c r="A11420" s="14" t="s">
        <v>22453</v>
      </c>
      <c r="B11420" s="15" t="s">
        <v>22454</v>
      </c>
      <c r="C11420" s="16">
        <f>9.65/(1+B2)</f>
        <v>9.65</v>
      </c>
      <c r="D11420" s="17" t="s">
        <v>53</v>
      </c>
      <c r="E11420" s="17" t="s">
        <v>106</v>
      </c>
      <c r="F11420" s="18"/>
      <c r="G11420" s="36" t="str">
        <f>IF(ISNUMBER(F11420),C11420*F11420,"")</f>
        <v/>
      </c>
    </row>
    <row r="11421" spans="1:7" ht="12" customHeight="1" outlineLevel="2" x14ac:dyDescent="0.2">
      <c r="A11421" s="14" t="s">
        <v>22455</v>
      </c>
      <c r="B11421" s="15" t="s">
        <v>22456</v>
      </c>
      <c r="C11421" s="16">
        <f>26.9/(1+B2)</f>
        <v>26.9</v>
      </c>
      <c r="D11421" s="17" t="s">
        <v>106</v>
      </c>
      <c r="E11421" s="17" t="s">
        <v>106</v>
      </c>
      <c r="F11421" s="18"/>
      <c r="G11421" s="36" t="str">
        <f>IF(ISNUMBER(F11421),C11421*F11421,"")</f>
        <v/>
      </c>
    </row>
    <row r="11422" spans="1:7" ht="12" customHeight="1" outlineLevel="2" x14ac:dyDescent="0.2">
      <c r="A11422" s="14" t="s">
        <v>22457</v>
      </c>
      <c r="B11422" s="15" t="s">
        <v>22458</v>
      </c>
      <c r="C11422" s="16">
        <f>12.48/(1+B2)</f>
        <v>12.48</v>
      </c>
      <c r="D11422" s="17" t="s">
        <v>106</v>
      </c>
      <c r="E11422" s="17" t="s">
        <v>11</v>
      </c>
      <c r="F11422" s="18"/>
      <c r="G11422" s="36" t="str">
        <f>IF(ISNUMBER(F11422),C11422*F11422,"")</f>
        <v/>
      </c>
    </row>
    <row r="11423" spans="1:7" ht="24" customHeight="1" outlineLevel="2" x14ac:dyDescent="0.2">
      <c r="A11423" s="14" t="s">
        <v>22459</v>
      </c>
      <c r="B11423" s="15" t="s">
        <v>22460</v>
      </c>
      <c r="C11423" s="16">
        <f>22.55/(1+B2)</f>
        <v>22.55</v>
      </c>
      <c r="D11423" s="17" t="s">
        <v>53</v>
      </c>
      <c r="E11423" s="17" t="s">
        <v>106</v>
      </c>
      <c r="F11423" s="18"/>
      <c r="G11423" s="36" t="str">
        <f>IF(ISNUMBER(F11423),C11423*F11423,"")</f>
        <v/>
      </c>
    </row>
    <row r="11424" spans="1:7" ht="24" customHeight="1" outlineLevel="2" x14ac:dyDescent="0.2">
      <c r="A11424" s="14" t="s">
        <v>22461</v>
      </c>
      <c r="B11424" s="15" t="s">
        <v>22462</v>
      </c>
      <c r="C11424" s="16">
        <f>22.55/(1+B2)</f>
        <v>22.55</v>
      </c>
      <c r="D11424" s="17" t="s">
        <v>53</v>
      </c>
      <c r="E11424" s="17"/>
      <c r="F11424" s="18"/>
      <c r="G11424" s="36" t="str">
        <f>IF(ISNUMBER(F11424),C11424*F11424,"")</f>
        <v/>
      </c>
    </row>
    <row r="11425" spans="1:7" ht="24" customHeight="1" outlineLevel="2" x14ac:dyDescent="0.2">
      <c r="A11425" s="14" t="s">
        <v>22463</v>
      </c>
      <c r="B11425" s="15" t="s">
        <v>22464</v>
      </c>
      <c r="C11425" s="16">
        <f>16.14/(1+B2)</f>
        <v>16.14</v>
      </c>
      <c r="D11425" s="17" t="s">
        <v>53</v>
      </c>
      <c r="E11425" s="17" t="s">
        <v>106</v>
      </c>
      <c r="F11425" s="18"/>
      <c r="G11425" s="36" t="str">
        <f>IF(ISNUMBER(F11425),C11425*F11425,"")</f>
        <v/>
      </c>
    </row>
    <row r="11426" spans="1:7" ht="24" customHeight="1" outlineLevel="2" x14ac:dyDescent="0.2">
      <c r="A11426" s="14" t="s">
        <v>22465</v>
      </c>
      <c r="B11426" s="15" t="s">
        <v>22466</v>
      </c>
      <c r="C11426" s="16">
        <f>16.2/(1+B2)</f>
        <v>16.2</v>
      </c>
      <c r="D11426" s="17" t="s">
        <v>53</v>
      </c>
      <c r="E11426" s="17" t="s">
        <v>106</v>
      </c>
      <c r="F11426" s="18"/>
      <c r="G11426" s="36" t="str">
        <f>IF(ISNUMBER(F11426),C11426*F11426,"")</f>
        <v/>
      </c>
    </row>
    <row r="11427" spans="1:7" ht="24" customHeight="1" outlineLevel="2" x14ac:dyDescent="0.2">
      <c r="A11427" s="14" t="s">
        <v>22467</v>
      </c>
      <c r="B11427" s="15" t="s">
        <v>22468</v>
      </c>
      <c r="C11427" s="16">
        <f>12.33/(1+B2)</f>
        <v>12.33</v>
      </c>
      <c r="D11427" s="17" t="s">
        <v>53</v>
      </c>
      <c r="E11427" s="17" t="s">
        <v>106</v>
      </c>
      <c r="F11427" s="18"/>
      <c r="G11427" s="36" t="str">
        <f>IF(ISNUMBER(F11427),C11427*F11427,"")</f>
        <v/>
      </c>
    </row>
    <row r="11428" spans="1:7" ht="24" customHeight="1" outlineLevel="2" x14ac:dyDescent="0.2">
      <c r="A11428" s="14" t="s">
        <v>22469</v>
      </c>
      <c r="B11428" s="15" t="s">
        <v>22470</v>
      </c>
      <c r="C11428" s="16">
        <f>12.33/(1+B2)</f>
        <v>12.33</v>
      </c>
      <c r="D11428" s="17" t="s">
        <v>14</v>
      </c>
      <c r="E11428" s="17" t="s">
        <v>106</v>
      </c>
      <c r="F11428" s="18"/>
      <c r="G11428" s="36" t="str">
        <f>IF(ISNUMBER(F11428),C11428*F11428,"")</f>
        <v/>
      </c>
    </row>
    <row r="11429" spans="1:7" ht="12" customHeight="1" outlineLevel="2" x14ac:dyDescent="0.2">
      <c r="A11429" s="14" t="s">
        <v>22471</v>
      </c>
      <c r="B11429" s="15" t="s">
        <v>22472</v>
      </c>
      <c r="C11429" s="16">
        <f>64.5/(1+B2)</f>
        <v>64.5</v>
      </c>
      <c r="D11429" s="17" t="s">
        <v>11</v>
      </c>
      <c r="E11429" s="17" t="s">
        <v>11</v>
      </c>
      <c r="F11429" s="18"/>
      <c r="G11429" s="36" t="str">
        <f>IF(ISNUMBER(F11429),C11429*F11429,"")</f>
        <v/>
      </c>
    </row>
    <row r="11430" spans="1:7" ht="12" customHeight="1" outlineLevel="2" x14ac:dyDescent="0.2">
      <c r="A11430" s="14" t="s">
        <v>22473</v>
      </c>
      <c r="B11430" s="15" t="s">
        <v>22474</v>
      </c>
      <c r="C11430" s="16">
        <f>44.58/(1+B2)</f>
        <v>44.58</v>
      </c>
      <c r="D11430" s="17" t="s">
        <v>106</v>
      </c>
      <c r="E11430" s="17"/>
      <c r="F11430" s="18"/>
      <c r="G11430" s="36" t="str">
        <f>IF(ISNUMBER(F11430),C11430*F11430,"")</f>
        <v/>
      </c>
    </row>
    <row r="11431" spans="1:7" ht="12" customHeight="1" outlineLevel="2" x14ac:dyDescent="0.2">
      <c r="A11431" s="14" t="s">
        <v>22475</v>
      </c>
      <c r="B11431" s="15" t="s">
        <v>22476</v>
      </c>
      <c r="C11431" s="16">
        <f>61.97/(1+B2)</f>
        <v>61.97</v>
      </c>
      <c r="D11431" s="17" t="s">
        <v>14</v>
      </c>
      <c r="E11431" s="17" t="s">
        <v>14</v>
      </c>
      <c r="F11431" s="18"/>
      <c r="G11431" s="36" t="str">
        <f>IF(ISNUMBER(F11431),C11431*F11431,"")</f>
        <v/>
      </c>
    </row>
    <row r="11432" spans="1:7" ht="12" customHeight="1" outlineLevel="2" x14ac:dyDescent="0.2">
      <c r="A11432" s="14" t="s">
        <v>22477</v>
      </c>
      <c r="B11432" s="15" t="s">
        <v>22478</v>
      </c>
      <c r="C11432" s="16">
        <f>56.51/(1+B2)</f>
        <v>56.51</v>
      </c>
      <c r="D11432" s="17" t="s">
        <v>11</v>
      </c>
      <c r="E11432" s="17" t="s">
        <v>14</v>
      </c>
      <c r="F11432" s="18"/>
      <c r="G11432" s="36" t="str">
        <f>IF(ISNUMBER(F11432),C11432*F11432,"")</f>
        <v/>
      </c>
    </row>
    <row r="11433" spans="1:7" ht="12" customHeight="1" outlineLevel="2" x14ac:dyDescent="0.2">
      <c r="A11433" s="14" t="s">
        <v>22479</v>
      </c>
      <c r="B11433" s="15" t="s">
        <v>22480</v>
      </c>
      <c r="C11433" s="16">
        <f>67.58/(1+B2)</f>
        <v>67.58</v>
      </c>
      <c r="D11433" s="17" t="s">
        <v>11</v>
      </c>
      <c r="E11433" s="17"/>
      <c r="F11433" s="18"/>
      <c r="G11433" s="36" t="str">
        <f>IF(ISNUMBER(F11433),C11433*F11433,"")</f>
        <v/>
      </c>
    </row>
    <row r="11434" spans="1:7" ht="12" customHeight="1" outlineLevel="2" x14ac:dyDescent="0.2">
      <c r="A11434" s="14" t="s">
        <v>22481</v>
      </c>
      <c r="B11434" s="15" t="s">
        <v>22482</v>
      </c>
      <c r="C11434" s="16">
        <f>68.64/(1+B2)</f>
        <v>68.64</v>
      </c>
      <c r="D11434" s="17" t="s">
        <v>11</v>
      </c>
      <c r="E11434" s="17" t="s">
        <v>106</v>
      </c>
      <c r="F11434" s="18"/>
      <c r="G11434" s="36" t="str">
        <f>IF(ISNUMBER(F11434),C11434*F11434,"")</f>
        <v/>
      </c>
    </row>
    <row r="11435" spans="1:7" ht="12" customHeight="1" outlineLevel="2" x14ac:dyDescent="0.2">
      <c r="A11435" s="14" t="s">
        <v>22483</v>
      </c>
      <c r="B11435" s="15" t="s">
        <v>22484</v>
      </c>
      <c r="C11435" s="16">
        <f>47.8/(1+B2)</f>
        <v>47.8</v>
      </c>
      <c r="D11435" s="17" t="s">
        <v>11</v>
      </c>
      <c r="E11435" s="17"/>
      <c r="F11435" s="18"/>
      <c r="G11435" s="36" t="str">
        <f>IF(ISNUMBER(F11435),C11435*F11435,"")</f>
        <v/>
      </c>
    </row>
    <row r="11436" spans="1:7" ht="12" customHeight="1" outlineLevel="2" x14ac:dyDescent="0.2">
      <c r="A11436" s="14" t="s">
        <v>22485</v>
      </c>
      <c r="B11436" s="15" t="s">
        <v>22486</v>
      </c>
      <c r="C11436" s="16">
        <f>102.3/(1+B2)</f>
        <v>102.3</v>
      </c>
      <c r="D11436" s="17" t="s">
        <v>14</v>
      </c>
      <c r="E11436" s="17"/>
      <c r="F11436" s="18"/>
      <c r="G11436" s="36" t="str">
        <f>IF(ISNUMBER(F11436),C11436*F11436,"")</f>
        <v/>
      </c>
    </row>
    <row r="11437" spans="1:7" ht="12" customHeight="1" outlineLevel="2" x14ac:dyDescent="0.2">
      <c r="A11437" s="14" t="s">
        <v>22487</v>
      </c>
      <c r="B11437" s="15" t="s">
        <v>22488</v>
      </c>
      <c r="C11437" s="16">
        <f>222.19/(1+B2)</f>
        <v>222.19</v>
      </c>
      <c r="D11437" s="17" t="s">
        <v>11</v>
      </c>
      <c r="E11437" s="17"/>
      <c r="F11437" s="18"/>
      <c r="G11437" s="36" t="str">
        <f>IF(ISNUMBER(F11437),C11437*F11437,"")</f>
        <v/>
      </c>
    </row>
    <row r="11438" spans="1:7" ht="24" customHeight="1" outlineLevel="2" x14ac:dyDescent="0.2">
      <c r="A11438" s="14" t="s">
        <v>22489</v>
      </c>
      <c r="B11438" s="15" t="s">
        <v>22490</v>
      </c>
      <c r="C11438" s="16">
        <f>105.94/(1+B2)</f>
        <v>105.94</v>
      </c>
      <c r="D11438" s="17" t="s">
        <v>14</v>
      </c>
      <c r="E11438" s="17" t="s">
        <v>14</v>
      </c>
      <c r="F11438" s="18"/>
      <c r="G11438" s="36" t="str">
        <f>IF(ISNUMBER(F11438),C11438*F11438,"")</f>
        <v/>
      </c>
    </row>
    <row r="11439" spans="1:7" ht="12" customHeight="1" outlineLevel="2" x14ac:dyDescent="0.2">
      <c r="A11439" s="14" t="s">
        <v>22491</v>
      </c>
      <c r="B11439" s="15" t="s">
        <v>22492</v>
      </c>
      <c r="C11439" s="16">
        <f>64.06/(1+B2)</f>
        <v>64.06</v>
      </c>
      <c r="D11439" s="17" t="s">
        <v>14</v>
      </c>
      <c r="E11439" s="17" t="s">
        <v>11</v>
      </c>
      <c r="F11439" s="18"/>
      <c r="G11439" s="36" t="str">
        <f>IF(ISNUMBER(F11439),C11439*F11439,"")</f>
        <v/>
      </c>
    </row>
    <row r="11440" spans="1:7" ht="12" customHeight="1" outlineLevel="2" x14ac:dyDescent="0.2">
      <c r="A11440" s="14" t="s">
        <v>22493</v>
      </c>
      <c r="B11440" s="15" t="s">
        <v>22494</v>
      </c>
      <c r="C11440" s="16">
        <f>9.54/(1+B2)</f>
        <v>9.5399999999999991</v>
      </c>
      <c r="D11440" s="17" t="s">
        <v>11</v>
      </c>
      <c r="E11440" s="17" t="s">
        <v>11</v>
      </c>
      <c r="F11440" s="18"/>
      <c r="G11440" s="36" t="str">
        <f>IF(ISNUMBER(F11440),C11440*F11440,"")</f>
        <v/>
      </c>
    </row>
    <row r="11441" spans="1:7" ht="12" customHeight="1" outlineLevel="2" x14ac:dyDescent="0.2">
      <c r="A11441" s="14" t="s">
        <v>22495</v>
      </c>
      <c r="B11441" s="15" t="s">
        <v>22496</v>
      </c>
      <c r="C11441" s="16">
        <f>9.54/(1+B2)</f>
        <v>9.5399999999999991</v>
      </c>
      <c r="D11441" s="17" t="s">
        <v>11</v>
      </c>
      <c r="E11441" s="17"/>
      <c r="F11441" s="18"/>
      <c r="G11441" s="36" t="str">
        <f>IF(ISNUMBER(F11441),C11441*F11441,"")</f>
        <v/>
      </c>
    </row>
    <row r="11442" spans="1:7" ht="12" customHeight="1" outlineLevel="2" x14ac:dyDescent="0.2">
      <c r="A11442" s="14" t="s">
        <v>22497</v>
      </c>
      <c r="B11442" s="15" t="s">
        <v>22498</v>
      </c>
      <c r="C11442" s="16">
        <f>9.54/(1+B2)</f>
        <v>9.5399999999999991</v>
      </c>
      <c r="D11442" s="17" t="s">
        <v>11</v>
      </c>
      <c r="E11442" s="17"/>
      <c r="F11442" s="18"/>
      <c r="G11442" s="36" t="str">
        <f>IF(ISNUMBER(F11442),C11442*F11442,"")</f>
        <v/>
      </c>
    </row>
    <row r="11443" spans="1:7" ht="12" customHeight="1" outlineLevel="2" x14ac:dyDescent="0.2">
      <c r="A11443" s="14" t="s">
        <v>22499</v>
      </c>
      <c r="B11443" s="15" t="s">
        <v>22500</v>
      </c>
      <c r="C11443" s="16">
        <f>8.9/(1+B2)</f>
        <v>8.9</v>
      </c>
      <c r="D11443" s="17" t="s">
        <v>11</v>
      </c>
      <c r="E11443" s="17"/>
      <c r="F11443" s="18"/>
      <c r="G11443" s="36" t="str">
        <f>IF(ISNUMBER(F11443),C11443*F11443,"")</f>
        <v/>
      </c>
    </row>
    <row r="11444" spans="1:7" ht="12" customHeight="1" outlineLevel="2" x14ac:dyDescent="0.2">
      <c r="A11444" s="14" t="s">
        <v>22501</v>
      </c>
      <c r="B11444" s="15" t="s">
        <v>22502</v>
      </c>
      <c r="C11444" s="16">
        <f>108.48/(1+B2)</f>
        <v>108.48</v>
      </c>
      <c r="D11444" s="17" t="s">
        <v>11</v>
      </c>
      <c r="E11444" s="17" t="s">
        <v>14</v>
      </c>
      <c r="F11444" s="18"/>
      <c r="G11444" s="36" t="str">
        <f>IF(ISNUMBER(F11444),C11444*F11444,"")</f>
        <v/>
      </c>
    </row>
    <row r="11445" spans="1:7" s="1" customFormat="1" ht="15.95" customHeight="1" outlineLevel="1" x14ac:dyDescent="0.25">
      <c r="A11445" s="11"/>
      <c r="B11445" s="12" t="s">
        <v>22503</v>
      </c>
      <c r="C11445" s="13"/>
      <c r="D11445" s="13"/>
      <c r="E11445" s="13"/>
      <c r="F11445" s="13"/>
      <c r="G11445" s="35"/>
    </row>
    <row r="11446" spans="1:7" ht="12" customHeight="1" outlineLevel="2" x14ac:dyDescent="0.2">
      <c r="A11446" s="14" t="s">
        <v>22504</v>
      </c>
      <c r="B11446" s="15" t="s">
        <v>22505</v>
      </c>
      <c r="C11446" s="16">
        <f>75.8/(1+B2)</f>
        <v>75.8</v>
      </c>
      <c r="D11446" s="17" t="s">
        <v>11</v>
      </c>
      <c r="E11446" s="17"/>
      <c r="F11446" s="18"/>
      <c r="G11446" s="36" t="str">
        <f>IF(ISNUMBER(F11446),C11446*F11446,"")</f>
        <v/>
      </c>
    </row>
    <row r="11447" spans="1:7" ht="12" customHeight="1" outlineLevel="2" x14ac:dyDescent="0.2">
      <c r="A11447" s="14" t="s">
        <v>22506</v>
      </c>
      <c r="B11447" s="15" t="s">
        <v>22507</v>
      </c>
      <c r="C11447" s="16">
        <f>191.65/(1+B2)</f>
        <v>191.65</v>
      </c>
      <c r="D11447" s="17" t="s">
        <v>11</v>
      </c>
      <c r="E11447" s="17"/>
      <c r="F11447" s="18"/>
      <c r="G11447" s="36" t="str">
        <f>IF(ISNUMBER(F11447),C11447*F11447,"")</f>
        <v/>
      </c>
    </row>
    <row r="11448" spans="1:7" ht="24" customHeight="1" outlineLevel="2" x14ac:dyDescent="0.2">
      <c r="A11448" s="14" t="s">
        <v>22508</v>
      </c>
      <c r="B11448" s="15" t="s">
        <v>22509</v>
      </c>
      <c r="C11448" s="16">
        <f>57.94/(1+B2)</f>
        <v>57.94</v>
      </c>
      <c r="D11448" s="17" t="s">
        <v>14</v>
      </c>
      <c r="E11448" s="17" t="s">
        <v>11</v>
      </c>
      <c r="F11448" s="18"/>
      <c r="G11448" s="36" t="str">
        <f>IF(ISNUMBER(F11448),C11448*F11448,"")</f>
        <v/>
      </c>
    </row>
    <row r="11449" spans="1:7" ht="24" customHeight="1" outlineLevel="2" x14ac:dyDescent="0.2">
      <c r="A11449" s="14" t="s">
        <v>22510</v>
      </c>
      <c r="B11449" s="15" t="s">
        <v>22511</v>
      </c>
      <c r="C11449" s="16">
        <f>160.94/(1+B2)</f>
        <v>160.94</v>
      </c>
      <c r="D11449" s="17" t="s">
        <v>14</v>
      </c>
      <c r="E11449" s="17" t="s">
        <v>14</v>
      </c>
      <c r="F11449" s="18"/>
      <c r="G11449" s="36" t="str">
        <f>IF(ISNUMBER(F11449),C11449*F11449,"")</f>
        <v/>
      </c>
    </row>
    <row r="11450" spans="1:7" ht="12" customHeight="1" outlineLevel="2" x14ac:dyDescent="0.2">
      <c r="A11450" s="14" t="s">
        <v>22512</v>
      </c>
      <c r="B11450" s="15" t="s">
        <v>22513</v>
      </c>
      <c r="C11450" s="16">
        <f>64.38/(1+B2)</f>
        <v>64.38</v>
      </c>
      <c r="D11450" s="17" t="s">
        <v>53</v>
      </c>
      <c r="E11450" s="17" t="s">
        <v>14</v>
      </c>
      <c r="F11450" s="18"/>
      <c r="G11450" s="36" t="str">
        <f>IF(ISNUMBER(F11450),C11450*F11450,"")</f>
        <v/>
      </c>
    </row>
    <row r="11451" spans="1:7" ht="24" customHeight="1" outlineLevel="2" x14ac:dyDescent="0.2">
      <c r="A11451" s="14" t="s">
        <v>22514</v>
      </c>
      <c r="B11451" s="15" t="s">
        <v>22515</v>
      </c>
      <c r="C11451" s="16">
        <f>54.2/(1+B2)</f>
        <v>54.2</v>
      </c>
      <c r="D11451" s="17" t="s">
        <v>53</v>
      </c>
      <c r="E11451" s="17"/>
      <c r="F11451" s="18"/>
      <c r="G11451" s="36" t="str">
        <f>IF(ISNUMBER(F11451),C11451*F11451,"")</f>
        <v/>
      </c>
    </row>
    <row r="11452" spans="1:7" ht="24" customHeight="1" outlineLevel="2" x14ac:dyDescent="0.2">
      <c r="A11452" s="14" t="s">
        <v>22516</v>
      </c>
      <c r="B11452" s="15" t="s">
        <v>22517</v>
      </c>
      <c r="C11452" s="16">
        <f>167.38/(1+B2)</f>
        <v>167.38</v>
      </c>
      <c r="D11452" s="17" t="s">
        <v>11</v>
      </c>
      <c r="E11452" s="17"/>
      <c r="F11452" s="18"/>
      <c r="G11452" s="36" t="str">
        <f>IF(ISNUMBER(F11452),C11452*F11452,"")</f>
        <v/>
      </c>
    </row>
    <row r="11453" spans="1:7" ht="12" customHeight="1" outlineLevel="2" x14ac:dyDescent="0.2">
      <c r="A11453" s="14" t="s">
        <v>22518</v>
      </c>
      <c r="B11453" s="15" t="s">
        <v>22519</v>
      </c>
      <c r="C11453" s="16">
        <f>90/(1+B2)</f>
        <v>90</v>
      </c>
      <c r="D11453" s="17" t="s">
        <v>11</v>
      </c>
      <c r="E11453" s="17"/>
      <c r="F11453" s="18"/>
      <c r="G11453" s="36" t="str">
        <f>IF(ISNUMBER(F11453),C11453*F11453,"")</f>
        <v/>
      </c>
    </row>
    <row r="11454" spans="1:7" ht="12" customHeight="1" outlineLevel="2" x14ac:dyDescent="0.2">
      <c r="A11454" s="14" t="s">
        <v>22520</v>
      </c>
      <c r="B11454" s="15" t="s">
        <v>22521</v>
      </c>
      <c r="C11454" s="16">
        <f>84.38/(1+B2)</f>
        <v>84.38</v>
      </c>
      <c r="D11454" s="17" t="s">
        <v>14</v>
      </c>
      <c r="E11454" s="17" t="s">
        <v>11</v>
      </c>
      <c r="F11454" s="18"/>
      <c r="G11454" s="36" t="str">
        <f>IF(ISNUMBER(F11454),C11454*F11454,"")</f>
        <v/>
      </c>
    </row>
    <row r="11455" spans="1:7" ht="12" customHeight="1" outlineLevel="2" x14ac:dyDescent="0.2">
      <c r="A11455" s="14" t="s">
        <v>22522</v>
      </c>
      <c r="B11455" s="15" t="s">
        <v>22523</v>
      </c>
      <c r="C11455" s="16">
        <f>70.24/(1+B2)</f>
        <v>70.239999999999995</v>
      </c>
      <c r="D11455" s="17" t="s">
        <v>11</v>
      </c>
      <c r="E11455" s="17"/>
      <c r="F11455" s="18"/>
      <c r="G11455" s="36" t="str">
        <f>IF(ISNUMBER(F11455),C11455*F11455,"")</f>
        <v/>
      </c>
    </row>
    <row r="11456" spans="1:7" ht="12" customHeight="1" outlineLevel="2" x14ac:dyDescent="0.2">
      <c r="A11456" s="14" t="s">
        <v>22524</v>
      </c>
      <c r="B11456" s="15" t="s">
        <v>22525</v>
      </c>
      <c r="C11456" s="16">
        <f>95.28/(1+B2)</f>
        <v>95.28</v>
      </c>
      <c r="D11456" s="17" t="s">
        <v>11</v>
      </c>
      <c r="E11456" s="17"/>
      <c r="F11456" s="18"/>
      <c r="G11456" s="36" t="str">
        <f>IF(ISNUMBER(F11456),C11456*F11456,"")</f>
        <v/>
      </c>
    </row>
    <row r="11457" spans="1:7" ht="12" customHeight="1" outlineLevel="2" x14ac:dyDescent="0.2">
      <c r="A11457" s="14" t="s">
        <v>22526</v>
      </c>
      <c r="B11457" s="15" t="s">
        <v>22527</v>
      </c>
      <c r="C11457" s="16">
        <f>104.94/(1+B2)</f>
        <v>104.94</v>
      </c>
      <c r="D11457" s="17" t="s">
        <v>11</v>
      </c>
      <c r="E11457" s="17"/>
      <c r="F11457" s="18"/>
      <c r="G11457" s="36" t="str">
        <f>IF(ISNUMBER(F11457),C11457*F11457,"")</f>
        <v/>
      </c>
    </row>
    <row r="11458" spans="1:7" s="1" customFormat="1" ht="15.95" customHeight="1" outlineLevel="1" x14ac:dyDescent="0.25">
      <c r="A11458" s="11"/>
      <c r="B11458" s="12" t="s">
        <v>22528</v>
      </c>
      <c r="C11458" s="13"/>
      <c r="D11458" s="13"/>
      <c r="E11458" s="13"/>
      <c r="F11458" s="13"/>
      <c r="G11458" s="35"/>
    </row>
    <row r="11459" spans="1:7" ht="12" customHeight="1" outlineLevel="2" x14ac:dyDescent="0.2">
      <c r="A11459" s="14" t="s">
        <v>22529</v>
      </c>
      <c r="B11459" s="15" t="s">
        <v>22530</v>
      </c>
      <c r="C11459" s="16">
        <f>25.88/(1+B2)</f>
        <v>25.88</v>
      </c>
      <c r="D11459" s="17" t="s">
        <v>11</v>
      </c>
      <c r="E11459" s="17"/>
      <c r="F11459" s="18"/>
      <c r="G11459" s="36" t="str">
        <f>IF(ISNUMBER(F11459),C11459*F11459,"")</f>
        <v/>
      </c>
    </row>
    <row r="11460" spans="1:7" ht="12" customHeight="1" outlineLevel="2" x14ac:dyDescent="0.2">
      <c r="A11460" s="14" t="s">
        <v>22531</v>
      </c>
      <c r="B11460" s="15" t="s">
        <v>22532</v>
      </c>
      <c r="C11460" s="16">
        <f>25.88/(1+B2)</f>
        <v>25.88</v>
      </c>
      <c r="D11460" s="17" t="s">
        <v>11</v>
      </c>
      <c r="E11460" s="17"/>
      <c r="F11460" s="18"/>
      <c r="G11460" s="36" t="str">
        <f>IF(ISNUMBER(F11460),C11460*F11460,"")</f>
        <v/>
      </c>
    </row>
    <row r="11461" spans="1:7" ht="12" customHeight="1" outlineLevel="2" x14ac:dyDescent="0.2">
      <c r="A11461" s="14" t="s">
        <v>22533</v>
      </c>
      <c r="B11461" s="15" t="s">
        <v>22534</v>
      </c>
      <c r="C11461" s="16">
        <f>25.88/(1+B2)</f>
        <v>25.88</v>
      </c>
      <c r="D11461" s="17" t="s">
        <v>11</v>
      </c>
      <c r="E11461" s="17"/>
      <c r="F11461" s="18"/>
      <c r="G11461" s="36" t="str">
        <f>IF(ISNUMBER(F11461),C11461*F11461,"")</f>
        <v/>
      </c>
    </row>
    <row r="11462" spans="1:7" ht="12" customHeight="1" outlineLevel="2" x14ac:dyDescent="0.2">
      <c r="A11462" s="14" t="s">
        <v>22535</v>
      </c>
      <c r="B11462" s="15" t="s">
        <v>22536</v>
      </c>
      <c r="C11462" s="16">
        <f>95.31/(1+B2)</f>
        <v>95.31</v>
      </c>
      <c r="D11462" s="17" t="s">
        <v>11</v>
      </c>
      <c r="E11462" s="17" t="s">
        <v>11</v>
      </c>
      <c r="F11462" s="18"/>
      <c r="G11462" s="36" t="str">
        <f>IF(ISNUMBER(F11462),C11462*F11462,"")</f>
        <v/>
      </c>
    </row>
    <row r="11463" spans="1:7" ht="12" customHeight="1" outlineLevel="2" x14ac:dyDescent="0.2">
      <c r="A11463" s="14" t="s">
        <v>22537</v>
      </c>
      <c r="B11463" s="15" t="s">
        <v>22538</v>
      </c>
      <c r="C11463" s="16">
        <f>55.41/(1+B2)</f>
        <v>55.41</v>
      </c>
      <c r="D11463" s="17" t="s">
        <v>11</v>
      </c>
      <c r="E11463" s="17"/>
      <c r="F11463" s="18"/>
      <c r="G11463" s="36" t="str">
        <f>IF(ISNUMBER(F11463),C11463*F11463,"")</f>
        <v/>
      </c>
    </row>
    <row r="11464" spans="1:7" ht="12" customHeight="1" outlineLevel="2" x14ac:dyDescent="0.2">
      <c r="A11464" s="14" t="s">
        <v>22539</v>
      </c>
      <c r="B11464" s="15" t="s">
        <v>22540</v>
      </c>
      <c r="C11464" s="16">
        <f>55.41/(1+B2)</f>
        <v>55.41</v>
      </c>
      <c r="D11464" s="17" t="s">
        <v>11</v>
      </c>
      <c r="E11464" s="17"/>
      <c r="F11464" s="18"/>
      <c r="G11464" s="36" t="str">
        <f>IF(ISNUMBER(F11464),C11464*F11464,"")</f>
        <v/>
      </c>
    </row>
    <row r="11465" spans="1:7" ht="12" customHeight="1" outlineLevel="2" x14ac:dyDescent="0.2">
      <c r="A11465" s="14" t="s">
        <v>22541</v>
      </c>
      <c r="B11465" s="15" t="s">
        <v>22542</v>
      </c>
      <c r="C11465" s="16">
        <f>55.41/(1+B2)</f>
        <v>55.41</v>
      </c>
      <c r="D11465" s="17" t="s">
        <v>11</v>
      </c>
      <c r="E11465" s="17"/>
      <c r="F11465" s="18"/>
      <c r="G11465" s="36" t="str">
        <f>IF(ISNUMBER(F11465),C11465*F11465,"")</f>
        <v/>
      </c>
    </row>
    <row r="11466" spans="1:7" ht="12" customHeight="1" outlineLevel="2" x14ac:dyDescent="0.2">
      <c r="A11466" s="14" t="s">
        <v>22543</v>
      </c>
      <c r="B11466" s="15" t="s">
        <v>22544</v>
      </c>
      <c r="C11466" s="16">
        <f>59.85/(1+B2)</f>
        <v>59.85</v>
      </c>
      <c r="D11466" s="17" t="s">
        <v>11</v>
      </c>
      <c r="E11466" s="17"/>
      <c r="F11466" s="18"/>
      <c r="G11466" s="36" t="str">
        <f>IF(ISNUMBER(F11466),C11466*F11466,"")</f>
        <v/>
      </c>
    </row>
    <row r="11467" spans="1:7" ht="12" customHeight="1" outlineLevel="2" x14ac:dyDescent="0.2">
      <c r="A11467" s="14" t="s">
        <v>22545</v>
      </c>
      <c r="B11467" s="15" t="s">
        <v>22546</v>
      </c>
      <c r="C11467" s="16">
        <f>16.22/(1+B2)</f>
        <v>16.22</v>
      </c>
      <c r="D11467" s="17" t="s">
        <v>14</v>
      </c>
      <c r="E11467" s="17" t="s">
        <v>106</v>
      </c>
      <c r="F11467" s="18"/>
      <c r="G11467" s="36" t="str">
        <f>IF(ISNUMBER(F11467),C11467*F11467,"")</f>
        <v/>
      </c>
    </row>
    <row r="11468" spans="1:7" ht="12" customHeight="1" outlineLevel="2" x14ac:dyDescent="0.2">
      <c r="A11468" s="14" t="s">
        <v>22547</v>
      </c>
      <c r="B11468" s="15" t="s">
        <v>22548</v>
      </c>
      <c r="C11468" s="16">
        <f>17.52/(1+B2)</f>
        <v>17.52</v>
      </c>
      <c r="D11468" s="17" t="s">
        <v>53</v>
      </c>
      <c r="E11468" s="17" t="s">
        <v>53</v>
      </c>
      <c r="F11468" s="18"/>
      <c r="G11468" s="36" t="str">
        <f>IF(ISNUMBER(F11468),C11468*F11468,"")</f>
        <v/>
      </c>
    </row>
    <row r="11469" spans="1:7" ht="12" customHeight="1" outlineLevel="2" x14ac:dyDescent="0.2">
      <c r="A11469" s="14" t="s">
        <v>22549</v>
      </c>
      <c r="B11469" s="15" t="s">
        <v>22550</v>
      </c>
      <c r="C11469" s="16">
        <f>17.52/(1+B2)</f>
        <v>17.52</v>
      </c>
      <c r="D11469" s="17" t="s">
        <v>53</v>
      </c>
      <c r="E11469" s="17" t="s">
        <v>53</v>
      </c>
      <c r="F11469" s="18"/>
      <c r="G11469" s="36" t="str">
        <f>IF(ISNUMBER(F11469),C11469*F11469,"")</f>
        <v/>
      </c>
    </row>
    <row r="11470" spans="1:7" ht="12" customHeight="1" outlineLevel="2" x14ac:dyDescent="0.2">
      <c r="A11470" s="14" t="s">
        <v>22551</v>
      </c>
      <c r="B11470" s="15" t="s">
        <v>22552</v>
      </c>
      <c r="C11470" s="16">
        <f>17.52/(1+B2)</f>
        <v>17.52</v>
      </c>
      <c r="D11470" s="17" t="s">
        <v>53</v>
      </c>
      <c r="E11470" s="17" t="s">
        <v>53</v>
      </c>
      <c r="F11470" s="18"/>
      <c r="G11470" s="36" t="str">
        <f>IF(ISNUMBER(F11470),C11470*F11470,"")</f>
        <v/>
      </c>
    </row>
    <row r="11471" spans="1:7" ht="12" customHeight="1" outlineLevel="2" x14ac:dyDescent="0.2">
      <c r="A11471" s="14" t="s">
        <v>22553</v>
      </c>
      <c r="B11471" s="15" t="s">
        <v>22554</v>
      </c>
      <c r="C11471" s="16">
        <f>17.52/(1+B2)</f>
        <v>17.52</v>
      </c>
      <c r="D11471" s="17" t="s">
        <v>53</v>
      </c>
      <c r="E11471" s="17" t="s">
        <v>53</v>
      </c>
      <c r="F11471" s="18"/>
      <c r="G11471" s="36" t="str">
        <f>IF(ISNUMBER(F11471),C11471*F11471,"")</f>
        <v/>
      </c>
    </row>
    <row r="11472" spans="1:7" ht="12" customHeight="1" outlineLevel="2" x14ac:dyDescent="0.2">
      <c r="A11472" s="14" t="s">
        <v>22555</v>
      </c>
      <c r="B11472" s="15" t="s">
        <v>22556</v>
      </c>
      <c r="C11472" s="16">
        <f>17.52/(1+B2)</f>
        <v>17.52</v>
      </c>
      <c r="D11472" s="17" t="s">
        <v>53</v>
      </c>
      <c r="E11472" s="17" t="s">
        <v>53</v>
      </c>
      <c r="F11472" s="18"/>
      <c r="G11472" s="36" t="str">
        <f>IF(ISNUMBER(F11472),C11472*F11472,"")</f>
        <v/>
      </c>
    </row>
    <row r="11473" spans="1:7" ht="12" customHeight="1" outlineLevel="2" x14ac:dyDescent="0.2">
      <c r="A11473" s="14" t="s">
        <v>22557</v>
      </c>
      <c r="B11473" s="15" t="s">
        <v>22558</v>
      </c>
      <c r="C11473" s="16">
        <f>29.39/(1+B2)</f>
        <v>29.39</v>
      </c>
      <c r="D11473" s="17" t="s">
        <v>53</v>
      </c>
      <c r="E11473" s="17" t="s">
        <v>53</v>
      </c>
      <c r="F11473" s="18"/>
      <c r="G11473" s="36" t="str">
        <f>IF(ISNUMBER(F11473),C11473*F11473,"")</f>
        <v/>
      </c>
    </row>
    <row r="11474" spans="1:7" ht="12" customHeight="1" outlineLevel="2" x14ac:dyDescent="0.2">
      <c r="A11474" s="14" t="s">
        <v>22559</v>
      </c>
      <c r="B11474" s="15" t="s">
        <v>22560</v>
      </c>
      <c r="C11474" s="16">
        <f>31.35/(1+B2)</f>
        <v>31.35</v>
      </c>
      <c r="D11474" s="17" t="s">
        <v>11</v>
      </c>
      <c r="E11474" s="17" t="s">
        <v>11</v>
      </c>
      <c r="F11474" s="18"/>
      <c r="G11474" s="36" t="str">
        <f>IF(ISNUMBER(F11474),C11474*F11474,"")</f>
        <v/>
      </c>
    </row>
    <row r="11475" spans="1:7" ht="12" customHeight="1" outlineLevel="2" x14ac:dyDescent="0.2">
      <c r="A11475" s="14" t="s">
        <v>22561</v>
      </c>
      <c r="B11475" s="15" t="s">
        <v>22562</v>
      </c>
      <c r="C11475" s="16">
        <f>12.95/(1+B2)</f>
        <v>12.95</v>
      </c>
      <c r="D11475" s="17" t="s">
        <v>11</v>
      </c>
      <c r="E11475" s="17" t="s">
        <v>14</v>
      </c>
      <c r="F11475" s="18"/>
      <c r="G11475" s="36" t="str">
        <f>IF(ISNUMBER(F11475),C11475*F11475,"")</f>
        <v/>
      </c>
    </row>
    <row r="11476" spans="1:7" ht="24" customHeight="1" outlineLevel="2" x14ac:dyDescent="0.2">
      <c r="A11476" s="14" t="s">
        <v>22563</v>
      </c>
      <c r="B11476" s="15" t="s">
        <v>22564</v>
      </c>
      <c r="C11476" s="16">
        <f>36.96/(1+B2)</f>
        <v>36.96</v>
      </c>
      <c r="D11476" s="17" t="s">
        <v>11</v>
      </c>
      <c r="E11476" s="17"/>
      <c r="F11476" s="18"/>
      <c r="G11476" s="36" t="str">
        <f>IF(ISNUMBER(F11476),C11476*F11476,"")</f>
        <v/>
      </c>
    </row>
    <row r="11477" spans="1:7" ht="24" customHeight="1" outlineLevel="2" x14ac:dyDescent="0.2">
      <c r="A11477" s="14" t="s">
        <v>22565</v>
      </c>
      <c r="B11477" s="15" t="s">
        <v>22566</v>
      </c>
      <c r="C11477" s="16">
        <f>36.96/(1+B2)</f>
        <v>36.96</v>
      </c>
      <c r="D11477" s="17" t="s">
        <v>11</v>
      </c>
      <c r="E11477" s="17"/>
      <c r="F11477" s="18"/>
      <c r="G11477" s="36" t="str">
        <f>IF(ISNUMBER(F11477),C11477*F11477,"")</f>
        <v/>
      </c>
    </row>
    <row r="11478" spans="1:7" ht="24" customHeight="1" outlineLevel="2" x14ac:dyDescent="0.2">
      <c r="A11478" s="14" t="s">
        <v>22567</v>
      </c>
      <c r="B11478" s="15" t="s">
        <v>22568</v>
      </c>
      <c r="C11478" s="16">
        <f>36.96/(1+B2)</f>
        <v>36.96</v>
      </c>
      <c r="D11478" s="17" t="s">
        <v>11</v>
      </c>
      <c r="E11478" s="17"/>
      <c r="F11478" s="18"/>
      <c r="G11478" s="36" t="str">
        <f>IF(ISNUMBER(F11478),C11478*F11478,"")</f>
        <v/>
      </c>
    </row>
    <row r="11479" spans="1:7" ht="12" customHeight="1" outlineLevel="2" x14ac:dyDescent="0.2">
      <c r="A11479" s="14" t="s">
        <v>22569</v>
      </c>
      <c r="B11479" s="15" t="s">
        <v>22570</v>
      </c>
      <c r="C11479" s="16">
        <f>20.75/(1+B2)</f>
        <v>20.75</v>
      </c>
      <c r="D11479" s="17" t="s">
        <v>53</v>
      </c>
      <c r="E11479" s="17"/>
      <c r="F11479" s="18"/>
      <c r="G11479" s="36" t="str">
        <f>IF(ISNUMBER(F11479),C11479*F11479,"")</f>
        <v/>
      </c>
    </row>
    <row r="11480" spans="1:7" s="1" customFormat="1" ht="15.95" customHeight="1" outlineLevel="1" x14ac:dyDescent="0.25">
      <c r="A11480" s="11"/>
      <c r="B11480" s="12" t="s">
        <v>22571</v>
      </c>
      <c r="C11480" s="13"/>
      <c r="D11480" s="13"/>
      <c r="E11480" s="13"/>
      <c r="F11480" s="13"/>
      <c r="G11480" s="35"/>
    </row>
    <row r="11481" spans="1:7" ht="24" customHeight="1" outlineLevel="2" x14ac:dyDescent="0.2">
      <c r="A11481" s="14" t="s">
        <v>22572</v>
      </c>
      <c r="B11481" s="15" t="s">
        <v>22573</v>
      </c>
      <c r="C11481" s="16">
        <f>106/(1+B2)</f>
        <v>106</v>
      </c>
      <c r="D11481" s="17" t="s">
        <v>11</v>
      </c>
      <c r="E11481" s="17"/>
      <c r="F11481" s="18"/>
      <c r="G11481" s="36" t="str">
        <f>IF(ISNUMBER(F11481),C11481*F11481,"")</f>
        <v/>
      </c>
    </row>
    <row r="11482" spans="1:7" ht="12" customHeight="1" outlineLevel="2" x14ac:dyDescent="0.2">
      <c r="A11482" s="14" t="s">
        <v>22574</v>
      </c>
      <c r="B11482" s="15" t="s">
        <v>22575</v>
      </c>
      <c r="C11482" s="16">
        <f>100.03/(1+B2)</f>
        <v>100.03</v>
      </c>
      <c r="D11482" s="17" t="s">
        <v>14</v>
      </c>
      <c r="E11482" s="17"/>
      <c r="F11482" s="18"/>
      <c r="G11482" s="36" t="str">
        <f>IF(ISNUMBER(F11482),C11482*F11482,"")</f>
        <v/>
      </c>
    </row>
    <row r="11483" spans="1:7" ht="12" customHeight="1" outlineLevel="2" x14ac:dyDescent="0.2">
      <c r="A11483" s="14" t="s">
        <v>22576</v>
      </c>
      <c r="B11483" s="15" t="s">
        <v>22577</v>
      </c>
      <c r="C11483" s="16">
        <f>90.23/(1+B2)</f>
        <v>90.23</v>
      </c>
      <c r="D11483" s="17" t="s">
        <v>11</v>
      </c>
      <c r="E11483" s="17"/>
      <c r="F11483" s="18"/>
      <c r="G11483" s="36" t="str">
        <f>IF(ISNUMBER(F11483),C11483*F11483,"")</f>
        <v/>
      </c>
    </row>
    <row r="11484" spans="1:7" ht="12" customHeight="1" outlineLevel="2" x14ac:dyDescent="0.2">
      <c r="A11484" s="14" t="s">
        <v>22578</v>
      </c>
      <c r="B11484" s="15" t="s">
        <v>22579</v>
      </c>
      <c r="C11484" s="16">
        <f>36.86/(1+B2)</f>
        <v>36.86</v>
      </c>
      <c r="D11484" s="17" t="s">
        <v>11</v>
      </c>
      <c r="E11484" s="17"/>
      <c r="F11484" s="18"/>
      <c r="G11484" s="36" t="str">
        <f>IF(ISNUMBER(F11484),C11484*F11484,"")</f>
        <v/>
      </c>
    </row>
    <row r="11485" spans="1:7" ht="12" customHeight="1" outlineLevel="2" x14ac:dyDescent="0.2">
      <c r="A11485" s="14" t="s">
        <v>22580</v>
      </c>
      <c r="B11485" s="15" t="s">
        <v>22581</v>
      </c>
      <c r="C11485" s="16">
        <f>45.6/(1+B2)</f>
        <v>45.6</v>
      </c>
      <c r="D11485" s="17" t="s">
        <v>11</v>
      </c>
      <c r="E11485" s="17" t="s">
        <v>14</v>
      </c>
      <c r="F11485" s="18"/>
      <c r="G11485" s="36" t="str">
        <f>IF(ISNUMBER(F11485),C11485*F11485,"")</f>
        <v/>
      </c>
    </row>
    <row r="11486" spans="1:7" ht="12" customHeight="1" outlineLevel="2" x14ac:dyDescent="0.2">
      <c r="A11486" s="14" t="s">
        <v>22582</v>
      </c>
      <c r="B11486" s="15" t="s">
        <v>22583</v>
      </c>
      <c r="C11486" s="16">
        <f>60.94/(1+B2)</f>
        <v>60.94</v>
      </c>
      <c r="D11486" s="17" t="s">
        <v>14</v>
      </c>
      <c r="E11486" s="17"/>
      <c r="F11486" s="18"/>
      <c r="G11486" s="36" t="str">
        <f>IF(ISNUMBER(F11486),C11486*F11486,"")</f>
        <v/>
      </c>
    </row>
    <row r="11487" spans="1:7" ht="12" customHeight="1" outlineLevel="2" x14ac:dyDescent="0.2">
      <c r="A11487" s="14" t="s">
        <v>22584</v>
      </c>
      <c r="B11487" s="15" t="s">
        <v>22585</v>
      </c>
      <c r="C11487" s="16">
        <f>112.5/(1+B2)</f>
        <v>112.5</v>
      </c>
      <c r="D11487" s="17" t="s">
        <v>14</v>
      </c>
      <c r="E11487" s="17"/>
      <c r="F11487" s="18"/>
      <c r="G11487" s="36" t="str">
        <f>IF(ISNUMBER(F11487),C11487*F11487,"")</f>
        <v/>
      </c>
    </row>
    <row r="11488" spans="1:7" s="1" customFormat="1" ht="15.95" customHeight="1" outlineLevel="1" x14ac:dyDescent="0.25">
      <c r="A11488" s="11"/>
      <c r="B11488" s="12" t="s">
        <v>22586</v>
      </c>
      <c r="C11488" s="13"/>
      <c r="D11488" s="13"/>
      <c r="E11488" s="13"/>
      <c r="F11488" s="13"/>
      <c r="G11488" s="35"/>
    </row>
    <row r="11489" spans="1:7" ht="12" customHeight="1" outlineLevel="2" x14ac:dyDescent="0.2">
      <c r="A11489" s="14" t="s">
        <v>22587</v>
      </c>
      <c r="B11489" s="15" t="s">
        <v>22588</v>
      </c>
      <c r="C11489" s="16">
        <f>121.06/(1+B2)</f>
        <v>121.06</v>
      </c>
      <c r="D11489" s="17" t="s">
        <v>11</v>
      </c>
      <c r="E11489" s="17"/>
      <c r="F11489" s="18"/>
      <c r="G11489" s="36" t="str">
        <f>IF(ISNUMBER(F11489),C11489*F11489,"")</f>
        <v/>
      </c>
    </row>
    <row r="11490" spans="1:7" ht="24" customHeight="1" outlineLevel="2" x14ac:dyDescent="0.2">
      <c r="A11490" s="14" t="s">
        <v>22589</v>
      </c>
      <c r="B11490" s="15" t="s">
        <v>22590</v>
      </c>
      <c r="C11490" s="16">
        <f>200.56/(1+B2)</f>
        <v>200.56</v>
      </c>
      <c r="D11490" s="17" t="s">
        <v>11</v>
      </c>
      <c r="E11490" s="17"/>
      <c r="F11490" s="18"/>
      <c r="G11490" s="36" t="str">
        <f>IF(ISNUMBER(F11490),C11490*F11490,"")</f>
        <v/>
      </c>
    </row>
    <row r="11491" spans="1:7" ht="24" customHeight="1" outlineLevel="2" x14ac:dyDescent="0.2">
      <c r="A11491" s="14" t="s">
        <v>22591</v>
      </c>
      <c r="B11491" s="15" t="s">
        <v>22592</v>
      </c>
      <c r="C11491" s="16">
        <f>176.18/(1+B2)</f>
        <v>176.18</v>
      </c>
      <c r="D11491" s="17" t="s">
        <v>11</v>
      </c>
      <c r="E11491" s="17"/>
      <c r="F11491" s="18"/>
      <c r="G11491" s="36" t="str">
        <f>IF(ISNUMBER(F11491),C11491*F11491,"")</f>
        <v/>
      </c>
    </row>
    <row r="11492" spans="1:7" ht="24" customHeight="1" outlineLevel="2" x14ac:dyDescent="0.2">
      <c r="A11492" s="14" t="s">
        <v>22593</v>
      </c>
      <c r="B11492" s="15" t="s">
        <v>22594</v>
      </c>
      <c r="C11492" s="16">
        <f>110.85/(1+B2)</f>
        <v>110.85</v>
      </c>
      <c r="D11492" s="17" t="s">
        <v>11</v>
      </c>
      <c r="E11492" s="17"/>
      <c r="F11492" s="18"/>
      <c r="G11492" s="36" t="str">
        <f>IF(ISNUMBER(F11492),C11492*F11492,"")</f>
        <v/>
      </c>
    </row>
    <row r="11493" spans="1:7" ht="24" customHeight="1" outlineLevel="2" x14ac:dyDescent="0.2">
      <c r="A11493" s="14" t="s">
        <v>22595</v>
      </c>
      <c r="B11493" s="15" t="s">
        <v>22596</v>
      </c>
      <c r="C11493" s="16">
        <f>226.52/(1+B2)</f>
        <v>226.52</v>
      </c>
      <c r="D11493" s="17" t="s">
        <v>11</v>
      </c>
      <c r="E11493" s="17"/>
      <c r="F11493" s="18"/>
      <c r="G11493" s="36" t="str">
        <f>IF(ISNUMBER(F11493),C11493*F11493,"")</f>
        <v/>
      </c>
    </row>
    <row r="11494" spans="1:7" ht="24" customHeight="1" outlineLevel="2" x14ac:dyDescent="0.2">
      <c r="A11494" s="14" t="s">
        <v>22597</v>
      </c>
      <c r="B11494" s="15" t="s">
        <v>22598</v>
      </c>
      <c r="C11494" s="16">
        <f>827.54/(1+B2)</f>
        <v>827.54</v>
      </c>
      <c r="D11494" s="17" t="s">
        <v>11</v>
      </c>
      <c r="E11494" s="17"/>
      <c r="F11494" s="18"/>
      <c r="G11494" s="36" t="str">
        <f>IF(ISNUMBER(F11494),C11494*F11494,"")</f>
        <v/>
      </c>
    </row>
    <row r="11495" spans="1:7" ht="12" customHeight="1" outlineLevel="2" x14ac:dyDescent="0.2">
      <c r="A11495" s="14" t="s">
        <v>22599</v>
      </c>
      <c r="B11495" s="15" t="s">
        <v>22600</v>
      </c>
      <c r="C11495" s="16">
        <f>99.7/(1+B2)</f>
        <v>99.7</v>
      </c>
      <c r="D11495" s="17" t="s">
        <v>11</v>
      </c>
      <c r="E11495" s="17"/>
      <c r="F11495" s="18"/>
      <c r="G11495" s="36" t="str">
        <f>IF(ISNUMBER(F11495),C11495*F11495,"")</f>
        <v/>
      </c>
    </row>
    <row r="11496" spans="1:7" ht="12" customHeight="1" outlineLevel="2" x14ac:dyDescent="0.2">
      <c r="A11496" s="14" t="s">
        <v>22601</v>
      </c>
      <c r="B11496" s="15" t="s">
        <v>22602</v>
      </c>
      <c r="C11496" s="16">
        <f>323.2/(1+B2)</f>
        <v>323.2</v>
      </c>
      <c r="D11496" s="17" t="s">
        <v>11</v>
      </c>
      <c r="E11496" s="17"/>
      <c r="F11496" s="18"/>
      <c r="G11496" s="36" t="str">
        <f>IF(ISNUMBER(F11496),C11496*F11496,"")</f>
        <v/>
      </c>
    </row>
    <row r="11497" spans="1:7" ht="12" customHeight="1" outlineLevel="2" x14ac:dyDescent="0.2">
      <c r="A11497" s="14" t="s">
        <v>22603</v>
      </c>
      <c r="B11497" s="15" t="s">
        <v>22604</v>
      </c>
      <c r="C11497" s="16">
        <f>335.12/(1+B2)</f>
        <v>335.12</v>
      </c>
      <c r="D11497" s="17" t="s">
        <v>11</v>
      </c>
      <c r="E11497" s="17"/>
      <c r="F11497" s="18"/>
      <c r="G11497" s="36" t="str">
        <f>IF(ISNUMBER(F11497),C11497*F11497,"")</f>
        <v/>
      </c>
    </row>
    <row r="11498" spans="1:7" ht="24" customHeight="1" outlineLevel="2" x14ac:dyDescent="0.2">
      <c r="A11498" s="14" t="s">
        <v>22605</v>
      </c>
      <c r="B11498" s="15" t="s">
        <v>22606</v>
      </c>
      <c r="C11498" s="16">
        <f>297.53/(1+B2)</f>
        <v>297.52999999999997</v>
      </c>
      <c r="D11498" s="17" t="s">
        <v>11</v>
      </c>
      <c r="E11498" s="17"/>
      <c r="F11498" s="18"/>
      <c r="G11498" s="36" t="str">
        <f>IF(ISNUMBER(F11498),C11498*F11498,"")</f>
        <v/>
      </c>
    </row>
    <row r="11499" spans="1:7" ht="24" customHeight="1" outlineLevel="2" x14ac:dyDescent="0.2">
      <c r="A11499" s="14" t="s">
        <v>22607</v>
      </c>
      <c r="B11499" s="15" t="s">
        <v>22608</v>
      </c>
      <c r="C11499" s="16">
        <f>544.84/(1+B2)</f>
        <v>544.84</v>
      </c>
      <c r="D11499" s="17" t="s">
        <v>11</v>
      </c>
      <c r="E11499" s="17"/>
      <c r="F11499" s="18"/>
      <c r="G11499" s="36" t="str">
        <f>IF(ISNUMBER(F11499),C11499*F11499,"")</f>
        <v/>
      </c>
    </row>
    <row r="11500" spans="1:7" ht="24" customHeight="1" outlineLevel="2" x14ac:dyDescent="0.2">
      <c r="A11500" s="14" t="s">
        <v>22609</v>
      </c>
      <c r="B11500" s="15" t="s">
        <v>22610</v>
      </c>
      <c r="C11500" s="16">
        <f>362.99/(1+B2)</f>
        <v>362.99</v>
      </c>
      <c r="D11500" s="17" t="s">
        <v>11</v>
      </c>
      <c r="E11500" s="17"/>
      <c r="F11500" s="18"/>
      <c r="G11500" s="36" t="str">
        <f>IF(ISNUMBER(F11500),C11500*F11500,"")</f>
        <v/>
      </c>
    </row>
    <row r="11501" spans="1:7" ht="24" customHeight="1" outlineLevel="2" x14ac:dyDescent="0.2">
      <c r="A11501" s="14" t="s">
        <v>22611</v>
      </c>
      <c r="B11501" s="15" t="s">
        <v>22612</v>
      </c>
      <c r="C11501" s="16">
        <f>423.34/(1+B2)</f>
        <v>423.34</v>
      </c>
      <c r="D11501" s="17" t="s">
        <v>11</v>
      </c>
      <c r="E11501" s="17"/>
      <c r="F11501" s="18"/>
      <c r="G11501" s="36" t="str">
        <f>IF(ISNUMBER(F11501),C11501*F11501,"")</f>
        <v/>
      </c>
    </row>
    <row r="11502" spans="1:7" ht="24" customHeight="1" outlineLevel="2" x14ac:dyDescent="0.2">
      <c r="A11502" s="14" t="s">
        <v>22613</v>
      </c>
      <c r="B11502" s="15" t="s">
        <v>22614</v>
      </c>
      <c r="C11502" s="16">
        <f>468.91/(1+B2)</f>
        <v>468.91</v>
      </c>
      <c r="D11502" s="17" t="s">
        <v>11</v>
      </c>
      <c r="E11502" s="17"/>
      <c r="F11502" s="18"/>
      <c r="G11502" s="36" t="str">
        <f>IF(ISNUMBER(F11502),C11502*F11502,"")</f>
        <v/>
      </c>
    </row>
    <row r="11503" spans="1:7" s="1" customFormat="1" ht="15.95" customHeight="1" outlineLevel="1" x14ac:dyDescent="0.25">
      <c r="A11503" s="11"/>
      <c r="B11503" s="12" t="s">
        <v>22615</v>
      </c>
      <c r="C11503" s="13"/>
      <c r="D11503" s="13"/>
      <c r="E11503" s="13"/>
      <c r="F11503" s="13"/>
      <c r="G11503" s="35"/>
    </row>
    <row r="11504" spans="1:7" ht="12" customHeight="1" outlineLevel="2" x14ac:dyDescent="0.2">
      <c r="A11504" s="14" t="s">
        <v>22616</v>
      </c>
      <c r="B11504" s="15" t="s">
        <v>22617</v>
      </c>
      <c r="C11504" s="16">
        <f>750.93/(1+B2)</f>
        <v>750.93</v>
      </c>
      <c r="D11504" s="17" t="s">
        <v>11</v>
      </c>
      <c r="E11504" s="17"/>
      <c r="F11504" s="18"/>
      <c r="G11504" s="36" t="str">
        <f>IF(ISNUMBER(F11504),C11504*F11504,"")</f>
        <v/>
      </c>
    </row>
    <row r="11505" spans="1:7" ht="12" customHeight="1" outlineLevel="2" x14ac:dyDescent="0.2">
      <c r="A11505" s="14" t="s">
        <v>22618</v>
      </c>
      <c r="B11505" s="15" t="s">
        <v>22619</v>
      </c>
      <c r="C11505" s="16">
        <f>602.28/(1+B2)</f>
        <v>602.28</v>
      </c>
      <c r="D11505" s="17" t="s">
        <v>11</v>
      </c>
      <c r="E11505" s="17"/>
      <c r="F11505" s="18"/>
      <c r="G11505" s="36" t="str">
        <f>IF(ISNUMBER(F11505),C11505*F11505,"")</f>
        <v/>
      </c>
    </row>
    <row r="11506" spans="1:7" ht="12" customHeight="1" outlineLevel="2" x14ac:dyDescent="0.2">
      <c r="A11506" s="14" t="s">
        <v>22620</v>
      </c>
      <c r="B11506" s="15" t="s">
        <v>22621</v>
      </c>
      <c r="C11506" s="16">
        <f>57/(1+B2)</f>
        <v>57</v>
      </c>
      <c r="D11506" s="17" t="s">
        <v>14</v>
      </c>
      <c r="E11506" s="17" t="s">
        <v>11</v>
      </c>
      <c r="F11506" s="18"/>
      <c r="G11506" s="36" t="str">
        <f>IF(ISNUMBER(F11506),C11506*F11506,"")</f>
        <v/>
      </c>
    </row>
    <row r="11507" spans="1:7" ht="12" customHeight="1" outlineLevel="2" x14ac:dyDescent="0.2">
      <c r="A11507" s="14" t="s">
        <v>22622</v>
      </c>
      <c r="B11507" s="15" t="s">
        <v>22623</v>
      </c>
      <c r="C11507" s="16">
        <f>97.66/(1+B2)</f>
        <v>97.66</v>
      </c>
      <c r="D11507" s="17" t="s">
        <v>11</v>
      </c>
      <c r="E11507" s="17"/>
      <c r="F11507" s="18"/>
      <c r="G11507" s="36" t="str">
        <f>IF(ISNUMBER(F11507),C11507*F11507,"")</f>
        <v/>
      </c>
    </row>
    <row r="11508" spans="1:7" ht="12" customHeight="1" outlineLevel="2" x14ac:dyDescent="0.2">
      <c r="A11508" s="14" t="s">
        <v>22624</v>
      </c>
      <c r="B11508" s="15" t="s">
        <v>22625</v>
      </c>
      <c r="C11508" s="16">
        <f>131.45/(1+B2)</f>
        <v>131.44999999999999</v>
      </c>
      <c r="D11508" s="17" t="s">
        <v>53</v>
      </c>
      <c r="E11508" s="17"/>
      <c r="F11508" s="18"/>
      <c r="G11508" s="36" t="str">
        <f>IF(ISNUMBER(F11508),C11508*F11508,"")</f>
        <v/>
      </c>
    </row>
    <row r="11509" spans="1:7" ht="12" customHeight="1" outlineLevel="2" x14ac:dyDescent="0.2">
      <c r="A11509" s="14" t="s">
        <v>22626</v>
      </c>
      <c r="B11509" s="15" t="s">
        <v>22627</v>
      </c>
      <c r="C11509" s="16">
        <f>142.18/(1+B2)</f>
        <v>142.18</v>
      </c>
      <c r="D11509" s="17" t="s">
        <v>14</v>
      </c>
      <c r="E11509" s="17"/>
      <c r="F11509" s="18"/>
      <c r="G11509" s="36" t="str">
        <f>IF(ISNUMBER(F11509),C11509*F11509,"")</f>
        <v/>
      </c>
    </row>
    <row r="11510" spans="1:7" ht="12" customHeight="1" outlineLevel="2" x14ac:dyDescent="0.2">
      <c r="A11510" s="14" t="s">
        <v>22628</v>
      </c>
      <c r="B11510" s="15" t="s">
        <v>22629</v>
      </c>
      <c r="C11510" s="16">
        <f>215.56/(1+B2)</f>
        <v>215.56</v>
      </c>
      <c r="D11510" s="17" t="s">
        <v>11</v>
      </c>
      <c r="E11510" s="17" t="s">
        <v>11</v>
      </c>
      <c r="F11510" s="18"/>
      <c r="G11510" s="36" t="str">
        <f>IF(ISNUMBER(F11510),C11510*F11510,"")</f>
        <v/>
      </c>
    </row>
    <row r="11511" spans="1:7" ht="12" customHeight="1" outlineLevel="2" x14ac:dyDescent="0.2">
      <c r="A11511" s="14" t="s">
        <v>22630</v>
      </c>
      <c r="B11511" s="15" t="s">
        <v>22631</v>
      </c>
      <c r="C11511" s="16">
        <f>131.89/(1+B2)</f>
        <v>131.88999999999999</v>
      </c>
      <c r="D11511" s="17" t="s">
        <v>11</v>
      </c>
      <c r="E11511" s="17" t="s">
        <v>11</v>
      </c>
      <c r="F11511" s="18"/>
      <c r="G11511" s="36" t="str">
        <f>IF(ISNUMBER(F11511),C11511*F11511,"")</f>
        <v/>
      </c>
    </row>
    <row r="11512" spans="1:7" ht="12" customHeight="1" outlineLevel="2" x14ac:dyDescent="0.2">
      <c r="A11512" s="14" t="s">
        <v>22632</v>
      </c>
      <c r="B11512" s="15" t="s">
        <v>22633</v>
      </c>
      <c r="C11512" s="16">
        <f>144.64/(1+B2)</f>
        <v>144.63999999999999</v>
      </c>
      <c r="D11512" s="17" t="s">
        <v>11</v>
      </c>
      <c r="E11512" s="17" t="s">
        <v>53</v>
      </c>
      <c r="F11512" s="18"/>
      <c r="G11512" s="36" t="str">
        <f>IF(ISNUMBER(F11512),C11512*F11512,"")</f>
        <v/>
      </c>
    </row>
    <row r="11513" spans="1:7" ht="12" customHeight="1" outlineLevel="2" x14ac:dyDescent="0.2">
      <c r="A11513" s="14" t="s">
        <v>22634</v>
      </c>
      <c r="B11513" s="15" t="s">
        <v>22635</v>
      </c>
      <c r="C11513" s="16">
        <f>165/(1+B2)</f>
        <v>165</v>
      </c>
      <c r="D11513" s="17" t="s">
        <v>11</v>
      </c>
      <c r="E11513" s="17"/>
      <c r="F11513" s="18"/>
      <c r="G11513" s="36" t="str">
        <f>IF(ISNUMBER(F11513),C11513*F11513,"")</f>
        <v/>
      </c>
    </row>
    <row r="11514" spans="1:7" ht="24" customHeight="1" outlineLevel="2" x14ac:dyDescent="0.2">
      <c r="A11514" s="14" t="s">
        <v>22636</v>
      </c>
      <c r="B11514" s="15" t="s">
        <v>22637</v>
      </c>
      <c r="C11514" s="16">
        <f>163.68/(1+B2)</f>
        <v>163.68</v>
      </c>
      <c r="D11514" s="17" t="s">
        <v>14</v>
      </c>
      <c r="E11514" s="17" t="s">
        <v>14</v>
      </c>
      <c r="F11514" s="18"/>
      <c r="G11514" s="36" t="str">
        <f>IF(ISNUMBER(F11514),C11514*F11514,"")</f>
        <v/>
      </c>
    </row>
    <row r="11515" spans="1:7" ht="12" customHeight="1" outlineLevel="2" x14ac:dyDescent="0.2">
      <c r="A11515" s="14" t="s">
        <v>22638</v>
      </c>
      <c r="B11515" s="15" t="s">
        <v>22639</v>
      </c>
      <c r="C11515" s="16">
        <f>222.04/(1+B2)</f>
        <v>222.04</v>
      </c>
      <c r="D11515" s="17" t="s">
        <v>11</v>
      </c>
      <c r="E11515" s="17"/>
      <c r="F11515" s="18"/>
      <c r="G11515" s="36" t="str">
        <f>IF(ISNUMBER(F11515),C11515*F11515,"")</f>
        <v/>
      </c>
    </row>
    <row r="11516" spans="1:7" ht="24" customHeight="1" outlineLevel="2" x14ac:dyDescent="0.2">
      <c r="A11516" s="14" t="s">
        <v>22640</v>
      </c>
      <c r="B11516" s="15" t="s">
        <v>22641</v>
      </c>
      <c r="C11516" s="16">
        <f>90.4/(1+B2)</f>
        <v>90.4</v>
      </c>
      <c r="D11516" s="17" t="s">
        <v>11</v>
      </c>
      <c r="E11516" s="17"/>
      <c r="F11516" s="18"/>
      <c r="G11516" s="36" t="str">
        <f>IF(ISNUMBER(F11516),C11516*F11516,"")</f>
        <v/>
      </c>
    </row>
    <row r="11517" spans="1:7" ht="24" customHeight="1" outlineLevel="2" x14ac:dyDescent="0.2">
      <c r="A11517" s="14" t="s">
        <v>22642</v>
      </c>
      <c r="B11517" s="15" t="s">
        <v>22643</v>
      </c>
      <c r="C11517" s="16">
        <f>150.99/(1+B2)</f>
        <v>150.99</v>
      </c>
      <c r="D11517" s="17" t="s">
        <v>11</v>
      </c>
      <c r="E11517" s="17"/>
      <c r="F11517" s="18"/>
      <c r="G11517" s="36" t="str">
        <f>IF(ISNUMBER(F11517),C11517*F11517,"")</f>
        <v/>
      </c>
    </row>
    <row r="11518" spans="1:7" ht="12" customHeight="1" outlineLevel="2" x14ac:dyDescent="0.2">
      <c r="A11518" s="14" t="s">
        <v>22644</v>
      </c>
      <c r="B11518" s="15" t="s">
        <v>22645</v>
      </c>
      <c r="C11518" s="16">
        <f>63.87/(1+B2)</f>
        <v>63.87</v>
      </c>
      <c r="D11518" s="17" t="s">
        <v>14</v>
      </c>
      <c r="E11518" s="17" t="s">
        <v>14</v>
      </c>
      <c r="F11518" s="18"/>
      <c r="G11518" s="36" t="str">
        <f>IF(ISNUMBER(F11518),C11518*F11518,"")</f>
        <v/>
      </c>
    </row>
    <row r="11519" spans="1:7" ht="12" customHeight="1" outlineLevel="2" x14ac:dyDescent="0.2">
      <c r="A11519" s="14" t="s">
        <v>22646</v>
      </c>
      <c r="B11519" s="15" t="s">
        <v>22647</v>
      </c>
      <c r="C11519" s="16">
        <f>154.43/(1+B2)</f>
        <v>154.43</v>
      </c>
      <c r="D11519" s="17" t="s">
        <v>14</v>
      </c>
      <c r="E11519" s="17" t="s">
        <v>11</v>
      </c>
      <c r="F11519" s="18"/>
      <c r="G11519" s="36" t="str">
        <f>IF(ISNUMBER(F11519),C11519*F11519,"")</f>
        <v/>
      </c>
    </row>
    <row r="11520" spans="1:7" ht="12" customHeight="1" outlineLevel="2" x14ac:dyDescent="0.2">
      <c r="A11520" s="14" t="s">
        <v>22648</v>
      </c>
      <c r="B11520" s="15" t="s">
        <v>22649</v>
      </c>
      <c r="C11520" s="16">
        <f>124.46/(1+B2)</f>
        <v>124.46</v>
      </c>
      <c r="D11520" s="17" t="s">
        <v>14</v>
      </c>
      <c r="E11520" s="17"/>
      <c r="F11520" s="18"/>
      <c r="G11520" s="36" t="str">
        <f>IF(ISNUMBER(F11520),C11520*F11520,"")</f>
        <v/>
      </c>
    </row>
    <row r="11521" spans="1:7" ht="24" customHeight="1" outlineLevel="2" x14ac:dyDescent="0.2">
      <c r="A11521" s="14" t="s">
        <v>22650</v>
      </c>
      <c r="B11521" s="15" t="s">
        <v>22651</v>
      </c>
      <c r="C11521" s="16">
        <f>80.36/(1+B2)</f>
        <v>80.36</v>
      </c>
      <c r="D11521" s="17" t="s">
        <v>53</v>
      </c>
      <c r="E11521" s="17"/>
      <c r="F11521" s="18"/>
      <c r="G11521" s="36" t="str">
        <f>IF(ISNUMBER(F11521),C11521*F11521,"")</f>
        <v/>
      </c>
    </row>
    <row r="11522" spans="1:7" ht="24" customHeight="1" outlineLevel="2" x14ac:dyDescent="0.2">
      <c r="A11522" s="14" t="s">
        <v>22652</v>
      </c>
      <c r="B11522" s="15" t="s">
        <v>22653</v>
      </c>
      <c r="C11522" s="16">
        <f>117.97/(1+B2)</f>
        <v>117.97</v>
      </c>
      <c r="D11522" s="17" t="s">
        <v>53</v>
      </c>
      <c r="E11522" s="17"/>
      <c r="F11522" s="18"/>
      <c r="G11522" s="36" t="str">
        <f>IF(ISNUMBER(F11522),C11522*F11522,"")</f>
        <v/>
      </c>
    </row>
    <row r="11523" spans="1:7" ht="24" customHeight="1" outlineLevel="2" x14ac:dyDescent="0.2">
      <c r="A11523" s="14" t="s">
        <v>22654</v>
      </c>
      <c r="B11523" s="15" t="s">
        <v>22655</v>
      </c>
      <c r="C11523" s="16">
        <f>185.11/(1+B2)</f>
        <v>185.11</v>
      </c>
      <c r="D11523" s="17" t="s">
        <v>14</v>
      </c>
      <c r="E11523" s="17" t="s">
        <v>14</v>
      </c>
      <c r="F11523" s="18"/>
      <c r="G11523" s="36" t="str">
        <f>IF(ISNUMBER(F11523),C11523*F11523,"")</f>
        <v/>
      </c>
    </row>
    <row r="11524" spans="1:7" ht="12" customHeight="1" outlineLevel="2" x14ac:dyDescent="0.2">
      <c r="A11524" s="14" t="s">
        <v>22656</v>
      </c>
      <c r="B11524" s="15" t="s">
        <v>22657</v>
      </c>
      <c r="C11524" s="16">
        <f>28.04/(1+B2)</f>
        <v>28.04</v>
      </c>
      <c r="D11524" s="17" t="s">
        <v>53</v>
      </c>
      <c r="E11524" s="17"/>
      <c r="F11524" s="18"/>
      <c r="G11524" s="36" t="str">
        <f>IF(ISNUMBER(F11524),C11524*F11524,"")</f>
        <v/>
      </c>
    </row>
    <row r="11525" spans="1:7" ht="12" customHeight="1" outlineLevel="2" x14ac:dyDescent="0.2">
      <c r="A11525" s="14" t="s">
        <v>22658</v>
      </c>
      <c r="B11525" s="15" t="s">
        <v>22659</v>
      </c>
      <c r="C11525" s="16">
        <f>34.36/(1+B2)</f>
        <v>34.36</v>
      </c>
      <c r="D11525" s="17" t="s">
        <v>11</v>
      </c>
      <c r="E11525" s="17" t="s">
        <v>11</v>
      </c>
      <c r="F11525" s="18"/>
      <c r="G11525" s="36" t="str">
        <f>IF(ISNUMBER(F11525),C11525*F11525,"")</f>
        <v/>
      </c>
    </row>
    <row r="11526" spans="1:7" ht="12" customHeight="1" outlineLevel="2" x14ac:dyDescent="0.2">
      <c r="A11526" s="14" t="s">
        <v>22660</v>
      </c>
      <c r="B11526" s="15" t="s">
        <v>22661</v>
      </c>
      <c r="C11526" s="16">
        <f>83.54/(1+B2)</f>
        <v>83.54</v>
      </c>
      <c r="D11526" s="17" t="s">
        <v>11</v>
      </c>
      <c r="E11526" s="17" t="s">
        <v>11</v>
      </c>
      <c r="F11526" s="18"/>
      <c r="G11526" s="36" t="str">
        <f>IF(ISNUMBER(F11526),C11526*F11526,"")</f>
        <v/>
      </c>
    </row>
    <row r="11527" spans="1:7" ht="12" customHeight="1" outlineLevel="2" x14ac:dyDescent="0.2">
      <c r="A11527" s="14" t="s">
        <v>22662</v>
      </c>
      <c r="B11527" s="15" t="s">
        <v>22663</v>
      </c>
      <c r="C11527" s="16">
        <f>49.28/(1+B2)</f>
        <v>49.28</v>
      </c>
      <c r="D11527" s="17" t="s">
        <v>11</v>
      </c>
      <c r="E11527" s="17" t="s">
        <v>11</v>
      </c>
      <c r="F11527" s="18"/>
      <c r="G11527" s="36" t="str">
        <f>IF(ISNUMBER(F11527),C11527*F11527,"")</f>
        <v/>
      </c>
    </row>
    <row r="11528" spans="1:7" ht="12" customHeight="1" outlineLevel="2" x14ac:dyDescent="0.2">
      <c r="A11528" s="14" t="s">
        <v>22664</v>
      </c>
      <c r="B11528" s="15" t="s">
        <v>22665</v>
      </c>
      <c r="C11528" s="16">
        <f>49.92/(1+B2)</f>
        <v>49.92</v>
      </c>
      <c r="D11528" s="17" t="s">
        <v>11</v>
      </c>
      <c r="E11528" s="17" t="s">
        <v>14</v>
      </c>
      <c r="F11528" s="18"/>
      <c r="G11528" s="36" t="str">
        <f>IF(ISNUMBER(F11528),C11528*F11528,"")</f>
        <v/>
      </c>
    </row>
    <row r="11529" spans="1:7" ht="12" customHeight="1" outlineLevel="2" x14ac:dyDescent="0.2">
      <c r="A11529" s="14" t="s">
        <v>22666</v>
      </c>
      <c r="B11529" s="15" t="s">
        <v>22667</v>
      </c>
      <c r="C11529" s="16">
        <f>544.3/(1+B2)</f>
        <v>544.29999999999995</v>
      </c>
      <c r="D11529" s="17" t="s">
        <v>11</v>
      </c>
      <c r="E11529" s="17"/>
      <c r="F11529" s="18"/>
      <c r="G11529" s="36" t="str">
        <f>IF(ISNUMBER(F11529),C11529*F11529,"")</f>
        <v/>
      </c>
    </row>
    <row r="11530" spans="1:7" ht="12" customHeight="1" outlineLevel="2" x14ac:dyDescent="0.2">
      <c r="A11530" s="14" t="s">
        <v>22668</v>
      </c>
      <c r="B11530" s="15" t="s">
        <v>22669</v>
      </c>
      <c r="C11530" s="16">
        <f>425.38/(1+B2)</f>
        <v>425.38</v>
      </c>
      <c r="D11530" s="17" t="s">
        <v>11</v>
      </c>
      <c r="E11530" s="17"/>
      <c r="F11530" s="18"/>
      <c r="G11530" s="36" t="str">
        <f>IF(ISNUMBER(F11530),C11530*F11530,"")</f>
        <v/>
      </c>
    </row>
    <row r="11531" spans="1:7" ht="12" customHeight="1" outlineLevel="2" x14ac:dyDescent="0.2">
      <c r="A11531" s="14" t="s">
        <v>22670</v>
      </c>
      <c r="B11531" s="15" t="s">
        <v>22671</v>
      </c>
      <c r="C11531" s="16">
        <f>552.98/(1+B2)</f>
        <v>552.98</v>
      </c>
      <c r="D11531" s="17" t="s">
        <v>11</v>
      </c>
      <c r="E11531" s="17"/>
      <c r="F11531" s="18"/>
      <c r="G11531" s="36" t="str">
        <f>IF(ISNUMBER(F11531),C11531*F11531,"")</f>
        <v/>
      </c>
    </row>
    <row r="11532" spans="1:7" ht="12" customHeight="1" outlineLevel="2" x14ac:dyDescent="0.2">
      <c r="A11532" s="14" t="s">
        <v>22672</v>
      </c>
      <c r="B11532" s="15" t="s">
        <v>22673</v>
      </c>
      <c r="C11532" s="16">
        <f>522.78/(1+B2)</f>
        <v>522.78</v>
      </c>
      <c r="D11532" s="17" t="s">
        <v>11</v>
      </c>
      <c r="E11532" s="17"/>
      <c r="F11532" s="18"/>
      <c r="G11532" s="36" t="str">
        <f>IF(ISNUMBER(F11532),C11532*F11532,"")</f>
        <v/>
      </c>
    </row>
    <row r="11533" spans="1:7" ht="12" customHeight="1" outlineLevel="2" x14ac:dyDescent="0.2">
      <c r="A11533" s="14" t="s">
        <v>22674</v>
      </c>
      <c r="B11533" s="15" t="s">
        <v>22675</v>
      </c>
      <c r="C11533" s="16">
        <f>33.16/(1+B2)</f>
        <v>33.159999999999997</v>
      </c>
      <c r="D11533" s="17" t="s">
        <v>14</v>
      </c>
      <c r="E11533" s="17"/>
      <c r="F11533" s="18"/>
      <c r="G11533" s="36" t="str">
        <f>IF(ISNUMBER(F11533),C11533*F11533,"")</f>
        <v/>
      </c>
    </row>
    <row r="11534" spans="1:7" ht="12" customHeight="1" outlineLevel="2" x14ac:dyDescent="0.2">
      <c r="A11534" s="14" t="s">
        <v>22676</v>
      </c>
      <c r="B11534" s="15" t="s">
        <v>22677</v>
      </c>
      <c r="C11534" s="16">
        <f>13.43/(1+B2)</f>
        <v>13.43</v>
      </c>
      <c r="D11534" s="17" t="s">
        <v>53</v>
      </c>
      <c r="E11534" s="17"/>
      <c r="F11534" s="18"/>
      <c r="G11534" s="36" t="str">
        <f>IF(ISNUMBER(F11534),C11534*F11534,"")</f>
        <v/>
      </c>
    </row>
    <row r="11535" spans="1:7" ht="12" customHeight="1" outlineLevel="2" x14ac:dyDescent="0.2">
      <c r="A11535" s="14" t="s">
        <v>22678</v>
      </c>
      <c r="B11535" s="15" t="s">
        <v>22679</v>
      </c>
      <c r="C11535" s="16">
        <f>37.2/(1+B2)</f>
        <v>37.200000000000003</v>
      </c>
      <c r="D11535" s="17" t="s">
        <v>11</v>
      </c>
      <c r="E11535" s="17"/>
      <c r="F11535" s="18"/>
      <c r="G11535" s="36" t="str">
        <f>IF(ISNUMBER(F11535),C11535*F11535,"")</f>
        <v/>
      </c>
    </row>
    <row r="11536" spans="1:7" ht="12" customHeight="1" outlineLevel="2" x14ac:dyDescent="0.2">
      <c r="A11536" s="14" t="s">
        <v>22680</v>
      </c>
      <c r="B11536" s="15" t="s">
        <v>22681</v>
      </c>
      <c r="C11536" s="16">
        <f>10.57/(1+B2)</f>
        <v>10.57</v>
      </c>
      <c r="D11536" s="17" t="s">
        <v>14</v>
      </c>
      <c r="E11536" s="17" t="s">
        <v>53</v>
      </c>
      <c r="F11536" s="18"/>
      <c r="G11536" s="36" t="str">
        <f>IF(ISNUMBER(F11536),C11536*F11536,"")</f>
        <v/>
      </c>
    </row>
    <row r="11537" spans="1:7" ht="12" customHeight="1" outlineLevel="2" x14ac:dyDescent="0.2">
      <c r="A11537" s="14" t="s">
        <v>22682</v>
      </c>
      <c r="B11537" s="15" t="s">
        <v>22683</v>
      </c>
      <c r="C11537" s="16">
        <f>15.63/(1+B2)</f>
        <v>15.63</v>
      </c>
      <c r="D11537" s="17" t="s">
        <v>11</v>
      </c>
      <c r="E11537" s="17"/>
      <c r="F11537" s="18"/>
      <c r="G11537" s="36" t="str">
        <f>IF(ISNUMBER(F11537),C11537*F11537,"")</f>
        <v/>
      </c>
    </row>
    <row r="11538" spans="1:7" s="1" customFormat="1" ht="15.95" customHeight="1" outlineLevel="1" x14ac:dyDescent="0.25">
      <c r="A11538" s="11"/>
      <c r="B11538" s="12" t="s">
        <v>22684</v>
      </c>
      <c r="C11538" s="13"/>
      <c r="D11538" s="13"/>
      <c r="E11538" s="13"/>
      <c r="F11538" s="13"/>
      <c r="G11538" s="35"/>
    </row>
    <row r="11539" spans="1:7" ht="12" customHeight="1" outlineLevel="2" x14ac:dyDescent="0.2">
      <c r="A11539" s="14" t="s">
        <v>22685</v>
      </c>
      <c r="B11539" s="15" t="s">
        <v>22686</v>
      </c>
      <c r="C11539" s="16">
        <f>76.74/(1+B2)</f>
        <v>76.739999999999995</v>
      </c>
      <c r="D11539" s="17" t="s">
        <v>11</v>
      </c>
      <c r="E11539" s="17" t="s">
        <v>11</v>
      </c>
      <c r="F11539" s="18"/>
      <c r="G11539" s="36" t="str">
        <f>IF(ISNUMBER(F11539),C11539*F11539,"")</f>
        <v/>
      </c>
    </row>
    <row r="11540" spans="1:7" ht="12" customHeight="1" outlineLevel="2" x14ac:dyDescent="0.2">
      <c r="A11540" s="14" t="s">
        <v>22687</v>
      </c>
      <c r="B11540" s="15" t="s">
        <v>22688</v>
      </c>
      <c r="C11540" s="16">
        <f>23.71/(1+B2)</f>
        <v>23.71</v>
      </c>
      <c r="D11540" s="17" t="s">
        <v>14</v>
      </c>
      <c r="E11540" s="17" t="s">
        <v>53</v>
      </c>
      <c r="F11540" s="18"/>
      <c r="G11540" s="36" t="str">
        <f>IF(ISNUMBER(F11540),C11540*F11540,"")</f>
        <v/>
      </c>
    </row>
    <row r="11541" spans="1:7" ht="12" customHeight="1" outlineLevel="2" x14ac:dyDescent="0.2">
      <c r="A11541" s="14" t="s">
        <v>22689</v>
      </c>
      <c r="B11541" s="15" t="s">
        <v>22690</v>
      </c>
      <c r="C11541" s="16">
        <f>14.36/(1+B2)</f>
        <v>14.36</v>
      </c>
      <c r="D11541" s="17" t="s">
        <v>14</v>
      </c>
      <c r="E11541" s="17" t="s">
        <v>11</v>
      </c>
      <c r="F11541" s="18"/>
      <c r="G11541" s="36" t="str">
        <f>IF(ISNUMBER(F11541),C11541*F11541,"")</f>
        <v/>
      </c>
    </row>
    <row r="11542" spans="1:7" ht="12" customHeight="1" outlineLevel="2" x14ac:dyDescent="0.2">
      <c r="A11542" s="14" t="s">
        <v>22691</v>
      </c>
      <c r="B11542" s="15" t="s">
        <v>22692</v>
      </c>
      <c r="C11542" s="16">
        <f>12.44/(1+B2)</f>
        <v>12.44</v>
      </c>
      <c r="D11542" s="17" t="s">
        <v>14</v>
      </c>
      <c r="E11542" s="17" t="s">
        <v>14</v>
      </c>
      <c r="F11542" s="18"/>
      <c r="G11542" s="36" t="str">
        <f>IF(ISNUMBER(F11542),C11542*F11542,"")</f>
        <v/>
      </c>
    </row>
    <row r="11543" spans="1:7" ht="12" customHeight="1" outlineLevel="2" x14ac:dyDescent="0.2">
      <c r="A11543" s="14" t="s">
        <v>22693</v>
      </c>
      <c r="B11543" s="15" t="s">
        <v>22694</v>
      </c>
      <c r="C11543" s="16">
        <f>18.4/(1+B2)</f>
        <v>18.399999999999999</v>
      </c>
      <c r="D11543" s="17" t="s">
        <v>11</v>
      </c>
      <c r="E11543" s="17" t="s">
        <v>14</v>
      </c>
      <c r="F11543" s="18"/>
      <c r="G11543" s="36" t="str">
        <f>IF(ISNUMBER(F11543),C11543*F11543,"")</f>
        <v/>
      </c>
    </row>
    <row r="11544" spans="1:7" ht="12" customHeight="1" outlineLevel="2" x14ac:dyDescent="0.2">
      <c r="A11544" s="14" t="s">
        <v>22695</v>
      </c>
      <c r="B11544" s="15" t="s">
        <v>22696</v>
      </c>
      <c r="C11544" s="16">
        <f>19.62/(1+B2)</f>
        <v>19.62</v>
      </c>
      <c r="D11544" s="17" t="s">
        <v>14</v>
      </c>
      <c r="E11544" s="17" t="s">
        <v>53</v>
      </c>
      <c r="F11544" s="18"/>
      <c r="G11544" s="36" t="str">
        <f>IF(ISNUMBER(F11544),C11544*F11544,"")</f>
        <v/>
      </c>
    </row>
    <row r="11545" spans="1:7" ht="12" customHeight="1" outlineLevel="2" x14ac:dyDescent="0.2">
      <c r="A11545" s="14" t="s">
        <v>22697</v>
      </c>
      <c r="B11545" s="15" t="s">
        <v>22698</v>
      </c>
      <c r="C11545" s="16">
        <f>20.27/(1+B2)</f>
        <v>20.27</v>
      </c>
      <c r="D11545" s="17" t="s">
        <v>14</v>
      </c>
      <c r="E11545" s="17" t="s">
        <v>14</v>
      </c>
      <c r="F11545" s="18"/>
      <c r="G11545" s="36" t="str">
        <f>IF(ISNUMBER(F11545),C11545*F11545,"")</f>
        <v/>
      </c>
    </row>
    <row r="11546" spans="1:7" ht="12" customHeight="1" outlineLevel="2" x14ac:dyDescent="0.2">
      <c r="A11546" s="14" t="s">
        <v>22699</v>
      </c>
      <c r="B11546" s="15" t="s">
        <v>22700</v>
      </c>
      <c r="C11546" s="16">
        <f>120.08/(1+B2)</f>
        <v>120.08</v>
      </c>
      <c r="D11546" s="17" t="s">
        <v>11</v>
      </c>
      <c r="E11546" s="17" t="s">
        <v>11</v>
      </c>
      <c r="F11546" s="18"/>
      <c r="G11546" s="36" t="str">
        <f>IF(ISNUMBER(F11546),C11546*F11546,"")</f>
        <v/>
      </c>
    </row>
    <row r="11547" spans="1:7" ht="12" customHeight="1" outlineLevel="2" x14ac:dyDescent="0.2">
      <c r="A11547" s="14" t="s">
        <v>22701</v>
      </c>
      <c r="B11547" s="15" t="s">
        <v>22702</v>
      </c>
      <c r="C11547" s="16">
        <f>130.86/(1+B2)</f>
        <v>130.86000000000001</v>
      </c>
      <c r="D11547" s="17" t="s">
        <v>11</v>
      </c>
      <c r="E11547" s="17"/>
      <c r="F11547" s="18"/>
      <c r="G11547" s="36" t="str">
        <f>IF(ISNUMBER(F11547),C11547*F11547,"")</f>
        <v/>
      </c>
    </row>
    <row r="11548" spans="1:7" ht="12" customHeight="1" outlineLevel="2" x14ac:dyDescent="0.2">
      <c r="A11548" s="14" t="s">
        <v>22703</v>
      </c>
      <c r="B11548" s="15" t="s">
        <v>22704</v>
      </c>
      <c r="C11548" s="16">
        <f>36.91/(1+B2)</f>
        <v>36.909999999999997</v>
      </c>
      <c r="D11548" s="17" t="s">
        <v>14</v>
      </c>
      <c r="E11548" s="17" t="s">
        <v>14</v>
      </c>
      <c r="F11548" s="18"/>
      <c r="G11548" s="36" t="str">
        <f>IF(ISNUMBER(F11548),C11548*F11548,"")</f>
        <v/>
      </c>
    </row>
    <row r="11549" spans="1:7" ht="12" customHeight="1" outlineLevel="2" x14ac:dyDescent="0.2">
      <c r="A11549" s="14" t="s">
        <v>22705</v>
      </c>
      <c r="B11549" s="15" t="s">
        <v>22706</v>
      </c>
      <c r="C11549" s="16">
        <f>16.6/(1+B2)</f>
        <v>16.600000000000001</v>
      </c>
      <c r="D11549" s="17" t="s">
        <v>14</v>
      </c>
      <c r="E11549" s="17" t="s">
        <v>11</v>
      </c>
      <c r="F11549" s="18"/>
      <c r="G11549" s="36" t="str">
        <f>IF(ISNUMBER(F11549),C11549*F11549,"")</f>
        <v/>
      </c>
    </row>
    <row r="11550" spans="1:7" ht="12" customHeight="1" outlineLevel="2" x14ac:dyDescent="0.2">
      <c r="A11550" s="14" t="s">
        <v>22707</v>
      </c>
      <c r="B11550" s="15" t="s">
        <v>22708</v>
      </c>
      <c r="C11550" s="16">
        <f>15.44/(1+B2)</f>
        <v>15.44</v>
      </c>
      <c r="D11550" s="17" t="s">
        <v>11</v>
      </c>
      <c r="E11550" s="17" t="s">
        <v>11</v>
      </c>
      <c r="F11550" s="18"/>
      <c r="G11550" s="36" t="str">
        <f>IF(ISNUMBER(F11550),C11550*F11550,"")</f>
        <v/>
      </c>
    </row>
    <row r="11551" spans="1:7" ht="12" customHeight="1" outlineLevel="2" x14ac:dyDescent="0.2">
      <c r="A11551" s="14" t="s">
        <v>22709</v>
      </c>
      <c r="B11551" s="15" t="s">
        <v>22710</v>
      </c>
      <c r="C11551" s="16">
        <f>85.62/(1+B2)</f>
        <v>85.62</v>
      </c>
      <c r="D11551" s="17" t="s">
        <v>11</v>
      </c>
      <c r="E11551" s="17"/>
      <c r="F11551" s="18"/>
      <c r="G11551" s="36" t="str">
        <f>IF(ISNUMBER(F11551),C11551*F11551,"")</f>
        <v/>
      </c>
    </row>
    <row r="11552" spans="1:7" ht="12" customHeight="1" outlineLevel="2" x14ac:dyDescent="0.2">
      <c r="A11552" s="14" t="s">
        <v>22711</v>
      </c>
      <c r="B11552" s="15" t="s">
        <v>22712</v>
      </c>
      <c r="C11552" s="16">
        <f>49.15/(1+B2)</f>
        <v>49.15</v>
      </c>
      <c r="D11552" s="17" t="s">
        <v>11</v>
      </c>
      <c r="E11552" s="17"/>
      <c r="F11552" s="18"/>
      <c r="G11552" s="36" t="str">
        <f>IF(ISNUMBER(F11552),C11552*F11552,"")</f>
        <v/>
      </c>
    </row>
    <row r="11553" spans="1:7" ht="12" customHeight="1" outlineLevel="2" x14ac:dyDescent="0.2">
      <c r="A11553" s="14" t="s">
        <v>22713</v>
      </c>
      <c r="B11553" s="15" t="s">
        <v>22714</v>
      </c>
      <c r="C11553" s="16">
        <f>69.3/(1+B2)</f>
        <v>69.3</v>
      </c>
      <c r="D11553" s="17" t="s">
        <v>11</v>
      </c>
      <c r="E11553" s="17"/>
      <c r="F11553" s="18"/>
      <c r="G11553" s="36" t="str">
        <f>IF(ISNUMBER(F11553),C11553*F11553,"")</f>
        <v/>
      </c>
    </row>
    <row r="11554" spans="1:7" ht="12" customHeight="1" outlineLevel="2" x14ac:dyDescent="0.2">
      <c r="A11554" s="14" t="s">
        <v>22715</v>
      </c>
      <c r="B11554" s="15" t="s">
        <v>22716</v>
      </c>
      <c r="C11554" s="16">
        <f>133.05/(1+B2)</f>
        <v>133.05000000000001</v>
      </c>
      <c r="D11554" s="17" t="s">
        <v>11</v>
      </c>
      <c r="E11554" s="17"/>
      <c r="F11554" s="18"/>
      <c r="G11554" s="36" t="str">
        <f>IF(ISNUMBER(F11554),C11554*F11554,"")</f>
        <v/>
      </c>
    </row>
    <row r="11555" spans="1:7" ht="12" customHeight="1" outlineLevel="2" x14ac:dyDescent="0.2">
      <c r="A11555" s="14" t="s">
        <v>22717</v>
      </c>
      <c r="B11555" s="15" t="s">
        <v>22718</v>
      </c>
      <c r="C11555" s="16">
        <f>133.05/(1+B2)</f>
        <v>133.05000000000001</v>
      </c>
      <c r="D11555" s="17" t="s">
        <v>11</v>
      </c>
      <c r="E11555" s="17"/>
      <c r="F11555" s="18"/>
      <c r="G11555" s="36" t="str">
        <f>IF(ISNUMBER(F11555),C11555*F11555,"")</f>
        <v/>
      </c>
    </row>
    <row r="11556" spans="1:7" ht="12" customHeight="1" outlineLevel="2" x14ac:dyDescent="0.2">
      <c r="A11556" s="14" t="s">
        <v>22719</v>
      </c>
      <c r="B11556" s="15" t="s">
        <v>22720</v>
      </c>
      <c r="C11556" s="16">
        <f>227.11/(1+B2)</f>
        <v>227.11</v>
      </c>
      <c r="D11556" s="17" t="s">
        <v>11</v>
      </c>
      <c r="E11556" s="17"/>
      <c r="F11556" s="18"/>
      <c r="G11556" s="36" t="str">
        <f>IF(ISNUMBER(F11556),C11556*F11556,"")</f>
        <v/>
      </c>
    </row>
    <row r="11557" spans="1:7" ht="12" customHeight="1" outlineLevel="2" x14ac:dyDescent="0.2">
      <c r="A11557" s="14" t="s">
        <v>22721</v>
      </c>
      <c r="B11557" s="15" t="s">
        <v>22722</v>
      </c>
      <c r="C11557" s="16">
        <f>66.96/(1+B2)</f>
        <v>66.959999999999994</v>
      </c>
      <c r="D11557" s="17" t="s">
        <v>11</v>
      </c>
      <c r="E11557" s="17"/>
      <c r="F11557" s="18"/>
      <c r="G11557" s="36" t="str">
        <f>IF(ISNUMBER(F11557),C11557*F11557,"")</f>
        <v/>
      </c>
    </row>
    <row r="11558" spans="1:7" ht="12" customHeight="1" outlineLevel="2" x14ac:dyDescent="0.2">
      <c r="A11558" s="14" t="s">
        <v>22723</v>
      </c>
      <c r="B11558" s="15" t="s">
        <v>22724</v>
      </c>
      <c r="C11558" s="16">
        <f>82.58/(1+B2)</f>
        <v>82.58</v>
      </c>
      <c r="D11558" s="17" t="s">
        <v>11</v>
      </c>
      <c r="E11558" s="17"/>
      <c r="F11558" s="18"/>
      <c r="G11558" s="36" t="str">
        <f>IF(ISNUMBER(F11558),C11558*F11558,"")</f>
        <v/>
      </c>
    </row>
    <row r="11559" spans="1:7" ht="12" customHeight="1" outlineLevel="2" x14ac:dyDescent="0.2">
      <c r="A11559" s="14" t="s">
        <v>22725</v>
      </c>
      <c r="B11559" s="15" t="s">
        <v>22726</v>
      </c>
      <c r="C11559" s="16">
        <f>70.91/(1+B2)</f>
        <v>70.91</v>
      </c>
      <c r="D11559" s="17" t="s">
        <v>11</v>
      </c>
      <c r="E11559" s="17" t="s">
        <v>11</v>
      </c>
      <c r="F11559" s="18"/>
      <c r="G11559" s="36" t="str">
        <f>IF(ISNUMBER(F11559),C11559*F11559,"")</f>
        <v/>
      </c>
    </row>
    <row r="11560" spans="1:7" ht="12" customHeight="1" outlineLevel="2" x14ac:dyDescent="0.2">
      <c r="A11560" s="14" t="s">
        <v>22727</v>
      </c>
      <c r="B11560" s="15" t="s">
        <v>22728</v>
      </c>
      <c r="C11560" s="16">
        <f>56.85/(1+B2)</f>
        <v>56.85</v>
      </c>
      <c r="D11560" s="17" t="s">
        <v>14</v>
      </c>
      <c r="E11560" s="17" t="s">
        <v>11</v>
      </c>
      <c r="F11560" s="18"/>
      <c r="G11560" s="36" t="str">
        <f>IF(ISNUMBER(F11560),C11560*F11560,"")</f>
        <v/>
      </c>
    </row>
    <row r="11561" spans="1:7" ht="12" customHeight="1" outlineLevel="2" x14ac:dyDescent="0.2">
      <c r="A11561" s="14" t="s">
        <v>22729</v>
      </c>
      <c r="B11561" s="15" t="s">
        <v>22730</v>
      </c>
      <c r="C11561" s="16">
        <f>53.46/(1+B2)</f>
        <v>53.46</v>
      </c>
      <c r="D11561" s="17" t="s">
        <v>11</v>
      </c>
      <c r="E11561" s="17" t="s">
        <v>14</v>
      </c>
      <c r="F11561" s="18"/>
      <c r="G11561" s="36" t="str">
        <f>IF(ISNUMBER(F11561),C11561*F11561,"")</f>
        <v/>
      </c>
    </row>
    <row r="11562" spans="1:7" s="1" customFormat="1" ht="15.95" customHeight="1" x14ac:dyDescent="0.25">
      <c r="A11562" s="8"/>
      <c r="B11562" s="9" t="s">
        <v>22731</v>
      </c>
      <c r="C11562" s="10"/>
      <c r="D11562" s="10"/>
      <c r="E11562" s="10"/>
      <c r="F11562" s="10"/>
      <c r="G11562" s="34"/>
    </row>
    <row r="11563" spans="1:7" s="1" customFormat="1" ht="15.95" customHeight="1" outlineLevel="1" x14ac:dyDescent="0.25">
      <c r="A11563" s="11"/>
      <c r="B11563" s="12" t="s">
        <v>22732</v>
      </c>
      <c r="C11563" s="13"/>
      <c r="D11563" s="13"/>
      <c r="E11563" s="13"/>
      <c r="F11563" s="13"/>
      <c r="G11563" s="35"/>
    </row>
    <row r="11564" spans="1:7" ht="24" customHeight="1" outlineLevel="2" x14ac:dyDescent="0.2">
      <c r="A11564" s="14" t="s">
        <v>22733</v>
      </c>
      <c r="B11564" s="15" t="s">
        <v>22734</v>
      </c>
      <c r="C11564" s="16">
        <f>138.71/(1+B2)</f>
        <v>138.71</v>
      </c>
      <c r="D11564" s="17" t="s">
        <v>11</v>
      </c>
      <c r="E11564" s="17" t="s">
        <v>14</v>
      </c>
      <c r="F11564" s="18"/>
      <c r="G11564" s="36" t="str">
        <f>IF(ISNUMBER(F11564),C11564*F11564,"")</f>
        <v/>
      </c>
    </row>
    <row r="11565" spans="1:7" ht="12" customHeight="1" outlineLevel="2" x14ac:dyDescent="0.2">
      <c r="A11565" s="14" t="s">
        <v>22735</v>
      </c>
      <c r="B11565" s="15" t="s">
        <v>22736</v>
      </c>
      <c r="C11565" s="16">
        <f>156/(1+B2)</f>
        <v>156</v>
      </c>
      <c r="D11565" s="17" t="s">
        <v>11</v>
      </c>
      <c r="E11565" s="17"/>
      <c r="F11565" s="18"/>
      <c r="G11565" s="36" t="str">
        <f>IF(ISNUMBER(F11565),C11565*F11565,"")</f>
        <v/>
      </c>
    </row>
    <row r="11566" spans="1:7" ht="12" customHeight="1" outlineLevel="2" x14ac:dyDescent="0.2">
      <c r="A11566" s="14" t="s">
        <v>22737</v>
      </c>
      <c r="B11566" s="15" t="s">
        <v>22738</v>
      </c>
      <c r="C11566" s="16">
        <f>199.84/(1+B2)</f>
        <v>199.84</v>
      </c>
      <c r="D11566" s="17" t="s">
        <v>11</v>
      </c>
      <c r="E11566" s="17"/>
      <c r="F11566" s="18"/>
      <c r="G11566" s="36" t="str">
        <f>IF(ISNUMBER(F11566),C11566*F11566,"")</f>
        <v/>
      </c>
    </row>
    <row r="11567" spans="1:7" ht="12" customHeight="1" outlineLevel="2" x14ac:dyDescent="0.2">
      <c r="A11567" s="14" t="s">
        <v>22739</v>
      </c>
      <c r="B11567" s="15" t="s">
        <v>22740</v>
      </c>
      <c r="C11567" s="16">
        <f>102.04/(1+B2)</f>
        <v>102.04</v>
      </c>
      <c r="D11567" s="17" t="s">
        <v>14</v>
      </c>
      <c r="E11567" s="17"/>
      <c r="F11567" s="18"/>
      <c r="G11567" s="36" t="str">
        <f>IF(ISNUMBER(F11567),C11567*F11567,"")</f>
        <v/>
      </c>
    </row>
    <row r="11568" spans="1:7" ht="24" customHeight="1" outlineLevel="2" x14ac:dyDescent="0.2">
      <c r="A11568" s="14" t="s">
        <v>22741</v>
      </c>
      <c r="B11568" s="15" t="s">
        <v>22742</v>
      </c>
      <c r="C11568" s="16">
        <f>152.26/(1+B2)</f>
        <v>152.26</v>
      </c>
      <c r="D11568" s="17" t="s">
        <v>11</v>
      </c>
      <c r="E11568" s="17"/>
      <c r="F11568" s="18"/>
      <c r="G11568" s="36" t="str">
        <f>IF(ISNUMBER(F11568),C11568*F11568,"")</f>
        <v/>
      </c>
    </row>
    <row r="11569" spans="1:7" ht="12" customHeight="1" outlineLevel="2" x14ac:dyDescent="0.2">
      <c r="A11569" s="14" t="s">
        <v>22743</v>
      </c>
      <c r="B11569" s="15" t="s">
        <v>22744</v>
      </c>
      <c r="C11569" s="16">
        <f>189.6/(1+B2)</f>
        <v>189.6</v>
      </c>
      <c r="D11569" s="17" t="s">
        <v>11</v>
      </c>
      <c r="E11569" s="17"/>
      <c r="F11569" s="18"/>
      <c r="G11569" s="36" t="str">
        <f>IF(ISNUMBER(F11569),C11569*F11569,"")</f>
        <v/>
      </c>
    </row>
    <row r="11570" spans="1:7" ht="12" customHeight="1" outlineLevel="2" x14ac:dyDescent="0.2">
      <c r="A11570" s="14" t="s">
        <v>22745</v>
      </c>
      <c r="B11570" s="15" t="s">
        <v>22746</v>
      </c>
      <c r="C11570" s="16">
        <f>67.52/(1+B2)</f>
        <v>67.52</v>
      </c>
      <c r="D11570" s="17" t="s">
        <v>11</v>
      </c>
      <c r="E11570" s="17" t="s">
        <v>53</v>
      </c>
      <c r="F11570" s="18"/>
      <c r="G11570" s="36" t="str">
        <f>IF(ISNUMBER(F11570),C11570*F11570,"")</f>
        <v/>
      </c>
    </row>
    <row r="11571" spans="1:7" ht="12" customHeight="1" outlineLevel="2" x14ac:dyDescent="0.2">
      <c r="A11571" s="14" t="s">
        <v>22747</v>
      </c>
      <c r="B11571" s="15" t="s">
        <v>22748</v>
      </c>
      <c r="C11571" s="16">
        <f>148.5/(1+B2)</f>
        <v>148.5</v>
      </c>
      <c r="D11571" s="17" t="s">
        <v>11</v>
      </c>
      <c r="E11571" s="17"/>
      <c r="F11571" s="18"/>
      <c r="G11571" s="36" t="str">
        <f>IF(ISNUMBER(F11571),C11571*F11571,"")</f>
        <v/>
      </c>
    </row>
    <row r="11572" spans="1:7" ht="12" customHeight="1" outlineLevel="2" x14ac:dyDescent="0.2">
      <c r="A11572" s="14" t="s">
        <v>22749</v>
      </c>
      <c r="B11572" s="15" t="s">
        <v>22750</v>
      </c>
      <c r="C11572" s="16">
        <f>125.53/(1+B2)</f>
        <v>125.53</v>
      </c>
      <c r="D11572" s="17" t="s">
        <v>14</v>
      </c>
      <c r="E11572" s="17"/>
      <c r="F11572" s="18"/>
      <c r="G11572" s="36" t="str">
        <f>IF(ISNUMBER(F11572),C11572*F11572,"")</f>
        <v/>
      </c>
    </row>
    <row r="11573" spans="1:7" ht="12" customHeight="1" outlineLevel="2" x14ac:dyDescent="0.2">
      <c r="A11573" s="14" t="s">
        <v>22751</v>
      </c>
      <c r="B11573" s="15" t="s">
        <v>22752</v>
      </c>
      <c r="C11573" s="16">
        <f>111.3/(1+B2)</f>
        <v>111.3</v>
      </c>
      <c r="D11573" s="17" t="s">
        <v>14</v>
      </c>
      <c r="E11573" s="17"/>
      <c r="F11573" s="18"/>
      <c r="G11573" s="36" t="str">
        <f>IF(ISNUMBER(F11573),C11573*F11573,"")</f>
        <v/>
      </c>
    </row>
    <row r="11574" spans="1:7" ht="12" customHeight="1" outlineLevel="2" x14ac:dyDescent="0.2">
      <c r="A11574" s="14" t="s">
        <v>22753</v>
      </c>
      <c r="B11574" s="15" t="s">
        <v>22754</v>
      </c>
      <c r="C11574" s="16">
        <f>817.49/(1+B2)</f>
        <v>817.49</v>
      </c>
      <c r="D11574" s="17" t="s">
        <v>11</v>
      </c>
      <c r="E11574" s="17" t="s">
        <v>11</v>
      </c>
      <c r="F11574" s="18"/>
      <c r="G11574" s="36" t="str">
        <f>IF(ISNUMBER(F11574),C11574*F11574,"")</f>
        <v/>
      </c>
    </row>
    <row r="11575" spans="1:7" ht="12" customHeight="1" outlineLevel="2" x14ac:dyDescent="0.2">
      <c r="A11575" s="14" t="s">
        <v>22755</v>
      </c>
      <c r="B11575" s="15" t="s">
        <v>22756</v>
      </c>
      <c r="C11575" s="16">
        <f>817.49/(1+B2)</f>
        <v>817.49</v>
      </c>
      <c r="D11575" s="17" t="s">
        <v>11</v>
      </c>
      <c r="E11575" s="17"/>
      <c r="F11575" s="18"/>
      <c r="G11575" s="36" t="str">
        <f>IF(ISNUMBER(F11575),C11575*F11575,"")</f>
        <v/>
      </c>
    </row>
    <row r="11576" spans="1:7" ht="24" customHeight="1" outlineLevel="2" x14ac:dyDescent="0.2">
      <c r="A11576" s="14" t="s">
        <v>22757</v>
      </c>
      <c r="B11576" s="15" t="s">
        <v>22758</v>
      </c>
      <c r="C11576" s="16">
        <f>73.92/(1+B2)</f>
        <v>73.92</v>
      </c>
      <c r="D11576" s="17" t="s">
        <v>11</v>
      </c>
      <c r="E11576" s="17"/>
      <c r="F11576" s="18"/>
      <c r="G11576" s="36" t="str">
        <f>IF(ISNUMBER(F11576),C11576*F11576,"")</f>
        <v/>
      </c>
    </row>
    <row r="11577" spans="1:7" ht="12" customHeight="1" outlineLevel="2" x14ac:dyDescent="0.2">
      <c r="A11577" s="14" t="s">
        <v>22759</v>
      </c>
      <c r="B11577" s="15" t="s">
        <v>22760</v>
      </c>
      <c r="C11577" s="16">
        <f>372/(1+B2)</f>
        <v>372</v>
      </c>
      <c r="D11577" s="17" t="s">
        <v>11</v>
      </c>
      <c r="E11577" s="17"/>
      <c r="F11577" s="18"/>
      <c r="G11577" s="36" t="str">
        <f>IF(ISNUMBER(F11577),C11577*F11577,"")</f>
        <v/>
      </c>
    </row>
    <row r="11578" spans="1:7" ht="12" customHeight="1" outlineLevel="2" x14ac:dyDescent="0.2">
      <c r="A11578" s="14" t="s">
        <v>22761</v>
      </c>
      <c r="B11578" s="15" t="s">
        <v>22762</v>
      </c>
      <c r="C11578" s="16">
        <f>47.16/(1+B2)</f>
        <v>47.16</v>
      </c>
      <c r="D11578" s="17" t="s">
        <v>14</v>
      </c>
      <c r="E11578" s="17" t="s">
        <v>11</v>
      </c>
      <c r="F11578" s="18"/>
      <c r="G11578" s="36" t="str">
        <f>IF(ISNUMBER(F11578),C11578*F11578,"")</f>
        <v/>
      </c>
    </row>
    <row r="11579" spans="1:7" ht="12" customHeight="1" outlineLevel="2" x14ac:dyDescent="0.2">
      <c r="A11579" s="14" t="s">
        <v>22763</v>
      </c>
      <c r="B11579" s="15" t="s">
        <v>22764</v>
      </c>
      <c r="C11579" s="16">
        <f>144.85/(1+B2)</f>
        <v>144.85</v>
      </c>
      <c r="D11579" s="17" t="s">
        <v>11</v>
      </c>
      <c r="E11579" s="17"/>
      <c r="F11579" s="18"/>
      <c r="G11579" s="36" t="str">
        <f>IF(ISNUMBER(F11579),C11579*F11579,"")</f>
        <v/>
      </c>
    </row>
    <row r="11580" spans="1:7" ht="12" customHeight="1" outlineLevel="2" x14ac:dyDescent="0.2">
      <c r="A11580" s="14" t="s">
        <v>22765</v>
      </c>
      <c r="B11580" s="15" t="s">
        <v>22766</v>
      </c>
      <c r="C11580" s="16">
        <f>216/(1+B2)</f>
        <v>216</v>
      </c>
      <c r="D11580" s="17" t="s">
        <v>11</v>
      </c>
      <c r="E11580" s="17"/>
      <c r="F11580" s="18"/>
      <c r="G11580" s="36" t="str">
        <f>IF(ISNUMBER(F11580),C11580*F11580,"")</f>
        <v/>
      </c>
    </row>
    <row r="11581" spans="1:7" ht="12" customHeight="1" outlineLevel="2" x14ac:dyDescent="0.2">
      <c r="A11581" s="14" t="s">
        <v>22767</v>
      </c>
      <c r="B11581" s="15" t="s">
        <v>22768</v>
      </c>
      <c r="C11581" s="16">
        <f>180/(1+B2)</f>
        <v>180</v>
      </c>
      <c r="D11581" s="17" t="s">
        <v>11</v>
      </c>
      <c r="E11581" s="17"/>
      <c r="F11581" s="18"/>
      <c r="G11581" s="36" t="str">
        <f>IF(ISNUMBER(F11581),C11581*F11581,"")</f>
        <v/>
      </c>
    </row>
    <row r="11582" spans="1:7" ht="24" customHeight="1" outlineLevel="2" x14ac:dyDescent="0.2">
      <c r="A11582" s="14" t="s">
        <v>22769</v>
      </c>
      <c r="B11582" s="15" t="s">
        <v>22770</v>
      </c>
      <c r="C11582" s="16">
        <f>213.39/(1+B2)</f>
        <v>213.39</v>
      </c>
      <c r="D11582" s="17" t="s">
        <v>11</v>
      </c>
      <c r="E11582" s="17"/>
      <c r="F11582" s="18"/>
      <c r="G11582" s="36" t="str">
        <f>IF(ISNUMBER(F11582),C11582*F11582,"")</f>
        <v/>
      </c>
    </row>
    <row r="11583" spans="1:7" ht="12" customHeight="1" outlineLevel="2" x14ac:dyDescent="0.2">
      <c r="A11583" s="14" t="s">
        <v>22771</v>
      </c>
      <c r="B11583" s="15" t="s">
        <v>22772</v>
      </c>
      <c r="C11583" s="16">
        <f>333.88/(1+B2)</f>
        <v>333.88</v>
      </c>
      <c r="D11583" s="17" t="s">
        <v>11</v>
      </c>
      <c r="E11583" s="17" t="s">
        <v>11</v>
      </c>
      <c r="F11583" s="18"/>
      <c r="G11583" s="36" t="str">
        <f>IF(ISNUMBER(F11583),C11583*F11583,"")</f>
        <v/>
      </c>
    </row>
    <row r="11584" spans="1:7" ht="12" customHeight="1" outlineLevel="2" x14ac:dyDescent="0.2">
      <c r="A11584" s="14" t="s">
        <v>22773</v>
      </c>
      <c r="B11584" s="15" t="s">
        <v>22774</v>
      </c>
      <c r="C11584" s="16">
        <f>667.75/(1+B2)</f>
        <v>667.75</v>
      </c>
      <c r="D11584" s="17" t="s">
        <v>11</v>
      </c>
      <c r="E11584" s="17" t="s">
        <v>14</v>
      </c>
      <c r="F11584" s="18"/>
      <c r="G11584" s="36" t="str">
        <f>IF(ISNUMBER(F11584),C11584*F11584,"")</f>
        <v/>
      </c>
    </row>
    <row r="11585" spans="1:7" ht="12" customHeight="1" outlineLevel="2" x14ac:dyDescent="0.2">
      <c r="A11585" s="14" t="s">
        <v>22775</v>
      </c>
      <c r="B11585" s="15" t="s">
        <v>22776</v>
      </c>
      <c r="C11585" s="16">
        <f>749.47/(1+B2)</f>
        <v>749.47</v>
      </c>
      <c r="D11585" s="17" t="s">
        <v>11</v>
      </c>
      <c r="E11585" s="17"/>
      <c r="F11585" s="18"/>
      <c r="G11585" s="36" t="str">
        <f>IF(ISNUMBER(F11585),C11585*F11585,"")</f>
        <v/>
      </c>
    </row>
    <row r="11586" spans="1:7" ht="12" customHeight="1" outlineLevel="2" x14ac:dyDescent="0.2">
      <c r="A11586" s="14" t="s">
        <v>22777</v>
      </c>
      <c r="B11586" s="15" t="s">
        <v>22778</v>
      </c>
      <c r="C11586" s="16">
        <f>603.2/(1+B2)</f>
        <v>603.20000000000005</v>
      </c>
      <c r="D11586" s="17" t="s">
        <v>11</v>
      </c>
      <c r="E11586" s="17"/>
      <c r="F11586" s="18"/>
      <c r="G11586" s="36" t="str">
        <f>IF(ISNUMBER(F11586),C11586*F11586,"")</f>
        <v/>
      </c>
    </row>
    <row r="11587" spans="1:7" ht="12" customHeight="1" outlineLevel="2" x14ac:dyDescent="0.2">
      <c r="A11587" s="14" t="s">
        <v>22779</v>
      </c>
      <c r="B11587" s="15" t="s">
        <v>22780</v>
      </c>
      <c r="C11587" s="16">
        <f>146.4/(1+B2)</f>
        <v>146.4</v>
      </c>
      <c r="D11587" s="17" t="s">
        <v>11</v>
      </c>
      <c r="E11587" s="17"/>
      <c r="F11587" s="18"/>
      <c r="G11587" s="36" t="str">
        <f>IF(ISNUMBER(F11587),C11587*F11587,"")</f>
        <v/>
      </c>
    </row>
    <row r="11588" spans="1:7" ht="12" customHeight="1" outlineLevel="2" x14ac:dyDescent="0.2">
      <c r="A11588" s="14" t="s">
        <v>22781</v>
      </c>
      <c r="B11588" s="15" t="s">
        <v>22782</v>
      </c>
      <c r="C11588" s="16">
        <f>307.24/(1+B2)</f>
        <v>307.24</v>
      </c>
      <c r="D11588" s="17" t="s">
        <v>11</v>
      </c>
      <c r="E11588" s="17"/>
      <c r="F11588" s="18"/>
      <c r="G11588" s="36" t="str">
        <f>IF(ISNUMBER(F11588),C11588*F11588,"")</f>
        <v/>
      </c>
    </row>
    <row r="11589" spans="1:7" ht="12" customHeight="1" outlineLevel="2" x14ac:dyDescent="0.2">
      <c r="A11589" s="14" t="s">
        <v>22783</v>
      </c>
      <c r="B11589" s="15" t="s">
        <v>22784</v>
      </c>
      <c r="C11589" s="16">
        <f>218.85/(1+B2)</f>
        <v>218.85</v>
      </c>
      <c r="D11589" s="17" t="s">
        <v>11</v>
      </c>
      <c r="E11589" s="17"/>
      <c r="F11589" s="18"/>
      <c r="G11589" s="36" t="str">
        <f>IF(ISNUMBER(F11589),C11589*F11589,"")</f>
        <v/>
      </c>
    </row>
    <row r="11590" spans="1:7" ht="12" customHeight="1" outlineLevel="2" x14ac:dyDescent="0.2">
      <c r="A11590" s="14" t="s">
        <v>22785</v>
      </c>
      <c r="B11590" s="15" t="s">
        <v>22786</v>
      </c>
      <c r="C11590" s="16">
        <f>208.14/(1+B2)</f>
        <v>208.14</v>
      </c>
      <c r="D11590" s="17" t="s">
        <v>11</v>
      </c>
      <c r="E11590" s="17"/>
      <c r="F11590" s="18"/>
      <c r="G11590" s="36" t="str">
        <f>IF(ISNUMBER(F11590),C11590*F11590,"")</f>
        <v/>
      </c>
    </row>
    <row r="11591" spans="1:7" ht="24" customHeight="1" outlineLevel="2" x14ac:dyDescent="0.2">
      <c r="A11591" s="14" t="s">
        <v>22787</v>
      </c>
      <c r="B11591" s="15" t="s">
        <v>22788</v>
      </c>
      <c r="C11591" s="16">
        <f>58.05/(1+B2)</f>
        <v>58.05</v>
      </c>
      <c r="D11591" s="17" t="s">
        <v>11</v>
      </c>
      <c r="E11591" s="17" t="s">
        <v>106</v>
      </c>
      <c r="F11591" s="18"/>
      <c r="G11591" s="36" t="str">
        <f>IF(ISNUMBER(F11591),C11591*F11591,"")</f>
        <v/>
      </c>
    </row>
    <row r="11592" spans="1:7" ht="24" customHeight="1" outlineLevel="2" x14ac:dyDescent="0.2">
      <c r="A11592" s="14" t="s">
        <v>22789</v>
      </c>
      <c r="B11592" s="15" t="s">
        <v>22790</v>
      </c>
      <c r="C11592" s="16">
        <f>70.42/(1+B2)</f>
        <v>70.42</v>
      </c>
      <c r="D11592" s="17" t="s">
        <v>14</v>
      </c>
      <c r="E11592" s="17"/>
      <c r="F11592" s="18"/>
      <c r="G11592" s="36" t="str">
        <f>IF(ISNUMBER(F11592),C11592*F11592,"")</f>
        <v/>
      </c>
    </row>
    <row r="11593" spans="1:7" ht="24" customHeight="1" outlineLevel="2" x14ac:dyDescent="0.2">
      <c r="A11593" s="14" t="s">
        <v>22791</v>
      </c>
      <c r="B11593" s="15" t="s">
        <v>22792</v>
      </c>
      <c r="C11593" s="16">
        <f>63.78/(1+B2)</f>
        <v>63.78</v>
      </c>
      <c r="D11593" s="17" t="s">
        <v>14</v>
      </c>
      <c r="E11593" s="17" t="s">
        <v>106</v>
      </c>
      <c r="F11593" s="18"/>
      <c r="G11593" s="36" t="str">
        <f>IF(ISNUMBER(F11593),C11593*F11593,"")</f>
        <v/>
      </c>
    </row>
    <row r="11594" spans="1:7" ht="24" customHeight="1" outlineLevel="2" x14ac:dyDescent="0.2">
      <c r="A11594" s="14" t="s">
        <v>22793</v>
      </c>
      <c r="B11594" s="15" t="s">
        <v>22794</v>
      </c>
      <c r="C11594" s="16">
        <f>60.02/(1+B2)</f>
        <v>60.02</v>
      </c>
      <c r="D11594" s="17" t="s">
        <v>11</v>
      </c>
      <c r="E11594" s="17" t="s">
        <v>106</v>
      </c>
      <c r="F11594" s="18"/>
      <c r="G11594" s="36" t="str">
        <f>IF(ISNUMBER(F11594),C11594*F11594,"")</f>
        <v/>
      </c>
    </row>
    <row r="11595" spans="1:7" ht="24" customHeight="1" outlineLevel="2" x14ac:dyDescent="0.2">
      <c r="A11595" s="14" t="s">
        <v>22795</v>
      </c>
      <c r="B11595" s="15" t="s">
        <v>22796</v>
      </c>
      <c r="C11595" s="16">
        <f>63.78/(1+B2)</f>
        <v>63.78</v>
      </c>
      <c r="D11595" s="17" t="s">
        <v>11</v>
      </c>
      <c r="E11595" s="17" t="s">
        <v>106</v>
      </c>
      <c r="F11595" s="18"/>
      <c r="G11595" s="36" t="str">
        <f>IF(ISNUMBER(F11595),C11595*F11595,"")</f>
        <v/>
      </c>
    </row>
    <row r="11596" spans="1:7" ht="12" customHeight="1" outlineLevel="2" x14ac:dyDescent="0.2">
      <c r="A11596" s="14" t="s">
        <v>22797</v>
      </c>
      <c r="B11596" s="15" t="s">
        <v>22798</v>
      </c>
      <c r="C11596" s="16">
        <f>43.27/(1+B2)</f>
        <v>43.27</v>
      </c>
      <c r="D11596" s="17" t="s">
        <v>11</v>
      </c>
      <c r="E11596" s="17" t="s">
        <v>106</v>
      </c>
      <c r="F11596" s="18"/>
      <c r="G11596" s="36" t="str">
        <f>IF(ISNUMBER(F11596),C11596*F11596,"")</f>
        <v/>
      </c>
    </row>
    <row r="11597" spans="1:7" ht="12" customHeight="1" outlineLevel="2" x14ac:dyDescent="0.2">
      <c r="A11597" s="14" t="s">
        <v>22799</v>
      </c>
      <c r="B11597" s="15" t="s">
        <v>22800</v>
      </c>
      <c r="C11597" s="16">
        <f>391.53/(1+B2)</f>
        <v>391.53</v>
      </c>
      <c r="D11597" s="17" t="s">
        <v>11</v>
      </c>
      <c r="E11597" s="17"/>
      <c r="F11597" s="18"/>
      <c r="G11597" s="36" t="str">
        <f>IF(ISNUMBER(F11597),C11597*F11597,"")</f>
        <v/>
      </c>
    </row>
    <row r="11598" spans="1:7" ht="12" customHeight="1" outlineLevel="2" x14ac:dyDescent="0.2">
      <c r="A11598" s="14" t="s">
        <v>22801</v>
      </c>
      <c r="B11598" s="15" t="s">
        <v>22802</v>
      </c>
      <c r="C11598" s="16">
        <f>487.34/(1+B2)</f>
        <v>487.34</v>
      </c>
      <c r="D11598" s="17" t="s">
        <v>11</v>
      </c>
      <c r="E11598" s="17"/>
      <c r="F11598" s="18"/>
      <c r="G11598" s="36" t="str">
        <f>IF(ISNUMBER(F11598),C11598*F11598,"")</f>
        <v/>
      </c>
    </row>
    <row r="11599" spans="1:7" ht="12" customHeight="1" outlineLevel="2" x14ac:dyDescent="0.2">
      <c r="A11599" s="14" t="s">
        <v>22803</v>
      </c>
      <c r="B11599" s="15" t="s">
        <v>22804</v>
      </c>
      <c r="C11599" s="16">
        <f>476.96/(1+B2)</f>
        <v>476.96</v>
      </c>
      <c r="D11599" s="17" t="s">
        <v>11</v>
      </c>
      <c r="E11599" s="17"/>
      <c r="F11599" s="18"/>
      <c r="G11599" s="36" t="str">
        <f>IF(ISNUMBER(F11599),C11599*F11599,"")</f>
        <v/>
      </c>
    </row>
    <row r="11600" spans="1:7" ht="12" customHeight="1" outlineLevel="2" x14ac:dyDescent="0.2">
      <c r="A11600" s="14" t="s">
        <v>22805</v>
      </c>
      <c r="B11600" s="15" t="s">
        <v>22806</v>
      </c>
      <c r="C11600" s="16">
        <f>496.31/(1+B2)</f>
        <v>496.31</v>
      </c>
      <c r="D11600" s="17" t="s">
        <v>11</v>
      </c>
      <c r="E11600" s="17"/>
      <c r="F11600" s="18"/>
      <c r="G11600" s="36" t="str">
        <f>IF(ISNUMBER(F11600),C11600*F11600,"")</f>
        <v/>
      </c>
    </row>
    <row r="11601" spans="1:7" ht="12" customHeight="1" outlineLevel="2" x14ac:dyDescent="0.2">
      <c r="A11601" s="14" t="s">
        <v>22807</v>
      </c>
      <c r="B11601" s="15" t="s">
        <v>22808</v>
      </c>
      <c r="C11601" s="16">
        <f>40.07/(1+B2)</f>
        <v>40.07</v>
      </c>
      <c r="D11601" s="17" t="s">
        <v>14</v>
      </c>
      <c r="E11601" s="17" t="s">
        <v>106</v>
      </c>
      <c r="F11601" s="18"/>
      <c r="G11601" s="36" t="str">
        <f>IF(ISNUMBER(F11601),C11601*F11601,"")</f>
        <v/>
      </c>
    </row>
    <row r="11602" spans="1:7" ht="24" customHeight="1" outlineLevel="2" x14ac:dyDescent="0.2">
      <c r="A11602" s="14" t="s">
        <v>22809</v>
      </c>
      <c r="B11602" s="15" t="s">
        <v>22810</v>
      </c>
      <c r="C11602" s="16">
        <f>55.56/(1+B2)</f>
        <v>55.56</v>
      </c>
      <c r="D11602" s="17" t="s">
        <v>11</v>
      </c>
      <c r="E11602" s="17"/>
      <c r="F11602" s="18"/>
      <c r="G11602" s="36" t="str">
        <f>IF(ISNUMBER(F11602),C11602*F11602,"")</f>
        <v/>
      </c>
    </row>
    <row r="11603" spans="1:7" ht="24" customHeight="1" outlineLevel="2" x14ac:dyDescent="0.2">
      <c r="A11603" s="14" t="s">
        <v>22811</v>
      </c>
      <c r="B11603" s="15" t="s">
        <v>22812</v>
      </c>
      <c r="C11603" s="16">
        <f>57.95/(1+B2)</f>
        <v>57.95</v>
      </c>
      <c r="D11603" s="17" t="s">
        <v>53</v>
      </c>
      <c r="E11603" s="17" t="s">
        <v>106</v>
      </c>
      <c r="F11603" s="18"/>
      <c r="G11603" s="36" t="str">
        <f>IF(ISNUMBER(F11603),C11603*F11603,"")</f>
        <v/>
      </c>
    </row>
    <row r="11604" spans="1:7" ht="24" customHeight="1" outlineLevel="2" x14ac:dyDescent="0.2">
      <c r="A11604" s="14" t="s">
        <v>22813</v>
      </c>
      <c r="B11604" s="15" t="s">
        <v>22814</v>
      </c>
      <c r="C11604" s="16">
        <f>100/(1+B2)</f>
        <v>100</v>
      </c>
      <c r="D11604" s="17" t="s">
        <v>11</v>
      </c>
      <c r="E11604" s="17" t="s">
        <v>53</v>
      </c>
      <c r="F11604" s="18"/>
      <c r="G11604" s="36" t="str">
        <f>IF(ISNUMBER(F11604),C11604*F11604,"")</f>
        <v/>
      </c>
    </row>
    <row r="11605" spans="1:7" ht="12" customHeight="1" outlineLevel="2" x14ac:dyDescent="0.2">
      <c r="A11605" s="14" t="s">
        <v>22815</v>
      </c>
      <c r="B11605" s="15" t="s">
        <v>22816</v>
      </c>
      <c r="C11605" s="16">
        <f>55.25/(1+B2)</f>
        <v>55.25</v>
      </c>
      <c r="D11605" s="17" t="s">
        <v>11</v>
      </c>
      <c r="E11605" s="17" t="s">
        <v>106</v>
      </c>
      <c r="F11605" s="18"/>
      <c r="G11605" s="36" t="str">
        <f>IF(ISNUMBER(F11605),C11605*F11605,"")</f>
        <v/>
      </c>
    </row>
    <row r="11606" spans="1:7" ht="12" customHeight="1" outlineLevel="2" x14ac:dyDescent="0.2">
      <c r="A11606" s="14" t="s">
        <v>22817</v>
      </c>
      <c r="B11606" s="15" t="s">
        <v>22818</v>
      </c>
      <c r="C11606" s="16">
        <f>239.98/(1+B2)</f>
        <v>239.98</v>
      </c>
      <c r="D11606" s="17" t="s">
        <v>11</v>
      </c>
      <c r="E11606" s="17" t="s">
        <v>11</v>
      </c>
      <c r="F11606" s="18"/>
      <c r="G11606" s="36" t="str">
        <f>IF(ISNUMBER(F11606),C11606*F11606,"")</f>
        <v/>
      </c>
    </row>
    <row r="11607" spans="1:7" ht="12" customHeight="1" outlineLevel="2" x14ac:dyDescent="0.2">
      <c r="A11607" s="14" t="s">
        <v>22819</v>
      </c>
      <c r="B11607" s="15" t="s">
        <v>22820</v>
      </c>
      <c r="C11607" s="16">
        <f>337.86/(1+B2)</f>
        <v>337.86</v>
      </c>
      <c r="D11607" s="17" t="s">
        <v>11</v>
      </c>
      <c r="E11607" s="17" t="s">
        <v>11</v>
      </c>
      <c r="F11607" s="18"/>
      <c r="G11607" s="36" t="str">
        <f>IF(ISNUMBER(F11607),C11607*F11607,"")</f>
        <v/>
      </c>
    </row>
    <row r="11608" spans="1:7" ht="12" customHeight="1" outlineLevel="2" x14ac:dyDescent="0.2">
      <c r="A11608" s="14" t="s">
        <v>22821</v>
      </c>
      <c r="B11608" s="15" t="s">
        <v>22822</v>
      </c>
      <c r="C11608" s="16">
        <f>224.6/(1+B2)</f>
        <v>224.6</v>
      </c>
      <c r="D11608" s="17" t="s">
        <v>11</v>
      </c>
      <c r="E11608" s="17" t="s">
        <v>106</v>
      </c>
      <c r="F11608" s="18"/>
      <c r="G11608" s="36" t="str">
        <f>IF(ISNUMBER(F11608),C11608*F11608,"")</f>
        <v/>
      </c>
    </row>
    <row r="11609" spans="1:7" s="1" customFormat="1" ht="15.95" customHeight="1" outlineLevel="1" x14ac:dyDescent="0.25">
      <c r="A11609" s="11"/>
      <c r="B11609" s="12" t="s">
        <v>22823</v>
      </c>
      <c r="C11609" s="13"/>
      <c r="D11609" s="13"/>
      <c r="E11609" s="13"/>
      <c r="F11609" s="13"/>
      <c r="G11609" s="35"/>
    </row>
    <row r="11610" spans="1:7" ht="24" customHeight="1" outlineLevel="2" x14ac:dyDescent="0.2">
      <c r="A11610" s="14" t="s">
        <v>22824</v>
      </c>
      <c r="B11610" s="15" t="s">
        <v>22825</v>
      </c>
      <c r="C11610" s="16">
        <f>354.41/(1+B2)</f>
        <v>354.41</v>
      </c>
      <c r="D11610" s="17" t="s">
        <v>11</v>
      </c>
      <c r="E11610" s="17" t="s">
        <v>53</v>
      </c>
      <c r="F11610" s="18"/>
      <c r="G11610" s="36" t="str">
        <f>IF(ISNUMBER(F11610),C11610*F11610,"")</f>
        <v/>
      </c>
    </row>
    <row r="11611" spans="1:7" ht="24" customHeight="1" outlineLevel="2" x14ac:dyDescent="0.2">
      <c r="A11611" s="14" t="s">
        <v>22826</v>
      </c>
      <c r="B11611" s="15" t="s">
        <v>22827</v>
      </c>
      <c r="C11611" s="16">
        <f>440.48/(1+B2)</f>
        <v>440.48</v>
      </c>
      <c r="D11611" s="17" t="s">
        <v>11</v>
      </c>
      <c r="E11611" s="17"/>
      <c r="F11611" s="18"/>
      <c r="G11611" s="36" t="str">
        <f>IF(ISNUMBER(F11611),C11611*F11611,"")</f>
        <v/>
      </c>
    </row>
    <row r="11612" spans="1:7" ht="12" customHeight="1" outlineLevel="2" x14ac:dyDescent="0.2">
      <c r="A11612" s="14" t="s">
        <v>22828</v>
      </c>
      <c r="B11612" s="15" t="s">
        <v>22829</v>
      </c>
      <c r="C11612" s="16">
        <f>432/(1+B2)</f>
        <v>432</v>
      </c>
      <c r="D11612" s="17" t="s">
        <v>11</v>
      </c>
      <c r="E11612" s="17"/>
      <c r="F11612" s="18"/>
      <c r="G11612" s="36" t="str">
        <f>IF(ISNUMBER(F11612),C11612*F11612,"")</f>
        <v/>
      </c>
    </row>
    <row r="11613" spans="1:7" ht="12" customHeight="1" outlineLevel="2" x14ac:dyDescent="0.2">
      <c r="A11613" s="14" t="s">
        <v>22830</v>
      </c>
      <c r="B11613" s="15" t="s">
        <v>22831</v>
      </c>
      <c r="C11613" s="16">
        <f>354.17/(1+B2)</f>
        <v>354.17</v>
      </c>
      <c r="D11613" s="17" t="s">
        <v>11</v>
      </c>
      <c r="E11613" s="17" t="s">
        <v>14</v>
      </c>
      <c r="F11613" s="18"/>
      <c r="G11613" s="36" t="str">
        <f>IF(ISNUMBER(F11613),C11613*F11613,"")</f>
        <v/>
      </c>
    </row>
    <row r="11614" spans="1:7" ht="12" customHeight="1" outlineLevel="2" x14ac:dyDescent="0.2">
      <c r="A11614" s="14" t="s">
        <v>22832</v>
      </c>
      <c r="B11614" s="15" t="s">
        <v>22833</v>
      </c>
      <c r="C11614" s="16">
        <f>307.2/(1+B2)</f>
        <v>307.2</v>
      </c>
      <c r="D11614" s="17" t="s">
        <v>14</v>
      </c>
      <c r="E11614" s="17"/>
      <c r="F11614" s="18"/>
      <c r="G11614" s="36" t="str">
        <f>IF(ISNUMBER(F11614),C11614*F11614,"")</f>
        <v/>
      </c>
    </row>
    <row r="11615" spans="1:7" ht="12" customHeight="1" outlineLevel="2" x14ac:dyDescent="0.2">
      <c r="A11615" s="14" t="s">
        <v>22834</v>
      </c>
      <c r="B11615" s="15" t="s">
        <v>22835</v>
      </c>
      <c r="C11615" s="16">
        <f>228.89/(1+B2)</f>
        <v>228.89</v>
      </c>
      <c r="D11615" s="17" t="s">
        <v>11</v>
      </c>
      <c r="E11615" s="17" t="s">
        <v>14</v>
      </c>
      <c r="F11615" s="18"/>
      <c r="G11615" s="36" t="str">
        <f>IF(ISNUMBER(F11615),C11615*F11615,"")</f>
        <v/>
      </c>
    </row>
    <row r="11616" spans="1:7" ht="12" customHeight="1" outlineLevel="2" x14ac:dyDescent="0.2">
      <c r="A11616" s="14" t="s">
        <v>22836</v>
      </c>
      <c r="B11616" s="15" t="s">
        <v>22837</v>
      </c>
      <c r="C11616" s="16">
        <f>358.2/(1+B2)</f>
        <v>358.2</v>
      </c>
      <c r="D11616" s="17" t="s">
        <v>14</v>
      </c>
      <c r="E11616" s="17" t="s">
        <v>11</v>
      </c>
      <c r="F11616" s="18"/>
      <c r="G11616" s="36" t="str">
        <f>IF(ISNUMBER(F11616),C11616*F11616,"")</f>
        <v/>
      </c>
    </row>
    <row r="11617" spans="1:7" ht="12" customHeight="1" outlineLevel="2" x14ac:dyDescent="0.2">
      <c r="A11617" s="14" t="s">
        <v>22838</v>
      </c>
      <c r="B11617" s="15" t="s">
        <v>22839</v>
      </c>
      <c r="C11617" s="16">
        <f>68.4/(1+B2)</f>
        <v>68.400000000000006</v>
      </c>
      <c r="D11617" s="17" t="s">
        <v>11</v>
      </c>
      <c r="E11617" s="17" t="s">
        <v>106</v>
      </c>
      <c r="F11617" s="18"/>
      <c r="G11617" s="36" t="str">
        <f>IF(ISNUMBER(F11617),C11617*F11617,"")</f>
        <v/>
      </c>
    </row>
    <row r="11618" spans="1:7" ht="12" customHeight="1" outlineLevel="2" x14ac:dyDescent="0.2">
      <c r="A11618" s="14" t="s">
        <v>22840</v>
      </c>
      <c r="B11618" s="15" t="s">
        <v>22841</v>
      </c>
      <c r="C11618" s="16">
        <f>158.77/(1+B2)</f>
        <v>158.77000000000001</v>
      </c>
      <c r="D11618" s="17" t="s">
        <v>11</v>
      </c>
      <c r="E11618" s="17"/>
      <c r="F11618" s="18"/>
      <c r="G11618" s="36" t="str">
        <f>IF(ISNUMBER(F11618),C11618*F11618,"")</f>
        <v/>
      </c>
    </row>
    <row r="11619" spans="1:7" ht="24" customHeight="1" outlineLevel="2" x14ac:dyDescent="0.2">
      <c r="A11619" s="14" t="s">
        <v>22842</v>
      </c>
      <c r="B11619" s="15" t="s">
        <v>22843</v>
      </c>
      <c r="C11619" s="16">
        <f>240.11/(1+B2)</f>
        <v>240.11</v>
      </c>
      <c r="D11619" s="17" t="s">
        <v>11</v>
      </c>
      <c r="E11619" s="17"/>
      <c r="F11619" s="18"/>
      <c r="G11619" s="36" t="str">
        <f>IF(ISNUMBER(F11619),C11619*F11619,"")</f>
        <v/>
      </c>
    </row>
    <row r="11620" spans="1:7" ht="12" customHeight="1" outlineLevel="2" x14ac:dyDescent="0.2">
      <c r="A11620" s="14" t="s">
        <v>22844</v>
      </c>
      <c r="B11620" s="15" t="s">
        <v>22845</v>
      </c>
      <c r="C11620" s="16">
        <f>346.58/(1+B2)</f>
        <v>346.58</v>
      </c>
      <c r="D11620" s="17" t="s">
        <v>11</v>
      </c>
      <c r="E11620" s="17" t="s">
        <v>11</v>
      </c>
      <c r="F11620" s="18"/>
      <c r="G11620" s="36" t="str">
        <f>IF(ISNUMBER(F11620),C11620*F11620,"")</f>
        <v/>
      </c>
    </row>
    <row r="11621" spans="1:7" ht="12" customHeight="1" outlineLevel="2" x14ac:dyDescent="0.2">
      <c r="A11621" s="14" t="s">
        <v>22846</v>
      </c>
      <c r="B11621" s="15" t="s">
        <v>22847</v>
      </c>
      <c r="C11621" s="16">
        <f>151.02/(1+B2)</f>
        <v>151.02000000000001</v>
      </c>
      <c r="D11621" s="17" t="s">
        <v>11</v>
      </c>
      <c r="E11621" s="17"/>
      <c r="F11621" s="18"/>
      <c r="G11621" s="36" t="str">
        <f>IF(ISNUMBER(F11621),C11621*F11621,"")</f>
        <v/>
      </c>
    </row>
    <row r="11622" spans="1:7" ht="12" customHeight="1" outlineLevel="2" x14ac:dyDescent="0.2">
      <c r="A11622" s="14" t="s">
        <v>22848</v>
      </c>
      <c r="B11622" s="15" t="s">
        <v>22849</v>
      </c>
      <c r="C11622" s="16">
        <f>181.22/(1+B2)</f>
        <v>181.22</v>
      </c>
      <c r="D11622" s="17" t="s">
        <v>11</v>
      </c>
      <c r="E11622" s="17" t="s">
        <v>53</v>
      </c>
      <c r="F11622" s="18"/>
      <c r="G11622" s="36" t="str">
        <f>IF(ISNUMBER(F11622),C11622*F11622,"")</f>
        <v/>
      </c>
    </row>
    <row r="11623" spans="1:7" ht="12" customHeight="1" outlineLevel="2" x14ac:dyDescent="0.2">
      <c r="A11623" s="14" t="s">
        <v>22850</v>
      </c>
      <c r="B11623" s="15" t="s">
        <v>22851</v>
      </c>
      <c r="C11623" s="16">
        <f>275.34/(1+B2)</f>
        <v>275.33999999999997</v>
      </c>
      <c r="D11623" s="17" t="s">
        <v>11</v>
      </c>
      <c r="E11623" s="17" t="s">
        <v>106</v>
      </c>
      <c r="F11623" s="18"/>
      <c r="G11623" s="36" t="str">
        <f>IF(ISNUMBER(F11623),C11623*F11623,"")</f>
        <v/>
      </c>
    </row>
    <row r="11624" spans="1:7" s="1" customFormat="1" ht="15.95" customHeight="1" outlineLevel="1" x14ac:dyDescent="0.25">
      <c r="A11624" s="11"/>
      <c r="B11624" s="12" t="s">
        <v>22852</v>
      </c>
      <c r="C11624" s="13"/>
      <c r="D11624" s="13"/>
      <c r="E11624" s="13"/>
      <c r="F11624" s="13"/>
      <c r="G11624" s="35"/>
    </row>
    <row r="11625" spans="1:7" ht="24" customHeight="1" outlineLevel="2" x14ac:dyDescent="0.2">
      <c r="A11625" s="14" t="s">
        <v>22853</v>
      </c>
      <c r="B11625" s="15" t="s">
        <v>22854</v>
      </c>
      <c r="C11625" s="16">
        <f>97.93/(1+B2)</f>
        <v>97.93</v>
      </c>
      <c r="D11625" s="17" t="s">
        <v>14</v>
      </c>
      <c r="E11625" s="17"/>
      <c r="F11625" s="18"/>
      <c r="G11625" s="36" t="str">
        <f>IF(ISNUMBER(F11625),C11625*F11625,"")</f>
        <v/>
      </c>
    </row>
    <row r="11626" spans="1:7" ht="24" customHeight="1" outlineLevel="2" x14ac:dyDescent="0.2">
      <c r="A11626" s="14" t="s">
        <v>22855</v>
      </c>
      <c r="B11626" s="15" t="s">
        <v>22856</v>
      </c>
      <c r="C11626" s="16">
        <f>100.98/(1+B2)</f>
        <v>100.98</v>
      </c>
      <c r="D11626" s="17" t="s">
        <v>11</v>
      </c>
      <c r="E11626" s="17"/>
      <c r="F11626" s="18"/>
      <c r="G11626" s="36" t="str">
        <f>IF(ISNUMBER(F11626),C11626*F11626,"")</f>
        <v/>
      </c>
    </row>
    <row r="11627" spans="1:7" ht="24" customHeight="1" outlineLevel="2" x14ac:dyDescent="0.2">
      <c r="A11627" s="14" t="s">
        <v>22857</v>
      </c>
      <c r="B11627" s="15" t="s">
        <v>22858</v>
      </c>
      <c r="C11627" s="16">
        <f>49.67/(1+B2)</f>
        <v>49.67</v>
      </c>
      <c r="D11627" s="17" t="s">
        <v>11</v>
      </c>
      <c r="E11627" s="17"/>
      <c r="F11627" s="18"/>
      <c r="G11627" s="36" t="str">
        <f>IF(ISNUMBER(F11627),C11627*F11627,"")</f>
        <v/>
      </c>
    </row>
    <row r="11628" spans="1:7" ht="12" customHeight="1" outlineLevel="2" x14ac:dyDescent="0.2">
      <c r="A11628" s="14" t="s">
        <v>22859</v>
      </c>
      <c r="B11628" s="15" t="s">
        <v>22860</v>
      </c>
      <c r="C11628" s="16">
        <f>105.86/(1+B2)</f>
        <v>105.86</v>
      </c>
      <c r="D11628" s="17" t="s">
        <v>14</v>
      </c>
      <c r="E11628" s="17"/>
      <c r="F11628" s="18"/>
      <c r="G11628" s="36" t="str">
        <f>IF(ISNUMBER(F11628),C11628*F11628,"")</f>
        <v/>
      </c>
    </row>
    <row r="11629" spans="1:7" ht="12" customHeight="1" outlineLevel="2" x14ac:dyDescent="0.2">
      <c r="A11629" s="14" t="s">
        <v>22861</v>
      </c>
      <c r="B11629" s="15" t="s">
        <v>22862</v>
      </c>
      <c r="C11629" s="16">
        <f>175.62/(1+B2)</f>
        <v>175.62</v>
      </c>
      <c r="D11629" s="17" t="s">
        <v>11</v>
      </c>
      <c r="E11629" s="17" t="s">
        <v>106</v>
      </c>
      <c r="F11629" s="18"/>
      <c r="G11629" s="36" t="str">
        <f>IF(ISNUMBER(F11629),C11629*F11629,"")</f>
        <v/>
      </c>
    </row>
    <row r="11630" spans="1:7" ht="12" customHeight="1" outlineLevel="2" x14ac:dyDescent="0.2">
      <c r="A11630" s="14" t="s">
        <v>22863</v>
      </c>
      <c r="B11630" s="15" t="s">
        <v>22864</v>
      </c>
      <c r="C11630" s="16">
        <f>69.49/(1+B2)</f>
        <v>69.489999999999995</v>
      </c>
      <c r="D11630" s="17" t="s">
        <v>14</v>
      </c>
      <c r="E11630" s="17" t="s">
        <v>106</v>
      </c>
      <c r="F11630" s="18"/>
      <c r="G11630" s="36" t="str">
        <f>IF(ISNUMBER(F11630),C11630*F11630,"")</f>
        <v/>
      </c>
    </row>
    <row r="11631" spans="1:7" ht="12" customHeight="1" outlineLevel="2" x14ac:dyDescent="0.2">
      <c r="A11631" s="14" t="s">
        <v>22865</v>
      </c>
      <c r="B11631" s="15" t="s">
        <v>22866</v>
      </c>
      <c r="C11631" s="16">
        <f>65.72/(1+B2)</f>
        <v>65.72</v>
      </c>
      <c r="D11631" s="17" t="s">
        <v>11</v>
      </c>
      <c r="E11631" s="17" t="s">
        <v>53</v>
      </c>
      <c r="F11631" s="18"/>
      <c r="G11631" s="36" t="str">
        <f>IF(ISNUMBER(F11631),C11631*F11631,"")</f>
        <v/>
      </c>
    </row>
    <row r="11632" spans="1:7" ht="24" customHeight="1" outlineLevel="2" x14ac:dyDescent="0.2">
      <c r="A11632" s="14" t="s">
        <v>22867</v>
      </c>
      <c r="B11632" s="15" t="s">
        <v>22868</v>
      </c>
      <c r="C11632" s="16">
        <f>86.32/(1+B2)</f>
        <v>86.32</v>
      </c>
      <c r="D11632" s="17" t="s">
        <v>14</v>
      </c>
      <c r="E11632" s="17" t="s">
        <v>106</v>
      </c>
      <c r="F11632" s="18"/>
      <c r="G11632" s="36" t="str">
        <f>IF(ISNUMBER(F11632),C11632*F11632,"")</f>
        <v/>
      </c>
    </row>
    <row r="11633" spans="1:7" ht="12" customHeight="1" outlineLevel="2" x14ac:dyDescent="0.2">
      <c r="A11633" s="14" t="s">
        <v>22869</v>
      </c>
      <c r="B11633" s="15" t="s">
        <v>22870</v>
      </c>
      <c r="C11633" s="16">
        <f>99.81/(1+B2)</f>
        <v>99.81</v>
      </c>
      <c r="D11633" s="17" t="s">
        <v>14</v>
      </c>
      <c r="E11633" s="17" t="s">
        <v>14</v>
      </c>
      <c r="F11633" s="18"/>
      <c r="G11633" s="36" t="str">
        <f>IF(ISNUMBER(F11633),C11633*F11633,"")</f>
        <v/>
      </c>
    </row>
    <row r="11634" spans="1:7" ht="12" customHeight="1" outlineLevel="2" x14ac:dyDescent="0.2">
      <c r="A11634" s="14" t="s">
        <v>22871</v>
      </c>
      <c r="B11634" s="15" t="s">
        <v>22872</v>
      </c>
      <c r="C11634" s="16">
        <f>176.58/(1+B2)</f>
        <v>176.58</v>
      </c>
      <c r="D11634" s="17" t="s">
        <v>14</v>
      </c>
      <c r="E11634" s="17" t="s">
        <v>53</v>
      </c>
      <c r="F11634" s="18"/>
      <c r="G11634" s="36" t="str">
        <f>IF(ISNUMBER(F11634),C11634*F11634,"")</f>
        <v/>
      </c>
    </row>
    <row r="11635" spans="1:7" ht="12" customHeight="1" outlineLevel="2" x14ac:dyDescent="0.2">
      <c r="A11635" s="14" t="s">
        <v>22873</v>
      </c>
      <c r="B11635" s="15" t="s">
        <v>22874</v>
      </c>
      <c r="C11635" s="16">
        <f>194.3/(1+B2)</f>
        <v>194.3</v>
      </c>
      <c r="D11635" s="17" t="s">
        <v>11</v>
      </c>
      <c r="E11635" s="17" t="s">
        <v>53</v>
      </c>
      <c r="F11635" s="18"/>
      <c r="G11635" s="36" t="str">
        <f>IF(ISNUMBER(F11635),C11635*F11635,"")</f>
        <v/>
      </c>
    </row>
    <row r="11636" spans="1:7" ht="12" customHeight="1" outlineLevel="2" x14ac:dyDescent="0.2">
      <c r="A11636" s="14" t="s">
        <v>22875</v>
      </c>
      <c r="B11636" s="15" t="s">
        <v>22876</v>
      </c>
      <c r="C11636" s="16">
        <f>90.45/(1+B2)</f>
        <v>90.45</v>
      </c>
      <c r="D11636" s="17" t="s">
        <v>11</v>
      </c>
      <c r="E11636" s="17"/>
      <c r="F11636" s="18"/>
      <c r="G11636" s="36" t="str">
        <f>IF(ISNUMBER(F11636),C11636*F11636,"")</f>
        <v/>
      </c>
    </row>
    <row r="11637" spans="1:7" ht="12" customHeight="1" outlineLevel="2" x14ac:dyDescent="0.2">
      <c r="A11637" s="14" t="s">
        <v>22877</v>
      </c>
      <c r="B11637" s="15" t="s">
        <v>22878</v>
      </c>
      <c r="C11637" s="16">
        <f>91.56/(1+B2)</f>
        <v>91.56</v>
      </c>
      <c r="D11637" s="17" t="s">
        <v>14</v>
      </c>
      <c r="E11637" s="17"/>
      <c r="F11637" s="18"/>
      <c r="G11637" s="36" t="str">
        <f>IF(ISNUMBER(F11637),C11637*F11637,"")</f>
        <v/>
      </c>
    </row>
    <row r="11638" spans="1:7" ht="12" customHeight="1" outlineLevel="2" x14ac:dyDescent="0.2">
      <c r="A11638" s="14" t="s">
        <v>22879</v>
      </c>
      <c r="B11638" s="15" t="s">
        <v>22880</v>
      </c>
      <c r="C11638" s="16">
        <f>312.36/(1+B2)</f>
        <v>312.36</v>
      </c>
      <c r="D11638" s="17" t="s">
        <v>14</v>
      </c>
      <c r="E11638" s="17" t="s">
        <v>106</v>
      </c>
      <c r="F11638" s="18"/>
      <c r="G11638" s="36" t="str">
        <f>IF(ISNUMBER(F11638),C11638*F11638,"")</f>
        <v/>
      </c>
    </row>
    <row r="11639" spans="1:7" ht="12" customHeight="1" outlineLevel="2" x14ac:dyDescent="0.2">
      <c r="A11639" s="14" t="s">
        <v>22881</v>
      </c>
      <c r="B11639" s="15" t="s">
        <v>22882</v>
      </c>
      <c r="C11639" s="16">
        <f>51.53/(1+B2)</f>
        <v>51.53</v>
      </c>
      <c r="D11639" s="17" t="s">
        <v>11</v>
      </c>
      <c r="E11639" s="17" t="s">
        <v>53</v>
      </c>
      <c r="F11639" s="18"/>
      <c r="G11639" s="36" t="str">
        <f>IF(ISNUMBER(F11639),C11639*F11639,"")</f>
        <v/>
      </c>
    </row>
    <row r="11640" spans="1:7" ht="12" customHeight="1" outlineLevel="2" x14ac:dyDescent="0.2">
      <c r="A11640" s="14" t="s">
        <v>22883</v>
      </c>
      <c r="B11640" s="15" t="s">
        <v>22884</v>
      </c>
      <c r="C11640" s="16">
        <f>303.84/(1+B2)</f>
        <v>303.83999999999997</v>
      </c>
      <c r="D11640" s="17" t="s">
        <v>14</v>
      </c>
      <c r="E11640" s="17" t="s">
        <v>106</v>
      </c>
      <c r="F11640" s="18"/>
      <c r="G11640" s="36" t="str">
        <f>IF(ISNUMBER(F11640),C11640*F11640,"")</f>
        <v/>
      </c>
    </row>
    <row r="11641" spans="1:7" ht="12" customHeight="1" outlineLevel="2" x14ac:dyDescent="0.2">
      <c r="A11641" s="14" t="s">
        <v>22885</v>
      </c>
      <c r="B11641" s="15" t="s">
        <v>22886</v>
      </c>
      <c r="C11641" s="16">
        <f>16.86/(1+B2)</f>
        <v>16.86</v>
      </c>
      <c r="D11641" s="17" t="s">
        <v>14</v>
      </c>
      <c r="E11641" s="17" t="s">
        <v>106</v>
      </c>
      <c r="F11641" s="18"/>
      <c r="G11641" s="36" t="str">
        <f>IF(ISNUMBER(F11641),C11641*F11641,"")</f>
        <v/>
      </c>
    </row>
    <row r="11642" spans="1:7" ht="24" customHeight="1" outlineLevel="2" x14ac:dyDescent="0.2">
      <c r="A11642" s="14" t="s">
        <v>22887</v>
      </c>
      <c r="B11642" s="15" t="s">
        <v>22888</v>
      </c>
      <c r="C11642" s="16">
        <f>164.3/(1+B2)</f>
        <v>164.3</v>
      </c>
      <c r="D11642" s="17" t="s">
        <v>14</v>
      </c>
      <c r="E11642" s="17" t="s">
        <v>106</v>
      </c>
      <c r="F11642" s="18"/>
      <c r="G11642" s="36" t="str">
        <f>IF(ISNUMBER(F11642),C11642*F11642,"")</f>
        <v/>
      </c>
    </row>
    <row r="11643" spans="1:7" ht="24" customHeight="1" outlineLevel="2" x14ac:dyDescent="0.2">
      <c r="A11643" s="14" t="s">
        <v>22889</v>
      </c>
      <c r="B11643" s="15" t="s">
        <v>22890</v>
      </c>
      <c r="C11643" s="16">
        <f>156.35/(1+B2)</f>
        <v>156.35</v>
      </c>
      <c r="D11643" s="17" t="s">
        <v>14</v>
      </c>
      <c r="E11643" s="17" t="s">
        <v>106</v>
      </c>
      <c r="F11643" s="18"/>
      <c r="G11643" s="36" t="str">
        <f>IF(ISNUMBER(F11643),C11643*F11643,"")</f>
        <v/>
      </c>
    </row>
    <row r="11644" spans="1:7" ht="24" customHeight="1" outlineLevel="2" x14ac:dyDescent="0.2">
      <c r="A11644" s="14" t="s">
        <v>22891</v>
      </c>
      <c r="B11644" s="15" t="s">
        <v>22892</v>
      </c>
      <c r="C11644" s="16">
        <f>378.72/(1+B2)</f>
        <v>378.72</v>
      </c>
      <c r="D11644" s="17" t="s">
        <v>53</v>
      </c>
      <c r="E11644" s="17" t="s">
        <v>53</v>
      </c>
      <c r="F11644" s="18"/>
      <c r="G11644" s="36" t="str">
        <f>IF(ISNUMBER(F11644),C11644*F11644,"")</f>
        <v/>
      </c>
    </row>
    <row r="11645" spans="1:7" ht="12" customHeight="1" outlineLevel="2" x14ac:dyDescent="0.2">
      <c r="A11645" s="14" t="s">
        <v>22893</v>
      </c>
      <c r="B11645" s="15" t="s">
        <v>22894</v>
      </c>
      <c r="C11645" s="16">
        <f>492.88/(1+B2)</f>
        <v>492.88</v>
      </c>
      <c r="D11645" s="17" t="s">
        <v>11</v>
      </c>
      <c r="E11645" s="17" t="s">
        <v>14</v>
      </c>
      <c r="F11645" s="18"/>
      <c r="G11645" s="36" t="str">
        <f>IF(ISNUMBER(F11645),C11645*F11645,"")</f>
        <v/>
      </c>
    </row>
    <row r="11646" spans="1:7" ht="12" customHeight="1" outlineLevel="2" x14ac:dyDescent="0.2">
      <c r="A11646" s="14" t="s">
        <v>22895</v>
      </c>
      <c r="B11646" s="15" t="s">
        <v>22896</v>
      </c>
      <c r="C11646" s="16">
        <f>126/(1+B2)</f>
        <v>126</v>
      </c>
      <c r="D11646" s="17" t="s">
        <v>11</v>
      </c>
      <c r="E11646" s="17"/>
      <c r="F11646" s="18"/>
      <c r="G11646" s="36" t="str">
        <f>IF(ISNUMBER(F11646),C11646*F11646,"")</f>
        <v/>
      </c>
    </row>
    <row r="11647" spans="1:7" ht="12" customHeight="1" outlineLevel="2" x14ac:dyDescent="0.2">
      <c r="A11647" s="14" t="s">
        <v>22897</v>
      </c>
      <c r="B11647" s="15" t="s">
        <v>22898</v>
      </c>
      <c r="C11647" s="16">
        <f>155.25/(1+B2)</f>
        <v>155.25</v>
      </c>
      <c r="D11647" s="17" t="s">
        <v>14</v>
      </c>
      <c r="E11647" s="17" t="s">
        <v>106</v>
      </c>
      <c r="F11647" s="18"/>
      <c r="G11647" s="36" t="str">
        <f>IF(ISNUMBER(F11647),C11647*F11647,"")</f>
        <v/>
      </c>
    </row>
    <row r="11648" spans="1:7" ht="12" customHeight="1" outlineLevel="2" x14ac:dyDescent="0.2">
      <c r="A11648" s="14" t="s">
        <v>22899</v>
      </c>
      <c r="B11648" s="15" t="s">
        <v>22900</v>
      </c>
      <c r="C11648" s="16">
        <f>152.25/(1+B2)</f>
        <v>152.25</v>
      </c>
      <c r="D11648" s="17" t="s">
        <v>11</v>
      </c>
      <c r="E11648" s="17" t="s">
        <v>11</v>
      </c>
      <c r="F11648" s="18"/>
      <c r="G11648" s="36" t="str">
        <f>IF(ISNUMBER(F11648),C11648*F11648,"")</f>
        <v/>
      </c>
    </row>
    <row r="11649" spans="1:7" ht="12" customHeight="1" outlineLevel="2" x14ac:dyDescent="0.2">
      <c r="A11649" s="14" t="s">
        <v>22901</v>
      </c>
      <c r="B11649" s="15" t="s">
        <v>22902</v>
      </c>
      <c r="C11649" s="16">
        <f>264.63/(1+B2)</f>
        <v>264.63</v>
      </c>
      <c r="D11649" s="17" t="s">
        <v>14</v>
      </c>
      <c r="E11649" s="17"/>
      <c r="F11649" s="18"/>
      <c r="G11649" s="36" t="str">
        <f>IF(ISNUMBER(F11649),C11649*F11649,"")</f>
        <v/>
      </c>
    </row>
    <row r="11650" spans="1:7" ht="12" customHeight="1" outlineLevel="2" x14ac:dyDescent="0.2">
      <c r="A11650" s="14" t="s">
        <v>22903</v>
      </c>
      <c r="B11650" s="15" t="s">
        <v>22904</v>
      </c>
      <c r="C11650" s="16">
        <f>135.6/(1+B2)</f>
        <v>135.6</v>
      </c>
      <c r="D11650" s="17" t="s">
        <v>11</v>
      </c>
      <c r="E11650" s="17" t="s">
        <v>53</v>
      </c>
      <c r="F11650" s="18"/>
      <c r="G11650" s="36" t="str">
        <f>IF(ISNUMBER(F11650),C11650*F11650,"")</f>
        <v/>
      </c>
    </row>
    <row r="11651" spans="1:7" ht="12" customHeight="1" outlineLevel="2" x14ac:dyDescent="0.2">
      <c r="A11651" s="14" t="s">
        <v>22905</v>
      </c>
      <c r="B11651" s="15" t="s">
        <v>22906</v>
      </c>
      <c r="C11651" s="16">
        <f>191.88/(1+B2)</f>
        <v>191.88</v>
      </c>
      <c r="D11651" s="17" t="s">
        <v>14</v>
      </c>
      <c r="E11651" s="17" t="s">
        <v>106</v>
      </c>
      <c r="F11651" s="18"/>
      <c r="G11651" s="36" t="str">
        <f>IF(ISNUMBER(F11651),C11651*F11651,"")</f>
        <v/>
      </c>
    </row>
    <row r="11652" spans="1:7" ht="12" customHeight="1" outlineLevel="2" x14ac:dyDescent="0.2">
      <c r="A11652" s="14" t="s">
        <v>22907</v>
      </c>
      <c r="B11652" s="15" t="s">
        <v>22908</v>
      </c>
      <c r="C11652" s="16">
        <f>205.75/(1+B2)</f>
        <v>205.75</v>
      </c>
      <c r="D11652" s="17" t="s">
        <v>11</v>
      </c>
      <c r="E11652" s="17" t="s">
        <v>14</v>
      </c>
      <c r="F11652" s="18"/>
      <c r="G11652" s="36" t="str">
        <f>IF(ISNUMBER(F11652),C11652*F11652,"")</f>
        <v/>
      </c>
    </row>
    <row r="11653" spans="1:7" ht="12" customHeight="1" outlineLevel="2" x14ac:dyDescent="0.2">
      <c r="A11653" s="14" t="s">
        <v>22909</v>
      </c>
      <c r="B11653" s="15" t="s">
        <v>22910</v>
      </c>
      <c r="C11653" s="16">
        <f>148.92/(1+B2)</f>
        <v>148.91999999999999</v>
      </c>
      <c r="D11653" s="17" t="s">
        <v>53</v>
      </c>
      <c r="E11653" s="17" t="s">
        <v>106</v>
      </c>
      <c r="F11653" s="18"/>
      <c r="G11653" s="36" t="str">
        <f>IF(ISNUMBER(F11653),C11653*F11653,"")</f>
        <v/>
      </c>
    </row>
    <row r="11654" spans="1:7" ht="12" customHeight="1" outlineLevel="2" x14ac:dyDescent="0.2">
      <c r="A11654" s="14" t="s">
        <v>22911</v>
      </c>
      <c r="B11654" s="15" t="s">
        <v>22912</v>
      </c>
      <c r="C11654" s="16">
        <f>189/(1+B2)</f>
        <v>189</v>
      </c>
      <c r="D11654" s="17" t="s">
        <v>53</v>
      </c>
      <c r="E11654" s="17"/>
      <c r="F11654" s="18"/>
      <c r="G11654" s="36" t="str">
        <f>IF(ISNUMBER(F11654),C11654*F11654,"")</f>
        <v/>
      </c>
    </row>
    <row r="11655" spans="1:7" ht="12" customHeight="1" outlineLevel="2" x14ac:dyDescent="0.2">
      <c r="A11655" s="14" t="s">
        <v>22913</v>
      </c>
      <c r="B11655" s="15" t="s">
        <v>22914</v>
      </c>
      <c r="C11655" s="16">
        <f>178.32/(1+B2)</f>
        <v>178.32</v>
      </c>
      <c r="D11655" s="17" t="s">
        <v>11</v>
      </c>
      <c r="E11655" s="17" t="s">
        <v>53</v>
      </c>
      <c r="F11655" s="18"/>
      <c r="G11655" s="36" t="str">
        <f>IF(ISNUMBER(F11655),C11655*F11655,"")</f>
        <v/>
      </c>
    </row>
    <row r="11656" spans="1:7" ht="12" customHeight="1" outlineLevel="2" x14ac:dyDescent="0.2">
      <c r="A11656" s="14" t="s">
        <v>22915</v>
      </c>
      <c r="B11656" s="15" t="s">
        <v>22916</v>
      </c>
      <c r="C11656" s="16">
        <f>252/(1+B2)</f>
        <v>252</v>
      </c>
      <c r="D11656" s="17" t="s">
        <v>14</v>
      </c>
      <c r="E11656" s="17"/>
      <c r="F11656" s="18"/>
      <c r="G11656" s="36" t="str">
        <f>IF(ISNUMBER(F11656),C11656*F11656,"")</f>
        <v/>
      </c>
    </row>
    <row r="11657" spans="1:7" ht="12" customHeight="1" outlineLevel="2" x14ac:dyDescent="0.2">
      <c r="A11657" s="14" t="s">
        <v>22917</v>
      </c>
      <c r="B11657" s="15" t="s">
        <v>22918</v>
      </c>
      <c r="C11657" s="16">
        <f>345.24/(1+B2)</f>
        <v>345.24</v>
      </c>
      <c r="D11657" s="17" t="s">
        <v>11</v>
      </c>
      <c r="E11657" s="17" t="s">
        <v>53</v>
      </c>
      <c r="F11657" s="18"/>
      <c r="G11657" s="36" t="str">
        <f>IF(ISNUMBER(F11657),C11657*F11657,"")</f>
        <v/>
      </c>
    </row>
    <row r="11658" spans="1:7" ht="12" customHeight="1" outlineLevel="2" x14ac:dyDescent="0.2">
      <c r="A11658" s="14" t="s">
        <v>22919</v>
      </c>
      <c r="B11658" s="15" t="s">
        <v>22920</v>
      </c>
      <c r="C11658" s="16">
        <f>367.2/(1+B2)</f>
        <v>367.2</v>
      </c>
      <c r="D11658" s="17" t="s">
        <v>53</v>
      </c>
      <c r="E11658" s="17" t="s">
        <v>11</v>
      </c>
      <c r="F11658" s="18"/>
      <c r="G11658" s="36" t="str">
        <f>IF(ISNUMBER(F11658),C11658*F11658,"")</f>
        <v/>
      </c>
    </row>
    <row r="11659" spans="1:7" ht="12" customHeight="1" outlineLevel="2" x14ac:dyDescent="0.2">
      <c r="A11659" s="14" t="s">
        <v>22921</v>
      </c>
      <c r="B11659" s="15" t="s">
        <v>22922</v>
      </c>
      <c r="C11659" s="16">
        <f>298.32/(1+B2)</f>
        <v>298.32</v>
      </c>
      <c r="D11659" s="17" t="s">
        <v>11</v>
      </c>
      <c r="E11659" s="17" t="s">
        <v>53</v>
      </c>
      <c r="F11659" s="18"/>
      <c r="G11659" s="36" t="str">
        <f>IF(ISNUMBER(F11659),C11659*F11659,"")</f>
        <v/>
      </c>
    </row>
    <row r="11660" spans="1:7" ht="12" customHeight="1" outlineLevel="2" x14ac:dyDescent="0.2">
      <c r="A11660" s="14" t="s">
        <v>22923</v>
      </c>
      <c r="B11660" s="15" t="s">
        <v>22924</v>
      </c>
      <c r="C11660" s="16">
        <f>232.13/(1+B2)</f>
        <v>232.13</v>
      </c>
      <c r="D11660" s="17" t="s">
        <v>14</v>
      </c>
      <c r="E11660" s="17" t="s">
        <v>106</v>
      </c>
      <c r="F11660" s="18"/>
      <c r="G11660" s="36" t="str">
        <f>IF(ISNUMBER(F11660),C11660*F11660,"")</f>
        <v/>
      </c>
    </row>
    <row r="11661" spans="1:7" ht="12" customHeight="1" outlineLevel="2" x14ac:dyDescent="0.2">
      <c r="A11661" s="14" t="s">
        <v>22925</v>
      </c>
      <c r="B11661" s="15" t="s">
        <v>22926</v>
      </c>
      <c r="C11661" s="16">
        <f>195.75/(1+B2)</f>
        <v>195.75</v>
      </c>
      <c r="D11661" s="17" t="s">
        <v>53</v>
      </c>
      <c r="E11661" s="17" t="s">
        <v>106</v>
      </c>
      <c r="F11661" s="18"/>
      <c r="G11661" s="36" t="str">
        <f>IF(ISNUMBER(F11661),C11661*F11661,"")</f>
        <v/>
      </c>
    </row>
    <row r="11662" spans="1:7" ht="24" customHeight="1" outlineLevel="2" x14ac:dyDescent="0.2">
      <c r="A11662" s="14" t="s">
        <v>22927</v>
      </c>
      <c r="B11662" s="15" t="s">
        <v>22928</v>
      </c>
      <c r="C11662" s="16">
        <f>221.38/(1+B2)</f>
        <v>221.38</v>
      </c>
      <c r="D11662" s="17"/>
      <c r="E11662" s="17" t="s">
        <v>106</v>
      </c>
      <c r="F11662" s="18"/>
      <c r="G11662" s="36" t="str">
        <f>IF(ISNUMBER(F11662),C11662*F11662,"")</f>
        <v/>
      </c>
    </row>
    <row r="11663" spans="1:7" ht="12" customHeight="1" outlineLevel="2" x14ac:dyDescent="0.2">
      <c r="A11663" s="14" t="s">
        <v>22929</v>
      </c>
      <c r="B11663" s="15" t="s">
        <v>22930</v>
      </c>
      <c r="C11663" s="16">
        <f>406.38/(1+B2)</f>
        <v>406.38</v>
      </c>
      <c r="D11663" s="17" t="s">
        <v>11</v>
      </c>
      <c r="E11663" s="17" t="s">
        <v>106</v>
      </c>
      <c r="F11663" s="18"/>
      <c r="G11663" s="36" t="str">
        <f>IF(ISNUMBER(F11663),C11663*F11663,"")</f>
        <v/>
      </c>
    </row>
    <row r="11664" spans="1:7" ht="24" customHeight="1" outlineLevel="2" x14ac:dyDescent="0.2">
      <c r="A11664" s="14" t="s">
        <v>22931</v>
      </c>
      <c r="B11664" s="15" t="s">
        <v>22932</v>
      </c>
      <c r="C11664" s="16">
        <f>300.75/(1+B2)</f>
        <v>300.75</v>
      </c>
      <c r="D11664" s="17" t="s">
        <v>11</v>
      </c>
      <c r="E11664" s="17" t="s">
        <v>106</v>
      </c>
      <c r="F11664" s="18"/>
      <c r="G11664" s="36" t="str">
        <f>IF(ISNUMBER(F11664),C11664*F11664,"")</f>
        <v/>
      </c>
    </row>
    <row r="11665" spans="1:7" ht="12" customHeight="1" outlineLevel="2" x14ac:dyDescent="0.2">
      <c r="A11665" s="14" t="s">
        <v>22933</v>
      </c>
      <c r="B11665" s="15" t="s">
        <v>22934</v>
      </c>
      <c r="C11665" s="16">
        <f>485/(1+B2)</f>
        <v>485</v>
      </c>
      <c r="D11665" s="17" t="s">
        <v>14</v>
      </c>
      <c r="E11665" s="17"/>
      <c r="F11665" s="18"/>
      <c r="G11665" s="36" t="str">
        <f>IF(ISNUMBER(F11665),C11665*F11665,"")</f>
        <v/>
      </c>
    </row>
    <row r="11666" spans="1:7" ht="24" customHeight="1" outlineLevel="2" x14ac:dyDescent="0.2">
      <c r="A11666" s="14" t="s">
        <v>22935</v>
      </c>
      <c r="B11666" s="15" t="s">
        <v>22936</v>
      </c>
      <c r="C11666" s="16">
        <f>101.76/(1+B2)</f>
        <v>101.76</v>
      </c>
      <c r="D11666" s="17" t="s">
        <v>14</v>
      </c>
      <c r="E11666" s="17" t="s">
        <v>53</v>
      </c>
      <c r="F11666" s="18"/>
      <c r="G11666" s="36" t="str">
        <f>IF(ISNUMBER(F11666),C11666*F11666,"")</f>
        <v/>
      </c>
    </row>
    <row r="11667" spans="1:7" s="1" customFormat="1" ht="15.95" customHeight="1" outlineLevel="1" x14ac:dyDescent="0.25">
      <c r="A11667" s="11"/>
      <c r="B11667" s="12" t="s">
        <v>22937</v>
      </c>
      <c r="C11667" s="13"/>
      <c r="D11667" s="13"/>
      <c r="E11667" s="13"/>
      <c r="F11667" s="13"/>
      <c r="G11667" s="35"/>
    </row>
    <row r="11668" spans="1:7" ht="12" customHeight="1" outlineLevel="2" x14ac:dyDescent="0.2">
      <c r="A11668" s="14" t="s">
        <v>22938</v>
      </c>
      <c r="B11668" s="15" t="s">
        <v>22939</v>
      </c>
      <c r="C11668" s="16">
        <f>468.75/(1+B2)</f>
        <v>468.75</v>
      </c>
      <c r="D11668" s="17" t="s">
        <v>11</v>
      </c>
      <c r="E11668" s="17"/>
      <c r="F11668" s="18"/>
      <c r="G11668" s="36" t="str">
        <f>IF(ISNUMBER(F11668),C11668*F11668,"")</f>
        <v/>
      </c>
    </row>
    <row r="11669" spans="1:7" ht="12" customHeight="1" outlineLevel="2" x14ac:dyDescent="0.2">
      <c r="A11669" s="14" t="s">
        <v>22940</v>
      </c>
      <c r="B11669" s="15" t="s">
        <v>22941</v>
      </c>
      <c r="C11669" s="16">
        <f>468.75/(1+B2)</f>
        <v>468.75</v>
      </c>
      <c r="D11669" s="17" t="s">
        <v>11</v>
      </c>
      <c r="E11669" s="17"/>
      <c r="F11669" s="18"/>
      <c r="G11669" s="36" t="str">
        <f>IF(ISNUMBER(F11669),C11669*F11669,"")</f>
        <v/>
      </c>
    </row>
    <row r="11670" spans="1:7" ht="12" customHeight="1" outlineLevel="2" x14ac:dyDescent="0.2">
      <c r="A11670" s="14" t="s">
        <v>22942</v>
      </c>
      <c r="B11670" s="15" t="s">
        <v>22943</v>
      </c>
      <c r="C11670" s="16">
        <f>468.75/(1+B2)</f>
        <v>468.75</v>
      </c>
      <c r="D11670" s="17" t="s">
        <v>11</v>
      </c>
      <c r="E11670" s="17"/>
      <c r="F11670" s="18"/>
      <c r="G11670" s="36" t="str">
        <f>IF(ISNUMBER(F11670),C11670*F11670,"")</f>
        <v/>
      </c>
    </row>
    <row r="11671" spans="1:7" ht="12" customHeight="1" outlineLevel="2" x14ac:dyDescent="0.2">
      <c r="A11671" s="14" t="s">
        <v>22944</v>
      </c>
      <c r="B11671" s="15" t="s">
        <v>22945</v>
      </c>
      <c r="C11671" s="16">
        <f>607.5/(1+B2)</f>
        <v>607.5</v>
      </c>
      <c r="D11671" s="17" t="s">
        <v>11</v>
      </c>
      <c r="E11671" s="17" t="s">
        <v>11</v>
      </c>
      <c r="F11671" s="18"/>
      <c r="G11671" s="36" t="str">
        <f>IF(ISNUMBER(F11671),C11671*F11671,"")</f>
        <v/>
      </c>
    </row>
    <row r="11672" spans="1:7" ht="12" customHeight="1" outlineLevel="2" x14ac:dyDescent="0.2">
      <c r="A11672" s="14" t="s">
        <v>22946</v>
      </c>
      <c r="B11672" s="15" t="s">
        <v>22947</v>
      </c>
      <c r="C11672" s="16">
        <f>607.5/(1+B2)</f>
        <v>607.5</v>
      </c>
      <c r="D11672" s="17" t="s">
        <v>11</v>
      </c>
      <c r="E11672" s="17" t="s">
        <v>11</v>
      </c>
      <c r="F11672" s="18"/>
      <c r="G11672" s="36" t="str">
        <f>IF(ISNUMBER(F11672),C11672*F11672,"")</f>
        <v/>
      </c>
    </row>
    <row r="11673" spans="1:7" ht="12" customHeight="1" outlineLevel="2" x14ac:dyDescent="0.2">
      <c r="A11673" s="14" t="s">
        <v>22948</v>
      </c>
      <c r="B11673" s="15" t="s">
        <v>22949</v>
      </c>
      <c r="C11673" s="16">
        <f>564.08/(1+B2)</f>
        <v>564.08000000000004</v>
      </c>
      <c r="D11673" s="17" t="s">
        <v>11</v>
      </c>
      <c r="E11673" s="17"/>
      <c r="F11673" s="18"/>
      <c r="G11673" s="36" t="str">
        <f>IF(ISNUMBER(F11673),C11673*F11673,"")</f>
        <v/>
      </c>
    </row>
    <row r="11674" spans="1:7" ht="12" customHeight="1" outlineLevel="2" x14ac:dyDescent="0.2">
      <c r="A11674" s="14" t="s">
        <v>22950</v>
      </c>
      <c r="B11674" s="15" t="s">
        <v>22951</v>
      </c>
      <c r="C11674" s="16">
        <f>564.08/(1+B2)</f>
        <v>564.08000000000004</v>
      </c>
      <c r="D11674" s="17" t="s">
        <v>11</v>
      </c>
      <c r="E11674" s="17"/>
      <c r="F11674" s="18"/>
      <c r="G11674" s="36" t="str">
        <f>IF(ISNUMBER(F11674),C11674*F11674,"")</f>
        <v/>
      </c>
    </row>
    <row r="11675" spans="1:7" ht="24" customHeight="1" outlineLevel="2" x14ac:dyDescent="0.2">
      <c r="A11675" s="14" t="s">
        <v>22952</v>
      </c>
      <c r="B11675" s="15" t="s">
        <v>22953</v>
      </c>
      <c r="C11675" s="16">
        <f>175/(1+B2)</f>
        <v>175</v>
      </c>
      <c r="D11675" s="17" t="s">
        <v>11</v>
      </c>
      <c r="E11675" s="17"/>
      <c r="F11675" s="18"/>
      <c r="G11675" s="36" t="str">
        <f>IF(ISNUMBER(F11675),C11675*F11675,"")</f>
        <v/>
      </c>
    </row>
    <row r="11676" spans="1:7" ht="12" customHeight="1" outlineLevel="2" x14ac:dyDescent="0.2">
      <c r="A11676" s="14" t="s">
        <v>22954</v>
      </c>
      <c r="B11676" s="15" t="s">
        <v>22955</v>
      </c>
      <c r="C11676" s="16">
        <f>190.33/(1+B2)</f>
        <v>190.33</v>
      </c>
      <c r="D11676" s="17" t="s">
        <v>14</v>
      </c>
      <c r="E11676" s="17" t="s">
        <v>106</v>
      </c>
      <c r="F11676" s="18"/>
      <c r="G11676" s="36" t="str">
        <f>IF(ISNUMBER(F11676),C11676*F11676,"")</f>
        <v/>
      </c>
    </row>
    <row r="11677" spans="1:7" ht="12" customHeight="1" outlineLevel="2" x14ac:dyDescent="0.2">
      <c r="A11677" s="14" t="s">
        <v>22956</v>
      </c>
      <c r="B11677" s="15" t="s">
        <v>22957</v>
      </c>
      <c r="C11677" s="16">
        <f>954.6/(1+B2)</f>
        <v>954.6</v>
      </c>
      <c r="D11677" s="17" t="s">
        <v>11</v>
      </c>
      <c r="E11677" s="17" t="s">
        <v>11</v>
      </c>
      <c r="F11677" s="18"/>
      <c r="G11677" s="36" t="str">
        <f>IF(ISNUMBER(F11677),C11677*F11677,"")</f>
        <v/>
      </c>
    </row>
    <row r="11678" spans="1:7" ht="12" customHeight="1" outlineLevel="2" x14ac:dyDescent="0.2">
      <c r="A11678" s="14" t="s">
        <v>22958</v>
      </c>
      <c r="B11678" s="15" t="s">
        <v>22959</v>
      </c>
      <c r="C11678" s="19">
        <f>1272.38/(1+B2)</f>
        <v>1272.3800000000001</v>
      </c>
      <c r="D11678" s="17" t="s">
        <v>11</v>
      </c>
      <c r="E11678" s="17"/>
      <c r="F11678" s="18"/>
      <c r="G11678" s="36" t="str">
        <f>IF(ISNUMBER(F11678),C11678*F11678,"")</f>
        <v/>
      </c>
    </row>
    <row r="11679" spans="1:7" ht="12" customHeight="1" outlineLevel="2" x14ac:dyDescent="0.2">
      <c r="A11679" s="14" t="s">
        <v>22960</v>
      </c>
      <c r="B11679" s="15" t="s">
        <v>22961</v>
      </c>
      <c r="C11679" s="16">
        <f>954.6/(1+B2)</f>
        <v>954.6</v>
      </c>
      <c r="D11679" s="17" t="s">
        <v>11</v>
      </c>
      <c r="E11679" s="17" t="s">
        <v>11</v>
      </c>
      <c r="F11679" s="18"/>
      <c r="G11679" s="36" t="str">
        <f>IF(ISNUMBER(F11679),C11679*F11679,"")</f>
        <v/>
      </c>
    </row>
    <row r="11680" spans="1:7" ht="12" customHeight="1" outlineLevel="2" x14ac:dyDescent="0.2">
      <c r="A11680" s="14" t="s">
        <v>22962</v>
      </c>
      <c r="B11680" s="15" t="s">
        <v>22963</v>
      </c>
      <c r="C11680" s="16">
        <f>954.6/(1+B2)</f>
        <v>954.6</v>
      </c>
      <c r="D11680" s="17" t="s">
        <v>11</v>
      </c>
      <c r="E11680" s="17"/>
      <c r="F11680" s="18"/>
      <c r="G11680" s="36" t="str">
        <f>IF(ISNUMBER(F11680),C11680*F11680,"")</f>
        <v/>
      </c>
    </row>
    <row r="11681" spans="1:7" ht="12" customHeight="1" outlineLevel="2" x14ac:dyDescent="0.2">
      <c r="A11681" s="14" t="s">
        <v>22964</v>
      </c>
      <c r="B11681" s="15" t="s">
        <v>22965</v>
      </c>
      <c r="C11681" s="19">
        <f>1147.5/(1+B2)</f>
        <v>1147.5</v>
      </c>
      <c r="D11681" s="17" t="s">
        <v>14</v>
      </c>
      <c r="E11681" s="17" t="s">
        <v>14</v>
      </c>
      <c r="F11681" s="18"/>
      <c r="G11681" s="36" t="str">
        <f>IF(ISNUMBER(F11681),C11681*F11681,"")</f>
        <v/>
      </c>
    </row>
    <row r="11682" spans="1:7" ht="12" customHeight="1" outlineLevel="2" x14ac:dyDescent="0.2">
      <c r="A11682" s="14" t="s">
        <v>22966</v>
      </c>
      <c r="B11682" s="15" t="s">
        <v>22967</v>
      </c>
      <c r="C11682" s="19">
        <f>1147.5/(1+B2)</f>
        <v>1147.5</v>
      </c>
      <c r="D11682" s="17" t="s">
        <v>14</v>
      </c>
      <c r="E11682" s="17"/>
      <c r="F11682" s="18"/>
      <c r="G11682" s="36" t="str">
        <f>IF(ISNUMBER(F11682),C11682*F11682,"")</f>
        <v/>
      </c>
    </row>
    <row r="11683" spans="1:7" ht="12" customHeight="1" outlineLevel="2" x14ac:dyDescent="0.2">
      <c r="A11683" s="14" t="s">
        <v>22968</v>
      </c>
      <c r="B11683" s="15" t="s">
        <v>22969</v>
      </c>
      <c r="C11683" s="19">
        <f>1147.5/(1+B2)</f>
        <v>1147.5</v>
      </c>
      <c r="D11683" s="17" t="s">
        <v>11</v>
      </c>
      <c r="E11683" s="17" t="s">
        <v>14</v>
      </c>
      <c r="F11683" s="18"/>
      <c r="G11683" s="36" t="str">
        <f>IF(ISNUMBER(F11683),C11683*F11683,"")</f>
        <v/>
      </c>
    </row>
    <row r="11684" spans="1:7" ht="12" customHeight="1" outlineLevel="2" x14ac:dyDescent="0.2">
      <c r="A11684" s="14" t="s">
        <v>22970</v>
      </c>
      <c r="B11684" s="15" t="s">
        <v>22971</v>
      </c>
      <c r="C11684" s="19">
        <f>1147.5/(1+B2)</f>
        <v>1147.5</v>
      </c>
      <c r="D11684" s="17" t="s">
        <v>11</v>
      </c>
      <c r="E11684" s="17" t="s">
        <v>11</v>
      </c>
      <c r="F11684" s="18"/>
      <c r="G11684" s="36" t="str">
        <f>IF(ISNUMBER(F11684),C11684*F11684,"")</f>
        <v/>
      </c>
    </row>
    <row r="11685" spans="1:7" ht="12" customHeight="1" outlineLevel="2" x14ac:dyDescent="0.2">
      <c r="A11685" s="14" t="s">
        <v>22972</v>
      </c>
      <c r="B11685" s="15" t="s">
        <v>22973</v>
      </c>
      <c r="C11685" s="16">
        <f>738/(1+B2)</f>
        <v>738</v>
      </c>
      <c r="D11685" s="17" t="s">
        <v>11</v>
      </c>
      <c r="E11685" s="17"/>
      <c r="F11685" s="18"/>
      <c r="G11685" s="36" t="str">
        <f>IF(ISNUMBER(F11685),C11685*F11685,"")</f>
        <v/>
      </c>
    </row>
    <row r="11686" spans="1:7" ht="24" customHeight="1" outlineLevel="2" x14ac:dyDescent="0.2">
      <c r="A11686" s="14" t="s">
        <v>22974</v>
      </c>
      <c r="B11686" s="15" t="s">
        <v>22975</v>
      </c>
      <c r="C11686" s="16">
        <f>720/(1+B2)</f>
        <v>720</v>
      </c>
      <c r="D11686" s="17" t="s">
        <v>11</v>
      </c>
      <c r="E11686" s="17" t="s">
        <v>11</v>
      </c>
      <c r="F11686" s="18"/>
      <c r="G11686" s="36" t="str">
        <f>IF(ISNUMBER(F11686),C11686*F11686,"")</f>
        <v/>
      </c>
    </row>
    <row r="11687" spans="1:7" ht="12" customHeight="1" outlineLevel="2" x14ac:dyDescent="0.2">
      <c r="A11687" s="14" t="s">
        <v>22976</v>
      </c>
      <c r="B11687" s="15" t="s">
        <v>22977</v>
      </c>
      <c r="C11687" s="16">
        <f>576/(1+B2)</f>
        <v>576</v>
      </c>
      <c r="D11687" s="17" t="s">
        <v>11</v>
      </c>
      <c r="E11687" s="17" t="s">
        <v>11</v>
      </c>
      <c r="F11687" s="18"/>
      <c r="G11687" s="36" t="str">
        <f>IF(ISNUMBER(F11687),C11687*F11687,"")</f>
        <v/>
      </c>
    </row>
    <row r="11688" spans="1:7" ht="12" customHeight="1" outlineLevel="2" x14ac:dyDescent="0.2">
      <c r="A11688" s="14" t="s">
        <v>22978</v>
      </c>
      <c r="B11688" s="15" t="s">
        <v>22979</v>
      </c>
      <c r="C11688" s="16">
        <f>468/(1+B2)</f>
        <v>468</v>
      </c>
      <c r="D11688" s="17" t="s">
        <v>11</v>
      </c>
      <c r="E11688" s="17"/>
      <c r="F11688" s="18"/>
      <c r="G11688" s="36" t="str">
        <f>IF(ISNUMBER(F11688),C11688*F11688,"")</f>
        <v/>
      </c>
    </row>
    <row r="11689" spans="1:7" ht="12" customHeight="1" outlineLevel="2" x14ac:dyDescent="0.2">
      <c r="A11689" s="14" t="s">
        <v>22980</v>
      </c>
      <c r="B11689" s="15" t="s">
        <v>22981</v>
      </c>
      <c r="C11689" s="16">
        <f>468/(1+B2)</f>
        <v>468</v>
      </c>
      <c r="D11689" s="17" t="s">
        <v>11</v>
      </c>
      <c r="E11689" s="17"/>
      <c r="F11689" s="18"/>
      <c r="G11689" s="36" t="str">
        <f>IF(ISNUMBER(F11689),C11689*F11689,"")</f>
        <v/>
      </c>
    </row>
    <row r="11690" spans="1:7" ht="12" customHeight="1" outlineLevel="2" x14ac:dyDescent="0.2">
      <c r="A11690" s="14" t="s">
        <v>22982</v>
      </c>
      <c r="B11690" s="15" t="s">
        <v>22983</v>
      </c>
      <c r="C11690" s="16">
        <f>132.35/(1+B2)</f>
        <v>132.35</v>
      </c>
      <c r="D11690" s="17" t="s">
        <v>11</v>
      </c>
      <c r="E11690" s="17"/>
      <c r="F11690" s="18"/>
      <c r="G11690" s="36" t="str">
        <f>IF(ISNUMBER(F11690),C11690*F11690,"")</f>
        <v/>
      </c>
    </row>
    <row r="11691" spans="1:7" ht="12" customHeight="1" outlineLevel="2" x14ac:dyDescent="0.2">
      <c r="A11691" s="14" t="s">
        <v>22984</v>
      </c>
      <c r="B11691" s="15" t="s">
        <v>22985</v>
      </c>
      <c r="C11691" s="16">
        <f>190.09/(1+B2)</f>
        <v>190.09</v>
      </c>
      <c r="D11691" s="17" t="s">
        <v>53</v>
      </c>
      <c r="E11691" s="17"/>
      <c r="F11691" s="18"/>
      <c r="G11691" s="36" t="str">
        <f>IF(ISNUMBER(F11691),C11691*F11691,"")</f>
        <v/>
      </c>
    </row>
    <row r="11692" spans="1:7" ht="24" customHeight="1" outlineLevel="2" x14ac:dyDescent="0.2">
      <c r="A11692" s="14" t="s">
        <v>22986</v>
      </c>
      <c r="B11692" s="15" t="s">
        <v>22987</v>
      </c>
      <c r="C11692" s="16">
        <f>98.19/(1+B2)</f>
        <v>98.19</v>
      </c>
      <c r="D11692" s="17" t="s">
        <v>14</v>
      </c>
      <c r="E11692" s="17" t="s">
        <v>14</v>
      </c>
      <c r="F11692" s="18"/>
      <c r="G11692" s="36" t="str">
        <f>IF(ISNUMBER(F11692),C11692*F11692,"")</f>
        <v/>
      </c>
    </row>
    <row r="11693" spans="1:7" ht="12" customHeight="1" outlineLevel="2" x14ac:dyDescent="0.2">
      <c r="A11693" s="14" t="s">
        <v>22988</v>
      </c>
      <c r="B11693" s="15" t="s">
        <v>22989</v>
      </c>
      <c r="C11693" s="16">
        <f>175.23/(1+B2)</f>
        <v>175.23</v>
      </c>
      <c r="D11693" s="17" t="s">
        <v>53</v>
      </c>
      <c r="E11693" s="17" t="s">
        <v>53</v>
      </c>
      <c r="F11693" s="18"/>
      <c r="G11693" s="36" t="str">
        <f>IF(ISNUMBER(F11693),C11693*F11693,"")</f>
        <v/>
      </c>
    </row>
    <row r="11694" spans="1:7" ht="12" customHeight="1" outlineLevel="2" x14ac:dyDescent="0.2">
      <c r="A11694" s="14" t="s">
        <v>22990</v>
      </c>
      <c r="B11694" s="15" t="s">
        <v>22991</v>
      </c>
      <c r="C11694" s="16">
        <f>78.36/(1+B2)</f>
        <v>78.36</v>
      </c>
      <c r="D11694" s="17" t="s">
        <v>14</v>
      </c>
      <c r="E11694" s="17" t="s">
        <v>53</v>
      </c>
      <c r="F11694" s="18"/>
      <c r="G11694" s="36" t="str">
        <f>IF(ISNUMBER(F11694),C11694*F11694,"")</f>
        <v/>
      </c>
    </row>
    <row r="11695" spans="1:7" ht="12" customHeight="1" outlineLevel="2" x14ac:dyDescent="0.2">
      <c r="A11695" s="14" t="s">
        <v>22992</v>
      </c>
      <c r="B11695" s="15" t="s">
        <v>22993</v>
      </c>
      <c r="C11695" s="16">
        <f>22.88/(1+B2)</f>
        <v>22.88</v>
      </c>
      <c r="D11695" s="17" t="s">
        <v>11</v>
      </c>
      <c r="E11695" s="17" t="s">
        <v>53</v>
      </c>
      <c r="F11695" s="18"/>
      <c r="G11695" s="36" t="str">
        <f>IF(ISNUMBER(F11695),C11695*F11695,"")</f>
        <v/>
      </c>
    </row>
    <row r="11696" spans="1:7" ht="12" customHeight="1" outlineLevel="2" x14ac:dyDescent="0.2">
      <c r="A11696" s="14" t="s">
        <v>22994</v>
      </c>
      <c r="B11696" s="15" t="s">
        <v>22995</v>
      </c>
      <c r="C11696" s="16">
        <f>52.48/(1+B2)</f>
        <v>52.48</v>
      </c>
      <c r="D11696" s="17" t="s">
        <v>53</v>
      </c>
      <c r="E11696" s="17" t="s">
        <v>14</v>
      </c>
      <c r="F11696" s="18"/>
      <c r="G11696" s="36" t="str">
        <f>IF(ISNUMBER(F11696),C11696*F11696,"")</f>
        <v/>
      </c>
    </row>
    <row r="11697" spans="1:7" ht="12" customHeight="1" outlineLevel="2" x14ac:dyDescent="0.2">
      <c r="A11697" s="14" t="s">
        <v>22996</v>
      </c>
      <c r="B11697" s="15" t="s">
        <v>22997</v>
      </c>
      <c r="C11697" s="16">
        <f>45.11/(1+B2)</f>
        <v>45.11</v>
      </c>
      <c r="D11697" s="17" t="s">
        <v>53</v>
      </c>
      <c r="E11697" s="17"/>
      <c r="F11697" s="18"/>
      <c r="G11697" s="36" t="str">
        <f>IF(ISNUMBER(F11697),C11697*F11697,"")</f>
        <v/>
      </c>
    </row>
    <row r="11698" spans="1:7" ht="12" customHeight="1" outlineLevel="2" x14ac:dyDescent="0.2">
      <c r="A11698" s="14" t="s">
        <v>22998</v>
      </c>
      <c r="B11698" s="15" t="s">
        <v>22999</v>
      </c>
      <c r="C11698" s="16">
        <f>52.48/(1+B2)</f>
        <v>52.48</v>
      </c>
      <c r="D11698" s="17" t="s">
        <v>53</v>
      </c>
      <c r="E11698" s="17" t="s">
        <v>14</v>
      </c>
      <c r="F11698" s="18"/>
      <c r="G11698" s="36" t="str">
        <f>IF(ISNUMBER(F11698),C11698*F11698,"")</f>
        <v/>
      </c>
    </row>
    <row r="11699" spans="1:7" ht="12" customHeight="1" outlineLevel="2" x14ac:dyDescent="0.2">
      <c r="A11699" s="14" t="s">
        <v>23000</v>
      </c>
      <c r="B11699" s="15" t="s">
        <v>23001</v>
      </c>
      <c r="C11699" s="16">
        <f>52.48/(1+B2)</f>
        <v>52.48</v>
      </c>
      <c r="D11699" s="17" t="s">
        <v>53</v>
      </c>
      <c r="E11699" s="17" t="s">
        <v>14</v>
      </c>
      <c r="F11699" s="18"/>
      <c r="G11699" s="36" t="str">
        <f>IF(ISNUMBER(F11699),C11699*F11699,"")</f>
        <v/>
      </c>
    </row>
    <row r="11700" spans="1:7" ht="12" customHeight="1" outlineLevel="2" x14ac:dyDescent="0.2">
      <c r="A11700" s="14" t="s">
        <v>23002</v>
      </c>
      <c r="B11700" s="15" t="s">
        <v>23003</v>
      </c>
      <c r="C11700" s="16">
        <f>33.26/(1+B2)</f>
        <v>33.26</v>
      </c>
      <c r="D11700" s="17" t="s">
        <v>14</v>
      </c>
      <c r="E11700" s="17" t="s">
        <v>53</v>
      </c>
      <c r="F11700" s="18"/>
      <c r="G11700" s="36" t="str">
        <f>IF(ISNUMBER(F11700),C11700*F11700,"")</f>
        <v/>
      </c>
    </row>
    <row r="11701" spans="1:7" ht="12" customHeight="1" outlineLevel="2" x14ac:dyDescent="0.2">
      <c r="A11701" s="14" t="s">
        <v>23004</v>
      </c>
      <c r="B11701" s="15" t="s">
        <v>23005</v>
      </c>
      <c r="C11701" s="16">
        <f>33.26/(1+B2)</f>
        <v>33.26</v>
      </c>
      <c r="D11701" s="17" t="s">
        <v>14</v>
      </c>
      <c r="E11701" s="17" t="s">
        <v>53</v>
      </c>
      <c r="F11701" s="18"/>
      <c r="G11701" s="36" t="str">
        <f>IF(ISNUMBER(F11701),C11701*F11701,"")</f>
        <v/>
      </c>
    </row>
    <row r="11702" spans="1:7" ht="12" customHeight="1" outlineLevel="2" x14ac:dyDescent="0.2">
      <c r="A11702" s="14" t="s">
        <v>23006</v>
      </c>
      <c r="B11702" s="15" t="s">
        <v>23007</v>
      </c>
      <c r="C11702" s="16">
        <f>33.26/(1+B2)</f>
        <v>33.26</v>
      </c>
      <c r="D11702" s="17" t="s">
        <v>14</v>
      </c>
      <c r="E11702" s="17" t="s">
        <v>53</v>
      </c>
      <c r="F11702" s="18"/>
      <c r="G11702" s="36" t="str">
        <f>IF(ISNUMBER(F11702),C11702*F11702,"")</f>
        <v/>
      </c>
    </row>
    <row r="11703" spans="1:7" ht="12" customHeight="1" outlineLevel="2" x14ac:dyDescent="0.2">
      <c r="A11703" s="14" t="s">
        <v>23008</v>
      </c>
      <c r="B11703" s="15" t="s">
        <v>23009</v>
      </c>
      <c r="C11703" s="16">
        <f>68.52/(1+B2)</f>
        <v>68.52</v>
      </c>
      <c r="D11703" s="17" t="s">
        <v>11</v>
      </c>
      <c r="E11703" s="17" t="s">
        <v>14</v>
      </c>
      <c r="F11703" s="18"/>
      <c r="G11703" s="36" t="str">
        <f>IF(ISNUMBER(F11703),C11703*F11703,"")</f>
        <v/>
      </c>
    </row>
    <row r="11704" spans="1:7" ht="12" customHeight="1" outlineLevel="2" x14ac:dyDescent="0.2">
      <c r="A11704" s="14" t="s">
        <v>23010</v>
      </c>
      <c r="B11704" s="15" t="s">
        <v>23011</v>
      </c>
      <c r="C11704" s="16">
        <f>54.12/(1+B2)</f>
        <v>54.12</v>
      </c>
      <c r="D11704" s="17" t="s">
        <v>11</v>
      </c>
      <c r="E11704" s="17"/>
      <c r="F11704" s="18"/>
      <c r="G11704" s="36" t="str">
        <f>IF(ISNUMBER(F11704),C11704*F11704,"")</f>
        <v/>
      </c>
    </row>
    <row r="11705" spans="1:7" ht="12" customHeight="1" outlineLevel="2" x14ac:dyDescent="0.2">
      <c r="A11705" s="14" t="s">
        <v>23012</v>
      </c>
      <c r="B11705" s="15" t="s">
        <v>23013</v>
      </c>
      <c r="C11705" s="16">
        <f>54.12/(1+B2)</f>
        <v>54.12</v>
      </c>
      <c r="D11705" s="17" t="s">
        <v>11</v>
      </c>
      <c r="E11705" s="17" t="s">
        <v>53</v>
      </c>
      <c r="F11705" s="18"/>
      <c r="G11705" s="36" t="str">
        <f>IF(ISNUMBER(F11705),C11705*F11705,"")</f>
        <v/>
      </c>
    </row>
    <row r="11706" spans="1:7" ht="12" customHeight="1" outlineLevel="2" x14ac:dyDescent="0.2">
      <c r="A11706" s="14" t="s">
        <v>23014</v>
      </c>
      <c r="B11706" s="15" t="s">
        <v>23015</v>
      </c>
      <c r="C11706" s="16">
        <f>71.6/(1+B2)</f>
        <v>71.599999999999994</v>
      </c>
      <c r="D11706" s="17" t="s">
        <v>11</v>
      </c>
      <c r="E11706" s="17" t="s">
        <v>14</v>
      </c>
      <c r="F11706" s="18"/>
      <c r="G11706" s="36" t="str">
        <f>IF(ISNUMBER(F11706),C11706*F11706,"")</f>
        <v/>
      </c>
    </row>
    <row r="11707" spans="1:7" ht="12" customHeight="1" outlineLevel="2" x14ac:dyDescent="0.2">
      <c r="A11707" s="14" t="s">
        <v>23016</v>
      </c>
      <c r="B11707" s="15" t="s">
        <v>23017</v>
      </c>
      <c r="C11707" s="16">
        <f>71.6/(1+B2)</f>
        <v>71.599999999999994</v>
      </c>
      <c r="D11707" s="17" t="s">
        <v>11</v>
      </c>
      <c r="E11707" s="17"/>
      <c r="F11707" s="18"/>
      <c r="G11707" s="36" t="str">
        <f>IF(ISNUMBER(F11707),C11707*F11707,"")</f>
        <v/>
      </c>
    </row>
    <row r="11708" spans="1:7" ht="12" customHeight="1" outlineLevel="2" x14ac:dyDescent="0.2">
      <c r="A11708" s="14" t="s">
        <v>23018</v>
      </c>
      <c r="B11708" s="15" t="s">
        <v>23019</v>
      </c>
      <c r="C11708" s="16">
        <f>71.6/(1+B2)</f>
        <v>71.599999999999994</v>
      </c>
      <c r="D11708" s="17" t="s">
        <v>11</v>
      </c>
      <c r="E11708" s="17" t="s">
        <v>53</v>
      </c>
      <c r="F11708" s="18"/>
      <c r="G11708" s="36" t="str">
        <f>IF(ISNUMBER(F11708),C11708*F11708,"")</f>
        <v/>
      </c>
    </row>
    <row r="11709" spans="1:7" ht="12" customHeight="1" outlineLevel="2" x14ac:dyDescent="0.2">
      <c r="A11709" s="14" t="s">
        <v>23020</v>
      </c>
      <c r="B11709" s="15" t="s">
        <v>23021</v>
      </c>
      <c r="C11709" s="16">
        <f>282.48/(1+B2)</f>
        <v>282.48</v>
      </c>
      <c r="D11709" s="17" t="s">
        <v>11</v>
      </c>
      <c r="E11709" s="17"/>
      <c r="F11709" s="18"/>
      <c r="G11709" s="36" t="str">
        <f>IF(ISNUMBER(F11709),C11709*F11709,"")</f>
        <v/>
      </c>
    </row>
    <row r="11710" spans="1:7" ht="12" customHeight="1" outlineLevel="2" x14ac:dyDescent="0.2">
      <c r="A11710" s="14" t="s">
        <v>23022</v>
      </c>
      <c r="B11710" s="15" t="s">
        <v>23023</v>
      </c>
      <c r="C11710" s="16">
        <f>468.75/(1+B2)</f>
        <v>468.75</v>
      </c>
      <c r="D11710" s="17" t="s">
        <v>11</v>
      </c>
      <c r="E11710" s="17"/>
      <c r="F11710" s="18"/>
      <c r="G11710" s="36" t="str">
        <f>IF(ISNUMBER(F11710),C11710*F11710,"")</f>
        <v/>
      </c>
    </row>
    <row r="11711" spans="1:7" ht="12" customHeight="1" outlineLevel="2" x14ac:dyDescent="0.2">
      <c r="A11711" s="14" t="s">
        <v>23024</v>
      </c>
      <c r="B11711" s="15" t="s">
        <v>23025</v>
      </c>
      <c r="C11711" s="19">
        <f>1200/(1+B2)</f>
        <v>1200</v>
      </c>
      <c r="D11711" s="17" t="s">
        <v>11</v>
      </c>
      <c r="E11711" s="17"/>
      <c r="F11711" s="18"/>
      <c r="G11711" s="36" t="str">
        <f>IF(ISNUMBER(F11711),C11711*F11711,"")</f>
        <v/>
      </c>
    </row>
    <row r="11712" spans="1:7" ht="12" customHeight="1" outlineLevel="2" x14ac:dyDescent="0.2">
      <c r="A11712" s="14" t="s">
        <v>23026</v>
      </c>
      <c r="B11712" s="15" t="s">
        <v>23027</v>
      </c>
      <c r="C11712" s="19">
        <f>2521.57/(1+B2)</f>
        <v>2521.5700000000002</v>
      </c>
      <c r="D11712" s="17" t="s">
        <v>11</v>
      </c>
      <c r="E11712" s="17"/>
      <c r="F11712" s="18"/>
      <c r="G11712" s="36" t="str">
        <f>IF(ISNUMBER(F11712),C11712*F11712,"")</f>
        <v/>
      </c>
    </row>
    <row r="11713" spans="1:7" ht="12" customHeight="1" outlineLevel="2" x14ac:dyDescent="0.2">
      <c r="A11713" s="14" t="s">
        <v>23028</v>
      </c>
      <c r="B11713" s="15" t="s">
        <v>23029</v>
      </c>
      <c r="C11713" s="16">
        <f>277.56/(1+B2)</f>
        <v>277.56</v>
      </c>
      <c r="D11713" s="17" t="s">
        <v>106</v>
      </c>
      <c r="E11713" s="17"/>
      <c r="F11713" s="18"/>
      <c r="G11713" s="36" t="str">
        <f>IF(ISNUMBER(F11713),C11713*F11713,"")</f>
        <v/>
      </c>
    </row>
    <row r="11714" spans="1:7" ht="12" customHeight="1" outlineLevel="2" x14ac:dyDescent="0.2">
      <c r="A11714" s="14" t="s">
        <v>23030</v>
      </c>
      <c r="B11714" s="15" t="s">
        <v>23031</v>
      </c>
      <c r="C11714" s="16">
        <f>495.01/(1+B2)</f>
        <v>495.01</v>
      </c>
      <c r="D11714" s="17" t="s">
        <v>11</v>
      </c>
      <c r="E11714" s="17" t="s">
        <v>11</v>
      </c>
      <c r="F11714" s="18"/>
      <c r="G11714" s="36" t="str">
        <f>IF(ISNUMBER(F11714),C11714*F11714,"")</f>
        <v/>
      </c>
    </row>
    <row r="11715" spans="1:7" ht="12" customHeight="1" outlineLevel="2" x14ac:dyDescent="0.2">
      <c r="A11715" s="14" t="s">
        <v>23032</v>
      </c>
      <c r="B11715" s="15" t="s">
        <v>23033</v>
      </c>
      <c r="C11715" s="16">
        <f>123.55/(1+B2)</f>
        <v>123.55</v>
      </c>
      <c r="D11715" s="17" t="s">
        <v>11</v>
      </c>
      <c r="E11715" s="17" t="s">
        <v>11</v>
      </c>
      <c r="F11715" s="18"/>
      <c r="G11715" s="36" t="str">
        <f>IF(ISNUMBER(F11715),C11715*F11715,"")</f>
        <v/>
      </c>
    </row>
    <row r="11716" spans="1:7" ht="12" customHeight="1" outlineLevel="2" x14ac:dyDescent="0.2">
      <c r="A11716" s="14" t="s">
        <v>23034</v>
      </c>
      <c r="B11716" s="15" t="s">
        <v>23035</v>
      </c>
      <c r="C11716" s="16">
        <f>380.16/(1+B2)</f>
        <v>380.16</v>
      </c>
      <c r="D11716" s="17" t="s">
        <v>14</v>
      </c>
      <c r="E11716" s="17" t="s">
        <v>53</v>
      </c>
      <c r="F11716" s="18"/>
      <c r="G11716" s="36" t="str">
        <f>IF(ISNUMBER(F11716),C11716*F11716,"")</f>
        <v/>
      </c>
    </row>
    <row r="11717" spans="1:7" ht="12" customHeight="1" outlineLevel="2" x14ac:dyDescent="0.2">
      <c r="A11717" s="14" t="s">
        <v>23036</v>
      </c>
      <c r="B11717" s="15" t="s">
        <v>23037</v>
      </c>
      <c r="C11717" s="16">
        <f>490.2/(1+B2)</f>
        <v>490.2</v>
      </c>
      <c r="D11717" s="17" t="s">
        <v>11</v>
      </c>
      <c r="E11717" s="17"/>
      <c r="F11717" s="18"/>
      <c r="G11717" s="36" t="str">
        <f>IF(ISNUMBER(F11717),C11717*F11717,"")</f>
        <v/>
      </c>
    </row>
    <row r="11718" spans="1:7" ht="12" customHeight="1" outlineLevel="2" x14ac:dyDescent="0.2">
      <c r="A11718" s="14" t="s">
        <v>23038</v>
      </c>
      <c r="B11718" s="15" t="s">
        <v>23039</v>
      </c>
      <c r="C11718" s="16">
        <f>441.18/(1+B2)</f>
        <v>441.18</v>
      </c>
      <c r="D11718" s="17" t="s">
        <v>11</v>
      </c>
      <c r="E11718" s="17" t="s">
        <v>14</v>
      </c>
      <c r="F11718" s="18"/>
      <c r="G11718" s="36" t="str">
        <f>IF(ISNUMBER(F11718),C11718*F11718,"")</f>
        <v/>
      </c>
    </row>
    <row r="11719" spans="1:7" ht="24" customHeight="1" outlineLevel="2" x14ac:dyDescent="0.2">
      <c r="A11719" s="14" t="s">
        <v>23040</v>
      </c>
      <c r="B11719" s="15" t="s">
        <v>23041</v>
      </c>
      <c r="C11719" s="16">
        <f>209.68/(1+B2)</f>
        <v>209.68</v>
      </c>
      <c r="D11719" s="17" t="s">
        <v>11</v>
      </c>
      <c r="E11719" s="17"/>
      <c r="F11719" s="18"/>
      <c r="G11719" s="36" t="str">
        <f>IF(ISNUMBER(F11719),C11719*F11719,"")</f>
        <v/>
      </c>
    </row>
    <row r="11720" spans="1:7" ht="12" customHeight="1" outlineLevel="2" x14ac:dyDescent="0.2">
      <c r="A11720" s="14" t="s">
        <v>23042</v>
      </c>
      <c r="B11720" s="15" t="s">
        <v>23043</v>
      </c>
      <c r="C11720" s="16">
        <f>32.94/(1+B2)</f>
        <v>32.94</v>
      </c>
      <c r="D11720" s="17" t="s">
        <v>14</v>
      </c>
      <c r="E11720" s="17"/>
      <c r="F11720" s="18"/>
      <c r="G11720" s="36" t="str">
        <f>IF(ISNUMBER(F11720),C11720*F11720,"")</f>
        <v/>
      </c>
    </row>
    <row r="11721" spans="1:7" ht="24" customHeight="1" outlineLevel="2" x14ac:dyDescent="0.2">
      <c r="A11721" s="14" t="s">
        <v>23044</v>
      </c>
      <c r="B11721" s="15" t="s">
        <v>23045</v>
      </c>
      <c r="C11721" s="16">
        <f>274.94/(1+B2)</f>
        <v>274.94</v>
      </c>
      <c r="D11721" s="17" t="s">
        <v>11</v>
      </c>
      <c r="E11721" s="17" t="s">
        <v>53</v>
      </c>
      <c r="F11721" s="18"/>
      <c r="G11721" s="36" t="str">
        <f>IF(ISNUMBER(F11721),C11721*F11721,"")</f>
        <v/>
      </c>
    </row>
    <row r="11722" spans="1:7" ht="12" customHeight="1" outlineLevel="2" x14ac:dyDescent="0.2">
      <c r="A11722" s="14" t="s">
        <v>23046</v>
      </c>
      <c r="B11722" s="15" t="s">
        <v>23047</v>
      </c>
      <c r="C11722" s="16">
        <f>45.56/(1+B2)</f>
        <v>45.56</v>
      </c>
      <c r="D11722" s="17" t="s">
        <v>11</v>
      </c>
      <c r="E11722" s="17" t="s">
        <v>11</v>
      </c>
      <c r="F11722" s="18"/>
      <c r="G11722" s="36" t="str">
        <f>IF(ISNUMBER(F11722),C11722*F11722,"")</f>
        <v/>
      </c>
    </row>
    <row r="11723" spans="1:7" ht="12" customHeight="1" outlineLevel="2" x14ac:dyDescent="0.2">
      <c r="A11723" s="14" t="s">
        <v>23048</v>
      </c>
      <c r="B11723" s="15" t="s">
        <v>23049</v>
      </c>
      <c r="C11723" s="16">
        <f>45.56/(1+B2)</f>
        <v>45.56</v>
      </c>
      <c r="D11723" s="17" t="s">
        <v>11</v>
      </c>
      <c r="E11723" s="17" t="s">
        <v>53</v>
      </c>
      <c r="F11723" s="18"/>
      <c r="G11723" s="36" t="str">
        <f>IF(ISNUMBER(F11723),C11723*F11723,"")</f>
        <v/>
      </c>
    </row>
    <row r="11724" spans="1:7" ht="12" customHeight="1" outlineLevel="2" x14ac:dyDescent="0.2">
      <c r="A11724" s="14" t="s">
        <v>23050</v>
      </c>
      <c r="B11724" s="15" t="s">
        <v>23051</v>
      </c>
      <c r="C11724" s="16">
        <f>45.56/(1+B2)</f>
        <v>45.56</v>
      </c>
      <c r="D11724" s="17" t="s">
        <v>11</v>
      </c>
      <c r="E11724" s="17"/>
      <c r="F11724" s="18"/>
      <c r="G11724" s="36" t="str">
        <f>IF(ISNUMBER(F11724),C11724*F11724,"")</f>
        <v/>
      </c>
    </row>
    <row r="11725" spans="1:7" ht="12" customHeight="1" outlineLevel="2" x14ac:dyDescent="0.2">
      <c r="A11725" s="14" t="s">
        <v>23052</v>
      </c>
      <c r="B11725" s="15" t="s">
        <v>23053</v>
      </c>
      <c r="C11725" s="16">
        <f>50.99/(1+B2)</f>
        <v>50.99</v>
      </c>
      <c r="D11725" s="17" t="s">
        <v>11</v>
      </c>
      <c r="E11725" s="17" t="s">
        <v>106</v>
      </c>
      <c r="F11725" s="18"/>
      <c r="G11725" s="36" t="str">
        <f>IF(ISNUMBER(F11725),C11725*F11725,"")</f>
        <v/>
      </c>
    </row>
    <row r="11726" spans="1:7" ht="12" customHeight="1" outlineLevel="2" x14ac:dyDescent="0.2">
      <c r="A11726" s="14" t="s">
        <v>23054</v>
      </c>
      <c r="B11726" s="15" t="s">
        <v>23055</v>
      </c>
      <c r="C11726" s="16">
        <f>49.5/(1+B2)</f>
        <v>49.5</v>
      </c>
      <c r="D11726" s="17" t="s">
        <v>11</v>
      </c>
      <c r="E11726" s="17" t="s">
        <v>53</v>
      </c>
      <c r="F11726" s="18"/>
      <c r="G11726" s="36" t="str">
        <f>IF(ISNUMBER(F11726),C11726*F11726,"")</f>
        <v/>
      </c>
    </row>
    <row r="11727" spans="1:7" ht="12" customHeight="1" outlineLevel="2" x14ac:dyDescent="0.2">
      <c r="A11727" s="14" t="s">
        <v>23056</v>
      </c>
      <c r="B11727" s="15" t="s">
        <v>23057</v>
      </c>
      <c r="C11727" s="16">
        <f>50.99/(1+B2)</f>
        <v>50.99</v>
      </c>
      <c r="D11727" s="17" t="s">
        <v>11</v>
      </c>
      <c r="E11727" s="17" t="s">
        <v>53</v>
      </c>
      <c r="F11727" s="18"/>
      <c r="G11727" s="36" t="str">
        <f>IF(ISNUMBER(F11727),C11727*F11727,"")</f>
        <v/>
      </c>
    </row>
    <row r="11728" spans="1:7" ht="12" customHeight="1" outlineLevel="2" x14ac:dyDescent="0.2">
      <c r="A11728" s="14" t="s">
        <v>23058</v>
      </c>
      <c r="B11728" s="15" t="s">
        <v>23059</v>
      </c>
      <c r="C11728" s="16">
        <f>37.07/(1+B2)</f>
        <v>37.07</v>
      </c>
      <c r="D11728" s="17" t="s">
        <v>53</v>
      </c>
      <c r="E11728" s="17" t="s">
        <v>106</v>
      </c>
      <c r="F11728" s="18"/>
      <c r="G11728" s="36" t="str">
        <f>IF(ISNUMBER(F11728),C11728*F11728,"")</f>
        <v/>
      </c>
    </row>
    <row r="11729" spans="1:7" ht="12" customHeight="1" outlineLevel="2" x14ac:dyDescent="0.2">
      <c r="A11729" s="14" t="s">
        <v>23060</v>
      </c>
      <c r="B11729" s="15" t="s">
        <v>23061</v>
      </c>
      <c r="C11729" s="16">
        <f>37.07/(1+B2)</f>
        <v>37.07</v>
      </c>
      <c r="D11729" s="17" t="s">
        <v>53</v>
      </c>
      <c r="E11729" s="17" t="s">
        <v>106</v>
      </c>
      <c r="F11729" s="18"/>
      <c r="G11729" s="36" t="str">
        <f>IF(ISNUMBER(F11729),C11729*F11729,"")</f>
        <v/>
      </c>
    </row>
    <row r="11730" spans="1:7" ht="12" customHeight="1" outlineLevel="2" x14ac:dyDescent="0.2">
      <c r="A11730" s="14" t="s">
        <v>23062</v>
      </c>
      <c r="B11730" s="15" t="s">
        <v>23063</v>
      </c>
      <c r="C11730" s="16">
        <f>37.07/(1+B2)</f>
        <v>37.07</v>
      </c>
      <c r="D11730" s="17" t="s">
        <v>53</v>
      </c>
      <c r="E11730" s="17" t="s">
        <v>53</v>
      </c>
      <c r="F11730" s="18"/>
      <c r="G11730" s="36" t="str">
        <f>IF(ISNUMBER(F11730),C11730*F11730,"")</f>
        <v/>
      </c>
    </row>
    <row r="11731" spans="1:7" ht="12" customHeight="1" outlineLevel="2" x14ac:dyDescent="0.2">
      <c r="A11731" s="14" t="s">
        <v>23064</v>
      </c>
      <c r="B11731" s="15" t="s">
        <v>23065</v>
      </c>
      <c r="C11731" s="16">
        <f>31.93/(1+B2)</f>
        <v>31.93</v>
      </c>
      <c r="D11731" s="17" t="s">
        <v>53</v>
      </c>
      <c r="E11731" s="17" t="s">
        <v>106</v>
      </c>
      <c r="F11731" s="18"/>
      <c r="G11731" s="36" t="str">
        <f>IF(ISNUMBER(F11731),C11731*F11731,"")</f>
        <v/>
      </c>
    </row>
    <row r="11732" spans="1:7" ht="12" customHeight="1" outlineLevel="2" x14ac:dyDescent="0.2">
      <c r="A11732" s="14" t="s">
        <v>23066</v>
      </c>
      <c r="B11732" s="15" t="s">
        <v>23067</v>
      </c>
      <c r="C11732" s="16">
        <f>64.38/(1+B2)</f>
        <v>64.38</v>
      </c>
      <c r="D11732" s="17" t="s">
        <v>53</v>
      </c>
      <c r="E11732" s="17"/>
      <c r="F11732" s="18"/>
      <c r="G11732" s="36" t="str">
        <f>IF(ISNUMBER(F11732),C11732*F11732,"")</f>
        <v/>
      </c>
    </row>
    <row r="11733" spans="1:7" ht="12" customHeight="1" outlineLevel="2" x14ac:dyDescent="0.2">
      <c r="A11733" s="14" t="s">
        <v>23068</v>
      </c>
      <c r="B11733" s="15" t="s">
        <v>23069</v>
      </c>
      <c r="C11733" s="16">
        <f>64.38/(1+B2)</f>
        <v>64.38</v>
      </c>
      <c r="D11733" s="17" t="s">
        <v>53</v>
      </c>
      <c r="E11733" s="17" t="s">
        <v>106</v>
      </c>
      <c r="F11733" s="18"/>
      <c r="G11733" s="36" t="str">
        <f>IF(ISNUMBER(F11733),C11733*F11733,"")</f>
        <v/>
      </c>
    </row>
    <row r="11734" spans="1:7" ht="12" customHeight="1" outlineLevel="2" x14ac:dyDescent="0.2">
      <c r="A11734" s="14" t="s">
        <v>23070</v>
      </c>
      <c r="B11734" s="15" t="s">
        <v>23071</v>
      </c>
      <c r="C11734" s="16">
        <f>40.05/(1+B2)</f>
        <v>40.049999999999997</v>
      </c>
      <c r="D11734" s="17" t="s">
        <v>14</v>
      </c>
      <c r="E11734" s="17" t="s">
        <v>53</v>
      </c>
      <c r="F11734" s="18"/>
      <c r="G11734" s="36" t="str">
        <f>IF(ISNUMBER(F11734),C11734*F11734,"")</f>
        <v/>
      </c>
    </row>
    <row r="11735" spans="1:7" ht="12" customHeight="1" outlineLevel="2" x14ac:dyDescent="0.2">
      <c r="A11735" s="14" t="s">
        <v>23072</v>
      </c>
      <c r="B11735" s="15" t="s">
        <v>23073</v>
      </c>
      <c r="C11735" s="16">
        <f>64.38/(1+B2)</f>
        <v>64.38</v>
      </c>
      <c r="D11735" s="17" t="s">
        <v>53</v>
      </c>
      <c r="E11735" s="17"/>
      <c r="F11735" s="18"/>
      <c r="G11735" s="36" t="str">
        <f>IF(ISNUMBER(F11735),C11735*F11735,"")</f>
        <v/>
      </c>
    </row>
    <row r="11736" spans="1:7" ht="12" customHeight="1" outlineLevel="2" x14ac:dyDescent="0.2">
      <c r="A11736" s="14" t="s">
        <v>23074</v>
      </c>
      <c r="B11736" s="15" t="s">
        <v>23075</v>
      </c>
      <c r="C11736" s="16">
        <f>46.15/(1+B2)</f>
        <v>46.15</v>
      </c>
      <c r="D11736" s="17" t="s">
        <v>14</v>
      </c>
      <c r="E11736" s="17" t="s">
        <v>106</v>
      </c>
      <c r="F11736" s="18"/>
      <c r="G11736" s="36" t="str">
        <f>IF(ISNUMBER(F11736),C11736*F11736,"")</f>
        <v/>
      </c>
    </row>
    <row r="11737" spans="1:7" ht="12" customHeight="1" outlineLevel="2" x14ac:dyDescent="0.2">
      <c r="A11737" s="14" t="s">
        <v>23076</v>
      </c>
      <c r="B11737" s="15" t="s">
        <v>23077</v>
      </c>
      <c r="C11737" s="16">
        <f>41.96/(1+B2)</f>
        <v>41.96</v>
      </c>
      <c r="D11737" s="17" t="s">
        <v>53</v>
      </c>
      <c r="E11737" s="17" t="s">
        <v>106</v>
      </c>
      <c r="F11737" s="18"/>
      <c r="G11737" s="36" t="str">
        <f>IF(ISNUMBER(F11737),C11737*F11737,"")</f>
        <v/>
      </c>
    </row>
    <row r="11738" spans="1:7" ht="12" customHeight="1" outlineLevel="2" x14ac:dyDescent="0.2">
      <c r="A11738" s="14" t="s">
        <v>23078</v>
      </c>
      <c r="B11738" s="15" t="s">
        <v>23079</v>
      </c>
      <c r="C11738" s="16">
        <f>46.15/(1+B2)</f>
        <v>46.15</v>
      </c>
      <c r="D11738" s="17" t="s">
        <v>53</v>
      </c>
      <c r="E11738" s="17" t="s">
        <v>106</v>
      </c>
      <c r="F11738" s="18"/>
      <c r="G11738" s="36" t="str">
        <f>IF(ISNUMBER(F11738),C11738*F11738,"")</f>
        <v/>
      </c>
    </row>
    <row r="11739" spans="1:7" ht="12" customHeight="1" outlineLevel="2" x14ac:dyDescent="0.2">
      <c r="A11739" s="14" t="s">
        <v>23080</v>
      </c>
      <c r="B11739" s="15" t="s">
        <v>23081</v>
      </c>
      <c r="C11739" s="16">
        <f>46.15/(1+B2)</f>
        <v>46.15</v>
      </c>
      <c r="D11739" s="17" t="s">
        <v>53</v>
      </c>
      <c r="E11739" s="17" t="s">
        <v>106</v>
      </c>
      <c r="F11739" s="18"/>
      <c r="G11739" s="36" t="str">
        <f>IF(ISNUMBER(F11739),C11739*F11739,"")</f>
        <v/>
      </c>
    </row>
    <row r="11740" spans="1:7" ht="24" customHeight="1" outlineLevel="2" x14ac:dyDescent="0.2">
      <c r="A11740" s="14" t="s">
        <v>23082</v>
      </c>
      <c r="B11740" s="15" t="s">
        <v>23083</v>
      </c>
      <c r="C11740" s="16">
        <f>185.49/(1+B2)</f>
        <v>185.49</v>
      </c>
      <c r="D11740" s="17" t="s">
        <v>11</v>
      </c>
      <c r="E11740" s="17"/>
      <c r="F11740" s="18"/>
      <c r="G11740" s="36" t="str">
        <f>IF(ISNUMBER(F11740),C11740*F11740,"")</f>
        <v/>
      </c>
    </row>
    <row r="11741" spans="1:7" ht="12" customHeight="1" outlineLevel="2" x14ac:dyDescent="0.2">
      <c r="A11741" s="14" t="s">
        <v>23084</v>
      </c>
      <c r="B11741" s="15" t="s">
        <v>23085</v>
      </c>
      <c r="C11741" s="16">
        <f>46.2/(1+B2)</f>
        <v>46.2</v>
      </c>
      <c r="D11741" s="17" t="s">
        <v>11</v>
      </c>
      <c r="E11741" s="17"/>
      <c r="F11741" s="18"/>
      <c r="G11741" s="36" t="str">
        <f>IF(ISNUMBER(F11741),C11741*F11741,"")</f>
        <v/>
      </c>
    </row>
    <row r="11742" spans="1:7" ht="12" customHeight="1" outlineLevel="2" x14ac:dyDescent="0.2">
      <c r="A11742" s="14" t="s">
        <v>23086</v>
      </c>
      <c r="B11742" s="15" t="s">
        <v>23087</v>
      </c>
      <c r="C11742" s="16">
        <f>46.2/(1+B2)</f>
        <v>46.2</v>
      </c>
      <c r="D11742" s="17" t="s">
        <v>11</v>
      </c>
      <c r="E11742" s="17"/>
      <c r="F11742" s="18"/>
      <c r="G11742" s="36" t="str">
        <f>IF(ISNUMBER(F11742),C11742*F11742,"")</f>
        <v/>
      </c>
    </row>
    <row r="11743" spans="1:7" ht="12" customHeight="1" outlineLevel="2" x14ac:dyDescent="0.2">
      <c r="A11743" s="14" t="s">
        <v>23088</v>
      </c>
      <c r="B11743" s="15" t="s">
        <v>23089</v>
      </c>
      <c r="C11743" s="19">
        <f>1212/(1+B2)</f>
        <v>1212</v>
      </c>
      <c r="D11743" s="17" t="s">
        <v>11</v>
      </c>
      <c r="E11743" s="17"/>
      <c r="F11743" s="18"/>
      <c r="G11743" s="36" t="str">
        <f>IF(ISNUMBER(F11743),C11743*F11743,"")</f>
        <v/>
      </c>
    </row>
    <row r="11744" spans="1:7" ht="12" customHeight="1" outlineLevel="2" x14ac:dyDescent="0.2">
      <c r="A11744" s="14" t="s">
        <v>23090</v>
      </c>
      <c r="B11744" s="15" t="s">
        <v>23091</v>
      </c>
      <c r="C11744" s="19">
        <f>1212/(1+B2)</f>
        <v>1212</v>
      </c>
      <c r="D11744" s="17" t="s">
        <v>11</v>
      </c>
      <c r="E11744" s="17"/>
      <c r="F11744" s="18"/>
      <c r="G11744" s="36" t="str">
        <f>IF(ISNUMBER(F11744),C11744*F11744,"")</f>
        <v/>
      </c>
    </row>
    <row r="11745" spans="1:7" ht="12" customHeight="1" outlineLevel="2" x14ac:dyDescent="0.2">
      <c r="A11745" s="14" t="s">
        <v>23092</v>
      </c>
      <c r="B11745" s="15" t="s">
        <v>23093</v>
      </c>
      <c r="C11745" s="19">
        <f>1212/(1+B2)</f>
        <v>1212</v>
      </c>
      <c r="D11745" s="17" t="s">
        <v>11</v>
      </c>
      <c r="E11745" s="17"/>
      <c r="F11745" s="18"/>
      <c r="G11745" s="36" t="str">
        <f>IF(ISNUMBER(F11745),C11745*F11745,"")</f>
        <v/>
      </c>
    </row>
    <row r="11746" spans="1:7" ht="12" customHeight="1" outlineLevel="2" x14ac:dyDescent="0.2">
      <c r="A11746" s="14" t="s">
        <v>23094</v>
      </c>
      <c r="B11746" s="15" t="s">
        <v>23095</v>
      </c>
      <c r="C11746" s="19">
        <f>1212/(1+B2)</f>
        <v>1212</v>
      </c>
      <c r="D11746" s="17" t="s">
        <v>11</v>
      </c>
      <c r="E11746" s="17"/>
      <c r="F11746" s="18"/>
      <c r="G11746" s="36" t="str">
        <f>IF(ISNUMBER(F11746),C11746*F11746,"")</f>
        <v/>
      </c>
    </row>
    <row r="11747" spans="1:7" s="1" customFormat="1" ht="15.95" customHeight="1" outlineLevel="1" x14ac:dyDescent="0.25">
      <c r="A11747" s="11"/>
      <c r="B11747" s="12" t="s">
        <v>23096</v>
      </c>
      <c r="C11747" s="13"/>
      <c r="D11747" s="13"/>
      <c r="E11747" s="13"/>
      <c r="F11747" s="13"/>
      <c r="G11747" s="35"/>
    </row>
    <row r="11748" spans="1:7" ht="12" customHeight="1" outlineLevel="2" x14ac:dyDescent="0.2">
      <c r="A11748" s="14" t="s">
        <v>23097</v>
      </c>
      <c r="B11748" s="15" t="s">
        <v>23098</v>
      </c>
      <c r="C11748" s="16">
        <f>196.91/(1+B2)</f>
        <v>196.91</v>
      </c>
      <c r="D11748" s="17" t="s">
        <v>11</v>
      </c>
      <c r="E11748" s="17" t="s">
        <v>106</v>
      </c>
      <c r="F11748" s="18"/>
      <c r="G11748" s="36" t="str">
        <f>IF(ISNUMBER(F11748),C11748*F11748,"")</f>
        <v/>
      </c>
    </row>
    <row r="11749" spans="1:7" ht="12" customHeight="1" outlineLevel="2" x14ac:dyDescent="0.2">
      <c r="A11749" s="14" t="s">
        <v>23099</v>
      </c>
      <c r="B11749" s="15" t="s">
        <v>23100</v>
      </c>
      <c r="C11749" s="16">
        <f>532.8/(1+B2)</f>
        <v>532.79999999999995</v>
      </c>
      <c r="D11749" s="17" t="s">
        <v>11</v>
      </c>
      <c r="E11749" s="17" t="s">
        <v>53</v>
      </c>
      <c r="F11749" s="18"/>
      <c r="G11749" s="36" t="str">
        <f>IF(ISNUMBER(F11749),C11749*F11749,"")</f>
        <v/>
      </c>
    </row>
    <row r="11750" spans="1:7" ht="12" customHeight="1" outlineLevel="2" x14ac:dyDescent="0.2">
      <c r="A11750" s="14" t="s">
        <v>23101</v>
      </c>
      <c r="B11750" s="15" t="s">
        <v>23102</v>
      </c>
      <c r="C11750" s="16">
        <f>564.48/(1+B2)</f>
        <v>564.48</v>
      </c>
      <c r="D11750" s="17" t="s">
        <v>11</v>
      </c>
      <c r="E11750" s="17" t="s">
        <v>53</v>
      </c>
      <c r="F11750" s="18"/>
      <c r="G11750" s="36" t="str">
        <f>IF(ISNUMBER(F11750),C11750*F11750,"")</f>
        <v/>
      </c>
    </row>
    <row r="11751" spans="1:7" ht="12" customHeight="1" outlineLevel="2" x14ac:dyDescent="0.2">
      <c r="A11751" s="14" t="s">
        <v>23103</v>
      </c>
      <c r="B11751" s="15" t="s">
        <v>23104</v>
      </c>
      <c r="C11751" s="16">
        <f>208.92/(1+B2)</f>
        <v>208.92</v>
      </c>
      <c r="D11751" s="17" t="s">
        <v>53</v>
      </c>
      <c r="E11751" s="17" t="s">
        <v>106</v>
      </c>
      <c r="F11751" s="18"/>
      <c r="G11751" s="36" t="str">
        <f>IF(ISNUMBER(F11751),C11751*F11751,"")</f>
        <v/>
      </c>
    </row>
    <row r="11752" spans="1:7" ht="24" customHeight="1" outlineLevel="2" x14ac:dyDescent="0.2">
      <c r="A11752" s="14" t="s">
        <v>23105</v>
      </c>
      <c r="B11752" s="15" t="s">
        <v>23106</v>
      </c>
      <c r="C11752" s="16">
        <f>270.01/(1+B2)</f>
        <v>270.01</v>
      </c>
      <c r="D11752" s="17" t="s">
        <v>11</v>
      </c>
      <c r="E11752" s="17"/>
      <c r="F11752" s="18"/>
      <c r="G11752" s="36" t="str">
        <f>IF(ISNUMBER(F11752),C11752*F11752,"")</f>
        <v/>
      </c>
    </row>
    <row r="11753" spans="1:7" ht="12" customHeight="1" outlineLevel="2" x14ac:dyDescent="0.2">
      <c r="A11753" s="14" t="s">
        <v>23107</v>
      </c>
      <c r="B11753" s="15" t="s">
        <v>23108</v>
      </c>
      <c r="C11753" s="16">
        <f>168.32/(1+B2)</f>
        <v>168.32</v>
      </c>
      <c r="D11753" s="17" t="s">
        <v>14</v>
      </c>
      <c r="E11753" s="17" t="s">
        <v>53</v>
      </c>
      <c r="F11753" s="18"/>
      <c r="G11753" s="36" t="str">
        <f>IF(ISNUMBER(F11753),C11753*F11753,"")</f>
        <v/>
      </c>
    </row>
    <row r="11754" spans="1:7" ht="12" customHeight="1" outlineLevel="2" x14ac:dyDescent="0.2">
      <c r="A11754" s="14" t="s">
        <v>23109</v>
      </c>
      <c r="B11754" s="15" t="s">
        <v>23110</v>
      </c>
      <c r="C11754" s="16">
        <f>192/(1+B2)</f>
        <v>192</v>
      </c>
      <c r="D11754" s="17" t="s">
        <v>11</v>
      </c>
      <c r="E11754" s="17" t="s">
        <v>53</v>
      </c>
      <c r="F11754" s="18"/>
      <c r="G11754" s="36" t="str">
        <f>IF(ISNUMBER(F11754),C11754*F11754,"")</f>
        <v/>
      </c>
    </row>
    <row r="11755" spans="1:7" ht="24" customHeight="1" outlineLevel="2" x14ac:dyDescent="0.2">
      <c r="A11755" s="14" t="s">
        <v>23111</v>
      </c>
      <c r="B11755" s="15" t="s">
        <v>23112</v>
      </c>
      <c r="C11755" s="16">
        <f>72.74/(1+B2)</f>
        <v>72.739999999999995</v>
      </c>
      <c r="D11755" s="17" t="s">
        <v>14</v>
      </c>
      <c r="E11755" s="17" t="s">
        <v>106</v>
      </c>
      <c r="F11755" s="18"/>
      <c r="G11755" s="36" t="str">
        <f>IF(ISNUMBER(F11755),C11755*F11755,"")</f>
        <v/>
      </c>
    </row>
    <row r="11756" spans="1:7" ht="12" customHeight="1" outlineLevel="2" x14ac:dyDescent="0.2">
      <c r="A11756" s="14" t="s">
        <v>23113</v>
      </c>
      <c r="B11756" s="15" t="s">
        <v>23114</v>
      </c>
      <c r="C11756" s="16">
        <f>284.4/(1+B2)</f>
        <v>284.39999999999998</v>
      </c>
      <c r="D11756" s="17" t="s">
        <v>11</v>
      </c>
      <c r="E11756" s="17" t="s">
        <v>53</v>
      </c>
      <c r="F11756" s="18"/>
      <c r="G11756" s="36" t="str">
        <f>IF(ISNUMBER(F11756),C11756*F11756,"")</f>
        <v/>
      </c>
    </row>
    <row r="11757" spans="1:7" ht="12" customHeight="1" outlineLevel="2" x14ac:dyDescent="0.2">
      <c r="A11757" s="14" t="s">
        <v>23115</v>
      </c>
      <c r="B11757" s="15" t="s">
        <v>23116</v>
      </c>
      <c r="C11757" s="16">
        <f>283.5/(1+B2)</f>
        <v>283.5</v>
      </c>
      <c r="D11757" s="17" t="s">
        <v>14</v>
      </c>
      <c r="E11757" s="17" t="s">
        <v>53</v>
      </c>
      <c r="F11757" s="18"/>
      <c r="G11757" s="36" t="str">
        <f>IF(ISNUMBER(F11757),C11757*F11757,"")</f>
        <v/>
      </c>
    </row>
    <row r="11758" spans="1:7" ht="24" customHeight="1" outlineLevel="2" x14ac:dyDescent="0.2">
      <c r="A11758" s="14" t="s">
        <v>23117</v>
      </c>
      <c r="B11758" s="15" t="s">
        <v>23118</v>
      </c>
      <c r="C11758" s="16">
        <f>155.03/(1+B2)</f>
        <v>155.03</v>
      </c>
      <c r="D11758" s="17" t="s">
        <v>53</v>
      </c>
      <c r="E11758" s="17" t="s">
        <v>106</v>
      </c>
      <c r="F11758" s="18"/>
      <c r="G11758" s="36" t="str">
        <f>IF(ISNUMBER(F11758),C11758*F11758,"")</f>
        <v/>
      </c>
    </row>
    <row r="11759" spans="1:7" ht="12" customHeight="1" outlineLevel="2" x14ac:dyDescent="0.2">
      <c r="A11759" s="14" t="s">
        <v>23119</v>
      </c>
      <c r="B11759" s="15" t="s">
        <v>23120</v>
      </c>
      <c r="C11759" s="16">
        <f>55.52/(1+B2)</f>
        <v>55.52</v>
      </c>
      <c r="D11759" s="17" t="s">
        <v>14</v>
      </c>
      <c r="E11759" s="17"/>
      <c r="F11759" s="18"/>
      <c r="G11759" s="36" t="str">
        <f>IF(ISNUMBER(F11759),C11759*F11759,"")</f>
        <v/>
      </c>
    </row>
    <row r="11760" spans="1:7" ht="12" customHeight="1" outlineLevel="2" x14ac:dyDescent="0.2">
      <c r="A11760" s="14" t="s">
        <v>23121</v>
      </c>
      <c r="B11760" s="15" t="s">
        <v>23122</v>
      </c>
      <c r="C11760" s="16">
        <f>52.2/(1+B2)</f>
        <v>52.2</v>
      </c>
      <c r="D11760" s="17" t="s">
        <v>11</v>
      </c>
      <c r="E11760" s="17" t="s">
        <v>106</v>
      </c>
      <c r="F11760" s="18"/>
      <c r="G11760" s="36" t="str">
        <f>IF(ISNUMBER(F11760),C11760*F11760,"")</f>
        <v/>
      </c>
    </row>
    <row r="11761" spans="1:7" ht="12" customHeight="1" outlineLevel="2" x14ac:dyDescent="0.2">
      <c r="A11761" s="14" t="s">
        <v>23123</v>
      </c>
      <c r="B11761" s="15" t="s">
        <v>23124</v>
      </c>
      <c r="C11761" s="16">
        <f>82.08/(1+B2)</f>
        <v>82.08</v>
      </c>
      <c r="D11761" s="17" t="s">
        <v>11</v>
      </c>
      <c r="E11761" s="17" t="s">
        <v>106</v>
      </c>
      <c r="F11761" s="18"/>
      <c r="G11761" s="36" t="str">
        <f>IF(ISNUMBER(F11761),C11761*F11761,"")</f>
        <v/>
      </c>
    </row>
    <row r="11762" spans="1:7" ht="12" customHeight="1" outlineLevel="2" x14ac:dyDescent="0.2">
      <c r="A11762" s="14" t="s">
        <v>23125</v>
      </c>
      <c r="B11762" s="15" t="s">
        <v>23126</v>
      </c>
      <c r="C11762" s="16">
        <f>201.55/(1+B2)</f>
        <v>201.55</v>
      </c>
      <c r="D11762" s="17" t="s">
        <v>14</v>
      </c>
      <c r="E11762" s="17" t="s">
        <v>53</v>
      </c>
      <c r="F11762" s="18"/>
      <c r="G11762" s="36" t="str">
        <f>IF(ISNUMBER(F11762),C11762*F11762,"")</f>
        <v/>
      </c>
    </row>
    <row r="11763" spans="1:7" ht="12" customHeight="1" outlineLevel="2" x14ac:dyDescent="0.2">
      <c r="A11763" s="14" t="s">
        <v>23127</v>
      </c>
      <c r="B11763" s="15" t="s">
        <v>23128</v>
      </c>
      <c r="C11763" s="16">
        <f>29.57/(1+B2)</f>
        <v>29.57</v>
      </c>
      <c r="D11763" s="17" t="s">
        <v>11</v>
      </c>
      <c r="E11763" s="17"/>
      <c r="F11763" s="18"/>
      <c r="G11763" s="36" t="str">
        <f>IF(ISNUMBER(F11763),C11763*F11763,"")</f>
        <v/>
      </c>
    </row>
    <row r="11764" spans="1:7" ht="12" customHeight="1" outlineLevel="2" x14ac:dyDescent="0.2">
      <c r="A11764" s="14" t="s">
        <v>23129</v>
      </c>
      <c r="B11764" s="15" t="s">
        <v>23130</v>
      </c>
      <c r="C11764" s="16">
        <f>118.8/(1+B2)</f>
        <v>118.8</v>
      </c>
      <c r="D11764" s="17" t="s">
        <v>11</v>
      </c>
      <c r="E11764" s="17"/>
      <c r="F11764" s="18"/>
      <c r="G11764" s="36" t="str">
        <f>IF(ISNUMBER(F11764),C11764*F11764,"")</f>
        <v/>
      </c>
    </row>
    <row r="11765" spans="1:7" ht="12" customHeight="1" outlineLevel="2" x14ac:dyDescent="0.2">
      <c r="A11765" s="14" t="s">
        <v>23131</v>
      </c>
      <c r="B11765" s="15" t="s">
        <v>23132</v>
      </c>
      <c r="C11765" s="16">
        <f>104.4/(1+B2)</f>
        <v>104.4</v>
      </c>
      <c r="D11765" s="17" t="s">
        <v>11</v>
      </c>
      <c r="E11765" s="17" t="s">
        <v>14</v>
      </c>
      <c r="F11765" s="18"/>
      <c r="G11765" s="36" t="str">
        <f>IF(ISNUMBER(F11765),C11765*F11765,"")</f>
        <v/>
      </c>
    </row>
    <row r="11766" spans="1:7" ht="12" customHeight="1" outlineLevel="2" x14ac:dyDescent="0.2">
      <c r="A11766" s="14" t="s">
        <v>23133</v>
      </c>
      <c r="B11766" s="15" t="s">
        <v>23134</v>
      </c>
      <c r="C11766" s="16">
        <f>66.24/(1+B2)</f>
        <v>66.239999999999995</v>
      </c>
      <c r="D11766" s="17" t="s">
        <v>11</v>
      </c>
      <c r="E11766" s="17"/>
      <c r="F11766" s="18"/>
      <c r="G11766" s="36" t="str">
        <f>IF(ISNUMBER(F11766),C11766*F11766,"")</f>
        <v/>
      </c>
    </row>
    <row r="11767" spans="1:7" ht="24" customHeight="1" outlineLevel="2" x14ac:dyDescent="0.2">
      <c r="A11767" s="14" t="s">
        <v>23135</v>
      </c>
      <c r="B11767" s="15" t="s">
        <v>23136</v>
      </c>
      <c r="C11767" s="16">
        <f>71.4/(1+B2)</f>
        <v>71.400000000000006</v>
      </c>
      <c r="D11767" s="17" t="s">
        <v>11</v>
      </c>
      <c r="E11767" s="17"/>
      <c r="F11767" s="18"/>
      <c r="G11767" s="36" t="str">
        <f>IF(ISNUMBER(F11767),C11767*F11767,"")</f>
        <v/>
      </c>
    </row>
    <row r="11768" spans="1:7" ht="12" customHeight="1" outlineLevel="2" x14ac:dyDescent="0.2">
      <c r="A11768" s="14" t="s">
        <v>23137</v>
      </c>
      <c r="B11768" s="15" t="s">
        <v>23138</v>
      </c>
      <c r="C11768" s="16">
        <f>33.34/(1+B2)</f>
        <v>33.340000000000003</v>
      </c>
      <c r="D11768" s="17" t="s">
        <v>53</v>
      </c>
      <c r="E11768" s="17" t="s">
        <v>106</v>
      </c>
      <c r="F11768" s="18"/>
      <c r="G11768" s="36" t="str">
        <f>IF(ISNUMBER(F11768),C11768*F11768,"")</f>
        <v/>
      </c>
    </row>
    <row r="11769" spans="1:7" s="1" customFormat="1" ht="15.95" customHeight="1" x14ac:dyDescent="0.25">
      <c r="A11769" s="8"/>
      <c r="B11769" s="9" t="s">
        <v>23139</v>
      </c>
      <c r="C11769" s="10"/>
      <c r="D11769" s="10"/>
      <c r="E11769" s="10"/>
      <c r="F11769" s="10"/>
      <c r="G11769" s="34"/>
    </row>
    <row r="11770" spans="1:7" s="1" customFormat="1" ht="15.95" customHeight="1" outlineLevel="1" x14ac:dyDescent="0.25">
      <c r="A11770" s="11"/>
      <c r="B11770" s="12" t="s">
        <v>23140</v>
      </c>
      <c r="C11770" s="13"/>
      <c r="D11770" s="13"/>
      <c r="E11770" s="13"/>
      <c r="F11770" s="13"/>
      <c r="G11770" s="35"/>
    </row>
    <row r="11771" spans="1:7" s="1" customFormat="1" ht="12.95" customHeight="1" outlineLevel="2" x14ac:dyDescent="0.2">
      <c r="A11771" s="20"/>
      <c r="B11771" s="21" t="s">
        <v>23141</v>
      </c>
      <c r="C11771" s="22"/>
      <c r="D11771" s="22"/>
      <c r="E11771" s="22"/>
      <c r="F11771" s="22"/>
      <c r="G11771" s="37"/>
    </row>
    <row r="11772" spans="1:7" ht="12" customHeight="1" outlineLevel="3" x14ac:dyDescent="0.2">
      <c r="A11772" s="14" t="s">
        <v>23142</v>
      </c>
      <c r="B11772" s="15" t="s">
        <v>23143</v>
      </c>
      <c r="C11772" s="16">
        <f>47.23/(1+B2)</f>
        <v>47.23</v>
      </c>
      <c r="D11772" s="17" t="s">
        <v>106</v>
      </c>
      <c r="E11772" s="17"/>
      <c r="F11772" s="18"/>
      <c r="G11772" s="36" t="str">
        <f>IF(ISNUMBER(F11772),C11772*F11772,"")</f>
        <v/>
      </c>
    </row>
    <row r="11773" spans="1:7" ht="12" customHeight="1" outlineLevel="3" x14ac:dyDescent="0.2">
      <c r="A11773" s="14" t="s">
        <v>23144</v>
      </c>
      <c r="B11773" s="15" t="s">
        <v>23145</v>
      </c>
      <c r="C11773" s="16">
        <f>56.28/(1+B2)</f>
        <v>56.28</v>
      </c>
      <c r="D11773" s="17" t="s">
        <v>11</v>
      </c>
      <c r="E11773" s="17"/>
      <c r="F11773" s="18"/>
      <c r="G11773" s="36" t="str">
        <f>IF(ISNUMBER(F11773),C11773*F11773,"")</f>
        <v/>
      </c>
    </row>
    <row r="11774" spans="1:7" ht="12" customHeight="1" outlineLevel="3" x14ac:dyDescent="0.2">
      <c r="A11774" s="14" t="s">
        <v>23146</v>
      </c>
      <c r="B11774" s="15" t="s">
        <v>23147</v>
      </c>
      <c r="C11774" s="16">
        <f>92.12/(1+B2)</f>
        <v>92.12</v>
      </c>
      <c r="D11774" s="17" t="s">
        <v>11</v>
      </c>
      <c r="E11774" s="17"/>
      <c r="F11774" s="18"/>
      <c r="G11774" s="36" t="str">
        <f>IF(ISNUMBER(F11774),C11774*F11774,"")</f>
        <v/>
      </c>
    </row>
    <row r="11775" spans="1:7" ht="12" customHeight="1" outlineLevel="3" x14ac:dyDescent="0.2">
      <c r="A11775" s="14" t="s">
        <v>23148</v>
      </c>
      <c r="B11775" s="15" t="s">
        <v>23149</v>
      </c>
      <c r="C11775" s="16">
        <f>193.75/(1+B2)</f>
        <v>193.75</v>
      </c>
      <c r="D11775" s="17" t="s">
        <v>11</v>
      </c>
      <c r="E11775" s="17"/>
      <c r="F11775" s="18"/>
      <c r="G11775" s="36" t="str">
        <f>IF(ISNUMBER(F11775),C11775*F11775,"")</f>
        <v/>
      </c>
    </row>
    <row r="11776" spans="1:7" ht="12" customHeight="1" outlineLevel="3" x14ac:dyDescent="0.2">
      <c r="A11776" s="14" t="s">
        <v>23150</v>
      </c>
      <c r="B11776" s="15" t="s">
        <v>23151</v>
      </c>
      <c r="C11776" s="16">
        <f>115.93/(1+B2)</f>
        <v>115.93</v>
      </c>
      <c r="D11776" s="17" t="s">
        <v>53</v>
      </c>
      <c r="E11776" s="17"/>
      <c r="F11776" s="18"/>
      <c r="G11776" s="36" t="str">
        <f>IF(ISNUMBER(F11776),C11776*F11776,"")</f>
        <v/>
      </c>
    </row>
    <row r="11777" spans="1:7" ht="12" customHeight="1" outlineLevel="3" x14ac:dyDescent="0.2">
      <c r="A11777" s="14" t="s">
        <v>23152</v>
      </c>
      <c r="B11777" s="15" t="s">
        <v>23153</v>
      </c>
      <c r="C11777" s="16">
        <f>28.22/(1+B2)</f>
        <v>28.22</v>
      </c>
      <c r="D11777" s="17" t="s">
        <v>106</v>
      </c>
      <c r="E11777" s="17" t="s">
        <v>106</v>
      </c>
      <c r="F11777" s="18"/>
      <c r="G11777" s="36" t="str">
        <f>IF(ISNUMBER(F11777),C11777*F11777,"")</f>
        <v/>
      </c>
    </row>
    <row r="11778" spans="1:7" ht="12" customHeight="1" outlineLevel="3" x14ac:dyDescent="0.2">
      <c r="A11778" s="14" t="s">
        <v>23154</v>
      </c>
      <c r="B11778" s="15" t="s">
        <v>23155</v>
      </c>
      <c r="C11778" s="16">
        <f>28.46/(1+B2)</f>
        <v>28.46</v>
      </c>
      <c r="D11778" s="17" t="s">
        <v>53</v>
      </c>
      <c r="E11778" s="17" t="s">
        <v>106</v>
      </c>
      <c r="F11778" s="18"/>
      <c r="G11778" s="36" t="str">
        <f>IF(ISNUMBER(F11778),C11778*F11778,"")</f>
        <v/>
      </c>
    </row>
    <row r="11779" spans="1:7" ht="12" customHeight="1" outlineLevel="3" x14ac:dyDescent="0.2">
      <c r="A11779" s="14" t="s">
        <v>23156</v>
      </c>
      <c r="B11779" s="15" t="s">
        <v>23157</v>
      </c>
      <c r="C11779" s="16">
        <f>35.2/(1+B2)</f>
        <v>35.200000000000003</v>
      </c>
      <c r="D11779" s="17" t="s">
        <v>106</v>
      </c>
      <c r="E11779" s="17" t="s">
        <v>106</v>
      </c>
      <c r="F11779" s="18"/>
      <c r="G11779" s="36" t="str">
        <f>IF(ISNUMBER(F11779),C11779*F11779,"")</f>
        <v/>
      </c>
    </row>
    <row r="11780" spans="1:7" ht="12" customHeight="1" outlineLevel="3" x14ac:dyDescent="0.2">
      <c r="A11780" s="14" t="s">
        <v>23158</v>
      </c>
      <c r="B11780" s="15" t="s">
        <v>23159</v>
      </c>
      <c r="C11780" s="16">
        <f>29.31/(1+B2)</f>
        <v>29.31</v>
      </c>
      <c r="D11780" s="17" t="s">
        <v>106</v>
      </c>
      <c r="E11780" s="17" t="s">
        <v>106</v>
      </c>
      <c r="F11780" s="18"/>
      <c r="G11780" s="36" t="str">
        <f>IF(ISNUMBER(F11780),C11780*F11780,"")</f>
        <v/>
      </c>
    </row>
    <row r="11781" spans="1:7" ht="12" customHeight="1" outlineLevel="3" x14ac:dyDescent="0.2">
      <c r="A11781" s="14" t="s">
        <v>23160</v>
      </c>
      <c r="B11781" s="15" t="s">
        <v>23161</v>
      </c>
      <c r="C11781" s="16">
        <f>42.99/(1+B2)</f>
        <v>42.99</v>
      </c>
      <c r="D11781" s="17" t="s">
        <v>11</v>
      </c>
      <c r="E11781" s="17"/>
      <c r="F11781" s="18"/>
      <c r="G11781" s="36" t="str">
        <f>IF(ISNUMBER(F11781),C11781*F11781,"")</f>
        <v/>
      </c>
    </row>
    <row r="11782" spans="1:7" ht="12" customHeight="1" outlineLevel="3" x14ac:dyDescent="0.2">
      <c r="A11782" s="14" t="s">
        <v>23162</v>
      </c>
      <c r="B11782" s="15" t="s">
        <v>23163</v>
      </c>
      <c r="C11782" s="16">
        <f>48.66/(1+B2)</f>
        <v>48.66</v>
      </c>
      <c r="D11782" s="17" t="s">
        <v>53</v>
      </c>
      <c r="E11782" s="17" t="s">
        <v>106</v>
      </c>
      <c r="F11782" s="18"/>
      <c r="G11782" s="36" t="str">
        <f>IF(ISNUMBER(F11782),C11782*F11782,"")</f>
        <v/>
      </c>
    </row>
    <row r="11783" spans="1:7" ht="12" customHeight="1" outlineLevel="3" x14ac:dyDescent="0.2">
      <c r="A11783" s="14" t="s">
        <v>23164</v>
      </c>
      <c r="B11783" s="15" t="s">
        <v>23165</v>
      </c>
      <c r="C11783" s="16">
        <f>34.52/(1+B2)</f>
        <v>34.520000000000003</v>
      </c>
      <c r="D11783" s="17" t="s">
        <v>53</v>
      </c>
      <c r="E11783" s="17" t="s">
        <v>106</v>
      </c>
      <c r="F11783" s="18"/>
      <c r="G11783" s="36" t="str">
        <f>IF(ISNUMBER(F11783),C11783*F11783,"")</f>
        <v/>
      </c>
    </row>
    <row r="11784" spans="1:7" ht="12" customHeight="1" outlineLevel="3" x14ac:dyDescent="0.2">
      <c r="A11784" s="14" t="s">
        <v>23166</v>
      </c>
      <c r="B11784" s="15" t="s">
        <v>23167</v>
      </c>
      <c r="C11784" s="16">
        <f>36.1/(1+B2)</f>
        <v>36.1</v>
      </c>
      <c r="D11784" s="17" t="s">
        <v>106</v>
      </c>
      <c r="E11784" s="17" t="s">
        <v>106</v>
      </c>
      <c r="F11784" s="18"/>
      <c r="G11784" s="36" t="str">
        <f>IF(ISNUMBER(F11784),C11784*F11784,"")</f>
        <v/>
      </c>
    </row>
    <row r="11785" spans="1:7" ht="12" customHeight="1" outlineLevel="3" x14ac:dyDescent="0.2">
      <c r="A11785" s="14" t="s">
        <v>23168</v>
      </c>
      <c r="B11785" s="15" t="s">
        <v>23169</v>
      </c>
      <c r="C11785" s="16">
        <f>50.91/(1+B2)</f>
        <v>50.91</v>
      </c>
      <c r="D11785" s="17" t="s">
        <v>106</v>
      </c>
      <c r="E11785" s="17"/>
      <c r="F11785" s="18"/>
      <c r="G11785" s="36" t="str">
        <f>IF(ISNUMBER(F11785),C11785*F11785,"")</f>
        <v/>
      </c>
    </row>
    <row r="11786" spans="1:7" ht="12" customHeight="1" outlineLevel="3" x14ac:dyDescent="0.2">
      <c r="A11786" s="14" t="s">
        <v>23170</v>
      </c>
      <c r="B11786" s="15" t="s">
        <v>23171</v>
      </c>
      <c r="C11786" s="16">
        <f>51.59/(1+B2)</f>
        <v>51.59</v>
      </c>
      <c r="D11786" s="17" t="s">
        <v>53</v>
      </c>
      <c r="E11786" s="17" t="s">
        <v>14</v>
      </c>
      <c r="F11786" s="18"/>
      <c r="G11786" s="36" t="str">
        <f>IF(ISNUMBER(F11786),C11786*F11786,"")</f>
        <v/>
      </c>
    </row>
    <row r="11787" spans="1:7" ht="12" customHeight="1" outlineLevel="3" x14ac:dyDescent="0.2">
      <c r="A11787" s="14" t="s">
        <v>23172</v>
      </c>
      <c r="B11787" s="15" t="s">
        <v>23173</v>
      </c>
      <c r="C11787" s="16">
        <f>50.05/(1+B2)</f>
        <v>50.05</v>
      </c>
      <c r="D11787" s="17" t="s">
        <v>14</v>
      </c>
      <c r="E11787" s="17"/>
      <c r="F11787" s="18"/>
      <c r="G11787" s="36" t="str">
        <f>IF(ISNUMBER(F11787),C11787*F11787,"")</f>
        <v/>
      </c>
    </row>
    <row r="11788" spans="1:7" ht="12" customHeight="1" outlineLevel="3" x14ac:dyDescent="0.2">
      <c r="A11788" s="14" t="s">
        <v>23174</v>
      </c>
      <c r="B11788" s="15" t="s">
        <v>23175</v>
      </c>
      <c r="C11788" s="16">
        <f>47.04/(1+B2)</f>
        <v>47.04</v>
      </c>
      <c r="D11788" s="17" t="s">
        <v>106</v>
      </c>
      <c r="E11788" s="17" t="s">
        <v>106</v>
      </c>
      <c r="F11788" s="18"/>
      <c r="G11788" s="36" t="str">
        <f>IF(ISNUMBER(F11788),C11788*F11788,"")</f>
        <v/>
      </c>
    </row>
    <row r="11789" spans="1:7" ht="12" customHeight="1" outlineLevel="3" x14ac:dyDescent="0.2">
      <c r="A11789" s="14" t="s">
        <v>23176</v>
      </c>
      <c r="B11789" s="15" t="s">
        <v>23177</v>
      </c>
      <c r="C11789" s="16">
        <f>54.56/(1+B2)</f>
        <v>54.56</v>
      </c>
      <c r="D11789" s="17" t="s">
        <v>11</v>
      </c>
      <c r="E11789" s="17"/>
      <c r="F11789" s="18"/>
      <c r="G11789" s="36" t="str">
        <f>IF(ISNUMBER(F11789),C11789*F11789,"")</f>
        <v/>
      </c>
    </row>
    <row r="11790" spans="1:7" ht="12" customHeight="1" outlineLevel="3" x14ac:dyDescent="0.2">
      <c r="A11790" s="14" t="s">
        <v>23178</v>
      </c>
      <c r="B11790" s="15" t="s">
        <v>23179</v>
      </c>
      <c r="C11790" s="16">
        <f>87.92/(1+B2)</f>
        <v>87.92</v>
      </c>
      <c r="D11790" s="17" t="s">
        <v>11</v>
      </c>
      <c r="E11790" s="17" t="s">
        <v>106</v>
      </c>
      <c r="F11790" s="18"/>
      <c r="G11790" s="36" t="str">
        <f>IF(ISNUMBER(F11790),C11790*F11790,"")</f>
        <v/>
      </c>
    </row>
    <row r="11791" spans="1:7" ht="12" customHeight="1" outlineLevel="3" x14ac:dyDescent="0.2">
      <c r="A11791" s="14" t="s">
        <v>23180</v>
      </c>
      <c r="B11791" s="15" t="s">
        <v>23181</v>
      </c>
      <c r="C11791" s="16">
        <f>100.32/(1+B2)</f>
        <v>100.32</v>
      </c>
      <c r="D11791" s="17" t="s">
        <v>106</v>
      </c>
      <c r="E11791" s="17" t="s">
        <v>106</v>
      </c>
      <c r="F11791" s="18"/>
      <c r="G11791" s="36" t="str">
        <f>IF(ISNUMBER(F11791),C11791*F11791,"")</f>
        <v/>
      </c>
    </row>
    <row r="11792" spans="1:7" ht="12" customHeight="1" outlineLevel="3" x14ac:dyDescent="0.2">
      <c r="A11792" s="14" t="s">
        <v>23182</v>
      </c>
      <c r="B11792" s="15" t="s">
        <v>23183</v>
      </c>
      <c r="C11792" s="16">
        <f>87.99/(1+B2)</f>
        <v>87.99</v>
      </c>
      <c r="D11792" s="17" t="s">
        <v>53</v>
      </c>
      <c r="E11792" s="17" t="s">
        <v>106</v>
      </c>
      <c r="F11792" s="18"/>
      <c r="G11792" s="36" t="str">
        <f>IF(ISNUMBER(F11792),C11792*F11792,"")</f>
        <v/>
      </c>
    </row>
    <row r="11793" spans="1:7" ht="12" customHeight="1" outlineLevel="3" x14ac:dyDescent="0.2">
      <c r="A11793" s="14" t="s">
        <v>23184</v>
      </c>
      <c r="B11793" s="15" t="s">
        <v>23185</v>
      </c>
      <c r="C11793" s="16">
        <f>49.85/(1+B2)</f>
        <v>49.85</v>
      </c>
      <c r="D11793" s="17" t="s">
        <v>11</v>
      </c>
      <c r="E11793" s="17"/>
      <c r="F11793" s="18"/>
      <c r="G11793" s="36" t="str">
        <f>IF(ISNUMBER(F11793),C11793*F11793,"")</f>
        <v/>
      </c>
    </row>
    <row r="11794" spans="1:7" ht="12" customHeight="1" outlineLevel="3" x14ac:dyDescent="0.2">
      <c r="A11794" s="14" t="s">
        <v>23186</v>
      </c>
      <c r="B11794" s="15" t="s">
        <v>23187</v>
      </c>
      <c r="C11794" s="16">
        <f>156.34/(1+B2)</f>
        <v>156.34</v>
      </c>
      <c r="D11794" s="17" t="s">
        <v>53</v>
      </c>
      <c r="E11794" s="17"/>
      <c r="F11794" s="18"/>
      <c r="G11794" s="36" t="str">
        <f>IF(ISNUMBER(F11794),C11794*F11794,"")</f>
        <v/>
      </c>
    </row>
    <row r="11795" spans="1:7" ht="12" customHeight="1" outlineLevel="3" x14ac:dyDescent="0.2">
      <c r="A11795" s="14" t="s">
        <v>23188</v>
      </c>
      <c r="B11795" s="15" t="s">
        <v>23189</v>
      </c>
      <c r="C11795" s="16">
        <f>20.1/(1+B2)</f>
        <v>20.100000000000001</v>
      </c>
      <c r="D11795" s="17" t="s">
        <v>11</v>
      </c>
      <c r="E11795" s="17"/>
      <c r="F11795" s="18"/>
      <c r="G11795" s="36" t="str">
        <f>IF(ISNUMBER(F11795),C11795*F11795,"")</f>
        <v/>
      </c>
    </row>
    <row r="11796" spans="1:7" ht="12" customHeight="1" outlineLevel="3" x14ac:dyDescent="0.2">
      <c r="A11796" s="14" t="s">
        <v>23190</v>
      </c>
      <c r="B11796" s="15" t="s">
        <v>23191</v>
      </c>
      <c r="C11796" s="16">
        <f>20.66/(1+B2)</f>
        <v>20.66</v>
      </c>
      <c r="D11796" s="17" t="s">
        <v>106</v>
      </c>
      <c r="E11796" s="17" t="s">
        <v>106</v>
      </c>
      <c r="F11796" s="18"/>
      <c r="G11796" s="36" t="str">
        <f>IF(ISNUMBER(F11796),C11796*F11796,"")</f>
        <v/>
      </c>
    </row>
    <row r="11797" spans="1:7" ht="12" customHeight="1" outlineLevel="3" x14ac:dyDescent="0.2">
      <c r="A11797" s="14" t="s">
        <v>23192</v>
      </c>
      <c r="B11797" s="15" t="s">
        <v>23193</v>
      </c>
      <c r="C11797" s="16">
        <f>21.66/(1+B2)</f>
        <v>21.66</v>
      </c>
      <c r="D11797" s="17" t="s">
        <v>106</v>
      </c>
      <c r="E11797" s="17" t="s">
        <v>106</v>
      </c>
      <c r="F11797" s="18"/>
      <c r="G11797" s="36" t="str">
        <f>IF(ISNUMBER(F11797),C11797*F11797,"")</f>
        <v/>
      </c>
    </row>
    <row r="11798" spans="1:7" ht="12" customHeight="1" outlineLevel="3" x14ac:dyDescent="0.2">
      <c r="A11798" s="14" t="s">
        <v>23194</v>
      </c>
      <c r="B11798" s="15" t="s">
        <v>23195</v>
      </c>
      <c r="C11798" s="16">
        <f>20.66/(1+B2)</f>
        <v>20.66</v>
      </c>
      <c r="D11798" s="17" t="s">
        <v>106</v>
      </c>
      <c r="E11798" s="17" t="s">
        <v>106</v>
      </c>
      <c r="F11798" s="18"/>
      <c r="G11798" s="36" t="str">
        <f>IF(ISNUMBER(F11798),C11798*F11798,"")</f>
        <v/>
      </c>
    </row>
    <row r="11799" spans="1:7" ht="12" customHeight="1" outlineLevel="3" x14ac:dyDescent="0.2">
      <c r="A11799" s="14" t="s">
        <v>23196</v>
      </c>
      <c r="B11799" s="15" t="s">
        <v>23197</v>
      </c>
      <c r="C11799" s="16">
        <f>20.66/(1+B2)</f>
        <v>20.66</v>
      </c>
      <c r="D11799" s="17" t="s">
        <v>106</v>
      </c>
      <c r="E11799" s="17" t="s">
        <v>106</v>
      </c>
      <c r="F11799" s="18"/>
      <c r="G11799" s="36" t="str">
        <f>IF(ISNUMBER(F11799),C11799*F11799,"")</f>
        <v/>
      </c>
    </row>
    <row r="11800" spans="1:7" ht="12" customHeight="1" outlineLevel="3" x14ac:dyDescent="0.2">
      <c r="A11800" s="14" t="s">
        <v>23198</v>
      </c>
      <c r="B11800" s="15" t="s">
        <v>23199</v>
      </c>
      <c r="C11800" s="16">
        <f>27.6/(1+B2)</f>
        <v>27.6</v>
      </c>
      <c r="D11800" s="17" t="s">
        <v>106</v>
      </c>
      <c r="E11800" s="17" t="s">
        <v>106</v>
      </c>
      <c r="F11800" s="18"/>
      <c r="G11800" s="36" t="str">
        <f>IF(ISNUMBER(F11800),C11800*F11800,"")</f>
        <v/>
      </c>
    </row>
    <row r="11801" spans="1:7" ht="12" customHeight="1" outlineLevel="3" x14ac:dyDescent="0.2">
      <c r="A11801" s="14" t="s">
        <v>23200</v>
      </c>
      <c r="B11801" s="15" t="s">
        <v>23201</v>
      </c>
      <c r="C11801" s="16">
        <f>27.73/(1+B2)</f>
        <v>27.73</v>
      </c>
      <c r="D11801" s="17" t="s">
        <v>14</v>
      </c>
      <c r="E11801" s="17" t="s">
        <v>106</v>
      </c>
      <c r="F11801" s="18"/>
      <c r="G11801" s="36" t="str">
        <f>IF(ISNUMBER(F11801),C11801*F11801,"")</f>
        <v/>
      </c>
    </row>
    <row r="11802" spans="1:7" ht="12" customHeight="1" outlineLevel="3" x14ac:dyDescent="0.2">
      <c r="A11802" s="14" t="s">
        <v>23202</v>
      </c>
      <c r="B11802" s="15" t="s">
        <v>23203</v>
      </c>
      <c r="C11802" s="16">
        <f>28.09/(1+B2)</f>
        <v>28.09</v>
      </c>
      <c r="D11802" s="17"/>
      <c r="E11802" s="17" t="s">
        <v>106</v>
      </c>
      <c r="F11802" s="18"/>
      <c r="G11802" s="36" t="str">
        <f>IF(ISNUMBER(F11802),C11802*F11802,"")</f>
        <v/>
      </c>
    </row>
    <row r="11803" spans="1:7" ht="12" customHeight="1" outlineLevel="3" x14ac:dyDescent="0.2">
      <c r="A11803" s="14" t="s">
        <v>23204</v>
      </c>
      <c r="B11803" s="15" t="s">
        <v>23205</v>
      </c>
      <c r="C11803" s="16">
        <f>31.3/(1+B2)</f>
        <v>31.3</v>
      </c>
      <c r="D11803" s="17" t="s">
        <v>14</v>
      </c>
      <c r="E11803" s="17" t="s">
        <v>106</v>
      </c>
      <c r="F11803" s="18"/>
      <c r="G11803" s="36" t="str">
        <f>IF(ISNUMBER(F11803),C11803*F11803,"")</f>
        <v/>
      </c>
    </row>
    <row r="11804" spans="1:7" ht="12" customHeight="1" outlineLevel="3" x14ac:dyDescent="0.2">
      <c r="A11804" s="14" t="s">
        <v>23206</v>
      </c>
      <c r="B11804" s="15" t="s">
        <v>23207</v>
      </c>
      <c r="C11804" s="16">
        <f>28.46/(1+B2)</f>
        <v>28.46</v>
      </c>
      <c r="D11804" s="17" t="s">
        <v>106</v>
      </c>
      <c r="E11804" s="17" t="s">
        <v>106</v>
      </c>
      <c r="F11804" s="18"/>
      <c r="G11804" s="36" t="str">
        <f>IF(ISNUMBER(F11804),C11804*F11804,"")</f>
        <v/>
      </c>
    </row>
    <row r="11805" spans="1:7" ht="12" customHeight="1" outlineLevel="3" x14ac:dyDescent="0.2">
      <c r="A11805" s="14" t="s">
        <v>23208</v>
      </c>
      <c r="B11805" s="15" t="s">
        <v>23209</v>
      </c>
      <c r="C11805" s="16">
        <f>28.95/(1+B2)</f>
        <v>28.95</v>
      </c>
      <c r="D11805" s="17" t="s">
        <v>106</v>
      </c>
      <c r="E11805" s="17"/>
      <c r="F11805" s="18"/>
      <c r="G11805" s="36" t="str">
        <f>IF(ISNUMBER(F11805),C11805*F11805,"")</f>
        <v/>
      </c>
    </row>
    <row r="11806" spans="1:7" ht="12" customHeight="1" outlineLevel="3" x14ac:dyDescent="0.2">
      <c r="A11806" s="14" t="s">
        <v>23210</v>
      </c>
      <c r="B11806" s="15" t="s">
        <v>23211</v>
      </c>
      <c r="C11806" s="16">
        <f>29.9/(1+B2)</f>
        <v>29.9</v>
      </c>
      <c r="D11806" s="17" t="s">
        <v>53</v>
      </c>
      <c r="E11806" s="17" t="s">
        <v>106</v>
      </c>
      <c r="F11806" s="18"/>
      <c r="G11806" s="36" t="str">
        <f>IF(ISNUMBER(F11806),C11806*F11806,"")</f>
        <v/>
      </c>
    </row>
    <row r="11807" spans="1:7" ht="12" customHeight="1" outlineLevel="3" x14ac:dyDescent="0.2">
      <c r="A11807" s="14" t="s">
        <v>23212</v>
      </c>
      <c r="B11807" s="15" t="s">
        <v>23213</v>
      </c>
      <c r="C11807" s="16">
        <f>32.1/(1+B2)</f>
        <v>32.1</v>
      </c>
      <c r="D11807" s="17" t="s">
        <v>106</v>
      </c>
      <c r="E11807" s="17"/>
      <c r="F11807" s="18"/>
      <c r="G11807" s="36" t="str">
        <f>IF(ISNUMBER(F11807),C11807*F11807,"")</f>
        <v/>
      </c>
    </row>
    <row r="11808" spans="1:7" ht="12" customHeight="1" outlineLevel="3" x14ac:dyDescent="0.2">
      <c r="A11808" s="14" t="s">
        <v>23214</v>
      </c>
      <c r="B11808" s="15" t="s">
        <v>23215</v>
      </c>
      <c r="C11808" s="16">
        <f>26.98/(1+B2)</f>
        <v>26.98</v>
      </c>
      <c r="D11808" s="17" t="s">
        <v>14</v>
      </c>
      <c r="E11808" s="17" t="s">
        <v>106</v>
      </c>
      <c r="F11808" s="18"/>
      <c r="G11808" s="36" t="str">
        <f>IF(ISNUMBER(F11808),C11808*F11808,"")</f>
        <v/>
      </c>
    </row>
    <row r="11809" spans="1:7" ht="12" customHeight="1" outlineLevel="3" x14ac:dyDescent="0.2">
      <c r="A11809" s="14" t="s">
        <v>23216</v>
      </c>
      <c r="B11809" s="15" t="s">
        <v>23217</v>
      </c>
      <c r="C11809" s="16">
        <f>42.64/(1+B2)</f>
        <v>42.64</v>
      </c>
      <c r="D11809" s="17" t="s">
        <v>11</v>
      </c>
      <c r="E11809" s="17"/>
      <c r="F11809" s="18"/>
      <c r="G11809" s="36" t="str">
        <f>IF(ISNUMBER(F11809),C11809*F11809,"")</f>
        <v/>
      </c>
    </row>
    <row r="11810" spans="1:7" ht="12" customHeight="1" outlineLevel="3" x14ac:dyDescent="0.2">
      <c r="A11810" s="14" t="s">
        <v>23218</v>
      </c>
      <c r="B11810" s="15" t="s">
        <v>23219</v>
      </c>
      <c r="C11810" s="16">
        <f>54.23/(1+B2)</f>
        <v>54.23</v>
      </c>
      <c r="D11810" s="17" t="s">
        <v>106</v>
      </c>
      <c r="E11810" s="17" t="s">
        <v>106</v>
      </c>
      <c r="F11810" s="18"/>
      <c r="G11810" s="36" t="str">
        <f>IF(ISNUMBER(F11810),C11810*F11810,"")</f>
        <v/>
      </c>
    </row>
    <row r="11811" spans="1:7" ht="12" customHeight="1" outlineLevel="3" x14ac:dyDescent="0.2">
      <c r="A11811" s="14" t="s">
        <v>23220</v>
      </c>
      <c r="B11811" s="15" t="s">
        <v>23221</v>
      </c>
      <c r="C11811" s="16">
        <f>48.66/(1+B2)</f>
        <v>48.66</v>
      </c>
      <c r="D11811" s="17" t="s">
        <v>106</v>
      </c>
      <c r="E11811" s="17" t="s">
        <v>106</v>
      </c>
      <c r="F11811" s="18"/>
      <c r="G11811" s="36" t="str">
        <f>IF(ISNUMBER(F11811),C11811*F11811,"")</f>
        <v/>
      </c>
    </row>
    <row r="11812" spans="1:7" s="1" customFormat="1" ht="12.95" customHeight="1" outlineLevel="2" x14ac:dyDescent="0.2">
      <c r="A11812" s="20"/>
      <c r="B11812" s="21" t="s">
        <v>23222</v>
      </c>
      <c r="C11812" s="22"/>
      <c r="D11812" s="22"/>
      <c r="E11812" s="22"/>
      <c r="F11812" s="22"/>
      <c r="G11812" s="37"/>
    </row>
    <row r="11813" spans="1:7" ht="12" customHeight="1" outlineLevel="3" x14ac:dyDescent="0.2">
      <c r="A11813" s="14" t="s">
        <v>23223</v>
      </c>
      <c r="B11813" s="15" t="s">
        <v>23224</v>
      </c>
      <c r="C11813" s="16">
        <f>53.64/(1+B2)</f>
        <v>53.64</v>
      </c>
      <c r="D11813" s="17" t="s">
        <v>106</v>
      </c>
      <c r="E11813" s="17"/>
      <c r="F11813" s="18"/>
      <c r="G11813" s="36" t="str">
        <f>IF(ISNUMBER(F11813),C11813*F11813,"")</f>
        <v/>
      </c>
    </row>
    <row r="11814" spans="1:7" ht="12" customHeight="1" outlineLevel="3" x14ac:dyDescent="0.2">
      <c r="A11814" s="14" t="s">
        <v>23225</v>
      </c>
      <c r="B11814" s="15" t="s">
        <v>23226</v>
      </c>
      <c r="C11814" s="16">
        <f>62.15/(1+B2)</f>
        <v>62.15</v>
      </c>
      <c r="D11814" s="17" t="s">
        <v>106</v>
      </c>
      <c r="E11814" s="17"/>
      <c r="F11814" s="18"/>
      <c r="G11814" s="36" t="str">
        <f>IF(ISNUMBER(F11814),C11814*F11814,"")</f>
        <v/>
      </c>
    </row>
    <row r="11815" spans="1:7" ht="12" customHeight="1" outlineLevel="3" x14ac:dyDescent="0.2">
      <c r="A11815" s="14" t="s">
        <v>23227</v>
      </c>
      <c r="B11815" s="15" t="s">
        <v>23228</v>
      </c>
      <c r="C11815" s="16">
        <f>92.1/(1+B2)</f>
        <v>92.1</v>
      </c>
      <c r="D11815" s="17" t="s">
        <v>106</v>
      </c>
      <c r="E11815" s="17" t="s">
        <v>106</v>
      </c>
      <c r="F11815" s="18"/>
      <c r="G11815" s="36" t="str">
        <f>IF(ISNUMBER(F11815),C11815*F11815,"")</f>
        <v/>
      </c>
    </row>
    <row r="11816" spans="1:7" ht="12" customHeight="1" outlineLevel="3" x14ac:dyDescent="0.2">
      <c r="A11816" s="14" t="s">
        <v>23229</v>
      </c>
      <c r="B11816" s="15" t="s">
        <v>23230</v>
      </c>
      <c r="C11816" s="16">
        <f>53.88/(1+B2)</f>
        <v>53.88</v>
      </c>
      <c r="D11816" s="17" t="s">
        <v>11</v>
      </c>
      <c r="E11816" s="17"/>
      <c r="F11816" s="18"/>
      <c r="G11816" s="36" t="str">
        <f>IF(ISNUMBER(F11816),C11816*F11816,"")</f>
        <v/>
      </c>
    </row>
    <row r="11817" spans="1:7" ht="12" customHeight="1" outlineLevel="3" x14ac:dyDescent="0.2">
      <c r="A11817" s="14" t="s">
        <v>23231</v>
      </c>
      <c r="B11817" s="15" t="s">
        <v>23232</v>
      </c>
      <c r="C11817" s="16">
        <f>116.09/(1+B2)</f>
        <v>116.09</v>
      </c>
      <c r="D11817" s="17" t="s">
        <v>53</v>
      </c>
      <c r="E11817" s="17"/>
      <c r="F11817" s="18"/>
      <c r="G11817" s="36" t="str">
        <f>IF(ISNUMBER(F11817),C11817*F11817,"")</f>
        <v/>
      </c>
    </row>
    <row r="11818" spans="1:7" ht="12" customHeight="1" outlineLevel="3" x14ac:dyDescent="0.2">
      <c r="A11818" s="14" t="s">
        <v>23233</v>
      </c>
      <c r="B11818" s="15" t="s">
        <v>23234</v>
      </c>
      <c r="C11818" s="16">
        <f>16.8/(1+B2)</f>
        <v>16.8</v>
      </c>
      <c r="D11818" s="17" t="s">
        <v>53</v>
      </c>
      <c r="E11818" s="17"/>
      <c r="F11818" s="18"/>
      <c r="G11818" s="36" t="str">
        <f>IF(ISNUMBER(F11818),C11818*F11818,"")</f>
        <v/>
      </c>
    </row>
    <row r="11819" spans="1:7" s="1" customFormat="1" ht="15.95" customHeight="1" outlineLevel="1" x14ac:dyDescent="0.25">
      <c r="A11819" s="11"/>
      <c r="B11819" s="12" t="s">
        <v>23235</v>
      </c>
      <c r="C11819" s="13"/>
      <c r="D11819" s="13"/>
      <c r="E11819" s="13"/>
      <c r="F11819" s="13"/>
      <c r="G11819" s="35"/>
    </row>
    <row r="11820" spans="1:7" ht="12" customHeight="1" outlineLevel="2" x14ac:dyDescent="0.2">
      <c r="A11820" s="14" t="s">
        <v>23236</v>
      </c>
      <c r="B11820" s="15" t="s">
        <v>23237</v>
      </c>
      <c r="C11820" s="16">
        <f>382.57/(1+B2)</f>
        <v>382.57</v>
      </c>
      <c r="D11820" s="17" t="s">
        <v>11</v>
      </c>
      <c r="E11820" s="17"/>
      <c r="F11820" s="18"/>
      <c r="G11820" s="36" t="str">
        <f>IF(ISNUMBER(F11820),C11820*F11820,"")</f>
        <v/>
      </c>
    </row>
    <row r="11821" spans="1:7" ht="12" customHeight="1" outlineLevel="2" x14ac:dyDescent="0.2">
      <c r="A11821" s="14" t="s">
        <v>23238</v>
      </c>
      <c r="B11821" s="15" t="s">
        <v>23239</v>
      </c>
      <c r="C11821" s="16">
        <f>434.31/(1+B2)</f>
        <v>434.31</v>
      </c>
      <c r="D11821" s="17" t="s">
        <v>11</v>
      </c>
      <c r="E11821" s="17"/>
      <c r="F11821" s="18"/>
      <c r="G11821" s="36" t="str">
        <f>IF(ISNUMBER(F11821),C11821*F11821,"")</f>
        <v/>
      </c>
    </row>
    <row r="11822" spans="1:7" ht="12" customHeight="1" outlineLevel="2" x14ac:dyDescent="0.2">
      <c r="A11822" s="14" t="s">
        <v>23240</v>
      </c>
      <c r="B11822" s="15" t="s">
        <v>23241</v>
      </c>
      <c r="C11822" s="16">
        <f>610.28/(1+B2)</f>
        <v>610.28</v>
      </c>
      <c r="D11822" s="17" t="s">
        <v>11</v>
      </c>
      <c r="E11822" s="17"/>
      <c r="F11822" s="18"/>
      <c r="G11822" s="36" t="str">
        <f>IF(ISNUMBER(F11822),C11822*F11822,"")</f>
        <v/>
      </c>
    </row>
    <row r="11823" spans="1:7" ht="12" customHeight="1" outlineLevel="2" x14ac:dyDescent="0.2">
      <c r="A11823" s="14" t="s">
        <v>23242</v>
      </c>
      <c r="B11823" s="15" t="s">
        <v>23243</v>
      </c>
      <c r="C11823" s="16">
        <f>290.78/(1+B2)</f>
        <v>290.77999999999997</v>
      </c>
      <c r="D11823" s="17" t="s">
        <v>11</v>
      </c>
      <c r="E11823" s="17"/>
      <c r="F11823" s="18"/>
      <c r="G11823" s="36" t="str">
        <f>IF(ISNUMBER(F11823),C11823*F11823,"")</f>
        <v/>
      </c>
    </row>
    <row r="11824" spans="1:7" ht="12" customHeight="1" outlineLevel="2" x14ac:dyDescent="0.2">
      <c r="A11824" s="14" t="s">
        <v>23244</v>
      </c>
      <c r="B11824" s="15" t="s">
        <v>23245</v>
      </c>
      <c r="C11824" s="16">
        <f>500.3/(1+B2)</f>
        <v>500.3</v>
      </c>
      <c r="D11824" s="17" t="s">
        <v>11</v>
      </c>
      <c r="E11824" s="17"/>
      <c r="F11824" s="18"/>
      <c r="G11824" s="36" t="str">
        <f>IF(ISNUMBER(F11824),C11824*F11824,"")</f>
        <v/>
      </c>
    </row>
    <row r="11825" spans="1:7" ht="12" customHeight="1" outlineLevel="2" x14ac:dyDescent="0.2">
      <c r="A11825" s="14" t="s">
        <v>23246</v>
      </c>
      <c r="B11825" s="15" t="s">
        <v>23247</v>
      </c>
      <c r="C11825" s="19">
        <f>1113.03/(1+B2)</f>
        <v>1113.03</v>
      </c>
      <c r="D11825" s="17" t="s">
        <v>11</v>
      </c>
      <c r="E11825" s="17"/>
      <c r="F11825" s="18"/>
      <c r="G11825" s="36" t="str">
        <f>IF(ISNUMBER(F11825),C11825*F11825,"")</f>
        <v/>
      </c>
    </row>
    <row r="11826" spans="1:7" ht="12" customHeight="1" outlineLevel="2" x14ac:dyDescent="0.2">
      <c r="A11826" s="14" t="s">
        <v>23248</v>
      </c>
      <c r="B11826" s="15" t="s">
        <v>23249</v>
      </c>
      <c r="C11826" s="16">
        <f>420.98/(1+B2)</f>
        <v>420.98</v>
      </c>
      <c r="D11826" s="17" t="s">
        <v>11</v>
      </c>
      <c r="E11826" s="17"/>
      <c r="F11826" s="18"/>
      <c r="G11826" s="36" t="str">
        <f>IF(ISNUMBER(F11826),C11826*F11826,"")</f>
        <v/>
      </c>
    </row>
    <row r="11827" spans="1:7" ht="12" customHeight="1" outlineLevel="2" x14ac:dyDescent="0.2">
      <c r="A11827" s="14" t="s">
        <v>23250</v>
      </c>
      <c r="B11827" s="15" t="s">
        <v>23251</v>
      </c>
      <c r="C11827" s="16">
        <f>420.98/(1+B2)</f>
        <v>420.98</v>
      </c>
      <c r="D11827" s="17" t="s">
        <v>11</v>
      </c>
      <c r="E11827" s="17"/>
      <c r="F11827" s="18"/>
      <c r="G11827" s="36" t="str">
        <f>IF(ISNUMBER(F11827),C11827*F11827,"")</f>
        <v/>
      </c>
    </row>
    <row r="11828" spans="1:7" ht="24" customHeight="1" outlineLevel="2" x14ac:dyDescent="0.2">
      <c r="A11828" s="14" t="s">
        <v>23252</v>
      </c>
      <c r="B11828" s="15" t="s">
        <v>23253</v>
      </c>
      <c r="C11828" s="16">
        <f>420.98/(1+B2)</f>
        <v>420.98</v>
      </c>
      <c r="D11828" s="17" t="s">
        <v>11</v>
      </c>
      <c r="E11828" s="17"/>
      <c r="F11828" s="18"/>
      <c r="G11828" s="36" t="str">
        <f>IF(ISNUMBER(F11828),C11828*F11828,"")</f>
        <v/>
      </c>
    </row>
    <row r="11829" spans="1:7" ht="24" customHeight="1" outlineLevel="2" x14ac:dyDescent="0.2">
      <c r="A11829" s="14" t="s">
        <v>23254</v>
      </c>
      <c r="B11829" s="15" t="s">
        <v>23255</v>
      </c>
      <c r="C11829" s="16">
        <f>958.68/(1+B2)</f>
        <v>958.68</v>
      </c>
      <c r="D11829" s="17" t="s">
        <v>11</v>
      </c>
      <c r="E11829" s="17"/>
      <c r="F11829" s="18"/>
      <c r="G11829" s="36" t="str">
        <f>IF(ISNUMBER(F11829),C11829*F11829,"")</f>
        <v/>
      </c>
    </row>
    <row r="11830" spans="1:7" ht="12" customHeight="1" outlineLevel="2" x14ac:dyDescent="0.2">
      <c r="A11830" s="14" t="s">
        <v>23256</v>
      </c>
      <c r="B11830" s="15" t="s">
        <v>23257</v>
      </c>
      <c r="C11830" s="19">
        <f>1015.15/(1+B2)</f>
        <v>1015.15</v>
      </c>
      <c r="D11830" s="17" t="s">
        <v>11</v>
      </c>
      <c r="E11830" s="17"/>
      <c r="F11830" s="18"/>
      <c r="G11830" s="36" t="str">
        <f>IF(ISNUMBER(F11830),C11830*F11830,"")</f>
        <v/>
      </c>
    </row>
    <row r="11831" spans="1:7" ht="12" customHeight="1" outlineLevel="2" x14ac:dyDescent="0.2">
      <c r="A11831" s="14" t="s">
        <v>23258</v>
      </c>
      <c r="B11831" s="15" t="s">
        <v>23259</v>
      </c>
      <c r="C11831" s="16">
        <f>189.11/(1+B2)</f>
        <v>189.11</v>
      </c>
      <c r="D11831" s="17" t="s">
        <v>11</v>
      </c>
      <c r="E11831" s="17"/>
      <c r="F11831" s="18"/>
      <c r="G11831" s="36" t="str">
        <f>IF(ISNUMBER(F11831),C11831*F11831,"")</f>
        <v/>
      </c>
    </row>
    <row r="11832" spans="1:7" ht="12" customHeight="1" outlineLevel="2" x14ac:dyDescent="0.2">
      <c r="A11832" s="14" t="s">
        <v>23260</v>
      </c>
      <c r="B11832" s="15" t="s">
        <v>23261</v>
      </c>
      <c r="C11832" s="16">
        <f>268.64/(1+B2)</f>
        <v>268.64</v>
      </c>
      <c r="D11832" s="17" t="s">
        <v>11</v>
      </c>
      <c r="E11832" s="17"/>
      <c r="F11832" s="18"/>
      <c r="G11832" s="36" t="str">
        <f>IF(ISNUMBER(F11832),C11832*F11832,"")</f>
        <v/>
      </c>
    </row>
    <row r="11833" spans="1:7" ht="24" customHeight="1" outlineLevel="2" x14ac:dyDescent="0.2">
      <c r="A11833" s="14" t="s">
        <v>23262</v>
      </c>
      <c r="B11833" s="15" t="s">
        <v>23263</v>
      </c>
      <c r="C11833" s="16">
        <f>278.25/(1+B2)</f>
        <v>278.25</v>
      </c>
      <c r="D11833" s="17" t="s">
        <v>11</v>
      </c>
      <c r="E11833" s="17"/>
      <c r="F11833" s="18"/>
      <c r="G11833" s="36" t="str">
        <f>IF(ISNUMBER(F11833),C11833*F11833,"")</f>
        <v/>
      </c>
    </row>
    <row r="11834" spans="1:7" ht="12" customHeight="1" outlineLevel="2" x14ac:dyDescent="0.2">
      <c r="A11834" s="14" t="s">
        <v>23264</v>
      </c>
      <c r="B11834" s="15" t="s">
        <v>23265</v>
      </c>
      <c r="C11834" s="16">
        <f>285.41/(1+B2)</f>
        <v>285.41000000000003</v>
      </c>
      <c r="D11834" s="17" t="s">
        <v>11</v>
      </c>
      <c r="E11834" s="17"/>
      <c r="F11834" s="18"/>
      <c r="G11834" s="36" t="str">
        <f>IF(ISNUMBER(F11834),C11834*F11834,"")</f>
        <v/>
      </c>
    </row>
    <row r="11835" spans="1:7" ht="12" customHeight="1" outlineLevel="2" x14ac:dyDescent="0.2">
      <c r="A11835" s="14" t="s">
        <v>23266</v>
      </c>
      <c r="B11835" s="15" t="s">
        <v>23267</v>
      </c>
      <c r="C11835" s="16">
        <f>958.68/(1+B2)</f>
        <v>958.68</v>
      </c>
      <c r="D11835" s="17" t="s">
        <v>11</v>
      </c>
      <c r="E11835" s="17"/>
      <c r="F11835" s="18"/>
      <c r="G11835" s="36" t="str">
        <f>IF(ISNUMBER(F11835),C11835*F11835,"")</f>
        <v/>
      </c>
    </row>
    <row r="11836" spans="1:7" s="1" customFormat="1" ht="15.95" customHeight="1" outlineLevel="1" x14ac:dyDescent="0.25">
      <c r="A11836" s="11"/>
      <c r="B11836" s="12" t="s">
        <v>23268</v>
      </c>
      <c r="C11836" s="13"/>
      <c r="D11836" s="13"/>
      <c r="E11836" s="13"/>
      <c r="F11836" s="13"/>
      <c r="G11836" s="35"/>
    </row>
    <row r="11837" spans="1:7" ht="12" customHeight="1" outlineLevel="2" x14ac:dyDescent="0.2">
      <c r="A11837" s="14" t="s">
        <v>23269</v>
      </c>
      <c r="B11837" s="15" t="s">
        <v>23270</v>
      </c>
      <c r="C11837" s="19">
        <f>4682.4/(1+B2)</f>
        <v>4682.3999999999996</v>
      </c>
      <c r="D11837" s="17" t="s">
        <v>11</v>
      </c>
      <c r="E11837" s="17"/>
      <c r="F11837" s="18"/>
      <c r="G11837" s="36" t="str">
        <f>IF(ISNUMBER(F11837),C11837*F11837,"")</f>
        <v/>
      </c>
    </row>
    <row r="11838" spans="1:7" ht="12" customHeight="1" outlineLevel="2" x14ac:dyDescent="0.2">
      <c r="A11838" s="14" t="s">
        <v>23271</v>
      </c>
      <c r="B11838" s="15" t="s">
        <v>23272</v>
      </c>
      <c r="C11838" s="16">
        <f>590.41/(1+B2)</f>
        <v>590.41</v>
      </c>
      <c r="D11838" s="17" t="s">
        <v>11</v>
      </c>
      <c r="E11838" s="17"/>
      <c r="F11838" s="18"/>
      <c r="G11838" s="36" t="str">
        <f>IF(ISNUMBER(F11838),C11838*F11838,"")</f>
        <v/>
      </c>
    </row>
    <row r="11839" spans="1:7" ht="12" customHeight="1" outlineLevel="2" x14ac:dyDescent="0.2">
      <c r="A11839" s="14" t="s">
        <v>23273</v>
      </c>
      <c r="B11839" s="15" t="s">
        <v>23274</v>
      </c>
      <c r="C11839" s="16">
        <f>846.64/(1+B2)</f>
        <v>846.64</v>
      </c>
      <c r="D11839" s="17" t="s">
        <v>11</v>
      </c>
      <c r="E11839" s="17"/>
      <c r="F11839" s="18"/>
      <c r="G11839" s="36" t="str">
        <f>IF(ISNUMBER(F11839),C11839*F11839,"")</f>
        <v/>
      </c>
    </row>
    <row r="11840" spans="1:7" ht="12" customHeight="1" outlineLevel="2" x14ac:dyDescent="0.2">
      <c r="A11840" s="14" t="s">
        <v>23275</v>
      </c>
      <c r="B11840" s="15" t="s">
        <v>23276</v>
      </c>
      <c r="C11840" s="16">
        <f>895.7/(1+B2)</f>
        <v>895.7</v>
      </c>
      <c r="D11840" s="17" t="s">
        <v>11</v>
      </c>
      <c r="E11840" s="17"/>
      <c r="F11840" s="18"/>
      <c r="G11840" s="36" t="str">
        <f>IF(ISNUMBER(F11840),C11840*F11840,"")</f>
        <v/>
      </c>
    </row>
    <row r="11841" spans="1:7" ht="12" customHeight="1" outlineLevel="2" x14ac:dyDescent="0.2">
      <c r="A11841" s="14" t="s">
        <v>23277</v>
      </c>
      <c r="B11841" s="15" t="s">
        <v>23278</v>
      </c>
      <c r="C11841" s="19">
        <f>1175.51/(1+B2)</f>
        <v>1175.51</v>
      </c>
      <c r="D11841" s="17" t="s">
        <v>11</v>
      </c>
      <c r="E11841" s="17"/>
      <c r="F11841" s="18"/>
      <c r="G11841" s="36" t="str">
        <f>IF(ISNUMBER(F11841),C11841*F11841,"")</f>
        <v/>
      </c>
    </row>
    <row r="11842" spans="1:7" ht="12" customHeight="1" outlineLevel="2" x14ac:dyDescent="0.2">
      <c r="A11842" s="14" t="s">
        <v>23279</v>
      </c>
      <c r="B11842" s="15" t="s">
        <v>23280</v>
      </c>
      <c r="C11842" s="19">
        <f>1666.03/(1+B2)</f>
        <v>1666.03</v>
      </c>
      <c r="D11842" s="17" t="s">
        <v>11</v>
      </c>
      <c r="E11842" s="17"/>
      <c r="F11842" s="18"/>
      <c r="G11842" s="36" t="str">
        <f>IF(ISNUMBER(F11842),C11842*F11842,"")</f>
        <v/>
      </c>
    </row>
    <row r="11843" spans="1:7" ht="12" customHeight="1" outlineLevel="2" x14ac:dyDescent="0.2">
      <c r="A11843" s="14" t="s">
        <v>23281</v>
      </c>
      <c r="B11843" s="15" t="s">
        <v>23282</v>
      </c>
      <c r="C11843" s="19">
        <f>2789.93/(1+B2)</f>
        <v>2789.93</v>
      </c>
      <c r="D11843" s="17" t="s">
        <v>11</v>
      </c>
      <c r="E11843" s="17"/>
      <c r="F11843" s="18"/>
      <c r="G11843" s="36" t="str">
        <f>IF(ISNUMBER(F11843),C11843*F11843,"")</f>
        <v/>
      </c>
    </row>
    <row r="11844" spans="1:7" ht="12" customHeight="1" outlineLevel="2" x14ac:dyDescent="0.2">
      <c r="A11844" s="14" t="s">
        <v>23283</v>
      </c>
      <c r="B11844" s="15" t="s">
        <v>23284</v>
      </c>
      <c r="C11844" s="19">
        <f>4650.13/(1+B2)</f>
        <v>4650.13</v>
      </c>
      <c r="D11844" s="17" t="s">
        <v>11</v>
      </c>
      <c r="E11844" s="17"/>
      <c r="F11844" s="18"/>
      <c r="G11844" s="36" t="str">
        <f>IF(ISNUMBER(F11844),C11844*F11844,"")</f>
        <v/>
      </c>
    </row>
    <row r="11845" spans="1:7" ht="12" customHeight="1" outlineLevel="2" x14ac:dyDescent="0.2">
      <c r="A11845" s="14" t="s">
        <v>23285</v>
      </c>
      <c r="B11845" s="15" t="s">
        <v>23286</v>
      </c>
      <c r="C11845" s="19">
        <f>1583.91/(1+B2)</f>
        <v>1583.91</v>
      </c>
      <c r="D11845" s="17" t="s">
        <v>11</v>
      </c>
      <c r="E11845" s="17"/>
      <c r="F11845" s="18"/>
      <c r="G11845" s="36" t="str">
        <f>IF(ISNUMBER(F11845),C11845*F11845,"")</f>
        <v/>
      </c>
    </row>
    <row r="11846" spans="1:7" ht="12" customHeight="1" outlineLevel="2" x14ac:dyDescent="0.2">
      <c r="A11846" s="14" t="s">
        <v>23287</v>
      </c>
      <c r="B11846" s="15" t="s">
        <v>23288</v>
      </c>
      <c r="C11846" s="19">
        <f>3915.75/(1+B2)</f>
        <v>3915.75</v>
      </c>
      <c r="D11846" s="17" t="s">
        <v>11</v>
      </c>
      <c r="E11846" s="17"/>
      <c r="F11846" s="18"/>
      <c r="G11846" s="36" t="str">
        <f>IF(ISNUMBER(F11846),C11846*F11846,"")</f>
        <v/>
      </c>
    </row>
    <row r="11847" spans="1:7" s="1" customFormat="1" ht="15.95" customHeight="1" outlineLevel="1" x14ac:dyDescent="0.25">
      <c r="A11847" s="11"/>
      <c r="B11847" s="12" t="s">
        <v>23289</v>
      </c>
      <c r="C11847" s="13"/>
      <c r="D11847" s="13"/>
      <c r="E11847" s="13"/>
      <c r="F11847" s="13"/>
      <c r="G11847" s="35"/>
    </row>
    <row r="11848" spans="1:7" s="1" customFormat="1" ht="12.95" customHeight="1" outlineLevel="2" x14ac:dyDescent="0.2">
      <c r="A11848" s="20"/>
      <c r="B11848" s="21" t="s">
        <v>23290</v>
      </c>
      <c r="C11848" s="22"/>
      <c r="D11848" s="22"/>
      <c r="E11848" s="22"/>
      <c r="F11848" s="22"/>
      <c r="G11848" s="37"/>
    </row>
    <row r="11849" spans="1:7" ht="12" customHeight="1" outlineLevel="3" x14ac:dyDescent="0.2">
      <c r="A11849" s="14" t="s">
        <v>23291</v>
      </c>
      <c r="B11849" s="15" t="s">
        <v>23292</v>
      </c>
      <c r="C11849" s="16">
        <f>64.38/(1+B2)</f>
        <v>64.38</v>
      </c>
      <c r="D11849" s="17" t="s">
        <v>11</v>
      </c>
      <c r="E11849" s="17"/>
      <c r="F11849" s="18"/>
      <c r="G11849" s="36" t="str">
        <f>IF(ISNUMBER(F11849),C11849*F11849,"")</f>
        <v/>
      </c>
    </row>
    <row r="11850" spans="1:7" ht="24" customHeight="1" outlineLevel="3" x14ac:dyDescent="0.2">
      <c r="A11850" s="14" t="s">
        <v>23293</v>
      </c>
      <c r="B11850" s="15" t="s">
        <v>23294</v>
      </c>
      <c r="C11850" s="16">
        <f>227.84/(1+B2)</f>
        <v>227.84</v>
      </c>
      <c r="D11850" s="17" t="s">
        <v>11</v>
      </c>
      <c r="E11850" s="17"/>
      <c r="F11850" s="18"/>
      <c r="G11850" s="36" t="str">
        <f>IF(ISNUMBER(F11850),C11850*F11850,"")</f>
        <v/>
      </c>
    </row>
    <row r="11851" spans="1:7" ht="24" customHeight="1" outlineLevel="3" x14ac:dyDescent="0.2">
      <c r="A11851" s="14" t="s">
        <v>23295</v>
      </c>
      <c r="B11851" s="15" t="s">
        <v>23296</v>
      </c>
      <c r="C11851" s="16">
        <f>220.42/(1+B2)</f>
        <v>220.42</v>
      </c>
      <c r="D11851" s="17" t="s">
        <v>11</v>
      </c>
      <c r="E11851" s="17"/>
      <c r="F11851" s="18"/>
      <c r="G11851" s="36" t="str">
        <f>IF(ISNUMBER(F11851),C11851*F11851,"")</f>
        <v/>
      </c>
    </row>
    <row r="11852" spans="1:7" ht="12" customHeight="1" outlineLevel="3" x14ac:dyDescent="0.2">
      <c r="A11852" s="14" t="s">
        <v>23297</v>
      </c>
      <c r="B11852" s="15" t="s">
        <v>23298</v>
      </c>
      <c r="C11852" s="16">
        <f>333.57/(1+B2)</f>
        <v>333.57</v>
      </c>
      <c r="D11852" s="17" t="s">
        <v>11</v>
      </c>
      <c r="E11852" s="17"/>
      <c r="F11852" s="18"/>
      <c r="G11852" s="36" t="str">
        <f>IF(ISNUMBER(F11852),C11852*F11852,"")</f>
        <v/>
      </c>
    </row>
    <row r="11853" spans="1:7" ht="12" customHeight="1" outlineLevel="3" x14ac:dyDescent="0.2">
      <c r="A11853" s="14" t="s">
        <v>23299</v>
      </c>
      <c r="B11853" s="15" t="s">
        <v>23300</v>
      </c>
      <c r="C11853" s="16">
        <f>83.19/(1+B2)</f>
        <v>83.19</v>
      </c>
      <c r="D11853" s="17" t="s">
        <v>11</v>
      </c>
      <c r="E11853" s="17"/>
      <c r="F11853" s="18"/>
      <c r="G11853" s="36" t="str">
        <f>IF(ISNUMBER(F11853),C11853*F11853,"")</f>
        <v/>
      </c>
    </row>
    <row r="11854" spans="1:7" ht="12" customHeight="1" outlineLevel="3" x14ac:dyDescent="0.2">
      <c r="A11854" s="14" t="s">
        <v>23301</v>
      </c>
      <c r="B11854" s="15" t="s">
        <v>23302</v>
      </c>
      <c r="C11854" s="16">
        <f>351.87/(1+B2)</f>
        <v>351.87</v>
      </c>
      <c r="D11854" s="17" t="s">
        <v>11</v>
      </c>
      <c r="E11854" s="17"/>
      <c r="F11854" s="18"/>
      <c r="G11854" s="36" t="str">
        <f>IF(ISNUMBER(F11854),C11854*F11854,"")</f>
        <v/>
      </c>
    </row>
    <row r="11855" spans="1:7" ht="12" customHeight="1" outlineLevel="3" x14ac:dyDescent="0.2">
      <c r="A11855" s="14" t="s">
        <v>23303</v>
      </c>
      <c r="B11855" s="15" t="s">
        <v>23304</v>
      </c>
      <c r="C11855" s="16">
        <f>128.44/(1+B2)</f>
        <v>128.44</v>
      </c>
      <c r="D11855" s="17" t="s">
        <v>11</v>
      </c>
      <c r="E11855" s="17"/>
      <c r="F11855" s="18"/>
      <c r="G11855" s="36" t="str">
        <f>IF(ISNUMBER(F11855),C11855*F11855,"")</f>
        <v/>
      </c>
    </row>
    <row r="11856" spans="1:7" ht="12" customHeight="1" outlineLevel="3" x14ac:dyDescent="0.2">
      <c r="A11856" s="14" t="s">
        <v>23305</v>
      </c>
      <c r="B11856" s="15" t="s">
        <v>23306</v>
      </c>
      <c r="C11856" s="16">
        <f>345.66/(1+B2)</f>
        <v>345.66</v>
      </c>
      <c r="D11856" s="17" t="s">
        <v>11</v>
      </c>
      <c r="E11856" s="17"/>
      <c r="F11856" s="18"/>
      <c r="G11856" s="36" t="str">
        <f>IF(ISNUMBER(F11856),C11856*F11856,"")</f>
        <v/>
      </c>
    </row>
    <row r="11857" spans="1:7" ht="12" customHeight="1" outlineLevel="3" x14ac:dyDescent="0.2">
      <c r="A11857" s="14" t="s">
        <v>23307</v>
      </c>
      <c r="B11857" s="15" t="s">
        <v>23308</v>
      </c>
      <c r="C11857" s="16">
        <f>439.7/(1+B2)</f>
        <v>439.7</v>
      </c>
      <c r="D11857" s="17" t="s">
        <v>11</v>
      </c>
      <c r="E11857" s="17"/>
      <c r="F11857" s="18"/>
      <c r="G11857" s="36" t="str">
        <f>IF(ISNUMBER(F11857),C11857*F11857,"")</f>
        <v/>
      </c>
    </row>
    <row r="11858" spans="1:7" ht="12" customHeight="1" outlineLevel="3" x14ac:dyDescent="0.2">
      <c r="A11858" s="14" t="s">
        <v>23309</v>
      </c>
      <c r="B11858" s="15" t="s">
        <v>23310</v>
      </c>
      <c r="C11858" s="16">
        <f>343.23/(1+B2)</f>
        <v>343.23</v>
      </c>
      <c r="D11858" s="17" t="s">
        <v>11</v>
      </c>
      <c r="E11858" s="17"/>
      <c r="F11858" s="18"/>
      <c r="G11858" s="36" t="str">
        <f>IF(ISNUMBER(F11858),C11858*F11858,"")</f>
        <v/>
      </c>
    </row>
    <row r="11859" spans="1:7" ht="12" customHeight="1" outlineLevel="3" x14ac:dyDescent="0.2">
      <c r="A11859" s="14" t="s">
        <v>23311</v>
      </c>
      <c r="B11859" s="15" t="s">
        <v>23312</v>
      </c>
      <c r="C11859" s="16">
        <f>128.44/(1+B2)</f>
        <v>128.44</v>
      </c>
      <c r="D11859" s="17" t="s">
        <v>11</v>
      </c>
      <c r="E11859" s="17"/>
      <c r="F11859" s="18"/>
      <c r="G11859" s="36" t="str">
        <f>IF(ISNUMBER(F11859),C11859*F11859,"")</f>
        <v/>
      </c>
    </row>
    <row r="11860" spans="1:7" ht="24" customHeight="1" outlineLevel="3" x14ac:dyDescent="0.2">
      <c r="A11860" s="14" t="s">
        <v>23313</v>
      </c>
      <c r="B11860" s="15" t="s">
        <v>23314</v>
      </c>
      <c r="C11860" s="16">
        <f>462.63/(1+B2)</f>
        <v>462.63</v>
      </c>
      <c r="D11860" s="17" t="s">
        <v>11</v>
      </c>
      <c r="E11860" s="17"/>
      <c r="F11860" s="18"/>
      <c r="G11860" s="36" t="str">
        <f>IF(ISNUMBER(F11860),C11860*F11860,"")</f>
        <v/>
      </c>
    </row>
    <row r="11861" spans="1:7" ht="12" customHeight="1" outlineLevel="3" x14ac:dyDescent="0.2">
      <c r="A11861" s="14" t="s">
        <v>23315</v>
      </c>
      <c r="B11861" s="15" t="s">
        <v>23316</v>
      </c>
      <c r="C11861" s="16">
        <f>120.64/(1+B2)</f>
        <v>120.64</v>
      </c>
      <c r="D11861" s="17" t="s">
        <v>11</v>
      </c>
      <c r="E11861" s="17"/>
      <c r="F11861" s="18"/>
      <c r="G11861" s="36" t="str">
        <f>IF(ISNUMBER(F11861),C11861*F11861,"")</f>
        <v/>
      </c>
    </row>
    <row r="11862" spans="1:7" ht="12" customHeight="1" outlineLevel="3" x14ac:dyDescent="0.2">
      <c r="A11862" s="14" t="s">
        <v>23317</v>
      </c>
      <c r="B11862" s="15" t="s">
        <v>23318</v>
      </c>
      <c r="C11862" s="16">
        <f>128.44/(1+B2)</f>
        <v>128.44</v>
      </c>
      <c r="D11862" s="17" t="s">
        <v>11</v>
      </c>
      <c r="E11862" s="17"/>
      <c r="F11862" s="18"/>
      <c r="G11862" s="36" t="str">
        <f>IF(ISNUMBER(F11862),C11862*F11862,"")</f>
        <v/>
      </c>
    </row>
    <row r="11863" spans="1:7" ht="12" customHeight="1" outlineLevel="3" x14ac:dyDescent="0.2">
      <c r="A11863" s="14" t="s">
        <v>23319</v>
      </c>
      <c r="B11863" s="15" t="s">
        <v>23320</v>
      </c>
      <c r="C11863" s="16">
        <f>351.87/(1+B2)</f>
        <v>351.87</v>
      </c>
      <c r="D11863" s="17" t="s">
        <v>53</v>
      </c>
      <c r="E11863" s="17" t="s">
        <v>106</v>
      </c>
      <c r="F11863" s="18"/>
      <c r="G11863" s="36" t="str">
        <f>IF(ISNUMBER(F11863),C11863*F11863,"")</f>
        <v/>
      </c>
    </row>
    <row r="11864" spans="1:7" ht="12" customHeight="1" outlineLevel="3" x14ac:dyDescent="0.2">
      <c r="A11864" s="14" t="s">
        <v>23321</v>
      </c>
      <c r="B11864" s="15" t="s">
        <v>23322</v>
      </c>
      <c r="C11864" s="16">
        <f>476.55/(1+B2)</f>
        <v>476.55</v>
      </c>
      <c r="D11864" s="17" t="s">
        <v>11</v>
      </c>
      <c r="E11864" s="17"/>
      <c r="F11864" s="18"/>
      <c r="G11864" s="36" t="str">
        <f>IF(ISNUMBER(F11864),C11864*F11864,"")</f>
        <v/>
      </c>
    </row>
    <row r="11865" spans="1:7" ht="12" customHeight="1" outlineLevel="3" x14ac:dyDescent="0.2">
      <c r="A11865" s="14" t="s">
        <v>23323</v>
      </c>
      <c r="B11865" s="15" t="s">
        <v>23324</v>
      </c>
      <c r="C11865" s="16">
        <f>549.03/(1+B2)</f>
        <v>549.03</v>
      </c>
      <c r="D11865" s="17" t="s">
        <v>11</v>
      </c>
      <c r="E11865" s="17"/>
      <c r="F11865" s="18"/>
      <c r="G11865" s="36" t="str">
        <f>IF(ISNUMBER(F11865),C11865*F11865,"")</f>
        <v/>
      </c>
    </row>
    <row r="11866" spans="1:7" ht="12" customHeight="1" outlineLevel="3" x14ac:dyDescent="0.2">
      <c r="A11866" s="14" t="s">
        <v>23325</v>
      </c>
      <c r="B11866" s="15" t="s">
        <v>23326</v>
      </c>
      <c r="C11866" s="16">
        <f>575.18/(1+B2)</f>
        <v>575.17999999999995</v>
      </c>
      <c r="D11866" s="17" t="s">
        <v>11</v>
      </c>
      <c r="E11866" s="17"/>
      <c r="F11866" s="18"/>
      <c r="G11866" s="36" t="str">
        <f>IF(ISNUMBER(F11866),C11866*F11866,"")</f>
        <v/>
      </c>
    </row>
    <row r="11867" spans="1:7" ht="12" customHeight="1" outlineLevel="3" x14ac:dyDescent="0.2">
      <c r="A11867" s="14" t="s">
        <v>23327</v>
      </c>
      <c r="B11867" s="15" t="s">
        <v>23328</v>
      </c>
      <c r="C11867" s="16">
        <f>349.54/(1+B2)</f>
        <v>349.54</v>
      </c>
      <c r="D11867" s="17" t="s">
        <v>11</v>
      </c>
      <c r="E11867" s="17"/>
      <c r="F11867" s="18"/>
      <c r="G11867" s="36" t="str">
        <f>IF(ISNUMBER(F11867),C11867*F11867,"")</f>
        <v/>
      </c>
    </row>
    <row r="11868" spans="1:7" ht="12" customHeight="1" outlineLevel="3" x14ac:dyDescent="0.2">
      <c r="A11868" s="14" t="s">
        <v>23329</v>
      </c>
      <c r="B11868" s="15" t="s">
        <v>23330</v>
      </c>
      <c r="C11868" s="16">
        <f>358.49/(1+B2)</f>
        <v>358.49</v>
      </c>
      <c r="D11868" s="17" t="s">
        <v>11</v>
      </c>
      <c r="E11868" s="17"/>
      <c r="F11868" s="18"/>
      <c r="G11868" s="36" t="str">
        <f>IF(ISNUMBER(F11868),C11868*F11868,"")</f>
        <v/>
      </c>
    </row>
    <row r="11869" spans="1:7" ht="12" customHeight="1" outlineLevel="3" x14ac:dyDescent="0.2">
      <c r="A11869" s="14" t="s">
        <v>23331</v>
      </c>
      <c r="B11869" s="15" t="s">
        <v>23332</v>
      </c>
      <c r="C11869" s="16">
        <f>349.54/(1+B2)</f>
        <v>349.54</v>
      </c>
      <c r="D11869" s="17" t="s">
        <v>11</v>
      </c>
      <c r="E11869" s="17"/>
      <c r="F11869" s="18"/>
      <c r="G11869" s="36" t="str">
        <f>IF(ISNUMBER(F11869),C11869*F11869,"")</f>
        <v/>
      </c>
    </row>
    <row r="11870" spans="1:7" ht="12" customHeight="1" outlineLevel="3" x14ac:dyDescent="0.2">
      <c r="A11870" s="14" t="s">
        <v>23333</v>
      </c>
      <c r="B11870" s="15" t="s">
        <v>23334</v>
      </c>
      <c r="C11870" s="16">
        <f>358.49/(1+B2)</f>
        <v>358.49</v>
      </c>
      <c r="D11870" s="17" t="s">
        <v>11</v>
      </c>
      <c r="E11870" s="17"/>
      <c r="F11870" s="18"/>
      <c r="G11870" s="36" t="str">
        <f>IF(ISNUMBER(F11870),C11870*F11870,"")</f>
        <v/>
      </c>
    </row>
    <row r="11871" spans="1:7" ht="12" customHeight="1" outlineLevel="3" x14ac:dyDescent="0.2">
      <c r="A11871" s="14" t="s">
        <v>23335</v>
      </c>
      <c r="B11871" s="15" t="s">
        <v>23336</v>
      </c>
      <c r="C11871" s="16">
        <f>358.49/(1+B2)</f>
        <v>358.49</v>
      </c>
      <c r="D11871" s="17" t="s">
        <v>11</v>
      </c>
      <c r="E11871" s="17"/>
      <c r="F11871" s="18"/>
      <c r="G11871" s="36" t="str">
        <f>IF(ISNUMBER(F11871),C11871*F11871,"")</f>
        <v/>
      </c>
    </row>
    <row r="11872" spans="1:7" ht="12" customHeight="1" outlineLevel="3" x14ac:dyDescent="0.2">
      <c r="A11872" s="14" t="s">
        <v>23337</v>
      </c>
      <c r="B11872" s="15" t="s">
        <v>23338</v>
      </c>
      <c r="C11872" s="16">
        <f>356.96/(1+B2)</f>
        <v>356.96</v>
      </c>
      <c r="D11872" s="17" t="s">
        <v>11</v>
      </c>
      <c r="E11872" s="17"/>
      <c r="F11872" s="18"/>
      <c r="G11872" s="36" t="str">
        <f>IF(ISNUMBER(F11872),C11872*F11872,"")</f>
        <v/>
      </c>
    </row>
    <row r="11873" spans="1:7" ht="12" customHeight="1" outlineLevel="3" x14ac:dyDescent="0.2">
      <c r="A11873" s="14" t="s">
        <v>23339</v>
      </c>
      <c r="B11873" s="15" t="s">
        <v>23340</v>
      </c>
      <c r="C11873" s="16">
        <f>107.74/(1+B2)</f>
        <v>107.74</v>
      </c>
      <c r="D11873" s="17" t="s">
        <v>11</v>
      </c>
      <c r="E11873" s="17"/>
      <c r="F11873" s="18"/>
      <c r="G11873" s="36" t="str">
        <f>IF(ISNUMBER(F11873),C11873*F11873,"")</f>
        <v/>
      </c>
    </row>
    <row r="11874" spans="1:7" ht="12" customHeight="1" outlineLevel="3" x14ac:dyDescent="0.2">
      <c r="A11874" s="14" t="s">
        <v>23341</v>
      </c>
      <c r="B11874" s="15" t="s">
        <v>23342</v>
      </c>
      <c r="C11874" s="16">
        <f>137.07/(1+B2)</f>
        <v>137.07</v>
      </c>
      <c r="D11874" s="17" t="s">
        <v>11</v>
      </c>
      <c r="E11874" s="17"/>
      <c r="F11874" s="18"/>
      <c r="G11874" s="36" t="str">
        <f>IF(ISNUMBER(F11874),C11874*F11874,"")</f>
        <v/>
      </c>
    </row>
    <row r="11875" spans="1:7" ht="12" customHeight="1" outlineLevel="3" x14ac:dyDescent="0.2">
      <c r="A11875" s="14" t="s">
        <v>23343</v>
      </c>
      <c r="B11875" s="15" t="s">
        <v>23344</v>
      </c>
      <c r="C11875" s="16">
        <f>155.48/(1+B2)</f>
        <v>155.47999999999999</v>
      </c>
      <c r="D11875" s="17" t="s">
        <v>11</v>
      </c>
      <c r="E11875" s="17"/>
      <c r="F11875" s="18"/>
      <c r="G11875" s="36" t="str">
        <f>IF(ISNUMBER(F11875),C11875*F11875,"")</f>
        <v/>
      </c>
    </row>
    <row r="11876" spans="1:7" ht="12" customHeight="1" outlineLevel="3" x14ac:dyDescent="0.2">
      <c r="A11876" s="14" t="s">
        <v>23345</v>
      </c>
      <c r="B11876" s="15" t="s">
        <v>23346</v>
      </c>
      <c r="C11876" s="16">
        <f>69.15/(1+B2)</f>
        <v>69.150000000000006</v>
      </c>
      <c r="D11876" s="17" t="s">
        <v>11</v>
      </c>
      <c r="E11876" s="17"/>
      <c r="F11876" s="18"/>
      <c r="G11876" s="36" t="str">
        <f>IF(ISNUMBER(F11876),C11876*F11876,"")</f>
        <v/>
      </c>
    </row>
    <row r="11877" spans="1:7" ht="12" customHeight="1" outlineLevel="3" x14ac:dyDescent="0.2">
      <c r="A11877" s="14" t="s">
        <v>23347</v>
      </c>
      <c r="B11877" s="15" t="s">
        <v>23348</v>
      </c>
      <c r="C11877" s="16">
        <f>58.03/(1+B2)</f>
        <v>58.03</v>
      </c>
      <c r="D11877" s="17" t="s">
        <v>14</v>
      </c>
      <c r="E11877" s="17"/>
      <c r="F11877" s="18"/>
      <c r="G11877" s="36" t="str">
        <f>IF(ISNUMBER(F11877),C11877*F11877,"")</f>
        <v/>
      </c>
    </row>
    <row r="11878" spans="1:7" ht="12" customHeight="1" outlineLevel="3" x14ac:dyDescent="0.2">
      <c r="A11878" s="14" t="s">
        <v>23349</v>
      </c>
      <c r="B11878" s="15" t="s">
        <v>23350</v>
      </c>
      <c r="C11878" s="16">
        <f>71.8/(1+B2)</f>
        <v>71.8</v>
      </c>
      <c r="D11878" s="17" t="s">
        <v>14</v>
      </c>
      <c r="E11878" s="17"/>
      <c r="F11878" s="18"/>
      <c r="G11878" s="36" t="str">
        <f>IF(ISNUMBER(F11878),C11878*F11878,"")</f>
        <v/>
      </c>
    </row>
    <row r="11879" spans="1:7" ht="12" customHeight="1" outlineLevel="3" x14ac:dyDescent="0.2">
      <c r="A11879" s="14" t="s">
        <v>23351</v>
      </c>
      <c r="B11879" s="15" t="s">
        <v>23352</v>
      </c>
      <c r="C11879" s="16">
        <f>115.29/(1+B2)</f>
        <v>115.29</v>
      </c>
      <c r="D11879" s="17" t="s">
        <v>53</v>
      </c>
      <c r="E11879" s="17" t="s">
        <v>14</v>
      </c>
      <c r="F11879" s="18"/>
      <c r="G11879" s="36" t="str">
        <f>IF(ISNUMBER(F11879),C11879*F11879,"")</f>
        <v/>
      </c>
    </row>
    <row r="11880" spans="1:7" ht="12" customHeight="1" outlineLevel="3" x14ac:dyDescent="0.2">
      <c r="A11880" s="14" t="s">
        <v>23353</v>
      </c>
      <c r="B11880" s="15" t="s">
        <v>23354</v>
      </c>
      <c r="C11880" s="16">
        <f>91.9/(1+B2)</f>
        <v>91.9</v>
      </c>
      <c r="D11880" s="17" t="s">
        <v>14</v>
      </c>
      <c r="E11880" s="17"/>
      <c r="F11880" s="18"/>
      <c r="G11880" s="36" t="str">
        <f>IF(ISNUMBER(F11880),C11880*F11880,"")</f>
        <v/>
      </c>
    </row>
    <row r="11881" spans="1:7" ht="12" customHeight="1" outlineLevel="3" x14ac:dyDescent="0.2">
      <c r="A11881" s="14" t="s">
        <v>23355</v>
      </c>
      <c r="B11881" s="15" t="s">
        <v>23356</v>
      </c>
      <c r="C11881" s="16">
        <f>152.84/(1+B2)</f>
        <v>152.84</v>
      </c>
      <c r="D11881" s="17" t="s">
        <v>11</v>
      </c>
      <c r="E11881" s="17"/>
      <c r="F11881" s="18"/>
      <c r="G11881" s="36" t="str">
        <f>IF(ISNUMBER(F11881),C11881*F11881,"")</f>
        <v/>
      </c>
    </row>
    <row r="11882" spans="1:7" ht="12" customHeight="1" outlineLevel="3" x14ac:dyDescent="0.2">
      <c r="A11882" s="14" t="s">
        <v>23357</v>
      </c>
      <c r="B11882" s="15" t="s">
        <v>23358</v>
      </c>
      <c r="C11882" s="16">
        <f>209.55/(1+B2)</f>
        <v>209.55</v>
      </c>
      <c r="D11882" s="17" t="s">
        <v>11</v>
      </c>
      <c r="E11882" s="17"/>
      <c r="F11882" s="18"/>
      <c r="G11882" s="36" t="str">
        <f>IF(ISNUMBER(F11882),C11882*F11882,"")</f>
        <v/>
      </c>
    </row>
    <row r="11883" spans="1:7" ht="24" customHeight="1" outlineLevel="3" x14ac:dyDescent="0.2">
      <c r="A11883" s="14" t="s">
        <v>23359</v>
      </c>
      <c r="B11883" s="15" t="s">
        <v>23360</v>
      </c>
      <c r="C11883" s="16">
        <f>41.11/(1+B2)</f>
        <v>41.11</v>
      </c>
      <c r="D11883" s="17" t="s">
        <v>11</v>
      </c>
      <c r="E11883" s="17" t="s">
        <v>11</v>
      </c>
      <c r="F11883" s="18"/>
      <c r="G11883" s="36" t="str">
        <f>IF(ISNUMBER(F11883),C11883*F11883,"")</f>
        <v/>
      </c>
    </row>
    <row r="11884" spans="1:7" ht="12" customHeight="1" outlineLevel="3" x14ac:dyDescent="0.2">
      <c r="A11884" s="14" t="s">
        <v>23361</v>
      </c>
      <c r="B11884" s="15" t="s">
        <v>23362</v>
      </c>
      <c r="C11884" s="16">
        <f>382.8/(1+B2)</f>
        <v>382.8</v>
      </c>
      <c r="D11884" s="17" t="s">
        <v>11</v>
      </c>
      <c r="E11884" s="17"/>
      <c r="F11884" s="18"/>
      <c r="G11884" s="36" t="str">
        <f>IF(ISNUMBER(F11884),C11884*F11884,"")</f>
        <v/>
      </c>
    </row>
    <row r="11885" spans="1:7" ht="12" customHeight="1" outlineLevel="3" x14ac:dyDescent="0.2">
      <c r="A11885" s="14" t="s">
        <v>23363</v>
      </c>
      <c r="B11885" s="15" t="s">
        <v>23364</v>
      </c>
      <c r="C11885" s="16">
        <f>211.51/(1+B2)</f>
        <v>211.51</v>
      </c>
      <c r="D11885" s="17" t="s">
        <v>11</v>
      </c>
      <c r="E11885" s="17"/>
      <c r="F11885" s="18"/>
      <c r="G11885" s="36" t="str">
        <f>IF(ISNUMBER(F11885),C11885*F11885,"")</f>
        <v/>
      </c>
    </row>
    <row r="11886" spans="1:7" s="1" customFormat="1" ht="12.95" customHeight="1" outlineLevel="2" x14ac:dyDescent="0.2">
      <c r="A11886" s="20"/>
      <c r="B11886" s="21" t="s">
        <v>23365</v>
      </c>
      <c r="C11886" s="22"/>
      <c r="D11886" s="22"/>
      <c r="E11886" s="22"/>
      <c r="F11886" s="22"/>
      <c r="G11886" s="37"/>
    </row>
    <row r="11887" spans="1:7" ht="12" customHeight="1" outlineLevel="3" x14ac:dyDescent="0.2">
      <c r="A11887" s="14" t="s">
        <v>23366</v>
      </c>
      <c r="B11887" s="15" t="s">
        <v>23367</v>
      </c>
      <c r="C11887" s="16">
        <f>73.87/(1+B2)</f>
        <v>73.87</v>
      </c>
      <c r="D11887" s="17" t="s">
        <v>14</v>
      </c>
      <c r="E11887" s="17"/>
      <c r="F11887" s="18"/>
      <c r="G11887" s="36" t="str">
        <f>IF(ISNUMBER(F11887),C11887*F11887,"")</f>
        <v/>
      </c>
    </row>
    <row r="11888" spans="1:7" ht="12" customHeight="1" outlineLevel="3" x14ac:dyDescent="0.2">
      <c r="A11888" s="14" t="s">
        <v>23368</v>
      </c>
      <c r="B11888" s="15" t="s">
        <v>23369</v>
      </c>
      <c r="C11888" s="16">
        <f>345.66/(1+B2)</f>
        <v>345.66</v>
      </c>
      <c r="D11888" s="17" t="s">
        <v>11</v>
      </c>
      <c r="E11888" s="17"/>
      <c r="F11888" s="18"/>
      <c r="G11888" s="36" t="str">
        <f>IF(ISNUMBER(F11888),C11888*F11888,"")</f>
        <v/>
      </c>
    </row>
    <row r="11889" spans="1:7" ht="12" customHeight="1" outlineLevel="3" x14ac:dyDescent="0.2">
      <c r="A11889" s="14" t="s">
        <v>23370</v>
      </c>
      <c r="B11889" s="15" t="s">
        <v>23371</v>
      </c>
      <c r="C11889" s="19">
        <f>2046.92/(1+B2)</f>
        <v>2046.92</v>
      </c>
      <c r="D11889" s="17" t="s">
        <v>11</v>
      </c>
      <c r="E11889" s="17"/>
      <c r="F11889" s="18"/>
      <c r="G11889" s="36" t="str">
        <f>IF(ISNUMBER(F11889),C11889*F11889,"")</f>
        <v/>
      </c>
    </row>
    <row r="11890" spans="1:7" ht="12" customHeight="1" outlineLevel="3" x14ac:dyDescent="0.2">
      <c r="A11890" s="14" t="s">
        <v>23372</v>
      </c>
      <c r="B11890" s="15" t="s">
        <v>23373</v>
      </c>
      <c r="C11890" s="16">
        <f>389.25/(1+B2)</f>
        <v>389.25</v>
      </c>
      <c r="D11890" s="17" t="s">
        <v>11</v>
      </c>
      <c r="E11890" s="17"/>
      <c r="F11890" s="18"/>
      <c r="G11890" s="36" t="str">
        <f>IF(ISNUMBER(F11890),C11890*F11890,"")</f>
        <v/>
      </c>
    </row>
    <row r="11891" spans="1:7" ht="12" customHeight="1" outlineLevel="3" x14ac:dyDescent="0.2">
      <c r="A11891" s="14" t="s">
        <v>23374</v>
      </c>
      <c r="B11891" s="15" t="s">
        <v>23375</v>
      </c>
      <c r="C11891" s="16">
        <f>486.33/(1+B2)</f>
        <v>486.33</v>
      </c>
      <c r="D11891" s="17" t="s">
        <v>11</v>
      </c>
      <c r="E11891" s="17"/>
      <c r="F11891" s="18"/>
      <c r="G11891" s="36" t="str">
        <f>IF(ISNUMBER(F11891),C11891*F11891,"")</f>
        <v/>
      </c>
    </row>
    <row r="11892" spans="1:7" ht="12" customHeight="1" outlineLevel="3" x14ac:dyDescent="0.2">
      <c r="A11892" s="14" t="s">
        <v>23376</v>
      </c>
      <c r="B11892" s="15" t="s">
        <v>23377</v>
      </c>
      <c r="C11892" s="16">
        <f>360.61/(1+B2)</f>
        <v>360.61</v>
      </c>
      <c r="D11892" s="17" t="s">
        <v>11</v>
      </c>
      <c r="E11892" s="17"/>
      <c r="F11892" s="18"/>
      <c r="G11892" s="36" t="str">
        <f>IF(ISNUMBER(F11892),C11892*F11892,"")</f>
        <v/>
      </c>
    </row>
    <row r="11893" spans="1:7" ht="12" customHeight="1" outlineLevel="3" x14ac:dyDescent="0.2">
      <c r="A11893" s="14" t="s">
        <v>23378</v>
      </c>
      <c r="B11893" s="15" t="s">
        <v>23379</v>
      </c>
      <c r="C11893" s="16">
        <f>641.67/(1+B2)</f>
        <v>641.66999999999996</v>
      </c>
      <c r="D11893" s="17" t="s">
        <v>11</v>
      </c>
      <c r="E11893" s="17"/>
      <c r="F11893" s="18"/>
      <c r="G11893" s="36" t="str">
        <f>IF(ISNUMBER(F11893),C11893*F11893,"")</f>
        <v/>
      </c>
    </row>
    <row r="11894" spans="1:7" ht="12" customHeight="1" outlineLevel="3" x14ac:dyDescent="0.2">
      <c r="A11894" s="14" t="s">
        <v>23380</v>
      </c>
      <c r="B11894" s="15" t="s">
        <v>23381</v>
      </c>
      <c r="C11894" s="19">
        <f>2149.35/(1+B2)</f>
        <v>2149.35</v>
      </c>
      <c r="D11894" s="17" t="s">
        <v>11</v>
      </c>
      <c r="E11894" s="17"/>
      <c r="F11894" s="18"/>
      <c r="G11894" s="36" t="str">
        <f>IF(ISNUMBER(F11894),C11894*F11894,"")</f>
        <v/>
      </c>
    </row>
    <row r="11895" spans="1:7" ht="12" customHeight="1" outlineLevel="3" x14ac:dyDescent="0.2">
      <c r="A11895" s="14" t="s">
        <v>23382</v>
      </c>
      <c r="B11895" s="15" t="s">
        <v>23383</v>
      </c>
      <c r="C11895" s="16">
        <f>97.32/(1+B2)</f>
        <v>97.32</v>
      </c>
      <c r="D11895" s="17" t="s">
        <v>11</v>
      </c>
      <c r="E11895" s="17"/>
      <c r="F11895" s="18"/>
      <c r="G11895" s="36" t="str">
        <f>IF(ISNUMBER(F11895),C11895*F11895,"")</f>
        <v/>
      </c>
    </row>
    <row r="11896" spans="1:7" ht="12" customHeight="1" outlineLevel="3" x14ac:dyDescent="0.2">
      <c r="A11896" s="14" t="s">
        <v>23384</v>
      </c>
      <c r="B11896" s="15" t="s">
        <v>23385</v>
      </c>
      <c r="C11896" s="16">
        <f>146.37/(1+B2)</f>
        <v>146.37</v>
      </c>
      <c r="D11896" s="17" t="s">
        <v>11</v>
      </c>
      <c r="E11896" s="17"/>
      <c r="F11896" s="18"/>
      <c r="G11896" s="36" t="str">
        <f>IF(ISNUMBER(F11896),C11896*F11896,"")</f>
        <v/>
      </c>
    </row>
    <row r="11897" spans="1:7" ht="12" customHeight="1" outlineLevel="3" x14ac:dyDescent="0.2">
      <c r="A11897" s="14" t="s">
        <v>23386</v>
      </c>
      <c r="B11897" s="15" t="s">
        <v>23387</v>
      </c>
      <c r="C11897" s="16">
        <f>548.87/(1+B2)</f>
        <v>548.87</v>
      </c>
      <c r="D11897" s="17" t="s">
        <v>11</v>
      </c>
      <c r="E11897" s="17"/>
      <c r="F11897" s="18"/>
      <c r="G11897" s="36" t="str">
        <f>IF(ISNUMBER(F11897),C11897*F11897,"")</f>
        <v/>
      </c>
    </row>
    <row r="11898" spans="1:7" ht="12" customHeight="1" outlineLevel="3" x14ac:dyDescent="0.2">
      <c r="A11898" s="14" t="s">
        <v>23388</v>
      </c>
      <c r="B11898" s="15" t="s">
        <v>23389</v>
      </c>
      <c r="C11898" s="16">
        <f>914.32/(1+B2)</f>
        <v>914.32</v>
      </c>
      <c r="D11898" s="17" t="s">
        <v>11</v>
      </c>
      <c r="E11898" s="17"/>
      <c r="F11898" s="18"/>
      <c r="G11898" s="36" t="str">
        <f>IF(ISNUMBER(F11898),C11898*F11898,"")</f>
        <v/>
      </c>
    </row>
    <row r="11899" spans="1:7" ht="12" customHeight="1" outlineLevel="3" x14ac:dyDescent="0.2">
      <c r="A11899" s="14" t="s">
        <v>23390</v>
      </c>
      <c r="B11899" s="15" t="s">
        <v>23391</v>
      </c>
      <c r="C11899" s="16">
        <f>71.36/(1+B2)</f>
        <v>71.36</v>
      </c>
      <c r="D11899" s="17" t="s">
        <v>11</v>
      </c>
      <c r="E11899" s="17"/>
      <c r="F11899" s="18"/>
      <c r="G11899" s="36" t="str">
        <f>IF(ISNUMBER(F11899),C11899*F11899,"")</f>
        <v/>
      </c>
    </row>
    <row r="11900" spans="1:7" ht="12" customHeight="1" outlineLevel="3" x14ac:dyDescent="0.2">
      <c r="A11900" s="14" t="s">
        <v>23392</v>
      </c>
      <c r="B11900" s="15" t="s">
        <v>23393</v>
      </c>
      <c r="C11900" s="19">
        <f>1745.87/(1+B2)</f>
        <v>1745.87</v>
      </c>
      <c r="D11900" s="17" t="s">
        <v>11</v>
      </c>
      <c r="E11900" s="17"/>
      <c r="F11900" s="18"/>
      <c r="G11900" s="36" t="str">
        <f>IF(ISNUMBER(F11900),C11900*F11900,"")</f>
        <v/>
      </c>
    </row>
    <row r="11901" spans="1:7" ht="12" customHeight="1" outlineLevel="3" x14ac:dyDescent="0.2">
      <c r="A11901" s="14" t="s">
        <v>23394</v>
      </c>
      <c r="B11901" s="15" t="s">
        <v>23395</v>
      </c>
      <c r="C11901" s="19">
        <f>1216.48/(1+B2)</f>
        <v>1216.48</v>
      </c>
      <c r="D11901" s="17" t="s">
        <v>11</v>
      </c>
      <c r="E11901" s="17"/>
      <c r="F11901" s="18"/>
      <c r="G11901" s="36" t="str">
        <f>IF(ISNUMBER(F11901),C11901*F11901,"")</f>
        <v/>
      </c>
    </row>
    <row r="11902" spans="1:7" ht="12" customHeight="1" outlineLevel="3" x14ac:dyDescent="0.2">
      <c r="A11902" s="14" t="s">
        <v>23396</v>
      </c>
      <c r="B11902" s="15" t="s">
        <v>23397</v>
      </c>
      <c r="C11902" s="19">
        <f>1331.82/(1+B2)</f>
        <v>1331.82</v>
      </c>
      <c r="D11902" s="17" t="s">
        <v>11</v>
      </c>
      <c r="E11902" s="17"/>
      <c r="F11902" s="18"/>
      <c r="G11902" s="36" t="str">
        <f>IF(ISNUMBER(F11902),C11902*F11902,"")</f>
        <v/>
      </c>
    </row>
    <row r="11903" spans="1:7" ht="12" customHeight="1" outlineLevel="3" x14ac:dyDescent="0.2">
      <c r="A11903" s="14" t="s">
        <v>23398</v>
      </c>
      <c r="B11903" s="15" t="s">
        <v>23399</v>
      </c>
      <c r="C11903" s="16">
        <f>30/(1+B2)</f>
        <v>30</v>
      </c>
      <c r="D11903" s="17" t="s">
        <v>11</v>
      </c>
      <c r="E11903" s="17"/>
      <c r="F11903" s="18"/>
      <c r="G11903" s="36" t="str">
        <f>IF(ISNUMBER(F11903),C11903*F11903,"")</f>
        <v/>
      </c>
    </row>
    <row r="11904" spans="1:7" ht="12" customHeight="1" outlineLevel="3" x14ac:dyDescent="0.2">
      <c r="A11904" s="14" t="s">
        <v>23400</v>
      </c>
      <c r="B11904" s="15" t="s">
        <v>23401</v>
      </c>
      <c r="C11904" s="16">
        <f>542.86/(1+B2)</f>
        <v>542.86</v>
      </c>
      <c r="D11904" s="17" t="s">
        <v>11</v>
      </c>
      <c r="E11904" s="17"/>
      <c r="F11904" s="18"/>
      <c r="G11904" s="36" t="str">
        <f>IF(ISNUMBER(F11904),C11904*F11904,"")</f>
        <v/>
      </c>
    </row>
    <row r="11905" spans="1:7" ht="12" customHeight="1" outlineLevel="3" x14ac:dyDescent="0.2">
      <c r="A11905" s="14" t="s">
        <v>23402</v>
      </c>
      <c r="B11905" s="15" t="s">
        <v>23403</v>
      </c>
      <c r="C11905" s="16">
        <f>129.78/(1+B2)</f>
        <v>129.78</v>
      </c>
      <c r="D11905" s="17" t="s">
        <v>14</v>
      </c>
      <c r="E11905" s="17"/>
      <c r="F11905" s="18"/>
      <c r="G11905" s="36" t="str">
        <f>IF(ISNUMBER(F11905),C11905*F11905,"")</f>
        <v/>
      </c>
    </row>
    <row r="11906" spans="1:7" ht="12" customHeight="1" outlineLevel="3" x14ac:dyDescent="0.2">
      <c r="A11906" s="14" t="s">
        <v>23404</v>
      </c>
      <c r="B11906" s="15" t="s">
        <v>23405</v>
      </c>
      <c r="C11906" s="16">
        <f>129.78/(1+B2)</f>
        <v>129.78</v>
      </c>
      <c r="D11906" s="17" t="s">
        <v>11</v>
      </c>
      <c r="E11906" s="17"/>
      <c r="F11906" s="18"/>
      <c r="G11906" s="36" t="str">
        <f>IF(ISNUMBER(F11906),C11906*F11906,"")</f>
        <v/>
      </c>
    </row>
    <row r="11907" spans="1:7" ht="12" customHeight="1" outlineLevel="3" x14ac:dyDescent="0.2">
      <c r="A11907" s="14" t="s">
        <v>23406</v>
      </c>
      <c r="B11907" s="15" t="s">
        <v>23407</v>
      </c>
      <c r="C11907" s="16">
        <f>30/(1+B2)</f>
        <v>30</v>
      </c>
      <c r="D11907" s="17" t="s">
        <v>14</v>
      </c>
      <c r="E11907" s="17"/>
      <c r="F11907" s="18"/>
      <c r="G11907" s="36" t="str">
        <f>IF(ISNUMBER(F11907),C11907*F11907,"")</f>
        <v/>
      </c>
    </row>
    <row r="11908" spans="1:7" ht="12" customHeight="1" outlineLevel="3" x14ac:dyDescent="0.2">
      <c r="A11908" s="14" t="s">
        <v>23408</v>
      </c>
      <c r="B11908" s="15" t="s">
        <v>23409</v>
      </c>
      <c r="C11908" s="16">
        <f>231.86/(1+B2)</f>
        <v>231.86</v>
      </c>
      <c r="D11908" s="17" t="s">
        <v>11</v>
      </c>
      <c r="E11908" s="17"/>
      <c r="F11908" s="18"/>
      <c r="G11908" s="36" t="str">
        <f>IF(ISNUMBER(F11908),C11908*F11908,"")</f>
        <v/>
      </c>
    </row>
    <row r="11909" spans="1:7" ht="12" customHeight="1" outlineLevel="3" x14ac:dyDescent="0.2">
      <c r="A11909" s="14" t="s">
        <v>23410</v>
      </c>
      <c r="B11909" s="15" t="s">
        <v>23411</v>
      </c>
      <c r="C11909" s="16">
        <f>231.86/(1+B2)</f>
        <v>231.86</v>
      </c>
      <c r="D11909" s="17" t="s">
        <v>11</v>
      </c>
      <c r="E11909" s="17"/>
      <c r="F11909" s="18"/>
      <c r="G11909" s="36" t="str">
        <f>IF(ISNUMBER(F11909),C11909*F11909,"")</f>
        <v/>
      </c>
    </row>
    <row r="11910" spans="1:7" ht="12" customHeight="1" outlineLevel="3" x14ac:dyDescent="0.2">
      <c r="A11910" s="14" t="s">
        <v>23412</v>
      </c>
      <c r="B11910" s="15" t="s">
        <v>23413</v>
      </c>
      <c r="C11910" s="16">
        <f>231.86/(1+B2)</f>
        <v>231.86</v>
      </c>
      <c r="D11910" s="17" t="s">
        <v>11</v>
      </c>
      <c r="E11910" s="17"/>
      <c r="F11910" s="18"/>
      <c r="G11910" s="36" t="str">
        <f>IF(ISNUMBER(F11910),C11910*F11910,"")</f>
        <v/>
      </c>
    </row>
    <row r="11911" spans="1:7" ht="12" customHeight="1" outlineLevel="3" x14ac:dyDescent="0.2">
      <c r="A11911" s="14" t="s">
        <v>23414</v>
      </c>
      <c r="B11911" s="15" t="s">
        <v>23415</v>
      </c>
      <c r="C11911" s="16">
        <f>30.55/(1+B2)</f>
        <v>30.55</v>
      </c>
      <c r="D11911" s="17" t="s">
        <v>14</v>
      </c>
      <c r="E11911" s="17"/>
      <c r="F11911" s="18"/>
      <c r="G11911" s="36" t="str">
        <f>IF(ISNUMBER(F11911),C11911*F11911,"")</f>
        <v/>
      </c>
    </row>
    <row r="11912" spans="1:7" ht="12" customHeight="1" outlineLevel="3" x14ac:dyDescent="0.2">
      <c r="A11912" s="14" t="s">
        <v>23416</v>
      </c>
      <c r="B11912" s="15" t="s">
        <v>23417</v>
      </c>
      <c r="C11912" s="16">
        <f>231.86/(1+B2)</f>
        <v>231.86</v>
      </c>
      <c r="D11912" s="17" t="s">
        <v>11</v>
      </c>
      <c r="E11912" s="17"/>
      <c r="F11912" s="18"/>
      <c r="G11912" s="36" t="str">
        <f>IF(ISNUMBER(F11912),C11912*F11912,"")</f>
        <v/>
      </c>
    </row>
    <row r="11913" spans="1:7" ht="12" customHeight="1" outlineLevel="3" x14ac:dyDescent="0.2">
      <c r="A11913" s="14" t="s">
        <v>23418</v>
      </c>
      <c r="B11913" s="15" t="s">
        <v>23419</v>
      </c>
      <c r="C11913" s="16">
        <f>30/(1+B2)</f>
        <v>30</v>
      </c>
      <c r="D11913" s="17" t="s">
        <v>11</v>
      </c>
      <c r="E11913" s="17"/>
      <c r="F11913" s="18"/>
      <c r="G11913" s="36" t="str">
        <f>IF(ISNUMBER(F11913),C11913*F11913,"")</f>
        <v/>
      </c>
    </row>
    <row r="11914" spans="1:7" ht="12" customHeight="1" outlineLevel="3" x14ac:dyDescent="0.2">
      <c r="A11914" s="14" t="s">
        <v>23420</v>
      </c>
      <c r="B11914" s="15" t="s">
        <v>23421</v>
      </c>
      <c r="C11914" s="16">
        <f>231.86/(1+B2)</f>
        <v>231.86</v>
      </c>
      <c r="D11914" s="17" t="s">
        <v>53</v>
      </c>
      <c r="E11914" s="17"/>
      <c r="F11914" s="18"/>
      <c r="G11914" s="36" t="str">
        <f>IF(ISNUMBER(F11914),C11914*F11914,"")</f>
        <v/>
      </c>
    </row>
    <row r="11915" spans="1:7" ht="12" customHeight="1" outlineLevel="3" x14ac:dyDescent="0.2">
      <c r="A11915" s="14" t="s">
        <v>23422</v>
      </c>
      <c r="B11915" s="15" t="s">
        <v>23423</v>
      </c>
      <c r="C11915" s="16">
        <f>118.76/(1+B2)</f>
        <v>118.76</v>
      </c>
      <c r="D11915" s="17" t="s">
        <v>11</v>
      </c>
      <c r="E11915" s="17"/>
      <c r="F11915" s="18"/>
      <c r="G11915" s="36" t="str">
        <f>IF(ISNUMBER(F11915),C11915*F11915,"")</f>
        <v/>
      </c>
    </row>
    <row r="11916" spans="1:7" ht="12" customHeight="1" outlineLevel="3" x14ac:dyDescent="0.2">
      <c r="A11916" s="14" t="s">
        <v>23424</v>
      </c>
      <c r="B11916" s="15" t="s">
        <v>23425</v>
      </c>
      <c r="C11916" s="16">
        <f>273.4/(1+B2)</f>
        <v>273.39999999999998</v>
      </c>
      <c r="D11916" s="17" t="s">
        <v>11</v>
      </c>
      <c r="E11916" s="17"/>
      <c r="F11916" s="18"/>
      <c r="G11916" s="36" t="str">
        <f>IF(ISNUMBER(F11916),C11916*F11916,"")</f>
        <v/>
      </c>
    </row>
    <row r="11917" spans="1:7" ht="12" customHeight="1" outlineLevel="3" x14ac:dyDescent="0.2">
      <c r="A11917" s="14" t="s">
        <v>23426</v>
      </c>
      <c r="B11917" s="15" t="s">
        <v>23427</v>
      </c>
      <c r="C11917" s="19">
        <f>1414.24/(1+B2)</f>
        <v>1414.24</v>
      </c>
      <c r="D11917" s="17" t="s">
        <v>11</v>
      </c>
      <c r="E11917" s="17"/>
      <c r="F11917" s="18"/>
      <c r="G11917" s="36" t="str">
        <f>IF(ISNUMBER(F11917),C11917*F11917,"")</f>
        <v/>
      </c>
    </row>
    <row r="11918" spans="1:7" ht="12" customHeight="1" outlineLevel="3" x14ac:dyDescent="0.2">
      <c r="A11918" s="14" t="s">
        <v>23428</v>
      </c>
      <c r="B11918" s="15" t="s">
        <v>23429</v>
      </c>
      <c r="C11918" s="16">
        <f>349.82/(1+B2)</f>
        <v>349.82</v>
      </c>
      <c r="D11918" s="17" t="s">
        <v>11</v>
      </c>
      <c r="E11918" s="17"/>
      <c r="F11918" s="18"/>
      <c r="G11918" s="36" t="str">
        <f>IF(ISNUMBER(F11918),C11918*F11918,"")</f>
        <v/>
      </c>
    </row>
    <row r="11919" spans="1:7" ht="12" customHeight="1" outlineLevel="3" x14ac:dyDescent="0.2">
      <c r="A11919" s="14" t="s">
        <v>23430</v>
      </c>
      <c r="B11919" s="15" t="s">
        <v>23431</v>
      </c>
      <c r="C11919" s="16">
        <f>46.21/(1+B2)</f>
        <v>46.21</v>
      </c>
      <c r="D11919" s="17" t="s">
        <v>11</v>
      </c>
      <c r="E11919" s="17"/>
      <c r="F11919" s="18"/>
      <c r="G11919" s="36" t="str">
        <f>IF(ISNUMBER(F11919),C11919*F11919,"")</f>
        <v/>
      </c>
    </row>
    <row r="11920" spans="1:7" s="1" customFormat="1" ht="15.95" customHeight="1" outlineLevel="1" x14ac:dyDescent="0.25">
      <c r="A11920" s="11"/>
      <c r="B11920" s="12" t="s">
        <v>23432</v>
      </c>
      <c r="C11920" s="13"/>
      <c r="D11920" s="13"/>
      <c r="E11920" s="13"/>
      <c r="F11920" s="13"/>
      <c r="G11920" s="35"/>
    </row>
    <row r="11921" spans="1:7" s="1" customFormat="1" ht="12.95" customHeight="1" outlineLevel="2" x14ac:dyDescent="0.2">
      <c r="A11921" s="20"/>
      <c r="B11921" s="21" t="s">
        <v>23433</v>
      </c>
      <c r="C11921" s="22"/>
      <c r="D11921" s="22"/>
      <c r="E11921" s="22"/>
      <c r="F11921" s="22"/>
      <c r="G11921" s="37"/>
    </row>
    <row r="11922" spans="1:7" ht="12" customHeight="1" outlineLevel="3" x14ac:dyDescent="0.2">
      <c r="A11922" s="14" t="s">
        <v>23434</v>
      </c>
      <c r="B11922" s="15" t="s">
        <v>23435</v>
      </c>
      <c r="C11922" s="16">
        <f>143.3/(1+B2)</f>
        <v>143.30000000000001</v>
      </c>
      <c r="D11922" s="17" t="s">
        <v>11</v>
      </c>
      <c r="E11922" s="17"/>
      <c r="F11922" s="18"/>
      <c r="G11922" s="36" t="str">
        <f>IF(ISNUMBER(F11922),C11922*F11922,"")</f>
        <v/>
      </c>
    </row>
    <row r="11923" spans="1:7" ht="12" customHeight="1" outlineLevel="3" x14ac:dyDescent="0.2">
      <c r="A11923" s="14" t="s">
        <v>23436</v>
      </c>
      <c r="B11923" s="15" t="s">
        <v>23437</v>
      </c>
      <c r="C11923" s="16">
        <f>225.02/(1+B2)</f>
        <v>225.02</v>
      </c>
      <c r="D11923" s="17" t="s">
        <v>11</v>
      </c>
      <c r="E11923" s="17"/>
      <c r="F11923" s="18"/>
      <c r="G11923" s="36" t="str">
        <f>IF(ISNUMBER(F11923),C11923*F11923,"")</f>
        <v/>
      </c>
    </row>
    <row r="11924" spans="1:7" ht="12" customHeight="1" outlineLevel="3" x14ac:dyDescent="0.2">
      <c r="A11924" s="14" t="s">
        <v>23438</v>
      </c>
      <c r="B11924" s="15" t="s">
        <v>23439</v>
      </c>
      <c r="C11924" s="16">
        <f>348.88/(1+B2)</f>
        <v>348.88</v>
      </c>
      <c r="D11924" s="17" t="s">
        <v>11</v>
      </c>
      <c r="E11924" s="17"/>
      <c r="F11924" s="18"/>
      <c r="G11924" s="36" t="str">
        <f>IF(ISNUMBER(F11924),C11924*F11924,"")</f>
        <v/>
      </c>
    </row>
    <row r="11925" spans="1:7" ht="12" customHeight="1" outlineLevel="3" x14ac:dyDescent="0.2">
      <c r="A11925" s="14" t="s">
        <v>23440</v>
      </c>
      <c r="B11925" s="15" t="s">
        <v>23441</v>
      </c>
      <c r="C11925" s="16">
        <f>172.6/(1+B2)</f>
        <v>172.6</v>
      </c>
      <c r="D11925" s="17" t="s">
        <v>11</v>
      </c>
      <c r="E11925" s="17"/>
      <c r="F11925" s="18"/>
      <c r="G11925" s="36" t="str">
        <f>IF(ISNUMBER(F11925),C11925*F11925,"")</f>
        <v/>
      </c>
    </row>
    <row r="11926" spans="1:7" ht="12" customHeight="1" outlineLevel="3" x14ac:dyDescent="0.2">
      <c r="A11926" s="14" t="s">
        <v>23442</v>
      </c>
      <c r="B11926" s="15" t="s">
        <v>23443</v>
      </c>
      <c r="C11926" s="16">
        <f>320.19/(1+B2)</f>
        <v>320.19</v>
      </c>
      <c r="D11926" s="17" t="s">
        <v>11</v>
      </c>
      <c r="E11926" s="17" t="s">
        <v>11</v>
      </c>
      <c r="F11926" s="18"/>
      <c r="G11926" s="36" t="str">
        <f>IF(ISNUMBER(F11926),C11926*F11926,"")</f>
        <v/>
      </c>
    </row>
    <row r="11927" spans="1:7" ht="12" customHeight="1" outlineLevel="3" x14ac:dyDescent="0.2">
      <c r="A11927" s="14" t="s">
        <v>23444</v>
      </c>
      <c r="B11927" s="15" t="s">
        <v>23445</v>
      </c>
      <c r="C11927" s="16">
        <f>206.28/(1+B2)</f>
        <v>206.28</v>
      </c>
      <c r="D11927" s="17" t="s">
        <v>11</v>
      </c>
      <c r="E11927" s="17"/>
      <c r="F11927" s="18"/>
      <c r="G11927" s="36" t="str">
        <f>IF(ISNUMBER(F11927),C11927*F11927,"")</f>
        <v/>
      </c>
    </row>
    <row r="11928" spans="1:7" ht="12" customHeight="1" outlineLevel="3" x14ac:dyDescent="0.2">
      <c r="A11928" s="14" t="s">
        <v>23446</v>
      </c>
      <c r="B11928" s="15" t="s">
        <v>23447</v>
      </c>
      <c r="C11928" s="16">
        <f>212.89/(1+B2)</f>
        <v>212.89</v>
      </c>
      <c r="D11928" s="17" t="s">
        <v>11</v>
      </c>
      <c r="E11928" s="17"/>
      <c r="F11928" s="18"/>
      <c r="G11928" s="36" t="str">
        <f>IF(ISNUMBER(F11928),C11928*F11928,"")</f>
        <v/>
      </c>
    </row>
    <row r="11929" spans="1:7" ht="12" customHeight="1" outlineLevel="3" x14ac:dyDescent="0.2">
      <c r="A11929" s="14" t="s">
        <v>23448</v>
      </c>
      <c r="B11929" s="15" t="s">
        <v>23449</v>
      </c>
      <c r="C11929" s="16">
        <f>88.8/(1+B2)</f>
        <v>88.8</v>
      </c>
      <c r="D11929" s="17" t="s">
        <v>11</v>
      </c>
      <c r="E11929" s="17"/>
      <c r="F11929" s="18"/>
      <c r="G11929" s="36" t="str">
        <f>IF(ISNUMBER(F11929),C11929*F11929,"")</f>
        <v/>
      </c>
    </row>
    <row r="11930" spans="1:7" ht="12" customHeight="1" outlineLevel="3" x14ac:dyDescent="0.2">
      <c r="A11930" s="14" t="s">
        <v>23450</v>
      </c>
      <c r="B11930" s="15" t="s">
        <v>23451</v>
      </c>
      <c r="C11930" s="16">
        <f>480.48/(1+B2)</f>
        <v>480.48</v>
      </c>
      <c r="D11930" s="17" t="s">
        <v>11</v>
      </c>
      <c r="E11930" s="17"/>
      <c r="F11930" s="18"/>
      <c r="G11930" s="36" t="str">
        <f>IF(ISNUMBER(F11930),C11930*F11930,"")</f>
        <v/>
      </c>
    </row>
    <row r="11931" spans="1:7" ht="12" customHeight="1" outlineLevel="3" x14ac:dyDescent="0.2">
      <c r="A11931" s="14" t="s">
        <v>23452</v>
      </c>
      <c r="B11931" s="15" t="s">
        <v>23453</v>
      </c>
      <c r="C11931" s="16">
        <f>406.69/(1+B2)</f>
        <v>406.69</v>
      </c>
      <c r="D11931" s="17" t="s">
        <v>11</v>
      </c>
      <c r="E11931" s="17"/>
      <c r="F11931" s="18"/>
      <c r="G11931" s="36" t="str">
        <f>IF(ISNUMBER(F11931),C11931*F11931,"")</f>
        <v/>
      </c>
    </row>
    <row r="11932" spans="1:7" ht="12" customHeight="1" outlineLevel="3" x14ac:dyDescent="0.2">
      <c r="A11932" s="14" t="s">
        <v>23454</v>
      </c>
      <c r="B11932" s="15" t="s">
        <v>23455</v>
      </c>
      <c r="C11932" s="16">
        <f>270.52/(1+B2)</f>
        <v>270.52</v>
      </c>
      <c r="D11932" s="17" t="s">
        <v>11</v>
      </c>
      <c r="E11932" s="17"/>
      <c r="F11932" s="18"/>
      <c r="G11932" s="36" t="str">
        <f>IF(ISNUMBER(F11932),C11932*F11932,"")</f>
        <v/>
      </c>
    </row>
    <row r="11933" spans="1:7" ht="12" customHeight="1" outlineLevel="3" x14ac:dyDescent="0.2">
      <c r="A11933" s="14" t="s">
        <v>23456</v>
      </c>
      <c r="B11933" s="15" t="s">
        <v>23457</v>
      </c>
      <c r="C11933" s="16">
        <f>420.88/(1+B2)</f>
        <v>420.88</v>
      </c>
      <c r="D11933" s="17" t="s">
        <v>11</v>
      </c>
      <c r="E11933" s="17"/>
      <c r="F11933" s="18"/>
      <c r="G11933" s="36" t="str">
        <f>IF(ISNUMBER(F11933),C11933*F11933,"")</f>
        <v/>
      </c>
    </row>
    <row r="11934" spans="1:7" ht="12" customHeight="1" outlineLevel="3" x14ac:dyDescent="0.2">
      <c r="A11934" s="14" t="s">
        <v>23458</v>
      </c>
      <c r="B11934" s="15" t="s">
        <v>23459</v>
      </c>
      <c r="C11934" s="16">
        <f>300/(1+B2)</f>
        <v>300</v>
      </c>
      <c r="D11934" s="17" t="s">
        <v>11</v>
      </c>
      <c r="E11934" s="17"/>
      <c r="F11934" s="18"/>
      <c r="G11934" s="36" t="str">
        <f>IF(ISNUMBER(F11934),C11934*F11934,"")</f>
        <v/>
      </c>
    </row>
    <row r="11935" spans="1:7" ht="12" customHeight="1" outlineLevel="3" x14ac:dyDescent="0.2">
      <c r="A11935" s="14" t="s">
        <v>23460</v>
      </c>
      <c r="B11935" s="15" t="s">
        <v>23461</v>
      </c>
      <c r="C11935" s="19">
        <f>1163.91/(1+B2)</f>
        <v>1163.9100000000001</v>
      </c>
      <c r="D11935" s="17" t="s">
        <v>11</v>
      </c>
      <c r="E11935" s="17"/>
      <c r="F11935" s="18"/>
      <c r="G11935" s="36" t="str">
        <f>IF(ISNUMBER(F11935),C11935*F11935,"")</f>
        <v/>
      </c>
    </row>
    <row r="11936" spans="1:7" ht="12" customHeight="1" outlineLevel="3" x14ac:dyDescent="0.2">
      <c r="A11936" s="14" t="s">
        <v>23462</v>
      </c>
      <c r="B11936" s="15" t="s">
        <v>23463</v>
      </c>
      <c r="C11936" s="19">
        <f>1579.93/(1+B2)</f>
        <v>1579.93</v>
      </c>
      <c r="D11936" s="17" t="s">
        <v>11</v>
      </c>
      <c r="E11936" s="17"/>
      <c r="F11936" s="18"/>
      <c r="G11936" s="36" t="str">
        <f>IF(ISNUMBER(F11936),C11936*F11936,"")</f>
        <v/>
      </c>
    </row>
    <row r="11937" spans="1:7" ht="24" customHeight="1" outlineLevel="3" x14ac:dyDescent="0.2">
      <c r="A11937" s="14" t="s">
        <v>23464</v>
      </c>
      <c r="B11937" s="15" t="s">
        <v>23465</v>
      </c>
      <c r="C11937" s="19">
        <f>1957.09/(1+B2)</f>
        <v>1957.09</v>
      </c>
      <c r="D11937" s="17" t="s">
        <v>11</v>
      </c>
      <c r="E11937" s="17"/>
      <c r="F11937" s="18"/>
      <c r="G11937" s="36" t="str">
        <f>IF(ISNUMBER(F11937),C11937*F11937,"")</f>
        <v/>
      </c>
    </row>
    <row r="11938" spans="1:7" ht="12" customHeight="1" outlineLevel="3" x14ac:dyDescent="0.2">
      <c r="A11938" s="14" t="s">
        <v>23466</v>
      </c>
      <c r="B11938" s="15" t="s">
        <v>23467</v>
      </c>
      <c r="C11938" s="16">
        <f>362.5/(1+B2)</f>
        <v>362.5</v>
      </c>
      <c r="D11938" s="17" t="s">
        <v>11</v>
      </c>
      <c r="E11938" s="17"/>
      <c r="F11938" s="18"/>
      <c r="G11938" s="36" t="str">
        <f>IF(ISNUMBER(F11938),C11938*F11938,"")</f>
        <v/>
      </c>
    </row>
    <row r="11939" spans="1:7" ht="12" customHeight="1" outlineLevel="3" x14ac:dyDescent="0.2">
      <c r="A11939" s="14" t="s">
        <v>23468</v>
      </c>
      <c r="B11939" s="15" t="s">
        <v>23469</v>
      </c>
      <c r="C11939" s="16">
        <f>859.88/(1+B2)</f>
        <v>859.88</v>
      </c>
      <c r="D11939" s="17" t="s">
        <v>11</v>
      </c>
      <c r="E11939" s="17"/>
      <c r="F11939" s="18"/>
      <c r="G11939" s="36" t="str">
        <f>IF(ISNUMBER(F11939),C11939*F11939,"")</f>
        <v/>
      </c>
    </row>
    <row r="11940" spans="1:7" ht="12" customHeight="1" outlineLevel="3" x14ac:dyDescent="0.2">
      <c r="A11940" s="14" t="s">
        <v>23470</v>
      </c>
      <c r="B11940" s="15" t="s">
        <v>23471</v>
      </c>
      <c r="C11940" s="16">
        <f>607.86/(1+B2)</f>
        <v>607.86</v>
      </c>
      <c r="D11940" s="17" t="s">
        <v>11</v>
      </c>
      <c r="E11940" s="17"/>
      <c r="F11940" s="18"/>
      <c r="G11940" s="36" t="str">
        <f>IF(ISNUMBER(F11940),C11940*F11940,"")</f>
        <v/>
      </c>
    </row>
    <row r="11941" spans="1:7" ht="24" customHeight="1" outlineLevel="3" x14ac:dyDescent="0.2">
      <c r="A11941" s="14" t="s">
        <v>23472</v>
      </c>
      <c r="B11941" s="15" t="s">
        <v>23473</v>
      </c>
      <c r="C11941" s="16">
        <f>706.4/(1+B2)</f>
        <v>706.4</v>
      </c>
      <c r="D11941" s="17" t="s">
        <v>11</v>
      </c>
      <c r="E11941" s="17"/>
      <c r="F11941" s="18"/>
      <c r="G11941" s="36" t="str">
        <f>IF(ISNUMBER(F11941),C11941*F11941,"")</f>
        <v/>
      </c>
    </row>
    <row r="11942" spans="1:7" ht="24" customHeight="1" outlineLevel="3" x14ac:dyDescent="0.2">
      <c r="A11942" s="14" t="s">
        <v>23474</v>
      </c>
      <c r="B11942" s="15" t="s">
        <v>23475</v>
      </c>
      <c r="C11942" s="19">
        <f>1096.39/(1+B2)</f>
        <v>1096.3900000000001</v>
      </c>
      <c r="D11942" s="17" t="s">
        <v>11</v>
      </c>
      <c r="E11942" s="17"/>
      <c r="F11942" s="18"/>
      <c r="G11942" s="36" t="str">
        <f>IF(ISNUMBER(F11942),C11942*F11942,"")</f>
        <v/>
      </c>
    </row>
    <row r="11943" spans="1:7" ht="12" customHeight="1" outlineLevel="3" x14ac:dyDescent="0.2">
      <c r="A11943" s="14" t="s">
        <v>23476</v>
      </c>
      <c r="B11943" s="15" t="s">
        <v>23477</v>
      </c>
      <c r="C11943" s="16">
        <f>290.83/(1+B2)</f>
        <v>290.83</v>
      </c>
      <c r="D11943" s="17" t="s">
        <v>11</v>
      </c>
      <c r="E11943" s="17"/>
      <c r="F11943" s="18"/>
      <c r="G11943" s="36" t="str">
        <f>IF(ISNUMBER(F11943),C11943*F11943,"")</f>
        <v/>
      </c>
    </row>
    <row r="11944" spans="1:7" ht="12" customHeight="1" outlineLevel="3" x14ac:dyDescent="0.2">
      <c r="A11944" s="14" t="s">
        <v>23478</v>
      </c>
      <c r="B11944" s="15" t="s">
        <v>23479</v>
      </c>
      <c r="C11944" s="16">
        <f>245.77/(1+B2)</f>
        <v>245.77</v>
      </c>
      <c r="D11944" s="17" t="s">
        <v>11</v>
      </c>
      <c r="E11944" s="17"/>
      <c r="F11944" s="18"/>
      <c r="G11944" s="36" t="str">
        <f>IF(ISNUMBER(F11944),C11944*F11944,"")</f>
        <v/>
      </c>
    </row>
    <row r="11945" spans="1:7" ht="12" customHeight="1" outlineLevel="3" x14ac:dyDescent="0.2">
      <c r="A11945" s="14" t="s">
        <v>23480</v>
      </c>
      <c r="B11945" s="15" t="s">
        <v>23481</v>
      </c>
      <c r="C11945" s="16">
        <f>26/(1+B2)</f>
        <v>26</v>
      </c>
      <c r="D11945" s="17" t="s">
        <v>14</v>
      </c>
      <c r="E11945" s="17"/>
      <c r="F11945" s="18"/>
      <c r="G11945" s="36" t="str">
        <f>IF(ISNUMBER(F11945),C11945*F11945,"")</f>
        <v/>
      </c>
    </row>
    <row r="11946" spans="1:7" ht="12" customHeight="1" outlineLevel="3" x14ac:dyDescent="0.2">
      <c r="A11946" s="14" t="s">
        <v>23482</v>
      </c>
      <c r="B11946" s="15" t="s">
        <v>23483</v>
      </c>
      <c r="C11946" s="16">
        <f>253.75/(1+B2)</f>
        <v>253.75</v>
      </c>
      <c r="D11946" s="17" t="s">
        <v>11</v>
      </c>
      <c r="E11946" s="17"/>
      <c r="F11946" s="18"/>
      <c r="G11946" s="36" t="str">
        <f>IF(ISNUMBER(F11946),C11946*F11946,"")</f>
        <v/>
      </c>
    </row>
    <row r="11947" spans="1:7" ht="12" customHeight="1" outlineLevel="3" x14ac:dyDescent="0.2">
      <c r="A11947" s="14" t="s">
        <v>23484</v>
      </c>
      <c r="B11947" s="15" t="s">
        <v>23485</v>
      </c>
      <c r="C11947" s="16">
        <f>356.88/(1+B2)</f>
        <v>356.88</v>
      </c>
      <c r="D11947" s="17" t="s">
        <v>11</v>
      </c>
      <c r="E11947" s="17"/>
      <c r="F11947" s="18"/>
      <c r="G11947" s="36" t="str">
        <f>IF(ISNUMBER(F11947),C11947*F11947,"")</f>
        <v/>
      </c>
    </row>
    <row r="11948" spans="1:7" ht="12" customHeight="1" outlineLevel="3" x14ac:dyDescent="0.2">
      <c r="A11948" s="14" t="s">
        <v>23486</v>
      </c>
      <c r="B11948" s="15" t="s">
        <v>23487</v>
      </c>
      <c r="C11948" s="16">
        <f>311.85/(1+B2)</f>
        <v>311.85000000000002</v>
      </c>
      <c r="D11948" s="17" t="s">
        <v>11</v>
      </c>
      <c r="E11948" s="17"/>
      <c r="F11948" s="18"/>
      <c r="G11948" s="36" t="str">
        <f>IF(ISNUMBER(F11948),C11948*F11948,"")</f>
        <v/>
      </c>
    </row>
    <row r="11949" spans="1:7" ht="12" customHeight="1" outlineLevel="3" x14ac:dyDescent="0.2">
      <c r="A11949" s="14" t="s">
        <v>23488</v>
      </c>
      <c r="B11949" s="15" t="s">
        <v>23489</v>
      </c>
      <c r="C11949" s="16">
        <f>396.55/(1+B2)</f>
        <v>396.55</v>
      </c>
      <c r="D11949" s="17" t="s">
        <v>11</v>
      </c>
      <c r="E11949" s="17"/>
      <c r="F11949" s="18"/>
      <c r="G11949" s="36" t="str">
        <f>IF(ISNUMBER(F11949),C11949*F11949,"")</f>
        <v/>
      </c>
    </row>
    <row r="11950" spans="1:7" ht="12" customHeight="1" outlineLevel="3" x14ac:dyDescent="0.2">
      <c r="A11950" s="14" t="s">
        <v>23490</v>
      </c>
      <c r="B11950" s="15" t="s">
        <v>23491</v>
      </c>
      <c r="C11950" s="16">
        <f>671.76/(1+B2)</f>
        <v>671.76</v>
      </c>
      <c r="D11950" s="17" t="s">
        <v>11</v>
      </c>
      <c r="E11950" s="17"/>
      <c r="F11950" s="18"/>
      <c r="G11950" s="36" t="str">
        <f>IF(ISNUMBER(F11950),C11950*F11950,"")</f>
        <v/>
      </c>
    </row>
    <row r="11951" spans="1:7" ht="12" customHeight="1" outlineLevel="3" x14ac:dyDescent="0.2">
      <c r="A11951" s="14" t="s">
        <v>23492</v>
      </c>
      <c r="B11951" s="15" t="s">
        <v>23493</v>
      </c>
      <c r="C11951" s="16">
        <f>54.42/(1+B2)</f>
        <v>54.42</v>
      </c>
      <c r="D11951" s="17" t="s">
        <v>11</v>
      </c>
      <c r="E11951" s="17"/>
      <c r="F11951" s="18"/>
      <c r="G11951" s="36" t="str">
        <f>IF(ISNUMBER(F11951),C11951*F11951,"")</f>
        <v/>
      </c>
    </row>
    <row r="11952" spans="1:7" ht="12" customHeight="1" outlineLevel="3" x14ac:dyDescent="0.2">
      <c r="A11952" s="14" t="s">
        <v>23494</v>
      </c>
      <c r="B11952" s="15" t="s">
        <v>23495</v>
      </c>
      <c r="C11952" s="16">
        <f>86.72/(1+B2)</f>
        <v>86.72</v>
      </c>
      <c r="D11952" s="17" t="s">
        <v>11</v>
      </c>
      <c r="E11952" s="17"/>
      <c r="F11952" s="18"/>
      <c r="G11952" s="36" t="str">
        <f>IF(ISNUMBER(F11952),C11952*F11952,"")</f>
        <v/>
      </c>
    </row>
    <row r="11953" spans="1:7" ht="12" customHeight="1" outlineLevel="3" x14ac:dyDescent="0.2">
      <c r="A11953" s="14" t="s">
        <v>23496</v>
      </c>
      <c r="B11953" s="15" t="s">
        <v>23497</v>
      </c>
      <c r="C11953" s="16">
        <f>192.96/(1+B2)</f>
        <v>192.96</v>
      </c>
      <c r="D11953" s="17" t="s">
        <v>11</v>
      </c>
      <c r="E11953" s="17"/>
      <c r="F11953" s="18"/>
      <c r="G11953" s="36" t="str">
        <f>IF(ISNUMBER(F11953),C11953*F11953,"")</f>
        <v/>
      </c>
    </row>
    <row r="11954" spans="1:7" ht="12" customHeight="1" outlineLevel="3" x14ac:dyDescent="0.2">
      <c r="A11954" s="14" t="s">
        <v>23498</v>
      </c>
      <c r="B11954" s="15" t="s">
        <v>23499</v>
      </c>
      <c r="C11954" s="16">
        <f>286.92/(1+B2)</f>
        <v>286.92</v>
      </c>
      <c r="D11954" s="17" t="s">
        <v>11</v>
      </c>
      <c r="E11954" s="17"/>
      <c r="F11954" s="18"/>
      <c r="G11954" s="36" t="str">
        <f>IF(ISNUMBER(F11954),C11954*F11954,"")</f>
        <v/>
      </c>
    </row>
    <row r="11955" spans="1:7" ht="12" customHeight="1" outlineLevel="3" x14ac:dyDescent="0.2">
      <c r="A11955" s="14" t="s">
        <v>23500</v>
      </c>
      <c r="B11955" s="15" t="s">
        <v>23501</v>
      </c>
      <c r="C11955" s="16">
        <f>147.11/(1+B2)</f>
        <v>147.11000000000001</v>
      </c>
      <c r="D11955" s="17" t="s">
        <v>11</v>
      </c>
      <c r="E11955" s="17"/>
      <c r="F11955" s="18"/>
      <c r="G11955" s="36" t="str">
        <f>IF(ISNUMBER(F11955),C11955*F11955,"")</f>
        <v/>
      </c>
    </row>
    <row r="11956" spans="1:7" ht="12" customHeight="1" outlineLevel="3" x14ac:dyDescent="0.2">
      <c r="A11956" s="14" t="s">
        <v>23502</v>
      </c>
      <c r="B11956" s="15" t="s">
        <v>23503</v>
      </c>
      <c r="C11956" s="16">
        <f>260.95/(1+B2)</f>
        <v>260.95</v>
      </c>
      <c r="D11956" s="17" t="s">
        <v>11</v>
      </c>
      <c r="E11956" s="17"/>
      <c r="F11956" s="18"/>
      <c r="G11956" s="36" t="str">
        <f>IF(ISNUMBER(F11956),C11956*F11956,"")</f>
        <v/>
      </c>
    </row>
    <row r="11957" spans="1:7" ht="12" customHeight="1" outlineLevel="3" x14ac:dyDescent="0.2">
      <c r="A11957" s="14" t="s">
        <v>23504</v>
      </c>
      <c r="B11957" s="15" t="s">
        <v>23505</v>
      </c>
      <c r="C11957" s="16">
        <f>509.74/(1+B2)</f>
        <v>509.74</v>
      </c>
      <c r="D11957" s="17" t="s">
        <v>11</v>
      </c>
      <c r="E11957" s="17"/>
      <c r="F11957" s="18"/>
      <c r="G11957" s="36" t="str">
        <f>IF(ISNUMBER(F11957),C11957*F11957,"")</f>
        <v/>
      </c>
    </row>
    <row r="11958" spans="1:7" ht="12" customHeight="1" outlineLevel="3" x14ac:dyDescent="0.2">
      <c r="A11958" s="14" t="s">
        <v>23506</v>
      </c>
      <c r="B11958" s="15" t="s">
        <v>23507</v>
      </c>
      <c r="C11958" s="16">
        <f>545.58/(1+B2)</f>
        <v>545.58000000000004</v>
      </c>
      <c r="D11958" s="17" t="s">
        <v>11</v>
      </c>
      <c r="E11958" s="17"/>
      <c r="F11958" s="18"/>
      <c r="G11958" s="36" t="str">
        <f>IF(ISNUMBER(F11958),C11958*F11958,"")</f>
        <v/>
      </c>
    </row>
    <row r="11959" spans="1:7" ht="12" customHeight="1" outlineLevel="3" x14ac:dyDescent="0.2">
      <c r="A11959" s="14" t="s">
        <v>23508</v>
      </c>
      <c r="B11959" s="15" t="s">
        <v>23509</v>
      </c>
      <c r="C11959" s="16">
        <f>679.05/(1+B2)</f>
        <v>679.05</v>
      </c>
      <c r="D11959" s="17" t="s">
        <v>11</v>
      </c>
      <c r="E11959" s="17"/>
      <c r="F11959" s="18"/>
      <c r="G11959" s="36" t="str">
        <f>IF(ISNUMBER(F11959),C11959*F11959,"")</f>
        <v/>
      </c>
    </row>
    <row r="11960" spans="1:7" ht="12" customHeight="1" outlineLevel="3" x14ac:dyDescent="0.2">
      <c r="A11960" s="14" t="s">
        <v>23510</v>
      </c>
      <c r="B11960" s="15" t="s">
        <v>23511</v>
      </c>
      <c r="C11960" s="16">
        <f>778.9/(1+B2)</f>
        <v>778.9</v>
      </c>
      <c r="D11960" s="17" t="s">
        <v>11</v>
      </c>
      <c r="E11960" s="17"/>
      <c r="F11960" s="18"/>
      <c r="G11960" s="36" t="str">
        <f>IF(ISNUMBER(F11960),C11960*F11960,"")</f>
        <v/>
      </c>
    </row>
    <row r="11961" spans="1:7" ht="12" customHeight="1" outlineLevel="3" x14ac:dyDescent="0.2">
      <c r="A11961" s="14" t="s">
        <v>23512</v>
      </c>
      <c r="B11961" s="15" t="s">
        <v>23513</v>
      </c>
      <c r="C11961" s="19">
        <f>2399.78/(1+B2)</f>
        <v>2399.7800000000002</v>
      </c>
      <c r="D11961" s="17" t="s">
        <v>11</v>
      </c>
      <c r="E11961" s="17"/>
      <c r="F11961" s="18"/>
      <c r="G11961" s="36" t="str">
        <f>IF(ISNUMBER(F11961),C11961*F11961,"")</f>
        <v/>
      </c>
    </row>
    <row r="11962" spans="1:7" ht="12" customHeight="1" outlineLevel="3" x14ac:dyDescent="0.2">
      <c r="A11962" s="14" t="s">
        <v>23514</v>
      </c>
      <c r="B11962" s="15" t="s">
        <v>23515</v>
      </c>
      <c r="C11962" s="16">
        <f>344.73/(1+B2)</f>
        <v>344.73</v>
      </c>
      <c r="D11962" s="17" t="s">
        <v>11</v>
      </c>
      <c r="E11962" s="17"/>
      <c r="F11962" s="18"/>
      <c r="G11962" s="36" t="str">
        <f>IF(ISNUMBER(F11962),C11962*F11962,"")</f>
        <v/>
      </c>
    </row>
    <row r="11963" spans="1:7" ht="12" customHeight="1" outlineLevel="3" x14ac:dyDescent="0.2">
      <c r="A11963" s="14" t="s">
        <v>23516</v>
      </c>
      <c r="B11963" s="15" t="s">
        <v>23517</v>
      </c>
      <c r="C11963" s="16">
        <f>363.98/(1+B2)</f>
        <v>363.98</v>
      </c>
      <c r="D11963" s="17" t="s">
        <v>11</v>
      </c>
      <c r="E11963" s="17"/>
      <c r="F11963" s="18"/>
      <c r="G11963" s="36" t="str">
        <f>IF(ISNUMBER(F11963),C11963*F11963,"")</f>
        <v/>
      </c>
    </row>
    <row r="11964" spans="1:7" ht="12" customHeight="1" outlineLevel="3" x14ac:dyDescent="0.2">
      <c r="A11964" s="14" t="s">
        <v>23518</v>
      </c>
      <c r="B11964" s="15" t="s">
        <v>23519</v>
      </c>
      <c r="C11964" s="16">
        <f>359.95/(1+B2)</f>
        <v>359.95</v>
      </c>
      <c r="D11964" s="17" t="s">
        <v>11</v>
      </c>
      <c r="E11964" s="17"/>
      <c r="F11964" s="18"/>
      <c r="G11964" s="36" t="str">
        <f>IF(ISNUMBER(F11964),C11964*F11964,"")</f>
        <v/>
      </c>
    </row>
    <row r="11965" spans="1:7" ht="12" customHeight="1" outlineLevel="3" x14ac:dyDescent="0.2">
      <c r="A11965" s="14" t="s">
        <v>23520</v>
      </c>
      <c r="B11965" s="15" t="s">
        <v>23521</v>
      </c>
      <c r="C11965" s="16">
        <f>221.39/(1+B2)</f>
        <v>221.39</v>
      </c>
      <c r="D11965" s="17" t="s">
        <v>14</v>
      </c>
      <c r="E11965" s="17"/>
      <c r="F11965" s="18"/>
      <c r="G11965" s="36" t="str">
        <f>IF(ISNUMBER(F11965),C11965*F11965,"")</f>
        <v/>
      </c>
    </row>
    <row r="11966" spans="1:7" ht="12" customHeight="1" outlineLevel="3" x14ac:dyDescent="0.2">
      <c r="A11966" s="14" t="s">
        <v>23522</v>
      </c>
      <c r="B11966" s="15" t="s">
        <v>23523</v>
      </c>
      <c r="C11966" s="16">
        <f>225.65/(1+B2)</f>
        <v>225.65</v>
      </c>
      <c r="D11966" s="17" t="s">
        <v>14</v>
      </c>
      <c r="E11966" s="17"/>
      <c r="F11966" s="18"/>
      <c r="G11966" s="36" t="str">
        <f>IF(ISNUMBER(F11966),C11966*F11966,"")</f>
        <v/>
      </c>
    </row>
    <row r="11967" spans="1:7" ht="12" customHeight="1" outlineLevel="3" x14ac:dyDescent="0.2">
      <c r="A11967" s="14" t="s">
        <v>23524</v>
      </c>
      <c r="B11967" s="15" t="s">
        <v>23525</v>
      </c>
      <c r="C11967" s="16">
        <f>207.07/(1+B2)</f>
        <v>207.07</v>
      </c>
      <c r="D11967" s="17" t="s">
        <v>14</v>
      </c>
      <c r="E11967" s="17"/>
      <c r="F11967" s="18"/>
      <c r="G11967" s="36" t="str">
        <f>IF(ISNUMBER(F11967),C11967*F11967,"")</f>
        <v/>
      </c>
    </row>
    <row r="11968" spans="1:7" ht="12" customHeight="1" outlineLevel="3" x14ac:dyDescent="0.2">
      <c r="A11968" s="14" t="s">
        <v>23526</v>
      </c>
      <c r="B11968" s="15" t="s">
        <v>23527</v>
      </c>
      <c r="C11968" s="16">
        <f>224.39/(1+B2)</f>
        <v>224.39</v>
      </c>
      <c r="D11968" s="17" t="s">
        <v>14</v>
      </c>
      <c r="E11968" s="17"/>
      <c r="F11968" s="18"/>
      <c r="G11968" s="36" t="str">
        <f>IF(ISNUMBER(F11968),C11968*F11968,"")</f>
        <v/>
      </c>
    </row>
    <row r="11969" spans="1:7" ht="24" customHeight="1" outlineLevel="3" x14ac:dyDescent="0.2">
      <c r="A11969" s="14" t="s">
        <v>23528</v>
      </c>
      <c r="B11969" s="15" t="s">
        <v>23529</v>
      </c>
      <c r="C11969" s="19">
        <f>1795.13/(1+B2)</f>
        <v>1795.13</v>
      </c>
      <c r="D11969" s="17" t="s">
        <v>11</v>
      </c>
      <c r="E11969" s="17"/>
      <c r="F11969" s="18"/>
      <c r="G11969" s="36" t="str">
        <f>IF(ISNUMBER(F11969),C11969*F11969,"")</f>
        <v/>
      </c>
    </row>
    <row r="11970" spans="1:7" s="1" customFormat="1" ht="12.95" customHeight="1" outlineLevel="2" x14ac:dyDescent="0.2">
      <c r="A11970" s="20"/>
      <c r="B11970" s="21" t="s">
        <v>23530</v>
      </c>
      <c r="C11970" s="22"/>
      <c r="D11970" s="22"/>
      <c r="E11970" s="22"/>
      <c r="F11970" s="22"/>
      <c r="G11970" s="37"/>
    </row>
    <row r="11971" spans="1:7" ht="12" customHeight="1" outlineLevel="3" x14ac:dyDescent="0.2">
      <c r="A11971" s="14" t="s">
        <v>23531</v>
      </c>
      <c r="B11971" s="15" t="s">
        <v>23532</v>
      </c>
      <c r="C11971" s="16">
        <f>332.05/(1+B2)</f>
        <v>332.05</v>
      </c>
      <c r="D11971" s="17" t="s">
        <v>11</v>
      </c>
      <c r="E11971" s="17"/>
      <c r="F11971" s="18"/>
      <c r="G11971" s="36" t="str">
        <f>IF(ISNUMBER(F11971),C11971*F11971,"")</f>
        <v/>
      </c>
    </row>
    <row r="11972" spans="1:7" ht="12" customHeight="1" outlineLevel="3" x14ac:dyDescent="0.2">
      <c r="A11972" s="14" t="s">
        <v>23533</v>
      </c>
      <c r="B11972" s="15" t="s">
        <v>23534</v>
      </c>
      <c r="C11972" s="16">
        <f>345.63/(1+B2)</f>
        <v>345.63</v>
      </c>
      <c r="D11972" s="17" t="s">
        <v>11</v>
      </c>
      <c r="E11972" s="17"/>
      <c r="F11972" s="18"/>
      <c r="G11972" s="36" t="str">
        <f>IF(ISNUMBER(F11972),C11972*F11972,"")</f>
        <v/>
      </c>
    </row>
    <row r="11973" spans="1:7" ht="12" customHeight="1" outlineLevel="3" x14ac:dyDescent="0.2">
      <c r="A11973" s="14" t="s">
        <v>23535</v>
      </c>
      <c r="B11973" s="15" t="s">
        <v>23536</v>
      </c>
      <c r="C11973" s="16">
        <f>307.43/(1+B2)</f>
        <v>307.43</v>
      </c>
      <c r="D11973" s="17" t="s">
        <v>11</v>
      </c>
      <c r="E11973" s="17"/>
      <c r="F11973" s="18"/>
      <c r="G11973" s="36" t="str">
        <f>IF(ISNUMBER(F11973),C11973*F11973,"")</f>
        <v/>
      </c>
    </row>
    <row r="11974" spans="1:7" ht="12" customHeight="1" outlineLevel="3" x14ac:dyDescent="0.2">
      <c r="A11974" s="14" t="s">
        <v>23537</v>
      </c>
      <c r="B11974" s="15" t="s">
        <v>23538</v>
      </c>
      <c r="C11974" s="16">
        <f>340.47/(1+B2)</f>
        <v>340.47</v>
      </c>
      <c r="D11974" s="17" t="s">
        <v>11</v>
      </c>
      <c r="E11974" s="17"/>
      <c r="F11974" s="18"/>
      <c r="G11974" s="36" t="str">
        <f>IF(ISNUMBER(F11974),C11974*F11974,"")</f>
        <v/>
      </c>
    </row>
    <row r="11975" spans="1:7" ht="12" customHeight="1" outlineLevel="3" x14ac:dyDescent="0.2">
      <c r="A11975" s="14" t="s">
        <v>23539</v>
      </c>
      <c r="B11975" s="15" t="s">
        <v>23540</v>
      </c>
      <c r="C11975" s="16">
        <f>547.8/(1+B2)</f>
        <v>547.79999999999995</v>
      </c>
      <c r="D11975" s="17" t="s">
        <v>11</v>
      </c>
      <c r="E11975" s="17"/>
      <c r="F11975" s="18"/>
      <c r="G11975" s="36" t="str">
        <f>IF(ISNUMBER(F11975),C11975*F11975,"")</f>
        <v/>
      </c>
    </row>
    <row r="11976" spans="1:7" ht="12" customHeight="1" outlineLevel="3" x14ac:dyDescent="0.2">
      <c r="A11976" s="14" t="s">
        <v>23541</v>
      </c>
      <c r="B11976" s="15" t="s">
        <v>23542</v>
      </c>
      <c r="C11976" s="16">
        <f>396.25/(1+B2)</f>
        <v>396.25</v>
      </c>
      <c r="D11976" s="17" t="s">
        <v>11</v>
      </c>
      <c r="E11976" s="17"/>
      <c r="F11976" s="18"/>
      <c r="G11976" s="36" t="str">
        <f>IF(ISNUMBER(F11976),C11976*F11976,"")</f>
        <v/>
      </c>
    </row>
    <row r="11977" spans="1:7" ht="12" customHeight="1" outlineLevel="3" x14ac:dyDescent="0.2">
      <c r="A11977" s="14" t="s">
        <v>23543</v>
      </c>
      <c r="B11977" s="15" t="s">
        <v>23544</v>
      </c>
      <c r="C11977" s="16">
        <f>441.82/(1+B2)</f>
        <v>441.82</v>
      </c>
      <c r="D11977" s="17" t="s">
        <v>11</v>
      </c>
      <c r="E11977" s="17"/>
      <c r="F11977" s="18"/>
      <c r="G11977" s="36" t="str">
        <f>IF(ISNUMBER(F11977),C11977*F11977,"")</f>
        <v/>
      </c>
    </row>
    <row r="11978" spans="1:7" ht="12" customHeight="1" outlineLevel="3" x14ac:dyDescent="0.2">
      <c r="A11978" s="14" t="s">
        <v>23545</v>
      </c>
      <c r="B11978" s="15" t="s">
        <v>23546</v>
      </c>
      <c r="C11978" s="16">
        <f>634.51/(1+B2)</f>
        <v>634.51</v>
      </c>
      <c r="D11978" s="17" t="s">
        <v>11</v>
      </c>
      <c r="E11978" s="17"/>
      <c r="F11978" s="18"/>
      <c r="G11978" s="36" t="str">
        <f>IF(ISNUMBER(F11978),C11978*F11978,"")</f>
        <v/>
      </c>
    </row>
    <row r="11979" spans="1:7" ht="12" customHeight="1" outlineLevel="3" x14ac:dyDescent="0.2">
      <c r="A11979" s="14" t="s">
        <v>23547</v>
      </c>
      <c r="B11979" s="15" t="s">
        <v>23548</v>
      </c>
      <c r="C11979" s="16">
        <f>425.86/(1+B2)</f>
        <v>425.86</v>
      </c>
      <c r="D11979" s="17" t="s">
        <v>11</v>
      </c>
      <c r="E11979" s="17"/>
      <c r="F11979" s="18"/>
      <c r="G11979" s="36" t="str">
        <f>IF(ISNUMBER(F11979),C11979*F11979,"")</f>
        <v/>
      </c>
    </row>
    <row r="11980" spans="1:7" ht="12" customHeight="1" outlineLevel="3" x14ac:dyDescent="0.2">
      <c r="A11980" s="14" t="s">
        <v>23549</v>
      </c>
      <c r="B11980" s="15" t="s">
        <v>23550</v>
      </c>
      <c r="C11980" s="16">
        <f>502.45/(1+B2)</f>
        <v>502.45</v>
      </c>
      <c r="D11980" s="17" t="s">
        <v>11</v>
      </c>
      <c r="E11980" s="17"/>
      <c r="F11980" s="18"/>
      <c r="G11980" s="36" t="str">
        <f>IF(ISNUMBER(F11980),C11980*F11980,"")</f>
        <v/>
      </c>
    </row>
    <row r="11981" spans="1:7" ht="12" customHeight="1" outlineLevel="3" x14ac:dyDescent="0.2">
      <c r="A11981" s="14" t="s">
        <v>23551</v>
      </c>
      <c r="B11981" s="15" t="s">
        <v>23552</v>
      </c>
      <c r="C11981" s="16">
        <f>305.27/(1+B2)</f>
        <v>305.27</v>
      </c>
      <c r="D11981" s="17" t="s">
        <v>14</v>
      </c>
      <c r="E11981" s="17"/>
      <c r="F11981" s="18"/>
      <c r="G11981" s="36" t="str">
        <f>IF(ISNUMBER(F11981),C11981*F11981,"")</f>
        <v/>
      </c>
    </row>
    <row r="11982" spans="1:7" ht="12" customHeight="1" outlineLevel="3" x14ac:dyDescent="0.2">
      <c r="A11982" s="14" t="s">
        <v>23553</v>
      </c>
      <c r="B11982" s="15" t="s">
        <v>23554</v>
      </c>
      <c r="C11982" s="16">
        <f>223.73/(1+B2)</f>
        <v>223.73</v>
      </c>
      <c r="D11982" s="17" t="s">
        <v>11</v>
      </c>
      <c r="E11982" s="17"/>
      <c r="F11982" s="18"/>
      <c r="G11982" s="36" t="str">
        <f>IF(ISNUMBER(F11982),C11982*F11982,"")</f>
        <v/>
      </c>
    </row>
    <row r="11983" spans="1:7" ht="12" customHeight="1" outlineLevel="3" x14ac:dyDescent="0.2">
      <c r="A11983" s="14" t="s">
        <v>23555</v>
      </c>
      <c r="B11983" s="15" t="s">
        <v>23556</v>
      </c>
      <c r="C11983" s="16">
        <f>345.56/(1+B2)</f>
        <v>345.56</v>
      </c>
      <c r="D11983" s="17" t="s">
        <v>11</v>
      </c>
      <c r="E11983" s="17"/>
      <c r="F11983" s="18"/>
      <c r="G11983" s="36" t="str">
        <f>IF(ISNUMBER(F11983),C11983*F11983,"")</f>
        <v/>
      </c>
    </row>
    <row r="11984" spans="1:7" ht="12" customHeight="1" outlineLevel="3" x14ac:dyDescent="0.2">
      <c r="A11984" s="14" t="s">
        <v>23557</v>
      </c>
      <c r="B11984" s="15" t="s">
        <v>23558</v>
      </c>
      <c r="C11984" s="16">
        <f>110.95/(1+B2)</f>
        <v>110.95</v>
      </c>
      <c r="D11984" s="17" t="s">
        <v>11</v>
      </c>
      <c r="E11984" s="17"/>
      <c r="F11984" s="18"/>
      <c r="G11984" s="36" t="str">
        <f>IF(ISNUMBER(F11984),C11984*F11984,"")</f>
        <v/>
      </c>
    </row>
    <row r="11985" spans="1:7" ht="12" customHeight="1" outlineLevel="3" x14ac:dyDescent="0.2">
      <c r="A11985" s="14" t="s">
        <v>23559</v>
      </c>
      <c r="B11985" s="15" t="s">
        <v>23560</v>
      </c>
      <c r="C11985" s="16">
        <f>136.45/(1+B2)</f>
        <v>136.44999999999999</v>
      </c>
      <c r="D11985" s="17" t="s">
        <v>11</v>
      </c>
      <c r="E11985" s="17"/>
      <c r="F11985" s="18"/>
      <c r="G11985" s="36" t="str">
        <f>IF(ISNUMBER(F11985),C11985*F11985,"")</f>
        <v/>
      </c>
    </row>
    <row r="11986" spans="1:7" ht="12" customHeight="1" outlineLevel="3" x14ac:dyDescent="0.2">
      <c r="A11986" s="14" t="s">
        <v>23561</v>
      </c>
      <c r="B11986" s="15" t="s">
        <v>23562</v>
      </c>
      <c r="C11986" s="16">
        <f>176/(1+B2)</f>
        <v>176</v>
      </c>
      <c r="D11986" s="17" t="s">
        <v>11</v>
      </c>
      <c r="E11986" s="17"/>
      <c r="F11986" s="18"/>
      <c r="G11986" s="36" t="str">
        <f>IF(ISNUMBER(F11986),C11986*F11986,"")</f>
        <v/>
      </c>
    </row>
    <row r="11987" spans="1:7" ht="12" customHeight="1" outlineLevel="3" x14ac:dyDescent="0.2">
      <c r="A11987" s="14" t="s">
        <v>23563</v>
      </c>
      <c r="B11987" s="15" t="s">
        <v>23564</v>
      </c>
      <c r="C11987" s="16">
        <f>241.44/(1+B2)</f>
        <v>241.44</v>
      </c>
      <c r="D11987" s="17" t="s">
        <v>11</v>
      </c>
      <c r="E11987" s="17"/>
      <c r="F11987" s="18"/>
      <c r="G11987" s="36" t="str">
        <f>IF(ISNUMBER(F11987),C11987*F11987,"")</f>
        <v/>
      </c>
    </row>
    <row r="11988" spans="1:7" ht="12" customHeight="1" outlineLevel="3" x14ac:dyDescent="0.2">
      <c r="A11988" s="14" t="s">
        <v>23565</v>
      </c>
      <c r="B11988" s="15" t="s">
        <v>23566</v>
      </c>
      <c r="C11988" s="16">
        <f>293.75/(1+B2)</f>
        <v>293.75</v>
      </c>
      <c r="D11988" s="17" t="s">
        <v>11</v>
      </c>
      <c r="E11988" s="17"/>
      <c r="F11988" s="18"/>
      <c r="G11988" s="36" t="str">
        <f>IF(ISNUMBER(F11988),C11988*F11988,"")</f>
        <v/>
      </c>
    </row>
    <row r="11989" spans="1:7" ht="12" customHeight="1" outlineLevel="3" x14ac:dyDescent="0.2">
      <c r="A11989" s="14" t="s">
        <v>23567</v>
      </c>
      <c r="B11989" s="15" t="s">
        <v>23568</v>
      </c>
      <c r="C11989" s="16">
        <f>332.11/(1+B2)</f>
        <v>332.11</v>
      </c>
      <c r="D11989" s="17" t="s">
        <v>11</v>
      </c>
      <c r="E11989" s="17"/>
      <c r="F11989" s="18"/>
      <c r="G11989" s="36" t="str">
        <f>IF(ISNUMBER(F11989),C11989*F11989,"")</f>
        <v/>
      </c>
    </row>
    <row r="11990" spans="1:7" ht="12" customHeight="1" outlineLevel="3" x14ac:dyDescent="0.2">
      <c r="A11990" s="14" t="s">
        <v>23569</v>
      </c>
      <c r="B11990" s="15" t="s">
        <v>23570</v>
      </c>
      <c r="C11990" s="16">
        <f>275.32/(1+B2)</f>
        <v>275.32</v>
      </c>
      <c r="D11990" s="17" t="s">
        <v>11</v>
      </c>
      <c r="E11990" s="17"/>
      <c r="F11990" s="18"/>
      <c r="G11990" s="36" t="str">
        <f>IF(ISNUMBER(F11990),C11990*F11990,"")</f>
        <v/>
      </c>
    </row>
    <row r="11991" spans="1:7" ht="12" customHeight="1" outlineLevel="3" x14ac:dyDescent="0.2">
      <c r="A11991" s="14" t="s">
        <v>23571</v>
      </c>
      <c r="B11991" s="15" t="s">
        <v>23572</v>
      </c>
      <c r="C11991" s="19">
        <f>1096.84/(1+B2)</f>
        <v>1096.8399999999999</v>
      </c>
      <c r="D11991" s="17" t="s">
        <v>11</v>
      </c>
      <c r="E11991" s="17"/>
      <c r="F11991" s="18"/>
      <c r="G11991" s="36" t="str">
        <f>IF(ISNUMBER(F11991),C11991*F11991,"")</f>
        <v/>
      </c>
    </row>
    <row r="11992" spans="1:7" ht="12" customHeight="1" outlineLevel="3" x14ac:dyDescent="0.2">
      <c r="A11992" s="14" t="s">
        <v>23573</v>
      </c>
      <c r="B11992" s="15" t="s">
        <v>23574</v>
      </c>
      <c r="C11992" s="19">
        <f>1330.15/(1+B2)</f>
        <v>1330.15</v>
      </c>
      <c r="D11992" s="17" t="s">
        <v>11</v>
      </c>
      <c r="E11992" s="17" t="s">
        <v>11</v>
      </c>
      <c r="F11992" s="18"/>
      <c r="G11992" s="36" t="str">
        <f>IF(ISNUMBER(F11992),C11992*F11992,"")</f>
        <v/>
      </c>
    </row>
    <row r="11993" spans="1:7" ht="12" customHeight="1" outlineLevel="3" x14ac:dyDescent="0.2">
      <c r="A11993" s="14" t="s">
        <v>23575</v>
      </c>
      <c r="B11993" s="15" t="s">
        <v>23576</v>
      </c>
      <c r="C11993" s="19">
        <f>1495.7/(1+B2)</f>
        <v>1495.7</v>
      </c>
      <c r="D11993" s="17" t="s">
        <v>11</v>
      </c>
      <c r="E11993" s="17"/>
      <c r="F11993" s="18"/>
      <c r="G11993" s="36" t="str">
        <f>IF(ISNUMBER(F11993),C11993*F11993,"")</f>
        <v/>
      </c>
    </row>
    <row r="11994" spans="1:7" ht="12" customHeight="1" outlineLevel="3" x14ac:dyDescent="0.2">
      <c r="A11994" s="14" t="s">
        <v>23577</v>
      </c>
      <c r="B11994" s="15" t="s">
        <v>23578</v>
      </c>
      <c r="C11994" s="19">
        <f>1551.85/(1+B2)</f>
        <v>1551.85</v>
      </c>
      <c r="D11994" s="17" t="s">
        <v>11</v>
      </c>
      <c r="E11994" s="17"/>
      <c r="F11994" s="18"/>
      <c r="G11994" s="36" t="str">
        <f>IF(ISNUMBER(F11994),C11994*F11994,"")</f>
        <v/>
      </c>
    </row>
    <row r="11995" spans="1:7" ht="12" customHeight="1" outlineLevel="3" x14ac:dyDescent="0.2">
      <c r="A11995" s="14" t="s">
        <v>23579</v>
      </c>
      <c r="B11995" s="15" t="s">
        <v>23580</v>
      </c>
      <c r="C11995" s="19">
        <f>1662.21/(1+B2)</f>
        <v>1662.21</v>
      </c>
      <c r="D11995" s="17" t="s">
        <v>11</v>
      </c>
      <c r="E11995" s="17"/>
      <c r="F11995" s="18"/>
      <c r="G11995" s="36" t="str">
        <f>IF(ISNUMBER(F11995),C11995*F11995,"")</f>
        <v/>
      </c>
    </row>
    <row r="11996" spans="1:7" ht="12" customHeight="1" outlineLevel="3" x14ac:dyDescent="0.2">
      <c r="A11996" s="14" t="s">
        <v>23581</v>
      </c>
      <c r="B11996" s="15" t="s">
        <v>23582</v>
      </c>
      <c r="C11996" s="19">
        <f>3642.83/(1+B2)</f>
        <v>3642.83</v>
      </c>
      <c r="D11996" s="17" t="s">
        <v>11</v>
      </c>
      <c r="E11996" s="17"/>
      <c r="F11996" s="18"/>
      <c r="G11996" s="36" t="str">
        <f>IF(ISNUMBER(F11996),C11996*F11996,"")</f>
        <v/>
      </c>
    </row>
    <row r="11997" spans="1:7" ht="24" customHeight="1" outlineLevel="3" x14ac:dyDescent="0.2">
      <c r="A11997" s="14" t="s">
        <v>23583</v>
      </c>
      <c r="B11997" s="15" t="s">
        <v>23584</v>
      </c>
      <c r="C11997" s="19">
        <f>2770.67/(1+B2)</f>
        <v>2770.67</v>
      </c>
      <c r="D11997" s="17" t="s">
        <v>11</v>
      </c>
      <c r="E11997" s="17"/>
      <c r="F11997" s="18"/>
      <c r="G11997" s="36" t="str">
        <f>IF(ISNUMBER(F11997),C11997*F11997,"")</f>
        <v/>
      </c>
    </row>
    <row r="11998" spans="1:7" ht="24" customHeight="1" outlineLevel="3" x14ac:dyDescent="0.2">
      <c r="A11998" s="14" t="s">
        <v>23585</v>
      </c>
      <c r="B11998" s="15" t="s">
        <v>23586</v>
      </c>
      <c r="C11998" s="16">
        <f>275.08/(1+B2)</f>
        <v>275.08</v>
      </c>
      <c r="D11998" s="17" t="s">
        <v>11</v>
      </c>
      <c r="E11998" s="17"/>
      <c r="F11998" s="18"/>
      <c r="G11998" s="36" t="str">
        <f>IF(ISNUMBER(F11998),C11998*F11998,"")</f>
        <v/>
      </c>
    </row>
    <row r="11999" spans="1:7" ht="24" customHeight="1" outlineLevel="3" x14ac:dyDescent="0.2">
      <c r="A11999" s="14" t="s">
        <v>23587</v>
      </c>
      <c r="B11999" s="15" t="s">
        <v>23588</v>
      </c>
      <c r="C11999" s="16">
        <f>299.14/(1+B2)</f>
        <v>299.14</v>
      </c>
      <c r="D11999" s="17" t="s">
        <v>11</v>
      </c>
      <c r="E11999" s="17"/>
      <c r="F11999" s="18"/>
      <c r="G11999" s="36" t="str">
        <f>IF(ISNUMBER(F11999),C11999*F11999,"")</f>
        <v/>
      </c>
    </row>
    <row r="12000" spans="1:7" ht="12" customHeight="1" outlineLevel="3" x14ac:dyDescent="0.2">
      <c r="A12000" s="14" t="s">
        <v>23589</v>
      </c>
      <c r="B12000" s="15" t="s">
        <v>23590</v>
      </c>
      <c r="C12000" s="16">
        <f>276.87/(1+B2)</f>
        <v>276.87</v>
      </c>
      <c r="D12000" s="17" t="s">
        <v>11</v>
      </c>
      <c r="E12000" s="17"/>
      <c r="F12000" s="18"/>
      <c r="G12000" s="36" t="str">
        <f>IF(ISNUMBER(F12000),C12000*F12000,"")</f>
        <v/>
      </c>
    </row>
    <row r="12001" spans="1:7" ht="12" customHeight="1" outlineLevel="3" x14ac:dyDescent="0.2">
      <c r="A12001" s="14" t="s">
        <v>23591</v>
      </c>
      <c r="B12001" s="15" t="s">
        <v>23592</v>
      </c>
      <c r="C12001" s="16">
        <f>276.87/(1+B2)</f>
        <v>276.87</v>
      </c>
      <c r="D12001" s="17" t="s">
        <v>11</v>
      </c>
      <c r="E12001" s="17"/>
      <c r="F12001" s="18"/>
      <c r="G12001" s="36" t="str">
        <f>IF(ISNUMBER(F12001),C12001*F12001,"")</f>
        <v/>
      </c>
    </row>
    <row r="12002" spans="1:7" ht="12" customHeight="1" outlineLevel="3" x14ac:dyDescent="0.2">
      <c r="A12002" s="14" t="s">
        <v>23593</v>
      </c>
      <c r="B12002" s="15" t="s">
        <v>23594</v>
      </c>
      <c r="C12002" s="16">
        <f>242.02/(1+B2)</f>
        <v>242.02</v>
      </c>
      <c r="D12002" s="17" t="s">
        <v>11</v>
      </c>
      <c r="E12002" s="17"/>
      <c r="F12002" s="18"/>
      <c r="G12002" s="36" t="str">
        <f>IF(ISNUMBER(F12002),C12002*F12002,"")</f>
        <v/>
      </c>
    </row>
    <row r="12003" spans="1:7" ht="24" customHeight="1" outlineLevel="3" x14ac:dyDescent="0.2">
      <c r="A12003" s="14" t="s">
        <v>23595</v>
      </c>
      <c r="B12003" s="15" t="s">
        <v>23596</v>
      </c>
      <c r="C12003" s="16">
        <f>288.49/(1+B2)</f>
        <v>288.49</v>
      </c>
      <c r="D12003" s="17" t="s">
        <v>11</v>
      </c>
      <c r="E12003" s="17"/>
      <c r="F12003" s="18"/>
      <c r="G12003" s="36" t="str">
        <f>IF(ISNUMBER(F12003),C12003*F12003,"")</f>
        <v/>
      </c>
    </row>
    <row r="12004" spans="1:7" ht="24" customHeight="1" outlineLevel="3" x14ac:dyDescent="0.2">
      <c r="A12004" s="14" t="s">
        <v>23597</v>
      </c>
      <c r="B12004" s="15" t="s">
        <v>23598</v>
      </c>
      <c r="C12004" s="19">
        <f>3600.74/(1+B2)</f>
        <v>3600.74</v>
      </c>
      <c r="D12004" s="17" t="s">
        <v>11</v>
      </c>
      <c r="E12004" s="17"/>
      <c r="F12004" s="18"/>
      <c r="G12004" s="36" t="str">
        <f>IF(ISNUMBER(F12004),C12004*F12004,"")</f>
        <v/>
      </c>
    </row>
    <row r="12005" spans="1:7" ht="24" customHeight="1" outlineLevel="3" x14ac:dyDescent="0.2">
      <c r="A12005" s="14" t="s">
        <v>23599</v>
      </c>
      <c r="B12005" s="15" t="s">
        <v>23600</v>
      </c>
      <c r="C12005" s="19">
        <f>2027.2/(1+B2)</f>
        <v>2027.2</v>
      </c>
      <c r="D12005" s="17" t="s">
        <v>11</v>
      </c>
      <c r="E12005" s="17" t="s">
        <v>11</v>
      </c>
      <c r="F12005" s="18"/>
      <c r="G12005" s="36" t="str">
        <f>IF(ISNUMBER(F12005),C12005*F12005,"")</f>
        <v/>
      </c>
    </row>
    <row r="12006" spans="1:7" ht="12" customHeight="1" outlineLevel="3" x14ac:dyDescent="0.2">
      <c r="A12006" s="14" t="s">
        <v>23601</v>
      </c>
      <c r="B12006" s="15" t="s">
        <v>23602</v>
      </c>
      <c r="C12006" s="16">
        <f>307.85/(1+B2)</f>
        <v>307.85000000000002</v>
      </c>
      <c r="D12006" s="17" t="s">
        <v>11</v>
      </c>
      <c r="E12006" s="17"/>
      <c r="F12006" s="18"/>
      <c r="G12006" s="36" t="str">
        <f>IF(ISNUMBER(F12006),C12006*F12006,"")</f>
        <v/>
      </c>
    </row>
    <row r="12007" spans="1:7" ht="12" customHeight="1" outlineLevel="3" x14ac:dyDescent="0.2">
      <c r="A12007" s="14" t="s">
        <v>23603</v>
      </c>
      <c r="B12007" s="15" t="s">
        <v>23604</v>
      </c>
      <c r="C12007" s="16">
        <f>428.86/(1+B2)</f>
        <v>428.86</v>
      </c>
      <c r="D12007" s="17" t="s">
        <v>11</v>
      </c>
      <c r="E12007" s="17"/>
      <c r="F12007" s="18"/>
      <c r="G12007" s="36" t="str">
        <f>IF(ISNUMBER(F12007),C12007*F12007,"")</f>
        <v/>
      </c>
    </row>
    <row r="12008" spans="1:7" ht="12" customHeight="1" outlineLevel="3" x14ac:dyDescent="0.2">
      <c r="A12008" s="14" t="s">
        <v>23605</v>
      </c>
      <c r="B12008" s="15" t="s">
        <v>23606</v>
      </c>
      <c r="C12008" s="16">
        <f>395.95/(1+B2)</f>
        <v>395.95</v>
      </c>
      <c r="D12008" s="17" t="s">
        <v>11</v>
      </c>
      <c r="E12008" s="17"/>
      <c r="F12008" s="18"/>
      <c r="G12008" s="36" t="str">
        <f>IF(ISNUMBER(F12008),C12008*F12008,"")</f>
        <v/>
      </c>
    </row>
    <row r="12009" spans="1:7" ht="12" customHeight="1" outlineLevel="3" x14ac:dyDescent="0.2">
      <c r="A12009" s="14" t="s">
        <v>23607</v>
      </c>
      <c r="B12009" s="15" t="s">
        <v>23608</v>
      </c>
      <c r="C12009" s="16">
        <f>310.76/(1+B2)</f>
        <v>310.76</v>
      </c>
      <c r="D12009" s="17" t="s">
        <v>11</v>
      </c>
      <c r="E12009" s="17"/>
      <c r="F12009" s="18"/>
      <c r="G12009" s="36" t="str">
        <f>IF(ISNUMBER(F12009),C12009*F12009,"")</f>
        <v/>
      </c>
    </row>
    <row r="12010" spans="1:7" ht="12" customHeight="1" outlineLevel="3" x14ac:dyDescent="0.2">
      <c r="A12010" s="14" t="s">
        <v>23609</v>
      </c>
      <c r="B12010" s="15" t="s">
        <v>23610</v>
      </c>
      <c r="C12010" s="16">
        <f>332.05/(1+B2)</f>
        <v>332.05</v>
      </c>
      <c r="D12010" s="17" t="s">
        <v>11</v>
      </c>
      <c r="E12010" s="17"/>
      <c r="F12010" s="18"/>
      <c r="G12010" s="36" t="str">
        <f>IF(ISNUMBER(F12010),C12010*F12010,"")</f>
        <v/>
      </c>
    </row>
    <row r="12011" spans="1:7" ht="12" customHeight="1" outlineLevel="3" x14ac:dyDescent="0.2">
      <c r="A12011" s="14" t="s">
        <v>23611</v>
      </c>
      <c r="B12011" s="15" t="s">
        <v>23612</v>
      </c>
      <c r="C12011" s="19">
        <f>1163.64/(1+B2)</f>
        <v>1163.6400000000001</v>
      </c>
      <c r="D12011" s="17" t="s">
        <v>11</v>
      </c>
      <c r="E12011" s="17"/>
      <c r="F12011" s="18"/>
      <c r="G12011" s="36" t="str">
        <f>IF(ISNUMBER(F12011),C12011*F12011,"")</f>
        <v/>
      </c>
    </row>
    <row r="12012" spans="1:7" ht="12" customHeight="1" outlineLevel="3" x14ac:dyDescent="0.2">
      <c r="A12012" s="14" t="s">
        <v>23613</v>
      </c>
      <c r="B12012" s="15" t="s">
        <v>23614</v>
      </c>
      <c r="C12012" s="19">
        <f>1363.07/(1+B2)</f>
        <v>1363.07</v>
      </c>
      <c r="D12012" s="17" t="s">
        <v>11</v>
      </c>
      <c r="E12012" s="17"/>
      <c r="F12012" s="18"/>
      <c r="G12012" s="36" t="str">
        <f>IF(ISNUMBER(F12012),C12012*F12012,"")</f>
        <v/>
      </c>
    </row>
    <row r="12013" spans="1:7" ht="12" customHeight="1" outlineLevel="3" x14ac:dyDescent="0.2">
      <c r="A12013" s="14" t="s">
        <v>23615</v>
      </c>
      <c r="B12013" s="15" t="s">
        <v>23616</v>
      </c>
      <c r="C12013" s="19">
        <f>2660.31/(1+B2)</f>
        <v>2660.31</v>
      </c>
      <c r="D12013" s="17" t="s">
        <v>11</v>
      </c>
      <c r="E12013" s="17"/>
      <c r="F12013" s="18"/>
      <c r="G12013" s="36" t="str">
        <f>IF(ISNUMBER(F12013),C12013*F12013,"")</f>
        <v/>
      </c>
    </row>
    <row r="12014" spans="1:7" ht="12" customHeight="1" outlineLevel="3" x14ac:dyDescent="0.2">
      <c r="A12014" s="14" t="s">
        <v>23617</v>
      </c>
      <c r="B12014" s="15" t="s">
        <v>23618</v>
      </c>
      <c r="C12014" s="19">
        <f>2596.41/(1+B2)</f>
        <v>2596.41</v>
      </c>
      <c r="D12014" s="17" t="s">
        <v>11</v>
      </c>
      <c r="E12014" s="17"/>
      <c r="F12014" s="18"/>
      <c r="G12014" s="36" t="str">
        <f>IF(ISNUMBER(F12014),C12014*F12014,"")</f>
        <v/>
      </c>
    </row>
    <row r="12015" spans="1:7" ht="12" customHeight="1" outlineLevel="3" x14ac:dyDescent="0.2">
      <c r="A12015" s="14" t="s">
        <v>23619</v>
      </c>
      <c r="B12015" s="15" t="s">
        <v>23620</v>
      </c>
      <c r="C12015" s="16">
        <f>127.38/(1+B2)</f>
        <v>127.38</v>
      </c>
      <c r="D12015" s="17" t="s">
        <v>11</v>
      </c>
      <c r="E12015" s="17"/>
      <c r="F12015" s="18"/>
      <c r="G12015" s="36" t="str">
        <f>IF(ISNUMBER(F12015),C12015*F12015,"")</f>
        <v/>
      </c>
    </row>
    <row r="12016" spans="1:7" ht="12" customHeight="1" outlineLevel="3" x14ac:dyDescent="0.2">
      <c r="A12016" s="14" t="s">
        <v>23621</v>
      </c>
      <c r="B12016" s="15" t="s">
        <v>23622</v>
      </c>
      <c r="C12016" s="16">
        <f>127.38/(1+B2)</f>
        <v>127.38</v>
      </c>
      <c r="D12016" s="17" t="s">
        <v>11</v>
      </c>
      <c r="E12016" s="17"/>
      <c r="F12016" s="18"/>
      <c r="G12016" s="36" t="str">
        <f>IF(ISNUMBER(F12016),C12016*F12016,"")</f>
        <v/>
      </c>
    </row>
    <row r="12017" spans="1:7" ht="12" customHeight="1" outlineLevel="3" x14ac:dyDescent="0.2">
      <c r="A12017" s="14" t="s">
        <v>23623</v>
      </c>
      <c r="B12017" s="15" t="s">
        <v>23624</v>
      </c>
      <c r="C12017" s="16">
        <f>455/(1+B2)</f>
        <v>455</v>
      </c>
      <c r="D12017" s="17" t="s">
        <v>11</v>
      </c>
      <c r="E12017" s="17"/>
      <c r="F12017" s="18"/>
      <c r="G12017" s="36" t="str">
        <f>IF(ISNUMBER(F12017),C12017*F12017,"")</f>
        <v/>
      </c>
    </row>
    <row r="12018" spans="1:7" ht="12" customHeight="1" outlineLevel="3" x14ac:dyDescent="0.2">
      <c r="A12018" s="14" t="s">
        <v>23625</v>
      </c>
      <c r="B12018" s="15" t="s">
        <v>23626</v>
      </c>
      <c r="C12018" s="16">
        <f>576.01/(1+B2)</f>
        <v>576.01</v>
      </c>
      <c r="D12018" s="17" t="s">
        <v>11</v>
      </c>
      <c r="E12018" s="17"/>
      <c r="F12018" s="18"/>
      <c r="G12018" s="36" t="str">
        <f>IF(ISNUMBER(F12018),C12018*F12018,"")</f>
        <v/>
      </c>
    </row>
    <row r="12019" spans="1:7" ht="12" customHeight="1" outlineLevel="3" x14ac:dyDescent="0.2">
      <c r="A12019" s="14" t="s">
        <v>23627</v>
      </c>
      <c r="B12019" s="15" t="s">
        <v>23628</v>
      </c>
      <c r="C12019" s="16">
        <f>332.05/(1+B2)</f>
        <v>332.05</v>
      </c>
      <c r="D12019" s="17" t="s">
        <v>11</v>
      </c>
      <c r="E12019" s="17"/>
      <c r="F12019" s="18"/>
      <c r="G12019" s="36" t="str">
        <f>IF(ISNUMBER(F12019),C12019*F12019,"")</f>
        <v/>
      </c>
    </row>
    <row r="12020" spans="1:7" s="1" customFormat="1" ht="15.95" customHeight="1" outlineLevel="1" x14ac:dyDescent="0.25">
      <c r="A12020" s="11"/>
      <c r="B12020" s="12" t="s">
        <v>23629</v>
      </c>
      <c r="C12020" s="13"/>
      <c r="D12020" s="13"/>
      <c r="E12020" s="13"/>
      <c r="F12020" s="13"/>
      <c r="G12020" s="35"/>
    </row>
    <row r="12021" spans="1:7" s="1" customFormat="1" ht="12.95" customHeight="1" outlineLevel="2" x14ac:dyDescent="0.2">
      <c r="A12021" s="20"/>
      <c r="B12021" s="21" t="s">
        <v>23630</v>
      </c>
      <c r="C12021" s="22"/>
      <c r="D12021" s="22"/>
      <c r="E12021" s="22"/>
      <c r="F12021" s="22"/>
      <c r="G12021" s="37"/>
    </row>
    <row r="12022" spans="1:7" ht="12" customHeight="1" outlineLevel="3" x14ac:dyDescent="0.2">
      <c r="A12022" s="14" t="s">
        <v>23631</v>
      </c>
      <c r="B12022" s="15" t="s">
        <v>23632</v>
      </c>
      <c r="C12022" s="16">
        <f>155.67/(1+B2)</f>
        <v>155.66999999999999</v>
      </c>
      <c r="D12022" s="17" t="s">
        <v>11</v>
      </c>
      <c r="E12022" s="17"/>
      <c r="F12022" s="18"/>
      <c r="G12022" s="36" t="str">
        <f>IF(ISNUMBER(F12022),C12022*F12022,"")</f>
        <v/>
      </c>
    </row>
    <row r="12023" spans="1:7" ht="12" customHeight="1" outlineLevel="3" x14ac:dyDescent="0.2">
      <c r="A12023" s="14" t="s">
        <v>23633</v>
      </c>
      <c r="B12023" s="15" t="s">
        <v>23634</v>
      </c>
      <c r="C12023" s="16">
        <f>218.72/(1+B2)</f>
        <v>218.72</v>
      </c>
      <c r="D12023" s="17" t="s">
        <v>11</v>
      </c>
      <c r="E12023" s="17"/>
      <c r="F12023" s="18"/>
      <c r="G12023" s="36" t="str">
        <f>IF(ISNUMBER(F12023),C12023*F12023,"")</f>
        <v/>
      </c>
    </row>
    <row r="12024" spans="1:7" ht="12" customHeight="1" outlineLevel="3" x14ac:dyDescent="0.2">
      <c r="A12024" s="14" t="s">
        <v>23635</v>
      </c>
      <c r="B12024" s="15" t="s">
        <v>23636</v>
      </c>
      <c r="C12024" s="16">
        <f>346.59/(1+B2)</f>
        <v>346.59</v>
      </c>
      <c r="D12024" s="17" t="s">
        <v>11</v>
      </c>
      <c r="E12024" s="17"/>
      <c r="F12024" s="18"/>
      <c r="G12024" s="36" t="str">
        <f>IF(ISNUMBER(F12024),C12024*F12024,"")</f>
        <v/>
      </c>
    </row>
    <row r="12025" spans="1:7" ht="12" customHeight="1" outlineLevel="3" x14ac:dyDescent="0.2">
      <c r="A12025" s="14" t="s">
        <v>23637</v>
      </c>
      <c r="B12025" s="15" t="s">
        <v>23638</v>
      </c>
      <c r="C12025" s="16">
        <f>185.92/(1+B2)</f>
        <v>185.92</v>
      </c>
      <c r="D12025" s="17" t="s">
        <v>11</v>
      </c>
      <c r="E12025" s="17"/>
      <c r="F12025" s="18"/>
      <c r="G12025" s="36" t="str">
        <f>IF(ISNUMBER(F12025),C12025*F12025,"")</f>
        <v/>
      </c>
    </row>
    <row r="12026" spans="1:7" ht="12" customHeight="1" outlineLevel="3" x14ac:dyDescent="0.2">
      <c r="A12026" s="14" t="s">
        <v>23639</v>
      </c>
      <c r="B12026" s="15" t="s">
        <v>23640</v>
      </c>
      <c r="C12026" s="16">
        <f>208.19/(1+B2)</f>
        <v>208.19</v>
      </c>
      <c r="D12026" s="17" t="s">
        <v>11</v>
      </c>
      <c r="E12026" s="17"/>
      <c r="F12026" s="18"/>
      <c r="G12026" s="36" t="str">
        <f>IF(ISNUMBER(F12026),C12026*F12026,"")</f>
        <v/>
      </c>
    </row>
    <row r="12027" spans="1:7" ht="12" customHeight="1" outlineLevel="3" x14ac:dyDescent="0.2">
      <c r="A12027" s="14" t="s">
        <v>23641</v>
      </c>
      <c r="B12027" s="15" t="s">
        <v>23642</v>
      </c>
      <c r="C12027" s="19">
        <f>1306.24/(1+B2)</f>
        <v>1306.24</v>
      </c>
      <c r="D12027" s="17" t="s">
        <v>11</v>
      </c>
      <c r="E12027" s="17"/>
      <c r="F12027" s="18"/>
      <c r="G12027" s="36" t="str">
        <f>IF(ISNUMBER(F12027),C12027*F12027,"")</f>
        <v/>
      </c>
    </row>
    <row r="12028" spans="1:7" ht="12" customHeight="1" outlineLevel="3" x14ac:dyDescent="0.2">
      <c r="A12028" s="14" t="s">
        <v>23643</v>
      </c>
      <c r="B12028" s="15" t="s">
        <v>23644</v>
      </c>
      <c r="C12028" s="16">
        <f>405.56/(1+B2)</f>
        <v>405.56</v>
      </c>
      <c r="D12028" s="17" t="s">
        <v>11</v>
      </c>
      <c r="E12028" s="17"/>
      <c r="F12028" s="18"/>
      <c r="G12028" s="36" t="str">
        <f>IF(ISNUMBER(F12028),C12028*F12028,"")</f>
        <v/>
      </c>
    </row>
    <row r="12029" spans="1:7" ht="12" customHeight="1" outlineLevel="3" x14ac:dyDescent="0.2">
      <c r="A12029" s="14" t="s">
        <v>23645</v>
      </c>
      <c r="B12029" s="15" t="s">
        <v>23646</v>
      </c>
      <c r="C12029" s="19">
        <f>1290.37/(1+B2)</f>
        <v>1290.3699999999999</v>
      </c>
      <c r="D12029" s="17" t="s">
        <v>11</v>
      </c>
      <c r="E12029" s="17"/>
      <c r="F12029" s="18"/>
      <c r="G12029" s="36" t="str">
        <f>IF(ISNUMBER(F12029),C12029*F12029,"")</f>
        <v/>
      </c>
    </row>
    <row r="12030" spans="1:7" ht="12" customHeight="1" outlineLevel="3" x14ac:dyDescent="0.2">
      <c r="A12030" s="14" t="s">
        <v>23647</v>
      </c>
      <c r="B12030" s="15" t="s">
        <v>23648</v>
      </c>
      <c r="C12030" s="16">
        <f>285/(1+B2)</f>
        <v>285</v>
      </c>
      <c r="D12030" s="17" t="s">
        <v>11</v>
      </c>
      <c r="E12030" s="17"/>
      <c r="F12030" s="18"/>
      <c r="G12030" s="36" t="str">
        <f>IF(ISNUMBER(F12030),C12030*F12030,"")</f>
        <v/>
      </c>
    </row>
    <row r="12031" spans="1:7" ht="12" customHeight="1" outlineLevel="3" x14ac:dyDescent="0.2">
      <c r="A12031" s="14" t="s">
        <v>23649</v>
      </c>
      <c r="B12031" s="15" t="s">
        <v>23650</v>
      </c>
      <c r="C12031" s="16">
        <f>518.85/(1+B2)</f>
        <v>518.85</v>
      </c>
      <c r="D12031" s="17" t="s">
        <v>11</v>
      </c>
      <c r="E12031" s="17"/>
      <c r="F12031" s="18"/>
      <c r="G12031" s="36" t="str">
        <f>IF(ISNUMBER(F12031),C12031*F12031,"")</f>
        <v/>
      </c>
    </row>
    <row r="12032" spans="1:7" ht="12" customHeight="1" outlineLevel="3" x14ac:dyDescent="0.2">
      <c r="A12032" s="14" t="s">
        <v>23651</v>
      </c>
      <c r="B12032" s="15" t="s">
        <v>23652</v>
      </c>
      <c r="C12032" s="16">
        <f>780.27/(1+B2)</f>
        <v>780.27</v>
      </c>
      <c r="D12032" s="17" t="s">
        <v>11</v>
      </c>
      <c r="E12032" s="17"/>
      <c r="F12032" s="18"/>
      <c r="G12032" s="36" t="str">
        <f>IF(ISNUMBER(F12032),C12032*F12032,"")</f>
        <v/>
      </c>
    </row>
    <row r="12033" spans="1:7" ht="12" customHeight="1" outlineLevel="3" x14ac:dyDescent="0.2">
      <c r="A12033" s="14" t="s">
        <v>23653</v>
      </c>
      <c r="B12033" s="15" t="s">
        <v>23654</v>
      </c>
      <c r="C12033" s="19">
        <f>1407.63/(1+B2)</f>
        <v>1407.63</v>
      </c>
      <c r="D12033" s="17" t="s">
        <v>11</v>
      </c>
      <c r="E12033" s="17"/>
      <c r="F12033" s="18"/>
      <c r="G12033" s="36" t="str">
        <f>IF(ISNUMBER(F12033),C12033*F12033,"")</f>
        <v/>
      </c>
    </row>
    <row r="12034" spans="1:7" ht="12" customHeight="1" outlineLevel="3" x14ac:dyDescent="0.2">
      <c r="A12034" s="14" t="s">
        <v>23655</v>
      </c>
      <c r="B12034" s="15" t="s">
        <v>23656</v>
      </c>
      <c r="C12034" s="16">
        <f>66.63/(1+B2)</f>
        <v>66.63</v>
      </c>
      <c r="D12034" s="17" t="s">
        <v>11</v>
      </c>
      <c r="E12034" s="17"/>
      <c r="F12034" s="18"/>
      <c r="G12034" s="36" t="str">
        <f>IF(ISNUMBER(F12034),C12034*F12034,"")</f>
        <v/>
      </c>
    </row>
    <row r="12035" spans="1:7" ht="12" customHeight="1" outlineLevel="3" x14ac:dyDescent="0.2">
      <c r="A12035" s="14" t="s">
        <v>23657</v>
      </c>
      <c r="B12035" s="15" t="s">
        <v>23658</v>
      </c>
      <c r="C12035" s="16">
        <f>107.79/(1+B2)</f>
        <v>107.79</v>
      </c>
      <c r="D12035" s="17" t="s">
        <v>14</v>
      </c>
      <c r="E12035" s="17"/>
      <c r="F12035" s="18"/>
      <c r="G12035" s="36" t="str">
        <f>IF(ISNUMBER(F12035),C12035*F12035,"")</f>
        <v/>
      </c>
    </row>
    <row r="12036" spans="1:7" ht="12" customHeight="1" outlineLevel="3" x14ac:dyDescent="0.2">
      <c r="A12036" s="14" t="s">
        <v>23659</v>
      </c>
      <c r="B12036" s="15" t="s">
        <v>23660</v>
      </c>
      <c r="C12036" s="16">
        <f>44.83/(1+B2)</f>
        <v>44.83</v>
      </c>
      <c r="D12036" s="17" t="s">
        <v>11</v>
      </c>
      <c r="E12036" s="17"/>
      <c r="F12036" s="18"/>
      <c r="G12036" s="36" t="str">
        <f>IF(ISNUMBER(F12036),C12036*F12036,"")</f>
        <v/>
      </c>
    </row>
    <row r="12037" spans="1:7" ht="12" customHeight="1" outlineLevel="3" x14ac:dyDescent="0.2">
      <c r="A12037" s="14" t="s">
        <v>23661</v>
      </c>
      <c r="B12037" s="15" t="s">
        <v>23662</v>
      </c>
      <c r="C12037" s="16">
        <f>102.5/(1+B2)</f>
        <v>102.5</v>
      </c>
      <c r="D12037" s="17" t="s">
        <v>11</v>
      </c>
      <c r="E12037" s="17"/>
      <c r="F12037" s="18"/>
      <c r="G12037" s="36" t="str">
        <f>IF(ISNUMBER(F12037),C12037*F12037,"")</f>
        <v/>
      </c>
    </row>
    <row r="12038" spans="1:7" ht="12" customHeight="1" outlineLevel="3" x14ac:dyDescent="0.2">
      <c r="A12038" s="14" t="s">
        <v>23663</v>
      </c>
      <c r="B12038" s="15" t="s">
        <v>23664</v>
      </c>
      <c r="C12038" s="16">
        <f>162.55/(1+B2)</f>
        <v>162.55000000000001</v>
      </c>
      <c r="D12038" s="17" t="s">
        <v>11</v>
      </c>
      <c r="E12038" s="17"/>
      <c r="F12038" s="18"/>
      <c r="G12038" s="36" t="str">
        <f>IF(ISNUMBER(F12038),C12038*F12038,"")</f>
        <v/>
      </c>
    </row>
    <row r="12039" spans="1:7" ht="12" customHeight="1" outlineLevel="3" x14ac:dyDescent="0.2">
      <c r="A12039" s="14" t="s">
        <v>23665</v>
      </c>
      <c r="B12039" s="15" t="s">
        <v>23666</v>
      </c>
      <c r="C12039" s="16">
        <f>157.51/(1+B2)</f>
        <v>157.51</v>
      </c>
      <c r="D12039" s="17" t="s">
        <v>11</v>
      </c>
      <c r="E12039" s="17"/>
      <c r="F12039" s="18"/>
      <c r="G12039" s="36" t="str">
        <f>IF(ISNUMBER(F12039),C12039*F12039,"")</f>
        <v/>
      </c>
    </row>
    <row r="12040" spans="1:7" ht="12" customHeight="1" outlineLevel="3" x14ac:dyDescent="0.2">
      <c r="A12040" s="14" t="s">
        <v>23667</v>
      </c>
      <c r="B12040" s="15" t="s">
        <v>23668</v>
      </c>
      <c r="C12040" s="16">
        <f>295.12/(1+B2)</f>
        <v>295.12</v>
      </c>
      <c r="D12040" s="17" t="s">
        <v>11</v>
      </c>
      <c r="E12040" s="17"/>
      <c r="F12040" s="18"/>
      <c r="G12040" s="36" t="str">
        <f>IF(ISNUMBER(F12040),C12040*F12040,"")</f>
        <v/>
      </c>
    </row>
    <row r="12041" spans="1:7" ht="12" customHeight="1" outlineLevel="3" x14ac:dyDescent="0.2">
      <c r="A12041" s="14" t="s">
        <v>23669</v>
      </c>
      <c r="B12041" s="15" t="s">
        <v>23670</v>
      </c>
      <c r="C12041" s="16">
        <f>259.11/(1+B2)</f>
        <v>259.11</v>
      </c>
      <c r="D12041" s="17" t="s">
        <v>11</v>
      </c>
      <c r="E12041" s="17"/>
      <c r="F12041" s="18"/>
      <c r="G12041" s="36" t="str">
        <f>IF(ISNUMBER(F12041),C12041*F12041,"")</f>
        <v/>
      </c>
    </row>
    <row r="12042" spans="1:7" ht="12" customHeight="1" outlineLevel="3" x14ac:dyDescent="0.2">
      <c r="A12042" s="14" t="s">
        <v>23671</v>
      </c>
      <c r="B12042" s="15" t="s">
        <v>23672</v>
      </c>
      <c r="C12042" s="16">
        <f>305.68/(1+B2)</f>
        <v>305.68</v>
      </c>
      <c r="D12042" s="17" t="s">
        <v>11</v>
      </c>
      <c r="E12042" s="17"/>
      <c r="F12042" s="18"/>
      <c r="G12042" s="36" t="str">
        <f>IF(ISNUMBER(F12042),C12042*F12042,"")</f>
        <v/>
      </c>
    </row>
    <row r="12043" spans="1:7" ht="12" customHeight="1" outlineLevel="3" x14ac:dyDescent="0.2">
      <c r="A12043" s="14" t="s">
        <v>23673</v>
      </c>
      <c r="B12043" s="15" t="s">
        <v>23674</v>
      </c>
      <c r="C12043" s="16">
        <f>350.02/(1+B2)</f>
        <v>350.02</v>
      </c>
      <c r="D12043" s="17" t="s">
        <v>11</v>
      </c>
      <c r="E12043" s="17"/>
      <c r="F12043" s="18"/>
      <c r="G12043" s="36" t="str">
        <f>IF(ISNUMBER(F12043),C12043*F12043,"")</f>
        <v/>
      </c>
    </row>
    <row r="12044" spans="1:7" ht="12" customHeight="1" outlineLevel="3" x14ac:dyDescent="0.2">
      <c r="A12044" s="14" t="s">
        <v>23675</v>
      </c>
      <c r="B12044" s="15" t="s">
        <v>23676</v>
      </c>
      <c r="C12044" s="16">
        <f>386.44/(1+B2)</f>
        <v>386.44</v>
      </c>
      <c r="D12044" s="17" t="s">
        <v>11</v>
      </c>
      <c r="E12044" s="17"/>
      <c r="F12044" s="18"/>
      <c r="G12044" s="36" t="str">
        <f>IF(ISNUMBER(F12044),C12044*F12044,"")</f>
        <v/>
      </c>
    </row>
    <row r="12045" spans="1:7" ht="12" customHeight="1" outlineLevel="3" x14ac:dyDescent="0.2">
      <c r="A12045" s="14" t="s">
        <v>23677</v>
      </c>
      <c r="B12045" s="15" t="s">
        <v>23678</v>
      </c>
      <c r="C12045" s="16">
        <f>165.89/(1+B2)</f>
        <v>165.89</v>
      </c>
      <c r="D12045" s="17" t="s">
        <v>11</v>
      </c>
      <c r="E12045" s="17"/>
      <c r="F12045" s="18"/>
      <c r="G12045" s="36" t="str">
        <f>IF(ISNUMBER(F12045),C12045*F12045,"")</f>
        <v/>
      </c>
    </row>
    <row r="12046" spans="1:7" ht="12" customHeight="1" outlineLevel="3" x14ac:dyDescent="0.2">
      <c r="A12046" s="14" t="s">
        <v>23679</v>
      </c>
      <c r="B12046" s="15" t="s">
        <v>23680</v>
      </c>
      <c r="C12046" s="16">
        <f>470.31/(1+B2)</f>
        <v>470.31</v>
      </c>
      <c r="D12046" s="17" t="s">
        <v>11</v>
      </c>
      <c r="E12046" s="17"/>
      <c r="F12046" s="18"/>
      <c r="G12046" s="36" t="str">
        <f>IF(ISNUMBER(F12046),C12046*F12046,"")</f>
        <v/>
      </c>
    </row>
    <row r="12047" spans="1:7" s="1" customFormat="1" ht="12.95" customHeight="1" outlineLevel="2" x14ac:dyDescent="0.2">
      <c r="A12047" s="20"/>
      <c r="B12047" s="21" t="s">
        <v>23681</v>
      </c>
      <c r="C12047" s="22"/>
      <c r="D12047" s="22"/>
      <c r="E12047" s="22"/>
      <c r="F12047" s="22"/>
      <c r="G12047" s="37"/>
    </row>
    <row r="12048" spans="1:7" ht="12" customHeight="1" outlineLevel="3" x14ac:dyDescent="0.2">
      <c r="A12048" s="14" t="s">
        <v>23682</v>
      </c>
      <c r="B12048" s="15" t="s">
        <v>23683</v>
      </c>
      <c r="C12048" s="16">
        <f>354.96/(1+B2)</f>
        <v>354.96</v>
      </c>
      <c r="D12048" s="17" t="s">
        <v>11</v>
      </c>
      <c r="E12048" s="17"/>
      <c r="F12048" s="18"/>
      <c r="G12048" s="36" t="str">
        <f>IF(ISNUMBER(F12048),C12048*F12048,"")</f>
        <v/>
      </c>
    </row>
    <row r="12049" spans="1:7" ht="12" customHeight="1" outlineLevel="3" x14ac:dyDescent="0.2">
      <c r="A12049" s="14" t="s">
        <v>23684</v>
      </c>
      <c r="B12049" s="15" t="s">
        <v>23685</v>
      </c>
      <c r="C12049" s="19">
        <f>3013.94/(1+B2)</f>
        <v>3013.94</v>
      </c>
      <c r="D12049" s="17" t="s">
        <v>11</v>
      </c>
      <c r="E12049" s="17"/>
      <c r="F12049" s="18"/>
      <c r="G12049" s="36" t="str">
        <f>IF(ISNUMBER(F12049),C12049*F12049,"")</f>
        <v/>
      </c>
    </row>
    <row r="12050" spans="1:7" ht="12" customHeight="1" outlineLevel="3" x14ac:dyDescent="0.2">
      <c r="A12050" s="14" t="s">
        <v>23686</v>
      </c>
      <c r="B12050" s="15" t="s">
        <v>23687</v>
      </c>
      <c r="C12050" s="19">
        <f>1955.52/(1+B2)</f>
        <v>1955.52</v>
      </c>
      <c r="D12050" s="17" t="s">
        <v>11</v>
      </c>
      <c r="E12050" s="17"/>
      <c r="F12050" s="18"/>
      <c r="G12050" s="36" t="str">
        <f>IF(ISNUMBER(F12050),C12050*F12050,"")</f>
        <v/>
      </c>
    </row>
    <row r="12051" spans="1:7" ht="12" customHeight="1" outlineLevel="3" x14ac:dyDescent="0.2">
      <c r="A12051" s="14" t="s">
        <v>23688</v>
      </c>
      <c r="B12051" s="15" t="s">
        <v>23689</v>
      </c>
      <c r="C12051" s="16">
        <f>601.49/(1+B2)</f>
        <v>601.49</v>
      </c>
      <c r="D12051" s="17" t="s">
        <v>11</v>
      </c>
      <c r="E12051" s="17" t="s">
        <v>11</v>
      </c>
      <c r="F12051" s="18"/>
      <c r="G12051" s="36" t="str">
        <f>IF(ISNUMBER(F12051),C12051*F12051,"")</f>
        <v/>
      </c>
    </row>
    <row r="12052" spans="1:7" ht="12" customHeight="1" outlineLevel="3" x14ac:dyDescent="0.2">
      <c r="A12052" s="14" t="s">
        <v>23690</v>
      </c>
      <c r="B12052" s="15" t="s">
        <v>23691</v>
      </c>
      <c r="C12052" s="16">
        <f>709.92/(1+B2)</f>
        <v>709.92</v>
      </c>
      <c r="D12052" s="17" t="s">
        <v>11</v>
      </c>
      <c r="E12052" s="17" t="s">
        <v>11</v>
      </c>
      <c r="F12052" s="18"/>
      <c r="G12052" s="36" t="str">
        <f>IF(ISNUMBER(F12052),C12052*F12052,"")</f>
        <v/>
      </c>
    </row>
    <row r="12053" spans="1:7" ht="12" customHeight="1" outlineLevel="3" x14ac:dyDescent="0.2">
      <c r="A12053" s="14" t="s">
        <v>23692</v>
      </c>
      <c r="B12053" s="15" t="s">
        <v>23693</v>
      </c>
      <c r="C12053" s="16">
        <f>828.67/(1+B2)</f>
        <v>828.67</v>
      </c>
      <c r="D12053" s="17" t="s">
        <v>11</v>
      </c>
      <c r="E12053" s="17" t="s">
        <v>11</v>
      </c>
      <c r="F12053" s="18"/>
      <c r="G12053" s="36" t="str">
        <f>IF(ISNUMBER(F12053),C12053*F12053,"")</f>
        <v/>
      </c>
    </row>
    <row r="12054" spans="1:7" ht="12" customHeight="1" outlineLevel="3" x14ac:dyDescent="0.2">
      <c r="A12054" s="14" t="s">
        <v>23694</v>
      </c>
      <c r="B12054" s="15" t="s">
        <v>23695</v>
      </c>
      <c r="C12054" s="16">
        <f>373.03/(1+B2)</f>
        <v>373.03</v>
      </c>
      <c r="D12054" s="17" t="s">
        <v>11</v>
      </c>
      <c r="E12054" s="17"/>
      <c r="F12054" s="18"/>
      <c r="G12054" s="36" t="str">
        <f>IF(ISNUMBER(F12054),C12054*F12054,"")</f>
        <v/>
      </c>
    </row>
    <row r="12055" spans="1:7" ht="12" customHeight="1" outlineLevel="3" x14ac:dyDescent="0.2">
      <c r="A12055" s="14" t="s">
        <v>23696</v>
      </c>
      <c r="B12055" s="15" t="s">
        <v>23697</v>
      </c>
      <c r="C12055" s="16">
        <f>595.04/(1+B2)</f>
        <v>595.04</v>
      </c>
      <c r="D12055" s="17" t="s">
        <v>11</v>
      </c>
      <c r="E12055" s="17"/>
      <c r="F12055" s="18"/>
      <c r="G12055" s="36" t="str">
        <f>IF(ISNUMBER(F12055),C12055*F12055,"")</f>
        <v/>
      </c>
    </row>
    <row r="12056" spans="1:7" ht="12" customHeight="1" outlineLevel="3" x14ac:dyDescent="0.2">
      <c r="A12056" s="14" t="s">
        <v>23698</v>
      </c>
      <c r="B12056" s="15" t="s">
        <v>23699</v>
      </c>
      <c r="C12056" s="16">
        <f>931.93/(1+B2)</f>
        <v>931.93</v>
      </c>
      <c r="D12056" s="17" t="s">
        <v>11</v>
      </c>
      <c r="E12056" s="17" t="s">
        <v>11</v>
      </c>
      <c r="F12056" s="18"/>
      <c r="G12056" s="36" t="str">
        <f>IF(ISNUMBER(F12056),C12056*F12056,"")</f>
        <v/>
      </c>
    </row>
    <row r="12057" spans="1:7" ht="12" customHeight="1" outlineLevel="3" x14ac:dyDescent="0.2">
      <c r="A12057" s="14" t="s">
        <v>23700</v>
      </c>
      <c r="B12057" s="15" t="s">
        <v>23701</v>
      </c>
      <c r="C12057" s="16">
        <f>43.63/(1+B2)</f>
        <v>43.63</v>
      </c>
      <c r="D12057" s="17" t="s">
        <v>14</v>
      </c>
      <c r="E12057" s="17" t="s">
        <v>106</v>
      </c>
      <c r="F12057" s="18"/>
      <c r="G12057" s="36" t="str">
        <f>IF(ISNUMBER(F12057),C12057*F12057,"")</f>
        <v/>
      </c>
    </row>
    <row r="12058" spans="1:7" ht="12" customHeight="1" outlineLevel="3" x14ac:dyDescent="0.2">
      <c r="A12058" s="14" t="s">
        <v>23702</v>
      </c>
      <c r="B12058" s="15" t="s">
        <v>23703</v>
      </c>
      <c r="C12058" s="16">
        <f>60.35/(1+B2)</f>
        <v>60.35</v>
      </c>
      <c r="D12058" s="17" t="s">
        <v>11</v>
      </c>
      <c r="E12058" s="17"/>
      <c r="F12058" s="18"/>
      <c r="G12058" s="36" t="str">
        <f>IF(ISNUMBER(F12058),C12058*F12058,"")</f>
        <v/>
      </c>
    </row>
    <row r="12059" spans="1:7" ht="12" customHeight="1" outlineLevel="3" x14ac:dyDescent="0.2">
      <c r="A12059" s="14" t="s">
        <v>23704</v>
      </c>
      <c r="B12059" s="15" t="s">
        <v>23705</v>
      </c>
      <c r="C12059" s="16">
        <f>40.8/(1+B2)</f>
        <v>40.799999999999997</v>
      </c>
      <c r="D12059" s="17" t="s">
        <v>11</v>
      </c>
      <c r="E12059" s="17" t="s">
        <v>106</v>
      </c>
      <c r="F12059" s="18"/>
      <c r="G12059" s="36" t="str">
        <f>IF(ISNUMBER(F12059),C12059*F12059,"")</f>
        <v/>
      </c>
    </row>
    <row r="12060" spans="1:7" ht="12" customHeight="1" outlineLevel="3" x14ac:dyDescent="0.2">
      <c r="A12060" s="14" t="s">
        <v>23706</v>
      </c>
      <c r="B12060" s="15" t="s">
        <v>23707</v>
      </c>
      <c r="C12060" s="16">
        <f>43.63/(1+B2)</f>
        <v>43.63</v>
      </c>
      <c r="D12060" s="17" t="s">
        <v>11</v>
      </c>
      <c r="E12060" s="17" t="s">
        <v>106</v>
      </c>
      <c r="F12060" s="18"/>
      <c r="G12060" s="36" t="str">
        <f>IF(ISNUMBER(F12060),C12060*F12060,"")</f>
        <v/>
      </c>
    </row>
    <row r="12061" spans="1:7" ht="12" customHeight="1" outlineLevel="3" x14ac:dyDescent="0.2">
      <c r="A12061" s="14" t="s">
        <v>23708</v>
      </c>
      <c r="B12061" s="15" t="s">
        <v>23709</v>
      </c>
      <c r="C12061" s="16">
        <f>131.65/(1+B2)</f>
        <v>131.65</v>
      </c>
      <c r="D12061" s="17" t="s">
        <v>14</v>
      </c>
      <c r="E12061" s="17"/>
      <c r="F12061" s="18"/>
      <c r="G12061" s="36" t="str">
        <f>IF(ISNUMBER(F12061),C12061*F12061,"")</f>
        <v/>
      </c>
    </row>
    <row r="12062" spans="1:7" ht="12" customHeight="1" outlineLevel="3" x14ac:dyDescent="0.2">
      <c r="A12062" s="14" t="s">
        <v>23710</v>
      </c>
      <c r="B12062" s="15" t="s">
        <v>23711</v>
      </c>
      <c r="C12062" s="16">
        <f>222.92/(1+B2)</f>
        <v>222.92</v>
      </c>
      <c r="D12062" s="17" t="s">
        <v>11</v>
      </c>
      <c r="E12062" s="17"/>
      <c r="F12062" s="18"/>
      <c r="G12062" s="36" t="str">
        <f>IF(ISNUMBER(F12062),C12062*F12062,"")</f>
        <v/>
      </c>
    </row>
    <row r="12063" spans="1:7" ht="12" customHeight="1" outlineLevel="3" x14ac:dyDescent="0.2">
      <c r="A12063" s="14" t="s">
        <v>23712</v>
      </c>
      <c r="B12063" s="15" t="s">
        <v>23713</v>
      </c>
      <c r="C12063" s="16">
        <f>112/(1+B2)</f>
        <v>112</v>
      </c>
      <c r="D12063" s="17" t="s">
        <v>11</v>
      </c>
      <c r="E12063" s="17"/>
      <c r="F12063" s="18"/>
      <c r="G12063" s="36" t="str">
        <f>IF(ISNUMBER(F12063),C12063*F12063,"")</f>
        <v/>
      </c>
    </row>
    <row r="12064" spans="1:7" ht="12" customHeight="1" outlineLevel="3" x14ac:dyDescent="0.2">
      <c r="A12064" s="14" t="s">
        <v>23714</v>
      </c>
      <c r="B12064" s="15" t="s">
        <v>23715</v>
      </c>
      <c r="C12064" s="16">
        <f>159/(1+B2)</f>
        <v>159</v>
      </c>
      <c r="D12064" s="17" t="s">
        <v>11</v>
      </c>
      <c r="E12064" s="17" t="s">
        <v>14</v>
      </c>
      <c r="F12064" s="18"/>
      <c r="G12064" s="36" t="str">
        <f>IF(ISNUMBER(F12064),C12064*F12064,"")</f>
        <v/>
      </c>
    </row>
    <row r="12065" spans="1:7" ht="12" customHeight="1" outlineLevel="3" x14ac:dyDescent="0.2">
      <c r="A12065" s="14" t="s">
        <v>23716</v>
      </c>
      <c r="B12065" s="15" t="s">
        <v>23717</v>
      </c>
      <c r="C12065" s="16">
        <f>191/(1+B2)</f>
        <v>191</v>
      </c>
      <c r="D12065" s="17" t="s">
        <v>14</v>
      </c>
      <c r="E12065" s="17"/>
      <c r="F12065" s="18"/>
      <c r="G12065" s="36" t="str">
        <f>IF(ISNUMBER(F12065),C12065*F12065,"")</f>
        <v/>
      </c>
    </row>
    <row r="12066" spans="1:7" ht="12" customHeight="1" outlineLevel="3" x14ac:dyDescent="0.2">
      <c r="A12066" s="14" t="s">
        <v>23718</v>
      </c>
      <c r="B12066" s="15" t="s">
        <v>23719</v>
      </c>
      <c r="C12066" s="16">
        <f>234/(1+B2)</f>
        <v>234</v>
      </c>
      <c r="D12066" s="17" t="s">
        <v>14</v>
      </c>
      <c r="E12066" s="17" t="s">
        <v>53</v>
      </c>
      <c r="F12066" s="18"/>
      <c r="G12066" s="36" t="str">
        <f>IF(ISNUMBER(F12066),C12066*F12066,"")</f>
        <v/>
      </c>
    </row>
    <row r="12067" spans="1:7" ht="12" customHeight="1" outlineLevel="3" x14ac:dyDescent="0.2">
      <c r="A12067" s="14" t="s">
        <v>23720</v>
      </c>
      <c r="B12067" s="15" t="s">
        <v>23721</v>
      </c>
      <c r="C12067" s="16">
        <f>513/(1+B2)</f>
        <v>513</v>
      </c>
      <c r="D12067" s="17" t="s">
        <v>11</v>
      </c>
      <c r="E12067" s="17" t="s">
        <v>14</v>
      </c>
      <c r="F12067" s="18"/>
      <c r="G12067" s="36" t="str">
        <f>IF(ISNUMBER(F12067),C12067*F12067,"")</f>
        <v/>
      </c>
    </row>
    <row r="12068" spans="1:7" ht="12" customHeight="1" outlineLevel="3" x14ac:dyDescent="0.2">
      <c r="A12068" s="14" t="s">
        <v>23722</v>
      </c>
      <c r="B12068" s="15" t="s">
        <v>23723</v>
      </c>
      <c r="C12068" s="16">
        <f>152/(1+B2)</f>
        <v>152</v>
      </c>
      <c r="D12068" s="17" t="s">
        <v>11</v>
      </c>
      <c r="E12068" s="17" t="s">
        <v>11</v>
      </c>
      <c r="F12068" s="18"/>
      <c r="G12068" s="36" t="str">
        <f>IF(ISNUMBER(F12068),C12068*F12068,"")</f>
        <v/>
      </c>
    </row>
    <row r="12069" spans="1:7" ht="12" customHeight="1" outlineLevel="3" x14ac:dyDescent="0.2">
      <c r="A12069" s="14" t="s">
        <v>23724</v>
      </c>
      <c r="B12069" s="15" t="s">
        <v>23725</v>
      </c>
      <c r="C12069" s="16">
        <f>189/(1+B2)</f>
        <v>189</v>
      </c>
      <c r="D12069" s="17" t="s">
        <v>11</v>
      </c>
      <c r="E12069" s="17" t="s">
        <v>11</v>
      </c>
      <c r="F12069" s="18"/>
      <c r="G12069" s="36" t="str">
        <f>IF(ISNUMBER(F12069),C12069*F12069,"")</f>
        <v/>
      </c>
    </row>
    <row r="12070" spans="1:7" ht="12" customHeight="1" outlineLevel="3" x14ac:dyDescent="0.2">
      <c r="A12070" s="14" t="s">
        <v>23726</v>
      </c>
      <c r="B12070" s="15" t="s">
        <v>23727</v>
      </c>
      <c r="C12070" s="16">
        <f>225/(1+B2)</f>
        <v>225</v>
      </c>
      <c r="D12070" s="17" t="s">
        <v>11</v>
      </c>
      <c r="E12070" s="17" t="s">
        <v>14</v>
      </c>
      <c r="F12070" s="18"/>
      <c r="G12070" s="36" t="str">
        <f>IF(ISNUMBER(F12070),C12070*F12070,"")</f>
        <v/>
      </c>
    </row>
    <row r="12071" spans="1:7" ht="12" customHeight="1" outlineLevel="3" x14ac:dyDescent="0.2">
      <c r="A12071" s="14" t="s">
        <v>23728</v>
      </c>
      <c r="B12071" s="15" t="s">
        <v>23729</v>
      </c>
      <c r="C12071" s="16">
        <f>269/(1+B2)</f>
        <v>269</v>
      </c>
      <c r="D12071" s="17" t="s">
        <v>11</v>
      </c>
      <c r="E12071" s="17" t="s">
        <v>11</v>
      </c>
      <c r="F12071" s="18"/>
      <c r="G12071" s="36" t="str">
        <f>IF(ISNUMBER(F12071),C12071*F12071,"")</f>
        <v/>
      </c>
    </row>
    <row r="12072" spans="1:7" ht="12" customHeight="1" outlineLevel="3" x14ac:dyDescent="0.2">
      <c r="A12072" s="14" t="s">
        <v>23730</v>
      </c>
      <c r="B12072" s="15" t="s">
        <v>23731</v>
      </c>
      <c r="C12072" s="16">
        <f>372/(1+B2)</f>
        <v>372</v>
      </c>
      <c r="D12072" s="17" t="s">
        <v>11</v>
      </c>
      <c r="E12072" s="17" t="s">
        <v>11</v>
      </c>
      <c r="F12072" s="18"/>
      <c r="G12072" s="36" t="str">
        <f>IF(ISNUMBER(F12072),C12072*F12072,"")</f>
        <v/>
      </c>
    </row>
    <row r="12073" spans="1:7" ht="12" customHeight="1" outlineLevel="3" x14ac:dyDescent="0.2">
      <c r="A12073" s="14" t="s">
        <v>23732</v>
      </c>
      <c r="B12073" s="15" t="s">
        <v>23733</v>
      </c>
      <c r="C12073" s="16">
        <f>234/(1+B2)</f>
        <v>234</v>
      </c>
      <c r="D12073" s="17" t="s">
        <v>11</v>
      </c>
      <c r="E12073" s="17"/>
      <c r="F12073" s="18"/>
      <c r="G12073" s="36" t="str">
        <f>IF(ISNUMBER(F12073),C12073*F12073,"")</f>
        <v/>
      </c>
    </row>
    <row r="12074" spans="1:7" ht="12" customHeight="1" outlineLevel="3" x14ac:dyDescent="0.2">
      <c r="A12074" s="14" t="s">
        <v>23734</v>
      </c>
      <c r="B12074" s="15" t="s">
        <v>23735</v>
      </c>
      <c r="C12074" s="16">
        <f>252/(1+B2)</f>
        <v>252</v>
      </c>
      <c r="D12074" s="17" t="s">
        <v>11</v>
      </c>
      <c r="E12074" s="17"/>
      <c r="F12074" s="18"/>
      <c r="G12074" s="36" t="str">
        <f>IF(ISNUMBER(F12074),C12074*F12074,"")</f>
        <v/>
      </c>
    </row>
    <row r="12075" spans="1:7" ht="12" customHeight="1" outlineLevel="3" x14ac:dyDescent="0.2">
      <c r="A12075" s="14" t="s">
        <v>23736</v>
      </c>
      <c r="B12075" s="15" t="s">
        <v>23737</v>
      </c>
      <c r="C12075" s="16">
        <f>358/(1+B2)</f>
        <v>358</v>
      </c>
      <c r="D12075" s="17" t="s">
        <v>11</v>
      </c>
      <c r="E12075" s="17"/>
      <c r="F12075" s="18"/>
      <c r="G12075" s="36" t="str">
        <f>IF(ISNUMBER(F12075),C12075*F12075,"")</f>
        <v/>
      </c>
    </row>
    <row r="12076" spans="1:7" ht="12" customHeight="1" outlineLevel="3" x14ac:dyDescent="0.2">
      <c r="A12076" s="14" t="s">
        <v>23738</v>
      </c>
      <c r="B12076" s="15" t="s">
        <v>23739</v>
      </c>
      <c r="C12076" s="16">
        <f>442/(1+B2)</f>
        <v>442</v>
      </c>
      <c r="D12076" s="17" t="s">
        <v>11</v>
      </c>
      <c r="E12076" s="17"/>
      <c r="F12076" s="18"/>
      <c r="G12076" s="36" t="str">
        <f>IF(ISNUMBER(F12076),C12076*F12076,"")</f>
        <v/>
      </c>
    </row>
    <row r="12077" spans="1:7" ht="12" customHeight="1" outlineLevel="3" x14ac:dyDescent="0.2">
      <c r="A12077" s="14" t="s">
        <v>23740</v>
      </c>
      <c r="B12077" s="15" t="s">
        <v>23741</v>
      </c>
      <c r="C12077" s="16">
        <f>327/(1+B2)</f>
        <v>327</v>
      </c>
      <c r="D12077" s="17" t="s">
        <v>11</v>
      </c>
      <c r="E12077" s="17"/>
      <c r="F12077" s="18"/>
      <c r="G12077" s="36" t="str">
        <f>IF(ISNUMBER(F12077),C12077*F12077,"")</f>
        <v/>
      </c>
    </row>
    <row r="12078" spans="1:7" ht="12" customHeight="1" outlineLevel="3" x14ac:dyDescent="0.2">
      <c r="A12078" s="14" t="s">
        <v>23742</v>
      </c>
      <c r="B12078" s="15" t="s">
        <v>23743</v>
      </c>
      <c r="C12078" s="16">
        <f>109/(1+B2)</f>
        <v>109</v>
      </c>
      <c r="D12078" s="17" t="s">
        <v>11</v>
      </c>
      <c r="E12078" s="17"/>
      <c r="F12078" s="18"/>
      <c r="G12078" s="36" t="str">
        <f>IF(ISNUMBER(F12078),C12078*F12078,"")</f>
        <v/>
      </c>
    </row>
    <row r="12079" spans="1:7" ht="12" customHeight="1" outlineLevel="3" x14ac:dyDescent="0.2">
      <c r="A12079" s="14" t="s">
        <v>23744</v>
      </c>
      <c r="B12079" s="15" t="s">
        <v>23745</v>
      </c>
      <c r="C12079" s="16">
        <f>110/(1+B2)</f>
        <v>110</v>
      </c>
      <c r="D12079" s="17" t="s">
        <v>11</v>
      </c>
      <c r="E12079" s="17" t="s">
        <v>11</v>
      </c>
      <c r="F12079" s="18"/>
      <c r="G12079" s="36" t="str">
        <f>IF(ISNUMBER(F12079),C12079*F12079,"")</f>
        <v/>
      </c>
    </row>
    <row r="12080" spans="1:7" ht="12" customHeight="1" outlineLevel="3" x14ac:dyDescent="0.2">
      <c r="A12080" s="14" t="s">
        <v>23746</v>
      </c>
      <c r="B12080" s="15" t="s">
        <v>23747</v>
      </c>
      <c r="C12080" s="16">
        <f>116/(1+B2)</f>
        <v>116</v>
      </c>
      <c r="D12080" s="17" t="s">
        <v>11</v>
      </c>
      <c r="E12080" s="17"/>
      <c r="F12080" s="18"/>
      <c r="G12080" s="36" t="str">
        <f>IF(ISNUMBER(F12080),C12080*F12080,"")</f>
        <v/>
      </c>
    </row>
    <row r="12081" spans="1:7" ht="12" customHeight="1" outlineLevel="3" x14ac:dyDescent="0.2">
      <c r="A12081" s="14" t="s">
        <v>23748</v>
      </c>
      <c r="B12081" s="15" t="s">
        <v>23749</v>
      </c>
      <c r="C12081" s="16">
        <f>143/(1+B2)</f>
        <v>143</v>
      </c>
      <c r="D12081" s="17" t="s">
        <v>53</v>
      </c>
      <c r="E12081" s="17"/>
      <c r="F12081" s="18"/>
      <c r="G12081" s="36" t="str">
        <f>IF(ISNUMBER(F12081),C12081*F12081,"")</f>
        <v/>
      </c>
    </row>
    <row r="12082" spans="1:7" ht="12" customHeight="1" outlineLevel="3" x14ac:dyDescent="0.2">
      <c r="A12082" s="14" t="s">
        <v>23750</v>
      </c>
      <c r="B12082" s="15" t="s">
        <v>23751</v>
      </c>
      <c r="C12082" s="16">
        <f>83/(1+B2)</f>
        <v>83</v>
      </c>
      <c r="D12082" s="17" t="s">
        <v>11</v>
      </c>
      <c r="E12082" s="17" t="s">
        <v>106</v>
      </c>
      <c r="F12082" s="18"/>
      <c r="G12082" s="36" t="str">
        <f>IF(ISNUMBER(F12082),C12082*F12082,"")</f>
        <v/>
      </c>
    </row>
    <row r="12083" spans="1:7" ht="12" customHeight="1" outlineLevel="3" x14ac:dyDescent="0.2">
      <c r="A12083" s="14" t="s">
        <v>23752</v>
      </c>
      <c r="B12083" s="15" t="s">
        <v>23753</v>
      </c>
      <c r="C12083" s="16">
        <f>84/(1+B2)</f>
        <v>84</v>
      </c>
      <c r="D12083" s="17" t="s">
        <v>14</v>
      </c>
      <c r="E12083" s="17" t="s">
        <v>106</v>
      </c>
      <c r="F12083" s="18"/>
      <c r="G12083" s="36" t="str">
        <f>IF(ISNUMBER(F12083),C12083*F12083,"")</f>
        <v/>
      </c>
    </row>
    <row r="12084" spans="1:7" ht="12" customHeight="1" outlineLevel="3" x14ac:dyDescent="0.2">
      <c r="A12084" s="14" t="s">
        <v>23754</v>
      </c>
      <c r="B12084" s="15" t="s">
        <v>23755</v>
      </c>
      <c r="C12084" s="16">
        <f>137/(1+B2)</f>
        <v>137</v>
      </c>
      <c r="D12084" s="17" t="s">
        <v>11</v>
      </c>
      <c r="E12084" s="17" t="s">
        <v>14</v>
      </c>
      <c r="F12084" s="18"/>
      <c r="G12084" s="36" t="str">
        <f>IF(ISNUMBER(F12084),C12084*F12084,"")</f>
        <v/>
      </c>
    </row>
    <row r="12085" spans="1:7" ht="12" customHeight="1" outlineLevel="3" x14ac:dyDescent="0.2">
      <c r="A12085" s="14" t="s">
        <v>23756</v>
      </c>
      <c r="B12085" s="15" t="s">
        <v>23757</v>
      </c>
      <c r="C12085" s="16">
        <f>164/(1+B2)</f>
        <v>164</v>
      </c>
      <c r="D12085" s="17" t="s">
        <v>11</v>
      </c>
      <c r="E12085" s="17" t="s">
        <v>14</v>
      </c>
      <c r="F12085" s="18"/>
      <c r="G12085" s="36" t="str">
        <f>IF(ISNUMBER(F12085),C12085*F12085,"")</f>
        <v/>
      </c>
    </row>
    <row r="12086" spans="1:7" ht="12" customHeight="1" outlineLevel="3" x14ac:dyDescent="0.2">
      <c r="A12086" s="14" t="s">
        <v>23758</v>
      </c>
      <c r="B12086" s="15" t="s">
        <v>23759</v>
      </c>
      <c r="C12086" s="16">
        <f>137/(1+B2)</f>
        <v>137</v>
      </c>
      <c r="D12086" s="17" t="s">
        <v>11</v>
      </c>
      <c r="E12086" s="17"/>
      <c r="F12086" s="18"/>
      <c r="G12086" s="36" t="str">
        <f>IF(ISNUMBER(F12086),C12086*F12086,"")</f>
        <v/>
      </c>
    </row>
    <row r="12087" spans="1:7" ht="12" customHeight="1" outlineLevel="3" x14ac:dyDescent="0.2">
      <c r="A12087" s="14" t="s">
        <v>23760</v>
      </c>
      <c r="B12087" s="15" t="s">
        <v>23761</v>
      </c>
      <c r="C12087" s="16">
        <f>164/(1+B2)</f>
        <v>164</v>
      </c>
      <c r="D12087" s="17" t="s">
        <v>11</v>
      </c>
      <c r="E12087" s="17"/>
      <c r="F12087" s="18"/>
      <c r="G12087" s="36" t="str">
        <f>IF(ISNUMBER(F12087),C12087*F12087,"")</f>
        <v/>
      </c>
    </row>
    <row r="12088" spans="1:7" ht="12" customHeight="1" outlineLevel="3" x14ac:dyDescent="0.2">
      <c r="A12088" s="14" t="s">
        <v>23762</v>
      </c>
      <c r="B12088" s="15" t="s">
        <v>23763</v>
      </c>
      <c r="C12088" s="16">
        <f>255/(1+B2)</f>
        <v>255</v>
      </c>
      <c r="D12088" s="17" t="s">
        <v>11</v>
      </c>
      <c r="E12088" s="17"/>
      <c r="F12088" s="18"/>
      <c r="G12088" s="36" t="str">
        <f>IF(ISNUMBER(F12088),C12088*F12088,"")</f>
        <v/>
      </c>
    </row>
    <row r="12089" spans="1:7" ht="12" customHeight="1" outlineLevel="3" x14ac:dyDescent="0.2">
      <c r="A12089" s="14" t="s">
        <v>23764</v>
      </c>
      <c r="B12089" s="15" t="s">
        <v>23765</v>
      </c>
      <c r="C12089" s="16">
        <f>124/(1+B2)</f>
        <v>124</v>
      </c>
      <c r="D12089" s="17" t="s">
        <v>14</v>
      </c>
      <c r="E12089" s="17" t="s">
        <v>106</v>
      </c>
      <c r="F12089" s="18"/>
      <c r="G12089" s="36" t="str">
        <f>IF(ISNUMBER(F12089),C12089*F12089,"")</f>
        <v/>
      </c>
    </row>
    <row r="12090" spans="1:7" ht="12" customHeight="1" outlineLevel="3" x14ac:dyDescent="0.2">
      <c r="A12090" s="14" t="s">
        <v>23766</v>
      </c>
      <c r="B12090" s="15" t="s">
        <v>23767</v>
      </c>
      <c r="C12090" s="16">
        <f>164/(1+B2)</f>
        <v>164</v>
      </c>
      <c r="D12090" s="17" t="s">
        <v>11</v>
      </c>
      <c r="E12090" s="17"/>
      <c r="F12090" s="18"/>
      <c r="G12090" s="36" t="str">
        <f>IF(ISNUMBER(F12090),C12090*F12090,"")</f>
        <v/>
      </c>
    </row>
    <row r="12091" spans="1:7" ht="12" customHeight="1" outlineLevel="3" x14ac:dyDescent="0.2">
      <c r="A12091" s="14" t="s">
        <v>23768</v>
      </c>
      <c r="B12091" s="15" t="s">
        <v>23769</v>
      </c>
      <c r="C12091" s="16">
        <f>105/(1+B2)</f>
        <v>105</v>
      </c>
      <c r="D12091" s="17" t="s">
        <v>14</v>
      </c>
      <c r="E12091" s="17"/>
      <c r="F12091" s="18"/>
      <c r="G12091" s="36" t="str">
        <f>IF(ISNUMBER(F12091),C12091*F12091,"")</f>
        <v/>
      </c>
    </row>
    <row r="12092" spans="1:7" ht="12" customHeight="1" outlineLevel="3" x14ac:dyDescent="0.2">
      <c r="A12092" s="14" t="s">
        <v>23770</v>
      </c>
      <c r="B12092" s="15" t="s">
        <v>23771</v>
      </c>
      <c r="C12092" s="16">
        <f>151/(1+B2)</f>
        <v>151</v>
      </c>
      <c r="D12092" s="17" t="s">
        <v>14</v>
      </c>
      <c r="E12092" s="17"/>
      <c r="F12092" s="18"/>
      <c r="G12092" s="36" t="str">
        <f>IF(ISNUMBER(F12092),C12092*F12092,"")</f>
        <v/>
      </c>
    </row>
    <row r="12093" spans="1:7" ht="12" customHeight="1" outlineLevel="3" x14ac:dyDescent="0.2">
      <c r="A12093" s="14" t="s">
        <v>23772</v>
      </c>
      <c r="B12093" s="15" t="s">
        <v>23773</v>
      </c>
      <c r="C12093" s="16">
        <f>225/(1+B2)</f>
        <v>225</v>
      </c>
      <c r="D12093" s="17" t="s">
        <v>11</v>
      </c>
      <c r="E12093" s="17" t="s">
        <v>11</v>
      </c>
      <c r="F12093" s="18"/>
      <c r="G12093" s="36" t="str">
        <f>IF(ISNUMBER(F12093),C12093*F12093,"")</f>
        <v/>
      </c>
    </row>
    <row r="12094" spans="1:7" ht="12" customHeight="1" outlineLevel="3" x14ac:dyDescent="0.2">
      <c r="A12094" s="14" t="s">
        <v>23774</v>
      </c>
      <c r="B12094" s="15" t="s">
        <v>23775</v>
      </c>
      <c r="C12094" s="16">
        <f>512.43/(1+B2)</f>
        <v>512.42999999999995</v>
      </c>
      <c r="D12094" s="17" t="s">
        <v>11</v>
      </c>
      <c r="E12094" s="17"/>
      <c r="F12094" s="18"/>
      <c r="G12094" s="36" t="str">
        <f>IF(ISNUMBER(F12094),C12094*F12094,"")</f>
        <v/>
      </c>
    </row>
    <row r="12095" spans="1:7" ht="24" customHeight="1" outlineLevel="3" x14ac:dyDescent="0.2">
      <c r="A12095" s="14" t="s">
        <v>23776</v>
      </c>
      <c r="B12095" s="15" t="s">
        <v>23777</v>
      </c>
      <c r="C12095" s="16">
        <f>647/(1+B2)</f>
        <v>647</v>
      </c>
      <c r="D12095" s="17" t="s">
        <v>11</v>
      </c>
      <c r="E12095" s="17" t="s">
        <v>11</v>
      </c>
      <c r="F12095" s="18"/>
      <c r="G12095" s="36" t="str">
        <f>IF(ISNUMBER(F12095),C12095*F12095,"")</f>
        <v/>
      </c>
    </row>
    <row r="12096" spans="1:7" s="1" customFormat="1" ht="12.95" customHeight="1" outlineLevel="2" x14ac:dyDescent="0.2">
      <c r="A12096" s="20"/>
      <c r="B12096" s="21" t="s">
        <v>23778</v>
      </c>
      <c r="C12096" s="22"/>
      <c r="D12096" s="22"/>
      <c r="E12096" s="22"/>
      <c r="F12096" s="22"/>
      <c r="G12096" s="37"/>
    </row>
    <row r="12097" spans="1:7" ht="12" customHeight="1" outlineLevel="3" x14ac:dyDescent="0.2">
      <c r="A12097" s="14" t="s">
        <v>23779</v>
      </c>
      <c r="B12097" s="15" t="s">
        <v>23780</v>
      </c>
      <c r="C12097" s="16">
        <f>95.22/(1+B2)</f>
        <v>95.22</v>
      </c>
      <c r="D12097" s="17" t="s">
        <v>11</v>
      </c>
      <c r="E12097" s="17"/>
      <c r="F12097" s="18"/>
      <c r="G12097" s="36" t="str">
        <f>IF(ISNUMBER(F12097),C12097*F12097,"")</f>
        <v/>
      </c>
    </row>
    <row r="12098" spans="1:7" ht="12" customHeight="1" outlineLevel="3" x14ac:dyDescent="0.2">
      <c r="A12098" s="14" t="s">
        <v>23781</v>
      </c>
      <c r="B12098" s="15" t="s">
        <v>23782</v>
      </c>
      <c r="C12098" s="16">
        <f>137.05/(1+B2)</f>
        <v>137.05000000000001</v>
      </c>
      <c r="D12098" s="17" t="s">
        <v>11</v>
      </c>
      <c r="E12098" s="17"/>
      <c r="F12098" s="18"/>
      <c r="G12098" s="36" t="str">
        <f>IF(ISNUMBER(F12098),C12098*F12098,"")</f>
        <v/>
      </c>
    </row>
    <row r="12099" spans="1:7" ht="12" customHeight="1" outlineLevel="3" x14ac:dyDescent="0.2">
      <c r="A12099" s="14" t="s">
        <v>23783</v>
      </c>
      <c r="B12099" s="15" t="s">
        <v>23784</v>
      </c>
      <c r="C12099" s="16">
        <f>150.68/(1+B2)</f>
        <v>150.68</v>
      </c>
      <c r="D12099" s="17" t="s">
        <v>11</v>
      </c>
      <c r="E12099" s="17"/>
      <c r="F12099" s="18"/>
      <c r="G12099" s="36" t="str">
        <f>IF(ISNUMBER(F12099),C12099*F12099,"")</f>
        <v/>
      </c>
    </row>
    <row r="12100" spans="1:7" ht="12" customHeight="1" outlineLevel="3" x14ac:dyDescent="0.2">
      <c r="A12100" s="14" t="s">
        <v>23785</v>
      </c>
      <c r="B12100" s="15" t="s">
        <v>23786</v>
      </c>
      <c r="C12100" s="16">
        <f>205.21/(1+B2)</f>
        <v>205.21</v>
      </c>
      <c r="D12100" s="17" t="s">
        <v>11</v>
      </c>
      <c r="E12100" s="17"/>
      <c r="F12100" s="18"/>
      <c r="G12100" s="36" t="str">
        <f>IF(ISNUMBER(F12100),C12100*F12100,"")</f>
        <v/>
      </c>
    </row>
    <row r="12101" spans="1:7" ht="12" customHeight="1" outlineLevel="3" x14ac:dyDescent="0.2">
      <c r="A12101" s="14" t="s">
        <v>23787</v>
      </c>
      <c r="B12101" s="15" t="s">
        <v>23788</v>
      </c>
      <c r="C12101" s="16">
        <f>260.8/(1+B2)</f>
        <v>260.8</v>
      </c>
      <c r="D12101" s="17" t="s">
        <v>11</v>
      </c>
      <c r="E12101" s="17"/>
      <c r="F12101" s="18"/>
      <c r="G12101" s="36" t="str">
        <f>IF(ISNUMBER(F12101),C12101*F12101,"")</f>
        <v/>
      </c>
    </row>
    <row r="12102" spans="1:7" ht="12" customHeight="1" outlineLevel="3" x14ac:dyDescent="0.2">
      <c r="A12102" s="14" t="s">
        <v>23789</v>
      </c>
      <c r="B12102" s="15" t="s">
        <v>23790</v>
      </c>
      <c r="C12102" s="16">
        <f>259.77/(1+B2)</f>
        <v>259.77</v>
      </c>
      <c r="D12102" s="17" t="s">
        <v>11</v>
      </c>
      <c r="E12102" s="17"/>
      <c r="F12102" s="18"/>
      <c r="G12102" s="36" t="str">
        <f>IF(ISNUMBER(F12102),C12102*F12102,"")</f>
        <v/>
      </c>
    </row>
    <row r="12103" spans="1:7" ht="12" customHeight="1" outlineLevel="3" x14ac:dyDescent="0.2">
      <c r="A12103" s="14" t="s">
        <v>23791</v>
      </c>
      <c r="B12103" s="15" t="s">
        <v>23792</v>
      </c>
      <c r="C12103" s="16">
        <f>273.4/(1+B2)</f>
        <v>273.39999999999998</v>
      </c>
      <c r="D12103" s="17" t="s">
        <v>11</v>
      </c>
      <c r="E12103" s="17"/>
      <c r="F12103" s="18"/>
      <c r="G12103" s="36" t="str">
        <f>IF(ISNUMBER(F12103),C12103*F12103,"")</f>
        <v/>
      </c>
    </row>
    <row r="12104" spans="1:7" ht="12" customHeight="1" outlineLevel="3" x14ac:dyDescent="0.2">
      <c r="A12104" s="14" t="s">
        <v>23793</v>
      </c>
      <c r="B12104" s="15" t="s">
        <v>23794</v>
      </c>
      <c r="C12104" s="16">
        <f>327.26/(1+B2)</f>
        <v>327.26</v>
      </c>
      <c r="D12104" s="17" t="s">
        <v>11</v>
      </c>
      <c r="E12104" s="17"/>
      <c r="F12104" s="18"/>
      <c r="G12104" s="36" t="str">
        <f>IF(ISNUMBER(F12104),C12104*F12104,"")</f>
        <v/>
      </c>
    </row>
    <row r="12105" spans="1:7" ht="12" customHeight="1" outlineLevel="3" x14ac:dyDescent="0.2">
      <c r="A12105" s="14" t="s">
        <v>23795</v>
      </c>
      <c r="B12105" s="15" t="s">
        <v>23796</v>
      </c>
      <c r="C12105" s="16">
        <f>338.45/(1+B2)</f>
        <v>338.45</v>
      </c>
      <c r="D12105" s="17" t="s">
        <v>11</v>
      </c>
      <c r="E12105" s="17"/>
      <c r="F12105" s="18"/>
      <c r="G12105" s="36" t="str">
        <f>IF(ISNUMBER(F12105),C12105*F12105,"")</f>
        <v/>
      </c>
    </row>
    <row r="12106" spans="1:7" ht="12" customHeight="1" outlineLevel="3" x14ac:dyDescent="0.2">
      <c r="A12106" s="14" t="s">
        <v>23797</v>
      </c>
      <c r="B12106" s="15" t="s">
        <v>23798</v>
      </c>
      <c r="C12106" s="16">
        <f>358.31/(1+B2)</f>
        <v>358.31</v>
      </c>
      <c r="D12106" s="17" t="s">
        <v>11</v>
      </c>
      <c r="E12106" s="17"/>
      <c r="F12106" s="18"/>
      <c r="G12106" s="36" t="str">
        <f>IF(ISNUMBER(F12106),C12106*F12106,"")</f>
        <v/>
      </c>
    </row>
    <row r="12107" spans="1:7" ht="12" customHeight="1" outlineLevel="3" x14ac:dyDescent="0.2">
      <c r="A12107" s="14" t="s">
        <v>23799</v>
      </c>
      <c r="B12107" s="15" t="s">
        <v>23800</v>
      </c>
      <c r="C12107" s="16">
        <f>477.08/(1+B2)</f>
        <v>477.08</v>
      </c>
      <c r="D12107" s="17" t="s">
        <v>11</v>
      </c>
      <c r="E12107" s="17"/>
      <c r="F12107" s="18"/>
      <c r="G12107" s="36" t="str">
        <f>IF(ISNUMBER(F12107),C12107*F12107,"")</f>
        <v/>
      </c>
    </row>
    <row r="12108" spans="1:7" ht="12" customHeight="1" outlineLevel="3" x14ac:dyDescent="0.2">
      <c r="A12108" s="14" t="s">
        <v>23801</v>
      </c>
      <c r="B12108" s="15" t="s">
        <v>23802</v>
      </c>
      <c r="C12108" s="16">
        <f>400.7/(1+B2)</f>
        <v>400.7</v>
      </c>
      <c r="D12108" s="17" t="s">
        <v>11</v>
      </c>
      <c r="E12108" s="17"/>
      <c r="F12108" s="18"/>
      <c r="G12108" s="36" t="str">
        <f>IF(ISNUMBER(F12108),C12108*F12108,"")</f>
        <v/>
      </c>
    </row>
    <row r="12109" spans="1:7" ht="12" customHeight="1" outlineLevel="3" x14ac:dyDescent="0.2">
      <c r="A12109" s="14" t="s">
        <v>23803</v>
      </c>
      <c r="B12109" s="15" t="s">
        <v>23804</v>
      </c>
      <c r="C12109" s="16">
        <f>533.71/(1+B2)</f>
        <v>533.71</v>
      </c>
      <c r="D12109" s="17" t="s">
        <v>11</v>
      </c>
      <c r="E12109" s="17"/>
      <c r="F12109" s="18"/>
      <c r="G12109" s="36" t="str">
        <f>IF(ISNUMBER(F12109),C12109*F12109,"")</f>
        <v/>
      </c>
    </row>
    <row r="12110" spans="1:7" ht="12" customHeight="1" outlineLevel="3" x14ac:dyDescent="0.2">
      <c r="A12110" s="14" t="s">
        <v>23805</v>
      </c>
      <c r="B12110" s="15" t="s">
        <v>23806</v>
      </c>
      <c r="C12110" s="16">
        <f>552.24/(1+B2)</f>
        <v>552.24</v>
      </c>
      <c r="D12110" s="17" t="s">
        <v>11</v>
      </c>
      <c r="E12110" s="17"/>
      <c r="F12110" s="18"/>
      <c r="G12110" s="36" t="str">
        <f>IF(ISNUMBER(F12110),C12110*F12110,"")</f>
        <v/>
      </c>
    </row>
    <row r="12111" spans="1:7" ht="12" customHeight="1" outlineLevel="3" x14ac:dyDescent="0.2">
      <c r="A12111" s="14" t="s">
        <v>23807</v>
      </c>
      <c r="B12111" s="15" t="s">
        <v>23808</v>
      </c>
      <c r="C12111" s="16">
        <f>453.69/(1+B2)</f>
        <v>453.69</v>
      </c>
      <c r="D12111" s="17" t="s">
        <v>11</v>
      </c>
      <c r="E12111" s="17"/>
      <c r="F12111" s="18"/>
      <c r="G12111" s="36" t="str">
        <f>IF(ISNUMBER(F12111),C12111*F12111,"")</f>
        <v/>
      </c>
    </row>
    <row r="12112" spans="1:7" ht="12" customHeight="1" outlineLevel="3" x14ac:dyDescent="0.2">
      <c r="A12112" s="14" t="s">
        <v>23809</v>
      </c>
      <c r="B12112" s="15" t="s">
        <v>23810</v>
      </c>
      <c r="C12112" s="16">
        <f>571.2/(1+B2)</f>
        <v>571.20000000000005</v>
      </c>
      <c r="D12112" s="17" t="s">
        <v>11</v>
      </c>
      <c r="E12112" s="17"/>
      <c r="F12112" s="18"/>
      <c r="G12112" s="36" t="str">
        <f>IF(ISNUMBER(F12112),C12112*F12112,"")</f>
        <v/>
      </c>
    </row>
    <row r="12113" spans="1:7" ht="12" customHeight="1" outlineLevel="3" x14ac:dyDescent="0.2">
      <c r="A12113" s="14" t="s">
        <v>23811</v>
      </c>
      <c r="B12113" s="15" t="s">
        <v>23812</v>
      </c>
      <c r="C12113" s="16">
        <f>584.99/(1+B2)</f>
        <v>584.99</v>
      </c>
      <c r="D12113" s="17" t="s">
        <v>11</v>
      </c>
      <c r="E12113" s="17"/>
      <c r="F12113" s="18"/>
      <c r="G12113" s="36" t="str">
        <f>IF(ISNUMBER(F12113),C12113*F12113,"")</f>
        <v/>
      </c>
    </row>
    <row r="12114" spans="1:7" ht="12" customHeight="1" outlineLevel="3" x14ac:dyDescent="0.2">
      <c r="A12114" s="14" t="s">
        <v>23813</v>
      </c>
      <c r="B12114" s="15" t="s">
        <v>23814</v>
      </c>
      <c r="C12114" s="16">
        <f>601.13/(1+B2)</f>
        <v>601.13</v>
      </c>
      <c r="D12114" s="17" t="s">
        <v>11</v>
      </c>
      <c r="E12114" s="17"/>
      <c r="F12114" s="18"/>
      <c r="G12114" s="36" t="str">
        <f>IF(ISNUMBER(F12114),C12114*F12114,"")</f>
        <v/>
      </c>
    </row>
    <row r="12115" spans="1:7" ht="12" customHeight="1" outlineLevel="3" x14ac:dyDescent="0.2">
      <c r="A12115" s="14" t="s">
        <v>23815</v>
      </c>
      <c r="B12115" s="15" t="s">
        <v>23816</v>
      </c>
      <c r="C12115" s="16">
        <f>633.45/(1+B2)</f>
        <v>633.45000000000005</v>
      </c>
      <c r="D12115" s="17" t="s">
        <v>11</v>
      </c>
      <c r="E12115" s="17"/>
      <c r="F12115" s="18"/>
      <c r="G12115" s="36" t="str">
        <f>IF(ISNUMBER(F12115),C12115*F12115,"")</f>
        <v/>
      </c>
    </row>
    <row r="12116" spans="1:7" ht="12" customHeight="1" outlineLevel="3" x14ac:dyDescent="0.2">
      <c r="A12116" s="14" t="s">
        <v>23817</v>
      </c>
      <c r="B12116" s="15" t="s">
        <v>23818</v>
      </c>
      <c r="C12116" s="16">
        <f>543.42/(1+B2)</f>
        <v>543.41999999999996</v>
      </c>
      <c r="D12116" s="17" t="s">
        <v>11</v>
      </c>
      <c r="E12116" s="17"/>
      <c r="F12116" s="18"/>
      <c r="G12116" s="36" t="str">
        <f>IF(ISNUMBER(F12116),C12116*F12116,"")</f>
        <v/>
      </c>
    </row>
    <row r="12117" spans="1:7" ht="12" customHeight="1" outlineLevel="3" x14ac:dyDescent="0.2">
      <c r="A12117" s="14" t="s">
        <v>23819</v>
      </c>
      <c r="B12117" s="15" t="s">
        <v>23820</v>
      </c>
      <c r="C12117" s="16">
        <f>550.92/(1+B2)</f>
        <v>550.91999999999996</v>
      </c>
      <c r="D12117" s="17" t="s">
        <v>11</v>
      </c>
      <c r="E12117" s="17"/>
      <c r="F12117" s="18"/>
      <c r="G12117" s="36" t="str">
        <f>IF(ISNUMBER(F12117),C12117*F12117,"")</f>
        <v/>
      </c>
    </row>
    <row r="12118" spans="1:7" ht="12" customHeight="1" outlineLevel="3" x14ac:dyDescent="0.2">
      <c r="A12118" s="14" t="s">
        <v>23821</v>
      </c>
      <c r="B12118" s="15" t="s">
        <v>23822</v>
      </c>
      <c r="C12118" s="16">
        <f>640.53/(1+B2)</f>
        <v>640.53</v>
      </c>
      <c r="D12118" s="17" t="s">
        <v>11</v>
      </c>
      <c r="E12118" s="17"/>
      <c r="F12118" s="18"/>
      <c r="G12118" s="36" t="str">
        <f>IF(ISNUMBER(F12118),C12118*F12118,"")</f>
        <v/>
      </c>
    </row>
    <row r="12119" spans="1:7" ht="12" customHeight="1" outlineLevel="3" x14ac:dyDescent="0.2">
      <c r="A12119" s="14" t="s">
        <v>23823</v>
      </c>
      <c r="B12119" s="15" t="s">
        <v>23824</v>
      </c>
      <c r="C12119" s="16">
        <f>121.32/(1+B2)</f>
        <v>121.32</v>
      </c>
      <c r="D12119" s="17" t="s">
        <v>11</v>
      </c>
      <c r="E12119" s="17"/>
      <c r="F12119" s="18"/>
      <c r="G12119" s="36" t="str">
        <f>IF(ISNUMBER(F12119),C12119*F12119,"")</f>
        <v/>
      </c>
    </row>
    <row r="12120" spans="1:7" ht="12" customHeight="1" outlineLevel="3" x14ac:dyDescent="0.2">
      <c r="A12120" s="14" t="s">
        <v>23825</v>
      </c>
      <c r="B12120" s="15" t="s">
        <v>23826</v>
      </c>
      <c r="C12120" s="16">
        <f>192.82/(1+B2)</f>
        <v>192.82</v>
      </c>
      <c r="D12120" s="17" t="s">
        <v>11</v>
      </c>
      <c r="E12120" s="17"/>
      <c r="F12120" s="18"/>
      <c r="G12120" s="36" t="str">
        <f>IF(ISNUMBER(F12120),C12120*F12120,"")</f>
        <v/>
      </c>
    </row>
    <row r="12121" spans="1:7" ht="12" customHeight="1" outlineLevel="3" x14ac:dyDescent="0.2">
      <c r="A12121" s="14" t="s">
        <v>23827</v>
      </c>
      <c r="B12121" s="15" t="s">
        <v>23828</v>
      </c>
      <c r="C12121" s="16">
        <f>242.65/(1+B2)</f>
        <v>242.65</v>
      </c>
      <c r="D12121" s="17" t="s">
        <v>11</v>
      </c>
      <c r="E12121" s="17"/>
      <c r="F12121" s="18"/>
      <c r="G12121" s="36" t="str">
        <f>IF(ISNUMBER(F12121),C12121*F12121,"")</f>
        <v/>
      </c>
    </row>
    <row r="12122" spans="1:7" ht="12" customHeight="1" outlineLevel="3" x14ac:dyDescent="0.2">
      <c r="A12122" s="14" t="s">
        <v>23829</v>
      </c>
      <c r="B12122" s="15" t="s">
        <v>23830</v>
      </c>
      <c r="C12122" s="16">
        <f>331.98/(1+B2)</f>
        <v>331.98</v>
      </c>
      <c r="D12122" s="17" t="s">
        <v>11</v>
      </c>
      <c r="E12122" s="17"/>
      <c r="F12122" s="18"/>
      <c r="G12122" s="36" t="str">
        <f>IF(ISNUMBER(F12122),C12122*F12122,"")</f>
        <v/>
      </c>
    </row>
    <row r="12123" spans="1:7" ht="12" customHeight="1" outlineLevel="3" x14ac:dyDescent="0.2">
      <c r="A12123" s="14" t="s">
        <v>23831</v>
      </c>
      <c r="B12123" s="15" t="s">
        <v>23832</v>
      </c>
      <c r="C12123" s="16">
        <f>336.05/(1+B2)</f>
        <v>336.05</v>
      </c>
      <c r="D12123" s="17" t="s">
        <v>11</v>
      </c>
      <c r="E12123" s="17"/>
      <c r="F12123" s="18"/>
      <c r="G12123" s="36" t="str">
        <f>IF(ISNUMBER(F12123),C12123*F12123,"")</f>
        <v/>
      </c>
    </row>
    <row r="12124" spans="1:7" ht="12" customHeight="1" outlineLevel="3" x14ac:dyDescent="0.2">
      <c r="A12124" s="14" t="s">
        <v>23833</v>
      </c>
      <c r="B12124" s="15" t="s">
        <v>23834</v>
      </c>
      <c r="C12124" s="19">
        <f>1421/(1+B2)</f>
        <v>1421</v>
      </c>
      <c r="D12124" s="17" t="s">
        <v>11</v>
      </c>
      <c r="E12124" s="17"/>
      <c r="F12124" s="18"/>
      <c r="G12124" s="36" t="str">
        <f>IF(ISNUMBER(F12124),C12124*F12124,"")</f>
        <v/>
      </c>
    </row>
    <row r="12125" spans="1:7" ht="12" customHeight="1" outlineLevel="3" x14ac:dyDescent="0.2">
      <c r="A12125" s="14" t="s">
        <v>23835</v>
      </c>
      <c r="B12125" s="15" t="s">
        <v>23836</v>
      </c>
      <c r="C12125" s="16">
        <f>533.29/(1+B2)</f>
        <v>533.29</v>
      </c>
      <c r="D12125" s="17" t="s">
        <v>11</v>
      </c>
      <c r="E12125" s="17"/>
      <c r="F12125" s="18"/>
      <c r="G12125" s="36" t="str">
        <f>IF(ISNUMBER(F12125),C12125*F12125,"")</f>
        <v/>
      </c>
    </row>
    <row r="12126" spans="1:7" ht="12" customHeight="1" outlineLevel="3" x14ac:dyDescent="0.2">
      <c r="A12126" s="14" t="s">
        <v>23837</v>
      </c>
      <c r="B12126" s="15" t="s">
        <v>23838</v>
      </c>
      <c r="C12126" s="16">
        <f>872.22/(1+B2)</f>
        <v>872.22</v>
      </c>
      <c r="D12126" s="17" t="s">
        <v>11</v>
      </c>
      <c r="E12126" s="17"/>
      <c r="F12126" s="18"/>
      <c r="G12126" s="36" t="str">
        <f>IF(ISNUMBER(F12126),C12126*F12126,"")</f>
        <v/>
      </c>
    </row>
    <row r="12127" spans="1:7" ht="12" customHeight="1" outlineLevel="3" x14ac:dyDescent="0.2">
      <c r="A12127" s="14" t="s">
        <v>23839</v>
      </c>
      <c r="B12127" s="15" t="s">
        <v>23840</v>
      </c>
      <c r="C12127" s="16">
        <f>631.64/(1+B2)</f>
        <v>631.64</v>
      </c>
      <c r="D12127" s="17" t="s">
        <v>11</v>
      </c>
      <c r="E12127" s="17"/>
      <c r="F12127" s="18"/>
      <c r="G12127" s="36" t="str">
        <f>IF(ISNUMBER(F12127),C12127*F12127,"")</f>
        <v/>
      </c>
    </row>
    <row r="12128" spans="1:7" ht="12" customHeight="1" outlineLevel="3" x14ac:dyDescent="0.2">
      <c r="A12128" s="14" t="s">
        <v>23841</v>
      </c>
      <c r="B12128" s="15" t="s">
        <v>23842</v>
      </c>
      <c r="C12128" s="16">
        <f>656.08/(1+B2)</f>
        <v>656.08</v>
      </c>
      <c r="D12128" s="17" t="s">
        <v>11</v>
      </c>
      <c r="E12128" s="17"/>
      <c r="F12128" s="18"/>
      <c r="G12128" s="36" t="str">
        <f>IF(ISNUMBER(F12128),C12128*F12128,"")</f>
        <v/>
      </c>
    </row>
    <row r="12129" spans="1:7" ht="12" customHeight="1" outlineLevel="3" x14ac:dyDescent="0.2">
      <c r="A12129" s="14" t="s">
        <v>23843</v>
      </c>
      <c r="B12129" s="15" t="s">
        <v>23844</v>
      </c>
      <c r="C12129" s="16">
        <f>784.46/(1+B2)</f>
        <v>784.46</v>
      </c>
      <c r="D12129" s="17" t="s">
        <v>11</v>
      </c>
      <c r="E12129" s="17"/>
      <c r="F12129" s="18"/>
      <c r="G12129" s="36" t="str">
        <f>IF(ISNUMBER(F12129),C12129*F12129,"")</f>
        <v/>
      </c>
    </row>
    <row r="12130" spans="1:7" ht="12" customHeight="1" outlineLevel="3" x14ac:dyDescent="0.2">
      <c r="A12130" s="14" t="s">
        <v>23845</v>
      </c>
      <c r="B12130" s="15" t="s">
        <v>23846</v>
      </c>
      <c r="C12130" s="16">
        <f>742.19/(1+B2)</f>
        <v>742.19</v>
      </c>
      <c r="D12130" s="17" t="s">
        <v>11</v>
      </c>
      <c r="E12130" s="17"/>
      <c r="F12130" s="18"/>
      <c r="G12130" s="36" t="str">
        <f>IF(ISNUMBER(F12130),C12130*F12130,"")</f>
        <v/>
      </c>
    </row>
    <row r="12131" spans="1:7" ht="12" customHeight="1" outlineLevel="3" x14ac:dyDescent="0.2">
      <c r="A12131" s="14" t="s">
        <v>23847</v>
      </c>
      <c r="B12131" s="15" t="s">
        <v>23848</v>
      </c>
      <c r="C12131" s="19">
        <f>1266.37/(1+B2)</f>
        <v>1266.3699999999999</v>
      </c>
      <c r="D12131" s="17" t="s">
        <v>11</v>
      </c>
      <c r="E12131" s="17"/>
      <c r="F12131" s="18"/>
      <c r="G12131" s="36" t="str">
        <f>IF(ISNUMBER(F12131),C12131*F12131,"")</f>
        <v/>
      </c>
    </row>
    <row r="12132" spans="1:7" ht="12" customHeight="1" outlineLevel="3" x14ac:dyDescent="0.2">
      <c r="A12132" s="14" t="s">
        <v>23849</v>
      </c>
      <c r="B12132" s="15" t="s">
        <v>23850</v>
      </c>
      <c r="C12132" s="16">
        <f>302.25/(1+B2)</f>
        <v>302.25</v>
      </c>
      <c r="D12132" s="17" t="s">
        <v>11</v>
      </c>
      <c r="E12132" s="17"/>
      <c r="F12132" s="18"/>
      <c r="G12132" s="36" t="str">
        <f>IF(ISNUMBER(F12132),C12132*F12132,"")</f>
        <v/>
      </c>
    </row>
    <row r="12133" spans="1:7" ht="12" customHeight="1" outlineLevel="3" x14ac:dyDescent="0.2">
      <c r="A12133" s="14" t="s">
        <v>23851</v>
      </c>
      <c r="B12133" s="15" t="s">
        <v>23852</v>
      </c>
      <c r="C12133" s="16">
        <f>296.82/(1+B2)</f>
        <v>296.82</v>
      </c>
      <c r="D12133" s="17" t="s">
        <v>11</v>
      </c>
      <c r="E12133" s="17"/>
      <c r="F12133" s="18"/>
      <c r="G12133" s="36" t="str">
        <f>IF(ISNUMBER(F12133),C12133*F12133,"")</f>
        <v/>
      </c>
    </row>
    <row r="12134" spans="1:7" ht="12" customHeight="1" outlineLevel="3" x14ac:dyDescent="0.2">
      <c r="A12134" s="14" t="s">
        <v>23853</v>
      </c>
      <c r="B12134" s="15" t="s">
        <v>23854</v>
      </c>
      <c r="C12134" s="16">
        <f>427.92/(1+B2)</f>
        <v>427.92</v>
      </c>
      <c r="D12134" s="17" t="s">
        <v>11</v>
      </c>
      <c r="E12134" s="17"/>
      <c r="F12134" s="18"/>
      <c r="G12134" s="36" t="str">
        <f>IF(ISNUMBER(F12134),C12134*F12134,"")</f>
        <v/>
      </c>
    </row>
    <row r="12135" spans="1:7" ht="12" customHeight="1" outlineLevel="3" x14ac:dyDescent="0.2">
      <c r="A12135" s="14" t="s">
        <v>23855</v>
      </c>
      <c r="B12135" s="15" t="s">
        <v>23856</v>
      </c>
      <c r="C12135" s="16">
        <f>407.04/(1+B2)</f>
        <v>407.04</v>
      </c>
      <c r="D12135" s="17" t="s">
        <v>11</v>
      </c>
      <c r="E12135" s="17"/>
      <c r="F12135" s="18"/>
      <c r="G12135" s="36" t="str">
        <f>IF(ISNUMBER(F12135),C12135*F12135,"")</f>
        <v/>
      </c>
    </row>
    <row r="12136" spans="1:7" ht="12" customHeight="1" outlineLevel="3" x14ac:dyDescent="0.2">
      <c r="A12136" s="14" t="s">
        <v>23857</v>
      </c>
      <c r="B12136" s="15" t="s">
        <v>23858</v>
      </c>
      <c r="C12136" s="16">
        <f>100.66/(1+B2)</f>
        <v>100.66</v>
      </c>
      <c r="D12136" s="17" t="s">
        <v>11</v>
      </c>
      <c r="E12136" s="17"/>
      <c r="F12136" s="18"/>
      <c r="G12136" s="36" t="str">
        <f>IF(ISNUMBER(F12136),C12136*F12136,"")</f>
        <v/>
      </c>
    </row>
    <row r="12137" spans="1:7" ht="12" customHeight="1" outlineLevel="3" x14ac:dyDescent="0.2">
      <c r="A12137" s="14" t="s">
        <v>23859</v>
      </c>
      <c r="B12137" s="15" t="s">
        <v>23860</v>
      </c>
      <c r="C12137" s="16">
        <f>106.52/(1+B2)</f>
        <v>106.52</v>
      </c>
      <c r="D12137" s="17" t="s">
        <v>11</v>
      </c>
      <c r="E12137" s="17"/>
      <c r="F12137" s="18"/>
      <c r="G12137" s="36" t="str">
        <f>IF(ISNUMBER(F12137),C12137*F12137,"")</f>
        <v/>
      </c>
    </row>
    <row r="12138" spans="1:7" ht="12" customHeight="1" outlineLevel="3" x14ac:dyDescent="0.2">
      <c r="A12138" s="14" t="s">
        <v>23861</v>
      </c>
      <c r="B12138" s="15" t="s">
        <v>23862</v>
      </c>
      <c r="C12138" s="16">
        <f>299.97/(1+B2)</f>
        <v>299.97000000000003</v>
      </c>
      <c r="D12138" s="17" t="s">
        <v>11</v>
      </c>
      <c r="E12138" s="17"/>
      <c r="F12138" s="18"/>
      <c r="G12138" s="36" t="str">
        <f>IF(ISNUMBER(F12138),C12138*F12138,"")</f>
        <v/>
      </c>
    </row>
    <row r="12139" spans="1:7" ht="12" customHeight="1" outlineLevel="3" x14ac:dyDescent="0.2">
      <c r="A12139" s="14" t="s">
        <v>23863</v>
      </c>
      <c r="B12139" s="15" t="s">
        <v>23864</v>
      </c>
      <c r="C12139" s="16">
        <f>295/(1+B2)</f>
        <v>295</v>
      </c>
      <c r="D12139" s="17" t="s">
        <v>11</v>
      </c>
      <c r="E12139" s="17" t="s">
        <v>11</v>
      </c>
      <c r="F12139" s="18"/>
      <c r="G12139" s="36" t="str">
        <f>IF(ISNUMBER(F12139),C12139*F12139,"")</f>
        <v/>
      </c>
    </row>
    <row r="12140" spans="1:7" ht="12" customHeight="1" outlineLevel="3" x14ac:dyDescent="0.2">
      <c r="A12140" s="14" t="s">
        <v>23865</v>
      </c>
      <c r="B12140" s="15" t="s">
        <v>23866</v>
      </c>
      <c r="C12140" s="16">
        <f>160.08/(1+B2)</f>
        <v>160.08000000000001</v>
      </c>
      <c r="D12140" s="17" t="s">
        <v>11</v>
      </c>
      <c r="E12140" s="17"/>
      <c r="F12140" s="18"/>
      <c r="G12140" s="36" t="str">
        <f>IF(ISNUMBER(F12140),C12140*F12140,"")</f>
        <v/>
      </c>
    </row>
    <row r="12141" spans="1:7" ht="12" customHeight="1" outlineLevel="3" x14ac:dyDescent="0.2">
      <c r="A12141" s="14" t="s">
        <v>23867</v>
      </c>
      <c r="B12141" s="15" t="s">
        <v>23868</v>
      </c>
      <c r="C12141" s="16">
        <f>278.41/(1+B2)</f>
        <v>278.41000000000003</v>
      </c>
      <c r="D12141" s="17" t="s">
        <v>11</v>
      </c>
      <c r="E12141" s="17"/>
      <c r="F12141" s="18"/>
      <c r="G12141" s="36" t="str">
        <f>IF(ISNUMBER(F12141),C12141*F12141,"")</f>
        <v/>
      </c>
    </row>
    <row r="12142" spans="1:7" ht="12" customHeight="1" outlineLevel="3" x14ac:dyDescent="0.2">
      <c r="A12142" s="14" t="s">
        <v>23869</v>
      </c>
      <c r="B12142" s="15" t="s">
        <v>23870</v>
      </c>
      <c r="C12142" s="16">
        <f>183.71/(1+B2)</f>
        <v>183.71</v>
      </c>
      <c r="D12142" s="17" t="s">
        <v>11</v>
      </c>
      <c r="E12142" s="17"/>
      <c r="F12142" s="18"/>
      <c r="G12142" s="36" t="str">
        <f>IF(ISNUMBER(F12142),C12142*F12142,"")</f>
        <v/>
      </c>
    </row>
    <row r="12143" spans="1:7" ht="12" customHeight="1" outlineLevel="3" x14ac:dyDescent="0.2">
      <c r="A12143" s="14" t="s">
        <v>23871</v>
      </c>
      <c r="B12143" s="15" t="s">
        <v>23872</v>
      </c>
      <c r="C12143" s="16">
        <f>303.01/(1+B2)</f>
        <v>303.01</v>
      </c>
      <c r="D12143" s="17" t="s">
        <v>11</v>
      </c>
      <c r="E12143" s="17"/>
      <c r="F12143" s="18"/>
      <c r="G12143" s="36" t="str">
        <f>IF(ISNUMBER(F12143),C12143*F12143,"")</f>
        <v/>
      </c>
    </row>
    <row r="12144" spans="1:7" s="1" customFormat="1" ht="12.95" customHeight="1" outlineLevel="2" x14ac:dyDescent="0.2">
      <c r="A12144" s="20"/>
      <c r="B12144" s="21" t="s">
        <v>23873</v>
      </c>
      <c r="C12144" s="22"/>
      <c r="D12144" s="22"/>
      <c r="E12144" s="22"/>
      <c r="F12144" s="22"/>
      <c r="G12144" s="37"/>
    </row>
    <row r="12145" spans="1:7" ht="12" customHeight="1" outlineLevel="3" x14ac:dyDescent="0.2">
      <c r="A12145" s="14" t="s">
        <v>23874</v>
      </c>
      <c r="B12145" s="15" t="s">
        <v>23875</v>
      </c>
      <c r="C12145" s="16">
        <f>25/(1+B2)</f>
        <v>25</v>
      </c>
      <c r="D12145" s="17" t="s">
        <v>106</v>
      </c>
      <c r="E12145" s="17"/>
      <c r="F12145" s="18"/>
      <c r="G12145" s="36" t="str">
        <f>IF(ISNUMBER(F12145),C12145*F12145,"")</f>
        <v/>
      </c>
    </row>
    <row r="12146" spans="1:7" ht="12" customHeight="1" outlineLevel="3" x14ac:dyDescent="0.2">
      <c r="A12146" s="14" t="s">
        <v>23876</v>
      </c>
      <c r="B12146" s="15" t="s">
        <v>23877</v>
      </c>
      <c r="C12146" s="16">
        <f>25/(1+B2)</f>
        <v>25</v>
      </c>
      <c r="D12146" s="17" t="s">
        <v>14</v>
      </c>
      <c r="E12146" s="17"/>
      <c r="F12146" s="18"/>
      <c r="G12146" s="36" t="str">
        <f>IF(ISNUMBER(F12146),C12146*F12146,"")</f>
        <v/>
      </c>
    </row>
    <row r="12147" spans="1:7" ht="12" customHeight="1" outlineLevel="3" x14ac:dyDescent="0.2">
      <c r="A12147" s="14" t="s">
        <v>23878</v>
      </c>
      <c r="B12147" s="15" t="s">
        <v>23879</v>
      </c>
      <c r="C12147" s="16">
        <f>406.3/(1+B2)</f>
        <v>406.3</v>
      </c>
      <c r="D12147" s="17" t="s">
        <v>11</v>
      </c>
      <c r="E12147" s="17"/>
      <c r="F12147" s="18"/>
      <c r="G12147" s="36" t="str">
        <f>IF(ISNUMBER(F12147),C12147*F12147,"")</f>
        <v/>
      </c>
    </row>
    <row r="12148" spans="1:7" ht="12" customHeight="1" outlineLevel="3" x14ac:dyDescent="0.2">
      <c r="A12148" s="14" t="s">
        <v>23880</v>
      </c>
      <c r="B12148" s="15" t="s">
        <v>23881</v>
      </c>
      <c r="C12148" s="16">
        <f>95.29/(1+B2)</f>
        <v>95.29</v>
      </c>
      <c r="D12148" s="17" t="s">
        <v>11</v>
      </c>
      <c r="E12148" s="17"/>
      <c r="F12148" s="18"/>
      <c r="G12148" s="36" t="str">
        <f>IF(ISNUMBER(F12148),C12148*F12148,"")</f>
        <v/>
      </c>
    </row>
    <row r="12149" spans="1:7" ht="12" customHeight="1" outlineLevel="3" x14ac:dyDescent="0.2">
      <c r="A12149" s="14" t="s">
        <v>23882</v>
      </c>
      <c r="B12149" s="15" t="s">
        <v>23883</v>
      </c>
      <c r="C12149" s="16">
        <f>72.36/(1+B2)</f>
        <v>72.36</v>
      </c>
      <c r="D12149" s="17" t="s">
        <v>53</v>
      </c>
      <c r="E12149" s="17"/>
      <c r="F12149" s="18"/>
      <c r="G12149" s="36" t="str">
        <f>IF(ISNUMBER(F12149),C12149*F12149,"")</f>
        <v/>
      </c>
    </row>
    <row r="12150" spans="1:7" ht="12" customHeight="1" outlineLevel="3" x14ac:dyDescent="0.2">
      <c r="A12150" s="14" t="s">
        <v>23884</v>
      </c>
      <c r="B12150" s="15" t="s">
        <v>23885</v>
      </c>
      <c r="C12150" s="16">
        <f>36.1/(1+B2)</f>
        <v>36.1</v>
      </c>
      <c r="D12150" s="17" t="s">
        <v>11</v>
      </c>
      <c r="E12150" s="17"/>
      <c r="F12150" s="18"/>
      <c r="G12150" s="36" t="str">
        <f>IF(ISNUMBER(F12150),C12150*F12150,"")</f>
        <v/>
      </c>
    </row>
    <row r="12151" spans="1:7" ht="12" customHeight="1" outlineLevel="3" x14ac:dyDescent="0.2">
      <c r="A12151" s="14" t="s">
        <v>23886</v>
      </c>
      <c r="B12151" s="15" t="s">
        <v>23887</v>
      </c>
      <c r="C12151" s="16">
        <f>81.46/(1+B2)</f>
        <v>81.459999999999994</v>
      </c>
      <c r="D12151" s="17" t="s">
        <v>11</v>
      </c>
      <c r="E12151" s="17"/>
      <c r="F12151" s="18"/>
      <c r="G12151" s="36" t="str">
        <f>IF(ISNUMBER(F12151),C12151*F12151,"")</f>
        <v/>
      </c>
    </row>
    <row r="12152" spans="1:7" ht="12" customHeight="1" outlineLevel="3" x14ac:dyDescent="0.2">
      <c r="A12152" s="14" t="s">
        <v>23888</v>
      </c>
      <c r="B12152" s="15" t="s">
        <v>23889</v>
      </c>
      <c r="C12152" s="16">
        <f>54.1/(1+B2)</f>
        <v>54.1</v>
      </c>
      <c r="D12152" s="17" t="s">
        <v>11</v>
      </c>
      <c r="E12152" s="17"/>
      <c r="F12152" s="18"/>
      <c r="G12152" s="36" t="str">
        <f>IF(ISNUMBER(F12152),C12152*F12152,"")</f>
        <v/>
      </c>
    </row>
    <row r="12153" spans="1:7" ht="12" customHeight="1" outlineLevel="3" x14ac:dyDescent="0.2">
      <c r="A12153" s="14" t="s">
        <v>23890</v>
      </c>
      <c r="B12153" s="15" t="s">
        <v>23891</v>
      </c>
      <c r="C12153" s="16">
        <f>65.37/(1+B2)</f>
        <v>65.37</v>
      </c>
      <c r="D12153" s="17" t="s">
        <v>53</v>
      </c>
      <c r="E12153" s="17"/>
      <c r="F12153" s="18"/>
      <c r="G12153" s="36" t="str">
        <f>IF(ISNUMBER(F12153),C12153*F12153,"")</f>
        <v/>
      </c>
    </row>
    <row r="12154" spans="1:7" ht="12" customHeight="1" outlineLevel="3" x14ac:dyDescent="0.2">
      <c r="A12154" s="14" t="s">
        <v>23892</v>
      </c>
      <c r="B12154" s="15" t="s">
        <v>23893</v>
      </c>
      <c r="C12154" s="16">
        <f>88.99/(1+B2)</f>
        <v>88.99</v>
      </c>
      <c r="D12154" s="17" t="s">
        <v>53</v>
      </c>
      <c r="E12154" s="17"/>
      <c r="F12154" s="18"/>
      <c r="G12154" s="36" t="str">
        <f>IF(ISNUMBER(F12154),C12154*F12154,"")</f>
        <v/>
      </c>
    </row>
    <row r="12155" spans="1:7" ht="12" customHeight="1" outlineLevel="3" x14ac:dyDescent="0.2">
      <c r="A12155" s="14" t="s">
        <v>23894</v>
      </c>
      <c r="B12155" s="15" t="s">
        <v>23895</v>
      </c>
      <c r="C12155" s="16">
        <f>98.55/(1+B2)</f>
        <v>98.55</v>
      </c>
      <c r="D12155" s="17" t="s">
        <v>53</v>
      </c>
      <c r="E12155" s="17"/>
      <c r="F12155" s="18"/>
      <c r="G12155" s="36" t="str">
        <f>IF(ISNUMBER(F12155),C12155*F12155,"")</f>
        <v/>
      </c>
    </row>
    <row r="12156" spans="1:7" ht="12" customHeight="1" outlineLevel="3" x14ac:dyDescent="0.2">
      <c r="A12156" s="14" t="s">
        <v>23896</v>
      </c>
      <c r="B12156" s="15" t="s">
        <v>23897</v>
      </c>
      <c r="C12156" s="16">
        <f>152.14/(1+B2)</f>
        <v>152.13999999999999</v>
      </c>
      <c r="D12156" s="17" t="s">
        <v>11</v>
      </c>
      <c r="E12156" s="17"/>
      <c r="F12156" s="18"/>
      <c r="G12156" s="36" t="str">
        <f>IF(ISNUMBER(F12156),C12156*F12156,"")</f>
        <v/>
      </c>
    </row>
    <row r="12157" spans="1:7" ht="12" customHeight="1" outlineLevel="3" x14ac:dyDescent="0.2">
      <c r="A12157" s="14" t="s">
        <v>23898</v>
      </c>
      <c r="B12157" s="15" t="s">
        <v>23899</v>
      </c>
      <c r="C12157" s="16">
        <f>72.14/(1+B2)</f>
        <v>72.14</v>
      </c>
      <c r="D12157" s="17" t="s">
        <v>11</v>
      </c>
      <c r="E12157" s="17"/>
      <c r="F12157" s="18"/>
      <c r="G12157" s="36" t="str">
        <f>IF(ISNUMBER(F12157),C12157*F12157,"")</f>
        <v/>
      </c>
    </row>
    <row r="12158" spans="1:7" ht="12" customHeight="1" outlineLevel="3" x14ac:dyDescent="0.2">
      <c r="A12158" s="14" t="s">
        <v>23900</v>
      </c>
      <c r="B12158" s="15" t="s">
        <v>23901</v>
      </c>
      <c r="C12158" s="16">
        <f>103.83/(1+B2)</f>
        <v>103.83</v>
      </c>
      <c r="D12158" s="17" t="s">
        <v>11</v>
      </c>
      <c r="E12158" s="17"/>
      <c r="F12158" s="18"/>
      <c r="G12158" s="36" t="str">
        <f>IF(ISNUMBER(F12158),C12158*F12158,"")</f>
        <v/>
      </c>
    </row>
    <row r="12159" spans="1:7" ht="12" customHeight="1" outlineLevel="3" x14ac:dyDescent="0.2">
      <c r="A12159" s="14" t="s">
        <v>23902</v>
      </c>
      <c r="B12159" s="15" t="s">
        <v>23903</v>
      </c>
      <c r="C12159" s="16">
        <f>111.01/(1+B2)</f>
        <v>111.01</v>
      </c>
      <c r="D12159" s="17" t="s">
        <v>53</v>
      </c>
      <c r="E12159" s="17"/>
      <c r="F12159" s="18"/>
      <c r="G12159" s="36" t="str">
        <f>IF(ISNUMBER(F12159),C12159*F12159,"")</f>
        <v/>
      </c>
    </row>
    <row r="12160" spans="1:7" ht="12" customHeight="1" outlineLevel="3" x14ac:dyDescent="0.2">
      <c r="A12160" s="14" t="s">
        <v>23904</v>
      </c>
      <c r="B12160" s="15" t="s">
        <v>23905</v>
      </c>
      <c r="C12160" s="16">
        <f>257.63/(1+B2)</f>
        <v>257.63</v>
      </c>
      <c r="D12160" s="17" t="s">
        <v>11</v>
      </c>
      <c r="E12160" s="17"/>
      <c r="F12160" s="18"/>
      <c r="G12160" s="36" t="str">
        <f>IF(ISNUMBER(F12160),C12160*F12160,"")</f>
        <v/>
      </c>
    </row>
    <row r="12161" spans="1:7" ht="12" customHeight="1" outlineLevel="3" x14ac:dyDescent="0.2">
      <c r="A12161" s="14" t="s">
        <v>23906</v>
      </c>
      <c r="B12161" s="15" t="s">
        <v>23907</v>
      </c>
      <c r="C12161" s="16">
        <f>147.98/(1+B2)</f>
        <v>147.97999999999999</v>
      </c>
      <c r="D12161" s="17" t="s">
        <v>11</v>
      </c>
      <c r="E12161" s="17"/>
      <c r="F12161" s="18"/>
      <c r="G12161" s="36" t="str">
        <f>IF(ISNUMBER(F12161),C12161*F12161,"")</f>
        <v/>
      </c>
    </row>
    <row r="12162" spans="1:7" ht="12" customHeight="1" outlineLevel="3" x14ac:dyDescent="0.2">
      <c r="A12162" s="14" t="s">
        <v>23908</v>
      </c>
      <c r="B12162" s="15" t="s">
        <v>23909</v>
      </c>
      <c r="C12162" s="16">
        <f>297.32/(1+B2)</f>
        <v>297.32</v>
      </c>
      <c r="D12162" s="17" t="s">
        <v>11</v>
      </c>
      <c r="E12162" s="17"/>
      <c r="F12162" s="18"/>
      <c r="G12162" s="36" t="str">
        <f>IF(ISNUMBER(F12162),C12162*F12162,"")</f>
        <v/>
      </c>
    </row>
    <row r="12163" spans="1:7" ht="12" customHeight="1" outlineLevel="3" x14ac:dyDescent="0.2">
      <c r="A12163" s="14" t="s">
        <v>23910</v>
      </c>
      <c r="B12163" s="15" t="s">
        <v>23911</v>
      </c>
      <c r="C12163" s="16">
        <f>317.13/(1+B2)</f>
        <v>317.13</v>
      </c>
      <c r="D12163" s="17" t="s">
        <v>11</v>
      </c>
      <c r="E12163" s="17"/>
      <c r="F12163" s="18"/>
      <c r="G12163" s="36" t="str">
        <f>IF(ISNUMBER(F12163),C12163*F12163,"")</f>
        <v/>
      </c>
    </row>
    <row r="12164" spans="1:7" ht="12" customHeight="1" outlineLevel="3" x14ac:dyDescent="0.2">
      <c r="A12164" s="14" t="s">
        <v>23912</v>
      </c>
      <c r="B12164" s="15" t="s">
        <v>23913</v>
      </c>
      <c r="C12164" s="16">
        <f>314.95/(1+B2)</f>
        <v>314.95</v>
      </c>
      <c r="D12164" s="17" t="s">
        <v>11</v>
      </c>
      <c r="E12164" s="17"/>
      <c r="F12164" s="18"/>
      <c r="G12164" s="36" t="str">
        <f>IF(ISNUMBER(F12164),C12164*F12164,"")</f>
        <v/>
      </c>
    </row>
    <row r="12165" spans="1:7" ht="12" customHeight="1" outlineLevel="3" x14ac:dyDescent="0.2">
      <c r="A12165" s="14" t="s">
        <v>23914</v>
      </c>
      <c r="B12165" s="15" t="s">
        <v>23915</v>
      </c>
      <c r="C12165" s="16">
        <f>228.66/(1+B2)</f>
        <v>228.66</v>
      </c>
      <c r="D12165" s="17" t="s">
        <v>11</v>
      </c>
      <c r="E12165" s="17"/>
      <c r="F12165" s="18"/>
      <c r="G12165" s="36" t="str">
        <f>IF(ISNUMBER(F12165),C12165*F12165,"")</f>
        <v/>
      </c>
    </row>
    <row r="12166" spans="1:7" ht="12" customHeight="1" outlineLevel="3" x14ac:dyDescent="0.2">
      <c r="A12166" s="14" t="s">
        <v>23916</v>
      </c>
      <c r="B12166" s="15" t="s">
        <v>23917</v>
      </c>
      <c r="C12166" s="16">
        <f>446.91/(1+B2)</f>
        <v>446.91</v>
      </c>
      <c r="D12166" s="17" t="s">
        <v>11</v>
      </c>
      <c r="E12166" s="17"/>
      <c r="F12166" s="18"/>
      <c r="G12166" s="36" t="str">
        <f>IF(ISNUMBER(F12166),C12166*F12166,"")</f>
        <v/>
      </c>
    </row>
    <row r="12167" spans="1:7" ht="12" customHeight="1" outlineLevel="3" x14ac:dyDescent="0.2">
      <c r="A12167" s="14" t="s">
        <v>23918</v>
      </c>
      <c r="B12167" s="15" t="s">
        <v>23919</v>
      </c>
      <c r="C12167" s="16">
        <f>76.04/(1+B2)</f>
        <v>76.040000000000006</v>
      </c>
      <c r="D12167" s="17" t="s">
        <v>11</v>
      </c>
      <c r="E12167" s="17"/>
      <c r="F12167" s="18"/>
      <c r="G12167" s="36" t="str">
        <f>IF(ISNUMBER(F12167),C12167*F12167,"")</f>
        <v/>
      </c>
    </row>
    <row r="12168" spans="1:7" ht="12" customHeight="1" outlineLevel="3" x14ac:dyDescent="0.2">
      <c r="A12168" s="14" t="s">
        <v>23920</v>
      </c>
      <c r="B12168" s="15" t="s">
        <v>23921</v>
      </c>
      <c r="C12168" s="16">
        <f>76.04/(1+B2)</f>
        <v>76.040000000000006</v>
      </c>
      <c r="D12168" s="17" t="s">
        <v>11</v>
      </c>
      <c r="E12168" s="17"/>
      <c r="F12168" s="18"/>
      <c r="G12168" s="36" t="str">
        <f>IF(ISNUMBER(F12168),C12168*F12168,"")</f>
        <v/>
      </c>
    </row>
    <row r="12169" spans="1:7" ht="12" customHeight="1" outlineLevel="3" x14ac:dyDescent="0.2">
      <c r="A12169" s="14" t="s">
        <v>23922</v>
      </c>
      <c r="B12169" s="15" t="s">
        <v>23923</v>
      </c>
      <c r="C12169" s="16">
        <f>41.44/(1+B2)</f>
        <v>41.44</v>
      </c>
      <c r="D12169" s="17" t="s">
        <v>53</v>
      </c>
      <c r="E12169" s="17"/>
      <c r="F12169" s="18"/>
      <c r="G12169" s="36" t="str">
        <f>IF(ISNUMBER(F12169),C12169*F12169,"")</f>
        <v/>
      </c>
    </row>
    <row r="12170" spans="1:7" ht="12" customHeight="1" outlineLevel="3" x14ac:dyDescent="0.2">
      <c r="A12170" s="14" t="s">
        <v>23924</v>
      </c>
      <c r="B12170" s="15" t="s">
        <v>23925</v>
      </c>
      <c r="C12170" s="16">
        <f>49.04/(1+B2)</f>
        <v>49.04</v>
      </c>
      <c r="D12170" s="17" t="s">
        <v>53</v>
      </c>
      <c r="E12170" s="17"/>
      <c r="F12170" s="18"/>
      <c r="G12170" s="36" t="str">
        <f>IF(ISNUMBER(F12170),C12170*F12170,"")</f>
        <v/>
      </c>
    </row>
    <row r="12171" spans="1:7" ht="12" customHeight="1" outlineLevel="3" x14ac:dyDescent="0.2">
      <c r="A12171" s="14" t="s">
        <v>23926</v>
      </c>
      <c r="B12171" s="15" t="s">
        <v>23927</v>
      </c>
      <c r="C12171" s="16">
        <f>69.96/(1+B2)</f>
        <v>69.959999999999994</v>
      </c>
      <c r="D12171" s="17" t="s">
        <v>11</v>
      </c>
      <c r="E12171" s="17"/>
      <c r="F12171" s="18"/>
      <c r="G12171" s="36" t="str">
        <f>IF(ISNUMBER(F12171),C12171*F12171,"")</f>
        <v/>
      </c>
    </row>
    <row r="12172" spans="1:7" ht="12" customHeight="1" outlineLevel="3" x14ac:dyDescent="0.2">
      <c r="A12172" s="14" t="s">
        <v>23928</v>
      </c>
      <c r="B12172" s="15" t="s">
        <v>23929</v>
      </c>
      <c r="C12172" s="16">
        <f>87.51/(1+B2)</f>
        <v>87.51</v>
      </c>
      <c r="D12172" s="17" t="s">
        <v>14</v>
      </c>
      <c r="E12172" s="17"/>
      <c r="F12172" s="18"/>
      <c r="G12172" s="36" t="str">
        <f>IF(ISNUMBER(F12172),C12172*F12172,"")</f>
        <v/>
      </c>
    </row>
    <row r="12173" spans="1:7" ht="12" customHeight="1" outlineLevel="3" x14ac:dyDescent="0.2">
      <c r="A12173" s="14" t="s">
        <v>23930</v>
      </c>
      <c r="B12173" s="15" t="s">
        <v>23931</v>
      </c>
      <c r="C12173" s="16">
        <f>52.58/(1+B2)</f>
        <v>52.58</v>
      </c>
      <c r="D12173" s="17" t="s">
        <v>11</v>
      </c>
      <c r="E12173" s="17"/>
      <c r="F12173" s="18"/>
      <c r="G12173" s="36" t="str">
        <f>IF(ISNUMBER(F12173),C12173*F12173,"")</f>
        <v/>
      </c>
    </row>
    <row r="12174" spans="1:7" ht="12" customHeight="1" outlineLevel="3" x14ac:dyDescent="0.2">
      <c r="A12174" s="14" t="s">
        <v>23932</v>
      </c>
      <c r="B12174" s="15" t="s">
        <v>23933</v>
      </c>
      <c r="C12174" s="16">
        <f>60.93/(1+B2)</f>
        <v>60.93</v>
      </c>
      <c r="D12174" s="17" t="s">
        <v>14</v>
      </c>
      <c r="E12174" s="17"/>
      <c r="F12174" s="18"/>
      <c r="G12174" s="36" t="str">
        <f>IF(ISNUMBER(F12174),C12174*F12174,"")</f>
        <v/>
      </c>
    </row>
    <row r="12175" spans="1:7" ht="12" customHeight="1" outlineLevel="3" x14ac:dyDescent="0.2">
      <c r="A12175" s="14" t="s">
        <v>23934</v>
      </c>
      <c r="B12175" s="15" t="s">
        <v>23935</v>
      </c>
      <c r="C12175" s="16">
        <f>87.96/(1+B2)</f>
        <v>87.96</v>
      </c>
      <c r="D12175" s="17" t="s">
        <v>11</v>
      </c>
      <c r="E12175" s="17"/>
      <c r="F12175" s="18"/>
      <c r="G12175" s="36" t="str">
        <f>IF(ISNUMBER(F12175),C12175*F12175,"")</f>
        <v/>
      </c>
    </row>
    <row r="12176" spans="1:7" ht="12" customHeight="1" outlineLevel="3" x14ac:dyDescent="0.2">
      <c r="A12176" s="14" t="s">
        <v>23936</v>
      </c>
      <c r="B12176" s="15" t="s">
        <v>23937</v>
      </c>
      <c r="C12176" s="16">
        <f>134.54/(1+B2)</f>
        <v>134.54</v>
      </c>
      <c r="D12176" s="17" t="s">
        <v>11</v>
      </c>
      <c r="E12176" s="17"/>
      <c r="F12176" s="18"/>
      <c r="G12176" s="36" t="str">
        <f>IF(ISNUMBER(F12176),C12176*F12176,"")</f>
        <v/>
      </c>
    </row>
    <row r="12177" spans="1:7" ht="12" customHeight="1" outlineLevel="3" x14ac:dyDescent="0.2">
      <c r="A12177" s="14" t="s">
        <v>23938</v>
      </c>
      <c r="B12177" s="15" t="s">
        <v>23939</v>
      </c>
      <c r="C12177" s="16">
        <f>138.72/(1+B2)</f>
        <v>138.72</v>
      </c>
      <c r="D12177" s="17" t="s">
        <v>11</v>
      </c>
      <c r="E12177" s="17"/>
      <c r="F12177" s="18"/>
      <c r="G12177" s="36" t="str">
        <f>IF(ISNUMBER(F12177),C12177*F12177,"")</f>
        <v/>
      </c>
    </row>
    <row r="12178" spans="1:7" ht="12" customHeight="1" outlineLevel="3" x14ac:dyDescent="0.2">
      <c r="A12178" s="14" t="s">
        <v>23940</v>
      </c>
      <c r="B12178" s="15" t="s">
        <v>23941</v>
      </c>
      <c r="C12178" s="16">
        <f>56.16/(1+B2)</f>
        <v>56.16</v>
      </c>
      <c r="D12178" s="17" t="s">
        <v>11</v>
      </c>
      <c r="E12178" s="17"/>
      <c r="F12178" s="18"/>
      <c r="G12178" s="36" t="str">
        <f>IF(ISNUMBER(F12178),C12178*F12178,"")</f>
        <v/>
      </c>
    </row>
    <row r="12179" spans="1:7" s="1" customFormat="1" ht="12.95" customHeight="1" outlineLevel="2" x14ac:dyDescent="0.2">
      <c r="A12179" s="20"/>
      <c r="B12179" s="21" t="s">
        <v>23942</v>
      </c>
      <c r="C12179" s="22"/>
      <c r="D12179" s="22"/>
      <c r="E12179" s="22"/>
      <c r="F12179" s="22"/>
      <c r="G12179" s="37"/>
    </row>
    <row r="12180" spans="1:7" ht="12" customHeight="1" outlineLevel="3" x14ac:dyDescent="0.2">
      <c r="A12180" s="14" t="s">
        <v>23943</v>
      </c>
      <c r="B12180" s="15" t="s">
        <v>23944</v>
      </c>
      <c r="C12180" s="16">
        <f>58.99/(1+B2)</f>
        <v>58.99</v>
      </c>
      <c r="D12180" s="17" t="s">
        <v>11</v>
      </c>
      <c r="E12180" s="17" t="s">
        <v>53</v>
      </c>
      <c r="F12180" s="18"/>
      <c r="G12180" s="36" t="str">
        <f>IF(ISNUMBER(F12180),C12180*F12180,"")</f>
        <v/>
      </c>
    </row>
    <row r="12181" spans="1:7" ht="12" customHeight="1" outlineLevel="3" x14ac:dyDescent="0.2">
      <c r="A12181" s="14" t="s">
        <v>23945</v>
      </c>
      <c r="B12181" s="15" t="s">
        <v>23946</v>
      </c>
      <c r="C12181" s="16">
        <f>33.98/(1+B2)</f>
        <v>33.979999999999997</v>
      </c>
      <c r="D12181" s="17" t="s">
        <v>53</v>
      </c>
      <c r="E12181" s="17" t="s">
        <v>106</v>
      </c>
      <c r="F12181" s="18"/>
      <c r="G12181" s="36" t="str">
        <f>IF(ISNUMBER(F12181),C12181*F12181,"")</f>
        <v/>
      </c>
    </row>
    <row r="12182" spans="1:7" ht="12" customHeight="1" outlineLevel="3" x14ac:dyDescent="0.2">
      <c r="A12182" s="14" t="s">
        <v>23947</v>
      </c>
      <c r="B12182" s="15" t="s">
        <v>23948</v>
      </c>
      <c r="C12182" s="16">
        <f>55.85/(1+B2)</f>
        <v>55.85</v>
      </c>
      <c r="D12182" s="17" t="s">
        <v>11</v>
      </c>
      <c r="E12182" s="17" t="s">
        <v>106</v>
      </c>
      <c r="F12182" s="18"/>
      <c r="G12182" s="36" t="str">
        <f>IF(ISNUMBER(F12182),C12182*F12182,"")</f>
        <v/>
      </c>
    </row>
    <row r="12183" spans="1:7" ht="12" customHeight="1" outlineLevel="3" x14ac:dyDescent="0.2">
      <c r="A12183" s="14" t="s">
        <v>23949</v>
      </c>
      <c r="B12183" s="15" t="s">
        <v>23950</v>
      </c>
      <c r="C12183" s="16">
        <f>66.67/(1+B2)</f>
        <v>66.67</v>
      </c>
      <c r="D12183" s="17" t="s">
        <v>53</v>
      </c>
      <c r="E12183" s="17" t="s">
        <v>53</v>
      </c>
      <c r="F12183" s="18"/>
      <c r="G12183" s="36" t="str">
        <f>IF(ISNUMBER(F12183),C12183*F12183,"")</f>
        <v/>
      </c>
    </row>
    <row r="12184" spans="1:7" ht="12" customHeight="1" outlineLevel="3" x14ac:dyDescent="0.2">
      <c r="A12184" s="14" t="s">
        <v>23951</v>
      </c>
      <c r="B12184" s="15" t="s">
        <v>23952</v>
      </c>
      <c r="C12184" s="16">
        <f>99.25/(1+B2)</f>
        <v>99.25</v>
      </c>
      <c r="D12184" s="17" t="s">
        <v>11</v>
      </c>
      <c r="E12184" s="17"/>
      <c r="F12184" s="18"/>
      <c r="G12184" s="36" t="str">
        <f>IF(ISNUMBER(F12184),C12184*F12184,"")</f>
        <v/>
      </c>
    </row>
    <row r="12185" spans="1:7" ht="12" customHeight="1" outlineLevel="3" x14ac:dyDescent="0.2">
      <c r="A12185" s="14" t="s">
        <v>23953</v>
      </c>
      <c r="B12185" s="15" t="s">
        <v>23954</v>
      </c>
      <c r="C12185" s="16">
        <f>99.39/(1+B2)</f>
        <v>99.39</v>
      </c>
      <c r="D12185" s="17" t="s">
        <v>14</v>
      </c>
      <c r="E12185" s="17"/>
      <c r="F12185" s="18"/>
      <c r="G12185" s="36" t="str">
        <f>IF(ISNUMBER(F12185),C12185*F12185,"")</f>
        <v/>
      </c>
    </row>
    <row r="12186" spans="1:7" ht="12" customHeight="1" outlineLevel="3" x14ac:dyDescent="0.2">
      <c r="A12186" s="14" t="s">
        <v>23955</v>
      </c>
      <c r="B12186" s="15" t="s">
        <v>23956</v>
      </c>
      <c r="C12186" s="16">
        <f>81.5/(1+B2)</f>
        <v>81.5</v>
      </c>
      <c r="D12186" s="17" t="s">
        <v>11</v>
      </c>
      <c r="E12186" s="17" t="s">
        <v>106</v>
      </c>
      <c r="F12186" s="18"/>
      <c r="G12186" s="36" t="str">
        <f>IF(ISNUMBER(F12186),C12186*F12186,"")</f>
        <v/>
      </c>
    </row>
    <row r="12187" spans="1:7" s="1" customFormat="1" ht="15.95" customHeight="1" outlineLevel="1" x14ac:dyDescent="0.25">
      <c r="A12187" s="11"/>
      <c r="B12187" s="12" t="s">
        <v>23957</v>
      </c>
      <c r="C12187" s="13"/>
      <c r="D12187" s="13"/>
      <c r="E12187" s="13"/>
      <c r="F12187" s="13"/>
      <c r="G12187" s="35"/>
    </row>
    <row r="12188" spans="1:7" ht="12" customHeight="1" outlineLevel="2" x14ac:dyDescent="0.2">
      <c r="A12188" s="14" t="s">
        <v>23958</v>
      </c>
      <c r="B12188" s="15" t="s">
        <v>23959</v>
      </c>
      <c r="C12188" s="16">
        <f>81.12/(1+B2)</f>
        <v>81.12</v>
      </c>
      <c r="D12188" s="17" t="s">
        <v>14</v>
      </c>
      <c r="E12188" s="17"/>
      <c r="F12188" s="18"/>
      <c r="G12188" s="36" t="str">
        <f>IF(ISNUMBER(F12188),C12188*F12188,"")</f>
        <v/>
      </c>
    </row>
    <row r="12189" spans="1:7" ht="12" customHeight="1" outlineLevel="2" x14ac:dyDescent="0.2">
      <c r="A12189" s="14" t="s">
        <v>23960</v>
      </c>
      <c r="B12189" s="15" t="s">
        <v>23961</v>
      </c>
      <c r="C12189" s="16">
        <f>71.69/(1+B2)</f>
        <v>71.69</v>
      </c>
      <c r="D12189" s="17" t="s">
        <v>14</v>
      </c>
      <c r="E12189" s="17"/>
      <c r="F12189" s="18"/>
      <c r="G12189" s="36" t="str">
        <f>IF(ISNUMBER(F12189),C12189*F12189,"")</f>
        <v/>
      </c>
    </row>
    <row r="12190" spans="1:7" ht="12" customHeight="1" outlineLevel="2" x14ac:dyDescent="0.2">
      <c r="A12190" s="14" t="s">
        <v>23962</v>
      </c>
      <c r="B12190" s="15" t="s">
        <v>23963</v>
      </c>
      <c r="C12190" s="16">
        <f>103.24/(1+B2)</f>
        <v>103.24</v>
      </c>
      <c r="D12190" s="17" t="s">
        <v>11</v>
      </c>
      <c r="E12190" s="17"/>
      <c r="F12190" s="18"/>
      <c r="G12190" s="36" t="str">
        <f>IF(ISNUMBER(F12190),C12190*F12190,"")</f>
        <v/>
      </c>
    </row>
    <row r="12191" spans="1:7" ht="12" customHeight="1" outlineLevel="2" x14ac:dyDescent="0.2">
      <c r="A12191" s="14" t="s">
        <v>23964</v>
      </c>
      <c r="B12191" s="15" t="s">
        <v>23965</v>
      </c>
      <c r="C12191" s="16">
        <f>287.06/(1+B2)</f>
        <v>287.06</v>
      </c>
      <c r="D12191" s="17" t="s">
        <v>11</v>
      </c>
      <c r="E12191" s="17"/>
      <c r="F12191" s="18"/>
      <c r="G12191" s="36" t="str">
        <f>IF(ISNUMBER(F12191),C12191*F12191,"")</f>
        <v/>
      </c>
    </row>
    <row r="12192" spans="1:7" ht="12" customHeight="1" outlineLevel="2" x14ac:dyDescent="0.2">
      <c r="A12192" s="14" t="s">
        <v>23966</v>
      </c>
      <c r="B12192" s="15" t="s">
        <v>23967</v>
      </c>
      <c r="C12192" s="16">
        <f>370.17/(1+B2)</f>
        <v>370.17</v>
      </c>
      <c r="D12192" s="17" t="s">
        <v>11</v>
      </c>
      <c r="E12192" s="17"/>
      <c r="F12192" s="18"/>
      <c r="G12192" s="36" t="str">
        <f>IF(ISNUMBER(F12192),C12192*F12192,"")</f>
        <v/>
      </c>
    </row>
    <row r="12193" spans="1:7" ht="12" customHeight="1" outlineLevel="2" x14ac:dyDescent="0.2">
      <c r="A12193" s="14" t="s">
        <v>23968</v>
      </c>
      <c r="B12193" s="15" t="s">
        <v>23969</v>
      </c>
      <c r="C12193" s="16">
        <f>393.52/(1+B2)</f>
        <v>393.52</v>
      </c>
      <c r="D12193" s="17" t="s">
        <v>11</v>
      </c>
      <c r="E12193" s="17"/>
      <c r="F12193" s="18"/>
      <c r="G12193" s="36" t="str">
        <f>IF(ISNUMBER(F12193),C12193*F12193,"")</f>
        <v/>
      </c>
    </row>
    <row r="12194" spans="1:7" ht="12" customHeight="1" outlineLevel="2" x14ac:dyDescent="0.2">
      <c r="A12194" s="14" t="s">
        <v>23970</v>
      </c>
      <c r="B12194" s="15" t="s">
        <v>23971</v>
      </c>
      <c r="C12194" s="16">
        <f>626.49/(1+B2)</f>
        <v>626.49</v>
      </c>
      <c r="D12194" s="17" t="s">
        <v>11</v>
      </c>
      <c r="E12194" s="17"/>
      <c r="F12194" s="18"/>
      <c r="G12194" s="36" t="str">
        <f>IF(ISNUMBER(F12194),C12194*F12194,"")</f>
        <v/>
      </c>
    </row>
    <row r="12195" spans="1:7" ht="12" customHeight="1" outlineLevel="2" x14ac:dyDescent="0.2">
      <c r="A12195" s="14" t="s">
        <v>23972</v>
      </c>
      <c r="B12195" s="15" t="s">
        <v>23973</v>
      </c>
      <c r="C12195" s="16">
        <f>246.3/(1+B2)</f>
        <v>246.3</v>
      </c>
      <c r="D12195" s="17" t="s">
        <v>11</v>
      </c>
      <c r="E12195" s="17"/>
      <c r="F12195" s="18"/>
      <c r="G12195" s="36" t="str">
        <f>IF(ISNUMBER(F12195),C12195*F12195,"")</f>
        <v/>
      </c>
    </row>
    <row r="12196" spans="1:7" ht="12" customHeight="1" outlineLevel="2" x14ac:dyDescent="0.2">
      <c r="A12196" s="14" t="s">
        <v>23974</v>
      </c>
      <c r="B12196" s="15" t="s">
        <v>23975</v>
      </c>
      <c r="C12196" s="16">
        <f>300.08/(1+B2)</f>
        <v>300.08</v>
      </c>
      <c r="D12196" s="17" t="s">
        <v>11</v>
      </c>
      <c r="E12196" s="17" t="s">
        <v>11</v>
      </c>
      <c r="F12196" s="18"/>
      <c r="G12196" s="36" t="str">
        <f>IF(ISNUMBER(F12196),C12196*F12196,"")</f>
        <v/>
      </c>
    </row>
    <row r="12197" spans="1:7" ht="12" customHeight="1" outlineLevel="2" x14ac:dyDescent="0.2">
      <c r="A12197" s="14" t="s">
        <v>23976</v>
      </c>
      <c r="B12197" s="15" t="s">
        <v>23977</v>
      </c>
      <c r="C12197" s="16">
        <f>307.88/(1+B2)</f>
        <v>307.88</v>
      </c>
      <c r="D12197" s="17" t="s">
        <v>11</v>
      </c>
      <c r="E12197" s="17"/>
      <c r="F12197" s="18"/>
      <c r="G12197" s="36" t="str">
        <f>IF(ISNUMBER(F12197),C12197*F12197,"")</f>
        <v/>
      </c>
    </row>
    <row r="12198" spans="1:7" ht="12" customHeight="1" outlineLevel="2" x14ac:dyDescent="0.2">
      <c r="A12198" s="14" t="s">
        <v>23978</v>
      </c>
      <c r="B12198" s="15" t="s">
        <v>23979</v>
      </c>
      <c r="C12198" s="16">
        <f>213.44/(1+B2)</f>
        <v>213.44</v>
      </c>
      <c r="D12198" s="17" t="s">
        <v>11</v>
      </c>
      <c r="E12198" s="17"/>
      <c r="F12198" s="18"/>
      <c r="G12198" s="36" t="str">
        <f>IF(ISNUMBER(F12198),C12198*F12198,"")</f>
        <v/>
      </c>
    </row>
    <row r="12199" spans="1:7" ht="12" customHeight="1" outlineLevel="2" x14ac:dyDescent="0.2">
      <c r="A12199" s="14" t="s">
        <v>23980</v>
      </c>
      <c r="B12199" s="15" t="s">
        <v>23981</v>
      </c>
      <c r="C12199" s="16">
        <f>321.46/(1+B2)</f>
        <v>321.45999999999998</v>
      </c>
      <c r="D12199" s="17" t="s">
        <v>11</v>
      </c>
      <c r="E12199" s="17"/>
      <c r="F12199" s="18"/>
      <c r="G12199" s="36" t="str">
        <f>IF(ISNUMBER(F12199),C12199*F12199,"")</f>
        <v/>
      </c>
    </row>
    <row r="12200" spans="1:7" ht="24" customHeight="1" outlineLevel="2" x14ac:dyDescent="0.2">
      <c r="A12200" s="14" t="s">
        <v>23982</v>
      </c>
      <c r="B12200" s="15" t="s">
        <v>23983</v>
      </c>
      <c r="C12200" s="16">
        <f>259.42/(1+B2)</f>
        <v>259.42</v>
      </c>
      <c r="D12200" s="17" t="s">
        <v>11</v>
      </c>
      <c r="E12200" s="17"/>
      <c r="F12200" s="18"/>
      <c r="G12200" s="36" t="str">
        <f>IF(ISNUMBER(F12200),C12200*F12200,"")</f>
        <v/>
      </c>
    </row>
    <row r="12201" spans="1:7" ht="12" customHeight="1" outlineLevel="2" x14ac:dyDescent="0.2">
      <c r="A12201" s="14" t="s">
        <v>23984</v>
      </c>
      <c r="B12201" s="15" t="s">
        <v>23985</v>
      </c>
      <c r="C12201" s="16">
        <f>811.69/(1+B2)</f>
        <v>811.69</v>
      </c>
      <c r="D12201" s="17" t="s">
        <v>11</v>
      </c>
      <c r="E12201" s="17"/>
      <c r="F12201" s="18"/>
      <c r="G12201" s="36" t="str">
        <f>IF(ISNUMBER(F12201),C12201*F12201,"")</f>
        <v/>
      </c>
    </row>
    <row r="12202" spans="1:7" ht="12" customHeight="1" outlineLevel="2" x14ac:dyDescent="0.2">
      <c r="A12202" s="14" t="s">
        <v>23986</v>
      </c>
      <c r="B12202" s="15" t="s">
        <v>23987</v>
      </c>
      <c r="C12202" s="16">
        <f>318.14/(1+B2)</f>
        <v>318.14</v>
      </c>
      <c r="D12202" s="17" t="s">
        <v>11</v>
      </c>
      <c r="E12202" s="17"/>
      <c r="F12202" s="18"/>
      <c r="G12202" s="36" t="str">
        <f>IF(ISNUMBER(F12202),C12202*F12202,"")</f>
        <v/>
      </c>
    </row>
    <row r="12203" spans="1:7" s="1" customFormat="1" ht="15.95" customHeight="1" outlineLevel="1" x14ac:dyDescent="0.25">
      <c r="A12203" s="11"/>
      <c r="B12203" s="12" t="s">
        <v>23988</v>
      </c>
      <c r="C12203" s="13"/>
      <c r="D12203" s="13"/>
      <c r="E12203" s="13"/>
      <c r="F12203" s="13"/>
      <c r="G12203" s="35"/>
    </row>
    <row r="12204" spans="1:7" ht="12" customHeight="1" outlineLevel="2" x14ac:dyDescent="0.2">
      <c r="A12204" s="14" t="s">
        <v>23989</v>
      </c>
      <c r="B12204" s="15" t="s">
        <v>23990</v>
      </c>
      <c r="C12204" s="16">
        <f>69.77/(1+B2)</f>
        <v>69.77</v>
      </c>
      <c r="D12204" s="17" t="s">
        <v>53</v>
      </c>
      <c r="E12204" s="17"/>
      <c r="F12204" s="18"/>
      <c r="G12204" s="36" t="str">
        <f>IF(ISNUMBER(F12204),C12204*F12204,"")</f>
        <v/>
      </c>
    </row>
    <row r="12205" spans="1:7" ht="12" customHeight="1" outlineLevel="2" x14ac:dyDescent="0.2">
      <c r="A12205" s="14" t="s">
        <v>23991</v>
      </c>
      <c r="B12205" s="15" t="s">
        <v>23992</v>
      </c>
      <c r="C12205" s="16">
        <f>80.36/(1+B2)</f>
        <v>80.36</v>
      </c>
      <c r="D12205" s="17" t="s">
        <v>14</v>
      </c>
      <c r="E12205" s="17"/>
      <c r="F12205" s="18"/>
      <c r="G12205" s="36" t="str">
        <f>IF(ISNUMBER(F12205),C12205*F12205,"")</f>
        <v/>
      </c>
    </row>
    <row r="12206" spans="1:7" ht="12" customHeight="1" outlineLevel="2" x14ac:dyDescent="0.2">
      <c r="A12206" s="14" t="s">
        <v>23993</v>
      </c>
      <c r="B12206" s="15" t="s">
        <v>23994</v>
      </c>
      <c r="C12206" s="16">
        <f>115.21/(1+B2)</f>
        <v>115.21</v>
      </c>
      <c r="D12206" s="17" t="s">
        <v>53</v>
      </c>
      <c r="E12206" s="17"/>
      <c r="F12206" s="18"/>
      <c r="G12206" s="36" t="str">
        <f>IF(ISNUMBER(F12206),C12206*F12206,"")</f>
        <v/>
      </c>
    </row>
    <row r="12207" spans="1:7" ht="12" customHeight="1" outlineLevel="2" x14ac:dyDescent="0.2">
      <c r="A12207" s="14" t="s">
        <v>23995</v>
      </c>
      <c r="B12207" s="15" t="s">
        <v>23996</v>
      </c>
      <c r="C12207" s="16">
        <f>431.77/(1+B2)</f>
        <v>431.77</v>
      </c>
      <c r="D12207" s="17" t="s">
        <v>11</v>
      </c>
      <c r="E12207" s="17"/>
      <c r="F12207" s="18"/>
      <c r="G12207" s="36" t="str">
        <f>IF(ISNUMBER(F12207),C12207*F12207,"")</f>
        <v/>
      </c>
    </row>
    <row r="12208" spans="1:7" ht="12" customHeight="1" outlineLevel="2" x14ac:dyDescent="0.2">
      <c r="A12208" s="14" t="s">
        <v>23997</v>
      </c>
      <c r="B12208" s="15" t="s">
        <v>23998</v>
      </c>
      <c r="C12208" s="16">
        <f>498.57/(1+B2)</f>
        <v>498.57</v>
      </c>
      <c r="D12208" s="17" t="s">
        <v>11</v>
      </c>
      <c r="E12208" s="17"/>
      <c r="F12208" s="18"/>
      <c r="G12208" s="36" t="str">
        <f>IF(ISNUMBER(F12208),C12208*F12208,"")</f>
        <v/>
      </c>
    </row>
    <row r="12209" spans="1:7" ht="12" customHeight="1" outlineLevel="2" x14ac:dyDescent="0.2">
      <c r="A12209" s="14" t="s">
        <v>23999</v>
      </c>
      <c r="B12209" s="15" t="s">
        <v>24000</v>
      </c>
      <c r="C12209" s="16">
        <f>520.83/(1+B2)</f>
        <v>520.83000000000004</v>
      </c>
      <c r="D12209" s="17" t="s">
        <v>11</v>
      </c>
      <c r="E12209" s="17"/>
      <c r="F12209" s="18"/>
      <c r="G12209" s="36" t="str">
        <f>IF(ISNUMBER(F12209),C12209*F12209,"")</f>
        <v/>
      </c>
    </row>
    <row r="12210" spans="1:7" ht="12" customHeight="1" outlineLevel="2" x14ac:dyDescent="0.2">
      <c r="A12210" s="14" t="s">
        <v>24001</v>
      </c>
      <c r="B12210" s="15" t="s">
        <v>24002</v>
      </c>
      <c r="C12210" s="16">
        <f>576.01/(1+B2)</f>
        <v>576.01</v>
      </c>
      <c r="D12210" s="17" t="s">
        <v>11</v>
      </c>
      <c r="E12210" s="17"/>
      <c r="F12210" s="18"/>
      <c r="G12210" s="36" t="str">
        <f>IF(ISNUMBER(F12210),C12210*F12210,"")</f>
        <v/>
      </c>
    </row>
    <row r="12211" spans="1:7" ht="12" customHeight="1" outlineLevel="2" x14ac:dyDescent="0.2">
      <c r="A12211" s="14" t="s">
        <v>24003</v>
      </c>
      <c r="B12211" s="15" t="s">
        <v>24004</v>
      </c>
      <c r="C12211" s="16">
        <f>665.08/(1+B2)</f>
        <v>665.08</v>
      </c>
      <c r="D12211" s="17" t="s">
        <v>11</v>
      </c>
      <c r="E12211" s="17"/>
      <c r="F12211" s="18"/>
      <c r="G12211" s="36" t="str">
        <f>IF(ISNUMBER(F12211),C12211*F12211,"")</f>
        <v/>
      </c>
    </row>
    <row r="12212" spans="1:7" ht="12" customHeight="1" outlineLevel="2" x14ac:dyDescent="0.2">
      <c r="A12212" s="14" t="s">
        <v>24005</v>
      </c>
      <c r="B12212" s="15" t="s">
        <v>24006</v>
      </c>
      <c r="C12212" s="16">
        <f>742.52/(1+B2)</f>
        <v>742.52</v>
      </c>
      <c r="D12212" s="17" t="s">
        <v>11</v>
      </c>
      <c r="E12212" s="17"/>
      <c r="F12212" s="18"/>
      <c r="G12212" s="36" t="str">
        <f>IF(ISNUMBER(F12212),C12212*F12212,"")</f>
        <v/>
      </c>
    </row>
    <row r="12213" spans="1:7" ht="12" customHeight="1" outlineLevel="2" x14ac:dyDescent="0.2">
      <c r="A12213" s="14" t="s">
        <v>24007</v>
      </c>
      <c r="B12213" s="15" t="s">
        <v>24008</v>
      </c>
      <c r="C12213" s="16">
        <f>819.97/(1+B2)</f>
        <v>819.97</v>
      </c>
      <c r="D12213" s="17" t="s">
        <v>11</v>
      </c>
      <c r="E12213" s="17"/>
      <c r="F12213" s="18"/>
      <c r="G12213" s="36" t="str">
        <f>IF(ISNUMBER(F12213),C12213*F12213,"")</f>
        <v/>
      </c>
    </row>
    <row r="12214" spans="1:7" ht="12" customHeight="1" outlineLevel="2" x14ac:dyDescent="0.2">
      <c r="A12214" s="14" t="s">
        <v>24009</v>
      </c>
      <c r="B12214" s="15" t="s">
        <v>24010</v>
      </c>
      <c r="C12214" s="16">
        <f>337.14/(1+B2)</f>
        <v>337.14</v>
      </c>
      <c r="D12214" s="17" t="s">
        <v>11</v>
      </c>
      <c r="E12214" s="17"/>
      <c r="F12214" s="18"/>
      <c r="G12214" s="36" t="str">
        <f>IF(ISNUMBER(F12214),C12214*F12214,"")</f>
        <v/>
      </c>
    </row>
    <row r="12215" spans="1:7" ht="12" customHeight="1" outlineLevel="2" x14ac:dyDescent="0.2">
      <c r="A12215" s="14" t="s">
        <v>24011</v>
      </c>
      <c r="B12215" s="15" t="s">
        <v>24012</v>
      </c>
      <c r="C12215" s="16">
        <f>874.75/(1+B2)</f>
        <v>874.75</v>
      </c>
      <c r="D12215" s="17" t="s">
        <v>11</v>
      </c>
      <c r="E12215" s="17"/>
      <c r="F12215" s="18"/>
      <c r="G12215" s="36" t="str">
        <f>IF(ISNUMBER(F12215),C12215*F12215,"")</f>
        <v/>
      </c>
    </row>
    <row r="12216" spans="1:7" ht="12" customHeight="1" outlineLevel="2" x14ac:dyDescent="0.2">
      <c r="A12216" s="14" t="s">
        <v>24013</v>
      </c>
      <c r="B12216" s="15" t="s">
        <v>24014</v>
      </c>
      <c r="C12216" s="16">
        <f>491.61/(1+B2)</f>
        <v>491.61</v>
      </c>
      <c r="D12216" s="17" t="s">
        <v>11</v>
      </c>
      <c r="E12216" s="17" t="s">
        <v>11</v>
      </c>
      <c r="F12216" s="18"/>
      <c r="G12216" s="36" t="str">
        <f>IF(ISNUMBER(F12216),C12216*F12216,"")</f>
        <v/>
      </c>
    </row>
    <row r="12217" spans="1:7" ht="12" customHeight="1" outlineLevel="2" x14ac:dyDescent="0.2">
      <c r="A12217" s="14" t="s">
        <v>24015</v>
      </c>
      <c r="B12217" s="15" t="s">
        <v>24016</v>
      </c>
      <c r="C12217" s="16">
        <f>440.13/(1+B2)</f>
        <v>440.13</v>
      </c>
      <c r="D12217" s="17" t="s">
        <v>11</v>
      </c>
      <c r="E12217" s="17" t="s">
        <v>11</v>
      </c>
      <c r="F12217" s="18"/>
      <c r="G12217" s="36" t="str">
        <f>IF(ISNUMBER(F12217),C12217*F12217,"")</f>
        <v/>
      </c>
    </row>
    <row r="12218" spans="1:7" ht="12" customHeight="1" outlineLevel="2" x14ac:dyDescent="0.2">
      <c r="A12218" s="14" t="s">
        <v>24017</v>
      </c>
      <c r="B12218" s="15" t="s">
        <v>24018</v>
      </c>
      <c r="C12218" s="16">
        <f>440.13/(1+B2)</f>
        <v>440.13</v>
      </c>
      <c r="D12218" s="17" t="s">
        <v>11</v>
      </c>
      <c r="E12218" s="17" t="s">
        <v>11</v>
      </c>
      <c r="F12218" s="18"/>
      <c r="G12218" s="36" t="str">
        <f>IF(ISNUMBER(F12218),C12218*F12218,"")</f>
        <v/>
      </c>
    </row>
    <row r="12219" spans="1:7" ht="12" customHeight="1" outlineLevel="2" x14ac:dyDescent="0.2">
      <c r="A12219" s="14" t="s">
        <v>24019</v>
      </c>
      <c r="B12219" s="15" t="s">
        <v>24020</v>
      </c>
      <c r="C12219" s="16">
        <f>680.94/(1+B2)</f>
        <v>680.94</v>
      </c>
      <c r="D12219" s="17" t="s">
        <v>11</v>
      </c>
      <c r="E12219" s="17" t="s">
        <v>11</v>
      </c>
      <c r="F12219" s="18"/>
      <c r="G12219" s="36" t="str">
        <f>IF(ISNUMBER(F12219),C12219*F12219,"")</f>
        <v/>
      </c>
    </row>
    <row r="12220" spans="1:7" ht="12" customHeight="1" outlineLevel="2" x14ac:dyDescent="0.2">
      <c r="A12220" s="14" t="s">
        <v>24021</v>
      </c>
      <c r="B12220" s="15" t="s">
        <v>24022</v>
      </c>
      <c r="C12220" s="16">
        <f>674.27/(1+B2)</f>
        <v>674.27</v>
      </c>
      <c r="D12220" s="17" t="s">
        <v>11</v>
      </c>
      <c r="E12220" s="17" t="s">
        <v>11</v>
      </c>
      <c r="F12220" s="18"/>
      <c r="G12220" s="36" t="str">
        <f>IF(ISNUMBER(F12220),C12220*F12220,"")</f>
        <v/>
      </c>
    </row>
    <row r="12221" spans="1:7" ht="12" customHeight="1" outlineLevel="2" x14ac:dyDescent="0.2">
      <c r="A12221" s="14" t="s">
        <v>24023</v>
      </c>
      <c r="B12221" s="15" t="s">
        <v>24024</v>
      </c>
      <c r="C12221" s="16">
        <f>415.23/(1+B2)</f>
        <v>415.23</v>
      </c>
      <c r="D12221" s="17" t="s">
        <v>11</v>
      </c>
      <c r="E12221" s="17" t="s">
        <v>11</v>
      </c>
      <c r="F12221" s="18"/>
      <c r="G12221" s="36" t="str">
        <f>IF(ISNUMBER(F12221),C12221*F12221,"")</f>
        <v/>
      </c>
    </row>
    <row r="12222" spans="1:7" ht="12" customHeight="1" outlineLevel="2" x14ac:dyDescent="0.2">
      <c r="A12222" s="14" t="s">
        <v>24025</v>
      </c>
      <c r="B12222" s="15" t="s">
        <v>24026</v>
      </c>
      <c r="C12222" s="16">
        <f>32.47/(1+B2)</f>
        <v>32.47</v>
      </c>
      <c r="D12222" s="17" t="s">
        <v>53</v>
      </c>
      <c r="E12222" s="17"/>
      <c r="F12222" s="18"/>
      <c r="G12222" s="36" t="str">
        <f>IF(ISNUMBER(F12222),C12222*F12222,"")</f>
        <v/>
      </c>
    </row>
    <row r="12223" spans="1:7" ht="12" customHeight="1" outlineLevel="2" x14ac:dyDescent="0.2">
      <c r="A12223" s="14" t="s">
        <v>24027</v>
      </c>
      <c r="B12223" s="15" t="s">
        <v>24028</v>
      </c>
      <c r="C12223" s="16">
        <f>32.16/(1+B2)</f>
        <v>32.159999999999997</v>
      </c>
      <c r="D12223" s="17" t="s">
        <v>11</v>
      </c>
      <c r="E12223" s="17" t="s">
        <v>53</v>
      </c>
      <c r="F12223" s="18"/>
      <c r="G12223" s="36" t="str">
        <f>IF(ISNUMBER(F12223),C12223*F12223,"")</f>
        <v/>
      </c>
    </row>
    <row r="12224" spans="1:7" ht="12" customHeight="1" outlineLevel="2" x14ac:dyDescent="0.2">
      <c r="A12224" s="14" t="s">
        <v>24029</v>
      </c>
      <c r="B12224" s="15" t="s">
        <v>24030</v>
      </c>
      <c r="C12224" s="16">
        <f>33.09/(1+B2)</f>
        <v>33.090000000000003</v>
      </c>
      <c r="D12224" s="17" t="s">
        <v>106</v>
      </c>
      <c r="E12224" s="17"/>
      <c r="F12224" s="18"/>
      <c r="G12224" s="36" t="str">
        <f>IF(ISNUMBER(F12224),C12224*F12224,"")</f>
        <v/>
      </c>
    </row>
    <row r="12225" spans="1:7" ht="12" customHeight="1" outlineLevel="2" x14ac:dyDescent="0.2">
      <c r="A12225" s="14" t="s">
        <v>24031</v>
      </c>
      <c r="B12225" s="15" t="s">
        <v>24032</v>
      </c>
      <c r="C12225" s="16">
        <f>34.93/(1+B2)</f>
        <v>34.93</v>
      </c>
      <c r="D12225" s="17" t="s">
        <v>11</v>
      </c>
      <c r="E12225" s="17" t="s">
        <v>106</v>
      </c>
      <c r="F12225" s="18"/>
      <c r="G12225" s="36" t="str">
        <f>IF(ISNUMBER(F12225),C12225*F12225,"")</f>
        <v/>
      </c>
    </row>
    <row r="12226" spans="1:7" ht="12" customHeight="1" outlineLevel="2" x14ac:dyDescent="0.2">
      <c r="A12226" s="14" t="s">
        <v>24033</v>
      </c>
      <c r="B12226" s="15" t="s">
        <v>24034</v>
      </c>
      <c r="C12226" s="16">
        <f>106.96/(1+B2)</f>
        <v>106.96</v>
      </c>
      <c r="D12226" s="17" t="s">
        <v>11</v>
      </c>
      <c r="E12226" s="17"/>
      <c r="F12226" s="18"/>
      <c r="G12226" s="36" t="str">
        <f>IF(ISNUMBER(F12226),C12226*F12226,"")</f>
        <v/>
      </c>
    </row>
    <row r="12227" spans="1:7" ht="12" customHeight="1" outlineLevel="2" x14ac:dyDescent="0.2">
      <c r="A12227" s="14" t="s">
        <v>24035</v>
      </c>
      <c r="B12227" s="15" t="s">
        <v>24036</v>
      </c>
      <c r="C12227" s="16">
        <f>39.53/(1+B2)</f>
        <v>39.53</v>
      </c>
      <c r="D12227" s="17" t="s">
        <v>11</v>
      </c>
      <c r="E12227" s="17" t="s">
        <v>53</v>
      </c>
      <c r="F12227" s="18"/>
      <c r="G12227" s="36" t="str">
        <f>IF(ISNUMBER(F12227),C12227*F12227,"")</f>
        <v/>
      </c>
    </row>
    <row r="12228" spans="1:7" ht="12" customHeight="1" outlineLevel="2" x14ac:dyDescent="0.2">
      <c r="A12228" s="14" t="s">
        <v>24037</v>
      </c>
      <c r="B12228" s="15" t="s">
        <v>24038</v>
      </c>
      <c r="C12228" s="16">
        <f>40.44/(1+B2)</f>
        <v>40.44</v>
      </c>
      <c r="D12228" s="17" t="s">
        <v>14</v>
      </c>
      <c r="E12228" s="17" t="s">
        <v>106</v>
      </c>
      <c r="F12228" s="18"/>
      <c r="G12228" s="36" t="str">
        <f>IF(ISNUMBER(F12228),C12228*F12228,"")</f>
        <v/>
      </c>
    </row>
    <row r="12229" spans="1:7" ht="12" customHeight="1" outlineLevel="2" x14ac:dyDescent="0.2">
      <c r="A12229" s="14" t="s">
        <v>24039</v>
      </c>
      <c r="B12229" s="15" t="s">
        <v>24040</v>
      </c>
      <c r="C12229" s="16">
        <f>42.7/(1+B2)</f>
        <v>42.7</v>
      </c>
      <c r="D12229" s="17" t="s">
        <v>11</v>
      </c>
      <c r="E12229" s="17" t="s">
        <v>106</v>
      </c>
      <c r="F12229" s="18"/>
      <c r="G12229" s="36" t="str">
        <f>IF(ISNUMBER(F12229),C12229*F12229,"")</f>
        <v/>
      </c>
    </row>
    <row r="12230" spans="1:7" ht="12" customHeight="1" outlineLevel="2" x14ac:dyDescent="0.2">
      <c r="A12230" s="14" t="s">
        <v>24041</v>
      </c>
      <c r="B12230" s="15" t="s">
        <v>24042</v>
      </c>
      <c r="C12230" s="16">
        <f>45.96/(1+B2)</f>
        <v>45.96</v>
      </c>
      <c r="D12230" s="17" t="s">
        <v>53</v>
      </c>
      <c r="E12230" s="17" t="s">
        <v>53</v>
      </c>
      <c r="F12230" s="18"/>
      <c r="G12230" s="36" t="str">
        <f>IF(ISNUMBER(F12230),C12230*F12230,"")</f>
        <v/>
      </c>
    </row>
    <row r="12231" spans="1:7" ht="12" customHeight="1" outlineLevel="2" x14ac:dyDescent="0.2">
      <c r="A12231" s="14" t="s">
        <v>24043</v>
      </c>
      <c r="B12231" s="15" t="s">
        <v>24044</v>
      </c>
      <c r="C12231" s="16">
        <f>49.64/(1+B2)</f>
        <v>49.64</v>
      </c>
      <c r="D12231" s="17" t="s">
        <v>53</v>
      </c>
      <c r="E12231" s="17" t="s">
        <v>11</v>
      </c>
      <c r="F12231" s="18"/>
      <c r="G12231" s="36" t="str">
        <f>IF(ISNUMBER(F12231),C12231*F12231,"")</f>
        <v/>
      </c>
    </row>
    <row r="12232" spans="1:7" ht="12" customHeight="1" outlineLevel="2" x14ac:dyDescent="0.2">
      <c r="A12232" s="14" t="s">
        <v>24045</v>
      </c>
      <c r="B12232" s="15" t="s">
        <v>24046</v>
      </c>
      <c r="C12232" s="16">
        <f>51.49/(1+B2)</f>
        <v>51.49</v>
      </c>
      <c r="D12232" s="17" t="s">
        <v>11</v>
      </c>
      <c r="E12232" s="17" t="s">
        <v>53</v>
      </c>
      <c r="F12232" s="18"/>
      <c r="G12232" s="36" t="str">
        <f>IF(ISNUMBER(F12232),C12232*F12232,"")</f>
        <v/>
      </c>
    </row>
    <row r="12233" spans="1:7" ht="12" customHeight="1" outlineLevel="2" x14ac:dyDescent="0.2">
      <c r="A12233" s="14" t="s">
        <v>24047</v>
      </c>
      <c r="B12233" s="15" t="s">
        <v>24048</v>
      </c>
      <c r="C12233" s="16">
        <f>57/(1+B2)</f>
        <v>57</v>
      </c>
      <c r="D12233" s="17" t="s">
        <v>53</v>
      </c>
      <c r="E12233" s="17"/>
      <c r="F12233" s="18"/>
      <c r="G12233" s="36" t="str">
        <f>IF(ISNUMBER(F12233),C12233*F12233,"")</f>
        <v/>
      </c>
    </row>
    <row r="12234" spans="1:7" ht="12" customHeight="1" outlineLevel="2" x14ac:dyDescent="0.2">
      <c r="A12234" s="14" t="s">
        <v>24049</v>
      </c>
      <c r="B12234" s="15" t="s">
        <v>24050</v>
      </c>
      <c r="C12234" s="16">
        <f>62.51/(1+B2)</f>
        <v>62.51</v>
      </c>
      <c r="D12234" s="17" t="s">
        <v>11</v>
      </c>
      <c r="E12234" s="17" t="s">
        <v>53</v>
      </c>
      <c r="F12234" s="18"/>
      <c r="G12234" s="36" t="str">
        <f>IF(ISNUMBER(F12234),C12234*F12234,"")</f>
        <v/>
      </c>
    </row>
    <row r="12235" spans="1:7" ht="12" customHeight="1" outlineLevel="2" x14ac:dyDescent="0.2">
      <c r="A12235" s="14" t="s">
        <v>24051</v>
      </c>
      <c r="B12235" s="15" t="s">
        <v>24052</v>
      </c>
      <c r="C12235" s="16">
        <f>65.27/(1+B2)</f>
        <v>65.27</v>
      </c>
      <c r="D12235" s="17" t="s">
        <v>53</v>
      </c>
      <c r="E12235" s="17"/>
      <c r="F12235" s="18"/>
      <c r="G12235" s="36" t="str">
        <f>IF(ISNUMBER(F12235),C12235*F12235,"")</f>
        <v/>
      </c>
    </row>
    <row r="12236" spans="1:7" ht="12" customHeight="1" outlineLevel="2" x14ac:dyDescent="0.2">
      <c r="A12236" s="14" t="s">
        <v>24053</v>
      </c>
      <c r="B12236" s="15" t="s">
        <v>24054</v>
      </c>
      <c r="C12236" s="16">
        <f>70.79/(1+B2)</f>
        <v>70.790000000000006</v>
      </c>
      <c r="D12236" s="17" t="s">
        <v>11</v>
      </c>
      <c r="E12236" s="17" t="s">
        <v>53</v>
      </c>
      <c r="F12236" s="18"/>
      <c r="G12236" s="36" t="str">
        <f>IF(ISNUMBER(F12236),C12236*F12236,"")</f>
        <v/>
      </c>
    </row>
    <row r="12237" spans="1:7" ht="12" customHeight="1" outlineLevel="2" x14ac:dyDescent="0.2">
      <c r="A12237" s="14" t="s">
        <v>24055</v>
      </c>
      <c r="B12237" s="15" t="s">
        <v>24056</v>
      </c>
      <c r="C12237" s="16">
        <f>75.28/(1+B2)</f>
        <v>75.28</v>
      </c>
      <c r="D12237" s="17"/>
      <c r="E12237" s="17" t="s">
        <v>106</v>
      </c>
      <c r="F12237" s="18"/>
      <c r="G12237" s="36" t="str">
        <f>IF(ISNUMBER(F12237),C12237*F12237,"")</f>
        <v/>
      </c>
    </row>
    <row r="12238" spans="1:7" ht="12" customHeight="1" outlineLevel="2" x14ac:dyDescent="0.2">
      <c r="A12238" s="14" t="s">
        <v>24057</v>
      </c>
      <c r="B12238" s="15" t="s">
        <v>24058</v>
      </c>
      <c r="C12238" s="19">
        <f>4200/(1+B2)</f>
        <v>4200</v>
      </c>
      <c r="D12238" s="17" t="s">
        <v>11</v>
      </c>
      <c r="E12238" s="17"/>
      <c r="F12238" s="18"/>
      <c r="G12238" s="36" t="str">
        <f>IF(ISNUMBER(F12238),C12238*F12238,"")</f>
        <v/>
      </c>
    </row>
    <row r="12239" spans="1:7" ht="12" customHeight="1" outlineLevel="2" x14ac:dyDescent="0.2">
      <c r="A12239" s="14" t="s">
        <v>24059</v>
      </c>
      <c r="B12239" s="15" t="s">
        <v>24060</v>
      </c>
      <c r="C12239" s="19">
        <f>2171.69/(1+B2)</f>
        <v>2171.69</v>
      </c>
      <c r="D12239" s="17" t="s">
        <v>11</v>
      </c>
      <c r="E12239" s="17"/>
      <c r="F12239" s="18"/>
      <c r="G12239" s="36" t="str">
        <f>IF(ISNUMBER(F12239),C12239*F12239,"")</f>
        <v/>
      </c>
    </row>
    <row r="12240" spans="1:7" ht="12" customHeight="1" outlineLevel="2" x14ac:dyDescent="0.2">
      <c r="A12240" s="14" t="s">
        <v>24061</v>
      </c>
      <c r="B12240" s="15" t="s">
        <v>24062</v>
      </c>
      <c r="C12240" s="19">
        <f>2675.37/(1+B2)</f>
        <v>2675.37</v>
      </c>
      <c r="D12240" s="17" t="s">
        <v>11</v>
      </c>
      <c r="E12240" s="17"/>
      <c r="F12240" s="18"/>
      <c r="G12240" s="36" t="str">
        <f>IF(ISNUMBER(F12240),C12240*F12240,"")</f>
        <v/>
      </c>
    </row>
    <row r="12241" spans="1:7" ht="12" customHeight="1" outlineLevel="2" x14ac:dyDescent="0.2">
      <c r="A12241" s="14" t="s">
        <v>24063</v>
      </c>
      <c r="B12241" s="15" t="s">
        <v>24064</v>
      </c>
      <c r="C12241" s="19">
        <f>1698.98/(1+B2)</f>
        <v>1698.98</v>
      </c>
      <c r="D12241" s="17" t="s">
        <v>11</v>
      </c>
      <c r="E12241" s="17"/>
      <c r="F12241" s="18"/>
      <c r="G12241" s="36" t="str">
        <f>IF(ISNUMBER(F12241),C12241*F12241,"")</f>
        <v/>
      </c>
    </row>
    <row r="12242" spans="1:7" ht="12" customHeight="1" outlineLevel="2" x14ac:dyDescent="0.2">
      <c r="A12242" s="14" t="s">
        <v>24065</v>
      </c>
      <c r="B12242" s="15" t="s">
        <v>24066</v>
      </c>
      <c r="C12242" s="16">
        <f>402.7/(1+B2)</f>
        <v>402.7</v>
      </c>
      <c r="D12242" s="17" t="s">
        <v>11</v>
      </c>
      <c r="E12242" s="17"/>
      <c r="F12242" s="18"/>
      <c r="G12242" s="36" t="str">
        <f>IF(ISNUMBER(F12242),C12242*F12242,"")</f>
        <v/>
      </c>
    </row>
    <row r="12243" spans="1:7" ht="12" customHeight="1" outlineLevel="2" x14ac:dyDescent="0.2">
      <c r="A12243" s="14" t="s">
        <v>24067</v>
      </c>
      <c r="B12243" s="15" t="s">
        <v>24068</v>
      </c>
      <c r="C12243" s="16">
        <f>456.17/(1+B2)</f>
        <v>456.17</v>
      </c>
      <c r="D12243" s="17" t="s">
        <v>11</v>
      </c>
      <c r="E12243" s="17"/>
      <c r="F12243" s="18"/>
      <c r="G12243" s="36" t="str">
        <f>IF(ISNUMBER(F12243),C12243*F12243,"")</f>
        <v/>
      </c>
    </row>
    <row r="12244" spans="1:7" ht="12" customHeight="1" outlineLevel="2" x14ac:dyDescent="0.2">
      <c r="A12244" s="14" t="s">
        <v>24069</v>
      </c>
      <c r="B12244" s="15" t="s">
        <v>24070</v>
      </c>
      <c r="C12244" s="16">
        <f>414.69/(1+B2)</f>
        <v>414.69</v>
      </c>
      <c r="D12244" s="17" t="s">
        <v>11</v>
      </c>
      <c r="E12244" s="17"/>
      <c r="F12244" s="18"/>
      <c r="G12244" s="36" t="str">
        <f>IF(ISNUMBER(F12244),C12244*F12244,"")</f>
        <v/>
      </c>
    </row>
    <row r="12245" spans="1:7" ht="12" customHeight="1" outlineLevel="2" x14ac:dyDescent="0.2">
      <c r="A12245" s="14" t="s">
        <v>24071</v>
      </c>
      <c r="B12245" s="15" t="s">
        <v>24072</v>
      </c>
      <c r="C12245" s="16">
        <f>805.69/(1+B2)</f>
        <v>805.69</v>
      </c>
      <c r="D12245" s="17" t="s">
        <v>11</v>
      </c>
      <c r="E12245" s="17"/>
      <c r="F12245" s="18"/>
      <c r="G12245" s="36" t="str">
        <f>IF(ISNUMBER(F12245),C12245*F12245,"")</f>
        <v/>
      </c>
    </row>
    <row r="12246" spans="1:7" ht="12" customHeight="1" outlineLevel="2" x14ac:dyDescent="0.2">
      <c r="A12246" s="14" t="s">
        <v>24073</v>
      </c>
      <c r="B12246" s="15" t="s">
        <v>24074</v>
      </c>
      <c r="C12246" s="19">
        <f>1035.1/(1+B2)</f>
        <v>1035.0999999999999</v>
      </c>
      <c r="D12246" s="17" t="s">
        <v>11</v>
      </c>
      <c r="E12246" s="17"/>
      <c r="F12246" s="18"/>
      <c r="G12246" s="36" t="str">
        <f>IF(ISNUMBER(F12246),C12246*F12246,"")</f>
        <v/>
      </c>
    </row>
    <row r="12247" spans="1:7" ht="12" customHeight="1" outlineLevel="2" x14ac:dyDescent="0.2">
      <c r="A12247" s="14" t="s">
        <v>24075</v>
      </c>
      <c r="B12247" s="15" t="s">
        <v>24076</v>
      </c>
      <c r="C12247" s="16">
        <f>633.12/(1+B2)</f>
        <v>633.12</v>
      </c>
      <c r="D12247" s="17" t="s">
        <v>11</v>
      </c>
      <c r="E12247" s="17"/>
      <c r="F12247" s="18"/>
      <c r="G12247" s="36" t="str">
        <f>IF(ISNUMBER(F12247),C12247*F12247,"")</f>
        <v/>
      </c>
    </row>
    <row r="12248" spans="1:7" ht="24" customHeight="1" outlineLevel="2" x14ac:dyDescent="0.2">
      <c r="A12248" s="14" t="s">
        <v>24077</v>
      </c>
      <c r="B12248" s="15" t="s">
        <v>24078</v>
      </c>
      <c r="C12248" s="16">
        <f>666.36/(1+B2)</f>
        <v>666.36</v>
      </c>
      <c r="D12248" s="17" t="s">
        <v>11</v>
      </c>
      <c r="E12248" s="17"/>
      <c r="F12248" s="18"/>
      <c r="G12248" s="36" t="str">
        <f>IF(ISNUMBER(F12248),C12248*F12248,"")</f>
        <v/>
      </c>
    </row>
    <row r="12249" spans="1:7" ht="24" customHeight="1" outlineLevel="2" x14ac:dyDescent="0.2">
      <c r="A12249" s="14" t="s">
        <v>24079</v>
      </c>
      <c r="B12249" s="15" t="s">
        <v>24080</v>
      </c>
      <c r="C12249" s="19">
        <f>1166.86/(1+B2)</f>
        <v>1166.8599999999999</v>
      </c>
      <c r="D12249" s="17" t="s">
        <v>11</v>
      </c>
      <c r="E12249" s="17"/>
      <c r="F12249" s="18"/>
      <c r="G12249" s="36" t="str">
        <f>IF(ISNUMBER(F12249),C12249*F12249,"")</f>
        <v/>
      </c>
    </row>
    <row r="12250" spans="1:7" ht="24" customHeight="1" outlineLevel="2" x14ac:dyDescent="0.2">
      <c r="A12250" s="14" t="s">
        <v>24081</v>
      </c>
      <c r="B12250" s="15" t="s">
        <v>24082</v>
      </c>
      <c r="C12250" s="19">
        <f>1301.49/(1+B2)</f>
        <v>1301.49</v>
      </c>
      <c r="D12250" s="17" t="s">
        <v>11</v>
      </c>
      <c r="E12250" s="17"/>
      <c r="F12250" s="18"/>
      <c r="G12250" s="36" t="str">
        <f>IF(ISNUMBER(F12250),C12250*F12250,"")</f>
        <v/>
      </c>
    </row>
    <row r="12251" spans="1:7" ht="12" customHeight="1" outlineLevel="2" x14ac:dyDescent="0.2">
      <c r="A12251" s="14" t="s">
        <v>24083</v>
      </c>
      <c r="B12251" s="15" t="s">
        <v>24084</v>
      </c>
      <c r="C12251" s="19">
        <f>1135.8/(1+B2)</f>
        <v>1135.8</v>
      </c>
      <c r="D12251" s="17" t="s">
        <v>11</v>
      </c>
      <c r="E12251" s="17"/>
      <c r="F12251" s="18"/>
      <c r="G12251" s="36" t="str">
        <f>IF(ISNUMBER(F12251),C12251*F12251,"")</f>
        <v/>
      </c>
    </row>
    <row r="12252" spans="1:7" ht="12" customHeight="1" outlineLevel="2" x14ac:dyDescent="0.2">
      <c r="A12252" s="14" t="s">
        <v>24085</v>
      </c>
      <c r="B12252" s="15" t="s">
        <v>24086</v>
      </c>
      <c r="C12252" s="19">
        <f>1156.97/(1+B2)</f>
        <v>1156.97</v>
      </c>
      <c r="D12252" s="17" t="s">
        <v>11</v>
      </c>
      <c r="E12252" s="17"/>
      <c r="F12252" s="18"/>
      <c r="G12252" s="36" t="str">
        <f>IF(ISNUMBER(F12252),C12252*F12252,"")</f>
        <v/>
      </c>
    </row>
    <row r="12253" spans="1:7" ht="24" customHeight="1" outlineLevel="2" x14ac:dyDescent="0.2">
      <c r="A12253" s="14" t="s">
        <v>24087</v>
      </c>
      <c r="B12253" s="15" t="s">
        <v>24088</v>
      </c>
      <c r="C12253" s="16">
        <f>555.11/(1+B2)</f>
        <v>555.11</v>
      </c>
      <c r="D12253" s="17" t="s">
        <v>11</v>
      </c>
      <c r="E12253" s="17"/>
      <c r="F12253" s="18"/>
      <c r="G12253" s="36" t="str">
        <f>IF(ISNUMBER(F12253),C12253*F12253,"")</f>
        <v/>
      </c>
    </row>
    <row r="12254" spans="1:7" ht="12" customHeight="1" outlineLevel="2" x14ac:dyDescent="0.2">
      <c r="A12254" s="14" t="s">
        <v>24089</v>
      </c>
      <c r="B12254" s="15" t="s">
        <v>24090</v>
      </c>
      <c r="C12254" s="16">
        <f>253.98/(1+B2)</f>
        <v>253.98</v>
      </c>
      <c r="D12254" s="17" t="s">
        <v>11</v>
      </c>
      <c r="E12254" s="17"/>
      <c r="F12254" s="18"/>
      <c r="G12254" s="36" t="str">
        <f>IF(ISNUMBER(F12254),C12254*F12254,"")</f>
        <v/>
      </c>
    </row>
    <row r="12255" spans="1:7" ht="12" customHeight="1" outlineLevel="2" x14ac:dyDescent="0.2">
      <c r="A12255" s="14" t="s">
        <v>24091</v>
      </c>
      <c r="B12255" s="15" t="s">
        <v>24092</v>
      </c>
      <c r="C12255" s="16">
        <f>178/(1+B2)</f>
        <v>178</v>
      </c>
      <c r="D12255" s="17" t="s">
        <v>53</v>
      </c>
      <c r="E12255" s="17"/>
      <c r="F12255" s="18"/>
      <c r="G12255" s="36" t="str">
        <f>IF(ISNUMBER(F12255),C12255*F12255,"")</f>
        <v/>
      </c>
    </row>
    <row r="12256" spans="1:7" ht="12" customHeight="1" outlineLevel="2" x14ac:dyDescent="0.2">
      <c r="A12256" s="14" t="s">
        <v>24093</v>
      </c>
      <c r="B12256" s="15" t="s">
        <v>24094</v>
      </c>
      <c r="C12256" s="16">
        <f>306.3/(1+B2)</f>
        <v>306.3</v>
      </c>
      <c r="D12256" s="17" t="s">
        <v>11</v>
      </c>
      <c r="E12256" s="17"/>
      <c r="F12256" s="18"/>
      <c r="G12256" s="36" t="str">
        <f>IF(ISNUMBER(F12256),C12256*F12256,"")</f>
        <v/>
      </c>
    </row>
    <row r="12257" spans="1:7" ht="12" customHeight="1" outlineLevel="2" x14ac:dyDescent="0.2">
      <c r="A12257" s="14" t="s">
        <v>24095</v>
      </c>
      <c r="B12257" s="15" t="s">
        <v>24096</v>
      </c>
      <c r="C12257" s="16">
        <f>100.34/(1+B2)</f>
        <v>100.34</v>
      </c>
      <c r="D12257" s="17" t="s">
        <v>11</v>
      </c>
      <c r="E12257" s="17"/>
      <c r="F12257" s="18"/>
      <c r="G12257" s="36" t="str">
        <f>IF(ISNUMBER(F12257),C12257*F12257,"")</f>
        <v/>
      </c>
    </row>
    <row r="12258" spans="1:7" ht="12" customHeight="1" outlineLevel="2" x14ac:dyDescent="0.2">
      <c r="A12258" s="14" t="s">
        <v>24097</v>
      </c>
      <c r="B12258" s="15" t="s">
        <v>24098</v>
      </c>
      <c r="C12258" s="16">
        <f>115.76/(1+B2)</f>
        <v>115.76</v>
      </c>
      <c r="D12258" s="17" t="s">
        <v>11</v>
      </c>
      <c r="E12258" s="17"/>
      <c r="F12258" s="18"/>
      <c r="G12258" s="36" t="str">
        <f>IF(ISNUMBER(F12258),C12258*F12258,"")</f>
        <v/>
      </c>
    </row>
    <row r="12259" spans="1:7" ht="12" customHeight="1" outlineLevel="2" x14ac:dyDescent="0.2">
      <c r="A12259" s="14" t="s">
        <v>24099</v>
      </c>
      <c r="B12259" s="15" t="s">
        <v>24100</v>
      </c>
      <c r="C12259" s="16">
        <f>125.34/(1+B2)</f>
        <v>125.34</v>
      </c>
      <c r="D12259" s="17" t="s">
        <v>11</v>
      </c>
      <c r="E12259" s="17"/>
      <c r="F12259" s="18"/>
      <c r="G12259" s="36" t="str">
        <f>IF(ISNUMBER(F12259),C12259*F12259,"")</f>
        <v/>
      </c>
    </row>
    <row r="12260" spans="1:7" ht="12" customHeight="1" outlineLevel="2" x14ac:dyDescent="0.2">
      <c r="A12260" s="14" t="s">
        <v>24101</v>
      </c>
      <c r="B12260" s="15" t="s">
        <v>24102</v>
      </c>
      <c r="C12260" s="16">
        <f>84.49/(1+B2)</f>
        <v>84.49</v>
      </c>
      <c r="D12260" s="17" t="s">
        <v>14</v>
      </c>
      <c r="E12260" s="17"/>
      <c r="F12260" s="18"/>
      <c r="G12260" s="36" t="str">
        <f>IF(ISNUMBER(F12260),C12260*F12260,"")</f>
        <v/>
      </c>
    </row>
    <row r="12261" spans="1:7" ht="12" customHeight="1" outlineLevel="2" x14ac:dyDescent="0.2">
      <c r="A12261" s="14" t="s">
        <v>24103</v>
      </c>
      <c r="B12261" s="15" t="s">
        <v>24104</v>
      </c>
      <c r="C12261" s="16">
        <f>89.88/(1+B2)</f>
        <v>89.88</v>
      </c>
      <c r="D12261" s="17" t="s">
        <v>11</v>
      </c>
      <c r="E12261" s="17"/>
      <c r="F12261" s="18"/>
      <c r="G12261" s="36" t="str">
        <f>IF(ISNUMBER(F12261),C12261*F12261,"")</f>
        <v/>
      </c>
    </row>
    <row r="12262" spans="1:7" ht="12" customHeight="1" outlineLevel="2" x14ac:dyDescent="0.2">
      <c r="A12262" s="14" t="s">
        <v>24105</v>
      </c>
      <c r="B12262" s="15" t="s">
        <v>24106</v>
      </c>
      <c r="C12262" s="16">
        <f>36.37/(1+B2)</f>
        <v>36.369999999999997</v>
      </c>
      <c r="D12262" s="17" t="s">
        <v>53</v>
      </c>
      <c r="E12262" s="17"/>
      <c r="F12262" s="18"/>
      <c r="G12262" s="36" t="str">
        <f>IF(ISNUMBER(F12262),C12262*F12262,"")</f>
        <v/>
      </c>
    </row>
    <row r="12263" spans="1:7" ht="12" customHeight="1" outlineLevel="2" x14ac:dyDescent="0.2">
      <c r="A12263" s="14" t="s">
        <v>24107</v>
      </c>
      <c r="B12263" s="15" t="s">
        <v>24108</v>
      </c>
      <c r="C12263" s="16">
        <f>41.82/(1+B2)</f>
        <v>41.82</v>
      </c>
      <c r="D12263" s="17" t="s">
        <v>53</v>
      </c>
      <c r="E12263" s="17"/>
      <c r="F12263" s="18"/>
      <c r="G12263" s="36" t="str">
        <f>IF(ISNUMBER(F12263),C12263*F12263,"")</f>
        <v/>
      </c>
    </row>
    <row r="12264" spans="1:7" ht="12" customHeight="1" outlineLevel="2" x14ac:dyDescent="0.2">
      <c r="A12264" s="14" t="s">
        <v>24109</v>
      </c>
      <c r="B12264" s="15" t="s">
        <v>24110</v>
      </c>
      <c r="C12264" s="16">
        <f>45.84/(1+B2)</f>
        <v>45.84</v>
      </c>
      <c r="D12264" s="17" t="s">
        <v>14</v>
      </c>
      <c r="E12264" s="17"/>
      <c r="F12264" s="18"/>
      <c r="G12264" s="36" t="str">
        <f>IF(ISNUMBER(F12264),C12264*F12264,"")</f>
        <v/>
      </c>
    </row>
    <row r="12265" spans="1:7" ht="12" customHeight="1" outlineLevel="2" x14ac:dyDescent="0.2">
      <c r="A12265" s="14" t="s">
        <v>24111</v>
      </c>
      <c r="B12265" s="15" t="s">
        <v>24112</v>
      </c>
      <c r="C12265" s="16">
        <f>26.35/(1+B2)</f>
        <v>26.35</v>
      </c>
      <c r="D12265" s="17" t="s">
        <v>53</v>
      </c>
      <c r="E12265" s="17"/>
      <c r="F12265" s="18"/>
      <c r="G12265" s="36" t="str">
        <f>IF(ISNUMBER(F12265),C12265*F12265,"")</f>
        <v/>
      </c>
    </row>
    <row r="12266" spans="1:7" ht="12" customHeight="1" outlineLevel="2" x14ac:dyDescent="0.2">
      <c r="A12266" s="14" t="s">
        <v>24113</v>
      </c>
      <c r="B12266" s="15" t="s">
        <v>24114</v>
      </c>
      <c r="C12266" s="16">
        <f>32.74/(1+B2)</f>
        <v>32.74</v>
      </c>
      <c r="D12266" s="17" t="s">
        <v>53</v>
      </c>
      <c r="E12266" s="17"/>
      <c r="F12266" s="18"/>
      <c r="G12266" s="36" t="str">
        <f>IF(ISNUMBER(F12266),C12266*F12266,"")</f>
        <v/>
      </c>
    </row>
    <row r="12267" spans="1:7" ht="12" customHeight="1" outlineLevel="2" x14ac:dyDescent="0.2">
      <c r="A12267" s="14" t="s">
        <v>24115</v>
      </c>
      <c r="B12267" s="15" t="s">
        <v>24116</v>
      </c>
      <c r="C12267" s="16">
        <f>85.37/(1+B2)</f>
        <v>85.37</v>
      </c>
      <c r="D12267" s="17" t="s">
        <v>53</v>
      </c>
      <c r="E12267" s="17"/>
      <c r="F12267" s="18"/>
      <c r="G12267" s="36" t="str">
        <f>IF(ISNUMBER(F12267),C12267*F12267,"")</f>
        <v/>
      </c>
    </row>
    <row r="12268" spans="1:7" ht="12" customHeight="1" outlineLevel="2" x14ac:dyDescent="0.2">
      <c r="A12268" s="14" t="s">
        <v>24117</v>
      </c>
      <c r="B12268" s="15" t="s">
        <v>24118</v>
      </c>
      <c r="C12268" s="16">
        <f>105.01/(1+B2)</f>
        <v>105.01</v>
      </c>
      <c r="D12268" s="17" t="s">
        <v>11</v>
      </c>
      <c r="E12268" s="17"/>
      <c r="F12268" s="18"/>
      <c r="G12268" s="36" t="str">
        <f>IF(ISNUMBER(F12268),C12268*F12268,"")</f>
        <v/>
      </c>
    </row>
    <row r="12269" spans="1:7" ht="12" customHeight="1" outlineLevel="2" x14ac:dyDescent="0.2">
      <c r="A12269" s="14" t="s">
        <v>24119</v>
      </c>
      <c r="B12269" s="15" t="s">
        <v>24120</v>
      </c>
      <c r="C12269" s="16">
        <f>129.67/(1+B2)</f>
        <v>129.66999999999999</v>
      </c>
      <c r="D12269" s="17" t="s">
        <v>53</v>
      </c>
      <c r="E12269" s="17"/>
      <c r="F12269" s="18"/>
      <c r="G12269" s="36" t="str">
        <f>IF(ISNUMBER(F12269),C12269*F12269,"")</f>
        <v/>
      </c>
    </row>
    <row r="12270" spans="1:7" ht="12" customHeight="1" outlineLevel="2" x14ac:dyDescent="0.2">
      <c r="A12270" s="14" t="s">
        <v>24121</v>
      </c>
      <c r="B12270" s="15" t="s">
        <v>24122</v>
      </c>
      <c r="C12270" s="16">
        <f>53.78/(1+B2)</f>
        <v>53.78</v>
      </c>
      <c r="D12270" s="17" t="s">
        <v>53</v>
      </c>
      <c r="E12270" s="17"/>
      <c r="F12270" s="18"/>
      <c r="G12270" s="36" t="str">
        <f>IF(ISNUMBER(F12270),C12270*F12270,"")</f>
        <v/>
      </c>
    </row>
    <row r="12271" spans="1:7" ht="12" customHeight="1" outlineLevel="2" x14ac:dyDescent="0.2">
      <c r="A12271" s="14" t="s">
        <v>24123</v>
      </c>
      <c r="B12271" s="15" t="s">
        <v>24124</v>
      </c>
      <c r="C12271" s="16">
        <f>72.63/(1+B2)</f>
        <v>72.63</v>
      </c>
      <c r="D12271" s="17" t="s">
        <v>53</v>
      </c>
      <c r="E12271" s="17"/>
      <c r="F12271" s="18"/>
      <c r="G12271" s="36" t="str">
        <f>IF(ISNUMBER(F12271),C12271*F12271,"")</f>
        <v/>
      </c>
    </row>
    <row r="12272" spans="1:7" ht="12" customHeight="1" outlineLevel="2" x14ac:dyDescent="0.2">
      <c r="A12272" s="14" t="s">
        <v>24125</v>
      </c>
      <c r="B12272" s="15" t="s">
        <v>24126</v>
      </c>
      <c r="C12272" s="16">
        <f>89.87/(1+B2)</f>
        <v>89.87</v>
      </c>
      <c r="D12272" s="17" t="s">
        <v>11</v>
      </c>
      <c r="E12272" s="17"/>
      <c r="F12272" s="18"/>
      <c r="G12272" s="36" t="str">
        <f>IF(ISNUMBER(F12272),C12272*F12272,"")</f>
        <v/>
      </c>
    </row>
    <row r="12273" spans="1:7" ht="12" customHeight="1" outlineLevel="2" x14ac:dyDescent="0.2">
      <c r="A12273" s="14" t="s">
        <v>24127</v>
      </c>
      <c r="B12273" s="15" t="s">
        <v>24128</v>
      </c>
      <c r="C12273" s="16">
        <f>43.77/(1+B2)</f>
        <v>43.77</v>
      </c>
      <c r="D12273" s="17" t="s">
        <v>53</v>
      </c>
      <c r="E12273" s="17"/>
      <c r="F12273" s="18"/>
      <c r="G12273" s="36" t="str">
        <f>IF(ISNUMBER(F12273),C12273*F12273,"")</f>
        <v/>
      </c>
    </row>
    <row r="12274" spans="1:7" ht="12" customHeight="1" outlineLevel="2" x14ac:dyDescent="0.2">
      <c r="A12274" s="14" t="s">
        <v>24129</v>
      </c>
      <c r="B12274" s="15" t="s">
        <v>24130</v>
      </c>
      <c r="C12274" s="16">
        <f>96.15/(1+B2)</f>
        <v>96.15</v>
      </c>
      <c r="D12274" s="17" t="s">
        <v>11</v>
      </c>
      <c r="E12274" s="17"/>
      <c r="F12274" s="18"/>
      <c r="G12274" s="36" t="str">
        <f>IF(ISNUMBER(F12274),C12274*F12274,"")</f>
        <v/>
      </c>
    </row>
    <row r="12275" spans="1:7" ht="12" customHeight="1" outlineLevel="2" x14ac:dyDescent="0.2">
      <c r="A12275" s="14" t="s">
        <v>24131</v>
      </c>
      <c r="B12275" s="15" t="s">
        <v>24132</v>
      </c>
      <c r="C12275" s="16">
        <f>176.46/(1+B2)</f>
        <v>176.46</v>
      </c>
      <c r="D12275" s="17" t="s">
        <v>11</v>
      </c>
      <c r="E12275" s="17"/>
      <c r="F12275" s="18"/>
      <c r="G12275" s="36" t="str">
        <f>IF(ISNUMBER(F12275),C12275*F12275,"")</f>
        <v/>
      </c>
    </row>
    <row r="12276" spans="1:7" ht="12" customHeight="1" outlineLevel="2" x14ac:dyDescent="0.2">
      <c r="A12276" s="14" t="s">
        <v>24133</v>
      </c>
      <c r="B12276" s="15" t="s">
        <v>24134</v>
      </c>
      <c r="C12276" s="16">
        <f>50.24/(1+B2)</f>
        <v>50.24</v>
      </c>
      <c r="D12276" s="17" t="s">
        <v>53</v>
      </c>
      <c r="E12276" s="17"/>
      <c r="F12276" s="18"/>
      <c r="G12276" s="36" t="str">
        <f>IF(ISNUMBER(F12276),C12276*F12276,"")</f>
        <v/>
      </c>
    </row>
    <row r="12277" spans="1:7" ht="12" customHeight="1" outlineLevel="2" x14ac:dyDescent="0.2">
      <c r="A12277" s="14" t="s">
        <v>24135</v>
      </c>
      <c r="B12277" s="15" t="s">
        <v>24136</v>
      </c>
      <c r="C12277" s="16">
        <f>108.67/(1+B2)</f>
        <v>108.67</v>
      </c>
      <c r="D12277" s="17" t="s">
        <v>11</v>
      </c>
      <c r="E12277" s="17"/>
      <c r="F12277" s="18"/>
      <c r="G12277" s="36" t="str">
        <f>IF(ISNUMBER(F12277),C12277*F12277,"")</f>
        <v/>
      </c>
    </row>
    <row r="12278" spans="1:7" ht="12" customHeight="1" outlineLevel="2" x14ac:dyDescent="0.2">
      <c r="A12278" s="14" t="s">
        <v>24137</v>
      </c>
      <c r="B12278" s="15" t="s">
        <v>24138</v>
      </c>
      <c r="C12278" s="16">
        <f>54.24/(1+B2)</f>
        <v>54.24</v>
      </c>
      <c r="D12278" s="17" t="s">
        <v>11</v>
      </c>
      <c r="E12278" s="17" t="s">
        <v>106</v>
      </c>
      <c r="F12278" s="18"/>
      <c r="G12278" s="36" t="str">
        <f>IF(ISNUMBER(F12278),C12278*F12278,"")</f>
        <v/>
      </c>
    </row>
    <row r="12279" spans="1:7" ht="12" customHeight="1" outlineLevel="2" x14ac:dyDescent="0.2">
      <c r="A12279" s="14" t="s">
        <v>24139</v>
      </c>
      <c r="B12279" s="15" t="s">
        <v>24140</v>
      </c>
      <c r="C12279" s="16">
        <f>71.5/(1+B2)</f>
        <v>71.5</v>
      </c>
      <c r="D12279" s="17" t="s">
        <v>11</v>
      </c>
      <c r="E12279" s="17"/>
      <c r="F12279" s="18"/>
      <c r="G12279" s="36" t="str">
        <f>IF(ISNUMBER(F12279),C12279*F12279,"")</f>
        <v/>
      </c>
    </row>
    <row r="12280" spans="1:7" ht="12" customHeight="1" outlineLevel="2" x14ac:dyDescent="0.2">
      <c r="A12280" s="14" t="s">
        <v>24141</v>
      </c>
      <c r="B12280" s="15" t="s">
        <v>24142</v>
      </c>
      <c r="C12280" s="16">
        <f>32.13/(1+B2)</f>
        <v>32.130000000000003</v>
      </c>
      <c r="D12280" s="17" t="s">
        <v>106</v>
      </c>
      <c r="E12280" s="17" t="s">
        <v>11</v>
      </c>
      <c r="F12280" s="18"/>
      <c r="G12280" s="36" t="str">
        <f>IF(ISNUMBER(F12280),C12280*F12280,"")</f>
        <v/>
      </c>
    </row>
    <row r="12281" spans="1:7" ht="12" customHeight="1" outlineLevel="2" x14ac:dyDescent="0.2">
      <c r="A12281" s="14" t="s">
        <v>24143</v>
      </c>
      <c r="B12281" s="15" t="s">
        <v>24144</v>
      </c>
      <c r="C12281" s="16">
        <f>38.04/(1+B2)</f>
        <v>38.04</v>
      </c>
      <c r="D12281" s="17" t="s">
        <v>106</v>
      </c>
      <c r="E12281" s="17"/>
      <c r="F12281" s="18"/>
      <c r="G12281" s="36" t="str">
        <f>IF(ISNUMBER(F12281),C12281*F12281,"")</f>
        <v/>
      </c>
    </row>
    <row r="12282" spans="1:7" ht="12" customHeight="1" outlineLevel="2" x14ac:dyDescent="0.2">
      <c r="A12282" s="14" t="s">
        <v>24145</v>
      </c>
      <c r="B12282" s="15" t="s">
        <v>24146</v>
      </c>
      <c r="C12282" s="16">
        <f>849.43/(1+B2)</f>
        <v>849.43</v>
      </c>
      <c r="D12282" s="17" t="s">
        <v>11</v>
      </c>
      <c r="E12282" s="17"/>
      <c r="F12282" s="18"/>
      <c r="G12282" s="36" t="str">
        <f>IF(ISNUMBER(F12282),C12282*F12282,"")</f>
        <v/>
      </c>
    </row>
    <row r="12283" spans="1:7" ht="12" customHeight="1" outlineLevel="2" x14ac:dyDescent="0.2">
      <c r="A12283" s="14" t="s">
        <v>24147</v>
      </c>
      <c r="B12283" s="15" t="s">
        <v>24148</v>
      </c>
      <c r="C12283" s="19">
        <f>2503.02/(1+B2)</f>
        <v>2503.02</v>
      </c>
      <c r="D12283" s="17" t="s">
        <v>11</v>
      </c>
      <c r="E12283" s="17"/>
      <c r="F12283" s="18"/>
      <c r="G12283" s="36" t="str">
        <f>IF(ISNUMBER(F12283),C12283*F12283,"")</f>
        <v/>
      </c>
    </row>
    <row r="12284" spans="1:7" ht="24" customHeight="1" outlineLevel="2" x14ac:dyDescent="0.2">
      <c r="A12284" s="14" t="s">
        <v>24149</v>
      </c>
      <c r="B12284" s="15" t="s">
        <v>24150</v>
      </c>
      <c r="C12284" s="16">
        <f>894.59/(1+B2)</f>
        <v>894.59</v>
      </c>
      <c r="D12284" s="17" t="s">
        <v>11</v>
      </c>
      <c r="E12284" s="17"/>
      <c r="F12284" s="18"/>
      <c r="G12284" s="36" t="str">
        <f>IF(ISNUMBER(F12284),C12284*F12284,"")</f>
        <v/>
      </c>
    </row>
    <row r="12285" spans="1:7" ht="24" customHeight="1" outlineLevel="2" x14ac:dyDescent="0.2">
      <c r="A12285" s="14" t="s">
        <v>24151</v>
      </c>
      <c r="B12285" s="15" t="s">
        <v>24152</v>
      </c>
      <c r="C12285" s="19">
        <f>1293.26/(1+B2)</f>
        <v>1293.26</v>
      </c>
      <c r="D12285" s="17" t="s">
        <v>11</v>
      </c>
      <c r="E12285" s="17"/>
      <c r="F12285" s="18"/>
      <c r="G12285" s="36" t="str">
        <f>IF(ISNUMBER(F12285),C12285*F12285,"")</f>
        <v/>
      </c>
    </row>
    <row r="12286" spans="1:7" ht="24" customHeight="1" outlineLevel="2" x14ac:dyDescent="0.2">
      <c r="A12286" s="14" t="s">
        <v>24153</v>
      </c>
      <c r="B12286" s="15" t="s">
        <v>24154</v>
      </c>
      <c r="C12286" s="19">
        <f>1688.74/(1+B2)</f>
        <v>1688.74</v>
      </c>
      <c r="D12286" s="17" t="s">
        <v>11</v>
      </c>
      <c r="E12286" s="17"/>
      <c r="F12286" s="18"/>
      <c r="G12286" s="36" t="str">
        <f>IF(ISNUMBER(F12286),C12286*F12286,"")</f>
        <v/>
      </c>
    </row>
    <row r="12287" spans="1:7" ht="24" customHeight="1" outlineLevel="2" x14ac:dyDescent="0.2">
      <c r="A12287" s="14" t="s">
        <v>24155</v>
      </c>
      <c r="B12287" s="15" t="s">
        <v>24156</v>
      </c>
      <c r="C12287" s="19">
        <f>1690.38/(1+B2)</f>
        <v>1690.38</v>
      </c>
      <c r="D12287" s="17" t="s">
        <v>11</v>
      </c>
      <c r="E12287" s="17"/>
      <c r="F12287" s="18"/>
      <c r="G12287" s="36" t="str">
        <f>IF(ISNUMBER(F12287),C12287*F12287,"")</f>
        <v/>
      </c>
    </row>
    <row r="12288" spans="1:7" ht="24" customHeight="1" outlineLevel="2" x14ac:dyDescent="0.2">
      <c r="A12288" s="14" t="s">
        <v>24157</v>
      </c>
      <c r="B12288" s="15" t="s">
        <v>24158</v>
      </c>
      <c r="C12288" s="19">
        <f>1448.44/(1+B2)</f>
        <v>1448.44</v>
      </c>
      <c r="D12288" s="17" t="s">
        <v>11</v>
      </c>
      <c r="E12288" s="17"/>
      <c r="F12288" s="18"/>
      <c r="G12288" s="36" t="str">
        <f>IF(ISNUMBER(F12288),C12288*F12288,"")</f>
        <v/>
      </c>
    </row>
    <row r="12289" spans="1:7" ht="24" customHeight="1" outlineLevel="2" x14ac:dyDescent="0.2">
      <c r="A12289" s="14" t="s">
        <v>24159</v>
      </c>
      <c r="B12289" s="15" t="s">
        <v>24160</v>
      </c>
      <c r="C12289" s="19">
        <f>1079.97/(1+B2)</f>
        <v>1079.97</v>
      </c>
      <c r="D12289" s="17" t="s">
        <v>11</v>
      </c>
      <c r="E12289" s="17"/>
      <c r="F12289" s="18"/>
      <c r="G12289" s="36" t="str">
        <f>IF(ISNUMBER(F12289),C12289*F12289,"")</f>
        <v/>
      </c>
    </row>
    <row r="12290" spans="1:7" ht="12" customHeight="1" outlineLevel="2" x14ac:dyDescent="0.2">
      <c r="A12290" s="14" t="s">
        <v>24161</v>
      </c>
      <c r="B12290" s="15" t="s">
        <v>24162</v>
      </c>
      <c r="C12290" s="16">
        <f>967.92/(1+B2)</f>
        <v>967.92</v>
      </c>
      <c r="D12290" s="17" t="s">
        <v>11</v>
      </c>
      <c r="E12290" s="17"/>
      <c r="F12290" s="18"/>
      <c r="G12290" s="36" t="str">
        <f>IF(ISNUMBER(F12290),C12290*F12290,"")</f>
        <v/>
      </c>
    </row>
    <row r="12291" spans="1:7" ht="12" customHeight="1" outlineLevel="2" x14ac:dyDescent="0.2">
      <c r="A12291" s="14" t="s">
        <v>24163</v>
      </c>
      <c r="B12291" s="15" t="s">
        <v>24164</v>
      </c>
      <c r="C12291" s="16">
        <f>357.68/(1+B2)</f>
        <v>357.68</v>
      </c>
      <c r="D12291" s="17" t="s">
        <v>11</v>
      </c>
      <c r="E12291" s="17"/>
      <c r="F12291" s="18"/>
      <c r="G12291" s="36" t="str">
        <f>IF(ISNUMBER(F12291),C12291*F12291,"")</f>
        <v/>
      </c>
    </row>
    <row r="12292" spans="1:7" ht="12" customHeight="1" outlineLevel="2" x14ac:dyDescent="0.2">
      <c r="A12292" s="14" t="s">
        <v>24165</v>
      </c>
      <c r="B12292" s="15" t="s">
        <v>24166</v>
      </c>
      <c r="C12292" s="16">
        <f>743.26/(1+B2)</f>
        <v>743.26</v>
      </c>
      <c r="D12292" s="17" t="s">
        <v>11</v>
      </c>
      <c r="E12292" s="17"/>
      <c r="F12292" s="18"/>
      <c r="G12292" s="36" t="str">
        <f>IF(ISNUMBER(F12292),C12292*F12292,"")</f>
        <v/>
      </c>
    </row>
    <row r="12293" spans="1:7" ht="12" customHeight="1" outlineLevel="2" x14ac:dyDescent="0.2">
      <c r="A12293" s="14" t="s">
        <v>24167</v>
      </c>
      <c r="B12293" s="15" t="s">
        <v>24168</v>
      </c>
      <c r="C12293" s="16">
        <f>932.36/(1+B2)</f>
        <v>932.36</v>
      </c>
      <c r="D12293" s="17" t="s">
        <v>11</v>
      </c>
      <c r="E12293" s="17"/>
      <c r="F12293" s="18"/>
      <c r="G12293" s="36" t="str">
        <f>IF(ISNUMBER(F12293),C12293*F12293,"")</f>
        <v/>
      </c>
    </row>
    <row r="12294" spans="1:7" ht="24" customHeight="1" outlineLevel="2" x14ac:dyDescent="0.2">
      <c r="A12294" s="14" t="s">
        <v>24169</v>
      </c>
      <c r="B12294" s="15" t="s">
        <v>24170</v>
      </c>
      <c r="C12294" s="19">
        <f>1052.68/(1+B2)</f>
        <v>1052.68</v>
      </c>
      <c r="D12294" s="17" t="s">
        <v>11</v>
      </c>
      <c r="E12294" s="17"/>
      <c r="F12294" s="18"/>
      <c r="G12294" s="36" t="str">
        <f>IF(ISNUMBER(F12294),C12294*F12294,"")</f>
        <v/>
      </c>
    </row>
    <row r="12295" spans="1:7" ht="24" customHeight="1" outlineLevel="2" x14ac:dyDescent="0.2">
      <c r="A12295" s="14" t="s">
        <v>24171</v>
      </c>
      <c r="B12295" s="15" t="s">
        <v>24172</v>
      </c>
      <c r="C12295" s="16">
        <f>866.82/(1+B2)</f>
        <v>866.82</v>
      </c>
      <c r="D12295" s="17" t="s">
        <v>11</v>
      </c>
      <c r="E12295" s="17"/>
      <c r="F12295" s="18"/>
      <c r="G12295" s="36" t="str">
        <f>IF(ISNUMBER(F12295),C12295*F12295,"")</f>
        <v/>
      </c>
    </row>
    <row r="12296" spans="1:7" ht="12" customHeight="1" outlineLevel="2" x14ac:dyDescent="0.2">
      <c r="A12296" s="14" t="s">
        <v>24173</v>
      </c>
      <c r="B12296" s="15" t="s">
        <v>24174</v>
      </c>
      <c r="C12296" s="16">
        <f>638.43/(1+B2)</f>
        <v>638.42999999999995</v>
      </c>
      <c r="D12296" s="17" t="s">
        <v>11</v>
      </c>
      <c r="E12296" s="17"/>
      <c r="F12296" s="18"/>
      <c r="G12296" s="36" t="str">
        <f>IF(ISNUMBER(F12296),C12296*F12296,"")</f>
        <v/>
      </c>
    </row>
    <row r="12297" spans="1:7" ht="24" customHeight="1" outlineLevel="2" x14ac:dyDescent="0.2">
      <c r="A12297" s="14" t="s">
        <v>24175</v>
      </c>
      <c r="B12297" s="15" t="s">
        <v>24176</v>
      </c>
      <c r="C12297" s="19">
        <f>1617.15/(1+B2)</f>
        <v>1617.15</v>
      </c>
      <c r="D12297" s="17" t="s">
        <v>11</v>
      </c>
      <c r="E12297" s="17"/>
      <c r="F12297" s="18"/>
      <c r="G12297" s="36" t="str">
        <f>IF(ISNUMBER(F12297),C12297*F12297,"")</f>
        <v/>
      </c>
    </row>
    <row r="12298" spans="1:7" ht="12" customHeight="1" outlineLevel="2" x14ac:dyDescent="0.2">
      <c r="A12298" s="14" t="s">
        <v>24177</v>
      </c>
      <c r="B12298" s="15" t="s">
        <v>24178</v>
      </c>
      <c r="C12298" s="19">
        <f>1062.8/(1+B2)</f>
        <v>1062.8</v>
      </c>
      <c r="D12298" s="17" t="s">
        <v>11</v>
      </c>
      <c r="E12298" s="17"/>
      <c r="F12298" s="18"/>
      <c r="G12298" s="36" t="str">
        <f>IF(ISNUMBER(F12298),C12298*F12298,"")</f>
        <v/>
      </c>
    </row>
    <row r="12299" spans="1:7" ht="12" customHeight="1" outlineLevel="2" x14ac:dyDescent="0.2">
      <c r="A12299" s="14" t="s">
        <v>24179</v>
      </c>
      <c r="B12299" s="15" t="s">
        <v>24180</v>
      </c>
      <c r="C12299" s="16">
        <f>805.08/(1+B2)</f>
        <v>805.08</v>
      </c>
      <c r="D12299" s="17" t="s">
        <v>11</v>
      </c>
      <c r="E12299" s="17"/>
      <c r="F12299" s="18"/>
      <c r="G12299" s="36" t="str">
        <f>IF(ISNUMBER(F12299),C12299*F12299,"")</f>
        <v/>
      </c>
    </row>
    <row r="12300" spans="1:7" ht="12" customHeight="1" outlineLevel="2" x14ac:dyDescent="0.2">
      <c r="A12300" s="14" t="s">
        <v>24181</v>
      </c>
      <c r="B12300" s="15" t="s">
        <v>24182</v>
      </c>
      <c r="C12300" s="16">
        <f>492.9/(1+B2)</f>
        <v>492.9</v>
      </c>
      <c r="D12300" s="17" t="s">
        <v>11</v>
      </c>
      <c r="E12300" s="17"/>
      <c r="F12300" s="18"/>
      <c r="G12300" s="36" t="str">
        <f>IF(ISNUMBER(F12300),C12300*F12300,"")</f>
        <v/>
      </c>
    </row>
    <row r="12301" spans="1:7" ht="12" customHeight="1" outlineLevel="2" x14ac:dyDescent="0.2">
      <c r="A12301" s="14" t="s">
        <v>24183</v>
      </c>
      <c r="B12301" s="15" t="s">
        <v>24184</v>
      </c>
      <c r="C12301" s="16">
        <f>856.25/(1+B2)</f>
        <v>856.25</v>
      </c>
      <c r="D12301" s="17" t="s">
        <v>11</v>
      </c>
      <c r="E12301" s="17"/>
      <c r="F12301" s="18"/>
      <c r="G12301" s="36" t="str">
        <f>IF(ISNUMBER(F12301),C12301*F12301,"")</f>
        <v/>
      </c>
    </row>
    <row r="12302" spans="1:7" ht="24" customHeight="1" outlineLevel="2" x14ac:dyDescent="0.2">
      <c r="A12302" s="14" t="s">
        <v>24185</v>
      </c>
      <c r="B12302" s="15" t="s">
        <v>24186</v>
      </c>
      <c r="C12302" s="16">
        <f>221.63/(1+B2)</f>
        <v>221.63</v>
      </c>
      <c r="D12302" s="17" t="s">
        <v>11</v>
      </c>
      <c r="E12302" s="17"/>
      <c r="F12302" s="18"/>
      <c r="G12302" s="36" t="str">
        <f>IF(ISNUMBER(F12302),C12302*F12302,"")</f>
        <v/>
      </c>
    </row>
    <row r="12303" spans="1:7" ht="24" customHeight="1" outlineLevel="2" x14ac:dyDescent="0.2">
      <c r="A12303" s="14" t="s">
        <v>24187</v>
      </c>
      <c r="B12303" s="15" t="s">
        <v>24188</v>
      </c>
      <c r="C12303" s="16">
        <f>388.39/(1+B2)</f>
        <v>388.39</v>
      </c>
      <c r="D12303" s="17" t="s">
        <v>11</v>
      </c>
      <c r="E12303" s="17"/>
      <c r="F12303" s="18"/>
      <c r="G12303" s="36" t="str">
        <f>IF(ISNUMBER(F12303),C12303*F12303,"")</f>
        <v/>
      </c>
    </row>
    <row r="12304" spans="1:7" ht="24" customHeight="1" outlineLevel="2" x14ac:dyDescent="0.2">
      <c r="A12304" s="14" t="s">
        <v>24189</v>
      </c>
      <c r="B12304" s="15" t="s">
        <v>24190</v>
      </c>
      <c r="C12304" s="16">
        <f>731.12/(1+B2)</f>
        <v>731.12</v>
      </c>
      <c r="D12304" s="17" t="s">
        <v>11</v>
      </c>
      <c r="E12304" s="17"/>
      <c r="F12304" s="18"/>
      <c r="G12304" s="36" t="str">
        <f>IF(ISNUMBER(F12304),C12304*F12304,"")</f>
        <v/>
      </c>
    </row>
    <row r="12305" spans="1:7" ht="12" customHeight="1" outlineLevel="2" x14ac:dyDescent="0.2">
      <c r="A12305" s="14" t="s">
        <v>24191</v>
      </c>
      <c r="B12305" s="15" t="s">
        <v>24192</v>
      </c>
      <c r="C12305" s="19">
        <f>2590.3/(1+B2)</f>
        <v>2590.3000000000002</v>
      </c>
      <c r="D12305" s="17" t="s">
        <v>11</v>
      </c>
      <c r="E12305" s="17"/>
      <c r="F12305" s="18"/>
      <c r="G12305" s="36" t="str">
        <f>IF(ISNUMBER(F12305),C12305*F12305,"")</f>
        <v/>
      </c>
    </row>
    <row r="12306" spans="1:7" s="1" customFormat="1" ht="15.95" customHeight="1" outlineLevel="1" x14ac:dyDescent="0.25">
      <c r="A12306" s="11"/>
      <c r="B12306" s="12" t="s">
        <v>24193</v>
      </c>
      <c r="C12306" s="13"/>
      <c r="D12306" s="13"/>
      <c r="E12306" s="13"/>
      <c r="F12306" s="13"/>
      <c r="G12306" s="35"/>
    </row>
    <row r="12307" spans="1:7" ht="12" customHeight="1" outlineLevel="2" x14ac:dyDescent="0.2">
      <c r="A12307" s="14" t="s">
        <v>24194</v>
      </c>
      <c r="B12307" s="15" t="s">
        <v>24195</v>
      </c>
      <c r="C12307" s="16">
        <f>323.52/(1+B2)</f>
        <v>323.52</v>
      </c>
      <c r="D12307" s="17" t="s">
        <v>11</v>
      </c>
      <c r="E12307" s="17"/>
      <c r="F12307" s="18"/>
      <c r="G12307" s="36" t="str">
        <f>IF(ISNUMBER(F12307),C12307*F12307,"")</f>
        <v/>
      </c>
    </row>
    <row r="12308" spans="1:7" ht="12" customHeight="1" outlineLevel="2" x14ac:dyDescent="0.2">
      <c r="A12308" s="14" t="s">
        <v>24196</v>
      </c>
      <c r="B12308" s="15" t="s">
        <v>24197</v>
      </c>
      <c r="C12308" s="16">
        <f>258.36/(1+B2)</f>
        <v>258.36</v>
      </c>
      <c r="D12308" s="17" t="s">
        <v>11</v>
      </c>
      <c r="E12308" s="17"/>
      <c r="F12308" s="18"/>
      <c r="G12308" s="36" t="str">
        <f>IF(ISNUMBER(F12308),C12308*F12308,"")</f>
        <v/>
      </c>
    </row>
    <row r="12309" spans="1:7" ht="12" customHeight="1" outlineLevel="2" x14ac:dyDescent="0.2">
      <c r="A12309" s="14" t="s">
        <v>24198</v>
      </c>
      <c r="B12309" s="15" t="s">
        <v>24199</v>
      </c>
      <c r="C12309" s="16">
        <f>296.9/(1+B2)</f>
        <v>296.89999999999998</v>
      </c>
      <c r="D12309" s="17" t="s">
        <v>11</v>
      </c>
      <c r="E12309" s="17"/>
      <c r="F12309" s="18"/>
      <c r="G12309" s="36" t="str">
        <f>IF(ISNUMBER(F12309),C12309*F12309,"")</f>
        <v/>
      </c>
    </row>
    <row r="12310" spans="1:7" ht="12" customHeight="1" outlineLevel="2" x14ac:dyDescent="0.2">
      <c r="A12310" s="14" t="s">
        <v>24200</v>
      </c>
      <c r="B12310" s="15" t="s">
        <v>24201</v>
      </c>
      <c r="C12310" s="16">
        <f>414.56/(1+B2)</f>
        <v>414.56</v>
      </c>
      <c r="D12310" s="17" t="s">
        <v>11</v>
      </c>
      <c r="E12310" s="17"/>
      <c r="F12310" s="18"/>
      <c r="G12310" s="36" t="str">
        <f>IF(ISNUMBER(F12310),C12310*F12310,"")</f>
        <v/>
      </c>
    </row>
    <row r="12311" spans="1:7" ht="12" customHeight="1" outlineLevel="2" x14ac:dyDescent="0.2">
      <c r="A12311" s="14" t="s">
        <v>24202</v>
      </c>
      <c r="B12311" s="15" t="s">
        <v>24203</v>
      </c>
      <c r="C12311" s="16">
        <f>429.59/(1+B2)</f>
        <v>429.59</v>
      </c>
      <c r="D12311" s="17" t="s">
        <v>11</v>
      </c>
      <c r="E12311" s="17"/>
      <c r="F12311" s="18"/>
      <c r="G12311" s="36" t="str">
        <f>IF(ISNUMBER(F12311),C12311*F12311,"")</f>
        <v/>
      </c>
    </row>
    <row r="12312" spans="1:7" ht="12" customHeight="1" outlineLevel="2" x14ac:dyDescent="0.2">
      <c r="A12312" s="14" t="s">
        <v>24204</v>
      </c>
      <c r="B12312" s="15" t="s">
        <v>24205</v>
      </c>
      <c r="C12312" s="16">
        <f>109.39/(1+B2)</f>
        <v>109.39</v>
      </c>
      <c r="D12312" s="17" t="s">
        <v>11</v>
      </c>
      <c r="E12312" s="17"/>
      <c r="F12312" s="18"/>
      <c r="G12312" s="36" t="str">
        <f>IF(ISNUMBER(F12312),C12312*F12312,"")</f>
        <v/>
      </c>
    </row>
    <row r="12313" spans="1:7" ht="12" customHeight="1" outlineLevel="2" x14ac:dyDescent="0.2">
      <c r="A12313" s="14" t="s">
        <v>24206</v>
      </c>
      <c r="B12313" s="15" t="s">
        <v>24207</v>
      </c>
      <c r="C12313" s="16">
        <f>186.96/(1+B2)</f>
        <v>186.96</v>
      </c>
      <c r="D12313" s="17" t="s">
        <v>11</v>
      </c>
      <c r="E12313" s="17"/>
      <c r="F12313" s="18"/>
      <c r="G12313" s="36" t="str">
        <f>IF(ISNUMBER(F12313),C12313*F12313,"")</f>
        <v/>
      </c>
    </row>
    <row r="12314" spans="1:7" ht="12" customHeight="1" outlineLevel="2" x14ac:dyDescent="0.2">
      <c r="A12314" s="14" t="s">
        <v>24208</v>
      </c>
      <c r="B12314" s="15" t="s">
        <v>24209</v>
      </c>
      <c r="C12314" s="16">
        <f>560.91/(1+B2)</f>
        <v>560.91</v>
      </c>
      <c r="D12314" s="17" t="s">
        <v>11</v>
      </c>
      <c r="E12314" s="17"/>
      <c r="F12314" s="18"/>
      <c r="G12314" s="36" t="str">
        <f>IF(ISNUMBER(F12314),C12314*F12314,"")</f>
        <v/>
      </c>
    </row>
    <row r="12315" spans="1:7" ht="12" customHeight="1" outlineLevel="2" x14ac:dyDescent="0.2">
      <c r="A12315" s="14" t="s">
        <v>24210</v>
      </c>
      <c r="B12315" s="15" t="s">
        <v>24211</v>
      </c>
      <c r="C12315" s="16">
        <f>161.65/(1+B2)</f>
        <v>161.65</v>
      </c>
      <c r="D12315" s="17" t="s">
        <v>11</v>
      </c>
      <c r="E12315" s="17"/>
      <c r="F12315" s="18"/>
      <c r="G12315" s="36" t="str">
        <f>IF(ISNUMBER(F12315),C12315*F12315,"")</f>
        <v/>
      </c>
    </row>
    <row r="12316" spans="1:7" ht="12" customHeight="1" outlineLevel="2" x14ac:dyDescent="0.2">
      <c r="A12316" s="14" t="s">
        <v>24212</v>
      </c>
      <c r="B12316" s="15" t="s">
        <v>24213</v>
      </c>
      <c r="C12316" s="16">
        <f>769.22/(1+B2)</f>
        <v>769.22</v>
      </c>
      <c r="D12316" s="17" t="s">
        <v>11</v>
      </c>
      <c r="E12316" s="17"/>
      <c r="F12316" s="18"/>
      <c r="G12316" s="36" t="str">
        <f>IF(ISNUMBER(F12316),C12316*F12316,"")</f>
        <v/>
      </c>
    </row>
    <row r="12317" spans="1:7" ht="12" customHeight="1" outlineLevel="2" x14ac:dyDescent="0.2">
      <c r="A12317" s="14" t="s">
        <v>24214</v>
      </c>
      <c r="B12317" s="15" t="s">
        <v>24215</v>
      </c>
      <c r="C12317" s="16">
        <f>159.03/(1+B2)</f>
        <v>159.03</v>
      </c>
      <c r="D12317" s="17" t="s">
        <v>14</v>
      </c>
      <c r="E12317" s="17"/>
      <c r="F12317" s="18"/>
      <c r="G12317" s="36" t="str">
        <f>IF(ISNUMBER(F12317),C12317*F12317,"")</f>
        <v/>
      </c>
    </row>
    <row r="12318" spans="1:7" ht="12" customHeight="1" outlineLevel="2" x14ac:dyDescent="0.2">
      <c r="A12318" s="14" t="s">
        <v>24216</v>
      </c>
      <c r="B12318" s="15" t="s">
        <v>24217</v>
      </c>
      <c r="C12318" s="16">
        <f>189.03/(1+B2)</f>
        <v>189.03</v>
      </c>
      <c r="D12318" s="17" t="s">
        <v>11</v>
      </c>
      <c r="E12318" s="17"/>
      <c r="F12318" s="18"/>
      <c r="G12318" s="36" t="str">
        <f>IF(ISNUMBER(F12318),C12318*F12318,"")</f>
        <v/>
      </c>
    </row>
    <row r="12319" spans="1:7" ht="12" customHeight="1" outlineLevel="2" x14ac:dyDescent="0.2">
      <c r="A12319" s="14" t="s">
        <v>24218</v>
      </c>
      <c r="B12319" s="15" t="s">
        <v>24219</v>
      </c>
      <c r="C12319" s="16">
        <f>374.88/(1+B2)</f>
        <v>374.88</v>
      </c>
      <c r="D12319" s="17" t="s">
        <v>11</v>
      </c>
      <c r="E12319" s="17"/>
      <c r="F12319" s="18"/>
      <c r="G12319" s="36" t="str">
        <f>IF(ISNUMBER(F12319),C12319*F12319,"")</f>
        <v/>
      </c>
    </row>
    <row r="12320" spans="1:7" ht="12" customHeight="1" outlineLevel="2" x14ac:dyDescent="0.2">
      <c r="A12320" s="14" t="s">
        <v>24220</v>
      </c>
      <c r="B12320" s="15" t="s">
        <v>24221</v>
      </c>
      <c r="C12320" s="16">
        <f>557.84/(1+B2)</f>
        <v>557.84</v>
      </c>
      <c r="D12320" s="17" t="s">
        <v>11</v>
      </c>
      <c r="E12320" s="17"/>
      <c r="F12320" s="18"/>
      <c r="G12320" s="36" t="str">
        <f>IF(ISNUMBER(F12320),C12320*F12320,"")</f>
        <v/>
      </c>
    </row>
    <row r="12321" spans="1:7" ht="12" customHeight="1" outlineLevel="2" x14ac:dyDescent="0.2">
      <c r="A12321" s="14" t="s">
        <v>24222</v>
      </c>
      <c r="B12321" s="15" t="s">
        <v>24223</v>
      </c>
      <c r="C12321" s="16">
        <f>927.15/(1+B2)</f>
        <v>927.15</v>
      </c>
      <c r="D12321" s="17" t="s">
        <v>11</v>
      </c>
      <c r="E12321" s="17"/>
      <c r="F12321" s="18"/>
      <c r="G12321" s="36" t="str">
        <f>IF(ISNUMBER(F12321),C12321*F12321,"")</f>
        <v/>
      </c>
    </row>
    <row r="12322" spans="1:7" ht="12" customHeight="1" outlineLevel="2" x14ac:dyDescent="0.2">
      <c r="A12322" s="14" t="s">
        <v>24224</v>
      </c>
      <c r="B12322" s="15" t="s">
        <v>24225</v>
      </c>
      <c r="C12322" s="16">
        <f>295/(1+B2)</f>
        <v>295</v>
      </c>
      <c r="D12322" s="17" t="s">
        <v>11</v>
      </c>
      <c r="E12322" s="17" t="s">
        <v>11</v>
      </c>
      <c r="F12322" s="18"/>
      <c r="G12322" s="36" t="str">
        <f>IF(ISNUMBER(F12322),C12322*F12322,"")</f>
        <v/>
      </c>
    </row>
    <row r="12323" spans="1:7" ht="12" customHeight="1" outlineLevel="2" x14ac:dyDescent="0.2">
      <c r="A12323" s="14" t="s">
        <v>24226</v>
      </c>
      <c r="B12323" s="15" t="s">
        <v>24227</v>
      </c>
      <c r="C12323" s="16">
        <f>428/(1+B2)</f>
        <v>428</v>
      </c>
      <c r="D12323" s="17" t="s">
        <v>11</v>
      </c>
      <c r="E12323" s="17"/>
      <c r="F12323" s="18"/>
      <c r="G12323" s="36" t="str">
        <f>IF(ISNUMBER(F12323),C12323*F12323,"")</f>
        <v/>
      </c>
    </row>
    <row r="12324" spans="1:7" ht="12" customHeight="1" outlineLevel="2" x14ac:dyDescent="0.2">
      <c r="A12324" s="14" t="s">
        <v>24228</v>
      </c>
      <c r="B12324" s="15" t="s">
        <v>24229</v>
      </c>
      <c r="C12324" s="16">
        <f>389/(1+B2)</f>
        <v>389</v>
      </c>
      <c r="D12324" s="17" t="s">
        <v>11</v>
      </c>
      <c r="E12324" s="17"/>
      <c r="F12324" s="18"/>
      <c r="G12324" s="36" t="str">
        <f>IF(ISNUMBER(F12324),C12324*F12324,"")</f>
        <v/>
      </c>
    </row>
    <row r="12325" spans="1:7" ht="12" customHeight="1" outlineLevel="2" x14ac:dyDescent="0.2">
      <c r="A12325" s="14" t="s">
        <v>24230</v>
      </c>
      <c r="B12325" s="15" t="s">
        <v>24231</v>
      </c>
      <c r="C12325" s="19">
        <f>1367.88/(1+B2)</f>
        <v>1367.88</v>
      </c>
      <c r="D12325" s="17" t="s">
        <v>11</v>
      </c>
      <c r="E12325" s="17"/>
      <c r="F12325" s="18"/>
      <c r="G12325" s="36" t="str">
        <f>IF(ISNUMBER(F12325),C12325*F12325,"")</f>
        <v/>
      </c>
    </row>
    <row r="12326" spans="1:7" ht="12" customHeight="1" outlineLevel="2" x14ac:dyDescent="0.2">
      <c r="A12326" s="14" t="s">
        <v>24232</v>
      </c>
      <c r="B12326" s="15" t="s">
        <v>24233</v>
      </c>
      <c r="C12326" s="16">
        <f>801.22/(1+B2)</f>
        <v>801.22</v>
      </c>
      <c r="D12326" s="17" t="s">
        <v>11</v>
      </c>
      <c r="E12326" s="17"/>
      <c r="F12326" s="18"/>
      <c r="G12326" s="36" t="str">
        <f>IF(ISNUMBER(F12326),C12326*F12326,"")</f>
        <v/>
      </c>
    </row>
    <row r="12327" spans="1:7" ht="12" customHeight="1" outlineLevel="2" x14ac:dyDescent="0.2">
      <c r="A12327" s="14" t="s">
        <v>24234</v>
      </c>
      <c r="B12327" s="15" t="s">
        <v>24235</v>
      </c>
      <c r="C12327" s="16">
        <f>98.32/(1+B2)</f>
        <v>98.32</v>
      </c>
      <c r="D12327" s="17" t="s">
        <v>11</v>
      </c>
      <c r="E12327" s="17"/>
      <c r="F12327" s="18"/>
      <c r="G12327" s="36" t="str">
        <f>IF(ISNUMBER(F12327),C12327*F12327,"")</f>
        <v/>
      </c>
    </row>
    <row r="12328" spans="1:7" ht="12" customHeight="1" outlineLevel="2" x14ac:dyDescent="0.2">
      <c r="A12328" s="14" t="s">
        <v>24236</v>
      </c>
      <c r="B12328" s="15" t="s">
        <v>24237</v>
      </c>
      <c r="C12328" s="16">
        <f>142.04/(1+B2)</f>
        <v>142.04</v>
      </c>
      <c r="D12328" s="17" t="s">
        <v>11</v>
      </c>
      <c r="E12328" s="17"/>
      <c r="F12328" s="18"/>
      <c r="G12328" s="36" t="str">
        <f>IF(ISNUMBER(F12328),C12328*F12328,"")</f>
        <v/>
      </c>
    </row>
    <row r="12329" spans="1:7" ht="12" customHeight="1" outlineLevel="2" x14ac:dyDescent="0.2">
      <c r="A12329" s="14" t="s">
        <v>24238</v>
      </c>
      <c r="B12329" s="15" t="s">
        <v>24239</v>
      </c>
      <c r="C12329" s="16">
        <f>927.15/(1+B2)</f>
        <v>927.15</v>
      </c>
      <c r="D12329" s="17" t="s">
        <v>11</v>
      </c>
      <c r="E12329" s="17"/>
      <c r="F12329" s="18"/>
      <c r="G12329" s="36" t="str">
        <f>IF(ISNUMBER(F12329),C12329*F12329,"")</f>
        <v/>
      </c>
    </row>
    <row r="12330" spans="1:7" ht="12" customHeight="1" outlineLevel="2" x14ac:dyDescent="0.2">
      <c r="A12330" s="14" t="s">
        <v>24240</v>
      </c>
      <c r="B12330" s="15" t="s">
        <v>24241</v>
      </c>
      <c r="C12330" s="16">
        <f>139/(1+B2)</f>
        <v>139</v>
      </c>
      <c r="D12330" s="17" t="s">
        <v>11</v>
      </c>
      <c r="E12330" s="17" t="s">
        <v>14</v>
      </c>
      <c r="F12330" s="18"/>
      <c r="G12330" s="36" t="str">
        <f>IF(ISNUMBER(F12330),C12330*F12330,"")</f>
        <v/>
      </c>
    </row>
    <row r="12331" spans="1:7" ht="24" customHeight="1" outlineLevel="2" x14ac:dyDescent="0.2">
      <c r="A12331" s="14" t="s">
        <v>24242</v>
      </c>
      <c r="B12331" s="15" t="s">
        <v>24243</v>
      </c>
      <c r="C12331" s="19">
        <f>1217.82/(1+B2)</f>
        <v>1217.82</v>
      </c>
      <c r="D12331" s="17" t="s">
        <v>11</v>
      </c>
      <c r="E12331" s="17"/>
      <c r="F12331" s="18"/>
      <c r="G12331" s="36" t="str">
        <f>IF(ISNUMBER(F12331),C12331*F12331,"")</f>
        <v/>
      </c>
    </row>
    <row r="12332" spans="1:7" ht="12" customHeight="1" outlineLevel="2" x14ac:dyDescent="0.2">
      <c r="A12332" s="14" t="s">
        <v>24244</v>
      </c>
      <c r="B12332" s="15" t="s">
        <v>24245</v>
      </c>
      <c r="C12332" s="16">
        <f>413.3/(1+B2)</f>
        <v>413.3</v>
      </c>
      <c r="D12332" s="17" t="s">
        <v>11</v>
      </c>
      <c r="E12332" s="17"/>
      <c r="F12332" s="18"/>
      <c r="G12332" s="36" t="str">
        <f>IF(ISNUMBER(F12332),C12332*F12332,"")</f>
        <v/>
      </c>
    </row>
    <row r="12333" spans="1:7" s="1" customFormat="1" ht="15.95" customHeight="1" outlineLevel="1" x14ac:dyDescent="0.25">
      <c r="A12333" s="11"/>
      <c r="B12333" s="12" t="s">
        <v>24246</v>
      </c>
      <c r="C12333" s="13"/>
      <c r="D12333" s="13"/>
      <c r="E12333" s="13"/>
      <c r="F12333" s="13"/>
      <c r="G12333" s="35"/>
    </row>
    <row r="12334" spans="1:7" ht="24" customHeight="1" outlineLevel="2" x14ac:dyDescent="0.2">
      <c r="A12334" s="14" t="s">
        <v>24247</v>
      </c>
      <c r="B12334" s="15" t="s">
        <v>24248</v>
      </c>
      <c r="C12334" s="16">
        <f>375.59/(1+B2)</f>
        <v>375.59</v>
      </c>
      <c r="D12334" s="17" t="s">
        <v>11</v>
      </c>
      <c r="E12334" s="17"/>
      <c r="F12334" s="18"/>
      <c r="G12334" s="36" t="str">
        <f>IF(ISNUMBER(F12334),C12334*F12334,"")</f>
        <v/>
      </c>
    </row>
    <row r="12335" spans="1:7" ht="12" customHeight="1" outlineLevel="2" x14ac:dyDescent="0.2">
      <c r="A12335" s="14" t="s">
        <v>24249</v>
      </c>
      <c r="B12335" s="15" t="s">
        <v>24250</v>
      </c>
      <c r="C12335" s="16">
        <f>592.76/(1+B2)</f>
        <v>592.76</v>
      </c>
      <c r="D12335" s="17" t="s">
        <v>11</v>
      </c>
      <c r="E12335" s="17"/>
      <c r="F12335" s="18"/>
      <c r="G12335" s="36" t="str">
        <f>IF(ISNUMBER(F12335),C12335*F12335,"")</f>
        <v/>
      </c>
    </row>
    <row r="12336" spans="1:7" ht="12" customHeight="1" outlineLevel="2" x14ac:dyDescent="0.2">
      <c r="A12336" s="14" t="s">
        <v>24251</v>
      </c>
      <c r="B12336" s="15" t="s">
        <v>24252</v>
      </c>
      <c r="C12336" s="16">
        <f>139.4/(1+B2)</f>
        <v>139.4</v>
      </c>
      <c r="D12336" s="17" t="s">
        <v>14</v>
      </c>
      <c r="E12336" s="17"/>
      <c r="F12336" s="18"/>
      <c r="G12336" s="36" t="str">
        <f>IF(ISNUMBER(F12336),C12336*F12336,"")</f>
        <v/>
      </c>
    </row>
    <row r="12337" spans="1:7" ht="12" customHeight="1" outlineLevel="2" x14ac:dyDescent="0.2">
      <c r="A12337" s="14" t="s">
        <v>24253</v>
      </c>
      <c r="B12337" s="15" t="s">
        <v>24254</v>
      </c>
      <c r="C12337" s="16">
        <f>172.32/(1+B2)</f>
        <v>172.32</v>
      </c>
      <c r="D12337" s="17" t="s">
        <v>11</v>
      </c>
      <c r="E12337" s="17"/>
      <c r="F12337" s="18"/>
      <c r="G12337" s="36" t="str">
        <f>IF(ISNUMBER(F12337),C12337*F12337,"")</f>
        <v/>
      </c>
    </row>
    <row r="12338" spans="1:7" ht="12" customHeight="1" outlineLevel="2" x14ac:dyDescent="0.2">
      <c r="A12338" s="14" t="s">
        <v>24255</v>
      </c>
      <c r="B12338" s="15" t="s">
        <v>24256</v>
      </c>
      <c r="C12338" s="16">
        <f>495.08/(1+B2)</f>
        <v>495.08</v>
      </c>
      <c r="D12338" s="17" t="s">
        <v>11</v>
      </c>
      <c r="E12338" s="17"/>
      <c r="F12338" s="18"/>
      <c r="G12338" s="36" t="str">
        <f>IF(ISNUMBER(F12338),C12338*F12338,"")</f>
        <v/>
      </c>
    </row>
    <row r="12339" spans="1:7" ht="12" customHeight="1" outlineLevel="2" x14ac:dyDescent="0.2">
      <c r="A12339" s="14" t="s">
        <v>24257</v>
      </c>
      <c r="B12339" s="15" t="s">
        <v>24258</v>
      </c>
      <c r="C12339" s="16">
        <f>307.01/(1+B2)</f>
        <v>307.01</v>
      </c>
      <c r="D12339" s="17" t="s">
        <v>11</v>
      </c>
      <c r="E12339" s="17"/>
      <c r="F12339" s="18"/>
      <c r="G12339" s="36" t="str">
        <f>IF(ISNUMBER(F12339),C12339*F12339,"")</f>
        <v/>
      </c>
    </row>
    <row r="12340" spans="1:7" ht="12" customHeight="1" outlineLevel="2" x14ac:dyDescent="0.2">
      <c r="A12340" s="14" t="s">
        <v>24259</v>
      </c>
      <c r="B12340" s="15" t="s">
        <v>24260</v>
      </c>
      <c r="C12340" s="16">
        <f>357.54/(1+B2)</f>
        <v>357.54</v>
      </c>
      <c r="D12340" s="17" t="s">
        <v>11</v>
      </c>
      <c r="E12340" s="17"/>
      <c r="F12340" s="18"/>
      <c r="G12340" s="36" t="str">
        <f>IF(ISNUMBER(F12340),C12340*F12340,"")</f>
        <v/>
      </c>
    </row>
    <row r="12341" spans="1:7" ht="24" customHeight="1" outlineLevel="2" x14ac:dyDescent="0.2">
      <c r="A12341" s="14" t="s">
        <v>24261</v>
      </c>
      <c r="B12341" s="15" t="s">
        <v>24262</v>
      </c>
      <c r="C12341" s="16">
        <f>362.92/(1+B2)</f>
        <v>362.92</v>
      </c>
      <c r="D12341" s="17" t="s">
        <v>11</v>
      </c>
      <c r="E12341" s="17"/>
      <c r="F12341" s="18"/>
      <c r="G12341" s="36" t="str">
        <f>IF(ISNUMBER(F12341),C12341*F12341,"")</f>
        <v/>
      </c>
    </row>
    <row r="12342" spans="1:7" ht="12" customHeight="1" outlineLevel="2" x14ac:dyDescent="0.2">
      <c r="A12342" s="14" t="s">
        <v>24263</v>
      </c>
      <c r="B12342" s="15" t="s">
        <v>24264</v>
      </c>
      <c r="C12342" s="16">
        <f>332.27/(1+B2)</f>
        <v>332.27</v>
      </c>
      <c r="D12342" s="17" t="s">
        <v>11</v>
      </c>
      <c r="E12342" s="17"/>
      <c r="F12342" s="18"/>
      <c r="G12342" s="36" t="str">
        <f>IF(ISNUMBER(F12342),C12342*F12342,"")</f>
        <v/>
      </c>
    </row>
    <row r="12343" spans="1:7" ht="12" customHeight="1" outlineLevel="2" x14ac:dyDescent="0.2">
      <c r="A12343" s="14" t="s">
        <v>24265</v>
      </c>
      <c r="B12343" s="15" t="s">
        <v>24266</v>
      </c>
      <c r="C12343" s="16">
        <f>372.46/(1+B2)</f>
        <v>372.46</v>
      </c>
      <c r="D12343" s="17" t="s">
        <v>11</v>
      </c>
      <c r="E12343" s="17"/>
      <c r="F12343" s="18"/>
      <c r="G12343" s="36" t="str">
        <f>IF(ISNUMBER(F12343),C12343*F12343,"")</f>
        <v/>
      </c>
    </row>
    <row r="12344" spans="1:7" ht="12" customHeight="1" outlineLevel="2" x14ac:dyDescent="0.2">
      <c r="A12344" s="14" t="s">
        <v>24267</v>
      </c>
      <c r="B12344" s="15" t="s">
        <v>24268</v>
      </c>
      <c r="C12344" s="16">
        <f>357.44/(1+B2)</f>
        <v>357.44</v>
      </c>
      <c r="D12344" s="17" t="s">
        <v>11</v>
      </c>
      <c r="E12344" s="17"/>
      <c r="F12344" s="18"/>
      <c r="G12344" s="36" t="str">
        <f>IF(ISNUMBER(F12344),C12344*F12344,"")</f>
        <v/>
      </c>
    </row>
    <row r="12345" spans="1:7" ht="12" customHeight="1" outlineLevel="2" x14ac:dyDescent="0.2">
      <c r="A12345" s="14" t="s">
        <v>24269</v>
      </c>
      <c r="B12345" s="15" t="s">
        <v>24270</v>
      </c>
      <c r="C12345" s="16">
        <f>394/(1+B2)</f>
        <v>394</v>
      </c>
      <c r="D12345" s="17" t="s">
        <v>11</v>
      </c>
      <c r="E12345" s="17"/>
      <c r="F12345" s="18"/>
      <c r="G12345" s="36" t="str">
        <f>IF(ISNUMBER(F12345),C12345*F12345,"")</f>
        <v/>
      </c>
    </row>
    <row r="12346" spans="1:7" ht="12" customHeight="1" outlineLevel="2" x14ac:dyDescent="0.2">
      <c r="A12346" s="14" t="s">
        <v>24271</v>
      </c>
      <c r="B12346" s="15" t="s">
        <v>24272</v>
      </c>
      <c r="C12346" s="16">
        <f>423.95/(1+B2)</f>
        <v>423.95</v>
      </c>
      <c r="D12346" s="17" t="s">
        <v>11</v>
      </c>
      <c r="E12346" s="17"/>
      <c r="F12346" s="18"/>
      <c r="G12346" s="36" t="str">
        <f>IF(ISNUMBER(F12346),C12346*F12346,"")</f>
        <v/>
      </c>
    </row>
    <row r="12347" spans="1:7" ht="24" customHeight="1" outlineLevel="2" x14ac:dyDescent="0.2">
      <c r="A12347" s="14" t="s">
        <v>24273</v>
      </c>
      <c r="B12347" s="15" t="s">
        <v>24274</v>
      </c>
      <c r="C12347" s="16">
        <f>733.89/(1+B2)</f>
        <v>733.89</v>
      </c>
      <c r="D12347" s="17" t="s">
        <v>11</v>
      </c>
      <c r="E12347" s="17"/>
      <c r="F12347" s="18"/>
      <c r="G12347" s="36" t="str">
        <f>IF(ISNUMBER(F12347),C12347*F12347,"")</f>
        <v/>
      </c>
    </row>
    <row r="12348" spans="1:7" ht="12" customHeight="1" outlineLevel="2" x14ac:dyDescent="0.2">
      <c r="A12348" s="14" t="s">
        <v>24275</v>
      </c>
      <c r="B12348" s="15" t="s">
        <v>24276</v>
      </c>
      <c r="C12348" s="16">
        <f>199.43/(1+B2)</f>
        <v>199.43</v>
      </c>
      <c r="D12348" s="17" t="s">
        <v>11</v>
      </c>
      <c r="E12348" s="17"/>
      <c r="F12348" s="18"/>
      <c r="G12348" s="36" t="str">
        <f>IF(ISNUMBER(F12348),C12348*F12348,"")</f>
        <v/>
      </c>
    </row>
    <row r="12349" spans="1:7" ht="24" customHeight="1" outlineLevel="2" x14ac:dyDescent="0.2">
      <c r="A12349" s="14" t="s">
        <v>24277</v>
      </c>
      <c r="B12349" s="15" t="s">
        <v>24278</v>
      </c>
      <c r="C12349" s="16">
        <f>523.74/(1+B2)</f>
        <v>523.74</v>
      </c>
      <c r="D12349" s="17" t="s">
        <v>11</v>
      </c>
      <c r="E12349" s="17"/>
      <c r="F12349" s="18"/>
      <c r="G12349" s="36" t="str">
        <f>IF(ISNUMBER(F12349),C12349*F12349,"")</f>
        <v/>
      </c>
    </row>
    <row r="12350" spans="1:7" ht="12" customHeight="1" outlineLevel="2" x14ac:dyDescent="0.2">
      <c r="A12350" s="14" t="s">
        <v>24279</v>
      </c>
      <c r="B12350" s="15" t="s">
        <v>24280</v>
      </c>
      <c r="C12350" s="16">
        <f>70.8/(1+B2)</f>
        <v>70.8</v>
      </c>
      <c r="D12350" s="17" t="s">
        <v>11</v>
      </c>
      <c r="E12350" s="17"/>
      <c r="F12350" s="18"/>
      <c r="G12350" s="36" t="str">
        <f>IF(ISNUMBER(F12350),C12350*F12350,"")</f>
        <v/>
      </c>
    </row>
    <row r="12351" spans="1:7" ht="12" customHeight="1" outlineLevel="2" x14ac:dyDescent="0.2">
      <c r="A12351" s="14" t="s">
        <v>24281</v>
      </c>
      <c r="B12351" s="15" t="s">
        <v>24282</v>
      </c>
      <c r="C12351" s="16">
        <f>102.03/(1+B2)</f>
        <v>102.03</v>
      </c>
      <c r="D12351" s="17" t="s">
        <v>11</v>
      </c>
      <c r="E12351" s="17"/>
      <c r="F12351" s="18"/>
      <c r="G12351" s="36" t="str">
        <f>IF(ISNUMBER(F12351),C12351*F12351,"")</f>
        <v/>
      </c>
    </row>
    <row r="12352" spans="1:7" ht="12" customHeight="1" outlineLevel="2" x14ac:dyDescent="0.2">
      <c r="A12352" s="14" t="s">
        <v>24283</v>
      </c>
      <c r="B12352" s="15" t="s">
        <v>24284</v>
      </c>
      <c r="C12352" s="16">
        <f>103.25/(1+B2)</f>
        <v>103.25</v>
      </c>
      <c r="D12352" s="17" t="s">
        <v>11</v>
      </c>
      <c r="E12352" s="17"/>
      <c r="F12352" s="18"/>
      <c r="G12352" s="36" t="str">
        <f>IF(ISNUMBER(F12352),C12352*F12352,"")</f>
        <v/>
      </c>
    </row>
    <row r="12353" spans="1:7" ht="12" customHeight="1" outlineLevel="2" x14ac:dyDescent="0.2">
      <c r="A12353" s="14" t="s">
        <v>24285</v>
      </c>
      <c r="B12353" s="15" t="s">
        <v>24286</v>
      </c>
      <c r="C12353" s="16">
        <f>55.65/(1+B2)</f>
        <v>55.65</v>
      </c>
      <c r="D12353" s="17" t="s">
        <v>14</v>
      </c>
      <c r="E12353" s="17"/>
      <c r="F12353" s="18"/>
      <c r="G12353" s="36" t="str">
        <f>IF(ISNUMBER(F12353),C12353*F12353,"")</f>
        <v/>
      </c>
    </row>
    <row r="12354" spans="1:7" ht="12" customHeight="1" outlineLevel="2" x14ac:dyDescent="0.2">
      <c r="A12354" s="14" t="s">
        <v>24287</v>
      </c>
      <c r="B12354" s="15" t="s">
        <v>24288</v>
      </c>
      <c r="C12354" s="16">
        <f>86.43/(1+B2)</f>
        <v>86.43</v>
      </c>
      <c r="D12354" s="17" t="s">
        <v>11</v>
      </c>
      <c r="E12354" s="17"/>
      <c r="F12354" s="18"/>
      <c r="G12354" s="36" t="str">
        <f>IF(ISNUMBER(F12354),C12354*F12354,"")</f>
        <v/>
      </c>
    </row>
    <row r="12355" spans="1:7" ht="12" customHeight="1" outlineLevel="2" x14ac:dyDescent="0.2">
      <c r="A12355" s="14" t="s">
        <v>24289</v>
      </c>
      <c r="B12355" s="15" t="s">
        <v>24290</v>
      </c>
      <c r="C12355" s="16">
        <f>112.85/(1+B2)</f>
        <v>112.85</v>
      </c>
      <c r="D12355" s="17" t="s">
        <v>11</v>
      </c>
      <c r="E12355" s="17"/>
      <c r="F12355" s="18"/>
      <c r="G12355" s="36" t="str">
        <f>IF(ISNUMBER(F12355),C12355*F12355,"")</f>
        <v/>
      </c>
    </row>
    <row r="12356" spans="1:7" ht="12" customHeight="1" outlineLevel="2" x14ac:dyDescent="0.2">
      <c r="A12356" s="14" t="s">
        <v>24291</v>
      </c>
      <c r="B12356" s="15" t="s">
        <v>24292</v>
      </c>
      <c r="C12356" s="16">
        <f>174.04/(1+B2)</f>
        <v>174.04</v>
      </c>
      <c r="D12356" s="17" t="s">
        <v>11</v>
      </c>
      <c r="E12356" s="17"/>
      <c r="F12356" s="18"/>
      <c r="G12356" s="36" t="str">
        <f>IF(ISNUMBER(F12356),C12356*F12356,"")</f>
        <v/>
      </c>
    </row>
    <row r="12357" spans="1:7" ht="12" customHeight="1" outlineLevel="2" x14ac:dyDescent="0.2">
      <c r="A12357" s="14" t="s">
        <v>24293</v>
      </c>
      <c r="B12357" s="15" t="s">
        <v>24294</v>
      </c>
      <c r="C12357" s="16">
        <f>33.98/(1+B2)</f>
        <v>33.979999999999997</v>
      </c>
      <c r="D12357" s="17" t="s">
        <v>11</v>
      </c>
      <c r="E12357" s="17"/>
      <c r="F12357" s="18"/>
      <c r="G12357" s="36" t="str">
        <f>IF(ISNUMBER(F12357),C12357*F12357,"")</f>
        <v/>
      </c>
    </row>
    <row r="12358" spans="1:7" ht="12" customHeight="1" outlineLevel="2" x14ac:dyDescent="0.2">
      <c r="A12358" s="14" t="s">
        <v>24295</v>
      </c>
      <c r="B12358" s="15" t="s">
        <v>24296</v>
      </c>
      <c r="C12358" s="16">
        <f>101.25/(1+B2)</f>
        <v>101.25</v>
      </c>
      <c r="D12358" s="17" t="s">
        <v>11</v>
      </c>
      <c r="E12358" s="17"/>
      <c r="F12358" s="18"/>
      <c r="G12358" s="36" t="str">
        <f>IF(ISNUMBER(F12358),C12358*F12358,"")</f>
        <v/>
      </c>
    </row>
    <row r="12359" spans="1:7" ht="12" customHeight="1" outlineLevel="2" x14ac:dyDescent="0.2">
      <c r="A12359" s="14" t="s">
        <v>24297</v>
      </c>
      <c r="B12359" s="15" t="s">
        <v>24298</v>
      </c>
      <c r="C12359" s="16">
        <f>171.35/(1+B2)</f>
        <v>171.35</v>
      </c>
      <c r="D12359" s="17" t="s">
        <v>11</v>
      </c>
      <c r="E12359" s="17"/>
      <c r="F12359" s="18"/>
      <c r="G12359" s="36" t="str">
        <f>IF(ISNUMBER(F12359),C12359*F12359,"")</f>
        <v/>
      </c>
    </row>
    <row r="12360" spans="1:7" ht="12" customHeight="1" outlineLevel="2" x14ac:dyDescent="0.2">
      <c r="A12360" s="14" t="s">
        <v>24299</v>
      </c>
      <c r="B12360" s="15" t="s">
        <v>24300</v>
      </c>
      <c r="C12360" s="16">
        <f>431.77/(1+B2)</f>
        <v>431.77</v>
      </c>
      <c r="D12360" s="17" t="s">
        <v>11</v>
      </c>
      <c r="E12360" s="17"/>
      <c r="F12360" s="18"/>
      <c r="G12360" s="36" t="str">
        <f>IF(ISNUMBER(F12360),C12360*F12360,"")</f>
        <v/>
      </c>
    </row>
    <row r="12361" spans="1:7" ht="12" customHeight="1" outlineLevel="2" x14ac:dyDescent="0.2">
      <c r="A12361" s="14" t="s">
        <v>24301</v>
      </c>
      <c r="B12361" s="15" t="s">
        <v>24302</v>
      </c>
      <c r="C12361" s="16">
        <f>276.87/(1+B2)</f>
        <v>276.87</v>
      </c>
      <c r="D12361" s="17" t="s">
        <v>11</v>
      </c>
      <c r="E12361" s="17"/>
      <c r="F12361" s="18"/>
      <c r="G12361" s="36" t="str">
        <f>IF(ISNUMBER(F12361),C12361*F12361,"")</f>
        <v/>
      </c>
    </row>
    <row r="12362" spans="1:7" ht="12" customHeight="1" outlineLevel="2" x14ac:dyDescent="0.2">
      <c r="A12362" s="14" t="s">
        <v>24303</v>
      </c>
      <c r="B12362" s="15" t="s">
        <v>24304</v>
      </c>
      <c r="C12362" s="16">
        <f>238.43/(1+B2)</f>
        <v>238.43</v>
      </c>
      <c r="D12362" s="17" t="s">
        <v>11</v>
      </c>
      <c r="E12362" s="17"/>
      <c r="F12362" s="18"/>
      <c r="G12362" s="36" t="str">
        <f>IF(ISNUMBER(F12362),C12362*F12362,"")</f>
        <v/>
      </c>
    </row>
    <row r="12363" spans="1:7" ht="12" customHeight="1" outlineLevel="2" x14ac:dyDescent="0.2">
      <c r="A12363" s="14" t="s">
        <v>24305</v>
      </c>
      <c r="B12363" s="15" t="s">
        <v>24306</v>
      </c>
      <c r="C12363" s="19">
        <f>1202.5/(1+B2)</f>
        <v>1202.5</v>
      </c>
      <c r="D12363" s="17" t="s">
        <v>11</v>
      </c>
      <c r="E12363" s="17" t="s">
        <v>14</v>
      </c>
      <c r="F12363" s="18"/>
      <c r="G12363" s="36" t="str">
        <f>IF(ISNUMBER(F12363),C12363*F12363,"")</f>
        <v/>
      </c>
    </row>
    <row r="12364" spans="1:7" ht="12" customHeight="1" outlineLevel="2" x14ac:dyDescent="0.2">
      <c r="A12364" s="14" t="s">
        <v>24307</v>
      </c>
      <c r="B12364" s="15" t="s">
        <v>24308</v>
      </c>
      <c r="C12364" s="19">
        <f>1479.58/(1+B2)</f>
        <v>1479.58</v>
      </c>
      <c r="D12364" s="17" t="s">
        <v>11</v>
      </c>
      <c r="E12364" s="17"/>
      <c r="F12364" s="18"/>
      <c r="G12364" s="36" t="str">
        <f>IF(ISNUMBER(F12364),C12364*F12364,"")</f>
        <v/>
      </c>
    </row>
    <row r="12365" spans="1:7" ht="12" customHeight="1" outlineLevel="2" x14ac:dyDescent="0.2">
      <c r="A12365" s="14" t="s">
        <v>24309</v>
      </c>
      <c r="B12365" s="15" t="s">
        <v>24310</v>
      </c>
      <c r="C12365" s="16">
        <f>323.1/(1+B2)</f>
        <v>323.10000000000002</v>
      </c>
      <c r="D12365" s="17" t="s">
        <v>11</v>
      </c>
      <c r="E12365" s="17"/>
      <c r="F12365" s="18"/>
      <c r="G12365" s="36" t="str">
        <f>IF(ISNUMBER(F12365),C12365*F12365,"")</f>
        <v/>
      </c>
    </row>
    <row r="12366" spans="1:7" ht="12" customHeight="1" outlineLevel="2" x14ac:dyDescent="0.2">
      <c r="A12366" s="14" t="s">
        <v>24311</v>
      </c>
      <c r="B12366" s="15" t="s">
        <v>24312</v>
      </c>
      <c r="C12366" s="19">
        <f>1855.51/(1+B2)</f>
        <v>1855.51</v>
      </c>
      <c r="D12366" s="17" t="s">
        <v>11</v>
      </c>
      <c r="E12366" s="17" t="s">
        <v>14</v>
      </c>
      <c r="F12366" s="18"/>
      <c r="G12366" s="36" t="str">
        <f>IF(ISNUMBER(F12366),C12366*F12366,"")</f>
        <v/>
      </c>
    </row>
    <row r="12367" spans="1:7" ht="12" customHeight="1" outlineLevel="2" x14ac:dyDescent="0.2">
      <c r="A12367" s="14" t="s">
        <v>24313</v>
      </c>
      <c r="B12367" s="15" t="s">
        <v>24314</v>
      </c>
      <c r="C12367" s="19">
        <f>2256.85/(1+B2)</f>
        <v>2256.85</v>
      </c>
      <c r="D12367" s="17" t="s">
        <v>11</v>
      </c>
      <c r="E12367" s="17" t="s">
        <v>11</v>
      </c>
      <c r="F12367" s="18"/>
      <c r="G12367" s="36" t="str">
        <f>IF(ISNUMBER(F12367),C12367*F12367,"")</f>
        <v/>
      </c>
    </row>
    <row r="12368" spans="1:7" ht="12" customHeight="1" outlineLevel="2" x14ac:dyDescent="0.2">
      <c r="A12368" s="14" t="s">
        <v>24315</v>
      </c>
      <c r="B12368" s="15" t="s">
        <v>24316</v>
      </c>
      <c r="C12368" s="16">
        <f>501.24/(1+B2)</f>
        <v>501.24</v>
      </c>
      <c r="D12368" s="17" t="s">
        <v>11</v>
      </c>
      <c r="E12368" s="17" t="s">
        <v>106</v>
      </c>
      <c r="F12368" s="18"/>
      <c r="G12368" s="36" t="str">
        <f>IF(ISNUMBER(F12368),C12368*F12368,"")</f>
        <v/>
      </c>
    </row>
    <row r="12369" spans="1:7" ht="12" customHeight="1" outlineLevel="2" x14ac:dyDescent="0.2">
      <c r="A12369" s="14" t="s">
        <v>24317</v>
      </c>
      <c r="B12369" s="15" t="s">
        <v>24318</v>
      </c>
      <c r="C12369" s="19">
        <f>1135.12/(1+B2)</f>
        <v>1135.1199999999999</v>
      </c>
      <c r="D12369" s="17" t="s">
        <v>11</v>
      </c>
      <c r="E12369" s="17" t="s">
        <v>106</v>
      </c>
      <c r="F12369" s="18"/>
      <c r="G12369" s="36" t="str">
        <f>IF(ISNUMBER(F12369),C12369*F12369,"")</f>
        <v/>
      </c>
    </row>
    <row r="12370" spans="1:7" ht="12" customHeight="1" outlineLevel="2" x14ac:dyDescent="0.2">
      <c r="A12370" s="14" t="s">
        <v>24319</v>
      </c>
      <c r="B12370" s="15" t="s">
        <v>24320</v>
      </c>
      <c r="C12370" s="19">
        <f>2224.55/(1+B2)</f>
        <v>2224.5500000000002</v>
      </c>
      <c r="D12370" s="17" t="s">
        <v>11</v>
      </c>
      <c r="E12370" s="17" t="s">
        <v>106</v>
      </c>
      <c r="F12370" s="18"/>
      <c r="G12370" s="36" t="str">
        <f>IF(ISNUMBER(F12370),C12370*F12370,"")</f>
        <v/>
      </c>
    </row>
    <row r="12371" spans="1:7" ht="12" customHeight="1" outlineLevel="2" x14ac:dyDescent="0.2">
      <c r="A12371" s="14" t="s">
        <v>24321</v>
      </c>
      <c r="B12371" s="15" t="s">
        <v>24322</v>
      </c>
      <c r="C12371" s="19">
        <f>2696.2/(1+B2)</f>
        <v>2696.2</v>
      </c>
      <c r="D12371" s="17" t="s">
        <v>11</v>
      </c>
      <c r="E12371" s="17" t="s">
        <v>106</v>
      </c>
      <c r="F12371" s="18"/>
      <c r="G12371" s="36" t="str">
        <f>IF(ISNUMBER(F12371),C12371*F12371,"")</f>
        <v/>
      </c>
    </row>
    <row r="12372" spans="1:7" s="1" customFormat="1" ht="15.95" customHeight="1" outlineLevel="1" x14ac:dyDescent="0.25">
      <c r="A12372" s="11"/>
      <c r="B12372" s="12" t="s">
        <v>24323</v>
      </c>
      <c r="C12372" s="13"/>
      <c r="D12372" s="13"/>
      <c r="E12372" s="13"/>
      <c r="F12372" s="13"/>
      <c r="G12372" s="35"/>
    </row>
    <row r="12373" spans="1:7" s="1" customFormat="1" ht="12.95" customHeight="1" outlineLevel="2" x14ac:dyDescent="0.2">
      <c r="A12373" s="20"/>
      <c r="B12373" s="21" t="s">
        <v>24324</v>
      </c>
      <c r="C12373" s="22"/>
      <c r="D12373" s="22"/>
      <c r="E12373" s="22"/>
      <c r="F12373" s="22"/>
      <c r="G12373" s="37"/>
    </row>
    <row r="12374" spans="1:7" ht="12" customHeight="1" outlineLevel="3" x14ac:dyDescent="0.2">
      <c r="A12374" s="14" t="s">
        <v>24325</v>
      </c>
      <c r="B12374" s="15" t="s">
        <v>24326</v>
      </c>
      <c r="C12374" s="16">
        <f>125.86/(1+B2)</f>
        <v>125.86</v>
      </c>
      <c r="D12374" s="17" t="s">
        <v>11</v>
      </c>
      <c r="E12374" s="17"/>
      <c r="F12374" s="18"/>
      <c r="G12374" s="36" t="str">
        <f>IF(ISNUMBER(F12374),C12374*F12374,"")</f>
        <v/>
      </c>
    </row>
    <row r="12375" spans="1:7" ht="12" customHeight="1" outlineLevel="3" x14ac:dyDescent="0.2">
      <c r="A12375" s="14" t="s">
        <v>24327</v>
      </c>
      <c r="B12375" s="15" t="s">
        <v>24328</v>
      </c>
      <c r="C12375" s="16">
        <f>281.82/(1+B2)</f>
        <v>281.82</v>
      </c>
      <c r="D12375" s="17" t="s">
        <v>14</v>
      </c>
      <c r="E12375" s="17"/>
      <c r="F12375" s="18"/>
      <c r="G12375" s="36" t="str">
        <f>IF(ISNUMBER(F12375),C12375*F12375,"")</f>
        <v/>
      </c>
    </row>
    <row r="12376" spans="1:7" ht="12" customHeight="1" outlineLevel="3" x14ac:dyDescent="0.2">
      <c r="A12376" s="14" t="s">
        <v>24329</v>
      </c>
      <c r="B12376" s="15" t="s">
        <v>24330</v>
      </c>
      <c r="C12376" s="16">
        <f>420.43/(1+B2)</f>
        <v>420.43</v>
      </c>
      <c r="D12376" s="17" t="s">
        <v>11</v>
      </c>
      <c r="E12376" s="17"/>
      <c r="F12376" s="18"/>
      <c r="G12376" s="36" t="str">
        <f>IF(ISNUMBER(F12376),C12376*F12376,"")</f>
        <v/>
      </c>
    </row>
    <row r="12377" spans="1:7" ht="12" customHeight="1" outlineLevel="3" x14ac:dyDescent="0.2">
      <c r="A12377" s="14" t="s">
        <v>24331</v>
      </c>
      <c r="B12377" s="15" t="s">
        <v>24332</v>
      </c>
      <c r="C12377" s="19">
        <f>1645.03/(1+B2)</f>
        <v>1645.03</v>
      </c>
      <c r="D12377" s="17" t="s">
        <v>11</v>
      </c>
      <c r="E12377" s="17"/>
      <c r="F12377" s="18"/>
      <c r="G12377" s="36" t="str">
        <f>IF(ISNUMBER(F12377),C12377*F12377,"")</f>
        <v/>
      </c>
    </row>
    <row r="12378" spans="1:7" ht="12" customHeight="1" outlineLevel="3" x14ac:dyDescent="0.2">
      <c r="A12378" s="14" t="s">
        <v>24333</v>
      </c>
      <c r="B12378" s="15" t="s">
        <v>24334</v>
      </c>
      <c r="C12378" s="16">
        <f>140.73/(1+B2)</f>
        <v>140.72999999999999</v>
      </c>
      <c r="D12378" s="17" t="s">
        <v>11</v>
      </c>
      <c r="E12378" s="17"/>
      <c r="F12378" s="18"/>
      <c r="G12378" s="36" t="str">
        <f>IF(ISNUMBER(F12378),C12378*F12378,"")</f>
        <v/>
      </c>
    </row>
    <row r="12379" spans="1:7" ht="12" customHeight="1" outlineLevel="3" x14ac:dyDescent="0.2">
      <c r="A12379" s="14" t="s">
        <v>24335</v>
      </c>
      <c r="B12379" s="15" t="s">
        <v>24336</v>
      </c>
      <c r="C12379" s="16">
        <f>105.79/(1+B2)</f>
        <v>105.79</v>
      </c>
      <c r="D12379" s="17" t="s">
        <v>11</v>
      </c>
      <c r="E12379" s="17"/>
      <c r="F12379" s="18"/>
      <c r="G12379" s="36" t="str">
        <f>IF(ISNUMBER(F12379),C12379*F12379,"")</f>
        <v/>
      </c>
    </row>
    <row r="12380" spans="1:7" ht="24" customHeight="1" outlineLevel="3" x14ac:dyDescent="0.2">
      <c r="A12380" s="14" t="s">
        <v>24337</v>
      </c>
      <c r="B12380" s="15" t="s">
        <v>24338</v>
      </c>
      <c r="C12380" s="16">
        <f>175.31/(1+B2)</f>
        <v>175.31</v>
      </c>
      <c r="D12380" s="17" t="s">
        <v>11</v>
      </c>
      <c r="E12380" s="17"/>
      <c r="F12380" s="18"/>
      <c r="G12380" s="36" t="str">
        <f>IF(ISNUMBER(F12380),C12380*F12380,"")</f>
        <v/>
      </c>
    </row>
    <row r="12381" spans="1:7" ht="12" customHeight="1" outlineLevel="3" x14ac:dyDescent="0.2">
      <c r="A12381" s="14" t="s">
        <v>24339</v>
      </c>
      <c r="B12381" s="15" t="s">
        <v>24340</v>
      </c>
      <c r="C12381" s="16">
        <f>169.5/(1+B2)</f>
        <v>169.5</v>
      </c>
      <c r="D12381" s="17" t="s">
        <v>11</v>
      </c>
      <c r="E12381" s="17"/>
      <c r="F12381" s="18"/>
      <c r="G12381" s="36" t="str">
        <f>IF(ISNUMBER(F12381),C12381*F12381,"")</f>
        <v/>
      </c>
    </row>
    <row r="12382" spans="1:7" ht="12" customHeight="1" outlineLevel="3" x14ac:dyDescent="0.2">
      <c r="A12382" s="14" t="s">
        <v>24341</v>
      </c>
      <c r="B12382" s="15" t="s">
        <v>24342</v>
      </c>
      <c r="C12382" s="16">
        <f>32/(1+B2)</f>
        <v>32</v>
      </c>
      <c r="D12382" s="17" t="s">
        <v>11</v>
      </c>
      <c r="E12382" s="17"/>
      <c r="F12382" s="18"/>
      <c r="G12382" s="36" t="str">
        <f>IF(ISNUMBER(F12382),C12382*F12382,"")</f>
        <v/>
      </c>
    </row>
    <row r="12383" spans="1:7" ht="12" customHeight="1" outlineLevel="3" x14ac:dyDescent="0.2">
      <c r="A12383" s="14" t="s">
        <v>24343</v>
      </c>
      <c r="B12383" s="15" t="s">
        <v>24344</v>
      </c>
      <c r="C12383" s="16">
        <f>79.65/(1+B2)</f>
        <v>79.650000000000006</v>
      </c>
      <c r="D12383" s="17" t="s">
        <v>11</v>
      </c>
      <c r="E12383" s="17"/>
      <c r="F12383" s="18"/>
      <c r="G12383" s="36" t="str">
        <f>IF(ISNUMBER(F12383),C12383*F12383,"")</f>
        <v/>
      </c>
    </row>
    <row r="12384" spans="1:7" ht="12" customHeight="1" outlineLevel="3" x14ac:dyDescent="0.2">
      <c r="A12384" s="14" t="s">
        <v>24345</v>
      </c>
      <c r="B12384" s="15" t="s">
        <v>24346</v>
      </c>
      <c r="C12384" s="16">
        <f>75.96/(1+B2)</f>
        <v>75.959999999999994</v>
      </c>
      <c r="D12384" s="17" t="s">
        <v>11</v>
      </c>
      <c r="E12384" s="17"/>
      <c r="F12384" s="18"/>
      <c r="G12384" s="36" t="str">
        <f>IF(ISNUMBER(F12384),C12384*F12384,"")</f>
        <v/>
      </c>
    </row>
    <row r="12385" spans="1:7" ht="12" customHeight="1" outlineLevel="3" x14ac:dyDescent="0.2">
      <c r="A12385" s="14" t="s">
        <v>24347</v>
      </c>
      <c r="B12385" s="15" t="s">
        <v>24348</v>
      </c>
      <c r="C12385" s="16">
        <f>76.29/(1+B2)</f>
        <v>76.290000000000006</v>
      </c>
      <c r="D12385" s="17" t="s">
        <v>11</v>
      </c>
      <c r="E12385" s="17"/>
      <c r="F12385" s="18"/>
      <c r="G12385" s="36" t="str">
        <f>IF(ISNUMBER(F12385),C12385*F12385,"")</f>
        <v/>
      </c>
    </row>
    <row r="12386" spans="1:7" ht="12" customHeight="1" outlineLevel="3" x14ac:dyDescent="0.2">
      <c r="A12386" s="14" t="s">
        <v>24349</v>
      </c>
      <c r="B12386" s="15" t="s">
        <v>24350</v>
      </c>
      <c r="C12386" s="16">
        <f>77.71/(1+B2)</f>
        <v>77.709999999999994</v>
      </c>
      <c r="D12386" s="17" t="s">
        <v>11</v>
      </c>
      <c r="E12386" s="17"/>
      <c r="F12386" s="18"/>
      <c r="G12386" s="36" t="str">
        <f>IF(ISNUMBER(F12386),C12386*F12386,"")</f>
        <v/>
      </c>
    </row>
    <row r="12387" spans="1:7" ht="12" customHeight="1" outlineLevel="3" x14ac:dyDescent="0.2">
      <c r="A12387" s="14" t="s">
        <v>24351</v>
      </c>
      <c r="B12387" s="15" t="s">
        <v>24352</v>
      </c>
      <c r="C12387" s="16">
        <f>81.92/(1+B2)</f>
        <v>81.92</v>
      </c>
      <c r="D12387" s="17" t="s">
        <v>11</v>
      </c>
      <c r="E12387" s="17"/>
      <c r="F12387" s="18"/>
      <c r="G12387" s="36" t="str">
        <f>IF(ISNUMBER(F12387),C12387*F12387,"")</f>
        <v/>
      </c>
    </row>
    <row r="12388" spans="1:7" ht="12" customHeight="1" outlineLevel="3" x14ac:dyDescent="0.2">
      <c r="A12388" s="14" t="s">
        <v>24353</v>
      </c>
      <c r="B12388" s="15" t="s">
        <v>24354</v>
      </c>
      <c r="C12388" s="16">
        <f>89.45/(1+B2)</f>
        <v>89.45</v>
      </c>
      <c r="D12388" s="17" t="s">
        <v>11</v>
      </c>
      <c r="E12388" s="17"/>
      <c r="F12388" s="18"/>
      <c r="G12388" s="36" t="str">
        <f>IF(ISNUMBER(F12388),C12388*F12388,"")</f>
        <v/>
      </c>
    </row>
    <row r="12389" spans="1:7" ht="12" customHeight="1" outlineLevel="3" x14ac:dyDescent="0.2">
      <c r="A12389" s="14" t="s">
        <v>24355</v>
      </c>
      <c r="B12389" s="15" t="s">
        <v>24356</v>
      </c>
      <c r="C12389" s="16">
        <f>98.73/(1+B2)</f>
        <v>98.73</v>
      </c>
      <c r="D12389" s="17" t="s">
        <v>11</v>
      </c>
      <c r="E12389" s="17"/>
      <c r="F12389" s="18"/>
      <c r="G12389" s="36" t="str">
        <f>IF(ISNUMBER(F12389),C12389*F12389,"")</f>
        <v/>
      </c>
    </row>
    <row r="12390" spans="1:7" ht="12" customHeight="1" outlineLevel="3" x14ac:dyDescent="0.2">
      <c r="A12390" s="14" t="s">
        <v>24357</v>
      </c>
      <c r="B12390" s="15" t="s">
        <v>24358</v>
      </c>
      <c r="C12390" s="16">
        <f>153.02/(1+B2)</f>
        <v>153.02000000000001</v>
      </c>
      <c r="D12390" s="17" t="s">
        <v>11</v>
      </c>
      <c r="E12390" s="17"/>
      <c r="F12390" s="18"/>
      <c r="G12390" s="36" t="str">
        <f>IF(ISNUMBER(F12390),C12390*F12390,"")</f>
        <v/>
      </c>
    </row>
    <row r="12391" spans="1:7" ht="12" customHeight="1" outlineLevel="3" x14ac:dyDescent="0.2">
      <c r="A12391" s="14" t="s">
        <v>24359</v>
      </c>
      <c r="B12391" s="15" t="s">
        <v>24360</v>
      </c>
      <c r="C12391" s="16">
        <f>206.22/(1+B2)</f>
        <v>206.22</v>
      </c>
      <c r="D12391" s="17" t="s">
        <v>11</v>
      </c>
      <c r="E12391" s="17"/>
      <c r="F12391" s="18"/>
      <c r="G12391" s="36" t="str">
        <f>IF(ISNUMBER(F12391),C12391*F12391,"")</f>
        <v/>
      </c>
    </row>
    <row r="12392" spans="1:7" ht="12" customHeight="1" outlineLevel="3" x14ac:dyDescent="0.2">
      <c r="A12392" s="14" t="s">
        <v>24361</v>
      </c>
      <c r="B12392" s="15" t="s">
        <v>24362</v>
      </c>
      <c r="C12392" s="16">
        <f>247.31/(1+B2)</f>
        <v>247.31</v>
      </c>
      <c r="D12392" s="17" t="s">
        <v>11</v>
      </c>
      <c r="E12392" s="17"/>
      <c r="F12392" s="18"/>
      <c r="G12392" s="36" t="str">
        <f>IF(ISNUMBER(F12392),C12392*F12392,"")</f>
        <v/>
      </c>
    </row>
    <row r="12393" spans="1:7" ht="12" customHeight="1" outlineLevel="3" x14ac:dyDescent="0.2">
      <c r="A12393" s="14" t="s">
        <v>24363</v>
      </c>
      <c r="B12393" s="15" t="s">
        <v>24364</v>
      </c>
      <c r="C12393" s="16">
        <f>78.56/(1+B2)</f>
        <v>78.56</v>
      </c>
      <c r="D12393" s="17" t="s">
        <v>11</v>
      </c>
      <c r="E12393" s="17"/>
      <c r="F12393" s="18"/>
      <c r="G12393" s="36" t="str">
        <f>IF(ISNUMBER(F12393),C12393*F12393,"")</f>
        <v/>
      </c>
    </row>
    <row r="12394" spans="1:7" ht="12" customHeight="1" outlineLevel="3" x14ac:dyDescent="0.2">
      <c r="A12394" s="14" t="s">
        <v>24365</v>
      </c>
      <c r="B12394" s="15" t="s">
        <v>24366</v>
      </c>
      <c r="C12394" s="16">
        <f>78.91/(1+B2)</f>
        <v>78.91</v>
      </c>
      <c r="D12394" s="17" t="s">
        <v>11</v>
      </c>
      <c r="E12394" s="17"/>
      <c r="F12394" s="18"/>
      <c r="G12394" s="36" t="str">
        <f>IF(ISNUMBER(F12394),C12394*F12394,"")</f>
        <v/>
      </c>
    </row>
    <row r="12395" spans="1:7" ht="12" customHeight="1" outlineLevel="3" x14ac:dyDescent="0.2">
      <c r="A12395" s="14" t="s">
        <v>24367</v>
      </c>
      <c r="B12395" s="15" t="s">
        <v>24368</v>
      </c>
      <c r="C12395" s="16">
        <f>24.55/(1+B2)</f>
        <v>24.55</v>
      </c>
      <c r="D12395" s="17" t="s">
        <v>53</v>
      </c>
      <c r="E12395" s="17"/>
      <c r="F12395" s="18"/>
      <c r="G12395" s="36" t="str">
        <f>IF(ISNUMBER(F12395),C12395*F12395,"")</f>
        <v/>
      </c>
    </row>
    <row r="12396" spans="1:7" ht="12" customHeight="1" outlineLevel="3" x14ac:dyDescent="0.2">
      <c r="A12396" s="14" t="s">
        <v>24369</v>
      </c>
      <c r="B12396" s="15" t="s">
        <v>24370</v>
      </c>
      <c r="C12396" s="16">
        <f>26.18/(1+B2)</f>
        <v>26.18</v>
      </c>
      <c r="D12396" s="17" t="s">
        <v>11</v>
      </c>
      <c r="E12396" s="17"/>
      <c r="F12396" s="18"/>
      <c r="G12396" s="36" t="str">
        <f>IF(ISNUMBER(F12396),C12396*F12396,"")</f>
        <v/>
      </c>
    </row>
    <row r="12397" spans="1:7" ht="12" customHeight="1" outlineLevel="3" x14ac:dyDescent="0.2">
      <c r="A12397" s="14" t="s">
        <v>24371</v>
      </c>
      <c r="B12397" s="15" t="s">
        <v>24372</v>
      </c>
      <c r="C12397" s="16">
        <f>24.87/(1+B2)</f>
        <v>24.87</v>
      </c>
      <c r="D12397" s="17" t="s">
        <v>14</v>
      </c>
      <c r="E12397" s="17"/>
      <c r="F12397" s="18"/>
      <c r="G12397" s="36" t="str">
        <f>IF(ISNUMBER(F12397),C12397*F12397,"")</f>
        <v/>
      </c>
    </row>
    <row r="12398" spans="1:7" ht="12" customHeight="1" outlineLevel="3" x14ac:dyDescent="0.2">
      <c r="A12398" s="14" t="s">
        <v>24373</v>
      </c>
      <c r="B12398" s="15" t="s">
        <v>24374</v>
      </c>
      <c r="C12398" s="16">
        <f>27.63/(1+B2)</f>
        <v>27.63</v>
      </c>
      <c r="D12398" s="17" t="s">
        <v>14</v>
      </c>
      <c r="E12398" s="17"/>
      <c r="F12398" s="18"/>
      <c r="G12398" s="36" t="str">
        <f>IF(ISNUMBER(F12398),C12398*F12398,"")</f>
        <v/>
      </c>
    </row>
    <row r="12399" spans="1:7" ht="12" customHeight="1" outlineLevel="3" x14ac:dyDescent="0.2">
      <c r="A12399" s="14" t="s">
        <v>24375</v>
      </c>
      <c r="B12399" s="15" t="s">
        <v>24376</v>
      </c>
      <c r="C12399" s="16">
        <f>18.8/(1+B2)</f>
        <v>18.8</v>
      </c>
      <c r="D12399" s="17" t="s">
        <v>14</v>
      </c>
      <c r="E12399" s="17"/>
      <c r="F12399" s="18"/>
      <c r="G12399" s="36" t="str">
        <f>IF(ISNUMBER(F12399),C12399*F12399,"")</f>
        <v/>
      </c>
    </row>
    <row r="12400" spans="1:7" ht="12" customHeight="1" outlineLevel="3" x14ac:dyDescent="0.2">
      <c r="A12400" s="14" t="s">
        <v>24377</v>
      </c>
      <c r="B12400" s="15" t="s">
        <v>24378</v>
      </c>
      <c r="C12400" s="16">
        <f>24.87/(1+B2)</f>
        <v>24.87</v>
      </c>
      <c r="D12400" s="17" t="s">
        <v>53</v>
      </c>
      <c r="E12400" s="17"/>
      <c r="F12400" s="18"/>
      <c r="G12400" s="36" t="str">
        <f>IF(ISNUMBER(F12400),C12400*F12400,"")</f>
        <v/>
      </c>
    </row>
    <row r="12401" spans="1:7" ht="12" customHeight="1" outlineLevel="3" x14ac:dyDescent="0.2">
      <c r="A12401" s="14" t="s">
        <v>24379</v>
      </c>
      <c r="B12401" s="15" t="s">
        <v>24380</v>
      </c>
      <c r="C12401" s="16">
        <f>25.93/(1+B2)</f>
        <v>25.93</v>
      </c>
      <c r="D12401" s="17" t="s">
        <v>11</v>
      </c>
      <c r="E12401" s="17"/>
      <c r="F12401" s="18"/>
      <c r="G12401" s="36" t="str">
        <f>IF(ISNUMBER(F12401),C12401*F12401,"")</f>
        <v/>
      </c>
    </row>
    <row r="12402" spans="1:7" ht="12" customHeight="1" outlineLevel="3" x14ac:dyDescent="0.2">
      <c r="A12402" s="14" t="s">
        <v>24381</v>
      </c>
      <c r="B12402" s="15" t="s">
        <v>24382</v>
      </c>
      <c r="C12402" s="16">
        <f>26.18/(1+B2)</f>
        <v>26.18</v>
      </c>
      <c r="D12402" s="17" t="s">
        <v>11</v>
      </c>
      <c r="E12402" s="17"/>
      <c r="F12402" s="18"/>
      <c r="G12402" s="36" t="str">
        <f>IF(ISNUMBER(F12402),C12402*F12402,"")</f>
        <v/>
      </c>
    </row>
    <row r="12403" spans="1:7" ht="12" customHeight="1" outlineLevel="3" x14ac:dyDescent="0.2">
      <c r="A12403" s="14" t="s">
        <v>24383</v>
      </c>
      <c r="B12403" s="15" t="s">
        <v>24384</v>
      </c>
      <c r="C12403" s="16">
        <f>24.87/(1+B2)</f>
        <v>24.87</v>
      </c>
      <c r="D12403" s="17" t="s">
        <v>53</v>
      </c>
      <c r="E12403" s="17"/>
      <c r="F12403" s="18"/>
      <c r="G12403" s="36" t="str">
        <f>IF(ISNUMBER(F12403),C12403*F12403,"")</f>
        <v/>
      </c>
    </row>
    <row r="12404" spans="1:7" ht="12" customHeight="1" outlineLevel="3" x14ac:dyDescent="0.2">
      <c r="A12404" s="14" t="s">
        <v>24385</v>
      </c>
      <c r="B12404" s="15" t="s">
        <v>24386</v>
      </c>
      <c r="C12404" s="16">
        <f>26.32/(1+B2)</f>
        <v>26.32</v>
      </c>
      <c r="D12404" s="17" t="s">
        <v>14</v>
      </c>
      <c r="E12404" s="17"/>
      <c r="F12404" s="18"/>
      <c r="G12404" s="36" t="str">
        <f>IF(ISNUMBER(F12404),C12404*F12404,"")</f>
        <v/>
      </c>
    </row>
    <row r="12405" spans="1:7" ht="12" customHeight="1" outlineLevel="3" x14ac:dyDescent="0.2">
      <c r="A12405" s="14" t="s">
        <v>24387</v>
      </c>
      <c r="B12405" s="15" t="s">
        <v>24388</v>
      </c>
      <c r="C12405" s="16">
        <f>28.99/(1+B2)</f>
        <v>28.99</v>
      </c>
      <c r="D12405" s="17" t="s">
        <v>11</v>
      </c>
      <c r="E12405" s="17"/>
      <c r="F12405" s="18"/>
      <c r="G12405" s="36" t="str">
        <f>IF(ISNUMBER(F12405),C12405*F12405,"")</f>
        <v/>
      </c>
    </row>
    <row r="12406" spans="1:7" ht="12" customHeight="1" outlineLevel="3" x14ac:dyDescent="0.2">
      <c r="A12406" s="14" t="s">
        <v>24389</v>
      </c>
      <c r="B12406" s="15" t="s">
        <v>24390</v>
      </c>
      <c r="C12406" s="16">
        <f>27.07/(1+B2)</f>
        <v>27.07</v>
      </c>
      <c r="D12406" s="17" t="s">
        <v>11</v>
      </c>
      <c r="E12406" s="17"/>
      <c r="F12406" s="18"/>
      <c r="G12406" s="36" t="str">
        <f>IF(ISNUMBER(F12406),C12406*F12406,"")</f>
        <v/>
      </c>
    </row>
    <row r="12407" spans="1:7" ht="12" customHeight="1" outlineLevel="3" x14ac:dyDescent="0.2">
      <c r="A12407" s="14" t="s">
        <v>24391</v>
      </c>
      <c r="B12407" s="15" t="s">
        <v>24392</v>
      </c>
      <c r="C12407" s="16">
        <f>27.07/(1+B2)</f>
        <v>27.07</v>
      </c>
      <c r="D12407" s="17" t="s">
        <v>14</v>
      </c>
      <c r="E12407" s="17"/>
      <c r="F12407" s="18"/>
      <c r="G12407" s="36" t="str">
        <f>IF(ISNUMBER(F12407),C12407*F12407,"")</f>
        <v/>
      </c>
    </row>
    <row r="12408" spans="1:7" ht="12" customHeight="1" outlineLevel="3" x14ac:dyDescent="0.2">
      <c r="A12408" s="14" t="s">
        <v>24393</v>
      </c>
      <c r="B12408" s="15" t="s">
        <v>24394</v>
      </c>
      <c r="C12408" s="16">
        <f>32.18/(1+B2)</f>
        <v>32.18</v>
      </c>
      <c r="D12408" s="17" t="s">
        <v>11</v>
      </c>
      <c r="E12408" s="17"/>
      <c r="F12408" s="18"/>
      <c r="G12408" s="36" t="str">
        <f>IF(ISNUMBER(F12408),C12408*F12408,"")</f>
        <v/>
      </c>
    </row>
    <row r="12409" spans="1:7" ht="12" customHeight="1" outlineLevel="3" x14ac:dyDescent="0.2">
      <c r="A12409" s="14" t="s">
        <v>24395</v>
      </c>
      <c r="B12409" s="15" t="s">
        <v>24396</v>
      </c>
      <c r="C12409" s="16">
        <f>42.35/(1+B2)</f>
        <v>42.35</v>
      </c>
      <c r="D12409" s="17" t="s">
        <v>53</v>
      </c>
      <c r="E12409" s="17"/>
      <c r="F12409" s="18"/>
      <c r="G12409" s="36" t="str">
        <f>IF(ISNUMBER(F12409),C12409*F12409,"")</f>
        <v/>
      </c>
    </row>
    <row r="12410" spans="1:7" ht="12" customHeight="1" outlineLevel="3" x14ac:dyDescent="0.2">
      <c r="A12410" s="14" t="s">
        <v>24397</v>
      </c>
      <c r="B12410" s="15" t="s">
        <v>24398</v>
      </c>
      <c r="C12410" s="16">
        <f>39.27/(1+B2)</f>
        <v>39.270000000000003</v>
      </c>
      <c r="D12410" s="17" t="s">
        <v>14</v>
      </c>
      <c r="E12410" s="17"/>
      <c r="F12410" s="18"/>
      <c r="G12410" s="36" t="str">
        <f>IF(ISNUMBER(F12410),C12410*F12410,"")</f>
        <v/>
      </c>
    </row>
    <row r="12411" spans="1:7" ht="12" customHeight="1" outlineLevel="3" x14ac:dyDescent="0.2">
      <c r="A12411" s="14" t="s">
        <v>24399</v>
      </c>
      <c r="B12411" s="15" t="s">
        <v>24400</v>
      </c>
      <c r="C12411" s="16">
        <f>37.3/(1+B2)</f>
        <v>37.299999999999997</v>
      </c>
      <c r="D12411" s="17" t="s">
        <v>53</v>
      </c>
      <c r="E12411" s="17"/>
      <c r="F12411" s="18"/>
      <c r="G12411" s="36" t="str">
        <f>IF(ISNUMBER(F12411),C12411*F12411,"")</f>
        <v/>
      </c>
    </row>
    <row r="12412" spans="1:7" ht="12" customHeight="1" outlineLevel="3" x14ac:dyDescent="0.2">
      <c r="A12412" s="14" t="s">
        <v>24401</v>
      </c>
      <c r="B12412" s="15" t="s">
        <v>24402</v>
      </c>
      <c r="C12412" s="16">
        <f>42.37/(1+B2)</f>
        <v>42.37</v>
      </c>
      <c r="D12412" s="17" t="s">
        <v>11</v>
      </c>
      <c r="E12412" s="17"/>
      <c r="F12412" s="18"/>
      <c r="G12412" s="36" t="str">
        <f>IF(ISNUMBER(F12412),C12412*F12412,"")</f>
        <v/>
      </c>
    </row>
    <row r="12413" spans="1:7" ht="12" customHeight="1" outlineLevel="3" x14ac:dyDescent="0.2">
      <c r="A12413" s="14" t="s">
        <v>24403</v>
      </c>
      <c r="B12413" s="15" t="s">
        <v>24404</v>
      </c>
      <c r="C12413" s="16">
        <f>41.58/(1+B2)</f>
        <v>41.58</v>
      </c>
      <c r="D12413" s="17" t="s">
        <v>11</v>
      </c>
      <c r="E12413" s="17"/>
      <c r="F12413" s="18"/>
      <c r="G12413" s="36" t="str">
        <f>IF(ISNUMBER(F12413),C12413*F12413,"")</f>
        <v/>
      </c>
    </row>
    <row r="12414" spans="1:7" ht="12" customHeight="1" outlineLevel="3" x14ac:dyDescent="0.2">
      <c r="A12414" s="14" t="s">
        <v>24405</v>
      </c>
      <c r="B12414" s="15" t="s">
        <v>24406</v>
      </c>
      <c r="C12414" s="16">
        <f>39.5/(1+B2)</f>
        <v>39.5</v>
      </c>
      <c r="D12414" s="17" t="s">
        <v>11</v>
      </c>
      <c r="E12414" s="17"/>
      <c r="F12414" s="18"/>
      <c r="G12414" s="36" t="str">
        <f>IF(ISNUMBER(F12414),C12414*F12414,"")</f>
        <v/>
      </c>
    </row>
    <row r="12415" spans="1:7" ht="12" customHeight="1" outlineLevel="3" x14ac:dyDescent="0.2">
      <c r="A12415" s="14" t="s">
        <v>24407</v>
      </c>
      <c r="B12415" s="15" t="s">
        <v>24408</v>
      </c>
      <c r="C12415" s="16">
        <f>49.28/(1+B2)</f>
        <v>49.28</v>
      </c>
      <c r="D12415" s="17" t="s">
        <v>106</v>
      </c>
      <c r="E12415" s="17"/>
      <c r="F12415" s="18"/>
      <c r="G12415" s="36" t="str">
        <f>IF(ISNUMBER(F12415),C12415*F12415,"")</f>
        <v/>
      </c>
    </row>
    <row r="12416" spans="1:7" ht="12" customHeight="1" outlineLevel="3" x14ac:dyDescent="0.2">
      <c r="A12416" s="14" t="s">
        <v>24409</v>
      </c>
      <c r="B12416" s="15" t="s">
        <v>24410</v>
      </c>
      <c r="C12416" s="16">
        <f>45.43/(1+B2)</f>
        <v>45.43</v>
      </c>
      <c r="D12416" s="17" t="s">
        <v>11</v>
      </c>
      <c r="E12416" s="17"/>
      <c r="F12416" s="18"/>
      <c r="G12416" s="36" t="str">
        <f>IF(ISNUMBER(F12416),C12416*F12416,"")</f>
        <v/>
      </c>
    </row>
    <row r="12417" spans="1:7" ht="12" customHeight="1" outlineLevel="3" x14ac:dyDescent="0.2">
      <c r="A12417" s="14" t="s">
        <v>24411</v>
      </c>
      <c r="B12417" s="15" t="s">
        <v>24412</v>
      </c>
      <c r="C12417" s="16">
        <f>43.15/(1+B2)</f>
        <v>43.15</v>
      </c>
      <c r="D12417" s="17" t="s">
        <v>53</v>
      </c>
      <c r="E12417" s="17"/>
      <c r="F12417" s="18"/>
      <c r="G12417" s="36" t="str">
        <f>IF(ISNUMBER(F12417),C12417*F12417,"")</f>
        <v/>
      </c>
    </row>
    <row r="12418" spans="1:7" ht="12" customHeight="1" outlineLevel="3" x14ac:dyDescent="0.2">
      <c r="A12418" s="14" t="s">
        <v>24413</v>
      </c>
      <c r="B12418" s="15" t="s">
        <v>24414</v>
      </c>
      <c r="C12418" s="16">
        <f>50.7/(1+B2)</f>
        <v>50.7</v>
      </c>
      <c r="D12418" s="17" t="s">
        <v>53</v>
      </c>
      <c r="E12418" s="17"/>
      <c r="F12418" s="18"/>
      <c r="G12418" s="36" t="str">
        <f>IF(ISNUMBER(F12418),C12418*F12418,"")</f>
        <v/>
      </c>
    </row>
    <row r="12419" spans="1:7" ht="12" customHeight="1" outlineLevel="3" x14ac:dyDescent="0.2">
      <c r="A12419" s="14" t="s">
        <v>24415</v>
      </c>
      <c r="B12419" s="15" t="s">
        <v>24416</v>
      </c>
      <c r="C12419" s="16">
        <f>46.97/(1+B2)</f>
        <v>46.97</v>
      </c>
      <c r="D12419" s="17" t="s">
        <v>11</v>
      </c>
      <c r="E12419" s="17"/>
      <c r="F12419" s="18"/>
      <c r="G12419" s="36" t="str">
        <f>IF(ISNUMBER(F12419),C12419*F12419,"")</f>
        <v/>
      </c>
    </row>
    <row r="12420" spans="1:7" ht="12" customHeight="1" outlineLevel="3" x14ac:dyDescent="0.2">
      <c r="A12420" s="14" t="s">
        <v>24417</v>
      </c>
      <c r="B12420" s="15" t="s">
        <v>24418</v>
      </c>
      <c r="C12420" s="16">
        <f>53.2/(1+B2)</f>
        <v>53.2</v>
      </c>
      <c r="D12420" s="17" t="s">
        <v>53</v>
      </c>
      <c r="E12420" s="17"/>
      <c r="F12420" s="18"/>
      <c r="G12420" s="36" t="str">
        <f>IF(ISNUMBER(F12420),C12420*F12420,"")</f>
        <v/>
      </c>
    </row>
    <row r="12421" spans="1:7" ht="12" customHeight="1" outlineLevel="3" x14ac:dyDescent="0.2">
      <c r="A12421" s="14" t="s">
        <v>24419</v>
      </c>
      <c r="B12421" s="15" t="s">
        <v>24420</v>
      </c>
      <c r="C12421" s="16">
        <f>32.43/(1+B2)</f>
        <v>32.43</v>
      </c>
      <c r="D12421" s="17" t="s">
        <v>11</v>
      </c>
      <c r="E12421" s="17"/>
      <c r="F12421" s="18"/>
      <c r="G12421" s="36" t="str">
        <f>IF(ISNUMBER(F12421),C12421*F12421,"")</f>
        <v/>
      </c>
    </row>
    <row r="12422" spans="1:7" ht="12" customHeight="1" outlineLevel="3" x14ac:dyDescent="0.2">
      <c r="A12422" s="14" t="s">
        <v>24421</v>
      </c>
      <c r="B12422" s="15" t="s">
        <v>24422</v>
      </c>
      <c r="C12422" s="16">
        <f>33.62/(1+B2)</f>
        <v>33.619999999999997</v>
      </c>
      <c r="D12422" s="17" t="s">
        <v>11</v>
      </c>
      <c r="E12422" s="17"/>
      <c r="F12422" s="18"/>
      <c r="G12422" s="36" t="str">
        <f>IF(ISNUMBER(F12422),C12422*F12422,"")</f>
        <v/>
      </c>
    </row>
    <row r="12423" spans="1:7" ht="12" customHeight="1" outlineLevel="3" x14ac:dyDescent="0.2">
      <c r="A12423" s="14" t="s">
        <v>24423</v>
      </c>
      <c r="B12423" s="15" t="s">
        <v>24424</v>
      </c>
      <c r="C12423" s="16">
        <f>36.69/(1+B2)</f>
        <v>36.69</v>
      </c>
      <c r="D12423" s="17" t="s">
        <v>11</v>
      </c>
      <c r="E12423" s="17"/>
      <c r="F12423" s="18"/>
      <c r="G12423" s="36" t="str">
        <f>IF(ISNUMBER(F12423),C12423*F12423,"")</f>
        <v/>
      </c>
    </row>
    <row r="12424" spans="1:7" ht="12" customHeight="1" outlineLevel="3" x14ac:dyDescent="0.2">
      <c r="A12424" s="14" t="s">
        <v>24425</v>
      </c>
      <c r="B12424" s="15" t="s">
        <v>24426</v>
      </c>
      <c r="C12424" s="16">
        <f>64.79/(1+B2)</f>
        <v>64.790000000000006</v>
      </c>
      <c r="D12424" s="17" t="s">
        <v>11</v>
      </c>
      <c r="E12424" s="17"/>
      <c r="F12424" s="18"/>
      <c r="G12424" s="36" t="str">
        <f>IF(ISNUMBER(F12424),C12424*F12424,"")</f>
        <v/>
      </c>
    </row>
    <row r="12425" spans="1:7" ht="12" customHeight="1" outlineLevel="3" x14ac:dyDescent="0.2">
      <c r="A12425" s="14" t="s">
        <v>24427</v>
      </c>
      <c r="B12425" s="15" t="s">
        <v>24428</v>
      </c>
      <c r="C12425" s="16">
        <f>180.94/(1+B2)</f>
        <v>180.94</v>
      </c>
      <c r="D12425" s="17" t="s">
        <v>14</v>
      </c>
      <c r="E12425" s="17"/>
      <c r="F12425" s="18"/>
      <c r="G12425" s="36" t="str">
        <f>IF(ISNUMBER(F12425),C12425*F12425,"")</f>
        <v/>
      </c>
    </row>
    <row r="12426" spans="1:7" ht="12" customHeight="1" outlineLevel="3" x14ac:dyDescent="0.2">
      <c r="A12426" s="14" t="s">
        <v>24429</v>
      </c>
      <c r="B12426" s="15" t="s">
        <v>24430</v>
      </c>
      <c r="C12426" s="16">
        <f>207.51/(1+B2)</f>
        <v>207.51</v>
      </c>
      <c r="D12426" s="17" t="s">
        <v>11</v>
      </c>
      <c r="E12426" s="17"/>
      <c r="F12426" s="18"/>
      <c r="G12426" s="36" t="str">
        <f>IF(ISNUMBER(F12426),C12426*F12426,"")</f>
        <v/>
      </c>
    </row>
    <row r="12427" spans="1:7" ht="12" customHeight="1" outlineLevel="3" x14ac:dyDescent="0.2">
      <c r="A12427" s="14" t="s">
        <v>24431</v>
      </c>
      <c r="B12427" s="15" t="s">
        <v>24432</v>
      </c>
      <c r="C12427" s="16">
        <f>65/(1+B2)</f>
        <v>65</v>
      </c>
      <c r="D12427" s="17" t="s">
        <v>11</v>
      </c>
      <c r="E12427" s="17"/>
      <c r="F12427" s="18"/>
      <c r="G12427" s="36" t="str">
        <f>IF(ISNUMBER(F12427),C12427*F12427,"")</f>
        <v/>
      </c>
    </row>
    <row r="12428" spans="1:7" ht="12" customHeight="1" outlineLevel="3" x14ac:dyDescent="0.2">
      <c r="A12428" s="14" t="s">
        <v>24433</v>
      </c>
      <c r="B12428" s="15" t="s">
        <v>24434</v>
      </c>
      <c r="C12428" s="16">
        <f>65/(1+B2)</f>
        <v>65</v>
      </c>
      <c r="D12428" s="17" t="s">
        <v>11</v>
      </c>
      <c r="E12428" s="17"/>
      <c r="F12428" s="18"/>
      <c r="G12428" s="36" t="str">
        <f>IF(ISNUMBER(F12428),C12428*F12428,"")</f>
        <v/>
      </c>
    </row>
    <row r="12429" spans="1:7" ht="12" customHeight="1" outlineLevel="3" x14ac:dyDescent="0.2">
      <c r="A12429" s="14" t="s">
        <v>24435</v>
      </c>
      <c r="B12429" s="15" t="s">
        <v>24436</v>
      </c>
      <c r="C12429" s="16">
        <f>65.05/(1+B2)</f>
        <v>65.05</v>
      </c>
      <c r="D12429" s="17" t="s">
        <v>11</v>
      </c>
      <c r="E12429" s="17"/>
      <c r="F12429" s="18"/>
      <c r="G12429" s="36" t="str">
        <f>IF(ISNUMBER(F12429),C12429*F12429,"")</f>
        <v/>
      </c>
    </row>
    <row r="12430" spans="1:7" ht="12" customHeight="1" outlineLevel="3" x14ac:dyDescent="0.2">
      <c r="A12430" s="14" t="s">
        <v>24437</v>
      </c>
      <c r="B12430" s="15" t="s">
        <v>24438</v>
      </c>
      <c r="C12430" s="16">
        <f>65.1/(1+B2)</f>
        <v>65.099999999999994</v>
      </c>
      <c r="D12430" s="17" t="s">
        <v>11</v>
      </c>
      <c r="E12430" s="17"/>
      <c r="F12430" s="18"/>
      <c r="G12430" s="36" t="str">
        <f>IF(ISNUMBER(F12430),C12430*F12430,"")</f>
        <v/>
      </c>
    </row>
    <row r="12431" spans="1:7" ht="12" customHeight="1" outlineLevel="3" x14ac:dyDescent="0.2">
      <c r="A12431" s="14" t="s">
        <v>24439</v>
      </c>
      <c r="B12431" s="15" t="s">
        <v>24440</v>
      </c>
      <c r="C12431" s="16">
        <f>65.28/(1+B2)</f>
        <v>65.28</v>
      </c>
      <c r="D12431" s="17" t="s">
        <v>11</v>
      </c>
      <c r="E12431" s="17"/>
      <c r="F12431" s="18"/>
      <c r="G12431" s="36" t="str">
        <f>IF(ISNUMBER(F12431),C12431*F12431,"")</f>
        <v/>
      </c>
    </row>
    <row r="12432" spans="1:7" ht="12" customHeight="1" outlineLevel="3" x14ac:dyDescent="0.2">
      <c r="A12432" s="14" t="s">
        <v>24441</v>
      </c>
      <c r="B12432" s="15" t="s">
        <v>24442</v>
      </c>
      <c r="C12432" s="16">
        <f>66.42/(1+B2)</f>
        <v>66.42</v>
      </c>
      <c r="D12432" s="17" t="s">
        <v>11</v>
      </c>
      <c r="E12432" s="17"/>
      <c r="F12432" s="18"/>
      <c r="G12432" s="36" t="str">
        <f>IF(ISNUMBER(F12432),C12432*F12432,"")</f>
        <v/>
      </c>
    </row>
    <row r="12433" spans="1:7" ht="12" customHeight="1" outlineLevel="3" x14ac:dyDescent="0.2">
      <c r="A12433" s="14" t="s">
        <v>24443</v>
      </c>
      <c r="B12433" s="15" t="s">
        <v>24444</v>
      </c>
      <c r="C12433" s="16">
        <f>70.52/(1+B2)</f>
        <v>70.52</v>
      </c>
      <c r="D12433" s="17" t="s">
        <v>11</v>
      </c>
      <c r="E12433" s="17"/>
      <c r="F12433" s="18"/>
      <c r="G12433" s="36" t="str">
        <f>IF(ISNUMBER(F12433),C12433*F12433,"")</f>
        <v/>
      </c>
    </row>
    <row r="12434" spans="1:7" ht="12" customHeight="1" outlineLevel="3" x14ac:dyDescent="0.2">
      <c r="A12434" s="14" t="s">
        <v>24445</v>
      </c>
      <c r="B12434" s="15" t="s">
        <v>24446</v>
      </c>
      <c r="C12434" s="16">
        <f>43.76/(1+B2)</f>
        <v>43.76</v>
      </c>
      <c r="D12434" s="17" t="s">
        <v>11</v>
      </c>
      <c r="E12434" s="17"/>
      <c r="F12434" s="18"/>
      <c r="G12434" s="36" t="str">
        <f>IF(ISNUMBER(F12434),C12434*F12434,"")</f>
        <v/>
      </c>
    </row>
    <row r="12435" spans="1:7" ht="12" customHeight="1" outlineLevel="3" x14ac:dyDescent="0.2">
      <c r="A12435" s="14" t="s">
        <v>24447</v>
      </c>
      <c r="B12435" s="15" t="s">
        <v>24448</v>
      </c>
      <c r="C12435" s="16">
        <f>42.71/(1+B2)</f>
        <v>42.71</v>
      </c>
      <c r="D12435" s="17" t="s">
        <v>11</v>
      </c>
      <c r="E12435" s="17"/>
      <c r="F12435" s="18"/>
      <c r="G12435" s="36" t="str">
        <f>IF(ISNUMBER(F12435),C12435*F12435,"")</f>
        <v/>
      </c>
    </row>
    <row r="12436" spans="1:7" ht="24" customHeight="1" outlineLevel="3" x14ac:dyDescent="0.2">
      <c r="A12436" s="14" t="s">
        <v>24449</v>
      </c>
      <c r="B12436" s="15" t="s">
        <v>24450</v>
      </c>
      <c r="C12436" s="16">
        <f>139.7/(1+B2)</f>
        <v>139.69999999999999</v>
      </c>
      <c r="D12436" s="17" t="s">
        <v>11</v>
      </c>
      <c r="E12436" s="17"/>
      <c r="F12436" s="18"/>
      <c r="G12436" s="36" t="str">
        <f>IF(ISNUMBER(F12436),C12436*F12436,"")</f>
        <v/>
      </c>
    </row>
    <row r="12437" spans="1:7" ht="24" customHeight="1" outlineLevel="3" x14ac:dyDescent="0.2">
      <c r="A12437" s="14" t="s">
        <v>24451</v>
      </c>
      <c r="B12437" s="15" t="s">
        <v>24452</v>
      </c>
      <c r="C12437" s="16">
        <f>164.23/(1+B2)</f>
        <v>164.23</v>
      </c>
      <c r="D12437" s="17" t="s">
        <v>11</v>
      </c>
      <c r="E12437" s="17"/>
      <c r="F12437" s="18"/>
      <c r="G12437" s="36" t="str">
        <f>IF(ISNUMBER(F12437),C12437*F12437,"")</f>
        <v/>
      </c>
    </row>
    <row r="12438" spans="1:7" ht="12" customHeight="1" outlineLevel="3" x14ac:dyDescent="0.2">
      <c r="A12438" s="14" t="s">
        <v>24453</v>
      </c>
      <c r="B12438" s="15" t="s">
        <v>24454</v>
      </c>
      <c r="C12438" s="16">
        <f>171.66/(1+B2)</f>
        <v>171.66</v>
      </c>
      <c r="D12438" s="17" t="s">
        <v>11</v>
      </c>
      <c r="E12438" s="17"/>
      <c r="F12438" s="18"/>
      <c r="G12438" s="36" t="str">
        <f>IF(ISNUMBER(F12438),C12438*F12438,"")</f>
        <v/>
      </c>
    </row>
    <row r="12439" spans="1:7" ht="12" customHeight="1" outlineLevel="3" x14ac:dyDescent="0.2">
      <c r="A12439" s="14" t="s">
        <v>24455</v>
      </c>
      <c r="B12439" s="15" t="s">
        <v>24456</v>
      </c>
      <c r="C12439" s="16">
        <f>146.46/(1+B2)</f>
        <v>146.46</v>
      </c>
      <c r="D12439" s="17" t="s">
        <v>14</v>
      </c>
      <c r="E12439" s="17"/>
      <c r="F12439" s="18"/>
      <c r="G12439" s="36" t="str">
        <f>IF(ISNUMBER(F12439),C12439*F12439,"")</f>
        <v/>
      </c>
    </row>
    <row r="12440" spans="1:7" ht="12" customHeight="1" outlineLevel="3" x14ac:dyDescent="0.2">
      <c r="A12440" s="14" t="s">
        <v>24457</v>
      </c>
      <c r="B12440" s="15" t="s">
        <v>24458</v>
      </c>
      <c r="C12440" s="16">
        <f>173.86/(1+B2)</f>
        <v>173.86</v>
      </c>
      <c r="D12440" s="17" t="s">
        <v>11</v>
      </c>
      <c r="E12440" s="17"/>
      <c r="F12440" s="18"/>
      <c r="G12440" s="36" t="str">
        <f>IF(ISNUMBER(F12440),C12440*F12440,"")</f>
        <v/>
      </c>
    </row>
    <row r="12441" spans="1:7" ht="12" customHeight="1" outlineLevel="3" x14ac:dyDescent="0.2">
      <c r="A12441" s="14" t="s">
        <v>24459</v>
      </c>
      <c r="B12441" s="15" t="s">
        <v>24460</v>
      </c>
      <c r="C12441" s="16">
        <f>184/(1+B2)</f>
        <v>184</v>
      </c>
      <c r="D12441" s="17" t="s">
        <v>11</v>
      </c>
      <c r="E12441" s="17"/>
      <c r="F12441" s="18"/>
      <c r="G12441" s="36" t="str">
        <f>IF(ISNUMBER(F12441),C12441*F12441,"")</f>
        <v/>
      </c>
    </row>
    <row r="12442" spans="1:7" ht="12" customHeight="1" outlineLevel="3" x14ac:dyDescent="0.2">
      <c r="A12442" s="14" t="s">
        <v>24461</v>
      </c>
      <c r="B12442" s="15" t="s">
        <v>24462</v>
      </c>
      <c r="C12442" s="16">
        <f>175.49/(1+B2)</f>
        <v>175.49</v>
      </c>
      <c r="D12442" s="17" t="s">
        <v>11</v>
      </c>
      <c r="E12442" s="17"/>
      <c r="F12442" s="18"/>
      <c r="G12442" s="36" t="str">
        <f>IF(ISNUMBER(F12442),C12442*F12442,"")</f>
        <v/>
      </c>
    </row>
    <row r="12443" spans="1:7" ht="12" customHeight="1" outlineLevel="3" x14ac:dyDescent="0.2">
      <c r="A12443" s="14" t="s">
        <v>24463</v>
      </c>
      <c r="B12443" s="15" t="s">
        <v>24464</v>
      </c>
      <c r="C12443" s="16">
        <f>186.73/(1+B2)</f>
        <v>186.73</v>
      </c>
      <c r="D12443" s="17" t="s">
        <v>11</v>
      </c>
      <c r="E12443" s="17"/>
      <c r="F12443" s="18"/>
      <c r="G12443" s="36" t="str">
        <f>IF(ISNUMBER(F12443),C12443*F12443,"")</f>
        <v/>
      </c>
    </row>
    <row r="12444" spans="1:7" ht="12" customHeight="1" outlineLevel="3" x14ac:dyDescent="0.2">
      <c r="A12444" s="14" t="s">
        <v>24465</v>
      </c>
      <c r="B12444" s="15" t="s">
        <v>24466</v>
      </c>
      <c r="C12444" s="16">
        <f>215.37/(1+B2)</f>
        <v>215.37</v>
      </c>
      <c r="D12444" s="17" t="s">
        <v>11</v>
      </c>
      <c r="E12444" s="17"/>
      <c r="F12444" s="18"/>
      <c r="G12444" s="36" t="str">
        <f>IF(ISNUMBER(F12444),C12444*F12444,"")</f>
        <v/>
      </c>
    </row>
    <row r="12445" spans="1:7" ht="12" customHeight="1" outlineLevel="3" x14ac:dyDescent="0.2">
      <c r="A12445" s="14" t="s">
        <v>24467</v>
      </c>
      <c r="B12445" s="15" t="s">
        <v>24468</v>
      </c>
      <c r="C12445" s="16">
        <f>116.83/(1+B2)</f>
        <v>116.83</v>
      </c>
      <c r="D12445" s="17" t="s">
        <v>11</v>
      </c>
      <c r="E12445" s="17"/>
      <c r="F12445" s="18"/>
      <c r="G12445" s="36" t="str">
        <f>IF(ISNUMBER(F12445),C12445*F12445,"")</f>
        <v/>
      </c>
    </row>
    <row r="12446" spans="1:7" ht="12" customHeight="1" outlineLevel="3" x14ac:dyDescent="0.2">
      <c r="A12446" s="14" t="s">
        <v>24469</v>
      </c>
      <c r="B12446" s="15" t="s">
        <v>24470</v>
      </c>
      <c r="C12446" s="16">
        <f>187.16/(1+B2)</f>
        <v>187.16</v>
      </c>
      <c r="D12446" s="17" t="s">
        <v>11</v>
      </c>
      <c r="E12446" s="17"/>
      <c r="F12446" s="18"/>
      <c r="G12446" s="36" t="str">
        <f>IF(ISNUMBER(F12446),C12446*F12446,"")</f>
        <v/>
      </c>
    </row>
    <row r="12447" spans="1:7" ht="12" customHeight="1" outlineLevel="3" x14ac:dyDescent="0.2">
      <c r="A12447" s="14" t="s">
        <v>24471</v>
      </c>
      <c r="B12447" s="15" t="s">
        <v>24472</v>
      </c>
      <c r="C12447" s="16">
        <f>695.95/(1+B2)</f>
        <v>695.95</v>
      </c>
      <c r="D12447" s="17" t="s">
        <v>11</v>
      </c>
      <c r="E12447" s="17"/>
      <c r="F12447" s="18"/>
      <c r="G12447" s="36" t="str">
        <f>IF(ISNUMBER(F12447),C12447*F12447,"")</f>
        <v/>
      </c>
    </row>
    <row r="12448" spans="1:7" s="1" customFormat="1" ht="12.95" customHeight="1" outlineLevel="2" x14ac:dyDescent="0.2">
      <c r="A12448" s="20"/>
      <c r="B12448" s="21" t="s">
        <v>24473</v>
      </c>
      <c r="C12448" s="22"/>
      <c r="D12448" s="22"/>
      <c r="E12448" s="22"/>
      <c r="F12448" s="22"/>
      <c r="G12448" s="37"/>
    </row>
    <row r="12449" spans="1:7" ht="12" customHeight="1" outlineLevel="3" x14ac:dyDescent="0.2">
      <c r="A12449" s="14" t="s">
        <v>24474</v>
      </c>
      <c r="B12449" s="15" t="s">
        <v>24475</v>
      </c>
      <c r="C12449" s="16">
        <f>113.46/(1+B2)</f>
        <v>113.46</v>
      </c>
      <c r="D12449" s="17" t="s">
        <v>11</v>
      </c>
      <c r="E12449" s="17"/>
      <c r="F12449" s="18"/>
      <c r="G12449" s="36" t="str">
        <f>IF(ISNUMBER(F12449),C12449*F12449,"")</f>
        <v/>
      </c>
    </row>
    <row r="12450" spans="1:7" ht="12" customHeight="1" outlineLevel="3" x14ac:dyDescent="0.2">
      <c r="A12450" s="14" t="s">
        <v>24476</v>
      </c>
      <c r="B12450" s="15" t="s">
        <v>24477</v>
      </c>
      <c r="C12450" s="16">
        <f>34.34/(1+B2)</f>
        <v>34.340000000000003</v>
      </c>
      <c r="D12450" s="17" t="s">
        <v>11</v>
      </c>
      <c r="E12450" s="17"/>
      <c r="F12450" s="18"/>
      <c r="G12450" s="36" t="str">
        <f>IF(ISNUMBER(F12450),C12450*F12450,"")</f>
        <v/>
      </c>
    </row>
    <row r="12451" spans="1:7" ht="12" customHeight="1" outlineLevel="3" x14ac:dyDescent="0.2">
      <c r="A12451" s="14" t="s">
        <v>24478</v>
      </c>
      <c r="B12451" s="15" t="s">
        <v>24479</v>
      </c>
      <c r="C12451" s="16">
        <f>72.34/(1+B2)</f>
        <v>72.34</v>
      </c>
      <c r="D12451" s="17" t="s">
        <v>11</v>
      </c>
      <c r="E12451" s="17"/>
      <c r="F12451" s="18"/>
      <c r="G12451" s="36" t="str">
        <f>IF(ISNUMBER(F12451),C12451*F12451,"")</f>
        <v/>
      </c>
    </row>
    <row r="12452" spans="1:7" ht="12" customHeight="1" outlineLevel="3" x14ac:dyDescent="0.2">
      <c r="A12452" s="14" t="s">
        <v>24480</v>
      </c>
      <c r="B12452" s="15" t="s">
        <v>24481</v>
      </c>
      <c r="C12452" s="16">
        <f>114.72/(1+B2)</f>
        <v>114.72</v>
      </c>
      <c r="D12452" s="17" t="s">
        <v>11</v>
      </c>
      <c r="E12452" s="17"/>
      <c r="F12452" s="18"/>
      <c r="G12452" s="36" t="str">
        <f>IF(ISNUMBER(F12452),C12452*F12452,"")</f>
        <v/>
      </c>
    </row>
    <row r="12453" spans="1:7" ht="12" customHeight="1" outlineLevel="3" x14ac:dyDescent="0.2">
      <c r="A12453" s="14" t="s">
        <v>24482</v>
      </c>
      <c r="B12453" s="15" t="s">
        <v>24483</v>
      </c>
      <c r="C12453" s="16">
        <f>10.87/(1+B2)</f>
        <v>10.87</v>
      </c>
      <c r="D12453" s="17" t="s">
        <v>53</v>
      </c>
      <c r="E12453" s="17"/>
      <c r="F12453" s="18"/>
      <c r="G12453" s="36" t="str">
        <f>IF(ISNUMBER(F12453),C12453*F12453,"")</f>
        <v/>
      </c>
    </row>
    <row r="12454" spans="1:7" ht="12" customHeight="1" outlineLevel="3" x14ac:dyDescent="0.2">
      <c r="A12454" s="14" t="s">
        <v>24484</v>
      </c>
      <c r="B12454" s="15" t="s">
        <v>24485</v>
      </c>
      <c r="C12454" s="16">
        <f>15.59/(1+B2)</f>
        <v>15.59</v>
      </c>
      <c r="D12454" s="17" t="s">
        <v>53</v>
      </c>
      <c r="E12454" s="17"/>
      <c r="F12454" s="18"/>
      <c r="G12454" s="36" t="str">
        <f>IF(ISNUMBER(F12454),C12454*F12454,"")</f>
        <v/>
      </c>
    </row>
    <row r="12455" spans="1:7" ht="12" customHeight="1" outlineLevel="3" x14ac:dyDescent="0.2">
      <c r="A12455" s="14" t="s">
        <v>24486</v>
      </c>
      <c r="B12455" s="15" t="s">
        <v>24487</v>
      </c>
      <c r="C12455" s="16">
        <f>22.93/(1+B2)</f>
        <v>22.93</v>
      </c>
      <c r="D12455" s="17" t="s">
        <v>14</v>
      </c>
      <c r="E12455" s="17"/>
      <c r="F12455" s="18"/>
      <c r="G12455" s="36" t="str">
        <f>IF(ISNUMBER(F12455),C12455*F12455,"")</f>
        <v/>
      </c>
    </row>
    <row r="12456" spans="1:7" ht="12" customHeight="1" outlineLevel="3" x14ac:dyDescent="0.2">
      <c r="A12456" s="14" t="s">
        <v>24488</v>
      </c>
      <c r="B12456" s="15" t="s">
        <v>24489</v>
      </c>
      <c r="C12456" s="16">
        <f>26.27/(1+B2)</f>
        <v>26.27</v>
      </c>
      <c r="D12456" s="17" t="s">
        <v>11</v>
      </c>
      <c r="E12456" s="17"/>
      <c r="F12456" s="18"/>
      <c r="G12456" s="36" t="str">
        <f>IF(ISNUMBER(F12456),C12456*F12456,"")</f>
        <v/>
      </c>
    </row>
    <row r="12457" spans="1:7" ht="12" customHeight="1" outlineLevel="3" x14ac:dyDescent="0.2">
      <c r="A12457" s="14" t="s">
        <v>24490</v>
      </c>
      <c r="B12457" s="15" t="s">
        <v>24491</v>
      </c>
      <c r="C12457" s="16">
        <f>38.81/(1+B2)</f>
        <v>38.81</v>
      </c>
      <c r="D12457" s="17" t="s">
        <v>11</v>
      </c>
      <c r="E12457" s="17"/>
      <c r="F12457" s="18"/>
      <c r="G12457" s="36" t="str">
        <f>IF(ISNUMBER(F12457),C12457*F12457,"")</f>
        <v/>
      </c>
    </row>
    <row r="12458" spans="1:7" ht="24" customHeight="1" outlineLevel="3" x14ac:dyDescent="0.2">
      <c r="A12458" s="14" t="s">
        <v>24492</v>
      </c>
      <c r="B12458" s="15" t="s">
        <v>24493</v>
      </c>
      <c r="C12458" s="16">
        <f>124.52/(1+B2)</f>
        <v>124.52</v>
      </c>
      <c r="D12458" s="17" t="s">
        <v>14</v>
      </c>
      <c r="E12458" s="17"/>
      <c r="F12458" s="18"/>
      <c r="G12458" s="36" t="str">
        <f>IF(ISNUMBER(F12458),C12458*F12458,"")</f>
        <v/>
      </c>
    </row>
    <row r="12459" spans="1:7" ht="12" customHeight="1" outlineLevel="3" x14ac:dyDescent="0.2">
      <c r="A12459" s="14" t="s">
        <v>24494</v>
      </c>
      <c r="B12459" s="15" t="s">
        <v>24495</v>
      </c>
      <c r="C12459" s="16">
        <f>140.46/(1+B2)</f>
        <v>140.46</v>
      </c>
      <c r="D12459" s="17" t="s">
        <v>11</v>
      </c>
      <c r="E12459" s="17"/>
      <c r="F12459" s="18"/>
      <c r="G12459" s="36" t="str">
        <f>IF(ISNUMBER(F12459),C12459*F12459,"")</f>
        <v/>
      </c>
    </row>
    <row r="12460" spans="1:7" ht="12" customHeight="1" outlineLevel="3" x14ac:dyDescent="0.2">
      <c r="A12460" s="14" t="s">
        <v>24496</v>
      </c>
      <c r="B12460" s="15" t="s">
        <v>24497</v>
      </c>
      <c r="C12460" s="16">
        <f>195.15/(1+B2)</f>
        <v>195.15</v>
      </c>
      <c r="D12460" s="17" t="s">
        <v>11</v>
      </c>
      <c r="E12460" s="17"/>
      <c r="F12460" s="18"/>
      <c r="G12460" s="36" t="str">
        <f>IF(ISNUMBER(F12460),C12460*F12460,"")</f>
        <v/>
      </c>
    </row>
    <row r="12461" spans="1:7" ht="12" customHeight="1" outlineLevel="3" x14ac:dyDescent="0.2">
      <c r="A12461" s="14" t="s">
        <v>24498</v>
      </c>
      <c r="B12461" s="15" t="s">
        <v>24499</v>
      </c>
      <c r="C12461" s="16">
        <f>381.55/(1+B2)</f>
        <v>381.55</v>
      </c>
      <c r="D12461" s="17" t="s">
        <v>11</v>
      </c>
      <c r="E12461" s="17"/>
      <c r="F12461" s="18"/>
      <c r="G12461" s="36" t="str">
        <f>IF(ISNUMBER(F12461),C12461*F12461,"")</f>
        <v/>
      </c>
    </row>
    <row r="12462" spans="1:7" ht="12" customHeight="1" outlineLevel="3" x14ac:dyDescent="0.2">
      <c r="A12462" s="14" t="s">
        <v>24500</v>
      </c>
      <c r="B12462" s="15" t="s">
        <v>24501</v>
      </c>
      <c r="C12462" s="16">
        <f>443.8/(1+B2)</f>
        <v>443.8</v>
      </c>
      <c r="D12462" s="17" t="s">
        <v>11</v>
      </c>
      <c r="E12462" s="17"/>
      <c r="F12462" s="18"/>
      <c r="G12462" s="36" t="str">
        <f>IF(ISNUMBER(F12462),C12462*F12462,"")</f>
        <v/>
      </c>
    </row>
    <row r="12463" spans="1:7" ht="12" customHeight="1" outlineLevel="3" x14ac:dyDescent="0.2">
      <c r="A12463" s="14" t="s">
        <v>24502</v>
      </c>
      <c r="B12463" s="15" t="s">
        <v>24503</v>
      </c>
      <c r="C12463" s="16">
        <f>605.36/(1+B2)</f>
        <v>605.36</v>
      </c>
      <c r="D12463" s="17" t="s">
        <v>11</v>
      </c>
      <c r="E12463" s="17"/>
      <c r="F12463" s="18"/>
      <c r="G12463" s="36" t="str">
        <f>IF(ISNUMBER(F12463),C12463*F12463,"")</f>
        <v/>
      </c>
    </row>
    <row r="12464" spans="1:7" ht="12" customHeight="1" outlineLevel="3" x14ac:dyDescent="0.2">
      <c r="A12464" s="14" t="s">
        <v>24504</v>
      </c>
      <c r="B12464" s="15" t="s">
        <v>24505</v>
      </c>
      <c r="C12464" s="16">
        <f>707.39/(1+B2)</f>
        <v>707.39</v>
      </c>
      <c r="D12464" s="17" t="s">
        <v>11</v>
      </c>
      <c r="E12464" s="17"/>
      <c r="F12464" s="18"/>
      <c r="G12464" s="36" t="str">
        <f>IF(ISNUMBER(F12464),C12464*F12464,"")</f>
        <v/>
      </c>
    </row>
    <row r="12465" spans="1:7" ht="12" customHeight="1" outlineLevel="3" x14ac:dyDescent="0.2">
      <c r="A12465" s="14" t="s">
        <v>24506</v>
      </c>
      <c r="B12465" s="15" t="s">
        <v>24507</v>
      </c>
      <c r="C12465" s="19">
        <f>1089.39/(1+B2)</f>
        <v>1089.3900000000001</v>
      </c>
      <c r="D12465" s="17" t="s">
        <v>11</v>
      </c>
      <c r="E12465" s="17"/>
      <c r="F12465" s="18"/>
      <c r="G12465" s="36" t="str">
        <f>IF(ISNUMBER(F12465),C12465*F12465,"")</f>
        <v/>
      </c>
    </row>
    <row r="12466" spans="1:7" ht="12" customHeight="1" outlineLevel="3" x14ac:dyDescent="0.2">
      <c r="A12466" s="14" t="s">
        <v>24508</v>
      </c>
      <c r="B12466" s="15" t="s">
        <v>24509</v>
      </c>
      <c r="C12466" s="16">
        <f>25.83/(1+B2)</f>
        <v>25.83</v>
      </c>
      <c r="D12466" s="17" t="s">
        <v>11</v>
      </c>
      <c r="E12466" s="17"/>
      <c r="F12466" s="18"/>
      <c r="G12466" s="36" t="str">
        <f>IF(ISNUMBER(F12466),C12466*F12466,"")</f>
        <v/>
      </c>
    </row>
    <row r="12467" spans="1:7" ht="12" customHeight="1" outlineLevel="3" x14ac:dyDescent="0.2">
      <c r="A12467" s="14" t="s">
        <v>24510</v>
      </c>
      <c r="B12467" s="15" t="s">
        <v>24511</v>
      </c>
      <c r="C12467" s="16">
        <f>31.59/(1+B2)</f>
        <v>31.59</v>
      </c>
      <c r="D12467" s="17" t="s">
        <v>11</v>
      </c>
      <c r="E12467" s="17"/>
      <c r="F12467" s="18"/>
      <c r="G12467" s="36" t="str">
        <f>IF(ISNUMBER(F12467),C12467*F12467,"")</f>
        <v/>
      </c>
    </row>
    <row r="12468" spans="1:7" ht="12" customHeight="1" outlineLevel="3" x14ac:dyDescent="0.2">
      <c r="A12468" s="14" t="s">
        <v>24512</v>
      </c>
      <c r="B12468" s="15" t="s">
        <v>24513</v>
      </c>
      <c r="C12468" s="16">
        <f>55.97/(1+B2)</f>
        <v>55.97</v>
      </c>
      <c r="D12468" s="17" t="s">
        <v>11</v>
      </c>
      <c r="E12468" s="17"/>
      <c r="F12468" s="18"/>
      <c r="G12468" s="36" t="str">
        <f>IF(ISNUMBER(F12468),C12468*F12468,"")</f>
        <v/>
      </c>
    </row>
    <row r="12469" spans="1:7" ht="12" customHeight="1" outlineLevel="3" x14ac:dyDescent="0.2">
      <c r="A12469" s="14" t="s">
        <v>24514</v>
      </c>
      <c r="B12469" s="15" t="s">
        <v>24515</v>
      </c>
      <c r="C12469" s="16">
        <f>61.4/(1+B2)</f>
        <v>61.4</v>
      </c>
      <c r="D12469" s="17" t="s">
        <v>11</v>
      </c>
      <c r="E12469" s="17"/>
      <c r="F12469" s="18"/>
      <c r="G12469" s="36" t="str">
        <f>IF(ISNUMBER(F12469),C12469*F12469,"")</f>
        <v/>
      </c>
    </row>
    <row r="12470" spans="1:7" ht="12" customHeight="1" outlineLevel="3" x14ac:dyDescent="0.2">
      <c r="A12470" s="14" t="s">
        <v>24516</v>
      </c>
      <c r="B12470" s="15" t="s">
        <v>24517</v>
      </c>
      <c r="C12470" s="16">
        <f>57.04/(1+B2)</f>
        <v>57.04</v>
      </c>
      <c r="D12470" s="17" t="s">
        <v>11</v>
      </c>
      <c r="E12470" s="17"/>
      <c r="F12470" s="18"/>
      <c r="G12470" s="36" t="str">
        <f>IF(ISNUMBER(F12470),C12470*F12470,"")</f>
        <v/>
      </c>
    </row>
    <row r="12471" spans="1:7" ht="12" customHeight="1" outlineLevel="3" x14ac:dyDescent="0.2">
      <c r="A12471" s="14" t="s">
        <v>24518</v>
      </c>
      <c r="B12471" s="15" t="s">
        <v>24519</v>
      </c>
      <c r="C12471" s="16">
        <f>70.48/(1+B2)</f>
        <v>70.48</v>
      </c>
      <c r="D12471" s="17" t="s">
        <v>11</v>
      </c>
      <c r="E12471" s="17"/>
      <c r="F12471" s="18"/>
      <c r="G12471" s="36" t="str">
        <f>IF(ISNUMBER(F12471),C12471*F12471,"")</f>
        <v/>
      </c>
    </row>
    <row r="12472" spans="1:7" ht="24" customHeight="1" outlineLevel="3" x14ac:dyDescent="0.2">
      <c r="A12472" s="14" t="s">
        <v>24520</v>
      </c>
      <c r="B12472" s="15" t="s">
        <v>24521</v>
      </c>
      <c r="C12472" s="16">
        <f>255.07/(1+B2)</f>
        <v>255.07</v>
      </c>
      <c r="D12472" s="17" t="s">
        <v>11</v>
      </c>
      <c r="E12472" s="17"/>
      <c r="F12472" s="18"/>
      <c r="G12472" s="36" t="str">
        <f>IF(ISNUMBER(F12472),C12472*F12472,"")</f>
        <v/>
      </c>
    </row>
    <row r="12473" spans="1:7" ht="24" customHeight="1" outlineLevel="3" x14ac:dyDescent="0.2">
      <c r="A12473" s="14" t="s">
        <v>24522</v>
      </c>
      <c r="B12473" s="15" t="s">
        <v>24523</v>
      </c>
      <c r="C12473" s="16">
        <f>266.85/(1+B2)</f>
        <v>266.85000000000002</v>
      </c>
      <c r="D12473" s="17" t="s">
        <v>11</v>
      </c>
      <c r="E12473" s="17"/>
      <c r="F12473" s="18"/>
      <c r="G12473" s="36" t="str">
        <f>IF(ISNUMBER(F12473),C12473*F12473,"")</f>
        <v/>
      </c>
    </row>
    <row r="12474" spans="1:7" ht="24" customHeight="1" outlineLevel="3" x14ac:dyDescent="0.2">
      <c r="A12474" s="14" t="s">
        <v>24524</v>
      </c>
      <c r="B12474" s="15" t="s">
        <v>24525</v>
      </c>
      <c r="C12474" s="16">
        <f>274.22/(1+B2)</f>
        <v>274.22000000000003</v>
      </c>
      <c r="D12474" s="17" t="s">
        <v>11</v>
      </c>
      <c r="E12474" s="17"/>
      <c r="F12474" s="18"/>
      <c r="G12474" s="36" t="str">
        <f>IF(ISNUMBER(F12474),C12474*F12474,"")</f>
        <v/>
      </c>
    </row>
    <row r="12475" spans="1:7" ht="24" customHeight="1" outlineLevel="3" x14ac:dyDescent="0.2">
      <c r="A12475" s="14" t="s">
        <v>24526</v>
      </c>
      <c r="B12475" s="15" t="s">
        <v>24527</v>
      </c>
      <c r="C12475" s="16">
        <f>312.82/(1+B2)</f>
        <v>312.82</v>
      </c>
      <c r="D12475" s="17" t="s">
        <v>11</v>
      </c>
      <c r="E12475" s="17"/>
      <c r="F12475" s="18"/>
      <c r="G12475" s="36" t="str">
        <f>IF(ISNUMBER(F12475),C12475*F12475,"")</f>
        <v/>
      </c>
    </row>
    <row r="12476" spans="1:7" ht="24" customHeight="1" outlineLevel="3" x14ac:dyDescent="0.2">
      <c r="A12476" s="14" t="s">
        <v>24528</v>
      </c>
      <c r="B12476" s="15" t="s">
        <v>24529</v>
      </c>
      <c r="C12476" s="16">
        <f>337.44/(1+B2)</f>
        <v>337.44</v>
      </c>
      <c r="D12476" s="17" t="s">
        <v>11</v>
      </c>
      <c r="E12476" s="17"/>
      <c r="F12476" s="18"/>
      <c r="G12476" s="36" t="str">
        <f>IF(ISNUMBER(F12476),C12476*F12476,"")</f>
        <v/>
      </c>
    </row>
    <row r="12477" spans="1:7" ht="24" customHeight="1" outlineLevel="3" x14ac:dyDescent="0.2">
      <c r="A12477" s="14" t="s">
        <v>24530</v>
      </c>
      <c r="B12477" s="15" t="s">
        <v>24531</v>
      </c>
      <c r="C12477" s="16">
        <f>381.63/(1+B2)</f>
        <v>381.63</v>
      </c>
      <c r="D12477" s="17" t="s">
        <v>11</v>
      </c>
      <c r="E12477" s="17"/>
      <c r="F12477" s="18"/>
      <c r="G12477" s="36" t="str">
        <f>IF(ISNUMBER(F12477),C12477*F12477,"")</f>
        <v/>
      </c>
    </row>
    <row r="12478" spans="1:7" ht="24" customHeight="1" outlineLevel="3" x14ac:dyDescent="0.2">
      <c r="A12478" s="14" t="s">
        <v>24532</v>
      </c>
      <c r="B12478" s="15" t="s">
        <v>24533</v>
      </c>
      <c r="C12478" s="16">
        <f>474.64/(1+B2)</f>
        <v>474.64</v>
      </c>
      <c r="D12478" s="17" t="s">
        <v>11</v>
      </c>
      <c r="E12478" s="17"/>
      <c r="F12478" s="18"/>
      <c r="G12478" s="36" t="str">
        <f>IF(ISNUMBER(F12478),C12478*F12478,"")</f>
        <v/>
      </c>
    </row>
    <row r="12479" spans="1:7" ht="24" customHeight="1" outlineLevel="3" x14ac:dyDescent="0.2">
      <c r="A12479" s="14" t="s">
        <v>24534</v>
      </c>
      <c r="B12479" s="15" t="s">
        <v>24535</v>
      </c>
      <c r="C12479" s="16">
        <f>239.65/(1+B2)</f>
        <v>239.65</v>
      </c>
      <c r="D12479" s="17" t="s">
        <v>11</v>
      </c>
      <c r="E12479" s="17"/>
      <c r="F12479" s="18"/>
      <c r="G12479" s="36" t="str">
        <f>IF(ISNUMBER(F12479),C12479*F12479,"")</f>
        <v/>
      </c>
    </row>
    <row r="12480" spans="1:7" ht="24" customHeight="1" outlineLevel="3" x14ac:dyDescent="0.2">
      <c r="A12480" s="14" t="s">
        <v>24536</v>
      </c>
      <c r="B12480" s="15" t="s">
        <v>24537</v>
      </c>
      <c r="C12480" s="16">
        <f>215.44/(1+B2)</f>
        <v>215.44</v>
      </c>
      <c r="D12480" s="17" t="s">
        <v>11</v>
      </c>
      <c r="E12480" s="17"/>
      <c r="F12480" s="18"/>
      <c r="G12480" s="36" t="str">
        <f>IF(ISNUMBER(F12480),C12480*F12480,"")</f>
        <v/>
      </c>
    </row>
    <row r="12481" spans="1:7" ht="12" customHeight="1" outlineLevel="3" x14ac:dyDescent="0.2">
      <c r="A12481" s="14" t="s">
        <v>24538</v>
      </c>
      <c r="B12481" s="15" t="s">
        <v>24539</v>
      </c>
      <c r="C12481" s="19">
        <f>3380.12/(1+B2)</f>
        <v>3380.12</v>
      </c>
      <c r="D12481" s="17" t="s">
        <v>11</v>
      </c>
      <c r="E12481" s="17"/>
      <c r="F12481" s="18"/>
      <c r="G12481" s="36" t="str">
        <f>IF(ISNUMBER(F12481),C12481*F12481,"")</f>
        <v/>
      </c>
    </row>
    <row r="12482" spans="1:7" ht="24" customHeight="1" outlineLevel="3" x14ac:dyDescent="0.2">
      <c r="A12482" s="14" t="s">
        <v>24540</v>
      </c>
      <c r="B12482" s="15" t="s">
        <v>24541</v>
      </c>
      <c r="C12482" s="19">
        <f>3417.38/(1+B2)</f>
        <v>3417.38</v>
      </c>
      <c r="D12482" s="17" t="s">
        <v>11</v>
      </c>
      <c r="E12482" s="17"/>
      <c r="F12482" s="18"/>
      <c r="G12482" s="36" t="str">
        <f>IF(ISNUMBER(F12482),C12482*F12482,"")</f>
        <v/>
      </c>
    </row>
    <row r="12483" spans="1:7" ht="12" customHeight="1" outlineLevel="3" x14ac:dyDescent="0.2">
      <c r="A12483" s="14" t="s">
        <v>24542</v>
      </c>
      <c r="B12483" s="15" t="s">
        <v>24543</v>
      </c>
      <c r="C12483" s="19">
        <f>3504.76/(1+B2)</f>
        <v>3504.76</v>
      </c>
      <c r="D12483" s="17" t="s">
        <v>11</v>
      </c>
      <c r="E12483" s="17"/>
      <c r="F12483" s="18"/>
      <c r="G12483" s="36" t="str">
        <f>IF(ISNUMBER(F12483),C12483*F12483,"")</f>
        <v/>
      </c>
    </row>
    <row r="12484" spans="1:7" ht="12" customHeight="1" outlineLevel="3" x14ac:dyDescent="0.2">
      <c r="A12484" s="14" t="s">
        <v>24544</v>
      </c>
      <c r="B12484" s="15" t="s">
        <v>24545</v>
      </c>
      <c r="C12484" s="19">
        <f>1113.82/(1+B2)</f>
        <v>1113.82</v>
      </c>
      <c r="D12484" s="17" t="s">
        <v>11</v>
      </c>
      <c r="E12484" s="17"/>
      <c r="F12484" s="18"/>
      <c r="G12484" s="36" t="str">
        <f>IF(ISNUMBER(F12484),C12484*F12484,"")</f>
        <v/>
      </c>
    </row>
    <row r="12485" spans="1:7" ht="12" customHeight="1" outlineLevel="3" x14ac:dyDescent="0.2">
      <c r="A12485" s="14" t="s">
        <v>24546</v>
      </c>
      <c r="B12485" s="15" t="s">
        <v>24547</v>
      </c>
      <c r="C12485" s="19">
        <f>2156.76/(1+B2)</f>
        <v>2156.7600000000002</v>
      </c>
      <c r="D12485" s="17" t="s">
        <v>11</v>
      </c>
      <c r="E12485" s="17"/>
      <c r="F12485" s="18"/>
      <c r="G12485" s="36" t="str">
        <f>IF(ISNUMBER(F12485),C12485*F12485,"")</f>
        <v/>
      </c>
    </row>
    <row r="12486" spans="1:7" ht="12" customHeight="1" outlineLevel="3" x14ac:dyDescent="0.2">
      <c r="A12486" s="14" t="s">
        <v>24548</v>
      </c>
      <c r="B12486" s="15" t="s">
        <v>24549</v>
      </c>
      <c r="C12486" s="19">
        <f>1437.34/(1+B2)</f>
        <v>1437.34</v>
      </c>
      <c r="D12486" s="17" t="s">
        <v>11</v>
      </c>
      <c r="E12486" s="17"/>
      <c r="F12486" s="18"/>
      <c r="G12486" s="36" t="str">
        <f>IF(ISNUMBER(F12486),C12486*F12486,"")</f>
        <v/>
      </c>
    </row>
    <row r="12487" spans="1:7" ht="12" customHeight="1" outlineLevel="3" x14ac:dyDescent="0.2">
      <c r="A12487" s="14" t="s">
        <v>24550</v>
      </c>
      <c r="B12487" s="15" t="s">
        <v>24551</v>
      </c>
      <c r="C12487" s="19">
        <f>2002.8/(1+B2)</f>
        <v>2002.8</v>
      </c>
      <c r="D12487" s="17" t="s">
        <v>11</v>
      </c>
      <c r="E12487" s="17"/>
      <c r="F12487" s="18"/>
      <c r="G12487" s="36" t="str">
        <f>IF(ISNUMBER(F12487),C12487*F12487,"")</f>
        <v/>
      </c>
    </row>
    <row r="12488" spans="1:7" ht="12" customHeight="1" outlineLevel="3" x14ac:dyDescent="0.2">
      <c r="A12488" s="14" t="s">
        <v>24552</v>
      </c>
      <c r="B12488" s="15" t="s">
        <v>24553</v>
      </c>
      <c r="C12488" s="19">
        <f>1633.9/(1+B2)</f>
        <v>1633.9</v>
      </c>
      <c r="D12488" s="17" t="s">
        <v>11</v>
      </c>
      <c r="E12488" s="17"/>
      <c r="F12488" s="18"/>
      <c r="G12488" s="36" t="str">
        <f>IF(ISNUMBER(F12488),C12488*F12488,"")</f>
        <v/>
      </c>
    </row>
    <row r="12489" spans="1:7" ht="12" customHeight="1" outlineLevel="3" x14ac:dyDescent="0.2">
      <c r="A12489" s="14" t="s">
        <v>24554</v>
      </c>
      <c r="B12489" s="15" t="s">
        <v>24555</v>
      </c>
      <c r="C12489" s="19">
        <f>1233.44/(1+B2)</f>
        <v>1233.44</v>
      </c>
      <c r="D12489" s="17" t="s">
        <v>11</v>
      </c>
      <c r="E12489" s="17"/>
      <c r="F12489" s="18"/>
      <c r="G12489" s="36" t="str">
        <f>IF(ISNUMBER(F12489),C12489*F12489,"")</f>
        <v/>
      </c>
    </row>
    <row r="12490" spans="1:7" ht="12" customHeight="1" outlineLevel="3" x14ac:dyDescent="0.2">
      <c r="A12490" s="14" t="s">
        <v>24556</v>
      </c>
      <c r="B12490" s="15" t="s">
        <v>24557</v>
      </c>
      <c r="C12490" s="19">
        <f>1666.47/(1+B2)</f>
        <v>1666.47</v>
      </c>
      <c r="D12490" s="17" t="s">
        <v>11</v>
      </c>
      <c r="E12490" s="17"/>
      <c r="F12490" s="18"/>
      <c r="G12490" s="36" t="str">
        <f>IF(ISNUMBER(F12490),C12490*F12490,"")</f>
        <v/>
      </c>
    </row>
    <row r="12491" spans="1:7" ht="12" customHeight="1" outlineLevel="3" x14ac:dyDescent="0.2">
      <c r="A12491" s="14" t="s">
        <v>24558</v>
      </c>
      <c r="B12491" s="15" t="s">
        <v>24559</v>
      </c>
      <c r="C12491" s="19">
        <f>1064.08/(1+B2)</f>
        <v>1064.08</v>
      </c>
      <c r="D12491" s="17" t="s">
        <v>11</v>
      </c>
      <c r="E12491" s="17"/>
      <c r="F12491" s="18"/>
      <c r="G12491" s="36" t="str">
        <f>IF(ISNUMBER(F12491),C12491*F12491,"")</f>
        <v/>
      </c>
    </row>
    <row r="12492" spans="1:7" ht="12" customHeight="1" outlineLevel="3" x14ac:dyDescent="0.2">
      <c r="A12492" s="14" t="s">
        <v>24560</v>
      </c>
      <c r="B12492" s="15" t="s">
        <v>24561</v>
      </c>
      <c r="C12492" s="16">
        <f>767.48/(1+B2)</f>
        <v>767.48</v>
      </c>
      <c r="D12492" s="17" t="s">
        <v>11</v>
      </c>
      <c r="E12492" s="17"/>
      <c r="F12492" s="18"/>
      <c r="G12492" s="36" t="str">
        <f>IF(ISNUMBER(F12492),C12492*F12492,"")</f>
        <v/>
      </c>
    </row>
    <row r="12493" spans="1:7" ht="12" customHeight="1" outlineLevel="3" x14ac:dyDescent="0.2">
      <c r="A12493" s="14" t="s">
        <v>24562</v>
      </c>
      <c r="B12493" s="15" t="s">
        <v>24563</v>
      </c>
      <c r="C12493" s="16">
        <f>920.54/(1+B2)</f>
        <v>920.54</v>
      </c>
      <c r="D12493" s="17" t="s">
        <v>11</v>
      </c>
      <c r="E12493" s="17"/>
      <c r="F12493" s="18"/>
      <c r="G12493" s="36" t="str">
        <f>IF(ISNUMBER(F12493),C12493*F12493,"")</f>
        <v/>
      </c>
    </row>
    <row r="12494" spans="1:7" ht="12" customHeight="1" outlineLevel="3" x14ac:dyDescent="0.2">
      <c r="A12494" s="14" t="s">
        <v>24564</v>
      </c>
      <c r="B12494" s="15" t="s">
        <v>24565</v>
      </c>
      <c r="C12494" s="16">
        <f>457.12/(1+B2)</f>
        <v>457.12</v>
      </c>
      <c r="D12494" s="17" t="s">
        <v>11</v>
      </c>
      <c r="E12494" s="17"/>
      <c r="F12494" s="18"/>
      <c r="G12494" s="36" t="str">
        <f>IF(ISNUMBER(F12494),C12494*F12494,"")</f>
        <v/>
      </c>
    </row>
    <row r="12495" spans="1:7" ht="12" customHeight="1" outlineLevel="3" x14ac:dyDescent="0.2">
      <c r="A12495" s="14" t="s">
        <v>24566</v>
      </c>
      <c r="B12495" s="15" t="s">
        <v>24567</v>
      </c>
      <c r="C12495" s="16">
        <f>633.61/(1+B2)</f>
        <v>633.61</v>
      </c>
      <c r="D12495" s="17" t="s">
        <v>11</v>
      </c>
      <c r="E12495" s="17"/>
      <c r="F12495" s="18"/>
      <c r="G12495" s="36" t="str">
        <f>IF(ISNUMBER(F12495),C12495*F12495,"")</f>
        <v/>
      </c>
    </row>
    <row r="12496" spans="1:7" ht="12" customHeight="1" outlineLevel="3" x14ac:dyDescent="0.2">
      <c r="A12496" s="14" t="s">
        <v>24568</v>
      </c>
      <c r="B12496" s="15" t="s">
        <v>24569</v>
      </c>
      <c r="C12496" s="16">
        <f>428.67/(1+B2)</f>
        <v>428.67</v>
      </c>
      <c r="D12496" s="17" t="s">
        <v>11</v>
      </c>
      <c r="E12496" s="17"/>
      <c r="F12496" s="18"/>
      <c r="G12496" s="36" t="str">
        <f>IF(ISNUMBER(F12496),C12496*F12496,"")</f>
        <v/>
      </c>
    </row>
    <row r="12497" spans="1:7" ht="12" customHeight="1" outlineLevel="3" x14ac:dyDescent="0.2">
      <c r="A12497" s="14" t="s">
        <v>24570</v>
      </c>
      <c r="B12497" s="15" t="s">
        <v>24571</v>
      </c>
      <c r="C12497" s="16">
        <f>236.07/(1+B2)</f>
        <v>236.07</v>
      </c>
      <c r="D12497" s="17" t="s">
        <v>11</v>
      </c>
      <c r="E12497" s="17"/>
      <c r="F12497" s="18"/>
      <c r="G12497" s="36" t="str">
        <f>IF(ISNUMBER(F12497),C12497*F12497,"")</f>
        <v/>
      </c>
    </row>
    <row r="12498" spans="1:7" ht="12" customHeight="1" outlineLevel="3" x14ac:dyDescent="0.2">
      <c r="A12498" s="14" t="s">
        <v>24572</v>
      </c>
      <c r="B12498" s="15" t="s">
        <v>24573</v>
      </c>
      <c r="C12498" s="16">
        <f>251.32/(1+B2)</f>
        <v>251.32</v>
      </c>
      <c r="D12498" s="17" t="s">
        <v>11</v>
      </c>
      <c r="E12498" s="17"/>
      <c r="F12498" s="18"/>
      <c r="G12498" s="36" t="str">
        <f>IF(ISNUMBER(F12498),C12498*F12498,"")</f>
        <v/>
      </c>
    </row>
    <row r="12499" spans="1:7" ht="24" customHeight="1" outlineLevel="3" x14ac:dyDescent="0.2">
      <c r="A12499" s="14" t="s">
        <v>24574</v>
      </c>
      <c r="B12499" s="15" t="s">
        <v>24575</v>
      </c>
      <c r="C12499" s="19">
        <f>1527.12/(1+B2)</f>
        <v>1527.12</v>
      </c>
      <c r="D12499" s="17" t="s">
        <v>11</v>
      </c>
      <c r="E12499" s="17"/>
      <c r="F12499" s="18"/>
      <c r="G12499" s="36" t="str">
        <f>IF(ISNUMBER(F12499),C12499*F12499,"")</f>
        <v/>
      </c>
    </row>
    <row r="12500" spans="1:7" ht="12" customHeight="1" outlineLevel="3" x14ac:dyDescent="0.2">
      <c r="A12500" s="14" t="s">
        <v>24576</v>
      </c>
      <c r="B12500" s="15" t="s">
        <v>24577</v>
      </c>
      <c r="C12500" s="19">
        <f>1129.99/(1+B2)</f>
        <v>1129.99</v>
      </c>
      <c r="D12500" s="17" t="s">
        <v>11</v>
      </c>
      <c r="E12500" s="17"/>
      <c r="F12500" s="18"/>
      <c r="G12500" s="36" t="str">
        <f>IF(ISNUMBER(F12500),C12500*F12500,"")</f>
        <v/>
      </c>
    </row>
    <row r="12501" spans="1:7" ht="12" customHeight="1" outlineLevel="3" x14ac:dyDescent="0.2">
      <c r="A12501" s="14" t="s">
        <v>24578</v>
      </c>
      <c r="B12501" s="15" t="s">
        <v>24579</v>
      </c>
      <c r="C12501" s="19">
        <f>1128.68/(1+B2)</f>
        <v>1128.68</v>
      </c>
      <c r="D12501" s="17" t="s">
        <v>11</v>
      </c>
      <c r="E12501" s="17"/>
      <c r="F12501" s="18"/>
      <c r="G12501" s="36" t="str">
        <f>IF(ISNUMBER(F12501),C12501*F12501,"")</f>
        <v/>
      </c>
    </row>
    <row r="12502" spans="1:7" ht="24" customHeight="1" outlineLevel="3" x14ac:dyDescent="0.2">
      <c r="A12502" s="14" t="s">
        <v>24580</v>
      </c>
      <c r="B12502" s="15" t="s">
        <v>24581</v>
      </c>
      <c r="C12502" s="19">
        <f>1440.83/(1+B2)</f>
        <v>1440.83</v>
      </c>
      <c r="D12502" s="17" t="s">
        <v>11</v>
      </c>
      <c r="E12502" s="17"/>
      <c r="F12502" s="18"/>
      <c r="G12502" s="36" t="str">
        <f>IF(ISNUMBER(F12502),C12502*F12502,"")</f>
        <v/>
      </c>
    </row>
    <row r="12503" spans="1:7" ht="12" customHeight="1" outlineLevel="3" x14ac:dyDescent="0.2">
      <c r="A12503" s="14" t="s">
        <v>24582</v>
      </c>
      <c r="B12503" s="15" t="s">
        <v>24583</v>
      </c>
      <c r="C12503" s="16">
        <f>827.89/(1+B2)</f>
        <v>827.89</v>
      </c>
      <c r="D12503" s="17" t="s">
        <v>11</v>
      </c>
      <c r="E12503" s="17"/>
      <c r="F12503" s="18"/>
      <c r="G12503" s="36" t="str">
        <f>IF(ISNUMBER(F12503),C12503*F12503,"")</f>
        <v/>
      </c>
    </row>
    <row r="12504" spans="1:7" ht="12" customHeight="1" outlineLevel="3" x14ac:dyDescent="0.2">
      <c r="A12504" s="14" t="s">
        <v>24584</v>
      </c>
      <c r="B12504" s="15" t="s">
        <v>24585</v>
      </c>
      <c r="C12504" s="16">
        <f>829.27/(1+B2)</f>
        <v>829.27</v>
      </c>
      <c r="D12504" s="17" t="s">
        <v>11</v>
      </c>
      <c r="E12504" s="17"/>
      <c r="F12504" s="18"/>
      <c r="G12504" s="36" t="str">
        <f>IF(ISNUMBER(F12504),C12504*F12504,"")</f>
        <v/>
      </c>
    </row>
    <row r="12505" spans="1:7" ht="24" customHeight="1" outlineLevel="3" x14ac:dyDescent="0.2">
      <c r="A12505" s="14" t="s">
        <v>24586</v>
      </c>
      <c r="B12505" s="15" t="s">
        <v>24587</v>
      </c>
      <c r="C12505" s="16">
        <f>915.81/(1+B2)</f>
        <v>915.81</v>
      </c>
      <c r="D12505" s="17" t="s">
        <v>11</v>
      </c>
      <c r="E12505" s="17"/>
      <c r="F12505" s="18"/>
      <c r="G12505" s="36" t="str">
        <f>IF(ISNUMBER(F12505),C12505*F12505,"")</f>
        <v/>
      </c>
    </row>
    <row r="12506" spans="1:7" ht="12" customHeight="1" outlineLevel="3" x14ac:dyDescent="0.2">
      <c r="A12506" s="14" t="s">
        <v>24588</v>
      </c>
      <c r="B12506" s="15" t="s">
        <v>24589</v>
      </c>
      <c r="C12506" s="19">
        <f>1017.8/(1+B2)</f>
        <v>1017.8</v>
      </c>
      <c r="D12506" s="17" t="s">
        <v>11</v>
      </c>
      <c r="E12506" s="17"/>
      <c r="F12506" s="18"/>
      <c r="G12506" s="36" t="str">
        <f>IF(ISNUMBER(F12506),C12506*F12506,"")</f>
        <v/>
      </c>
    </row>
    <row r="12507" spans="1:7" ht="12" customHeight="1" outlineLevel="3" x14ac:dyDescent="0.2">
      <c r="A12507" s="14" t="s">
        <v>24590</v>
      </c>
      <c r="B12507" s="15" t="s">
        <v>24591</v>
      </c>
      <c r="C12507" s="19">
        <f>1023.01/(1+B2)</f>
        <v>1023.01</v>
      </c>
      <c r="D12507" s="17" t="s">
        <v>11</v>
      </c>
      <c r="E12507" s="17"/>
      <c r="F12507" s="18"/>
      <c r="G12507" s="36" t="str">
        <f>IF(ISNUMBER(F12507),C12507*F12507,"")</f>
        <v/>
      </c>
    </row>
    <row r="12508" spans="1:7" ht="24" customHeight="1" outlineLevel="3" x14ac:dyDescent="0.2">
      <c r="A12508" s="14" t="s">
        <v>24592</v>
      </c>
      <c r="B12508" s="15" t="s">
        <v>24593</v>
      </c>
      <c r="C12508" s="19">
        <f>1076.13/(1+B2)</f>
        <v>1076.1300000000001</v>
      </c>
      <c r="D12508" s="17" t="s">
        <v>11</v>
      </c>
      <c r="E12508" s="17"/>
      <c r="F12508" s="18"/>
      <c r="G12508" s="36" t="str">
        <f>IF(ISNUMBER(F12508),C12508*F12508,"")</f>
        <v/>
      </c>
    </row>
    <row r="12509" spans="1:7" ht="12" customHeight="1" outlineLevel="3" x14ac:dyDescent="0.2">
      <c r="A12509" s="14" t="s">
        <v>24594</v>
      </c>
      <c r="B12509" s="15" t="s">
        <v>24595</v>
      </c>
      <c r="C12509" s="16">
        <f>794.83/(1+B2)</f>
        <v>794.83</v>
      </c>
      <c r="D12509" s="17" t="s">
        <v>11</v>
      </c>
      <c r="E12509" s="17"/>
      <c r="F12509" s="18"/>
      <c r="G12509" s="36" t="str">
        <f>IF(ISNUMBER(F12509),C12509*F12509,"")</f>
        <v/>
      </c>
    </row>
    <row r="12510" spans="1:7" ht="12" customHeight="1" outlineLevel="3" x14ac:dyDescent="0.2">
      <c r="A12510" s="14" t="s">
        <v>24596</v>
      </c>
      <c r="B12510" s="15" t="s">
        <v>24597</v>
      </c>
      <c r="C12510" s="16">
        <f>539.12/(1+B2)</f>
        <v>539.12</v>
      </c>
      <c r="D12510" s="17" t="s">
        <v>11</v>
      </c>
      <c r="E12510" s="17"/>
      <c r="F12510" s="18"/>
      <c r="G12510" s="36" t="str">
        <f>IF(ISNUMBER(F12510),C12510*F12510,"")</f>
        <v/>
      </c>
    </row>
    <row r="12511" spans="1:7" ht="12" customHeight="1" outlineLevel="3" x14ac:dyDescent="0.2">
      <c r="A12511" s="14" t="s">
        <v>24598</v>
      </c>
      <c r="B12511" s="15" t="s">
        <v>24599</v>
      </c>
      <c r="C12511" s="16">
        <f>685.98/(1+B2)</f>
        <v>685.98</v>
      </c>
      <c r="D12511" s="17" t="s">
        <v>11</v>
      </c>
      <c r="E12511" s="17"/>
      <c r="F12511" s="18"/>
      <c r="G12511" s="36" t="str">
        <f>IF(ISNUMBER(F12511),C12511*F12511,"")</f>
        <v/>
      </c>
    </row>
    <row r="12512" spans="1:7" ht="12" customHeight="1" outlineLevel="3" x14ac:dyDescent="0.2">
      <c r="A12512" s="14" t="s">
        <v>24600</v>
      </c>
      <c r="B12512" s="15" t="s">
        <v>24601</v>
      </c>
      <c r="C12512" s="19">
        <f>2294.48/(1+B2)</f>
        <v>2294.48</v>
      </c>
      <c r="D12512" s="17" t="s">
        <v>11</v>
      </c>
      <c r="E12512" s="17"/>
      <c r="F12512" s="18"/>
      <c r="G12512" s="36" t="str">
        <f>IF(ISNUMBER(F12512),C12512*F12512,"")</f>
        <v/>
      </c>
    </row>
    <row r="12513" spans="1:7" ht="12" customHeight="1" outlineLevel="3" x14ac:dyDescent="0.2">
      <c r="A12513" s="14" t="s">
        <v>24602</v>
      </c>
      <c r="B12513" s="15" t="s">
        <v>24603</v>
      </c>
      <c r="C12513" s="19">
        <f>1470.92/(1+B2)</f>
        <v>1470.92</v>
      </c>
      <c r="D12513" s="17" t="s">
        <v>11</v>
      </c>
      <c r="E12513" s="17"/>
      <c r="F12513" s="18"/>
      <c r="G12513" s="36" t="str">
        <f>IF(ISNUMBER(F12513),C12513*F12513,"")</f>
        <v/>
      </c>
    </row>
    <row r="12514" spans="1:7" ht="12" customHeight="1" outlineLevel="3" x14ac:dyDescent="0.2">
      <c r="A12514" s="14" t="s">
        <v>24604</v>
      </c>
      <c r="B12514" s="15" t="s">
        <v>24605</v>
      </c>
      <c r="C12514" s="19">
        <f>1558.21/(1+B2)</f>
        <v>1558.21</v>
      </c>
      <c r="D12514" s="17" t="s">
        <v>11</v>
      </c>
      <c r="E12514" s="17"/>
      <c r="F12514" s="18"/>
      <c r="G12514" s="36" t="str">
        <f>IF(ISNUMBER(F12514),C12514*F12514,"")</f>
        <v/>
      </c>
    </row>
    <row r="12515" spans="1:7" ht="12" customHeight="1" outlineLevel="3" x14ac:dyDescent="0.2">
      <c r="A12515" s="14" t="s">
        <v>24606</v>
      </c>
      <c r="B12515" s="15" t="s">
        <v>24607</v>
      </c>
      <c r="C12515" s="16">
        <f>37.5/(1+B2)</f>
        <v>37.5</v>
      </c>
      <c r="D12515" s="17" t="s">
        <v>53</v>
      </c>
      <c r="E12515" s="17"/>
      <c r="F12515" s="18"/>
      <c r="G12515" s="36" t="str">
        <f>IF(ISNUMBER(F12515),C12515*F12515,"")</f>
        <v/>
      </c>
    </row>
    <row r="12516" spans="1:7" ht="12" customHeight="1" outlineLevel="3" x14ac:dyDescent="0.2">
      <c r="A12516" s="14" t="s">
        <v>24608</v>
      </c>
      <c r="B12516" s="15" t="s">
        <v>24609</v>
      </c>
      <c r="C12516" s="16">
        <f>63/(1+B2)</f>
        <v>63</v>
      </c>
      <c r="D12516" s="17" t="s">
        <v>11</v>
      </c>
      <c r="E12516" s="17"/>
      <c r="F12516" s="18"/>
      <c r="G12516" s="36" t="str">
        <f>IF(ISNUMBER(F12516),C12516*F12516,"")</f>
        <v/>
      </c>
    </row>
    <row r="12517" spans="1:7" ht="12" customHeight="1" outlineLevel="3" x14ac:dyDescent="0.2">
      <c r="A12517" s="14" t="s">
        <v>24610</v>
      </c>
      <c r="B12517" s="15" t="s">
        <v>24611</v>
      </c>
      <c r="C12517" s="16">
        <f>193.75/(1+B2)</f>
        <v>193.75</v>
      </c>
      <c r="D12517" s="17" t="s">
        <v>53</v>
      </c>
      <c r="E12517" s="17"/>
      <c r="F12517" s="18"/>
      <c r="G12517" s="36" t="str">
        <f>IF(ISNUMBER(F12517),C12517*F12517,"")</f>
        <v/>
      </c>
    </row>
    <row r="12518" spans="1:7" ht="12" customHeight="1" outlineLevel="3" x14ac:dyDescent="0.2">
      <c r="A12518" s="14" t="s">
        <v>24612</v>
      </c>
      <c r="B12518" s="15" t="s">
        <v>24613</v>
      </c>
      <c r="C12518" s="19">
        <f>1262.37/(1+B2)</f>
        <v>1262.3699999999999</v>
      </c>
      <c r="D12518" s="17" t="s">
        <v>11</v>
      </c>
      <c r="E12518" s="17" t="s">
        <v>11</v>
      </c>
      <c r="F12518" s="18"/>
      <c r="G12518" s="36" t="str">
        <f>IF(ISNUMBER(F12518),C12518*F12518,"")</f>
        <v/>
      </c>
    </row>
    <row r="12519" spans="1:7" ht="12" customHeight="1" outlineLevel="3" x14ac:dyDescent="0.2">
      <c r="A12519" s="14" t="s">
        <v>24614</v>
      </c>
      <c r="B12519" s="15" t="s">
        <v>24615</v>
      </c>
      <c r="C12519" s="19">
        <f>1543.16/(1+B2)</f>
        <v>1543.16</v>
      </c>
      <c r="D12519" s="17" t="s">
        <v>11</v>
      </c>
      <c r="E12519" s="17"/>
      <c r="F12519" s="18"/>
      <c r="G12519" s="36" t="str">
        <f>IF(ISNUMBER(F12519),C12519*F12519,"")</f>
        <v/>
      </c>
    </row>
    <row r="12520" spans="1:7" ht="12" customHeight="1" outlineLevel="3" x14ac:dyDescent="0.2">
      <c r="A12520" s="14" t="s">
        <v>24616</v>
      </c>
      <c r="B12520" s="15" t="s">
        <v>24617</v>
      </c>
      <c r="C12520" s="19">
        <f>2035.29/(1+B2)</f>
        <v>2035.29</v>
      </c>
      <c r="D12520" s="17" t="s">
        <v>11</v>
      </c>
      <c r="E12520" s="17"/>
      <c r="F12520" s="18"/>
      <c r="G12520" s="36" t="str">
        <f>IF(ISNUMBER(F12520),C12520*F12520,"")</f>
        <v/>
      </c>
    </row>
    <row r="12521" spans="1:7" ht="12" customHeight="1" outlineLevel="3" x14ac:dyDescent="0.2">
      <c r="A12521" s="14" t="s">
        <v>24618</v>
      </c>
      <c r="B12521" s="15" t="s">
        <v>24619</v>
      </c>
      <c r="C12521" s="16">
        <f>341.79/(1+B2)</f>
        <v>341.79</v>
      </c>
      <c r="D12521" s="17" t="s">
        <v>11</v>
      </c>
      <c r="E12521" s="17"/>
      <c r="F12521" s="18"/>
      <c r="G12521" s="36" t="str">
        <f>IF(ISNUMBER(F12521),C12521*F12521,"")</f>
        <v/>
      </c>
    </row>
    <row r="12522" spans="1:7" ht="24" customHeight="1" outlineLevel="3" x14ac:dyDescent="0.2">
      <c r="A12522" s="14" t="s">
        <v>24620</v>
      </c>
      <c r="B12522" s="15" t="s">
        <v>24621</v>
      </c>
      <c r="C12522" s="16">
        <f>893.09/(1+B2)</f>
        <v>893.09</v>
      </c>
      <c r="D12522" s="17" t="s">
        <v>11</v>
      </c>
      <c r="E12522" s="17"/>
      <c r="F12522" s="18"/>
      <c r="G12522" s="36" t="str">
        <f>IF(ISNUMBER(F12522),C12522*F12522,"")</f>
        <v/>
      </c>
    </row>
    <row r="12523" spans="1:7" ht="24" customHeight="1" outlineLevel="3" x14ac:dyDescent="0.2">
      <c r="A12523" s="14" t="s">
        <v>24622</v>
      </c>
      <c r="B12523" s="15" t="s">
        <v>24623</v>
      </c>
      <c r="C12523" s="16">
        <f>754.72/(1+B2)</f>
        <v>754.72</v>
      </c>
      <c r="D12523" s="17" t="s">
        <v>11</v>
      </c>
      <c r="E12523" s="17"/>
      <c r="F12523" s="18"/>
      <c r="G12523" s="36" t="str">
        <f>IF(ISNUMBER(F12523),C12523*F12523,"")</f>
        <v/>
      </c>
    </row>
    <row r="12524" spans="1:7" ht="24" customHeight="1" outlineLevel="3" x14ac:dyDescent="0.2">
      <c r="A12524" s="14" t="s">
        <v>24624</v>
      </c>
      <c r="B12524" s="15" t="s">
        <v>24625</v>
      </c>
      <c r="C12524" s="16">
        <f>817.44/(1+B2)</f>
        <v>817.44</v>
      </c>
      <c r="D12524" s="17" t="s">
        <v>11</v>
      </c>
      <c r="E12524" s="17"/>
      <c r="F12524" s="18"/>
      <c r="G12524" s="36" t="str">
        <f>IF(ISNUMBER(F12524),C12524*F12524,"")</f>
        <v/>
      </c>
    </row>
    <row r="12525" spans="1:7" ht="24" customHeight="1" outlineLevel="3" x14ac:dyDescent="0.2">
      <c r="A12525" s="14" t="s">
        <v>24626</v>
      </c>
      <c r="B12525" s="15" t="s">
        <v>24627</v>
      </c>
      <c r="C12525" s="16">
        <f>630.23/(1+B2)</f>
        <v>630.23</v>
      </c>
      <c r="D12525" s="17" t="s">
        <v>11</v>
      </c>
      <c r="E12525" s="17"/>
      <c r="F12525" s="18"/>
      <c r="G12525" s="36" t="str">
        <f>IF(ISNUMBER(F12525),C12525*F12525,"")</f>
        <v/>
      </c>
    </row>
    <row r="12526" spans="1:7" ht="24" customHeight="1" outlineLevel="3" x14ac:dyDescent="0.2">
      <c r="A12526" s="14" t="s">
        <v>24628</v>
      </c>
      <c r="B12526" s="15" t="s">
        <v>24629</v>
      </c>
      <c r="C12526" s="16">
        <f>921.12/(1+B2)</f>
        <v>921.12</v>
      </c>
      <c r="D12526" s="17" t="s">
        <v>11</v>
      </c>
      <c r="E12526" s="17"/>
      <c r="F12526" s="18"/>
      <c r="G12526" s="36" t="str">
        <f>IF(ISNUMBER(F12526),C12526*F12526,"")</f>
        <v/>
      </c>
    </row>
    <row r="12527" spans="1:7" ht="24" customHeight="1" outlineLevel="3" x14ac:dyDescent="0.2">
      <c r="A12527" s="14" t="s">
        <v>24630</v>
      </c>
      <c r="B12527" s="15" t="s">
        <v>24631</v>
      </c>
      <c r="C12527" s="19">
        <f>1870.98/(1+B2)</f>
        <v>1870.98</v>
      </c>
      <c r="D12527" s="17" t="s">
        <v>11</v>
      </c>
      <c r="E12527" s="17"/>
      <c r="F12527" s="18"/>
      <c r="G12527" s="36" t="str">
        <f>IF(ISNUMBER(F12527),C12527*F12527,"")</f>
        <v/>
      </c>
    </row>
    <row r="12528" spans="1:7" ht="24" customHeight="1" outlineLevel="3" x14ac:dyDescent="0.2">
      <c r="A12528" s="14" t="s">
        <v>24632</v>
      </c>
      <c r="B12528" s="15" t="s">
        <v>24633</v>
      </c>
      <c r="C12528" s="16">
        <f>703/(1+B2)</f>
        <v>703</v>
      </c>
      <c r="D12528" s="17" t="s">
        <v>11</v>
      </c>
      <c r="E12528" s="17"/>
      <c r="F12528" s="18"/>
      <c r="G12528" s="36" t="str">
        <f>IF(ISNUMBER(F12528),C12528*F12528,"")</f>
        <v/>
      </c>
    </row>
    <row r="12529" spans="1:7" ht="24" customHeight="1" outlineLevel="3" x14ac:dyDescent="0.2">
      <c r="A12529" s="14" t="s">
        <v>24634</v>
      </c>
      <c r="B12529" s="15" t="s">
        <v>24635</v>
      </c>
      <c r="C12529" s="16">
        <f>395.25/(1+B2)</f>
        <v>395.25</v>
      </c>
      <c r="D12529" s="17" t="s">
        <v>11</v>
      </c>
      <c r="E12529" s="17"/>
      <c r="F12529" s="18"/>
      <c r="G12529" s="36" t="str">
        <f>IF(ISNUMBER(F12529),C12529*F12529,"")</f>
        <v/>
      </c>
    </row>
    <row r="12530" spans="1:7" ht="24" customHeight="1" outlineLevel="3" x14ac:dyDescent="0.2">
      <c r="A12530" s="14" t="s">
        <v>24636</v>
      </c>
      <c r="B12530" s="15" t="s">
        <v>24637</v>
      </c>
      <c r="C12530" s="16">
        <f>592.8/(1+B2)</f>
        <v>592.79999999999995</v>
      </c>
      <c r="D12530" s="17" t="s">
        <v>11</v>
      </c>
      <c r="E12530" s="17"/>
      <c r="F12530" s="18"/>
      <c r="G12530" s="36" t="str">
        <f>IF(ISNUMBER(F12530),C12530*F12530,"")</f>
        <v/>
      </c>
    </row>
    <row r="12531" spans="1:7" ht="24" customHeight="1" outlineLevel="3" x14ac:dyDescent="0.2">
      <c r="A12531" s="14" t="s">
        <v>24638</v>
      </c>
      <c r="B12531" s="15" t="s">
        <v>24639</v>
      </c>
      <c r="C12531" s="16">
        <f>790.57/(1+B2)</f>
        <v>790.57</v>
      </c>
      <c r="D12531" s="17" t="s">
        <v>11</v>
      </c>
      <c r="E12531" s="17"/>
      <c r="F12531" s="18"/>
      <c r="G12531" s="36" t="str">
        <f>IF(ISNUMBER(F12531),C12531*F12531,"")</f>
        <v/>
      </c>
    </row>
    <row r="12532" spans="1:7" ht="24" customHeight="1" outlineLevel="3" x14ac:dyDescent="0.2">
      <c r="A12532" s="14" t="s">
        <v>24640</v>
      </c>
      <c r="B12532" s="15" t="s">
        <v>24641</v>
      </c>
      <c r="C12532" s="16">
        <f>381.9/(1+B2)</f>
        <v>381.9</v>
      </c>
      <c r="D12532" s="17" t="s">
        <v>11</v>
      </c>
      <c r="E12532" s="17"/>
      <c r="F12532" s="18"/>
      <c r="G12532" s="36" t="str">
        <f>IF(ISNUMBER(F12532),C12532*F12532,"")</f>
        <v/>
      </c>
    </row>
    <row r="12533" spans="1:7" ht="24" customHeight="1" outlineLevel="3" x14ac:dyDescent="0.2">
      <c r="A12533" s="14" t="s">
        <v>24642</v>
      </c>
      <c r="B12533" s="15" t="s">
        <v>24643</v>
      </c>
      <c r="C12533" s="16">
        <f>338.51/(1+B2)</f>
        <v>338.51</v>
      </c>
      <c r="D12533" s="17" t="s">
        <v>11</v>
      </c>
      <c r="E12533" s="17"/>
      <c r="F12533" s="18"/>
      <c r="G12533" s="36" t="str">
        <f>IF(ISNUMBER(F12533),C12533*F12533,"")</f>
        <v/>
      </c>
    </row>
    <row r="12534" spans="1:7" ht="24" customHeight="1" outlineLevel="3" x14ac:dyDescent="0.2">
      <c r="A12534" s="14" t="s">
        <v>24644</v>
      </c>
      <c r="B12534" s="15" t="s">
        <v>24645</v>
      </c>
      <c r="C12534" s="16">
        <f>254.3/(1+B2)</f>
        <v>254.3</v>
      </c>
      <c r="D12534" s="17" t="s">
        <v>11</v>
      </c>
      <c r="E12534" s="17"/>
      <c r="F12534" s="18"/>
      <c r="G12534" s="36" t="str">
        <f>IF(ISNUMBER(F12534),C12534*F12534,"")</f>
        <v/>
      </c>
    </row>
    <row r="12535" spans="1:7" ht="24" customHeight="1" outlineLevel="3" x14ac:dyDescent="0.2">
      <c r="A12535" s="14" t="s">
        <v>24646</v>
      </c>
      <c r="B12535" s="15" t="s">
        <v>24647</v>
      </c>
      <c r="C12535" s="16">
        <f>331.88/(1+B2)</f>
        <v>331.88</v>
      </c>
      <c r="D12535" s="17" t="s">
        <v>11</v>
      </c>
      <c r="E12535" s="17"/>
      <c r="F12535" s="18"/>
      <c r="G12535" s="36" t="str">
        <f>IF(ISNUMBER(F12535),C12535*F12535,"")</f>
        <v/>
      </c>
    </row>
    <row r="12536" spans="1:7" ht="12" customHeight="1" outlineLevel="3" x14ac:dyDescent="0.2">
      <c r="A12536" s="14" t="s">
        <v>24648</v>
      </c>
      <c r="B12536" s="15" t="s">
        <v>24649</v>
      </c>
      <c r="C12536" s="16">
        <f>930.3/(1+B2)</f>
        <v>930.3</v>
      </c>
      <c r="D12536" s="17" t="s">
        <v>11</v>
      </c>
      <c r="E12536" s="17"/>
      <c r="F12536" s="18"/>
      <c r="G12536" s="36" t="str">
        <f>IF(ISNUMBER(F12536),C12536*F12536,"")</f>
        <v/>
      </c>
    </row>
    <row r="12537" spans="1:7" ht="12" customHeight="1" outlineLevel="3" x14ac:dyDescent="0.2">
      <c r="A12537" s="14" t="s">
        <v>24650</v>
      </c>
      <c r="B12537" s="15" t="s">
        <v>24651</v>
      </c>
      <c r="C12537" s="16">
        <f>800.03/(1+B2)</f>
        <v>800.03</v>
      </c>
      <c r="D12537" s="17" t="s">
        <v>11</v>
      </c>
      <c r="E12537" s="17"/>
      <c r="F12537" s="18"/>
      <c r="G12537" s="36" t="str">
        <f>IF(ISNUMBER(F12537),C12537*F12537,"")</f>
        <v/>
      </c>
    </row>
    <row r="12538" spans="1:7" s="1" customFormat="1" ht="12.95" customHeight="1" outlineLevel="2" x14ac:dyDescent="0.2">
      <c r="A12538" s="20"/>
      <c r="B12538" s="21" t="s">
        <v>24652</v>
      </c>
      <c r="C12538" s="22"/>
      <c r="D12538" s="22"/>
      <c r="E12538" s="22"/>
      <c r="F12538" s="22"/>
      <c r="G12538" s="37"/>
    </row>
    <row r="12539" spans="1:7" ht="12" customHeight="1" outlineLevel="3" x14ac:dyDescent="0.2">
      <c r="A12539" s="14" t="s">
        <v>24653</v>
      </c>
      <c r="B12539" s="15" t="s">
        <v>24654</v>
      </c>
      <c r="C12539" s="16">
        <f>91.13/(1+B2)</f>
        <v>91.13</v>
      </c>
      <c r="D12539" s="17" t="s">
        <v>11</v>
      </c>
      <c r="E12539" s="17"/>
      <c r="F12539" s="18"/>
      <c r="G12539" s="36" t="str">
        <f>IF(ISNUMBER(F12539),C12539*F12539,"")</f>
        <v/>
      </c>
    </row>
    <row r="12540" spans="1:7" ht="12" customHeight="1" outlineLevel="3" x14ac:dyDescent="0.2">
      <c r="A12540" s="14" t="s">
        <v>24655</v>
      </c>
      <c r="B12540" s="15" t="s">
        <v>24656</v>
      </c>
      <c r="C12540" s="16">
        <f>63.7/(1+B2)</f>
        <v>63.7</v>
      </c>
      <c r="D12540" s="17" t="s">
        <v>11</v>
      </c>
      <c r="E12540" s="17"/>
      <c r="F12540" s="18"/>
      <c r="G12540" s="36" t="str">
        <f>IF(ISNUMBER(F12540),C12540*F12540,"")</f>
        <v/>
      </c>
    </row>
    <row r="12541" spans="1:7" ht="12" customHeight="1" outlineLevel="3" x14ac:dyDescent="0.2">
      <c r="A12541" s="14" t="s">
        <v>24657</v>
      </c>
      <c r="B12541" s="15" t="s">
        <v>24658</v>
      </c>
      <c r="C12541" s="16">
        <f>585/(1+B2)</f>
        <v>585</v>
      </c>
      <c r="D12541" s="17" t="s">
        <v>11</v>
      </c>
      <c r="E12541" s="17"/>
      <c r="F12541" s="18"/>
      <c r="G12541" s="36" t="str">
        <f>IF(ISNUMBER(F12541),C12541*F12541,"")</f>
        <v/>
      </c>
    </row>
    <row r="12542" spans="1:7" ht="12" customHeight="1" outlineLevel="3" x14ac:dyDescent="0.2">
      <c r="A12542" s="14" t="s">
        <v>24659</v>
      </c>
      <c r="B12542" s="15" t="s">
        <v>24660</v>
      </c>
      <c r="C12542" s="16">
        <f>345.17/(1+B2)</f>
        <v>345.17</v>
      </c>
      <c r="D12542" s="17" t="s">
        <v>11</v>
      </c>
      <c r="E12542" s="17"/>
      <c r="F12542" s="18"/>
      <c r="G12542" s="36" t="str">
        <f>IF(ISNUMBER(F12542),C12542*F12542,"")</f>
        <v/>
      </c>
    </row>
    <row r="12543" spans="1:7" ht="12" customHeight="1" outlineLevel="3" x14ac:dyDescent="0.2">
      <c r="A12543" s="14" t="s">
        <v>24661</v>
      </c>
      <c r="B12543" s="15" t="s">
        <v>24662</v>
      </c>
      <c r="C12543" s="16">
        <f>885.14/(1+B2)</f>
        <v>885.14</v>
      </c>
      <c r="D12543" s="17" t="s">
        <v>11</v>
      </c>
      <c r="E12543" s="17"/>
      <c r="F12543" s="18"/>
      <c r="G12543" s="36" t="str">
        <f>IF(ISNUMBER(F12543),C12543*F12543,"")</f>
        <v/>
      </c>
    </row>
    <row r="12544" spans="1:7" ht="12" customHeight="1" outlineLevel="3" x14ac:dyDescent="0.2">
      <c r="A12544" s="14" t="s">
        <v>24663</v>
      </c>
      <c r="B12544" s="15" t="s">
        <v>24664</v>
      </c>
      <c r="C12544" s="19">
        <f>1621/(1+B2)</f>
        <v>1621</v>
      </c>
      <c r="D12544" s="17" t="s">
        <v>11</v>
      </c>
      <c r="E12544" s="17" t="s">
        <v>106</v>
      </c>
      <c r="F12544" s="18"/>
      <c r="G12544" s="36" t="str">
        <f>IF(ISNUMBER(F12544),C12544*F12544,"")</f>
        <v/>
      </c>
    </row>
    <row r="12545" spans="1:7" ht="12" customHeight="1" outlineLevel="3" x14ac:dyDescent="0.2">
      <c r="A12545" s="14" t="s">
        <v>24665</v>
      </c>
      <c r="B12545" s="15" t="s">
        <v>24666</v>
      </c>
      <c r="C12545" s="19">
        <f>2540/(1+B2)</f>
        <v>2540</v>
      </c>
      <c r="D12545" s="17" t="s">
        <v>11</v>
      </c>
      <c r="E12545" s="17" t="s">
        <v>106</v>
      </c>
      <c r="F12545" s="18"/>
      <c r="G12545" s="36" t="str">
        <f>IF(ISNUMBER(F12545),C12545*F12545,"")</f>
        <v/>
      </c>
    </row>
    <row r="12546" spans="1:7" s="1" customFormat="1" ht="12.95" customHeight="1" outlineLevel="2" x14ac:dyDescent="0.2">
      <c r="A12546" s="20"/>
      <c r="B12546" s="21" t="s">
        <v>24667</v>
      </c>
      <c r="C12546" s="22"/>
      <c r="D12546" s="22"/>
      <c r="E12546" s="22"/>
      <c r="F12546" s="22"/>
      <c r="G12546" s="37"/>
    </row>
    <row r="12547" spans="1:7" ht="12" customHeight="1" outlineLevel="3" x14ac:dyDescent="0.2">
      <c r="A12547" s="14" t="s">
        <v>24668</v>
      </c>
      <c r="B12547" s="15" t="s">
        <v>24669</v>
      </c>
      <c r="C12547" s="16">
        <f>546.05/(1+B2)</f>
        <v>546.04999999999995</v>
      </c>
      <c r="D12547" s="17" t="s">
        <v>11</v>
      </c>
      <c r="E12547" s="17"/>
      <c r="F12547" s="18"/>
      <c r="G12547" s="36" t="str">
        <f>IF(ISNUMBER(F12547),C12547*F12547,"")</f>
        <v/>
      </c>
    </row>
    <row r="12548" spans="1:7" ht="12" customHeight="1" outlineLevel="3" x14ac:dyDescent="0.2">
      <c r="A12548" s="14" t="s">
        <v>24670</v>
      </c>
      <c r="B12548" s="15" t="s">
        <v>24671</v>
      </c>
      <c r="C12548" s="16">
        <f>607.62/(1+B2)</f>
        <v>607.62</v>
      </c>
      <c r="D12548" s="17" t="s">
        <v>11</v>
      </c>
      <c r="E12548" s="17"/>
      <c r="F12548" s="18"/>
      <c r="G12548" s="36" t="str">
        <f>IF(ISNUMBER(F12548),C12548*F12548,"")</f>
        <v/>
      </c>
    </row>
    <row r="12549" spans="1:7" ht="12" customHeight="1" outlineLevel="3" x14ac:dyDescent="0.2">
      <c r="A12549" s="14" t="s">
        <v>24672</v>
      </c>
      <c r="B12549" s="15" t="s">
        <v>24673</v>
      </c>
      <c r="C12549" s="16">
        <f>627.16/(1+B2)</f>
        <v>627.16</v>
      </c>
      <c r="D12549" s="17" t="s">
        <v>11</v>
      </c>
      <c r="E12549" s="17"/>
      <c r="F12549" s="18"/>
      <c r="G12549" s="36" t="str">
        <f>IF(ISNUMBER(F12549),C12549*F12549,"")</f>
        <v/>
      </c>
    </row>
    <row r="12550" spans="1:7" ht="12" customHeight="1" outlineLevel="3" x14ac:dyDescent="0.2">
      <c r="A12550" s="14" t="s">
        <v>24674</v>
      </c>
      <c r="B12550" s="15" t="s">
        <v>24675</v>
      </c>
      <c r="C12550" s="16">
        <f>671.98/(1+B2)</f>
        <v>671.98</v>
      </c>
      <c r="D12550" s="17" t="s">
        <v>11</v>
      </c>
      <c r="E12550" s="17"/>
      <c r="F12550" s="18"/>
      <c r="G12550" s="36" t="str">
        <f>IF(ISNUMBER(F12550),C12550*F12550,"")</f>
        <v/>
      </c>
    </row>
    <row r="12551" spans="1:7" ht="12" customHeight="1" outlineLevel="3" x14ac:dyDescent="0.2">
      <c r="A12551" s="14" t="s">
        <v>24676</v>
      </c>
      <c r="B12551" s="15" t="s">
        <v>24677</v>
      </c>
      <c r="C12551" s="16">
        <f>898/(1+B2)</f>
        <v>898</v>
      </c>
      <c r="D12551" s="17" t="s">
        <v>11</v>
      </c>
      <c r="E12551" s="17"/>
      <c r="F12551" s="18"/>
      <c r="G12551" s="36" t="str">
        <f>IF(ISNUMBER(F12551),C12551*F12551,"")</f>
        <v/>
      </c>
    </row>
    <row r="12552" spans="1:7" ht="12" customHeight="1" outlineLevel="3" x14ac:dyDescent="0.2">
      <c r="A12552" s="14" t="s">
        <v>24678</v>
      </c>
      <c r="B12552" s="15" t="s">
        <v>24679</v>
      </c>
      <c r="C12552" s="19">
        <f>1236.24/(1+B2)</f>
        <v>1236.24</v>
      </c>
      <c r="D12552" s="17" t="s">
        <v>11</v>
      </c>
      <c r="E12552" s="17"/>
      <c r="F12552" s="18"/>
      <c r="G12552" s="36" t="str">
        <f>IF(ISNUMBER(F12552),C12552*F12552,"")</f>
        <v/>
      </c>
    </row>
    <row r="12553" spans="1:7" ht="12" customHeight="1" outlineLevel="3" x14ac:dyDescent="0.2">
      <c r="A12553" s="14" t="s">
        <v>24680</v>
      </c>
      <c r="B12553" s="15" t="s">
        <v>24681</v>
      </c>
      <c r="C12553" s="19">
        <f>1974.34/(1+B2)</f>
        <v>1974.34</v>
      </c>
      <c r="D12553" s="17" t="s">
        <v>11</v>
      </c>
      <c r="E12553" s="17"/>
      <c r="F12553" s="18"/>
      <c r="G12553" s="36" t="str">
        <f>IF(ISNUMBER(F12553),C12553*F12553,"")</f>
        <v/>
      </c>
    </row>
    <row r="12554" spans="1:7" ht="12" customHeight="1" outlineLevel="3" x14ac:dyDescent="0.2">
      <c r="A12554" s="14" t="s">
        <v>24682</v>
      </c>
      <c r="B12554" s="15" t="s">
        <v>24683</v>
      </c>
      <c r="C12554" s="19">
        <f>2005.25/(1+B2)</f>
        <v>2005.25</v>
      </c>
      <c r="D12554" s="17" t="s">
        <v>11</v>
      </c>
      <c r="E12554" s="17"/>
      <c r="F12554" s="18"/>
      <c r="G12554" s="36" t="str">
        <f>IF(ISNUMBER(F12554),C12554*F12554,"")</f>
        <v/>
      </c>
    </row>
    <row r="12555" spans="1:7" ht="12" customHeight="1" outlineLevel="3" x14ac:dyDescent="0.2">
      <c r="A12555" s="14" t="s">
        <v>24684</v>
      </c>
      <c r="B12555" s="15" t="s">
        <v>24685</v>
      </c>
      <c r="C12555" s="16">
        <f>79.33/(1+B2)</f>
        <v>79.33</v>
      </c>
      <c r="D12555" s="17" t="s">
        <v>11</v>
      </c>
      <c r="E12555" s="17"/>
      <c r="F12555" s="18"/>
      <c r="G12555" s="36" t="str">
        <f>IF(ISNUMBER(F12555),C12555*F12555,"")</f>
        <v/>
      </c>
    </row>
    <row r="12556" spans="1:7" ht="12" customHeight="1" outlineLevel="3" x14ac:dyDescent="0.2">
      <c r="A12556" s="14" t="s">
        <v>24686</v>
      </c>
      <c r="B12556" s="15" t="s">
        <v>24687</v>
      </c>
      <c r="C12556" s="16">
        <f>110.68/(1+B2)</f>
        <v>110.68</v>
      </c>
      <c r="D12556" s="17" t="s">
        <v>11</v>
      </c>
      <c r="E12556" s="17"/>
      <c r="F12556" s="18"/>
      <c r="G12556" s="36" t="str">
        <f>IF(ISNUMBER(F12556),C12556*F12556,"")</f>
        <v/>
      </c>
    </row>
    <row r="12557" spans="1:7" ht="12" customHeight="1" outlineLevel="3" x14ac:dyDescent="0.2">
      <c r="A12557" s="14" t="s">
        <v>24688</v>
      </c>
      <c r="B12557" s="15" t="s">
        <v>24689</v>
      </c>
      <c r="C12557" s="16">
        <f>217.29/(1+B2)</f>
        <v>217.29</v>
      </c>
      <c r="D12557" s="17" t="s">
        <v>11</v>
      </c>
      <c r="E12557" s="17"/>
      <c r="F12557" s="18"/>
      <c r="G12557" s="36" t="str">
        <f>IF(ISNUMBER(F12557),C12557*F12557,"")</f>
        <v/>
      </c>
    </row>
    <row r="12558" spans="1:7" ht="12" customHeight="1" outlineLevel="3" x14ac:dyDescent="0.2">
      <c r="A12558" s="14" t="s">
        <v>24690</v>
      </c>
      <c r="B12558" s="15" t="s">
        <v>24691</v>
      </c>
      <c r="C12558" s="16">
        <f>173.84/(1+B2)</f>
        <v>173.84</v>
      </c>
      <c r="D12558" s="17" t="s">
        <v>11</v>
      </c>
      <c r="E12558" s="17"/>
      <c r="F12558" s="18"/>
      <c r="G12558" s="36" t="str">
        <f>IF(ISNUMBER(F12558),C12558*F12558,"")</f>
        <v/>
      </c>
    </row>
    <row r="12559" spans="1:7" ht="12" customHeight="1" outlineLevel="3" x14ac:dyDescent="0.2">
      <c r="A12559" s="14" t="s">
        <v>24692</v>
      </c>
      <c r="B12559" s="15" t="s">
        <v>24693</v>
      </c>
      <c r="C12559" s="16">
        <f>108.5/(1+B2)</f>
        <v>108.5</v>
      </c>
      <c r="D12559" s="17" t="s">
        <v>11</v>
      </c>
      <c r="E12559" s="17"/>
      <c r="F12559" s="18"/>
      <c r="G12559" s="36" t="str">
        <f>IF(ISNUMBER(F12559),C12559*F12559,"")</f>
        <v/>
      </c>
    </row>
    <row r="12560" spans="1:7" ht="12" customHeight="1" outlineLevel="3" x14ac:dyDescent="0.2">
      <c r="A12560" s="14" t="s">
        <v>24694</v>
      </c>
      <c r="B12560" s="15" t="s">
        <v>24695</v>
      </c>
      <c r="C12560" s="16">
        <f>55.08/(1+B2)</f>
        <v>55.08</v>
      </c>
      <c r="D12560" s="17" t="s">
        <v>11</v>
      </c>
      <c r="E12560" s="17"/>
      <c r="F12560" s="18"/>
      <c r="G12560" s="36" t="str">
        <f>IF(ISNUMBER(F12560),C12560*F12560,"")</f>
        <v/>
      </c>
    </row>
    <row r="12561" spans="1:7" ht="12" customHeight="1" outlineLevel="3" x14ac:dyDescent="0.2">
      <c r="A12561" s="14" t="s">
        <v>24696</v>
      </c>
      <c r="B12561" s="15" t="s">
        <v>24697</v>
      </c>
      <c r="C12561" s="16">
        <f>63.7/(1+B2)</f>
        <v>63.7</v>
      </c>
      <c r="D12561" s="17" t="s">
        <v>11</v>
      </c>
      <c r="E12561" s="17"/>
      <c r="F12561" s="18"/>
      <c r="G12561" s="36" t="str">
        <f>IF(ISNUMBER(F12561),C12561*F12561,"")</f>
        <v/>
      </c>
    </row>
    <row r="12562" spans="1:7" ht="12" customHeight="1" outlineLevel="3" x14ac:dyDescent="0.2">
      <c r="A12562" s="14" t="s">
        <v>24698</v>
      </c>
      <c r="B12562" s="15" t="s">
        <v>24699</v>
      </c>
      <c r="C12562" s="16">
        <f>307.51/(1+B2)</f>
        <v>307.51</v>
      </c>
      <c r="D12562" s="17" t="s">
        <v>11</v>
      </c>
      <c r="E12562" s="17"/>
      <c r="F12562" s="18"/>
      <c r="G12562" s="36" t="str">
        <f>IF(ISNUMBER(F12562),C12562*F12562,"")</f>
        <v/>
      </c>
    </row>
    <row r="12563" spans="1:7" ht="12" customHeight="1" outlineLevel="3" x14ac:dyDescent="0.2">
      <c r="A12563" s="14" t="s">
        <v>24700</v>
      </c>
      <c r="B12563" s="15" t="s">
        <v>24701</v>
      </c>
      <c r="C12563" s="16">
        <f>202.36/(1+B2)</f>
        <v>202.36</v>
      </c>
      <c r="D12563" s="17" t="s">
        <v>11</v>
      </c>
      <c r="E12563" s="17"/>
      <c r="F12563" s="18"/>
      <c r="G12563" s="36" t="str">
        <f>IF(ISNUMBER(F12563),C12563*F12563,"")</f>
        <v/>
      </c>
    </row>
    <row r="12564" spans="1:7" ht="12" customHeight="1" outlineLevel="3" x14ac:dyDescent="0.2">
      <c r="A12564" s="14" t="s">
        <v>24702</v>
      </c>
      <c r="B12564" s="15" t="s">
        <v>24703</v>
      </c>
      <c r="C12564" s="16">
        <f>221.04/(1+B2)</f>
        <v>221.04</v>
      </c>
      <c r="D12564" s="17" t="s">
        <v>11</v>
      </c>
      <c r="E12564" s="17"/>
      <c r="F12564" s="18"/>
      <c r="G12564" s="36" t="str">
        <f>IF(ISNUMBER(F12564),C12564*F12564,"")</f>
        <v/>
      </c>
    </row>
    <row r="12565" spans="1:7" ht="12" customHeight="1" outlineLevel="3" x14ac:dyDescent="0.2">
      <c r="A12565" s="14" t="s">
        <v>24704</v>
      </c>
      <c r="B12565" s="15" t="s">
        <v>24705</v>
      </c>
      <c r="C12565" s="16">
        <f>239.76/(1+B2)</f>
        <v>239.76</v>
      </c>
      <c r="D12565" s="17" t="s">
        <v>11</v>
      </c>
      <c r="E12565" s="17"/>
      <c r="F12565" s="18"/>
      <c r="G12565" s="36" t="str">
        <f>IF(ISNUMBER(F12565),C12565*F12565,"")</f>
        <v/>
      </c>
    </row>
    <row r="12566" spans="1:7" ht="12" customHeight="1" outlineLevel="3" x14ac:dyDescent="0.2">
      <c r="A12566" s="14" t="s">
        <v>24706</v>
      </c>
      <c r="B12566" s="15" t="s">
        <v>24707</v>
      </c>
      <c r="C12566" s="16">
        <f>69.01/(1+B2)</f>
        <v>69.010000000000005</v>
      </c>
      <c r="D12566" s="17" t="s">
        <v>11</v>
      </c>
      <c r="E12566" s="17"/>
      <c r="F12566" s="18"/>
      <c r="G12566" s="36" t="str">
        <f>IF(ISNUMBER(F12566),C12566*F12566,"")</f>
        <v/>
      </c>
    </row>
    <row r="12567" spans="1:7" ht="12" customHeight="1" outlineLevel="3" x14ac:dyDescent="0.2">
      <c r="A12567" s="14" t="s">
        <v>24708</v>
      </c>
      <c r="B12567" s="15" t="s">
        <v>24709</v>
      </c>
      <c r="C12567" s="16">
        <f>62.74/(1+B2)</f>
        <v>62.74</v>
      </c>
      <c r="D12567" s="17" t="s">
        <v>11</v>
      </c>
      <c r="E12567" s="17"/>
      <c r="F12567" s="18"/>
      <c r="G12567" s="36" t="str">
        <f>IF(ISNUMBER(F12567),C12567*F12567,"")</f>
        <v/>
      </c>
    </row>
    <row r="12568" spans="1:7" ht="12" customHeight="1" outlineLevel="3" x14ac:dyDescent="0.2">
      <c r="A12568" s="14" t="s">
        <v>24710</v>
      </c>
      <c r="B12568" s="15" t="s">
        <v>24711</v>
      </c>
      <c r="C12568" s="16">
        <f>147.21/(1+B2)</f>
        <v>147.21</v>
      </c>
      <c r="D12568" s="17" t="s">
        <v>11</v>
      </c>
      <c r="E12568" s="17"/>
      <c r="F12568" s="18"/>
      <c r="G12568" s="36" t="str">
        <f>IF(ISNUMBER(F12568),C12568*F12568,"")</f>
        <v/>
      </c>
    </row>
    <row r="12569" spans="1:7" ht="12" customHeight="1" outlineLevel="3" x14ac:dyDescent="0.2">
      <c r="A12569" s="14" t="s">
        <v>24712</v>
      </c>
      <c r="B12569" s="15" t="s">
        <v>24713</v>
      </c>
      <c r="C12569" s="16">
        <f>229.28/(1+B2)</f>
        <v>229.28</v>
      </c>
      <c r="D12569" s="17" t="s">
        <v>11</v>
      </c>
      <c r="E12569" s="17"/>
      <c r="F12569" s="18"/>
      <c r="G12569" s="36" t="str">
        <f>IF(ISNUMBER(F12569),C12569*F12569,"")</f>
        <v/>
      </c>
    </row>
    <row r="12570" spans="1:7" ht="12" customHeight="1" outlineLevel="3" x14ac:dyDescent="0.2">
      <c r="A12570" s="14" t="s">
        <v>24714</v>
      </c>
      <c r="B12570" s="15" t="s">
        <v>24715</v>
      </c>
      <c r="C12570" s="16">
        <f>165.48/(1+B2)</f>
        <v>165.48</v>
      </c>
      <c r="D12570" s="17" t="s">
        <v>11</v>
      </c>
      <c r="E12570" s="17"/>
      <c r="F12570" s="18"/>
      <c r="G12570" s="36" t="str">
        <f>IF(ISNUMBER(F12570),C12570*F12570,"")</f>
        <v/>
      </c>
    </row>
    <row r="12571" spans="1:7" ht="12" customHeight="1" outlineLevel="3" x14ac:dyDescent="0.2">
      <c r="A12571" s="14" t="s">
        <v>24716</v>
      </c>
      <c r="B12571" s="15" t="s">
        <v>24717</v>
      </c>
      <c r="C12571" s="16">
        <f>185.69/(1+B2)</f>
        <v>185.69</v>
      </c>
      <c r="D12571" s="17" t="s">
        <v>11</v>
      </c>
      <c r="E12571" s="17"/>
      <c r="F12571" s="18"/>
      <c r="G12571" s="36" t="str">
        <f>IF(ISNUMBER(F12571),C12571*F12571,"")</f>
        <v/>
      </c>
    </row>
    <row r="12572" spans="1:7" ht="12" customHeight="1" outlineLevel="3" x14ac:dyDescent="0.2">
      <c r="A12572" s="14" t="s">
        <v>24718</v>
      </c>
      <c r="B12572" s="15" t="s">
        <v>24719</v>
      </c>
      <c r="C12572" s="16">
        <f>70.2/(1+B2)</f>
        <v>70.2</v>
      </c>
      <c r="D12572" s="17" t="s">
        <v>11</v>
      </c>
      <c r="E12572" s="17"/>
      <c r="F12572" s="18"/>
      <c r="G12572" s="36" t="str">
        <f>IF(ISNUMBER(F12572),C12572*F12572,"")</f>
        <v/>
      </c>
    </row>
    <row r="12573" spans="1:7" ht="12" customHeight="1" outlineLevel="3" x14ac:dyDescent="0.2">
      <c r="A12573" s="14" t="s">
        <v>24720</v>
      </c>
      <c r="B12573" s="15" t="s">
        <v>24721</v>
      </c>
      <c r="C12573" s="16">
        <f>223.86/(1+B2)</f>
        <v>223.86</v>
      </c>
      <c r="D12573" s="17" t="s">
        <v>11</v>
      </c>
      <c r="E12573" s="17"/>
      <c r="F12573" s="18"/>
      <c r="G12573" s="36" t="str">
        <f>IF(ISNUMBER(F12573),C12573*F12573,"")</f>
        <v/>
      </c>
    </row>
    <row r="12574" spans="1:7" ht="12" customHeight="1" outlineLevel="3" x14ac:dyDescent="0.2">
      <c r="A12574" s="14" t="s">
        <v>24722</v>
      </c>
      <c r="B12574" s="15" t="s">
        <v>24723</v>
      </c>
      <c r="C12574" s="16">
        <f>89.21/(1+B2)</f>
        <v>89.21</v>
      </c>
      <c r="D12574" s="17" t="s">
        <v>11</v>
      </c>
      <c r="E12574" s="17"/>
      <c r="F12574" s="18"/>
      <c r="G12574" s="36" t="str">
        <f>IF(ISNUMBER(F12574),C12574*F12574,"")</f>
        <v/>
      </c>
    </row>
    <row r="12575" spans="1:7" ht="12" customHeight="1" outlineLevel="3" x14ac:dyDescent="0.2">
      <c r="A12575" s="14" t="s">
        <v>24724</v>
      </c>
      <c r="B12575" s="15" t="s">
        <v>24725</v>
      </c>
      <c r="C12575" s="16">
        <f>262.24/(1+B2)</f>
        <v>262.24</v>
      </c>
      <c r="D12575" s="17" t="s">
        <v>11</v>
      </c>
      <c r="E12575" s="17"/>
      <c r="F12575" s="18"/>
      <c r="G12575" s="36" t="str">
        <f>IF(ISNUMBER(F12575),C12575*F12575,"")</f>
        <v/>
      </c>
    </row>
    <row r="12576" spans="1:7" ht="12" customHeight="1" outlineLevel="3" x14ac:dyDescent="0.2">
      <c r="A12576" s="14" t="s">
        <v>24726</v>
      </c>
      <c r="B12576" s="15" t="s">
        <v>24727</v>
      </c>
      <c r="C12576" s="16">
        <f>84.24/(1+B2)</f>
        <v>84.24</v>
      </c>
      <c r="D12576" s="17" t="s">
        <v>11</v>
      </c>
      <c r="E12576" s="17"/>
      <c r="F12576" s="18"/>
      <c r="G12576" s="36" t="str">
        <f>IF(ISNUMBER(F12576),C12576*F12576,"")</f>
        <v/>
      </c>
    </row>
    <row r="12577" spans="1:7" ht="12" customHeight="1" outlineLevel="3" x14ac:dyDescent="0.2">
      <c r="A12577" s="14" t="s">
        <v>24728</v>
      </c>
      <c r="B12577" s="15" t="s">
        <v>24729</v>
      </c>
      <c r="C12577" s="16">
        <f>263.87/(1+B2)</f>
        <v>263.87</v>
      </c>
      <c r="D12577" s="17" t="s">
        <v>11</v>
      </c>
      <c r="E12577" s="17"/>
      <c r="F12577" s="18"/>
      <c r="G12577" s="36" t="str">
        <f>IF(ISNUMBER(F12577),C12577*F12577,"")</f>
        <v/>
      </c>
    </row>
    <row r="12578" spans="1:7" ht="12" customHeight="1" outlineLevel="3" x14ac:dyDescent="0.2">
      <c r="A12578" s="14" t="s">
        <v>24730</v>
      </c>
      <c r="B12578" s="15" t="s">
        <v>24731</v>
      </c>
      <c r="C12578" s="16">
        <f>258.85/(1+B2)</f>
        <v>258.85000000000002</v>
      </c>
      <c r="D12578" s="17" t="s">
        <v>11</v>
      </c>
      <c r="E12578" s="17"/>
      <c r="F12578" s="18"/>
      <c r="G12578" s="36" t="str">
        <f>IF(ISNUMBER(F12578),C12578*F12578,"")</f>
        <v/>
      </c>
    </row>
    <row r="12579" spans="1:7" ht="12" customHeight="1" outlineLevel="3" x14ac:dyDescent="0.2">
      <c r="A12579" s="14" t="s">
        <v>24732</v>
      </c>
      <c r="B12579" s="15" t="s">
        <v>24733</v>
      </c>
      <c r="C12579" s="16">
        <f>702.64/(1+B2)</f>
        <v>702.64</v>
      </c>
      <c r="D12579" s="17" t="s">
        <v>11</v>
      </c>
      <c r="E12579" s="17"/>
      <c r="F12579" s="18"/>
      <c r="G12579" s="36" t="str">
        <f>IF(ISNUMBER(F12579),C12579*F12579,"")</f>
        <v/>
      </c>
    </row>
    <row r="12580" spans="1:7" ht="12" customHeight="1" outlineLevel="3" x14ac:dyDescent="0.2">
      <c r="A12580" s="14" t="s">
        <v>24734</v>
      </c>
      <c r="B12580" s="15" t="s">
        <v>24735</v>
      </c>
      <c r="C12580" s="16">
        <f>40.4/(1+B2)</f>
        <v>40.4</v>
      </c>
      <c r="D12580" s="17" t="s">
        <v>11</v>
      </c>
      <c r="E12580" s="17"/>
      <c r="F12580" s="18"/>
      <c r="G12580" s="36" t="str">
        <f>IF(ISNUMBER(F12580),C12580*F12580,"")</f>
        <v/>
      </c>
    </row>
    <row r="12581" spans="1:7" ht="12" customHeight="1" outlineLevel="3" x14ac:dyDescent="0.2">
      <c r="A12581" s="14" t="s">
        <v>24736</v>
      </c>
      <c r="B12581" s="15" t="s">
        <v>24737</v>
      </c>
      <c r="C12581" s="16">
        <f>91.27/(1+B2)</f>
        <v>91.27</v>
      </c>
      <c r="D12581" s="17" t="s">
        <v>11</v>
      </c>
      <c r="E12581" s="17"/>
      <c r="F12581" s="18"/>
      <c r="G12581" s="36" t="str">
        <f>IF(ISNUMBER(F12581),C12581*F12581,"")</f>
        <v/>
      </c>
    </row>
    <row r="12582" spans="1:7" ht="12" customHeight="1" outlineLevel="3" x14ac:dyDescent="0.2">
      <c r="A12582" s="14" t="s">
        <v>24738</v>
      </c>
      <c r="B12582" s="15" t="s">
        <v>24739</v>
      </c>
      <c r="C12582" s="16">
        <f>104.91/(1+B2)</f>
        <v>104.91</v>
      </c>
      <c r="D12582" s="17" t="s">
        <v>11</v>
      </c>
      <c r="E12582" s="17"/>
      <c r="F12582" s="18"/>
      <c r="G12582" s="36" t="str">
        <f>IF(ISNUMBER(F12582),C12582*F12582,"")</f>
        <v/>
      </c>
    </row>
    <row r="12583" spans="1:7" ht="12" customHeight="1" outlineLevel="3" x14ac:dyDescent="0.2">
      <c r="A12583" s="14" t="s">
        <v>24740</v>
      </c>
      <c r="B12583" s="15" t="s">
        <v>24741</v>
      </c>
      <c r="C12583" s="16">
        <f>106.96/(1+B2)</f>
        <v>106.96</v>
      </c>
      <c r="D12583" s="17" t="s">
        <v>11</v>
      </c>
      <c r="E12583" s="17"/>
      <c r="F12583" s="18"/>
      <c r="G12583" s="36" t="str">
        <f>IF(ISNUMBER(F12583),C12583*F12583,"")</f>
        <v/>
      </c>
    </row>
    <row r="12584" spans="1:7" ht="12" customHeight="1" outlineLevel="3" x14ac:dyDescent="0.2">
      <c r="A12584" s="14" t="s">
        <v>24742</v>
      </c>
      <c r="B12584" s="15" t="s">
        <v>24743</v>
      </c>
      <c r="C12584" s="16">
        <f>95.27/(1+B2)</f>
        <v>95.27</v>
      </c>
      <c r="D12584" s="17" t="s">
        <v>11</v>
      </c>
      <c r="E12584" s="17"/>
      <c r="F12584" s="18"/>
      <c r="G12584" s="36" t="str">
        <f>IF(ISNUMBER(F12584),C12584*F12584,"")</f>
        <v/>
      </c>
    </row>
    <row r="12585" spans="1:7" ht="12" customHeight="1" outlineLevel="3" x14ac:dyDescent="0.2">
      <c r="A12585" s="14" t="s">
        <v>24744</v>
      </c>
      <c r="B12585" s="15" t="s">
        <v>24745</v>
      </c>
      <c r="C12585" s="16">
        <f>92.42/(1+B2)</f>
        <v>92.42</v>
      </c>
      <c r="D12585" s="17" t="s">
        <v>11</v>
      </c>
      <c r="E12585" s="17"/>
      <c r="F12585" s="18"/>
      <c r="G12585" s="36" t="str">
        <f>IF(ISNUMBER(F12585),C12585*F12585,"")</f>
        <v/>
      </c>
    </row>
    <row r="12586" spans="1:7" ht="12" customHeight="1" outlineLevel="3" x14ac:dyDescent="0.2">
      <c r="A12586" s="14" t="s">
        <v>24746</v>
      </c>
      <c r="B12586" s="15" t="s">
        <v>24747</v>
      </c>
      <c r="C12586" s="16">
        <f>369.87/(1+B2)</f>
        <v>369.87</v>
      </c>
      <c r="D12586" s="17" t="s">
        <v>11</v>
      </c>
      <c r="E12586" s="17"/>
      <c r="F12586" s="18"/>
      <c r="G12586" s="36" t="str">
        <f>IF(ISNUMBER(F12586),C12586*F12586,"")</f>
        <v/>
      </c>
    </row>
    <row r="12587" spans="1:7" ht="12" customHeight="1" outlineLevel="3" x14ac:dyDescent="0.2">
      <c r="A12587" s="14" t="s">
        <v>24748</v>
      </c>
      <c r="B12587" s="15" t="s">
        <v>24749</v>
      </c>
      <c r="C12587" s="16">
        <f>46.87/(1+B2)</f>
        <v>46.87</v>
      </c>
      <c r="D12587" s="17" t="s">
        <v>11</v>
      </c>
      <c r="E12587" s="17"/>
      <c r="F12587" s="18"/>
      <c r="G12587" s="36" t="str">
        <f>IF(ISNUMBER(F12587),C12587*F12587,"")</f>
        <v/>
      </c>
    </row>
    <row r="12588" spans="1:7" ht="12" customHeight="1" outlineLevel="3" x14ac:dyDescent="0.2">
      <c r="A12588" s="14" t="s">
        <v>24750</v>
      </c>
      <c r="B12588" s="15" t="s">
        <v>24751</v>
      </c>
      <c r="C12588" s="16">
        <f>87.95/(1+B2)</f>
        <v>87.95</v>
      </c>
      <c r="D12588" s="17" t="s">
        <v>11</v>
      </c>
      <c r="E12588" s="17"/>
      <c r="F12588" s="18"/>
      <c r="G12588" s="36" t="str">
        <f>IF(ISNUMBER(F12588),C12588*F12588,"")</f>
        <v/>
      </c>
    </row>
    <row r="12589" spans="1:7" ht="12" customHeight="1" outlineLevel="3" x14ac:dyDescent="0.2">
      <c r="A12589" s="14" t="s">
        <v>24752</v>
      </c>
      <c r="B12589" s="15" t="s">
        <v>24753</v>
      </c>
      <c r="C12589" s="16">
        <f>100.94/(1+B2)</f>
        <v>100.94</v>
      </c>
      <c r="D12589" s="17" t="s">
        <v>11</v>
      </c>
      <c r="E12589" s="17"/>
      <c r="F12589" s="18"/>
      <c r="G12589" s="36" t="str">
        <f>IF(ISNUMBER(F12589),C12589*F12589,"")</f>
        <v/>
      </c>
    </row>
    <row r="12590" spans="1:7" ht="12" customHeight="1" outlineLevel="3" x14ac:dyDescent="0.2">
      <c r="A12590" s="14" t="s">
        <v>24754</v>
      </c>
      <c r="B12590" s="15" t="s">
        <v>24755</v>
      </c>
      <c r="C12590" s="16">
        <f>119.9/(1+B2)</f>
        <v>119.9</v>
      </c>
      <c r="D12590" s="17" t="s">
        <v>11</v>
      </c>
      <c r="E12590" s="17"/>
      <c r="F12590" s="18"/>
      <c r="G12590" s="36" t="str">
        <f>IF(ISNUMBER(F12590),C12590*F12590,"")</f>
        <v/>
      </c>
    </row>
    <row r="12591" spans="1:7" ht="12" customHeight="1" outlineLevel="3" x14ac:dyDescent="0.2">
      <c r="A12591" s="14" t="s">
        <v>24756</v>
      </c>
      <c r="B12591" s="15" t="s">
        <v>24757</v>
      </c>
      <c r="C12591" s="16">
        <f>78.63/(1+B2)</f>
        <v>78.63</v>
      </c>
      <c r="D12591" s="17" t="s">
        <v>11</v>
      </c>
      <c r="E12591" s="17"/>
      <c r="F12591" s="18"/>
      <c r="G12591" s="36" t="str">
        <f>IF(ISNUMBER(F12591),C12591*F12591,"")</f>
        <v/>
      </c>
    </row>
    <row r="12592" spans="1:7" ht="12" customHeight="1" outlineLevel="3" x14ac:dyDescent="0.2">
      <c r="A12592" s="14" t="s">
        <v>24758</v>
      </c>
      <c r="B12592" s="15" t="s">
        <v>24759</v>
      </c>
      <c r="C12592" s="16">
        <f>115.05/(1+B2)</f>
        <v>115.05</v>
      </c>
      <c r="D12592" s="17" t="s">
        <v>11</v>
      </c>
      <c r="E12592" s="17"/>
      <c r="F12592" s="18"/>
      <c r="G12592" s="36" t="str">
        <f>IF(ISNUMBER(F12592),C12592*F12592,"")</f>
        <v/>
      </c>
    </row>
    <row r="12593" spans="1:7" ht="12" customHeight="1" outlineLevel="3" x14ac:dyDescent="0.2">
      <c r="A12593" s="14" t="s">
        <v>24760</v>
      </c>
      <c r="B12593" s="15" t="s">
        <v>24761</v>
      </c>
      <c r="C12593" s="16">
        <f>89.21/(1+B2)</f>
        <v>89.21</v>
      </c>
      <c r="D12593" s="17" t="s">
        <v>53</v>
      </c>
      <c r="E12593" s="17"/>
      <c r="F12593" s="18"/>
      <c r="G12593" s="36" t="str">
        <f>IF(ISNUMBER(F12593),C12593*F12593,"")</f>
        <v/>
      </c>
    </row>
    <row r="12594" spans="1:7" ht="12" customHeight="1" outlineLevel="3" x14ac:dyDescent="0.2">
      <c r="A12594" s="14" t="s">
        <v>24762</v>
      </c>
      <c r="B12594" s="15" t="s">
        <v>24763</v>
      </c>
      <c r="C12594" s="16">
        <f>86.91/(1+B2)</f>
        <v>86.91</v>
      </c>
      <c r="D12594" s="17" t="s">
        <v>14</v>
      </c>
      <c r="E12594" s="17"/>
      <c r="F12594" s="18"/>
      <c r="G12594" s="36" t="str">
        <f>IF(ISNUMBER(F12594),C12594*F12594,"")</f>
        <v/>
      </c>
    </row>
    <row r="12595" spans="1:7" ht="12" customHeight="1" outlineLevel="3" x14ac:dyDescent="0.2">
      <c r="A12595" s="14" t="s">
        <v>24764</v>
      </c>
      <c r="B12595" s="15" t="s">
        <v>24765</v>
      </c>
      <c r="C12595" s="16">
        <f>114.2/(1+B2)</f>
        <v>114.2</v>
      </c>
      <c r="D12595" s="17" t="s">
        <v>11</v>
      </c>
      <c r="E12595" s="17"/>
      <c r="F12595" s="18"/>
      <c r="G12595" s="36" t="str">
        <f>IF(ISNUMBER(F12595),C12595*F12595,"")</f>
        <v/>
      </c>
    </row>
    <row r="12596" spans="1:7" ht="12" customHeight="1" outlineLevel="3" x14ac:dyDescent="0.2">
      <c r="A12596" s="14" t="s">
        <v>24766</v>
      </c>
      <c r="B12596" s="15" t="s">
        <v>24767</v>
      </c>
      <c r="C12596" s="16">
        <f>121.92/(1+B2)</f>
        <v>121.92</v>
      </c>
      <c r="D12596" s="17" t="s">
        <v>11</v>
      </c>
      <c r="E12596" s="17" t="s">
        <v>14</v>
      </c>
      <c r="F12596" s="18"/>
      <c r="G12596" s="36" t="str">
        <f>IF(ISNUMBER(F12596),C12596*F12596,"")</f>
        <v/>
      </c>
    </row>
    <row r="12597" spans="1:7" ht="12" customHeight="1" outlineLevel="3" x14ac:dyDescent="0.2">
      <c r="A12597" s="14" t="s">
        <v>24768</v>
      </c>
      <c r="B12597" s="15" t="s">
        <v>24769</v>
      </c>
      <c r="C12597" s="16">
        <f>108.6/(1+B2)</f>
        <v>108.6</v>
      </c>
      <c r="D12597" s="17" t="s">
        <v>11</v>
      </c>
      <c r="E12597" s="17" t="s">
        <v>11</v>
      </c>
      <c r="F12597" s="18"/>
      <c r="G12597" s="36" t="str">
        <f>IF(ISNUMBER(F12597),C12597*F12597,"")</f>
        <v/>
      </c>
    </row>
    <row r="12598" spans="1:7" ht="12" customHeight="1" outlineLevel="3" x14ac:dyDescent="0.2">
      <c r="A12598" s="14" t="s">
        <v>24770</v>
      </c>
      <c r="B12598" s="15" t="s">
        <v>24771</v>
      </c>
      <c r="C12598" s="16">
        <f>931.69/(1+B2)</f>
        <v>931.69</v>
      </c>
      <c r="D12598" s="17" t="s">
        <v>11</v>
      </c>
      <c r="E12598" s="17"/>
      <c r="F12598" s="18"/>
      <c r="G12598" s="36" t="str">
        <f>IF(ISNUMBER(F12598),C12598*F12598,"")</f>
        <v/>
      </c>
    </row>
    <row r="12599" spans="1:7" ht="12" customHeight="1" outlineLevel="3" x14ac:dyDescent="0.2">
      <c r="A12599" s="14" t="s">
        <v>24772</v>
      </c>
      <c r="B12599" s="15" t="s">
        <v>24773</v>
      </c>
      <c r="C12599" s="16">
        <f>259.17/(1+B2)</f>
        <v>259.17</v>
      </c>
      <c r="D12599" s="17" t="s">
        <v>11</v>
      </c>
      <c r="E12599" s="17"/>
      <c r="F12599" s="18"/>
      <c r="G12599" s="36" t="str">
        <f>IF(ISNUMBER(F12599),C12599*F12599,"")</f>
        <v/>
      </c>
    </row>
    <row r="12600" spans="1:7" ht="12" customHeight="1" outlineLevel="3" x14ac:dyDescent="0.2">
      <c r="A12600" s="14" t="s">
        <v>24774</v>
      </c>
      <c r="B12600" s="15" t="s">
        <v>24775</v>
      </c>
      <c r="C12600" s="16">
        <f>374.37/(1+B2)</f>
        <v>374.37</v>
      </c>
      <c r="D12600" s="17" t="s">
        <v>11</v>
      </c>
      <c r="E12600" s="17"/>
      <c r="F12600" s="18"/>
      <c r="G12600" s="36" t="str">
        <f>IF(ISNUMBER(F12600),C12600*F12600,"")</f>
        <v/>
      </c>
    </row>
    <row r="12601" spans="1:7" ht="12" customHeight="1" outlineLevel="3" x14ac:dyDescent="0.2">
      <c r="A12601" s="14" t="s">
        <v>24776</v>
      </c>
      <c r="B12601" s="15" t="s">
        <v>24777</v>
      </c>
      <c r="C12601" s="16">
        <f>535.33/(1+B2)</f>
        <v>535.33000000000004</v>
      </c>
      <c r="D12601" s="17" t="s">
        <v>11</v>
      </c>
      <c r="E12601" s="17"/>
      <c r="F12601" s="18"/>
      <c r="G12601" s="36" t="str">
        <f>IF(ISNUMBER(F12601),C12601*F12601,"")</f>
        <v/>
      </c>
    </row>
    <row r="12602" spans="1:7" ht="12" customHeight="1" outlineLevel="3" x14ac:dyDescent="0.2">
      <c r="A12602" s="14" t="s">
        <v>24778</v>
      </c>
      <c r="B12602" s="15" t="s">
        <v>24779</v>
      </c>
      <c r="C12602" s="16">
        <f>672.9/(1+B2)</f>
        <v>672.9</v>
      </c>
      <c r="D12602" s="17" t="s">
        <v>11</v>
      </c>
      <c r="E12602" s="17"/>
      <c r="F12602" s="18"/>
      <c r="G12602" s="36" t="str">
        <f>IF(ISNUMBER(F12602),C12602*F12602,"")</f>
        <v/>
      </c>
    </row>
    <row r="12603" spans="1:7" ht="12" customHeight="1" outlineLevel="3" x14ac:dyDescent="0.2">
      <c r="A12603" s="14" t="s">
        <v>24780</v>
      </c>
      <c r="B12603" s="15" t="s">
        <v>24781</v>
      </c>
      <c r="C12603" s="16">
        <f>192.46/(1+B2)</f>
        <v>192.46</v>
      </c>
      <c r="D12603" s="17" t="s">
        <v>11</v>
      </c>
      <c r="E12603" s="17"/>
      <c r="F12603" s="18"/>
      <c r="G12603" s="36" t="str">
        <f>IF(ISNUMBER(F12603),C12603*F12603,"")</f>
        <v/>
      </c>
    </row>
    <row r="12604" spans="1:7" ht="12" customHeight="1" outlineLevel="3" x14ac:dyDescent="0.2">
      <c r="A12604" s="14" t="s">
        <v>24782</v>
      </c>
      <c r="B12604" s="15" t="s">
        <v>24783</v>
      </c>
      <c r="C12604" s="16">
        <f>81.38/(1+B2)</f>
        <v>81.38</v>
      </c>
      <c r="D12604" s="17" t="s">
        <v>11</v>
      </c>
      <c r="E12604" s="17"/>
      <c r="F12604" s="18"/>
      <c r="G12604" s="36" t="str">
        <f>IF(ISNUMBER(F12604),C12604*F12604,"")</f>
        <v/>
      </c>
    </row>
    <row r="12605" spans="1:7" ht="12" customHeight="1" outlineLevel="3" x14ac:dyDescent="0.2">
      <c r="A12605" s="14" t="s">
        <v>24784</v>
      </c>
      <c r="B12605" s="15" t="s">
        <v>24785</v>
      </c>
      <c r="C12605" s="16">
        <f>82.8/(1+B2)</f>
        <v>82.8</v>
      </c>
      <c r="D12605" s="17" t="s">
        <v>11</v>
      </c>
      <c r="E12605" s="17"/>
      <c r="F12605" s="18"/>
      <c r="G12605" s="36" t="str">
        <f>IF(ISNUMBER(F12605),C12605*F12605,"")</f>
        <v/>
      </c>
    </row>
    <row r="12606" spans="1:7" ht="12" customHeight="1" outlineLevel="3" x14ac:dyDescent="0.2">
      <c r="A12606" s="14" t="s">
        <v>24786</v>
      </c>
      <c r="B12606" s="15" t="s">
        <v>24787</v>
      </c>
      <c r="C12606" s="16">
        <f>99.04/(1+B2)</f>
        <v>99.04</v>
      </c>
      <c r="D12606" s="17" t="s">
        <v>11</v>
      </c>
      <c r="E12606" s="17"/>
      <c r="F12606" s="18"/>
      <c r="G12606" s="36" t="str">
        <f>IF(ISNUMBER(F12606),C12606*F12606,"")</f>
        <v/>
      </c>
    </row>
    <row r="12607" spans="1:7" ht="12" customHeight="1" outlineLevel="3" x14ac:dyDescent="0.2">
      <c r="A12607" s="14" t="s">
        <v>24788</v>
      </c>
      <c r="B12607" s="15" t="s">
        <v>24789</v>
      </c>
      <c r="C12607" s="16">
        <f>145.28/(1+B2)</f>
        <v>145.28</v>
      </c>
      <c r="D12607" s="17" t="s">
        <v>11</v>
      </c>
      <c r="E12607" s="17"/>
      <c r="F12607" s="18"/>
      <c r="G12607" s="36" t="str">
        <f>IF(ISNUMBER(F12607),C12607*F12607,"")</f>
        <v/>
      </c>
    </row>
    <row r="12608" spans="1:7" ht="12" customHeight="1" outlineLevel="3" x14ac:dyDescent="0.2">
      <c r="A12608" s="14" t="s">
        <v>24790</v>
      </c>
      <c r="B12608" s="15" t="s">
        <v>24791</v>
      </c>
      <c r="C12608" s="16">
        <f>63.4/(1+B2)</f>
        <v>63.4</v>
      </c>
      <c r="D12608" s="17" t="s">
        <v>11</v>
      </c>
      <c r="E12608" s="17"/>
      <c r="F12608" s="18"/>
      <c r="G12608" s="36" t="str">
        <f>IF(ISNUMBER(F12608),C12608*F12608,"")</f>
        <v/>
      </c>
    </row>
    <row r="12609" spans="1:7" ht="12" customHeight="1" outlineLevel="3" x14ac:dyDescent="0.2">
      <c r="A12609" s="14" t="s">
        <v>24792</v>
      </c>
      <c r="B12609" s="15" t="s">
        <v>24793</v>
      </c>
      <c r="C12609" s="16">
        <f>255.63/(1+B2)</f>
        <v>255.63</v>
      </c>
      <c r="D12609" s="17" t="s">
        <v>11</v>
      </c>
      <c r="E12609" s="17"/>
      <c r="F12609" s="18"/>
      <c r="G12609" s="36" t="str">
        <f>IF(ISNUMBER(F12609),C12609*F12609,"")</f>
        <v/>
      </c>
    </row>
    <row r="12610" spans="1:7" ht="12" customHeight="1" outlineLevel="3" x14ac:dyDescent="0.2">
      <c r="A12610" s="14" t="s">
        <v>24794</v>
      </c>
      <c r="B12610" s="15" t="s">
        <v>24795</v>
      </c>
      <c r="C12610" s="16">
        <f>300.94/(1+B2)</f>
        <v>300.94</v>
      </c>
      <c r="D12610" s="17" t="s">
        <v>11</v>
      </c>
      <c r="E12610" s="17"/>
      <c r="F12610" s="18"/>
      <c r="G12610" s="36" t="str">
        <f>IF(ISNUMBER(F12610),C12610*F12610,"")</f>
        <v/>
      </c>
    </row>
    <row r="12611" spans="1:7" ht="12" customHeight="1" outlineLevel="3" x14ac:dyDescent="0.2">
      <c r="A12611" s="14" t="s">
        <v>24796</v>
      </c>
      <c r="B12611" s="15" t="s">
        <v>24797</v>
      </c>
      <c r="C12611" s="16">
        <f>296.13/(1+B2)</f>
        <v>296.13</v>
      </c>
      <c r="D12611" s="17" t="s">
        <v>11</v>
      </c>
      <c r="E12611" s="17"/>
      <c r="F12611" s="18"/>
      <c r="G12611" s="36" t="str">
        <f>IF(ISNUMBER(F12611),C12611*F12611,"")</f>
        <v/>
      </c>
    </row>
    <row r="12612" spans="1:7" ht="12" customHeight="1" outlineLevel="3" x14ac:dyDescent="0.2">
      <c r="A12612" s="14" t="s">
        <v>24798</v>
      </c>
      <c r="B12612" s="15" t="s">
        <v>24799</v>
      </c>
      <c r="C12612" s="16">
        <f>417.18/(1+B2)</f>
        <v>417.18</v>
      </c>
      <c r="D12612" s="17" t="s">
        <v>11</v>
      </c>
      <c r="E12612" s="17"/>
      <c r="F12612" s="18"/>
      <c r="G12612" s="36" t="str">
        <f>IF(ISNUMBER(F12612),C12612*F12612,"")</f>
        <v/>
      </c>
    </row>
    <row r="12613" spans="1:7" ht="12" customHeight="1" outlineLevel="3" x14ac:dyDescent="0.2">
      <c r="A12613" s="14" t="s">
        <v>24800</v>
      </c>
      <c r="B12613" s="15" t="s">
        <v>24801</v>
      </c>
      <c r="C12613" s="16">
        <f>451.66/(1+B2)</f>
        <v>451.66</v>
      </c>
      <c r="D12613" s="17" t="s">
        <v>11</v>
      </c>
      <c r="E12613" s="17"/>
      <c r="F12613" s="18"/>
      <c r="G12613" s="36" t="str">
        <f>IF(ISNUMBER(F12613),C12613*F12613,"")</f>
        <v/>
      </c>
    </row>
    <row r="12614" spans="1:7" ht="12" customHeight="1" outlineLevel="3" x14ac:dyDescent="0.2">
      <c r="A12614" s="14" t="s">
        <v>24802</v>
      </c>
      <c r="B12614" s="15" t="s">
        <v>24803</v>
      </c>
      <c r="C12614" s="16">
        <f>580.76/(1+B2)</f>
        <v>580.76</v>
      </c>
      <c r="D12614" s="17" t="s">
        <v>11</v>
      </c>
      <c r="E12614" s="17"/>
      <c r="F12614" s="18"/>
      <c r="G12614" s="36" t="str">
        <f>IF(ISNUMBER(F12614),C12614*F12614,"")</f>
        <v/>
      </c>
    </row>
    <row r="12615" spans="1:7" ht="12" customHeight="1" outlineLevel="3" x14ac:dyDescent="0.2">
      <c r="A12615" s="14" t="s">
        <v>24804</v>
      </c>
      <c r="B12615" s="15" t="s">
        <v>24805</v>
      </c>
      <c r="C12615" s="16">
        <f>220.42/(1+B2)</f>
        <v>220.42</v>
      </c>
      <c r="D12615" s="17" t="s">
        <v>11</v>
      </c>
      <c r="E12615" s="17"/>
      <c r="F12615" s="18"/>
      <c r="G12615" s="36" t="str">
        <f>IF(ISNUMBER(F12615),C12615*F12615,"")</f>
        <v/>
      </c>
    </row>
    <row r="12616" spans="1:7" ht="12" customHeight="1" outlineLevel="3" x14ac:dyDescent="0.2">
      <c r="A12616" s="14" t="s">
        <v>24806</v>
      </c>
      <c r="B12616" s="15" t="s">
        <v>24807</v>
      </c>
      <c r="C12616" s="16">
        <f>245.46/(1+B2)</f>
        <v>245.46</v>
      </c>
      <c r="D12616" s="17" t="s">
        <v>11</v>
      </c>
      <c r="E12616" s="17"/>
      <c r="F12616" s="18"/>
      <c r="G12616" s="36" t="str">
        <f>IF(ISNUMBER(F12616),C12616*F12616,"")</f>
        <v/>
      </c>
    </row>
    <row r="12617" spans="1:7" ht="12" customHeight="1" outlineLevel="3" x14ac:dyDescent="0.2">
      <c r="A12617" s="14" t="s">
        <v>24808</v>
      </c>
      <c r="B12617" s="15" t="s">
        <v>24809</v>
      </c>
      <c r="C12617" s="16">
        <f>653.4/(1+B2)</f>
        <v>653.4</v>
      </c>
      <c r="D12617" s="17" t="s">
        <v>11</v>
      </c>
      <c r="E12617" s="17"/>
      <c r="F12617" s="18"/>
      <c r="G12617" s="36" t="str">
        <f>IF(ISNUMBER(F12617),C12617*F12617,"")</f>
        <v/>
      </c>
    </row>
    <row r="12618" spans="1:7" ht="12" customHeight="1" outlineLevel="3" x14ac:dyDescent="0.2">
      <c r="A12618" s="14" t="s">
        <v>24810</v>
      </c>
      <c r="B12618" s="15" t="s">
        <v>24811</v>
      </c>
      <c r="C12618" s="19">
        <f>1613.57/(1+B2)</f>
        <v>1613.57</v>
      </c>
      <c r="D12618" s="17" t="s">
        <v>11</v>
      </c>
      <c r="E12618" s="17"/>
      <c r="F12618" s="18"/>
      <c r="G12618" s="36" t="str">
        <f>IF(ISNUMBER(F12618),C12618*F12618,"")</f>
        <v/>
      </c>
    </row>
    <row r="12619" spans="1:7" ht="12" customHeight="1" outlineLevel="3" x14ac:dyDescent="0.2">
      <c r="A12619" s="14" t="s">
        <v>24812</v>
      </c>
      <c r="B12619" s="15" t="s">
        <v>24813</v>
      </c>
      <c r="C12619" s="19">
        <f>2921.69/(1+B2)</f>
        <v>2921.69</v>
      </c>
      <c r="D12619" s="17" t="s">
        <v>11</v>
      </c>
      <c r="E12619" s="17"/>
      <c r="F12619" s="18"/>
      <c r="G12619" s="36" t="str">
        <f>IF(ISNUMBER(F12619),C12619*F12619,"")</f>
        <v/>
      </c>
    </row>
    <row r="12620" spans="1:7" s="1" customFormat="1" ht="12.95" customHeight="1" outlineLevel="2" x14ac:dyDescent="0.2">
      <c r="A12620" s="20"/>
      <c r="B12620" s="21" t="s">
        <v>24814</v>
      </c>
      <c r="C12620" s="22"/>
      <c r="D12620" s="22"/>
      <c r="E12620" s="22"/>
      <c r="F12620" s="22"/>
      <c r="G12620" s="37"/>
    </row>
    <row r="12621" spans="1:7" ht="24" customHeight="1" outlineLevel="3" x14ac:dyDescent="0.2">
      <c r="A12621" s="14" t="s">
        <v>24815</v>
      </c>
      <c r="B12621" s="15" t="s">
        <v>24816</v>
      </c>
      <c r="C12621" s="19">
        <f>2229.88/(1+B2)</f>
        <v>2229.88</v>
      </c>
      <c r="D12621" s="17" t="s">
        <v>11</v>
      </c>
      <c r="E12621" s="17"/>
      <c r="F12621" s="18"/>
      <c r="G12621" s="36" t="str">
        <f>IF(ISNUMBER(F12621),C12621*F12621,"")</f>
        <v/>
      </c>
    </row>
    <row r="12622" spans="1:7" ht="24" customHeight="1" outlineLevel="3" x14ac:dyDescent="0.2">
      <c r="A12622" s="14" t="s">
        <v>24817</v>
      </c>
      <c r="B12622" s="15" t="s">
        <v>24818</v>
      </c>
      <c r="C12622" s="19">
        <f>1048.5/(1+B2)</f>
        <v>1048.5</v>
      </c>
      <c r="D12622" s="17" t="s">
        <v>11</v>
      </c>
      <c r="E12622" s="17"/>
      <c r="F12622" s="18"/>
      <c r="G12622" s="36" t="str">
        <f>IF(ISNUMBER(F12622),C12622*F12622,"")</f>
        <v/>
      </c>
    </row>
    <row r="12623" spans="1:7" ht="24" customHeight="1" outlineLevel="3" x14ac:dyDescent="0.2">
      <c r="A12623" s="14" t="s">
        <v>24819</v>
      </c>
      <c r="B12623" s="15" t="s">
        <v>24820</v>
      </c>
      <c r="C12623" s="19">
        <f>1337.82/(1+B2)</f>
        <v>1337.82</v>
      </c>
      <c r="D12623" s="17" t="s">
        <v>11</v>
      </c>
      <c r="E12623" s="17"/>
      <c r="F12623" s="18"/>
      <c r="G12623" s="36" t="str">
        <f>IF(ISNUMBER(F12623),C12623*F12623,"")</f>
        <v/>
      </c>
    </row>
    <row r="12624" spans="1:7" ht="12" customHeight="1" outlineLevel="3" x14ac:dyDescent="0.2">
      <c r="A12624" s="14" t="s">
        <v>24821</v>
      </c>
      <c r="B12624" s="15" t="s">
        <v>24822</v>
      </c>
      <c r="C12624" s="16">
        <f>69.38/(1+B2)</f>
        <v>69.38</v>
      </c>
      <c r="D12624" s="17" t="s">
        <v>11</v>
      </c>
      <c r="E12624" s="17"/>
      <c r="F12624" s="18"/>
      <c r="G12624" s="36" t="str">
        <f>IF(ISNUMBER(F12624),C12624*F12624,"")</f>
        <v/>
      </c>
    </row>
    <row r="12625" spans="1:7" ht="12" customHeight="1" outlineLevel="3" x14ac:dyDescent="0.2">
      <c r="A12625" s="14" t="s">
        <v>24823</v>
      </c>
      <c r="B12625" s="15" t="s">
        <v>24824</v>
      </c>
      <c r="C12625" s="16">
        <f>75.17/(1+B2)</f>
        <v>75.17</v>
      </c>
      <c r="D12625" s="17" t="s">
        <v>11</v>
      </c>
      <c r="E12625" s="17"/>
      <c r="F12625" s="18"/>
      <c r="G12625" s="36" t="str">
        <f>IF(ISNUMBER(F12625),C12625*F12625,"")</f>
        <v/>
      </c>
    </row>
    <row r="12626" spans="1:7" ht="12" customHeight="1" outlineLevel="3" x14ac:dyDescent="0.2">
      <c r="A12626" s="14" t="s">
        <v>24825</v>
      </c>
      <c r="B12626" s="15" t="s">
        <v>24826</v>
      </c>
      <c r="C12626" s="16">
        <f>82.89/(1+B2)</f>
        <v>82.89</v>
      </c>
      <c r="D12626" s="17" t="s">
        <v>11</v>
      </c>
      <c r="E12626" s="17"/>
      <c r="F12626" s="18"/>
      <c r="G12626" s="36" t="str">
        <f>IF(ISNUMBER(F12626),C12626*F12626,"")</f>
        <v/>
      </c>
    </row>
    <row r="12627" spans="1:7" ht="12" customHeight="1" outlineLevel="3" x14ac:dyDescent="0.2">
      <c r="A12627" s="14" t="s">
        <v>24827</v>
      </c>
      <c r="B12627" s="15" t="s">
        <v>24828</v>
      </c>
      <c r="C12627" s="16">
        <f>91.66/(1+B2)</f>
        <v>91.66</v>
      </c>
      <c r="D12627" s="17" t="s">
        <v>11</v>
      </c>
      <c r="E12627" s="17"/>
      <c r="F12627" s="18"/>
      <c r="G12627" s="36" t="str">
        <f>IF(ISNUMBER(F12627),C12627*F12627,"")</f>
        <v/>
      </c>
    </row>
    <row r="12628" spans="1:7" ht="12" customHeight="1" outlineLevel="3" x14ac:dyDescent="0.2">
      <c r="A12628" s="14" t="s">
        <v>24829</v>
      </c>
      <c r="B12628" s="15" t="s">
        <v>24830</v>
      </c>
      <c r="C12628" s="16">
        <f>102.76/(1+B2)</f>
        <v>102.76</v>
      </c>
      <c r="D12628" s="17" t="s">
        <v>11</v>
      </c>
      <c r="E12628" s="17"/>
      <c r="F12628" s="18"/>
      <c r="G12628" s="36" t="str">
        <f>IF(ISNUMBER(F12628),C12628*F12628,"")</f>
        <v/>
      </c>
    </row>
    <row r="12629" spans="1:7" ht="12" customHeight="1" outlineLevel="3" x14ac:dyDescent="0.2">
      <c r="A12629" s="14" t="s">
        <v>24831</v>
      </c>
      <c r="B12629" s="15" t="s">
        <v>24832</v>
      </c>
      <c r="C12629" s="16">
        <f>141.32/(1+B2)</f>
        <v>141.32</v>
      </c>
      <c r="D12629" s="17" t="s">
        <v>11</v>
      </c>
      <c r="E12629" s="17"/>
      <c r="F12629" s="18"/>
      <c r="G12629" s="36" t="str">
        <f>IF(ISNUMBER(F12629),C12629*F12629,"")</f>
        <v/>
      </c>
    </row>
    <row r="12630" spans="1:7" ht="12" customHeight="1" outlineLevel="3" x14ac:dyDescent="0.2">
      <c r="A12630" s="14" t="s">
        <v>24833</v>
      </c>
      <c r="B12630" s="15" t="s">
        <v>24834</v>
      </c>
      <c r="C12630" s="16">
        <f>173.98/(1+B2)</f>
        <v>173.98</v>
      </c>
      <c r="D12630" s="17" t="s">
        <v>11</v>
      </c>
      <c r="E12630" s="17"/>
      <c r="F12630" s="18"/>
      <c r="G12630" s="36" t="str">
        <f>IF(ISNUMBER(F12630),C12630*F12630,"")</f>
        <v/>
      </c>
    </row>
    <row r="12631" spans="1:7" ht="12" customHeight="1" outlineLevel="3" x14ac:dyDescent="0.2">
      <c r="A12631" s="14" t="s">
        <v>24835</v>
      </c>
      <c r="B12631" s="15" t="s">
        <v>24836</v>
      </c>
      <c r="C12631" s="16">
        <f>158.18/(1+B2)</f>
        <v>158.18</v>
      </c>
      <c r="D12631" s="17" t="s">
        <v>11</v>
      </c>
      <c r="E12631" s="17"/>
      <c r="F12631" s="18"/>
      <c r="G12631" s="36" t="str">
        <f>IF(ISNUMBER(F12631),C12631*F12631,"")</f>
        <v/>
      </c>
    </row>
    <row r="12632" spans="1:7" ht="12" customHeight="1" outlineLevel="3" x14ac:dyDescent="0.2">
      <c r="A12632" s="14" t="s">
        <v>24837</v>
      </c>
      <c r="B12632" s="15" t="s">
        <v>24838</v>
      </c>
      <c r="C12632" s="16">
        <f>231.81/(1+B2)</f>
        <v>231.81</v>
      </c>
      <c r="D12632" s="17" t="s">
        <v>11</v>
      </c>
      <c r="E12632" s="17"/>
      <c r="F12632" s="18"/>
      <c r="G12632" s="36" t="str">
        <f>IF(ISNUMBER(F12632),C12632*F12632,"")</f>
        <v/>
      </c>
    </row>
    <row r="12633" spans="1:7" ht="12" customHeight="1" outlineLevel="3" x14ac:dyDescent="0.2">
      <c r="A12633" s="14" t="s">
        <v>24839</v>
      </c>
      <c r="B12633" s="15" t="s">
        <v>24840</v>
      </c>
      <c r="C12633" s="16">
        <f>286.86/(1+B2)</f>
        <v>286.86</v>
      </c>
      <c r="D12633" s="17" t="s">
        <v>11</v>
      </c>
      <c r="E12633" s="17"/>
      <c r="F12633" s="18"/>
      <c r="G12633" s="36" t="str">
        <f>IF(ISNUMBER(F12633),C12633*F12633,"")</f>
        <v/>
      </c>
    </row>
    <row r="12634" spans="1:7" ht="12" customHeight="1" outlineLevel="3" x14ac:dyDescent="0.2">
      <c r="A12634" s="14" t="s">
        <v>24841</v>
      </c>
      <c r="B12634" s="15" t="s">
        <v>24842</v>
      </c>
      <c r="C12634" s="16">
        <f>439.49/(1+B2)</f>
        <v>439.49</v>
      </c>
      <c r="D12634" s="17" t="s">
        <v>11</v>
      </c>
      <c r="E12634" s="17"/>
      <c r="F12634" s="18"/>
      <c r="G12634" s="36" t="str">
        <f>IF(ISNUMBER(F12634),C12634*F12634,"")</f>
        <v/>
      </c>
    </row>
    <row r="12635" spans="1:7" ht="12" customHeight="1" outlineLevel="3" x14ac:dyDescent="0.2">
      <c r="A12635" s="14" t="s">
        <v>24843</v>
      </c>
      <c r="B12635" s="15" t="s">
        <v>24844</v>
      </c>
      <c r="C12635" s="16">
        <f>56.15/(1+B2)</f>
        <v>56.15</v>
      </c>
      <c r="D12635" s="17" t="s">
        <v>11</v>
      </c>
      <c r="E12635" s="17"/>
      <c r="F12635" s="18"/>
      <c r="G12635" s="36" t="str">
        <f>IF(ISNUMBER(F12635),C12635*F12635,"")</f>
        <v/>
      </c>
    </row>
    <row r="12636" spans="1:7" ht="12" customHeight="1" outlineLevel="3" x14ac:dyDescent="0.2">
      <c r="A12636" s="14" t="s">
        <v>24845</v>
      </c>
      <c r="B12636" s="15" t="s">
        <v>24846</v>
      </c>
      <c r="C12636" s="16">
        <f>63.33/(1+B2)</f>
        <v>63.33</v>
      </c>
      <c r="D12636" s="17" t="s">
        <v>11</v>
      </c>
      <c r="E12636" s="17"/>
      <c r="F12636" s="18"/>
      <c r="G12636" s="36" t="str">
        <f>IF(ISNUMBER(F12636),C12636*F12636,"")</f>
        <v/>
      </c>
    </row>
    <row r="12637" spans="1:7" ht="12" customHeight="1" outlineLevel="3" x14ac:dyDescent="0.2">
      <c r="A12637" s="14" t="s">
        <v>24847</v>
      </c>
      <c r="B12637" s="15" t="s">
        <v>24848</v>
      </c>
      <c r="C12637" s="16">
        <f>59.8/(1+B2)</f>
        <v>59.8</v>
      </c>
      <c r="D12637" s="17" t="s">
        <v>11</v>
      </c>
      <c r="E12637" s="17"/>
      <c r="F12637" s="18"/>
      <c r="G12637" s="36" t="str">
        <f>IF(ISNUMBER(F12637),C12637*F12637,"")</f>
        <v/>
      </c>
    </row>
    <row r="12638" spans="1:7" ht="12" customHeight="1" outlineLevel="3" x14ac:dyDescent="0.2">
      <c r="A12638" s="14" t="s">
        <v>24849</v>
      </c>
      <c r="B12638" s="15" t="s">
        <v>24850</v>
      </c>
      <c r="C12638" s="16">
        <f>67.7/(1+B2)</f>
        <v>67.7</v>
      </c>
      <c r="D12638" s="17" t="s">
        <v>11</v>
      </c>
      <c r="E12638" s="17"/>
      <c r="F12638" s="18"/>
      <c r="G12638" s="36" t="str">
        <f>IF(ISNUMBER(F12638),C12638*F12638,"")</f>
        <v/>
      </c>
    </row>
    <row r="12639" spans="1:7" ht="12" customHeight="1" outlineLevel="3" x14ac:dyDescent="0.2">
      <c r="A12639" s="14" t="s">
        <v>24851</v>
      </c>
      <c r="B12639" s="15" t="s">
        <v>24852</v>
      </c>
      <c r="C12639" s="16">
        <f>65/(1+B2)</f>
        <v>65</v>
      </c>
      <c r="D12639" s="17" t="s">
        <v>11</v>
      </c>
      <c r="E12639" s="17"/>
      <c r="F12639" s="18"/>
      <c r="G12639" s="36" t="str">
        <f>IF(ISNUMBER(F12639),C12639*F12639,"")</f>
        <v/>
      </c>
    </row>
    <row r="12640" spans="1:7" ht="12" customHeight="1" outlineLevel="3" x14ac:dyDescent="0.2">
      <c r="A12640" s="14" t="s">
        <v>24853</v>
      </c>
      <c r="B12640" s="15" t="s">
        <v>24854</v>
      </c>
      <c r="C12640" s="16">
        <f>78/(1+B2)</f>
        <v>78</v>
      </c>
      <c r="D12640" s="17" t="s">
        <v>11</v>
      </c>
      <c r="E12640" s="17"/>
      <c r="F12640" s="18"/>
      <c r="G12640" s="36" t="str">
        <f>IF(ISNUMBER(F12640),C12640*F12640,"")</f>
        <v/>
      </c>
    </row>
    <row r="12641" spans="1:7" ht="12" customHeight="1" outlineLevel="3" x14ac:dyDescent="0.2">
      <c r="A12641" s="14" t="s">
        <v>24855</v>
      </c>
      <c r="B12641" s="15" t="s">
        <v>24856</v>
      </c>
      <c r="C12641" s="16">
        <f>62.12/(1+B2)</f>
        <v>62.12</v>
      </c>
      <c r="D12641" s="17" t="s">
        <v>14</v>
      </c>
      <c r="E12641" s="17"/>
      <c r="F12641" s="18"/>
      <c r="G12641" s="36" t="str">
        <f>IF(ISNUMBER(F12641),C12641*F12641,"")</f>
        <v/>
      </c>
    </row>
    <row r="12642" spans="1:7" ht="12" customHeight="1" outlineLevel="3" x14ac:dyDescent="0.2">
      <c r="A12642" s="14" t="s">
        <v>24857</v>
      </c>
      <c r="B12642" s="15" t="s">
        <v>24858</v>
      </c>
      <c r="C12642" s="16">
        <f>63.37/(1+B2)</f>
        <v>63.37</v>
      </c>
      <c r="D12642" s="17" t="s">
        <v>11</v>
      </c>
      <c r="E12642" s="17"/>
      <c r="F12642" s="18"/>
      <c r="G12642" s="36" t="str">
        <f>IF(ISNUMBER(F12642),C12642*F12642,"")</f>
        <v/>
      </c>
    </row>
    <row r="12643" spans="1:7" ht="12" customHeight="1" outlineLevel="3" x14ac:dyDescent="0.2">
      <c r="A12643" s="14" t="s">
        <v>24859</v>
      </c>
      <c r="B12643" s="15" t="s">
        <v>24860</v>
      </c>
      <c r="C12643" s="16">
        <f>68.42/(1+B2)</f>
        <v>68.42</v>
      </c>
      <c r="D12643" s="17" t="s">
        <v>11</v>
      </c>
      <c r="E12643" s="17"/>
      <c r="F12643" s="18"/>
      <c r="G12643" s="36" t="str">
        <f>IF(ISNUMBER(F12643),C12643*F12643,"")</f>
        <v/>
      </c>
    </row>
    <row r="12644" spans="1:7" ht="12" customHeight="1" outlineLevel="3" x14ac:dyDescent="0.2">
      <c r="A12644" s="14" t="s">
        <v>24861</v>
      </c>
      <c r="B12644" s="15" t="s">
        <v>24862</v>
      </c>
      <c r="C12644" s="16">
        <f>75.13/(1+B2)</f>
        <v>75.13</v>
      </c>
      <c r="D12644" s="17" t="s">
        <v>11</v>
      </c>
      <c r="E12644" s="17"/>
      <c r="F12644" s="18"/>
      <c r="G12644" s="36" t="str">
        <f>IF(ISNUMBER(F12644),C12644*F12644,"")</f>
        <v/>
      </c>
    </row>
    <row r="12645" spans="1:7" ht="12" customHeight="1" outlineLevel="3" x14ac:dyDescent="0.2">
      <c r="A12645" s="14" t="s">
        <v>24863</v>
      </c>
      <c r="B12645" s="15" t="s">
        <v>24864</v>
      </c>
      <c r="C12645" s="16">
        <f>80.34/(1+B2)</f>
        <v>80.34</v>
      </c>
      <c r="D12645" s="17" t="s">
        <v>11</v>
      </c>
      <c r="E12645" s="17"/>
      <c r="F12645" s="18"/>
      <c r="G12645" s="36" t="str">
        <f>IF(ISNUMBER(F12645),C12645*F12645,"")</f>
        <v/>
      </c>
    </row>
    <row r="12646" spans="1:7" ht="12" customHeight="1" outlineLevel="3" x14ac:dyDescent="0.2">
      <c r="A12646" s="14" t="s">
        <v>24865</v>
      </c>
      <c r="B12646" s="15" t="s">
        <v>24866</v>
      </c>
      <c r="C12646" s="16">
        <f>110.91/(1+B2)</f>
        <v>110.91</v>
      </c>
      <c r="D12646" s="17" t="s">
        <v>11</v>
      </c>
      <c r="E12646" s="17"/>
      <c r="F12646" s="18"/>
      <c r="G12646" s="36" t="str">
        <f>IF(ISNUMBER(F12646),C12646*F12646,"")</f>
        <v/>
      </c>
    </row>
    <row r="12647" spans="1:7" ht="12" customHeight="1" outlineLevel="3" x14ac:dyDescent="0.2">
      <c r="A12647" s="14" t="s">
        <v>24867</v>
      </c>
      <c r="B12647" s="15" t="s">
        <v>24868</v>
      </c>
      <c r="C12647" s="16">
        <f>143.06/(1+B2)</f>
        <v>143.06</v>
      </c>
      <c r="D12647" s="17" t="s">
        <v>11</v>
      </c>
      <c r="E12647" s="17"/>
      <c r="F12647" s="18"/>
      <c r="G12647" s="36" t="str">
        <f>IF(ISNUMBER(F12647),C12647*F12647,"")</f>
        <v/>
      </c>
    </row>
    <row r="12648" spans="1:7" ht="12" customHeight="1" outlineLevel="3" x14ac:dyDescent="0.2">
      <c r="A12648" s="14" t="s">
        <v>24869</v>
      </c>
      <c r="B12648" s="15" t="s">
        <v>24870</v>
      </c>
      <c r="C12648" s="16">
        <f>227.12/(1+B2)</f>
        <v>227.12</v>
      </c>
      <c r="D12648" s="17" t="s">
        <v>11</v>
      </c>
      <c r="E12648" s="17"/>
      <c r="F12648" s="18"/>
      <c r="G12648" s="36" t="str">
        <f>IF(ISNUMBER(F12648),C12648*F12648,"")</f>
        <v/>
      </c>
    </row>
    <row r="12649" spans="1:7" ht="12" customHeight="1" outlineLevel="3" x14ac:dyDescent="0.2">
      <c r="A12649" s="14" t="s">
        <v>24871</v>
      </c>
      <c r="B12649" s="15" t="s">
        <v>24872</v>
      </c>
      <c r="C12649" s="16">
        <f>263.73/(1+B2)</f>
        <v>263.73</v>
      </c>
      <c r="D12649" s="17" t="s">
        <v>11</v>
      </c>
      <c r="E12649" s="17"/>
      <c r="F12649" s="18"/>
      <c r="G12649" s="36" t="str">
        <f>IF(ISNUMBER(F12649),C12649*F12649,"")</f>
        <v/>
      </c>
    </row>
    <row r="12650" spans="1:7" ht="12" customHeight="1" outlineLevel="3" x14ac:dyDescent="0.2">
      <c r="A12650" s="14" t="s">
        <v>24873</v>
      </c>
      <c r="B12650" s="15" t="s">
        <v>24874</v>
      </c>
      <c r="C12650" s="16">
        <f>363.98/(1+B2)</f>
        <v>363.98</v>
      </c>
      <c r="D12650" s="17" t="s">
        <v>11</v>
      </c>
      <c r="E12650" s="17"/>
      <c r="F12650" s="18"/>
      <c r="G12650" s="36" t="str">
        <f>IF(ISNUMBER(F12650),C12650*F12650,"")</f>
        <v/>
      </c>
    </row>
    <row r="12651" spans="1:7" ht="12" customHeight="1" outlineLevel="3" x14ac:dyDescent="0.2">
      <c r="A12651" s="14" t="s">
        <v>24875</v>
      </c>
      <c r="B12651" s="15" t="s">
        <v>24876</v>
      </c>
      <c r="C12651" s="16">
        <f>59.33/(1+B2)</f>
        <v>59.33</v>
      </c>
      <c r="D12651" s="17" t="s">
        <v>11</v>
      </c>
      <c r="E12651" s="17"/>
      <c r="F12651" s="18"/>
      <c r="G12651" s="36" t="str">
        <f>IF(ISNUMBER(F12651),C12651*F12651,"")</f>
        <v/>
      </c>
    </row>
    <row r="12652" spans="1:7" s="1" customFormat="1" ht="12.95" customHeight="1" outlineLevel="2" x14ac:dyDescent="0.2">
      <c r="A12652" s="20"/>
      <c r="B12652" s="21" t="s">
        <v>24877</v>
      </c>
      <c r="C12652" s="22"/>
      <c r="D12652" s="22"/>
      <c r="E12652" s="22"/>
      <c r="F12652" s="22"/>
      <c r="G12652" s="37"/>
    </row>
    <row r="12653" spans="1:7" ht="12" customHeight="1" outlineLevel="3" x14ac:dyDescent="0.2">
      <c r="A12653" s="14" t="s">
        <v>24878</v>
      </c>
      <c r="B12653" s="15" t="s">
        <v>24879</v>
      </c>
      <c r="C12653" s="16">
        <f>237.72/(1+B2)</f>
        <v>237.72</v>
      </c>
      <c r="D12653" s="17" t="s">
        <v>14</v>
      </c>
      <c r="E12653" s="17"/>
      <c r="F12653" s="18"/>
      <c r="G12653" s="36" t="str">
        <f>IF(ISNUMBER(F12653),C12653*F12653,"")</f>
        <v/>
      </c>
    </row>
    <row r="12654" spans="1:7" ht="12" customHeight="1" outlineLevel="3" x14ac:dyDescent="0.2">
      <c r="A12654" s="14" t="s">
        <v>24880</v>
      </c>
      <c r="B12654" s="15" t="s">
        <v>24881</v>
      </c>
      <c r="C12654" s="16">
        <f>491.94/(1+B2)</f>
        <v>491.94</v>
      </c>
      <c r="D12654" s="17" t="s">
        <v>11</v>
      </c>
      <c r="E12654" s="17"/>
      <c r="F12654" s="18"/>
      <c r="G12654" s="36" t="str">
        <f>IF(ISNUMBER(F12654),C12654*F12654,"")</f>
        <v/>
      </c>
    </row>
    <row r="12655" spans="1:7" ht="24" customHeight="1" outlineLevel="3" x14ac:dyDescent="0.2">
      <c r="A12655" s="14" t="s">
        <v>24882</v>
      </c>
      <c r="B12655" s="15" t="s">
        <v>24883</v>
      </c>
      <c r="C12655" s="19">
        <f>1132.76/(1+B2)</f>
        <v>1132.76</v>
      </c>
      <c r="D12655" s="17" t="s">
        <v>11</v>
      </c>
      <c r="E12655" s="17"/>
      <c r="F12655" s="18"/>
      <c r="G12655" s="36" t="str">
        <f>IF(ISNUMBER(F12655),C12655*F12655,"")</f>
        <v/>
      </c>
    </row>
    <row r="12656" spans="1:7" ht="24" customHeight="1" outlineLevel="3" x14ac:dyDescent="0.2">
      <c r="A12656" s="14" t="s">
        <v>24884</v>
      </c>
      <c r="B12656" s="15" t="s">
        <v>24885</v>
      </c>
      <c r="C12656" s="19">
        <f>1137.72/(1+B2)</f>
        <v>1137.72</v>
      </c>
      <c r="D12656" s="17" t="s">
        <v>11</v>
      </c>
      <c r="E12656" s="17"/>
      <c r="F12656" s="18"/>
      <c r="G12656" s="36" t="str">
        <f>IF(ISNUMBER(F12656),C12656*F12656,"")</f>
        <v/>
      </c>
    </row>
    <row r="12657" spans="1:7" ht="12" customHeight="1" outlineLevel="3" x14ac:dyDescent="0.2">
      <c r="A12657" s="14" t="s">
        <v>24886</v>
      </c>
      <c r="B12657" s="15" t="s">
        <v>24887</v>
      </c>
      <c r="C12657" s="16">
        <f>292.25/(1+B2)</f>
        <v>292.25</v>
      </c>
      <c r="D12657" s="17" t="s">
        <v>11</v>
      </c>
      <c r="E12657" s="17"/>
      <c r="F12657" s="18"/>
      <c r="G12657" s="36" t="str">
        <f>IF(ISNUMBER(F12657),C12657*F12657,"")</f>
        <v/>
      </c>
    </row>
    <row r="12658" spans="1:7" ht="12" customHeight="1" outlineLevel="3" x14ac:dyDescent="0.2">
      <c r="A12658" s="14" t="s">
        <v>24888</v>
      </c>
      <c r="B12658" s="15" t="s">
        <v>24889</v>
      </c>
      <c r="C12658" s="16">
        <f>317.18/(1+B2)</f>
        <v>317.18</v>
      </c>
      <c r="D12658" s="17" t="s">
        <v>11</v>
      </c>
      <c r="E12658" s="17"/>
      <c r="F12658" s="18"/>
      <c r="G12658" s="36" t="str">
        <f>IF(ISNUMBER(F12658),C12658*F12658,"")</f>
        <v/>
      </c>
    </row>
    <row r="12659" spans="1:7" ht="12" customHeight="1" outlineLevel="3" x14ac:dyDescent="0.2">
      <c r="A12659" s="14" t="s">
        <v>24890</v>
      </c>
      <c r="B12659" s="15" t="s">
        <v>24891</v>
      </c>
      <c r="C12659" s="16">
        <f>113.15/(1+B2)</f>
        <v>113.15</v>
      </c>
      <c r="D12659" s="17" t="s">
        <v>14</v>
      </c>
      <c r="E12659" s="17"/>
      <c r="F12659" s="18"/>
      <c r="G12659" s="36" t="str">
        <f>IF(ISNUMBER(F12659),C12659*F12659,"")</f>
        <v/>
      </c>
    </row>
    <row r="12660" spans="1:7" ht="12" customHeight="1" outlineLevel="3" x14ac:dyDescent="0.2">
      <c r="A12660" s="14" t="s">
        <v>24892</v>
      </c>
      <c r="B12660" s="15" t="s">
        <v>24893</v>
      </c>
      <c r="C12660" s="16">
        <f>169.42/(1+B2)</f>
        <v>169.42</v>
      </c>
      <c r="D12660" s="17" t="s">
        <v>11</v>
      </c>
      <c r="E12660" s="17"/>
      <c r="F12660" s="18"/>
      <c r="G12660" s="36" t="str">
        <f>IF(ISNUMBER(F12660),C12660*F12660,"")</f>
        <v/>
      </c>
    </row>
    <row r="12661" spans="1:7" ht="24" customHeight="1" outlineLevel="3" x14ac:dyDescent="0.2">
      <c r="A12661" s="14" t="s">
        <v>24894</v>
      </c>
      <c r="B12661" s="15" t="s">
        <v>24895</v>
      </c>
      <c r="C12661" s="16">
        <f>582.97/(1+B2)</f>
        <v>582.97</v>
      </c>
      <c r="D12661" s="17" t="s">
        <v>11</v>
      </c>
      <c r="E12661" s="17"/>
      <c r="F12661" s="18"/>
      <c r="G12661" s="36" t="str">
        <f>IF(ISNUMBER(F12661),C12661*F12661,"")</f>
        <v/>
      </c>
    </row>
    <row r="12662" spans="1:7" ht="12" customHeight="1" outlineLevel="3" x14ac:dyDescent="0.2">
      <c r="A12662" s="14" t="s">
        <v>24896</v>
      </c>
      <c r="B12662" s="15" t="s">
        <v>24897</v>
      </c>
      <c r="C12662" s="16">
        <f>592.5/(1+B2)</f>
        <v>592.5</v>
      </c>
      <c r="D12662" s="17" t="s">
        <v>11</v>
      </c>
      <c r="E12662" s="17"/>
      <c r="F12662" s="18"/>
      <c r="G12662" s="36" t="str">
        <f>IF(ISNUMBER(F12662),C12662*F12662,"")</f>
        <v/>
      </c>
    </row>
    <row r="12663" spans="1:7" ht="24" customHeight="1" outlineLevel="3" x14ac:dyDescent="0.2">
      <c r="A12663" s="14" t="s">
        <v>24898</v>
      </c>
      <c r="B12663" s="15" t="s">
        <v>24899</v>
      </c>
      <c r="C12663" s="16">
        <f>840.13/(1+B2)</f>
        <v>840.13</v>
      </c>
      <c r="D12663" s="17" t="s">
        <v>11</v>
      </c>
      <c r="E12663" s="17"/>
      <c r="F12663" s="18"/>
      <c r="G12663" s="36" t="str">
        <f>IF(ISNUMBER(F12663),C12663*F12663,"")</f>
        <v/>
      </c>
    </row>
    <row r="12664" spans="1:7" ht="12" customHeight="1" outlineLevel="3" x14ac:dyDescent="0.2">
      <c r="A12664" s="14" t="s">
        <v>24900</v>
      </c>
      <c r="B12664" s="15" t="s">
        <v>24901</v>
      </c>
      <c r="C12664" s="16">
        <f>807.36/(1+B2)</f>
        <v>807.36</v>
      </c>
      <c r="D12664" s="17" t="s">
        <v>11</v>
      </c>
      <c r="E12664" s="17"/>
      <c r="F12664" s="18"/>
      <c r="G12664" s="36" t="str">
        <f>IF(ISNUMBER(F12664),C12664*F12664,"")</f>
        <v/>
      </c>
    </row>
    <row r="12665" spans="1:7" ht="12" customHeight="1" outlineLevel="3" x14ac:dyDescent="0.2">
      <c r="A12665" s="14" t="s">
        <v>24902</v>
      </c>
      <c r="B12665" s="15" t="s">
        <v>24903</v>
      </c>
      <c r="C12665" s="16">
        <f>323.39/(1+B2)</f>
        <v>323.39</v>
      </c>
      <c r="D12665" s="17" t="s">
        <v>11</v>
      </c>
      <c r="E12665" s="17"/>
      <c r="F12665" s="18"/>
      <c r="G12665" s="36" t="str">
        <f>IF(ISNUMBER(F12665),C12665*F12665,"")</f>
        <v/>
      </c>
    </row>
    <row r="12666" spans="1:7" ht="12" customHeight="1" outlineLevel="3" x14ac:dyDescent="0.2">
      <c r="A12666" s="14" t="s">
        <v>24904</v>
      </c>
      <c r="B12666" s="15" t="s">
        <v>24905</v>
      </c>
      <c r="C12666" s="16">
        <f>526.77/(1+B2)</f>
        <v>526.77</v>
      </c>
      <c r="D12666" s="17" t="s">
        <v>11</v>
      </c>
      <c r="E12666" s="17"/>
      <c r="F12666" s="18"/>
      <c r="G12666" s="36" t="str">
        <f>IF(ISNUMBER(F12666),C12666*F12666,"")</f>
        <v/>
      </c>
    </row>
    <row r="12667" spans="1:7" ht="24" customHeight="1" outlineLevel="3" x14ac:dyDescent="0.2">
      <c r="A12667" s="14" t="s">
        <v>24906</v>
      </c>
      <c r="B12667" s="15" t="s">
        <v>24907</v>
      </c>
      <c r="C12667" s="16">
        <f>423.46/(1+B2)</f>
        <v>423.46</v>
      </c>
      <c r="D12667" s="17" t="s">
        <v>11</v>
      </c>
      <c r="E12667" s="17"/>
      <c r="F12667" s="18"/>
      <c r="G12667" s="36" t="str">
        <f>IF(ISNUMBER(F12667),C12667*F12667,"")</f>
        <v/>
      </c>
    </row>
    <row r="12668" spans="1:7" ht="24" customHeight="1" outlineLevel="3" x14ac:dyDescent="0.2">
      <c r="A12668" s="14" t="s">
        <v>24908</v>
      </c>
      <c r="B12668" s="15" t="s">
        <v>24909</v>
      </c>
      <c r="C12668" s="19">
        <f>3177.64/(1+B2)</f>
        <v>3177.64</v>
      </c>
      <c r="D12668" s="17" t="s">
        <v>11</v>
      </c>
      <c r="E12668" s="17"/>
      <c r="F12668" s="18"/>
      <c r="G12668" s="36" t="str">
        <f>IF(ISNUMBER(F12668),C12668*F12668,"")</f>
        <v/>
      </c>
    </row>
    <row r="12669" spans="1:7" ht="12" customHeight="1" outlineLevel="3" x14ac:dyDescent="0.2">
      <c r="A12669" s="14" t="s">
        <v>24910</v>
      </c>
      <c r="B12669" s="15" t="s">
        <v>24911</v>
      </c>
      <c r="C12669" s="16">
        <f>368.96/(1+B2)</f>
        <v>368.96</v>
      </c>
      <c r="D12669" s="17" t="s">
        <v>11</v>
      </c>
      <c r="E12669" s="17"/>
      <c r="F12669" s="18"/>
      <c r="G12669" s="36" t="str">
        <f>IF(ISNUMBER(F12669),C12669*F12669,"")</f>
        <v/>
      </c>
    </row>
    <row r="12670" spans="1:7" ht="12" customHeight="1" outlineLevel="3" x14ac:dyDescent="0.2">
      <c r="A12670" s="14" t="s">
        <v>24912</v>
      </c>
      <c r="B12670" s="15" t="s">
        <v>24913</v>
      </c>
      <c r="C12670" s="16">
        <f>97.88/(1+B2)</f>
        <v>97.88</v>
      </c>
      <c r="D12670" s="17" t="s">
        <v>53</v>
      </c>
      <c r="E12670" s="17"/>
      <c r="F12670" s="18"/>
      <c r="G12670" s="36" t="str">
        <f>IF(ISNUMBER(F12670),C12670*F12670,"")</f>
        <v/>
      </c>
    </row>
    <row r="12671" spans="1:7" ht="12" customHeight="1" outlineLevel="3" x14ac:dyDescent="0.2">
      <c r="A12671" s="14" t="s">
        <v>24914</v>
      </c>
      <c r="B12671" s="15" t="s">
        <v>24915</v>
      </c>
      <c r="C12671" s="16">
        <f>518.22/(1+B2)</f>
        <v>518.22</v>
      </c>
      <c r="D12671" s="17" t="s">
        <v>11</v>
      </c>
      <c r="E12671" s="17"/>
      <c r="F12671" s="18"/>
      <c r="G12671" s="36" t="str">
        <f>IF(ISNUMBER(F12671),C12671*F12671,"")</f>
        <v/>
      </c>
    </row>
    <row r="12672" spans="1:7" ht="12" customHeight="1" outlineLevel="3" x14ac:dyDescent="0.2">
      <c r="A12672" s="14" t="s">
        <v>24916</v>
      </c>
      <c r="B12672" s="15" t="s">
        <v>24917</v>
      </c>
      <c r="C12672" s="16">
        <f>668.73/(1+B2)</f>
        <v>668.73</v>
      </c>
      <c r="D12672" s="17" t="s">
        <v>11</v>
      </c>
      <c r="E12672" s="17"/>
      <c r="F12672" s="18"/>
      <c r="G12672" s="36" t="str">
        <f>IF(ISNUMBER(F12672),C12672*F12672,"")</f>
        <v/>
      </c>
    </row>
    <row r="12673" spans="1:7" ht="12" customHeight="1" outlineLevel="3" x14ac:dyDescent="0.2">
      <c r="A12673" s="14" t="s">
        <v>24918</v>
      </c>
      <c r="B12673" s="15" t="s">
        <v>24919</v>
      </c>
      <c r="C12673" s="19">
        <f>1061/(1+B2)</f>
        <v>1061</v>
      </c>
      <c r="D12673" s="17" t="s">
        <v>11</v>
      </c>
      <c r="E12673" s="17"/>
      <c r="F12673" s="18"/>
      <c r="G12673" s="36" t="str">
        <f>IF(ISNUMBER(F12673),C12673*F12673,"")</f>
        <v/>
      </c>
    </row>
    <row r="12674" spans="1:7" ht="12" customHeight="1" outlineLevel="3" x14ac:dyDescent="0.2">
      <c r="A12674" s="14" t="s">
        <v>24920</v>
      </c>
      <c r="B12674" s="15" t="s">
        <v>24921</v>
      </c>
      <c r="C12674" s="16">
        <f>901.02/(1+B2)</f>
        <v>901.02</v>
      </c>
      <c r="D12674" s="17" t="s">
        <v>11</v>
      </c>
      <c r="E12674" s="17"/>
      <c r="F12674" s="18"/>
      <c r="G12674" s="36" t="str">
        <f>IF(ISNUMBER(F12674),C12674*F12674,"")</f>
        <v/>
      </c>
    </row>
    <row r="12675" spans="1:7" ht="12" customHeight="1" outlineLevel="3" x14ac:dyDescent="0.2">
      <c r="A12675" s="14" t="s">
        <v>24922</v>
      </c>
      <c r="B12675" s="15" t="s">
        <v>24923</v>
      </c>
      <c r="C12675" s="16">
        <f>881.97/(1+B2)</f>
        <v>881.97</v>
      </c>
      <c r="D12675" s="17" t="s">
        <v>11</v>
      </c>
      <c r="E12675" s="17"/>
      <c r="F12675" s="18"/>
      <c r="G12675" s="36" t="str">
        <f>IF(ISNUMBER(F12675),C12675*F12675,"")</f>
        <v/>
      </c>
    </row>
    <row r="12676" spans="1:7" ht="12" customHeight="1" outlineLevel="3" x14ac:dyDescent="0.2">
      <c r="A12676" s="14" t="s">
        <v>24924</v>
      </c>
      <c r="B12676" s="15" t="s">
        <v>24925</v>
      </c>
      <c r="C12676" s="19">
        <f>1012.42/(1+B2)</f>
        <v>1012.42</v>
      </c>
      <c r="D12676" s="17" t="s">
        <v>11</v>
      </c>
      <c r="E12676" s="17"/>
      <c r="F12676" s="18"/>
      <c r="G12676" s="36" t="str">
        <f>IF(ISNUMBER(F12676),C12676*F12676,"")</f>
        <v/>
      </c>
    </row>
    <row r="12677" spans="1:7" ht="12" customHeight="1" outlineLevel="3" x14ac:dyDescent="0.2">
      <c r="A12677" s="14" t="s">
        <v>24926</v>
      </c>
      <c r="B12677" s="15" t="s">
        <v>24927</v>
      </c>
      <c r="C12677" s="16">
        <f>476.16/(1+B2)</f>
        <v>476.16</v>
      </c>
      <c r="D12677" s="17" t="s">
        <v>11</v>
      </c>
      <c r="E12677" s="17"/>
      <c r="F12677" s="18"/>
      <c r="G12677" s="36" t="str">
        <f>IF(ISNUMBER(F12677),C12677*F12677,"")</f>
        <v/>
      </c>
    </row>
    <row r="12678" spans="1:7" ht="12" customHeight="1" outlineLevel="3" x14ac:dyDescent="0.2">
      <c r="A12678" s="14" t="s">
        <v>24928</v>
      </c>
      <c r="B12678" s="15" t="s">
        <v>24929</v>
      </c>
      <c r="C12678" s="16">
        <f>667.31/(1+B2)</f>
        <v>667.31</v>
      </c>
      <c r="D12678" s="17" t="s">
        <v>11</v>
      </c>
      <c r="E12678" s="17"/>
      <c r="F12678" s="18"/>
      <c r="G12678" s="36" t="str">
        <f>IF(ISNUMBER(F12678),C12678*F12678,"")</f>
        <v/>
      </c>
    </row>
    <row r="12679" spans="1:7" ht="12" customHeight="1" outlineLevel="3" x14ac:dyDescent="0.2">
      <c r="A12679" s="14" t="s">
        <v>24930</v>
      </c>
      <c r="B12679" s="15" t="s">
        <v>24931</v>
      </c>
      <c r="C12679" s="19">
        <f>1055.81/(1+B2)</f>
        <v>1055.81</v>
      </c>
      <c r="D12679" s="17" t="s">
        <v>11</v>
      </c>
      <c r="E12679" s="17"/>
      <c r="F12679" s="18"/>
      <c r="G12679" s="36" t="str">
        <f>IF(ISNUMBER(F12679),C12679*F12679,"")</f>
        <v/>
      </c>
    </row>
    <row r="12680" spans="1:7" ht="12" customHeight="1" outlineLevel="3" x14ac:dyDescent="0.2">
      <c r="A12680" s="14" t="s">
        <v>24932</v>
      </c>
      <c r="B12680" s="15" t="s">
        <v>24933</v>
      </c>
      <c r="C12680" s="16">
        <f>648.48/(1+B2)</f>
        <v>648.48</v>
      </c>
      <c r="D12680" s="17" t="s">
        <v>11</v>
      </c>
      <c r="E12680" s="17"/>
      <c r="F12680" s="18"/>
      <c r="G12680" s="36" t="str">
        <f>IF(ISNUMBER(F12680),C12680*F12680,"")</f>
        <v/>
      </c>
    </row>
    <row r="12681" spans="1:7" ht="12" customHeight="1" outlineLevel="3" x14ac:dyDescent="0.2">
      <c r="A12681" s="14" t="s">
        <v>24934</v>
      </c>
      <c r="B12681" s="15" t="s">
        <v>24935</v>
      </c>
      <c r="C12681" s="19">
        <f>1064.36/(1+B2)</f>
        <v>1064.3599999999999</v>
      </c>
      <c r="D12681" s="17" t="s">
        <v>11</v>
      </c>
      <c r="E12681" s="17"/>
      <c r="F12681" s="18"/>
      <c r="G12681" s="36" t="str">
        <f>IF(ISNUMBER(F12681),C12681*F12681,"")</f>
        <v/>
      </c>
    </row>
    <row r="12682" spans="1:7" ht="12" customHeight="1" outlineLevel="3" x14ac:dyDescent="0.2">
      <c r="A12682" s="14" t="s">
        <v>24936</v>
      </c>
      <c r="B12682" s="15" t="s">
        <v>24937</v>
      </c>
      <c r="C12682" s="16">
        <f>824.49/(1+B2)</f>
        <v>824.49</v>
      </c>
      <c r="D12682" s="17" t="s">
        <v>11</v>
      </c>
      <c r="E12682" s="17"/>
      <c r="F12682" s="18"/>
      <c r="G12682" s="36" t="str">
        <f>IF(ISNUMBER(F12682),C12682*F12682,"")</f>
        <v/>
      </c>
    </row>
    <row r="12683" spans="1:7" ht="12" customHeight="1" outlineLevel="3" x14ac:dyDescent="0.2">
      <c r="A12683" s="14" t="s">
        <v>24938</v>
      </c>
      <c r="B12683" s="15" t="s">
        <v>24939</v>
      </c>
      <c r="C12683" s="16">
        <f>699.41/(1+B2)</f>
        <v>699.41</v>
      </c>
      <c r="D12683" s="17" t="s">
        <v>11</v>
      </c>
      <c r="E12683" s="17"/>
      <c r="F12683" s="18"/>
      <c r="G12683" s="36" t="str">
        <f>IF(ISNUMBER(F12683),C12683*F12683,"")</f>
        <v/>
      </c>
    </row>
    <row r="12684" spans="1:7" ht="12" customHeight="1" outlineLevel="3" x14ac:dyDescent="0.2">
      <c r="A12684" s="14" t="s">
        <v>24940</v>
      </c>
      <c r="B12684" s="15" t="s">
        <v>24941</v>
      </c>
      <c r="C12684" s="19">
        <f>3186.11/(1+B2)</f>
        <v>3186.11</v>
      </c>
      <c r="D12684" s="17" t="s">
        <v>11</v>
      </c>
      <c r="E12684" s="17"/>
      <c r="F12684" s="18"/>
      <c r="G12684" s="36" t="str">
        <f>IF(ISNUMBER(F12684),C12684*F12684,"")</f>
        <v/>
      </c>
    </row>
    <row r="12685" spans="1:7" ht="12" customHeight="1" outlineLevel="3" x14ac:dyDescent="0.2">
      <c r="A12685" s="14" t="s">
        <v>24942</v>
      </c>
      <c r="B12685" s="15" t="s">
        <v>24943</v>
      </c>
      <c r="C12685" s="19">
        <f>7043.94/(1+B2)</f>
        <v>7043.94</v>
      </c>
      <c r="D12685" s="17" t="s">
        <v>11</v>
      </c>
      <c r="E12685" s="17"/>
      <c r="F12685" s="18"/>
      <c r="G12685" s="36" t="str">
        <f>IF(ISNUMBER(F12685),C12685*F12685,"")</f>
        <v/>
      </c>
    </row>
    <row r="12686" spans="1:7" ht="12" customHeight="1" outlineLevel="3" x14ac:dyDescent="0.2">
      <c r="A12686" s="14" t="s">
        <v>24944</v>
      </c>
      <c r="B12686" s="15" t="s">
        <v>24945</v>
      </c>
      <c r="C12686" s="16">
        <f>572.06/(1+B2)</f>
        <v>572.05999999999995</v>
      </c>
      <c r="D12686" s="17" t="s">
        <v>11</v>
      </c>
      <c r="E12686" s="17"/>
      <c r="F12686" s="18"/>
      <c r="G12686" s="36" t="str">
        <f>IF(ISNUMBER(F12686),C12686*F12686,"")</f>
        <v/>
      </c>
    </row>
    <row r="12687" spans="1:7" ht="12" customHeight="1" outlineLevel="3" x14ac:dyDescent="0.2">
      <c r="A12687" s="14" t="s">
        <v>24946</v>
      </c>
      <c r="B12687" s="15" t="s">
        <v>24947</v>
      </c>
      <c r="C12687" s="16">
        <f>873.65/(1+B2)</f>
        <v>873.65</v>
      </c>
      <c r="D12687" s="17" t="s">
        <v>11</v>
      </c>
      <c r="E12687" s="17"/>
      <c r="F12687" s="18"/>
      <c r="G12687" s="36" t="str">
        <f>IF(ISNUMBER(F12687),C12687*F12687,"")</f>
        <v/>
      </c>
    </row>
    <row r="12688" spans="1:7" ht="12" customHeight="1" outlineLevel="3" x14ac:dyDescent="0.2">
      <c r="A12688" s="14" t="s">
        <v>24948</v>
      </c>
      <c r="B12688" s="15" t="s">
        <v>24949</v>
      </c>
      <c r="C12688" s="16">
        <f>650.26/(1+B2)</f>
        <v>650.26</v>
      </c>
      <c r="D12688" s="17" t="s">
        <v>11</v>
      </c>
      <c r="E12688" s="17"/>
      <c r="F12688" s="18"/>
      <c r="G12688" s="36" t="str">
        <f>IF(ISNUMBER(F12688),C12688*F12688,"")</f>
        <v/>
      </c>
    </row>
    <row r="12689" spans="1:7" ht="12" customHeight="1" outlineLevel="3" x14ac:dyDescent="0.2">
      <c r="A12689" s="14" t="s">
        <v>24950</v>
      </c>
      <c r="B12689" s="15" t="s">
        <v>24951</v>
      </c>
      <c r="C12689" s="16">
        <f>917.05/(1+B2)</f>
        <v>917.05</v>
      </c>
      <c r="D12689" s="17" t="s">
        <v>11</v>
      </c>
      <c r="E12689" s="17"/>
      <c r="F12689" s="18"/>
      <c r="G12689" s="36" t="str">
        <f>IF(ISNUMBER(F12689),C12689*F12689,"")</f>
        <v/>
      </c>
    </row>
    <row r="12690" spans="1:7" ht="12" customHeight="1" outlineLevel="3" x14ac:dyDescent="0.2">
      <c r="A12690" s="14" t="s">
        <v>24952</v>
      </c>
      <c r="B12690" s="15" t="s">
        <v>24953</v>
      </c>
      <c r="C12690" s="16">
        <f>964/(1+B2)</f>
        <v>964</v>
      </c>
      <c r="D12690" s="17" t="s">
        <v>11</v>
      </c>
      <c r="E12690" s="17"/>
      <c r="F12690" s="18"/>
      <c r="G12690" s="36" t="str">
        <f>IF(ISNUMBER(F12690),C12690*F12690,"")</f>
        <v/>
      </c>
    </row>
    <row r="12691" spans="1:7" ht="12" customHeight="1" outlineLevel="3" x14ac:dyDescent="0.2">
      <c r="A12691" s="14" t="s">
        <v>24954</v>
      </c>
      <c r="B12691" s="15" t="s">
        <v>24955</v>
      </c>
      <c r="C12691" s="19">
        <f>1054.9/(1+B2)</f>
        <v>1054.9000000000001</v>
      </c>
      <c r="D12691" s="17" t="s">
        <v>11</v>
      </c>
      <c r="E12691" s="17"/>
      <c r="F12691" s="18"/>
      <c r="G12691" s="36" t="str">
        <f>IF(ISNUMBER(F12691),C12691*F12691,"")</f>
        <v/>
      </c>
    </row>
    <row r="12692" spans="1:7" ht="12" customHeight="1" outlineLevel="3" x14ac:dyDescent="0.2">
      <c r="A12692" s="14" t="s">
        <v>24956</v>
      </c>
      <c r="B12692" s="15" t="s">
        <v>24957</v>
      </c>
      <c r="C12692" s="16">
        <f>479.53/(1+B2)</f>
        <v>479.53</v>
      </c>
      <c r="D12692" s="17" t="s">
        <v>11</v>
      </c>
      <c r="E12692" s="17"/>
      <c r="F12692" s="18"/>
      <c r="G12692" s="36" t="str">
        <f>IF(ISNUMBER(F12692),C12692*F12692,"")</f>
        <v/>
      </c>
    </row>
    <row r="12693" spans="1:7" ht="12" customHeight="1" outlineLevel="3" x14ac:dyDescent="0.2">
      <c r="A12693" s="14" t="s">
        <v>24958</v>
      </c>
      <c r="B12693" s="15" t="s">
        <v>24959</v>
      </c>
      <c r="C12693" s="19">
        <f>2159.42/(1+B2)</f>
        <v>2159.42</v>
      </c>
      <c r="D12693" s="17" t="s">
        <v>11</v>
      </c>
      <c r="E12693" s="17"/>
      <c r="F12693" s="18"/>
      <c r="G12693" s="36" t="str">
        <f>IF(ISNUMBER(F12693),C12693*F12693,"")</f>
        <v/>
      </c>
    </row>
    <row r="12694" spans="1:7" ht="12" customHeight="1" outlineLevel="3" x14ac:dyDescent="0.2">
      <c r="A12694" s="14" t="s">
        <v>24960</v>
      </c>
      <c r="B12694" s="15" t="s">
        <v>24961</v>
      </c>
      <c r="C12694" s="19">
        <f>1123.6/(1+B2)</f>
        <v>1123.5999999999999</v>
      </c>
      <c r="D12694" s="17" t="s">
        <v>11</v>
      </c>
      <c r="E12694" s="17"/>
      <c r="F12694" s="18"/>
      <c r="G12694" s="36" t="str">
        <f>IF(ISNUMBER(F12694),C12694*F12694,"")</f>
        <v/>
      </c>
    </row>
    <row r="12695" spans="1:7" ht="12" customHeight="1" outlineLevel="3" x14ac:dyDescent="0.2">
      <c r="A12695" s="14" t="s">
        <v>24962</v>
      </c>
      <c r="B12695" s="15" t="s">
        <v>24963</v>
      </c>
      <c r="C12695" s="16">
        <f>855.9/(1+B2)</f>
        <v>855.9</v>
      </c>
      <c r="D12695" s="17" t="s">
        <v>11</v>
      </c>
      <c r="E12695" s="17"/>
      <c r="F12695" s="18"/>
      <c r="G12695" s="36" t="str">
        <f>IF(ISNUMBER(F12695),C12695*F12695,"")</f>
        <v/>
      </c>
    </row>
    <row r="12696" spans="1:7" ht="12" customHeight="1" outlineLevel="3" x14ac:dyDescent="0.2">
      <c r="A12696" s="14" t="s">
        <v>24964</v>
      </c>
      <c r="B12696" s="15" t="s">
        <v>24965</v>
      </c>
      <c r="C12696" s="19">
        <f>1194.89/(1+B2)</f>
        <v>1194.8900000000001</v>
      </c>
      <c r="D12696" s="17" t="s">
        <v>11</v>
      </c>
      <c r="E12696" s="17"/>
      <c r="F12696" s="18"/>
      <c r="G12696" s="36" t="str">
        <f>IF(ISNUMBER(F12696),C12696*F12696,"")</f>
        <v/>
      </c>
    </row>
    <row r="12697" spans="1:7" ht="12" customHeight="1" outlineLevel="3" x14ac:dyDescent="0.2">
      <c r="A12697" s="14" t="s">
        <v>24966</v>
      </c>
      <c r="B12697" s="15" t="s">
        <v>24967</v>
      </c>
      <c r="C12697" s="16">
        <f>776.95/(1+B2)</f>
        <v>776.95</v>
      </c>
      <c r="D12697" s="17" t="s">
        <v>11</v>
      </c>
      <c r="E12697" s="17"/>
      <c r="F12697" s="18"/>
      <c r="G12697" s="36" t="str">
        <f>IF(ISNUMBER(F12697),C12697*F12697,"")</f>
        <v/>
      </c>
    </row>
    <row r="12698" spans="1:7" ht="12" customHeight="1" outlineLevel="3" x14ac:dyDescent="0.2">
      <c r="A12698" s="14" t="s">
        <v>24968</v>
      </c>
      <c r="B12698" s="15" t="s">
        <v>24969</v>
      </c>
      <c r="C12698" s="16">
        <f>349.31/(1+B2)</f>
        <v>349.31</v>
      </c>
      <c r="D12698" s="17" t="s">
        <v>11</v>
      </c>
      <c r="E12698" s="17"/>
      <c r="F12698" s="18"/>
      <c r="G12698" s="36" t="str">
        <f>IF(ISNUMBER(F12698),C12698*F12698,"")</f>
        <v/>
      </c>
    </row>
    <row r="12699" spans="1:7" ht="12" customHeight="1" outlineLevel="3" x14ac:dyDescent="0.2">
      <c r="A12699" s="14" t="s">
        <v>24970</v>
      </c>
      <c r="B12699" s="15" t="s">
        <v>24971</v>
      </c>
      <c r="C12699" s="16">
        <f>840.98/(1+B2)</f>
        <v>840.98</v>
      </c>
      <c r="D12699" s="17" t="s">
        <v>11</v>
      </c>
      <c r="E12699" s="17" t="s">
        <v>14</v>
      </c>
      <c r="F12699" s="18"/>
      <c r="G12699" s="36" t="str">
        <f>IF(ISNUMBER(F12699),C12699*F12699,"")</f>
        <v/>
      </c>
    </row>
    <row r="12700" spans="1:7" ht="12" customHeight="1" outlineLevel="3" x14ac:dyDescent="0.2">
      <c r="A12700" s="14" t="s">
        <v>24972</v>
      </c>
      <c r="B12700" s="15" t="s">
        <v>24973</v>
      </c>
      <c r="C12700" s="16">
        <f>729.44/(1+B2)</f>
        <v>729.44</v>
      </c>
      <c r="D12700" s="17" t="s">
        <v>11</v>
      </c>
      <c r="E12700" s="17"/>
      <c r="F12700" s="18"/>
      <c r="G12700" s="36" t="str">
        <f>IF(ISNUMBER(F12700),C12700*F12700,"")</f>
        <v/>
      </c>
    </row>
    <row r="12701" spans="1:7" s="1" customFormat="1" ht="12.95" customHeight="1" outlineLevel="2" x14ac:dyDescent="0.2">
      <c r="A12701" s="20"/>
      <c r="B12701" s="21" t="s">
        <v>24974</v>
      </c>
      <c r="C12701" s="22"/>
      <c r="D12701" s="22"/>
      <c r="E12701" s="22"/>
      <c r="F12701" s="22"/>
      <c r="G12701" s="37"/>
    </row>
    <row r="12702" spans="1:7" ht="12" customHeight="1" outlineLevel="3" x14ac:dyDescent="0.2">
      <c r="A12702" s="14" t="s">
        <v>24975</v>
      </c>
      <c r="B12702" s="15" t="s">
        <v>24976</v>
      </c>
      <c r="C12702" s="16">
        <f>254.84/(1+B2)</f>
        <v>254.84</v>
      </c>
      <c r="D12702" s="17" t="s">
        <v>11</v>
      </c>
      <c r="E12702" s="17"/>
      <c r="F12702" s="18"/>
      <c r="G12702" s="36" t="str">
        <f>IF(ISNUMBER(F12702),C12702*F12702,"")</f>
        <v/>
      </c>
    </row>
    <row r="12703" spans="1:7" ht="12" customHeight="1" outlineLevel="3" x14ac:dyDescent="0.2">
      <c r="A12703" s="14" t="s">
        <v>24977</v>
      </c>
      <c r="B12703" s="15" t="s">
        <v>24978</v>
      </c>
      <c r="C12703" s="16">
        <f>347.66/(1+B2)</f>
        <v>347.66</v>
      </c>
      <c r="D12703" s="17" t="s">
        <v>11</v>
      </c>
      <c r="E12703" s="17"/>
      <c r="F12703" s="18"/>
      <c r="G12703" s="36" t="str">
        <f>IF(ISNUMBER(F12703),C12703*F12703,"")</f>
        <v/>
      </c>
    </row>
    <row r="12704" spans="1:7" ht="12" customHeight="1" outlineLevel="3" x14ac:dyDescent="0.2">
      <c r="A12704" s="14" t="s">
        <v>24979</v>
      </c>
      <c r="B12704" s="15" t="s">
        <v>24980</v>
      </c>
      <c r="C12704" s="16">
        <f>475.06/(1+B2)</f>
        <v>475.06</v>
      </c>
      <c r="D12704" s="17" t="s">
        <v>11</v>
      </c>
      <c r="E12704" s="17"/>
      <c r="F12704" s="18"/>
      <c r="G12704" s="36" t="str">
        <f>IF(ISNUMBER(F12704),C12704*F12704,"")</f>
        <v/>
      </c>
    </row>
    <row r="12705" spans="1:7" ht="12" customHeight="1" outlineLevel="3" x14ac:dyDescent="0.2">
      <c r="A12705" s="14" t="s">
        <v>24981</v>
      </c>
      <c r="B12705" s="15" t="s">
        <v>24982</v>
      </c>
      <c r="C12705" s="16">
        <f>657.68/(1+B2)</f>
        <v>657.68</v>
      </c>
      <c r="D12705" s="17" t="s">
        <v>11</v>
      </c>
      <c r="E12705" s="17"/>
      <c r="F12705" s="18"/>
      <c r="G12705" s="36" t="str">
        <f>IF(ISNUMBER(F12705),C12705*F12705,"")</f>
        <v/>
      </c>
    </row>
    <row r="12706" spans="1:7" ht="12" customHeight="1" outlineLevel="3" x14ac:dyDescent="0.2">
      <c r="A12706" s="14" t="s">
        <v>24983</v>
      </c>
      <c r="B12706" s="15" t="s">
        <v>24984</v>
      </c>
      <c r="C12706" s="19">
        <f>2036.42/(1+B2)</f>
        <v>2036.42</v>
      </c>
      <c r="D12706" s="17" t="s">
        <v>11</v>
      </c>
      <c r="E12706" s="17"/>
      <c r="F12706" s="18"/>
      <c r="G12706" s="36" t="str">
        <f>IF(ISNUMBER(F12706),C12706*F12706,"")</f>
        <v/>
      </c>
    </row>
    <row r="12707" spans="1:7" ht="24" customHeight="1" outlineLevel="3" x14ac:dyDescent="0.2">
      <c r="A12707" s="14" t="s">
        <v>24985</v>
      </c>
      <c r="B12707" s="15" t="s">
        <v>24986</v>
      </c>
      <c r="C12707" s="19">
        <f>2187.85/(1+B2)</f>
        <v>2187.85</v>
      </c>
      <c r="D12707" s="17" t="s">
        <v>11</v>
      </c>
      <c r="E12707" s="17"/>
      <c r="F12707" s="18"/>
      <c r="G12707" s="36" t="str">
        <f>IF(ISNUMBER(F12707),C12707*F12707,"")</f>
        <v/>
      </c>
    </row>
    <row r="12708" spans="1:7" ht="12" customHeight="1" outlineLevel="3" x14ac:dyDescent="0.2">
      <c r="A12708" s="14" t="s">
        <v>24987</v>
      </c>
      <c r="B12708" s="15" t="s">
        <v>24988</v>
      </c>
      <c r="C12708" s="16">
        <f>484.22/(1+B2)</f>
        <v>484.22</v>
      </c>
      <c r="D12708" s="17" t="s">
        <v>11</v>
      </c>
      <c r="E12708" s="17"/>
      <c r="F12708" s="18"/>
      <c r="G12708" s="36" t="str">
        <f>IF(ISNUMBER(F12708),C12708*F12708,"")</f>
        <v/>
      </c>
    </row>
    <row r="12709" spans="1:7" ht="12" customHeight="1" outlineLevel="3" x14ac:dyDescent="0.2">
      <c r="A12709" s="14" t="s">
        <v>24989</v>
      </c>
      <c r="B12709" s="15" t="s">
        <v>24990</v>
      </c>
      <c r="C12709" s="16">
        <f>651.32/(1+B2)</f>
        <v>651.32000000000005</v>
      </c>
      <c r="D12709" s="17" t="s">
        <v>11</v>
      </c>
      <c r="E12709" s="17"/>
      <c r="F12709" s="18"/>
      <c r="G12709" s="36" t="str">
        <f>IF(ISNUMBER(F12709),C12709*F12709,"")</f>
        <v/>
      </c>
    </row>
    <row r="12710" spans="1:7" ht="12" customHeight="1" outlineLevel="3" x14ac:dyDescent="0.2">
      <c r="A12710" s="14" t="s">
        <v>24991</v>
      </c>
      <c r="B12710" s="15" t="s">
        <v>24992</v>
      </c>
      <c r="C12710" s="16">
        <f>904.3/(1+B2)</f>
        <v>904.3</v>
      </c>
      <c r="D12710" s="17" t="s">
        <v>11</v>
      </c>
      <c r="E12710" s="17"/>
      <c r="F12710" s="18"/>
      <c r="G12710" s="36" t="str">
        <f>IF(ISNUMBER(F12710),C12710*F12710,"")</f>
        <v/>
      </c>
    </row>
    <row r="12711" spans="1:7" ht="12" customHeight="1" outlineLevel="3" x14ac:dyDescent="0.2">
      <c r="A12711" s="14" t="s">
        <v>24993</v>
      </c>
      <c r="B12711" s="15" t="s">
        <v>24994</v>
      </c>
      <c r="C12711" s="16">
        <f>213.45/(1+B2)</f>
        <v>213.45</v>
      </c>
      <c r="D12711" s="17" t="s">
        <v>14</v>
      </c>
      <c r="E12711" s="17"/>
      <c r="F12711" s="18"/>
      <c r="G12711" s="36" t="str">
        <f>IF(ISNUMBER(F12711),C12711*F12711,"")</f>
        <v/>
      </c>
    </row>
    <row r="12712" spans="1:7" ht="12" customHeight="1" outlineLevel="3" x14ac:dyDescent="0.2">
      <c r="A12712" s="14" t="s">
        <v>24995</v>
      </c>
      <c r="B12712" s="15" t="s">
        <v>24996</v>
      </c>
      <c r="C12712" s="16">
        <f>243.51/(1+B2)</f>
        <v>243.51</v>
      </c>
      <c r="D12712" s="17" t="s">
        <v>11</v>
      </c>
      <c r="E12712" s="17"/>
      <c r="F12712" s="18"/>
      <c r="G12712" s="36" t="str">
        <f>IF(ISNUMBER(F12712),C12712*F12712,"")</f>
        <v/>
      </c>
    </row>
    <row r="12713" spans="1:7" ht="12" customHeight="1" outlineLevel="3" x14ac:dyDescent="0.2">
      <c r="A12713" s="14" t="s">
        <v>24997</v>
      </c>
      <c r="B12713" s="15" t="s">
        <v>24998</v>
      </c>
      <c r="C12713" s="16">
        <f>275.66/(1+B2)</f>
        <v>275.66000000000003</v>
      </c>
      <c r="D12713" s="17" t="s">
        <v>11</v>
      </c>
      <c r="E12713" s="17"/>
      <c r="F12713" s="18"/>
      <c r="G12713" s="36" t="str">
        <f>IF(ISNUMBER(F12713),C12713*F12713,"")</f>
        <v/>
      </c>
    </row>
    <row r="12714" spans="1:7" ht="12" customHeight="1" outlineLevel="3" x14ac:dyDescent="0.2">
      <c r="A12714" s="14" t="s">
        <v>24999</v>
      </c>
      <c r="B12714" s="15" t="s">
        <v>25000</v>
      </c>
      <c r="C12714" s="16">
        <f>336.3/(1+B2)</f>
        <v>336.3</v>
      </c>
      <c r="D12714" s="17" t="s">
        <v>11</v>
      </c>
      <c r="E12714" s="17"/>
      <c r="F12714" s="18"/>
      <c r="G12714" s="36" t="str">
        <f>IF(ISNUMBER(F12714),C12714*F12714,"")</f>
        <v/>
      </c>
    </row>
    <row r="12715" spans="1:7" ht="12" customHeight="1" outlineLevel="3" x14ac:dyDescent="0.2">
      <c r="A12715" s="14" t="s">
        <v>25001</v>
      </c>
      <c r="B12715" s="15" t="s">
        <v>25002</v>
      </c>
      <c r="C12715" s="16">
        <f>448.38/(1+B2)</f>
        <v>448.38</v>
      </c>
      <c r="D12715" s="17" t="s">
        <v>11</v>
      </c>
      <c r="E12715" s="17"/>
      <c r="F12715" s="18"/>
      <c r="G12715" s="36" t="str">
        <f>IF(ISNUMBER(F12715),C12715*F12715,"")</f>
        <v/>
      </c>
    </row>
    <row r="12716" spans="1:7" ht="12" customHeight="1" outlineLevel="3" x14ac:dyDescent="0.2">
      <c r="A12716" s="14" t="s">
        <v>25003</v>
      </c>
      <c r="B12716" s="15" t="s">
        <v>25004</v>
      </c>
      <c r="C12716" s="16">
        <f>515.12/(1+B2)</f>
        <v>515.12</v>
      </c>
      <c r="D12716" s="17" t="s">
        <v>11</v>
      </c>
      <c r="E12716" s="17"/>
      <c r="F12716" s="18"/>
      <c r="G12716" s="36" t="str">
        <f>IF(ISNUMBER(F12716),C12716*F12716,"")</f>
        <v/>
      </c>
    </row>
    <row r="12717" spans="1:7" ht="12" customHeight="1" outlineLevel="3" x14ac:dyDescent="0.2">
      <c r="A12717" s="14" t="s">
        <v>25005</v>
      </c>
      <c r="B12717" s="15" t="s">
        <v>25006</v>
      </c>
      <c r="C12717" s="16">
        <f>611.86/(1+B2)</f>
        <v>611.86</v>
      </c>
      <c r="D12717" s="17" t="s">
        <v>11</v>
      </c>
      <c r="E12717" s="17"/>
      <c r="F12717" s="18"/>
      <c r="G12717" s="36" t="str">
        <f>IF(ISNUMBER(F12717),C12717*F12717,"")</f>
        <v/>
      </c>
    </row>
    <row r="12718" spans="1:7" ht="12" customHeight="1" outlineLevel="3" x14ac:dyDescent="0.2">
      <c r="A12718" s="14" t="s">
        <v>25007</v>
      </c>
      <c r="B12718" s="15" t="s">
        <v>25008</v>
      </c>
      <c r="C12718" s="16">
        <f>870.63/(1+B2)</f>
        <v>870.63</v>
      </c>
      <c r="D12718" s="17" t="s">
        <v>11</v>
      </c>
      <c r="E12718" s="17"/>
      <c r="F12718" s="18"/>
      <c r="G12718" s="36" t="str">
        <f>IF(ISNUMBER(F12718),C12718*F12718,"")</f>
        <v/>
      </c>
    </row>
    <row r="12719" spans="1:7" ht="12" customHeight="1" outlineLevel="3" x14ac:dyDescent="0.2">
      <c r="A12719" s="14" t="s">
        <v>25009</v>
      </c>
      <c r="B12719" s="15" t="s">
        <v>25010</v>
      </c>
      <c r="C12719" s="16">
        <f>215.82/(1+B2)</f>
        <v>215.82</v>
      </c>
      <c r="D12719" s="17" t="s">
        <v>11</v>
      </c>
      <c r="E12719" s="17"/>
      <c r="F12719" s="18"/>
      <c r="G12719" s="36" t="str">
        <f>IF(ISNUMBER(F12719),C12719*F12719,"")</f>
        <v/>
      </c>
    </row>
    <row r="12720" spans="1:7" ht="12" customHeight="1" outlineLevel="3" x14ac:dyDescent="0.2">
      <c r="A12720" s="14" t="s">
        <v>25011</v>
      </c>
      <c r="B12720" s="15" t="s">
        <v>25012</v>
      </c>
      <c r="C12720" s="16">
        <f>305.86/(1+B2)</f>
        <v>305.86</v>
      </c>
      <c r="D12720" s="17" t="s">
        <v>11</v>
      </c>
      <c r="E12720" s="17"/>
      <c r="F12720" s="18"/>
      <c r="G12720" s="36" t="str">
        <f>IF(ISNUMBER(F12720),C12720*F12720,"")</f>
        <v/>
      </c>
    </row>
    <row r="12721" spans="1:7" ht="12" customHeight="1" outlineLevel="3" x14ac:dyDescent="0.2">
      <c r="A12721" s="14" t="s">
        <v>25013</v>
      </c>
      <c r="B12721" s="15" t="s">
        <v>25014</v>
      </c>
      <c r="C12721" s="16">
        <f>412.2/(1+B2)</f>
        <v>412.2</v>
      </c>
      <c r="D12721" s="17" t="s">
        <v>11</v>
      </c>
      <c r="E12721" s="17"/>
      <c r="F12721" s="18"/>
      <c r="G12721" s="36" t="str">
        <f>IF(ISNUMBER(F12721),C12721*F12721,"")</f>
        <v/>
      </c>
    </row>
    <row r="12722" spans="1:7" ht="12" customHeight="1" outlineLevel="3" x14ac:dyDescent="0.2">
      <c r="A12722" s="14" t="s">
        <v>25015</v>
      </c>
      <c r="B12722" s="15" t="s">
        <v>25016</v>
      </c>
      <c r="C12722" s="16">
        <f>685.13/(1+B2)</f>
        <v>685.13</v>
      </c>
      <c r="D12722" s="17" t="s">
        <v>11</v>
      </c>
      <c r="E12722" s="17"/>
      <c r="F12722" s="18"/>
      <c r="G12722" s="36" t="str">
        <f>IF(ISNUMBER(F12722),C12722*F12722,"")</f>
        <v/>
      </c>
    </row>
    <row r="12723" spans="1:7" ht="12" customHeight="1" outlineLevel="3" x14ac:dyDescent="0.2">
      <c r="A12723" s="14" t="s">
        <v>25017</v>
      </c>
      <c r="B12723" s="15" t="s">
        <v>25018</v>
      </c>
      <c r="C12723" s="16">
        <f>951.48/(1+B2)</f>
        <v>951.48</v>
      </c>
      <c r="D12723" s="17" t="s">
        <v>11</v>
      </c>
      <c r="E12723" s="17"/>
      <c r="F12723" s="18"/>
      <c r="G12723" s="36" t="str">
        <f>IF(ISNUMBER(F12723),C12723*F12723,"")</f>
        <v/>
      </c>
    </row>
    <row r="12724" spans="1:7" ht="12" customHeight="1" outlineLevel="3" x14ac:dyDescent="0.2">
      <c r="A12724" s="14" t="s">
        <v>25019</v>
      </c>
      <c r="B12724" s="15" t="s">
        <v>25020</v>
      </c>
      <c r="C12724" s="19">
        <f>1274.7/(1+B2)</f>
        <v>1274.7</v>
      </c>
      <c r="D12724" s="17" t="s">
        <v>11</v>
      </c>
      <c r="E12724" s="17"/>
      <c r="F12724" s="18"/>
      <c r="G12724" s="36" t="str">
        <f>IF(ISNUMBER(F12724),C12724*F12724,"")</f>
        <v/>
      </c>
    </row>
    <row r="12725" spans="1:7" ht="12" customHeight="1" outlineLevel="3" x14ac:dyDescent="0.2">
      <c r="A12725" s="14" t="s">
        <v>25021</v>
      </c>
      <c r="B12725" s="15" t="s">
        <v>25022</v>
      </c>
      <c r="C12725" s="19">
        <f>2116.71/(1+B2)</f>
        <v>2116.71</v>
      </c>
      <c r="D12725" s="17" t="s">
        <v>11</v>
      </c>
      <c r="E12725" s="17"/>
      <c r="F12725" s="18"/>
      <c r="G12725" s="36" t="str">
        <f>IF(ISNUMBER(F12725),C12725*F12725,"")</f>
        <v/>
      </c>
    </row>
    <row r="12726" spans="1:7" s="1" customFormat="1" ht="15.95" customHeight="1" outlineLevel="1" x14ac:dyDescent="0.25">
      <c r="A12726" s="11"/>
      <c r="B12726" s="12" t="s">
        <v>25023</v>
      </c>
      <c r="C12726" s="13"/>
      <c r="D12726" s="13"/>
      <c r="E12726" s="13"/>
      <c r="F12726" s="13"/>
      <c r="G12726" s="35"/>
    </row>
    <row r="12727" spans="1:7" s="1" customFormat="1" ht="12.95" customHeight="1" outlineLevel="2" x14ac:dyDescent="0.2">
      <c r="A12727" s="20"/>
      <c r="B12727" s="21" t="s">
        <v>25024</v>
      </c>
      <c r="C12727" s="22"/>
      <c r="D12727" s="22"/>
      <c r="E12727" s="22"/>
      <c r="F12727" s="22"/>
      <c r="G12727" s="37"/>
    </row>
    <row r="12728" spans="1:7" ht="12" customHeight="1" outlineLevel="3" x14ac:dyDescent="0.2">
      <c r="A12728" s="14" t="s">
        <v>25025</v>
      </c>
      <c r="B12728" s="15" t="s">
        <v>25026</v>
      </c>
      <c r="C12728" s="16">
        <f>364.59/(1+B2)</f>
        <v>364.59</v>
      </c>
      <c r="D12728" s="17" t="s">
        <v>11</v>
      </c>
      <c r="E12728" s="17"/>
      <c r="F12728" s="18"/>
      <c r="G12728" s="36" t="str">
        <f>IF(ISNUMBER(F12728),C12728*F12728,"")</f>
        <v/>
      </c>
    </row>
    <row r="12729" spans="1:7" ht="12" customHeight="1" outlineLevel="3" x14ac:dyDescent="0.2">
      <c r="A12729" s="14" t="s">
        <v>25027</v>
      </c>
      <c r="B12729" s="15" t="s">
        <v>25028</v>
      </c>
      <c r="C12729" s="16">
        <f>386.62/(1+B2)</f>
        <v>386.62</v>
      </c>
      <c r="D12729" s="17" t="s">
        <v>11</v>
      </c>
      <c r="E12729" s="17"/>
      <c r="F12729" s="18"/>
      <c r="G12729" s="36" t="str">
        <f>IF(ISNUMBER(F12729),C12729*F12729,"")</f>
        <v/>
      </c>
    </row>
    <row r="12730" spans="1:7" ht="12" customHeight="1" outlineLevel="3" x14ac:dyDescent="0.2">
      <c r="A12730" s="14" t="s">
        <v>25029</v>
      </c>
      <c r="B12730" s="15" t="s">
        <v>25030</v>
      </c>
      <c r="C12730" s="16">
        <f>703.83/(1+B2)</f>
        <v>703.83</v>
      </c>
      <c r="D12730" s="17" t="s">
        <v>11</v>
      </c>
      <c r="E12730" s="17"/>
      <c r="F12730" s="18"/>
      <c r="G12730" s="36" t="str">
        <f>IF(ISNUMBER(F12730),C12730*F12730,"")</f>
        <v/>
      </c>
    </row>
    <row r="12731" spans="1:7" ht="12" customHeight="1" outlineLevel="3" x14ac:dyDescent="0.2">
      <c r="A12731" s="14" t="s">
        <v>25031</v>
      </c>
      <c r="B12731" s="15" t="s">
        <v>25032</v>
      </c>
      <c r="C12731" s="16">
        <f>835.38/(1+B2)</f>
        <v>835.38</v>
      </c>
      <c r="D12731" s="17" t="s">
        <v>11</v>
      </c>
      <c r="E12731" s="17"/>
      <c r="F12731" s="18"/>
      <c r="G12731" s="36" t="str">
        <f>IF(ISNUMBER(F12731),C12731*F12731,"")</f>
        <v/>
      </c>
    </row>
    <row r="12732" spans="1:7" ht="12" customHeight="1" outlineLevel="3" x14ac:dyDescent="0.2">
      <c r="A12732" s="14" t="s">
        <v>25033</v>
      </c>
      <c r="B12732" s="15" t="s">
        <v>25034</v>
      </c>
      <c r="C12732" s="16">
        <f>328.19/(1+B2)</f>
        <v>328.19</v>
      </c>
      <c r="D12732" s="17" t="s">
        <v>11</v>
      </c>
      <c r="E12732" s="17"/>
      <c r="F12732" s="18"/>
      <c r="G12732" s="36" t="str">
        <f>IF(ISNUMBER(F12732),C12732*F12732,"")</f>
        <v/>
      </c>
    </row>
    <row r="12733" spans="1:7" ht="12" customHeight="1" outlineLevel="3" x14ac:dyDescent="0.2">
      <c r="A12733" s="14" t="s">
        <v>25035</v>
      </c>
      <c r="B12733" s="15" t="s">
        <v>25036</v>
      </c>
      <c r="C12733" s="16">
        <f>413.99/(1+B2)</f>
        <v>413.99</v>
      </c>
      <c r="D12733" s="17" t="s">
        <v>11</v>
      </c>
      <c r="E12733" s="17"/>
      <c r="F12733" s="18"/>
      <c r="G12733" s="36" t="str">
        <f>IF(ISNUMBER(F12733),C12733*F12733,"")</f>
        <v/>
      </c>
    </row>
    <row r="12734" spans="1:7" ht="12" customHeight="1" outlineLevel="3" x14ac:dyDescent="0.2">
      <c r="A12734" s="14" t="s">
        <v>25037</v>
      </c>
      <c r="B12734" s="15" t="s">
        <v>25038</v>
      </c>
      <c r="C12734" s="16">
        <f>467.17/(1+B2)</f>
        <v>467.17</v>
      </c>
      <c r="D12734" s="17" t="s">
        <v>11</v>
      </c>
      <c r="E12734" s="17"/>
      <c r="F12734" s="18"/>
      <c r="G12734" s="36" t="str">
        <f>IF(ISNUMBER(F12734),C12734*F12734,"")</f>
        <v/>
      </c>
    </row>
    <row r="12735" spans="1:7" ht="12" customHeight="1" outlineLevel="3" x14ac:dyDescent="0.2">
      <c r="A12735" s="14" t="s">
        <v>25039</v>
      </c>
      <c r="B12735" s="15" t="s">
        <v>25040</v>
      </c>
      <c r="C12735" s="16">
        <f>577.08/(1+B2)</f>
        <v>577.08000000000004</v>
      </c>
      <c r="D12735" s="17" t="s">
        <v>11</v>
      </c>
      <c r="E12735" s="17"/>
      <c r="F12735" s="18"/>
      <c r="G12735" s="36" t="str">
        <f>IF(ISNUMBER(F12735),C12735*F12735,"")</f>
        <v/>
      </c>
    </row>
    <row r="12736" spans="1:7" ht="24" customHeight="1" outlineLevel="3" x14ac:dyDescent="0.2">
      <c r="A12736" s="14" t="s">
        <v>25041</v>
      </c>
      <c r="B12736" s="15" t="s">
        <v>25042</v>
      </c>
      <c r="C12736" s="16">
        <f>567.76/(1+B2)</f>
        <v>567.76</v>
      </c>
      <c r="D12736" s="17" t="s">
        <v>11</v>
      </c>
      <c r="E12736" s="17"/>
      <c r="F12736" s="18"/>
      <c r="G12736" s="36" t="str">
        <f>IF(ISNUMBER(F12736),C12736*F12736,"")</f>
        <v/>
      </c>
    </row>
    <row r="12737" spans="1:7" ht="24" customHeight="1" outlineLevel="3" x14ac:dyDescent="0.2">
      <c r="A12737" s="14" t="s">
        <v>25043</v>
      </c>
      <c r="B12737" s="15" t="s">
        <v>25044</v>
      </c>
      <c r="C12737" s="16">
        <f>620.95/(1+B2)</f>
        <v>620.95000000000005</v>
      </c>
      <c r="D12737" s="17" t="s">
        <v>11</v>
      </c>
      <c r="E12737" s="17"/>
      <c r="F12737" s="18"/>
      <c r="G12737" s="36" t="str">
        <f>IF(ISNUMBER(F12737),C12737*F12737,"")</f>
        <v/>
      </c>
    </row>
    <row r="12738" spans="1:7" ht="24" customHeight="1" outlineLevel="3" x14ac:dyDescent="0.2">
      <c r="A12738" s="14" t="s">
        <v>25045</v>
      </c>
      <c r="B12738" s="15" t="s">
        <v>25046</v>
      </c>
      <c r="C12738" s="16">
        <f>781.06/(1+B2)</f>
        <v>781.06</v>
      </c>
      <c r="D12738" s="17" t="s">
        <v>11</v>
      </c>
      <c r="E12738" s="17"/>
      <c r="F12738" s="18"/>
      <c r="G12738" s="36" t="str">
        <f>IF(ISNUMBER(F12738),C12738*F12738,"")</f>
        <v/>
      </c>
    </row>
    <row r="12739" spans="1:7" ht="24" customHeight="1" outlineLevel="3" x14ac:dyDescent="0.2">
      <c r="A12739" s="14" t="s">
        <v>25047</v>
      </c>
      <c r="B12739" s="15" t="s">
        <v>25048</v>
      </c>
      <c r="C12739" s="16">
        <f>975.97/(1+B2)</f>
        <v>975.97</v>
      </c>
      <c r="D12739" s="17" t="s">
        <v>11</v>
      </c>
      <c r="E12739" s="17"/>
      <c r="F12739" s="18"/>
      <c r="G12739" s="36" t="str">
        <f>IF(ISNUMBER(F12739),C12739*F12739,"")</f>
        <v/>
      </c>
    </row>
    <row r="12740" spans="1:7" ht="12" customHeight="1" outlineLevel="3" x14ac:dyDescent="0.2">
      <c r="A12740" s="14" t="s">
        <v>25049</v>
      </c>
      <c r="B12740" s="15" t="s">
        <v>25050</v>
      </c>
      <c r="C12740" s="19">
        <f>1033.65/(1+B2)</f>
        <v>1033.6500000000001</v>
      </c>
      <c r="D12740" s="17" t="s">
        <v>11</v>
      </c>
      <c r="E12740" s="17"/>
      <c r="F12740" s="18"/>
      <c r="G12740" s="36" t="str">
        <f>IF(ISNUMBER(F12740),C12740*F12740,"")</f>
        <v/>
      </c>
    </row>
    <row r="12741" spans="1:7" ht="12" customHeight="1" outlineLevel="3" x14ac:dyDescent="0.2">
      <c r="A12741" s="14" t="s">
        <v>25051</v>
      </c>
      <c r="B12741" s="15" t="s">
        <v>25052</v>
      </c>
      <c r="C12741" s="16">
        <f>325.77/(1+B2)</f>
        <v>325.77</v>
      </c>
      <c r="D12741" s="17" t="s">
        <v>11</v>
      </c>
      <c r="E12741" s="17"/>
      <c r="F12741" s="18"/>
      <c r="G12741" s="36" t="str">
        <f>IF(ISNUMBER(F12741),C12741*F12741,"")</f>
        <v/>
      </c>
    </row>
    <row r="12742" spans="1:7" ht="12" customHeight="1" outlineLevel="3" x14ac:dyDescent="0.2">
      <c r="A12742" s="14" t="s">
        <v>25053</v>
      </c>
      <c r="B12742" s="15" t="s">
        <v>25054</v>
      </c>
      <c r="C12742" s="16">
        <f>400.3/(1+B2)</f>
        <v>400.3</v>
      </c>
      <c r="D12742" s="17" t="s">
        <v>11</v>
      </c>
      <c r="E12742" s="17"/>
      <c r="F12742" s="18"/>
      <c r="G12742" s="36" t="str">
        <f>IF(ISNUMBER(F12742),C12742*F12742,"")</f>
        <v/>
      </c>
    </row>
    <row r="12743" spans="1:7" ht="12" customHeight="1" outlineLevel="3" x14ac:dyDescent="0.2">
      <c r="A12743" s="14" t="s">
        <v>25055</v>
      </c>
      <c r="B12743" s="15" t="s">
        <v>25056</v>
      </c>
      <c r="C12743" s="16">
        <f>631.98/(1+B2)</f>
        <v>631.98</v>
      </c>
      <c r="D12743" s="17" t="s">
        <v>11</v>
      </c>
      <c r="E12743" s="17"/>
      <c r="F12743" s="18"/>
      <c r="G12743" s="36" t="str">
        <f>IF(ISNUMBER(F12743),C12743*F12743,"")</f>
        <v/>
      </c>
    </row>
    <row r="12744" spans="1:7" ht="12" customHeight="1" outlineLevel="3" x14ac:dyDescent="0.2">
      <c r="A12744" s="14" t="s">
        <v>25057</v>
      </c>
      <c r="B12744" s="15" t="s">
        <v>25058</v>
      </c>
      <c r="C12744" s="16">
        <f>866.77/(1+B2)</f>
        <v>866.77</v>
      </c>
      <c r="D12744" s="17" t="s">
        <v>11</v>
      </c>
      <c r="E12744" s="17"/>
      <c r="F12744" s="18"/>
      <c r="G12744" s="36" t="str">
        <f>IF(ISNUMBER(F12744),C12744*F12744,"")</f>
        <v/>
      </c>
    </row>
    <row r="12745" spans="1:7" ht="12" customHeight="1" outlineLevel="3" x14ac:dyDescent="0.2">
      <c r="A12745" s="14" t="s">
        <v>25059</v>
      </c>
      <c r="B12745" s="15" t="s">
        <v>25060</v>
      </c>
      <c r="C12745" s="16">
        <f>130.91/(1+B2)</f>
        <v>130.91</v>
      </c>
      <c r="D12745" s="17" t="s">
        <v>11</v>
      </c>
      <c r="E12745" s="17"/>
      <c r="F12745" s="18"/>
      <c r="G12745" s="36" t="str">
        <f>IF(ISNUMBER(F12745),C12745*F12745,"")</f>
        <v/>
      </c>
    </row>
    <row r="12746" spans="1:7" ht="12" customHeight="1" outlineLevel="3" x14ac:dyDescent="0.2">
      <c r="A12746" s="14" t="s">
        <v>25061</v>
      </c>
      <c r="B12746" s="15" t="s">
        <v>25062</v>
      </c>
      <c r="C12746" s="16">
        <f>187.57/(1+B2)</f>
        <v>187.57</v>
      </c>
      <c r="D12746" s="17" t="s">
        <v>11</v>
      </c>
      <c r="E12746" s="17"/>
      <c r="F12746" s="18"/>
      <c r="G12746" s="36" t="str">
        <f>IF(ISNUMBER(F12746),C12746*F12746,"")</f>
        <v/>
      </c>
    </row>
    <row r="12747" spans="1:7" ht="12" customHeight="1" outlineLevel="3" x14ac:dyDescent="0.2">
      <c r="A12747" s="14" t="s">
        <v>25063</v>
      </c>
      <c r="B12747" s="15" t="s">
        <v>25064</v>
      </c>
      <c r="C12747" s="16">
        <f>272.9/(1+B2)</f>
        <v>272.89999999999998</v>
      </c>
      <c r="D12747" s="17" t="s">
        <v>11</v>
      </c>
      <c r="E12747" s="17"/>
      <c r="F12747" s="18"/>
      <c r="G12747" s="36" t="str">
        <f>IF(ISNUMBER(F12747),C12747*F12747,"")</f>
        <v/>
      </c>
    </row>
    <row r="12748" spans="1:7" ht="12" customHeight="1" outlineLevel="3" x14ac:dyDescent="0.2">
      <c r="A12748" s="14" t="s">
        <v>25065</v>
      </c>
      <c r="B12748" s="15" t="s">
        <v>25066</v>
      </c>
      <c r="C12748" s="16">
        <f>94.53/(1+B2)</f>
        <v>94.53</v>
      </c>
      <c r="D12748" s="17" t="s">
        <v>11</v>
      </c>
      <c r="E12748" s="17"/>
      <c r="F12748" s="18"/>
      <c r="G12748" s="36" t="str">
        <f>IF(ISNUMBER(F12748),C12748*F12748,"")</f>
        <v/>
      </c>
    </row>
    <row r="12749" spans="1:7" ht="12" customHeight="1" outlineLevel="3" x14ac:dyDescent="0.2">
      <c r="A12749" s="14" t="s">
        <v>25067</v>
      </c>
      <c r="B12749" s="15" t="s">
        <v>25068</v>
      </c>
      <c r="C12749" s="16">
        <f>110.06/(1+B2)</f>
        <v>110.06</v>
      </c>
      <c r="D12749" s="17" t="s">
        <v>11</v>
      </c>
      <c r="E12749" s="17"/>
      <c r="F12749" s="18"/>
      <c r="G12749" s="36" t="str">
        <f>IF(ISNUMBER(F12749),C12749*F12749,"")</f>
        <v/>
      </c>
    </row>
    <row r="12750" spans="1:7" ht="12" customHeight="1" outlineLevel="3" x14ac:dyDescent="0.2">
      <c r="A12750" s="14" t="s">
        <v>25069</v>
      </c>
      <c r="B12750" s="15" t="s">
        <v>25070</v>
      </c>
      <c r="C12750" s="16">
        <f>150.68/(1+B2)</f>
        <v>150.68</v>
      </c>
      <c r="D12750" s="17" t="s">
        <v>11</v>
      </c>
      <c r="E12750" s="17"/>
      <c r="F12750" s="18"/>
      <c r="G12750" s="36" t="str">
        <f>IF(ISNUMBER(F12750),C12750*F12750,"")</f>
        <v/>
      </c>
    </row>
    <row r="12751" spans="1:7" ht="24" customHeight="1" outlineLevel="3" x14ac:dyDescent="0.2">
      <c r="A12751" s="14" t="s">
        <v>25071</v>
      </c>
      <c r="B12751" s="15" t="s">
        <v>25072</v>
      </c>
      <c r="C12751" s="16">
        <f>107.84/(1+B2)</f>
        <v>107.84</v>
      </c>
      <c r="D12751" s="17" t="s">
        <v>11</v>
      </c>
      <c r="E12751" s="17"/>
      <c r="F12751" s="18"/>
      <c r="G12751" s="36" t="str">
        <f>IF(ISNUMBER(F12751),C12751*F12751,"")</f>
        <v/>
      </c>
    </row>
    <row r="12752" spans="1:7" ht="24" customHeight="1" outlineLevel="3" x14ac:dyDescent="0.2">
      <c r="A12752" s="14" t="s">
        <v>25073</v>
      </c>
      <c r="B12752" s="15" t="s">
        <v>25074</v>
      </c>
      <c r="C12752" s="16">
        <f>186.46/(1+B2)</f>
        <v>186.46</v>
      </c>
      <c r="D12752" s="17" t="s">
        <v>11</v>
      </c>
      <c r="E12752" s="17"/>
      <c r="F12752" s="18"/>
      <c r="G12752" s="36" t="str">
        <f>IF(ISNUMBER(F12752),C12752*F12752,"")</f>
        <v/>
      </c>
    </row>
    <row r="12753" spans="1:7" ht="24" customHeight="1" outlineLevel="3" x14ac:dyDescent="0.2">
      <c r="A12753" s="14" t="s">
        <v>25075</v>
      </c>
      <c r="B12753" s="15" t="s">
        <v>25076</v>
      </c>
      <c r="C12753" s="16">
        <f>246.33/(1+B2)</f>
        <v>246.33</v>
      </c>
      <c r="D12753" s="17" t="s">
        <v>11</v>
      </c>
      <c r="E12753" s="17"/>
      <c r="F12753" s="18"/>
      <c r="G12753" s="36" t="str">
        <f>IF(ISNUMBER(F12753),C12753*F12753,"")</f>
        <v/>
      </c>
    </row>
    <row r="12754" spans="1:7" ht="24" customHeight="1" outlineLevel="3" x14ac:dyDescent="0.2">
      <c r="A12754" s="14" t="s">
        <v>25077</v>
      </c>
      <c r="B12754" s="15" t="s">
        <v>25078</v>
      </c>
      <c r="C12754" s="16">
        <f>412.23/(1+B2)</f>
        <v>412.23</v>
      </c>
      <c r="D12754" s="17" t="s">
        <v>11</v>
      </c>
      <c r="E12754" s="17"/>
      <c r="F12754" s="18"/>
      <c r="G12754" s="36" t="str">
        <f>IF(ISNUMBER(F12754),C12754*F12754,"")</f>
        <v/>
      </c>
    </row>
    <row r="12755" spans="1:7" ht="24" customHeight="1" outlineLevel="3" x14ac:dyDescent="0.2">
      <c r="A12755" s="14" t="s">
        <v>25079</v>
      </c>
      <c r="B12755" s="15" t="s">
        <v>25080</v>
      </c>
      <c r="C12755" s="16">
        <f>120.81/(1+B2)</f>
        <v>120.81</v>
      </c>
      <c r="D12755" s="17" t="s">
        <v>11</v>
      </c>
      <c r="E12755" s="17"/>
      <c r="F12755" s="18"/>
      <c r="G12755" s="36" t="str">
        <f>IF(ISNUMBER(F12755),C12755*F12755,"")</f>
        <v/>
      </c>
    </row>
    <row r="12756" spans="1:7" ht="24" customHeight="1" outlineLevel="3" x14ac:dyDescent="0.2">
      <c r="A12756" s="14" t="s">
        <v>25081</v>
      </c>
      <c r="B12756" s="15" t="s">
        <v>25082</v>
      </c>
      <c r="C12756" s="16">
        <f>175.35/(1+B2)</f>
        <v>175.35</v>
      </c>
      <c r="D12756" s="17" t="s">
        <v>11</v>
      </c>
      <c r="E12756" s="17"/>
      <c r="F12756" s="18"/>
      <c r="G12756" s="36" t="str">
        <f>IF(ISNUMBER(F12756),C12756*F12756,"")</f>
        <v/>
      </c>
    </row>
    <row r="12757" spans="1:7" ht="24" customHeight="1" outlineLevel="3" x14ac:dyDescent="0.2">
      <c r="A12757" s="14" t="s">
        <v>25083</v>
      </c>
      <c r="B12757" s="15" t="s">
        <v>25084</v>
      </c>
      <c r="C12757" s="16">
        <f>295.31/(1+B2)</f>
        <v>295.31</v>
      </c>
      <c r="D12757" s="17" t="s">
        <v>11</v>
      </c>
      <c r="E12757" s="17"/>
      <c r="F12757" s="18"/>
      <c r="G12757" s="36" t="str">
        <f>IF(ISNUMBER(F12757),C12757*F12757,"")</f>
        <v/>
      </c>
    </row>
    <row r="12758" spans="1:7" ht="12" customHeight="1" outlineLevel="3" x14ac:dyDescent="0.2">
      <c r="A12758" s="14" t="s">
        <v>25085</v>
      </c>
      <c r="B12758" s="15" t="s">
        <v>25086</v>
      </c>
      <c r="C12758" s="16">
        <f>170.51/(1+B2)</f>
        <v>170.51</v>
      </c>
      <c r="D12758" s="17" t="s">
        <v>11</v>
      </c>
      <c r="E12758" s="17"/>
      <c r="F12758" s="18"/>
      <c r="G12758" s="36" t="str">
        <f>IF(ISNUMBER(F12758),C12758*F12758,"")</f>
        <v/>
      </c>
    </row>
    <row r="12759" spans="1:7" ht="12" customHeight="1" outlineLevel="3" x14ac:dyDescent="0.2">
      <c r="A12759" s="14" t="s">
        <v>25087</v>
      </c>
      <c r="B12759" s="15" t="s">
        <v>25088</v>
      </c>
      <c r="C12759" s="16">
        <f>133.14/(1+B2)</f>
        <v>133.13999999999999</v>
      </c>
      <c r="D12759" s="17" t="s">
        <v>11</v>
      </c>
      <c r="E12759" s="17"/>
      <c r="F12759" s="18"/>
      <c r="G12759" s="36" t="str">
        <f>IF(ISNUMBER(F12759),C12759*F12759,"")</f>
        <v/>
      </c>
    </row>
    <row r="12760" spans="1:7" ht="12" customHeight="1" outlineLevel="3" x14ac:dyDescent="0.2">
      <c r="A12760" s="14" t="s">
        <v>25089</v>
      </c>
      <c r="B12760" s="15" t="s">
        <v>25090</v>
      </c>
      <c r="C12760" s="16">
        <f>308.34/(1+B2)</f>
        <v>308.33999999999997</v>
      </c>
      <c r="D12760" s="17" t="s">
        <v>11</v>
      </c>
      <c r="E12760" s="17"/>
      <c r="F12760" s="18"/>
      <c r="G12760" s="36" t="str">
        <f>IF(ISNUMBER(F12760),C12760*F12760,"")</f>
        <v/>
      </c>
    </row>
    <row r="12761" spans="1:7" ht="12" customHeight="1" outlineLevel="3" x14ac:dyDescent="0.2">
      <c r="A12761" s="14" t="s">
        <v>25091</v>
      </c>
      <c r="B12761" s="15" t="s">
        <v>25092</v>
      </c>
      <c r="C12761" s="16">
        <f>93.8/(1+B2)</f>
        <v>93.8</v>
      </c>
      <c r="D12761" s="17" t="s">
        <v>11</v>
      </c>
      <c r="E12761" s="17"/>
      <c r="F12761" s="18"/>
      <c r="G12761" s="36" t="str">
        <f>IF(ISNUMBER(F12761),C12761*F12761,"")</f>
        <v/>
      </c>
    </row>
    <row r="12762" spans="1:7" ht="12" customHeight="1" outlineLevel="3" x14ac:dyDescent="0.2">
      <c r="A12762" s="14" t="s">
        <v>25093</v>
      </c>
      <c r="B12762" s="15" t="s">
        <v>25094</v>
      </c>
      <c r="C12762" s="16">
        <f>174.15/(1+B2)</f>
        <v>174.15</v>
      </c>
      <c r="D12762" s="17" t="s">
        <v>11</v>
      </c>
      <c r="E12762" s="17"/>
      <c r="F12762" s="18"/>
      <c r="G12762" s="36" t="str">
        <f>IF(ISNUMBER(F12762),C12762*F12762,"")</f>
        <v/>
      </c>
    </row>
    <row r="12763" spans="1:7" ht="12" customHeight="1" outlineLevel="3" x14ac:dyDescent="0.2">
      <c r="A12763" s="14" t="s">
        <v>25095</v>
      </c>
      <c r="B12763" s="15" t="s">
        <v>25096</v>
      </c>
      <c r="C12763" s="16">
        <f>250.8/(1+B2)</f>
        <v>250.8</v>
      </c>
      <c r="D12763" s="17" t="s">
        <v>11</v>
      </c>
      <c r="E12763" s="17"/>
      <c r="F12763" s="18"/>
      <c r="G12763" s="36" t="str">
        <f>IF(ISNUMBER(F12763),C12763*F12763,"")</f>
        <v/>
      </c>
    </row>
    <row r="12764" spans="1:7" ht="12" customHeight="1" outlineLevel="3" x14ac:dyDescent="0.2">
      <c r="A12764" s="14" t="s">
        <v>25097</v>
      </c>
      <c r="B12764" s="15" t="s">
        <v>25098</v>
      </c>
      <c r="C12764" s="16">
        <f>109.05/(1+B2)</f>
        <v>109.05</v>
      </c>
      <c r="D12764" s="17" t="s">
        <v>11</v>
      </c>
      <c r="E12764" s="17"/>
      <c r="F12764" s="18"/>
      <c r="G12764" s="36" t="str">
        <f>IF(ISNUMBER(F12764),C12764*F12764,"")</f>
        <v/>
      </c>
    </row>
    <row r="12765" spans="1:7" ht="12" customHeight="1" outlineLevel="3" x14ac:dyDescent="0.2">
      <c r="A12765" s="14" t="s">
        <v>25099</v>
      </c>
      <c r="B12765" s="15" t="s">
        <v>25100</v>
      </c>
      <c r="C12765" s="16">
        <f>168.41/(1+B2)</f>
        <v>168.41</v>
      </c>
      <c r="D12765" s="17" t="s">
        <v>14</v>
      </c>
      <c r="E12765" s="17"/>
      <c r="F12765" s="18"/>
      <c r="G12765" s="36" t="str">
        <f>IF(ISNUMBER(F12765),C12765*F12765,"")</f>
        <v/>
      </c>
    </row>
    <row r="12766" spans="1:7" ht="12" customHeight="1" outlineLevel="3" x14ac:dyDescent="0.2">
      <c r="A12766" s="14" t="s">
        <v>25101</v>
      </c>
      <c r="B12766" s="15" t="s">
        <v>25102</v>
      </c>
      <c r="C12766" s="16">
        <f>311.55/(1+B2)</f>
        <v>311.55</v>
      </c>
      <c r="D12766" s="17" t="s">
        <v>11</v>
      </c>
      <c r="E12766" s="17"/>
      <c r="F12766" s="18"/>
      <c r="G12766" s="36" t="str">
        <f>IF(ISNUMBER(F12766),C12766*F12766,"")</f>
        <v/>
      </c>
    </row>
    <row r="12767" spans="1:7" ht="12" customHeight="1" outlineLevel="3" x14ac:dyDescent="0.2">
      <c r="A12767" s="14" t="s">
        <v>25103</v>
      </c>
      <c r="B12767" s="15" t="s">
        <v>25104</v>
      </c>
      <c r="C12767" s="16">
        <f>103.36/(1+B2)</f>
        <v>103.36</v>
      </c>
      <c r="D12767" s="17" t="s">
        <v>11</v>
      </c>
      <c r="E12767" s="17"/>
      <c r="F12767" s="18"/>
      <c r="G12767" s="36" t="str">
        <f>IF(ISNUMBER(F12767),C12767*F12767,"")</f>
        <v/>
      </c>
    </row>
    <row r="12768" spans="1:7" ht="12" customHeight="1" outlineLevel="3" x14ac:dyDescent="0.2">
      <c r="A12768" s="14" t="s">
        <v>25105</v>
      </c>
      <c r="B12768" s="15" t="s">
        <v>25106</v>
      </c>
      <c r="C12768" s="16">
        <f>158.55/(1+B2)</f>
        <v>158.55000000000001</v>
      </c>
      <c r="D12768" s="17" t="s">
        <v>11</v>
      </c>
      <c r="E12768" s="17"/>
      <c r="F12768" s="18"/>
      <c r="G12768" s="36" t="str">
        <f>IF(ISNUMBER(F12768),C12768*F12768,"")</f>
        <v/>
      </c>
    </row>
    <row r="12769" spans="1:7" ht="12" customHeight="1" outlineLevel="3" x14ac:dyDescent="0.2">
      <c r="A12769" s="14" t="s">
        <v>25107</v>
      </c>
      <c r="B12769" s="15" t="s">
        <v>25108</v>
      </c>
      <c r="C12769" s="16">
        <f>222.99/(1+B2)</f>
        <v>222.99</v>
      </c>
      <c r="D12769" s="17" t="s">
        <v>11</v>
      </c>
      <c r="E12769" s="17"/>
      <c r="F12769" s="18"/>
      <c r="G12769" s="36" t="str">
        <f>IF(ISNUMBER(F12769),C12769*F12769,"")</f>
        <v/>
      </c>
    </row>
    <row r="12770" spans="1:7" ht="24" customHeight="1" outlineLevel="3" x14ac:dyDescent="0.2">
      <c r="A12770" s="14" t="s">
        <v>25109</v>
      </c>
      <c r="B12770" s="15" t="s">
        <v>25110</v>
      </c>
      <c r="C12770" s="16">
        <f>397.87/(1+B2)</f>
        <v>397.87</v>
      </c>
      <c r="D12770" s="17" t="s">
        <v>11</v>
      </c>
      <c r="E12770" s="17"/>
      <c r="F12770" s="18"/>
      <c r="G12770" s="36" t="str">
        <f>IF(ISNUMBER(F12770),C12770*F12770,"")</f>
        <v/>
      </c>
    </row>
    <row r="12771" spans="1:7" ht="12" customHeight="1" outlineLevel="3" x14ac:dyDescent="0.2">
      <c r="A12771" s="14" t="s">
        <v>25111</v>
      </c>
      <c r="B12771" s="15" t="s">
        <v>25112</v>
      </c>
      <c r="C12771" s="16">
        <f>758.68/(1+B2)</f>
        <v>758.68</v>
      </c>
      <c r="D12771" s="17" t="s">
        <v>11</v>
      </c>
      <c r="E12771" s="17"/>
      <c r="F12771" s="18"/>
      <c r="G12771" s="36" t="str">
        <f>IF(ISNUMBER(F12771),C12771*F12771,"")</f>
        <v/>
      </c>
    </row>
    <row r="12772" spans="1:7" ht="12" customHeight="1" outlineLevel="3" x14ac:dyDescent="0.2">
      <c r="A12772" s="14" t="s">
        <v>25113</v>
      </c>
      <c r="B12772" s="15" t="s">
        <v>25114</v>
      </c>
      <c r="C12772" s="16">
        <f>197.08/(1+B2)</f>
        <v>197.08</v>
      </c>
      <c r="D12772" s="17" t="s">
        <v>14</v>
      </c>
      <c r="E12772" s="17"/>
      <c r="F12772" s="18"/>
      <c r="G12772" s="36" t="str">
        <f>IF(ISNUMBER(F12772),C12772*F12772,"")</f>
        <v/>
      </c>
    </row>
    <row r="12773" spans="1:7" ht="12" customHeight="1" outlineLevel="3" x14ac:dyDescent="0.2">
      <c r="A12773" s="14" t="s">
        <v>25115</v>
      </c>
      <c r="B12773" s="15" t="s">
        <v>25116</v>
      </c>
      <c r="C12773" s="16">
        <f>330.12/(1+B2)</f>
        <v>330.12</v>
      </c>
      <c r="D12773" s="17" t="s">
        <v>11</v>
      </c>
      <c r="E12773" s="17"/>
      <c r="F12773" s="18"/>
      <c r="G12773" s="36" t="str">
        <f>IF(ISNUMBER(F12773),C12773*F12773,"")</f>
        <v/>
      </c>
    </row>
    <row r="12774" spans="1:7" ht="12" customHeight="1" outlineLevel="3" x14ac:dyDescent="0.2">
      <c r="A12774" s="14" t="s">
        <v>25117</v>
      </c>
      <c r="B12774" s="15" t="s">
        <v>25118</v>
      </c>
      <c r="C12774" s="16">
        <f>505.94/(1+B2)</f>
        <v>505.94</v>
      </c>
      <c r="D12774" s="17" t="s">
        <v>11</v>
      </c>
      <c r="E12774" s="17"/>
      <c r="F12774" s="18"/>
      <c r="G12774" s="36" t="str">
        <f>IF(ISNUMBER(F12774),C12774*F12774,"")</f>
        <v/>
      </c>
    </row>
    <row r="12775" spans="1:7" ht="12" customHeight="1" outlineLevel="3" x14ac:dyDescent="0.2">
      <c r="A12775" s="14" t="s">
        <v>25119</v>
      </c>
      <c r="B12775" s="15" t="s">
        <v>25120</v>
      </c>
      <c r="C12775" s="16">
        <f>193.11/(1+B2)</f>
        <v>193.11</v>
      </c>
      <c r="D12775" s="17" t="s">
        <v>14</v>
      </c>
      <c r="E12775" s="17"/>
      <c r="F12775" s="18"/>
      <c r="G12775" s="36" t="str">
        <f>IF(ISNUMBER(F12775),C12775*F12775,"")</f>
        <v/>
      </c>
    </row>
    <row r="12776" spans="1:7" ht="12" customHeight="1" outlineLevel="3" x14ac:dyDescent="0.2">
      <c r="A12776" s="14" t="s">
        <v>25121</v>
      </c>
      <c r="B12776" s="15" t="s">
        <v>25122</v>
      </c>
      <c r="C12776" s="16">
        <f>241.19/(1+B2)</f>
        <v>241.19</v>
      </c>
      <c r="D12776" s="17" t="s">
        <v>14</v>
      </c>
      <c r="E12776" s="17"/>
      <c r="F12776" s="18"/>
      <c r="G12776" s="36" t="str">
        <f>IF(ISNUMBER(F12776),C12776*F12776,"")</f>
        <v/>
      </c>
    </row>
    <row r="12777" spans="1:7" ht="12" customHeight="1" outlineLevel="3" x14ac:dyDescent="0.2">
      <c r="A12777" s="14" t="s">
        <v>25123</v>
      </c>
      <c r="B12777" s="15" t="s">
        <v>25124</v>
      </c>
      <c r="C12777" s="16">
        <f>531.67/(1+B2)</f>
        <v>531.66999999999996</v>
      </c>
      <c r="D12777" s="17" t="s">
        <v>11</v>
      </c>
      <c r="E12777" s="17"/>
      <c r="F12777" s="18"/>
      <c r="G12777" s="36" t="str">
        <f>IF(ISNUMBER(F12777),C12777*F12777,"")</f>
        <v/>
      </c>
    </row>
    <row r="12778" spans="1:7" ht="12" customHeight="1" outlineLevel="3" x14ac:dyDescent="0.2">
      <c r="A12778" s="14" t="s">
        <v>25125</v>
      </c>
      <c r="B12778" s="15" t="s">
        <v>25126</v>
      </c>
      <c r="C12778" s="16">
        <f>816.19/(1+B2)</f>
        <v>816.19</v>
      </c>
      <c r="D12778" s="17" t="s">
        <v>11</v>
      </c>
      <c r="E12778" s="17"/>
      <c r="F12778" s="18"/>
      <c r="G12778" s="36" t="str">
        <f>IF(ISNUMBER(F12778),C12778*F12778,"")</f>
        <v/>
      </c>
    </row>
    <row r="12779" spans="1:7" ht="24" customHeight="1" outlineLevel="3" x14ac:dyDescent="0.2">
      <c r="A12779" s="14" t="s">
        <v>25127</v>
      </c>
      <c r="B12779" s="15" t="s">
        <v>25128</v>
      </c>
      <c r="C12779" s="16">
        <f>118.57/(1+B2)</f>
        <v>118.57</v>
      </c>
      <c r="D12779" s="17" t="s">
        <v>11</v>
      </c>
      <c r="E12779" s="17"/>
      <c r="F12779" s="18"/>
      <c r="G12779" s="36" t="str">
        <f>IF(ISNUMBER(F12779),C12779*F12779,"")</f>
        <v/>
      </c>
    </row>
    <row r="12780" spans="1:7" ht="24" customHeight="1" outlineLevel="3" x14ac:dyDescent="0.2">
      <c r="A12780" s="14" t="s">
        <v>25129</v>
      </c>
      <c r="B12780" s="15" t="s">
        <v>25130</v>
      </c>
      <c r="C12780" s="16">
        <f>183.57/(1+B2)</f>
        <v>183.57</v>
      </c>
      <c r="D12780" s="17" t="s">
        <v>11</v>
      </c>
      <c r="E12780" s="17"/>
      <c r="F12780" s="18"/>
      <c r="G12780" s="36" t="str">
        <f>IF(ISNUMBER(F12780),C12780*F12780,"")</f>
        <v/>
      </c>
    </row>
    <row r="12781" spans="1:7" ht="24" customHeight="1" outlineLevel="3" x14ac:dyDescent="0.2">
      <c r="A12781" s="14" t="s">
        <v>25131</v>
      </c>
      <c r="B12781" s="15" t="s">
        <v>25132</v>
      </c>
      <c r="C12781" s="16">
        <f>315.46/(1+B2)</f>
        <v>315.45999999999998</v>
      </c>
      <c r="D12781" s="17" t="s">
        <v>11</v>
      </c>
      <c r="E12781" s="17"/>
      <c r="F12781" s="18"/>
      <c r="G12781" s="36" t="str">
        <f>IF(ISNUMBER(F12781),C12781*F12781,"")</f>
        <v/>
      </c>
    </row>
    <row r="12782" spans="1:7" ht="24" customHeight="1" outlineLevel="3" x14ac:dyDescent="0.2">
      <c r="A12782" s="14" t="s">
        <v>25133</v>
      </c>
      <c r="B12782" s="15" t="s">
        <v>25134</v>
      </c>
      <c r="C12782" s="16">
        <f>485.3/(1+B2)</f>
        <v>485.3</v>
      </c>
      <c r="D12782" s="17" t="s">
        <v>11</v>
      </c>
      <c r="E12782" s="17"/>
      <c r="F12782" s="18"/>
      <c r="G12782" s="36" t="str">
        <f>IF(ISNUMBER(F12782),C12782*F12782,"")</f>
        <v/>
      </c>
    </row>
    <row r="12783" spans="1:7" ht="12" customHeight="1" outlineLevel="3" x14ac:dyDescent="0.2">
      <c r="A12783" s="14" t="s">
        <v>25135</v>
      </c>
      <c r="B12783" s="15" t="s">
        <v>25136</v>
      </c>
      <c r="C12783" s="16">
        <f>326.81/(1+B2)</f>
        <v>326.81</v>
      </c>
      <c r="D12783" s="17" t="s">
        <v>14</v>
      </c>
      <c r="E12783" s="17"/>
      <c r="F12783" s="18"/>
      <c r="G12783" s="36" t="str">
        <f>IF(ISNUMBER(F12783),C12783*F12783,"")</f>
        <v/>
      </c>
    </row>
    <row r="12784" spans="1:7" ht="12" customHeight="1" outlineLevel="3" x14ac:dyDescent="0.2">
      <c r="A12784" s="14" t="s">
        <v>25137</v>
      </c>
      <c r="B12784" s="15" t="s">
        <v>25138</v>
      </c>
      <c r="C12784" s="16">
        <f>383.1/(1+B2)</f>
        <v>383.1</v>
      </c>
      <c r="D12784" s="17" t="s">
        <v>11</v>
      </c>
      <c r="E12784" s="17"/>
      <c r="F12784" s="18"/>
      <c r="G12784" s="36" t="str">
        <f>IF(ISNUMBER(F12784),C12784*F12784,"")</f>
        <v/>
      </c>
    </row>
    <row r="12785" spans="1:7" ht="12" customHeight="1" outlineLevel="3" x14ac:dyDescent="0.2">
      <c r="A12785" s="14" t="s">
        <v>25139</v>
      </c>
      <c r="B12785" s="15" t="s">
        <v>25140</v>
      </c>
      <c r="C12785" s="16">
        <f>603.58/(1+B2)</f>
        <v>603.58000000000004</v>
      </c>
      <c r="D12785" s="17" t="s">
        <v>11</v>
      </c>
      <c r="E12785" s="17"/>
      <c r="F12785" s="18"/>
      <c r="G12785" s="36" t="str">
        <f>IF(ISNUMBER(F12785),C12785*F12785,"")</f>
        <v/>
      </c>
    </row>
    <row r="12786" spans="1:7" ht="12" customHeight="1" outlineLevel="3" x14ac:dyDescent="0.2">
      <c r="A12786" s="14" t="s">
        <v>25141</v>
      </c>
      <c r="B12786" s="15" t="s">
        <v>25142</v>
      </c>
      <c r="C12786" s="16">
        <f>220.01/(1+B2)</f>
        <v>220.01</v>
      </c>
      <c r="D12786" s="17" t="s">
        <v>11</v>
      </c>
      <c r="E12786" s="17"/>
      <c r="F12786" s="18"/>
      <c r="G12786" s="36" t="str">
        <f>IF(ISNUMBER(F12786),C12786*F12786,"")</f>
        <v/>
      </c>
    </row>
    <row r="12787" spans="1:7" ht="12" customHeight="1" outlineLevel="3" x14ac:dyDescent="0.2">
      <c r="A12787" s="14" t="s">
        <v>25143</v>
      </c>
      <c r="B12787" s="15" t="s">
        <v>25144</v>
      </c>
      <c r="C12787" s="16">
        <f>322.74/(1+B2)</f>
        <v>322.74</v>
      </c>
      <c r="D12787" s="17" t="s">
        <v>11</v>
      </c>
      <c r="E12787" s="17"/>
      <c r="F12787" s="18"/>
      <c r="G12787" s="36" t="str">
        <f>IF(ISNUMBER(F12787),C12787*F12787,"")</f>
        <v/>
      </c>
    </row>
    <row r="12788" spans="1:7" ht="12" customHeight="1" outlineLevel="3" x14ac:dyDescent="0.2">
      <c r="A12788" s="14" t="s">
        <v>25145</v>
      </c>
      <c r="B12788" s="15" t="s">
        <v>25146</v>
      </c>
      <c r="C12788" s="16">
        <f>384.65/(1+B2)</f>
        <v>384.65</v>
      </c>
      <c r="D12788" s="17" t="s">
        <v>11</v>
      </c>
      <c r="E12788" s="17"/>
      <c r="F12788" s="18"/>
      <c r="G12788" s="36" t="str">
        <f>IF(ISNUMBER(F12788),C12788*F12788,"")</f>
        <v/>
      </c>
    </row>
    <row r="12789" spans="1:7" ht="12" customHeight="1" outlineLevel="3" x14ac:dyDescent="0.2">
      <c r="A12789" s="14" t="s">
        <v>25147</v>
      </c>
      <c r="B12789" s="15" t="s">
        <v>25148</v>
      </c>
      <c r="C12789" s="16">
        <f>607.87/(1+B2)</f>
        <v>607.87</v>
      </c>
      <c r="D12789" s="17" t="s">
        <v>11</v>
      </c>
      <c r="E12789" s="17"/>
      <c r="F12789" s="18"/>
      <c r="G12789" s="36" t="str">
        <f>IF(ISNUMBER(F12789),C12789*F12789,"")</f>
        <v/>
      </c>
    </row>
    <row r="12790" spans="1:7" ht="12" customHeight="1" outlineLevel="3" x14ac:dyDescent="0.2">
      <c r="A12790" s="14" t="s">
        <v>25149</v>
      </c>
      <c r="B12790" s="15" t="s">
        <v>25150</v>
      </c>
      <c r="C12790" s="16">
        <f>272.62/(1+B2)</f>
        <v>272.62</v>
      </c>
      <c r="D12790" s="17" t="s">
        <v>11</v>
      </c>
      <c r="E12790" s="17" t="s">
        <v>106</v>
      </c>
      <c r="F12790" s="18"/>
      <c r="G12790" s="36" t="str">
        <f>IF(ISNUMBER(F12790),C12790*F12790,"")</f>
        <v/>
      </c>
    </row>
    <row r="12791" spans="1:7" ht="12" customHeight="1" outlineLevel="3" x14ac:dyDescent="0.2">
      <c r="A12791" s="14" t="s">
        <v>25151</v>
      </c>
      <c r="B12791" s="15" t="s">
        <v>25152</v>
      </c>
      <c r="C12791" s="16">
        <f>57.35/(1+B2)</f>
        <v>57.35</v>
      </c>
      <c r="D12791" s="17" t="s">
        <v>11</v>
      </c>
      <c r="E12791" s="17"/>
      <c r="F12791" s="18"/>
      <c r="G12791" s="36" t="str">
        <f>IF(ISNUMBER(F12791),C12791*F12791,"")</f>
        <v/>
      </c>
    </row>
    <row r="12792" spans="1:7" ht="12" customHeight="1" outlineLevel="3" x14ac:dyDescent="0.2">
      <c r="A12792" s="14" t="s">
        <v>25153</v>
      </c>
      <c r="B12792" s="15" t="s">
        <v>25154</v>
      </c>
      <c r="C12792" s="16">
        <f>76.26/(1+B2)</f>
        <v>76.260000000000005</v>
      </c>
      <c r="D12792" s="17" t="s">
        <v>11</v>
      </c>
      <c r="E12792" s="17"/>
      <c r="F12792" s="18"/>
      <c r="G12792" s="36" t="str">
        <f>IF(ISNUMBER(F12792),C12792*F12792,"")</f>
        <v/>
      </c>
    </row>
    <row r="12793" spans="1:7" ht="12" customHeight="1" outlineLevel="3" x14ac:dyDescent="0.2">
      <c r="A12793" s="14" t="s">
        <v>25155</v>
      </c>
      <c r="B12793" s="15" t="s">
        <v>25156</v>
      </c>
      <c r="C12793" s="16">
        <f>113.11/(1+B2)</f>
        <v>113.11</v>
      </c>
      <c r="D12793" s="17" t="s">
        <v>11</v>
      </c>
      <c r="E12793" s="17"/>
      <c r="F12793" s="18"/>
      <c r="G12793" s="36" t="str">
        <f>IF(ISNUMBER(F12793),C12793*F12793,"")</f>
        <v/>
      </c>
    </row>
    <row r="12794" spans="1:7" ht="12" customHeight="1" outlineLevel="3" x14ac:dyDescent="0.2">
      <c r="A12794" s="14" t="s">
        <v>25157</v>
      </c>
      <c r="B12794" s="15" t="s">
        <v>25158</v>
      </c>
      <c r="C12794" s="16">
        <f>286.34/(1+B2)</f>
        <v>286.33999999999997</v>
      </c>
      <c r="D12794" s="17" t="s">
        <v>11</v>
      </c>
      <c r="E12794" s="17"/>
      <c r="F12794" s="18"/>
      <c r="G12794" s="36" t="str">
        <f>IF(ISNUMBER(F12794),C12794*F12794,"")</f>
        <v/>
      </c>
    </row>
    <row r="12795" spans="1:7" ht="12" customHeight="1" outlineLevel="3" x14ac:dyDescent="0.2">
      <c r="A12795" s="14" t="s">
        <v>25159</v>
      </c>
      <c r="B12795" s="15" t="s">
        <v>25160</v>
      </c>
      <c r="C12795" s="16">
        <f>76.82/(1+B2)</f>
        <v>76.819999999999993</v>
      </c>
      <c r="D12795" s="17" t="s">
        <v>14</v>
      </c>
      <c r="E12795" s="17"/>
      <c r="F12795" s="18"/>
      <c r="G12795" s="36" t="str">
        <f>IF(ISNUMBER(F12795),C12795*F12795,"")</f>
        <v/>
      </c>
    </row>
    <row r="12796" spans="1:7" ht="12" customHeight="1" outlineLevel="3" x14ac:dyDescent="0.2">
      <c r="A12796" s="14" t="s">
        <v>25161</v>
      </c>
      <c r="B12796" s="15" t="s">
        <v>25162</v>
      </c>
      <c r="C12796" s="16">
        <f>115.42/(1+B2)</f>
        <v>115.42</v>
      </c>
      <c r="D12796" s="17" t="s">
        <v>11</v>
      </c>
      <c r="E12796" s="17"/>
      <c r="F12796" s="18"/>
      <c r="G12796" s="36" t="str">
        <f>IF(ISNUMBER(F12796),C12796*F12796,"")</f>
        <v/>
      </c>
    </row>
    <row r="12797" spans="1:7" ht="24" customHeight="1" outlineLevel="3" x14ac:dyDescent="0.2">
      <c r="A12797" s="14" t="s">
        <v>25163</v>
      </c>
      <c r="B12797" s="15" t="s">
        <v>25164</v>
      </c>
      <c r="C12797" s="16">
        <f>190.29/(1+B2)</f>
        <v>190.29</v>
      </c>
      <c r="D12797" s="17" t="s">
        <v>11</v>
      </c>
      <c r="E12797" s="17"/>
      <c r="F12797" s="18"/>
      <c r="G12797" s="36" t="str">
        <f>IF(ISNUMBER(F12797),C12797*F12797,"")</f>
        <v/>
      </c>
    </row>
    <row r="12798" spans="1:7" ht="24" customHeight="1" outlineLevel="3" x14ac:dyDescent="0.2">
      <c r="A12798" s="14" t="s">
        <v>25165</v>
      </c>
      <c r="B12798" s="15" t="s">
        <v>25166</v>
      </c>
      <c r="C12798" s="16">
        <f>251.49/(1+B2)</f>
        <v>251.49</v>
      </c>
      <c r="D12798" s="17" t="s">
        <v>11</v>
      </c>
      <c r="E12798" s="17"/>
      <c r="F12798" s="18"/>
      <c r="G12798" s="36" t="str">
        <f>IF(ISNUMBER(F12798),C12798*F12798,"")</f>
        <v/>
      </c>
    </row>
    <row r="12799" spans="1:7" ht="24" customHeight="1" outlineLevel="3" x14ac:dyDescent="0.2">
      <c r="A12799" s="14" t="s">
        <v>25167</v>
      </c>
      <c r="B12799" s="15" t="s">
        <v>25168</v>
      </c>
      <c r="C12799" s="16">
        <f>295.38/(1+B2)</f>
        <v>295.38</v>
      </c>
      <c r="D12799" s="17" t="s">
        <v>11</v>
      </c>
      <c r="E12799" s="17"/>
      <c r="F12799" s="18"/>
      <c r="G12799" s="36" t="str">
        <f>IF(ISNUMBER(F12799),C12799*F12799,"")</f>
        <v/>
      </c>
    </row>
    <row r="12800" spans="1:7" ht="24" customHeight="1" outlineLevel="3" x14ac:dyDescent="0.2">
      <c r="A12800" s="14" t="s">
        <v>25169</v>
      </c>
      <c r="B12800" s="15" t="s">
        <v>25170</v>
      </c>
      <c r="C12800" s="16">
        <f>421.09/(1+B2)</f>
        <v>421.09</v>
      </c>
      <c r="D12800" s="17" t="s">
        <v>11</v>
      </c>
      <c r="E12800" s="17"/>
      <c r="F12800" s="18"/>
      <c r="G12800" s="36" t="str">
        <f>IF(ISNUMBER(F12800),C12800*F12800,"")</f>
        <v/>
      </c>
    </row>
    <row r="12801" spans="1:7" ht="12" customHeight="1" outlineLevel="3" x14ac:dyDescent="0.2">
      <c r="A12801" s="14" t="s">
        <v>25171</v>
      </c>
      <c r="B12801" s="15" t="s">
        <v>25172</v>
      </c>
      <c r="C12801" s="16">
        <f>177.95/(1+B2)</f>
        <v>177.95</v>
      </c>
      <c r="D12801" s="17" t="s">
        <v>11</v>
      </c>
      <c r="E12801" s="17"/>
      <c r="F12801" s="18"/>
      <c r="G12801" s="36" t="str">
        <f>IF(ISNUMBER(F12801),C12801*F12801,"")</f>
        <v/>
      </c>
    </row>
    <row r="12802" spans="1:7" ht="12" customHeight="1" outlineLevel="3" x14ac:dyDescent="0.2">
      <c r="A12802" s="14" t="s">
        <v>25173</v>
      </c>
      <c r="B12802" s="15" t="s">
        <v>25174</v>
      </c>
      <c r="C12802" s="16">
        <f>482.32/(1+B2)</f>
        <v>482.32</v>
      </c>
      <c r="D12802" s="17" t="s">
        <v>11</v>
      </c>
      <c r="E12802" s="17"/>
      <c r="F12802" s="18"/>
      <c r="G12802" s="36" t="str">
        <f>IF(ISNUMBER(F12802),C12802*F12802,"")</f>
        <v/>
      </c>
    </row>
    <row r="12803" spans="1:7" ht="12" customHeight="1" outlineLevel="3" x14ac:dyDescent="0.2">
      <c r="A12803" s="14" t="s">
        <v>25175</v>
      </c>
      <c r="B12803" s="15" t="s">
        <v>25176</v>
      </c>
      <c r="C12803" s="16">
        <f>52.84/(1+B2)</f>
        <v>52.84</v>
      </c>
      <c r="D12803" s="17" t="s">
        <v>14</v>
      </c>
      <c r="E12803" s="17" t="s">
        <v>11</v>
      </c>
      <c r="F12803" s="18"/>
      <c r="G12803" s="36" t="str">
        <f>IF(ISNUMBER(F12803),C12803*F12803,"")</f>
        <v/>
      </c>
    </row>
    <row r="12804" spans="1:7" ht="12" customHeight="1" outlineLevel="3" x14ac:dyDescent="0.2">
      <c r="A12804" s="14" t="s">
        <v>25177</v>
      </c>
      <c r="B12804" s="15" t="s">
        <v>25178</v>
      </c>
      <c r="C12804" s="16">
        <f>72.74/(1+B2)</f>
        <v>72.739999999999995</v>
      </c>
      <c r="D12804" s="17" t="s">
        <v>11</v>
      </c>
      <c r="E12804" s="17" t="s">
        <v>53</v>
      </c>
      <c r="F12804" s="18"/>
      <c r="G12804" s="36" t="str">
        <f>IF(ISNUMBER(F12804),C12804*F12804,"")</f>
        <v/>
      </c>
    </row>
    <row r="12805" spans="1:7" ht="12" customHeight="1" outlineLevel="3" x14ac:dyDescent="0.2">
      <c r="A12805" s="14" t="s">
        <v>25179</v>
      </c>
      <c r="B12805" s="15" t="s">
        <v>25180</v>
      </c>
      <c r="C12805" s="16">
        <f>97.86/(1+B2)</f>
        <v>97.86</v>
      </c>
      <c r="D12805" s="17" t="s">
        <v>11</v>
      </c>
      <c r="E12805" s="17" t="s">
        <v>14</v>
      </c>
      <c r="F12805" s="18"/>
      <c r="G12805" s="36" t="str">
        <f>IF(ISNUMBER(F12805),C12805*F12805,"")</f>
        <v/>
      </c>
    </row>
    <row r="12806" spans="1:7" ht="12" customHeight="1" outlineLevel="3" x14ac:dyDescent="0.2">
      <c r="A12806" s="14" t="s">
        <v>25181</v>
      </c>
      <c r="B12806" s="15" t="s">
        <v>25182</v>
      </c>
      <c r="C12806" s="16">
        <f>155.75/(1+B2)</f>
        <v>155.75</v>
      </c>
      <c r="D12806" s="17" t="s">
        <v>11</v>
      </c>
      <c r="E12806" s="17" t="s">
        <v>11</v>
      </c>
      <c r="F12806" s="18"/>
      <c r="G12806" s="36" t="str">
        <f>IF(ISNUMBER(F12806),C12806*F12806,"")</f>
        <v/>
      </c>
    </row>
    <row r="12807" spans="1:7" ht="12" customHeight="1" outlineLevel="3" x14ac:dyDescent="0.2">
      <c r="A12807" s="14" t="s">
        <v>25183</v>
      </c>
      <c r="B12807" s="15" t="s">
        <v>25184</v>
      </c>
      <c r="C12807" s="16">
        <f>58.34/(1+B2)</f>
        <v>58.34</v>
      </c>
      <c r="D12807" s="17" t="s">
        <v>11</v>
      </c>
      <c r="E12807" s="17" t="s">
        <v>11</v>
      </c>
      <c r="F12807" s="18"/>
      <c r="G12807" s="36" t="str">
        <f>IF(ISNUMBER(F12807),C12807*F12807,"")</f>
        <v/>
      </c>
    </row>
    <row r="12808" spans="1:7" ht="12" customHeight="1" outlineLevel="3" x14ac:dyDescent="0.2">
      <c r="A12808" s="14" t="s">
        <v>25185</v>
      </c>
      <c r="B12808" s="15" t="s">
        <v>25186</v>
      </c>
      <c r="C12808" s="16">
        <f>63.49/(1+B2)</f>
        <v>63.49</v>
      </c>
      <c r="D12808" s="17" t="s">
        <v>11</v>
      </c>
      <c r="E12808" s="17" t="s">
        <v>14</v>
      </c>
      <c r="F12808" s="18"/>
      <c r="G12808" s="36" t="str">
        <f>IF(ISNUMBER(F12808),C12808*F12808,"")</f>
        <v/>
      </c>
    </row>
    <row r="12809" spans="1:7" ht="12" customHeight="1" outlineLevel="3" x14ac:dyDescent="0.2">
      <c r="A12809" s="14" t="s">
        <v>25187</v>
      </c>
      <c r="B12809" s="15" t="s">
        <v>25188</v>
      </c>
      <c r="C12809" s="16">
        <f>168.12/(1+B2)</f>
        <v>168.12</v>
      </c>
      <c r="D12809" s="17" t="s">
        <v>11</v>
      </c>
      <c r="E12809" s="17"/>
      <c r="F12809" s="18"/>
      <c r="G12809" s="36" t="str">
        <f>IF(ISNUMBER(F12809),C12809*F12809,"")</f>
        <v/>
      </c>
    </row>
    <row r="12810" spans="1:7" ht="24" customHeight="1" outlineLevel="3" x14ac:dyDescent="0.2">
      <c r="A12810" s="14" t="s">
        <v>25189</v>
      </c>
      <c r="B12810" s="15" t="s">
        <v>25190</v>
      </c>
      <c r="C12810" s="16">
        <f>121.07/(1+B2)</f>
        <v>121.07</v>
      </c>
      <c r="D12810" s="17" t="s">
        <v>11</v>
      </c>
      <c r="E12810" s="17"/>
      <c r="F12810" s="18"/>
      <c r="G12810" s="36" t="str">
        <f>IF(ISNUMBER(F12810),C12810*F12810,"")</f>
        <v/>
      </c>
    </row>
    <row r="12811" spans="1:7" ht="24" customHeight="1" outlineLevel="3" x14ac:dyDescent="0.2">
      <c r="A12811" s="14" t="s">
        <v>25191</v>
      </c>
      <c r="B12811" s="15" t="s">
        <v>25192</v>
      </c>
      <c r="C12811" s="16">
        <f>177.63/(1+B2)</f>
        <v>177.63</v>
      </c>
      <c r="D12811" s="17" t="s">
        <v>11</v>
      </c>
      <c r="E12811" s="17"/>
      <c r="F12811" s="18"/>
      <c r="G12811" s="36" t="str">
        <f>IF(ISNUMBER(F12811),C12811*F12811,"")</f>
        <v/>
      </c>
    </row>
    <row r="12812" spans="1:7" ht="24" customHeight="1" outlineLevel="3" x14ac:dyDescent="0.2">
      <c r="A12812" s="14" t="s">
        <v>25193</v>
      </c>
      <c r="B12812" s="15" t="s">
        <v>25194</v>
      </c>
      <c r="C12812" s="16">
        <f>220.69/(1+B2)</f>
        <v>220.69</v>
      </c>
      <c r="D12812" s="17" t="s">
        <v>11</v>
      </c>
      <c r="E12812" s="17"/>
      <c r="F12812" s="18"/>
      <c r="G12812" s="36" t="str">
        <f>IF(ISNUMBER(F12812),C12812*F12812,"")</f>
        <v/>
      </c>
    </row>
    <row r="12813" spans="1:7" ht="24" customHeight="1" outlineLevel="3" x14ac:dyDescent="0.2">
      <c r="A12813" s="14" t="s">
        <v>25195</v>
      </c>
      <c r="B12813" s="15" t="s">
        <v>25196</v>
      </c>
      <c r="C12813" s="16">
        <f>454.49/(1+B2)</f>
        <v>454.49</v>
      </c>
      <c r="D12813" s="17" t="s">
        <v>11</v>
      </c>
      <c r="E12813" s="17"/>
      <c r="F12813" s="18"/>
      <c r="G12813" s="36" t="str">
        <f>IF(ISNUMBER(F12813),C12813*F12813,"")</f>
        <v/>
      </c>
    </row>
    <row r="12814" spans="1:7" ht="24" customHeight="1" outlineLevel="3" x14ac:dyDescent="0.2">
      <c r="A12814" s="14" t="s">
        <v>25197</v>
      </c>
      <c r="B12814" s="15" t="s">
        <v>25198</v>
      </c>
      <c r="C12814" s="16">
        <f>180.36/(1+B2)</f>
        <v>180.36</v>
      </c>
      <c r="D12814" s="17" t="s">
        <v>11</v>
      </c>
      <c r="E12814" s="17"/>
      <c r="F12814" s="18"/>
      <c r="G12814" s="36" t="str">
        <f>IF(ISNUMBER(F12814),C12814*F12814,"")</f>
        <v/>
      </c>
    </row>
    <row r="12815" spans="1:7" ht="24" customHeight="1" outlineLevel="3" x14ac:dyDescent="0.2">
      <c r="A12815" s="14" t="s">
        <v>25199</v>
      </c>
      <c r="B12815" s="15" t="s">
        <v>25200</v>
      </c>
      <c r="C12815" s="16">
        <f>262.67/(1+B2)</f>
        <v>262.67</v>
      </c>
      <c r="D12815" s="17" t="s">
        <v>14</v>
      </c>
      <c r="E12815" s="17"/>
      <c r="F12815" s="18"/>
      <c r="G12815" s="36" t="str">
        <f>IF(ISNUMBER(F12815),C12815*F12815,"")</f>
        <v/>
      </c>
    </row>
    <row r="12816" spans="1:7" ht="24" customHeight="1" outlineLevel="3" x14ac:dyDescent="0.2">
      <c r="A12816" s="14" t="s">
        <v>25201</v>
      </c>
      <c r="B12816" s="15" t="s">
        <v>25202</v>
      </c>
      <c r="C12816" s="16">
        <f>318.21/(1+B2)</f>
        <v>318.20999999999998</v>
      </c>
      <c r="D12816" s="17" t="s">
        <v>11</v>
      </c>
      <c r="E12816" s="17"/>
      <c r="F12816" s="18"/>
      <c r="G12816" s="36" t="str">
        <f>IF(ISNUMBER(F12816),C12816*F12816,"")</f>
        <v/>
      </c>
    </row>
    <row r="12817" spans="1:7" ht="24" customHeight="1" outlineLevel="3" x14ac:dyDescent="0.2">
      <c r="A12817" s="14" t="s">
        <v>25203</v>
      </c>
      <c r="B12817" s="15" t="s">
        <v>25204</v>
      </c>
      <c r="C12817" s="16">
        <f>468.91/(1+B2)</f>
        <v>468.91</v>
      </c>
      <c r="D12817" s="17" t="s">
        <v>11</v>
      </c>
      <c r="E12817" s="17"/>
      <c r="F12817" s="18"/>
      <c r="G12817" s="36" t="str">
        <f>IF(ISNUMBER(F12817),C12817*F12817,"")</f>
        <v/>
      </c>
    </row>
    <row r="12818" spans="1:7" ht="12" customHeight="1" outlineLevel="3" x14ac:dyDescent="0.2">
      <c r="A12818" s="14" t="s">
        <v>25205</v>
      </c>
      <c r="B12818" s="15" t="s">
        <v>25206</v>
      </c>
      <c r="C12818" s="16">
        <f>185.06/(1+B2)</f>
        <v>185.06</v>
      </c>
      <c r="D12818" s="17" t="s">
        <v>11</v>
      </c>
      <c r="E12818" s="17"/>
      <c r="F12818" s="18"/>
      <c r="G12818" s="36" t="str">
        <f>IF(ISNUMBER(F12818),C12818*F12818,"")</f>
        <v/>
      </c>
    </row>
    <row r="12819" spans="1:7" ht="12" customHeight="1" outlineLevel="3" x14ac:dyDescent="0.2">
      <c r="A12819" s="14" t="s">
        <v>25207</v>
      </c>
      <c r="B12819" s="15" t="s">
        <v>25208</v>
      </c>
      <c r="C12819" s="16">
        <f>248.57/(1+B2)</f>
        <v>248.57</v>
      </c>
      <c r="D12819" s="17" t="s">
        <v>14</v>
      </c>
      <c r="E12819" s="17"/>
      <c r="F12819" s="18"/>
      <c r="G12819" s="36" t="str">
        <f>IF(ISNUMBER(F12819),C12819*F12819,"")</f>
        <v/>
      </c>
    </row>
    <row r="12820" spans="1:7" ht="12" customHeight="1" outlineLevel="3" x14ac:dyDescent="0.2">
      <c r="A12820" s="14" t="s">
        <v>25209</v>
      </c>
      <c r="B12820" s="15" t="s">
        <v>25210</v>
      </c>
      <c r="C12820" s="16">
        <f>506.18/(1+B2)</f>
        <v>506.18</v>
      </c>
      <c r="D12820" s="17" t="s">
        <v>11</v>
      </c>
      <c r="E12820" s="17"/>
      <c r="F12820" s="18"/>
      <c r="G12820" s="36" t="str">
        <f>IF(ISNUMBER(F12820),C12820*F12820,"")</f>
        <v/>
      </c>
    </row>
    <row r="12821" spans="1:7" ht="12" customHeight="1" outlineLevel="3" x14ac:dyDescent="0.2">
      <c r="A12821" s="14" t="s">
        <v>25211</v>
      </c>
      <c r="B12821" s="15" t="s">
        <v>25212</v>
      </c>
      <c r="C12821" s="16">
        <f>35.63/(1+B2)</f>
        <v>35.630000000000003</v>
      </c>
      <c r="D12821" s="17" t="s">
        <v>11</v>
      </c>
      <c r="E12821" s="17" t="s">
        <v>11</v>
      </c>
      <c r="F12821" s="18"/>
      <c r="G12821" s="36" t="str">
        <f>IF(ISNUMBER(F12821),C12821*F12821,"")</f>
        <v/>
      </c>
    </row>
    <row r="12822" spans="1:7" ht="12" customHeight="1" outlineLevel="3" x14ac:dyDescent="0.2">
      <c r="A12822" s="14" t="s">
        <v>25213</v>
      </c>
      <c r="B12822" s="15" t="s">
        <v>25214</v>
      </c>
      <c r="C12822" s="16">
        <f>58.01/(1+B2)</f>
        <v>58.01</v>
      </c>
      <c r="D12822" s="17" t="s">
        <v>11</v>
      </c>
      <c r="E12822" s="17" t="s">
        <v>11</v>
      </c>
      <c r="F12822" s="18"/>
      <c r="G12822" s="36" t="str">
        <f>IF(ISNUMBER(F12822),C12822*F12822,"")</f>
        <v/>
      </c>
    </row>
    <row r="12823" spans="1:7" s="1" customFormat="1" ht="12.95" customHeight="1" outlineLevel="2" x14ac:dyDescent="0.2">
      <c r="A12823" s="20"/>
      <c r="B12823" s="21" t="s">
        <v>25215</v>
      </c>
      <c r="C12823" s="22"/>
      <c r="D12823" s="22"/>
      <c r="E12823" s="22"/>
      <c r="F12823" s="22"/>
      <c r="G12823" s="37"/>
    </row>
    <row r="12824" spans="1:7" ht="12" customHeight="1" outlineLevel="3" x14ac:dyDescent="0.2">
      <c r="A12824" s="14" t="s">
        <v>25216</v>
      </c>
      <c r="B12824" s="15" t="s">
        <v>25217</v>
      </c>
      <c r="C12824" s="16">
        <f>637.65/(1+B2)</f>
        <v>637.65</v>
      </c>
      <c r="D12824" s="17" t="s">
        <v>11</v>
      </c>
      <c r="E12824" s="17" t="s">
        <v>14</v>
      </c>
      <c r="F12824" s="18"/>
      <c r="G12824" s="36" t="str">
        <f>IF(ISNUMBER(F12824),C12824*F12824,"")</f>
        <v/>
      </c>
    </row>
    <row r="12825" spans="1:7" ht="24" customHeight="1" outlineLevel="3" x14ac:dyDescent="0.2">
      <c r="A12825" s="14" t="s">
        <v>25218</v>
      </c>
      <c r="B12825" s="15" t="s">
        <v>25219</v>
      </c>
      <c r="C12825" s="16">
        <f>355.88/(1+B2)</f>
        <v>355.88</v>
      </c>
      <c r="D12825" s="17" t="s">
        <v>11</v>
      </c>
      <c r="E12825" s="17"/>
      <c r="F12825" s="18"/>
      <c r="G12825" s="36" t="str">
        <f>IF(ISNUMBER(F12825),C12825*F12825,"")</f>
        <v/>
      </c>
    </row>
    <row r="12826" spans="1:7" ht="24" customHeight="1" outlineLevel="3" x14ac:dyDescent="0.2">
      <c r="A12826" s="14" t="s">
        <v>25220</v>
      </c>
      <c r="B12826" s="15" t="s">
        <v>25221</v>
      </c>
      <c r="C12826" s="16">
        <f>307.92/(1+B2)</f>
        <v>307.92</v>
      </c>
      <c r="D12826" s="17" t="s">
        <v>11</v>
      </c>
      <c r="E12826" s="17"/>
      <c r="F12826" s="18"/>
      <c r="G12826" s="36" t="str">
        <f>IF(ISNUMBER(F12826),C12826*F12826,"")</f>
        <v/>
      </c>
    </row>
    <row r="12827" spans="1:7" ht="12" customHeight="1" outlineLevel="3" x14ac:dyDescent="0.2">
      <c r="A12827" s="14" t="s">
        <v>25222</v>
      </c>
      <c r="B12827" s="15" t="s">
        <v>25223</v>
      </c>
      <c r="C12827" s="16">
        <f>362.04/(1+B2)</f>
        <v>362.04</v>
      </c>
      <c r="D12827" s="17" t="s">
        <v>11</v>
      </c>
      <c r="E12827" s="17"/>
      <c r="F12827" s="18"/>
      <c r="G12827" s="36" t="str">
        <f>IF(ISNUMBER(F12827),C12827*F12827,"")</f>
        <v/>
      </c>
    </row>
    <row r="12828" spans="1:7" ht="24" customHeight="1" outlineLevel="3" x14ac:dyDescent="0.2">
      <c r="A12828" s="14" t="s">
        <v>25224</v>
      </c>
      <c r="B12828" s="15" t="s">
        <v>25225</v>
      </c>
      <c r="C12828" s="16">
        <f>295.89/(1+B2)</f>
        <v>295.89</v>
      </c>
      <c r="D12828" s="17" t="s">
        <v>11</v>
      </c>
      <c r="E12828" s="17"/>
      <c r="F12828" s="18"/>
      <c r="G12828" s="36" t="str">
        <f>IF(ISNUMBER(F12828),C12828*F12828,"")</f>
        <v/>
      </c>
    </row>
    <row r="12829" spans="1:7" ht="12" customHeight="1" outlineLevel="3" x14ac:dyDescent="0.2">
      <c r="A12829" s="14" t="s">
        <v>25226</v>
      </c>
      <c r="B12829" s="15" t="s">
        <v>25227</v>
      </c>
      <c r="C12829" s="16">
        <f>479.87/(1+B2)</f>
        <v>479.87</v>
      </c>
      <c r="D12829" s="17" t="s">
        <v>11</v>
      </c>
      <c r="E12829" s="17"/>
      <c r="F12829" s="18"/>
      <c r="G12829" s="36" t="str">
        <f>IF(ISNUMBER(F12829),C12829*F12829,"")</f>
        <v/>
      </c>
    </row>
    <row r="12830" spans="1:7" ht="24" customHeight="1" outlineLevel="3" x14ac:dyDescent="0.2">
      <c r="A12830" s="14" t="s">
        <v>25228</v>
      </c>
      <c r="B12830" s="15" t="s">
        <v>25229</v>
      </c>
      <c r="C12830" s="19">
        <f>1040.81/(1+B2)</f>
        <v>1040.81</v>
      </c>
      <c r="D12830" s="17" t="s">
        <v>11</v>
      </c>
      <c r="E12830" s="17"/>
      <c r="F12830" s="18"/>
      <c r="G12830" s="36" t="str">
        <f>IF(ISNUMBER(F12830),C12830*F12830,"")</f>
        <v/>
      </c>
    </row>
    <row r="12831" spans="1:7" ht="24" customHeight="1" outlineLevel="3" x14ac:dyDescent="0.2">
      <c r="A12831" s="14" t="s">
        <v>25230</v>
      </c>
      <c r="B12831" s="15" t="s">
        <v>25231</v>
      </c>
      <c r="C12831" s="16">
        <f>208.8/(1+B2)</f>
        <v>208.8</v>
      </c>
      <c r="D12831" s="17" t="s">
        <v>11</v>
      </c>
      <c r="E12831" s="17"/>
      <c r="F12831" s="18"/>
      <c r="G12831" s="36" t="str">
        <f>IF(ISNUMBER(F12831),C12831*F12831,"")</f>
        <v/>
      </c>
    </row>
    <row r="12832" spans="1:7" ht="24" customHeight="1" outlineLevel="3" x14ac:dyDescent="0.2">
      <c r="A12832" s="14" t="s">
        <v>25232</v>
      </c>
      <c r="B12832" s="15" t="s">
        <v>25233</v>
      </c>
      <c r="C12832" s="16">
        <f>382.34/(1+B2)</f>
        <v>382.34</v>
      </c>
      <c r="D12832" s="17" t="s">
        <v>11</v>
      </c>
      <c r="E12832" s="17"/>
      <c r="F12832" s="18"/>
      <c r="G12832" s="36" t="str">
        <f>IF(ISNUMBER(F12832),C12832*F12832,"")</f>
        <v/>
      </c>
    </row>
    <row r="12833" spans="1:7" ht="24" customHeight="1" outlineLevel="3" x14ac:dyDescent="0.2">
      <c r="A12833" s="14" t="s">
        <v>25234</v>
      </c>
      <c r="B12833" s="15" t="s">
        <v>25235</v>
      </c>
      <c r="C12833" s="16">
        <f>458.96/(1+B2)</f>
        <v>458.96</v>
      </c>
      <c r="D12833" s="17" t="s">
        <v>11</v>
      </c>
      <c r="E12833" s="17"/>
      <c r="F12833" s="18"/>
      <c r="G12833" s="36" t="str">
        <f>IF(ISNUMBER(F12833),C12833*F12833,"")</f>
        <v/>
      </c>
    </row>
    <row r="12834" spans="1:7" s="1" customFormat="1" ht="12.95" customHeight="1" outlineLevel="2" x14ac:dyDescent="0.2">
      <c r="A12834" s="20"/>
      <c r="B12834" s="21" t="s">
        <v>25236</v>
      </c>
      <c r="C12834" s="22"/>
      <c r="D12834" s="22"/>
      <c r="E12834" s="22"/>
      <c r="F12834" s="22"/>
      <c r="G12834" s="37"/>
    </row>
    <row r="12835" spans="1:7" ht="12" customHeight="1" outlineLevel="3" x14ac:dyDescent="0.2">
      <c r="A12835" s="14" t="s">
        <v>25237</v>
      </c>
      <c r="B12835" s="15" t="s">
        <v>25238</v>
      </c>
      <c r="C12835" s="16">
        <f>753.24/(1+B2)</f>
        <v>753.24</v>
      </c>
      <c r="D12835" s="17" t="s">
        <v>11</v>
      </c>
      <c r="E12835" s="17"/>
      <c r="F12835" s="18"/>
      <c r="G12835" s="36" t="str">
        <f>IF(ISNUMBER(F12835),C12835*F12835,"")</f>
        <v/>
      </c>
    </row>
    <row r="12836" spans="1:7" ht="12" customHeight="1" outlineLevel="3" x14ac:dyDescent="0.2">
      <c r="A12836" s="14" t="s">
        <v>25239</v>
      </c>
      <c r="B12836" s="15" t="s">
        <v>25240</v>
      </c>
      <c r="C12836" s="19">
        <f>1448.07/(1+B2)</f>
        <v>1448.07</v>
      </c>
      <c r="D12836" s="17" t="s">
        <v>11</v>
      </c>
      <c r="E12836" s="17"/>
      <c r="F12836" s="18"/>
      <c r="G12836" s="36" t="str">
        <f>IF(ISNUMBER(F12836),C12836*F12836,"")</f>
        <v/>
      </c>
    </row>
    <row r="12837" spans="1:7" ht="12" customHeight="1" outlineLevel="3" x14ac:dyDescent="0.2">
      <c r="A12837" s="14" t="s">
        <v>25241</v>
      </c>
      <c r="B12837" s="15" t="s">
        <v>25242</v>
      </c>
      <c r="C12837" s="16">
        <f>678.8/(1+B2)</f>
        <v>678.8</v>
      </c>
      <c r="D12837" s="17" t="s">
        <v>11</v>
      </c>
      <c r="E12837" s="17"/>
      <c r="F12837" s="18"/>
      <c r="G12837" s="36" t="str">
        <f>IF(ISNUMBER(F12837),C12837*F12837,"")</f>
        <v/>
      </c>
    </row>
    <row r="12838" spans="1:7" ht="12" customHeight="1" outlineLevel="3" x14ac:dyDescent="0.2">
      <c r="A12838" s="14" t="s">
        <v>25243</v>
      </c>
      <c r="B12838" s="15" t="s">
        <v>25244</v>
      </c>
      <c r="C12838" s="16">
        <f>642.49/(1+B2)</f>
        <v>642.49</v>
      </c>
      <c r="D12838" s="17" t="s">
        <v>11</v>
      </c>
      <c r="E12838" s="17"/>
      <c r="F12838" s="18"/>
      <c r="G12838" s="36" t="str">
        <f>IF(ISNUMBER(F12838),C12838*F12838,"")</f>
        <v/>
      </c>
    </row>
    <row r="12839" spans="1:7" ht="12" customHeight="1" outlineLevel="3" x14ac:dyDescent="0.2">
      <c r="A12839" s="14" t="s">
        <v>25245</v>
      </c>
      <c r="B12839" s="15" t="s">
        <v>25246</v>
      </c>
      <c r="C12839" s="16">
        <f>732.01/(1+B2)</f>
        <v>732.01</v>
      </c>
      <c r="D12839" s="17" t="s">
        <v>11</v>
      </c>
      <c r="E12839" s="17"/>
      <c r="F12839" s="18"/>
      <c r="G12839" s="36" t="str">
        <f>IF(ISNUMBER(F12839),C12839*F12839,"")</f>
        <v/>
      </c>
    </row>
    <row r="12840" spans="1:7" ht="12" customHeight="1" outlineLevel="3" x14ac:dyDescent="0.2">
      <c r="A12840" s="14" t="s">
        <v>25247</v>
      </c>
      <c r="B12840" s="15" t="s">
        <v>25248</v>
      </c>
      <c r="C12840" s="16">
        <f>123.43/(1+B2)</f>
        <v>123.43</v>
      </c>
      <c r="D12840" s="17" t="s">
        <v>11</v>
      </c>
      <c r="E12840" s="17"/>
      <c r="F12840" s="18"/>
      <c r="G12840" s="36" t="str">
        <f>IF(ISNUMBER(F12840),C12840*F12840,"")</f>
        <v/>
      </c>
    </row>
    <row r="12841" spans="1:7" ht="12" customHeight="1" outlineLevel="3" x14ac:dyDescent="0.2">
      <c r="A12841" s="14" t="s">
        <v>25249</v>
      </c>
      <c r="B12841" s="15" t="s">
        <v>25250</v>
      </c>
      <c r="C12841" s="16">
        <f>229.54/(1+B2)</f>
        <v>229.54</v>
      </c>
      <c r="D12841" s="17" t="s">
        <v>14</v>
      </c>
      <c r="E12841" s="17"/>
      <c r="F12841" s="18"/>
      <c r="G12841" s="36" t="str">
        <f>IF(ISNUMBER(F12841),C12841*F12841,"")</f>
        <v/>
      </c>
    </row>
    <row r="12842" spans="1:7" ht="12" customHeight="1" outlineLevel="3" x14ac:dyDescent="0.2">
      <c r="A12842" s="14" t="s">
        <v>25251</v>
      </c>
      <c r="B12842" s="15" t="s">
        <v>25252</v>
      </c>
      <c r="C12842" s="16">
        <f>317.92/(1+B2)</f>
        <v>317.92</v>
      </c>
      <c r="D12842" s="17" t="s">
        <v>11</v>
      </c>
      <c r="E12842" s="17"/>
      <c r="F12842" s="18"/>
      <c r="G12842" s="36" t="str">
        <f>IF(ISNUMBER(F12842),C12842*F12842,"")</f>
        <v/>
      </c>
    </row>
    <row r="12843" spans="1:7" ht="12" customHeight="1" outlineLevel="3" x14ac:dyDescent="0.2">
      <c r="A12843" s="14" t="s">
        <v>25253</v>
      </c>
      <c r="B12843" s="15" t="s">
        <v>25254</v>
      </c>
      <c r="C12843" s="16">
        <f>30.98/(1+B2)</f>
        <v>30.98</v>
      </c>
      <c r="D12843" s="17" t="s">
        <v>11</v>
      </c>
      <c r="E12843" s="17"/>
      <c r="F12843" s="18"/>
      <c r="G12843" s="36" t="str">
        <f>IF(ISNUMBER(F12843),C12843*F12843,"")</f>
        <v/>
      </c>
    </row>
    <row r="12844" spans="1:7" ht="12" customHeight="1" outlineLevel="3" x14ac:dyDescent="0.2">
      <c r="A12844" s="14" t="s">
        <v>25255</v>
      </c>
      <c r="B12844" s="15" t="s">
        <v>25256</v>
      </c>
      <c r="C12844" s="16">
        <f>73.79/(1+B2)</f>
        <v>73.790000000000006</v>
      </c>
      <c r="D12844" s="17" t="s">
        <v>11</v>
      </c>
      <c r="E12844" s="17"/>
      <c r="F12844" s="18"/>
      <c r="G12844" s="36" t="str">
        <f>IF(ISNUMBER(F12844),C12844*F12844,"")</f>
        <v/>
      </c>
    </row>
    <row r="12845" spans="1:7" ht="12" customHeight="1" outlineLevel="3" x14ac:dyDescent="0.2">
      <c r="A12845" s="14" t="s">
        <v>25257</v>
      </c>
      <c r="B12845" s="15" t="s">
        <v>25258</v>
      </c>
      <c r="C12845" s="16">
        <f>165/(1+B2)</f>
        <v>165</v>
      </c>
      <c r="D12845" s="17" t="s">
        <v>11</v>
      </c>
      <c r="E12845" s="17"/>
      <c r="F12845" s="18"/>
      <c r="G12845" s="36" t="str">
        <f>IF(ISNUMBER(F12845),C12845*F12845,"")</f>
        <v/>
      </c>
    </row>
    <row r="12846" spans="1:7" ht="12" customHeight="1" outlineLevel="3" x14ac:dyDescent="0.2">
      <c r="A12846" s="14" t="s">
        <v>25259</v>
      </c>
      <c r="B12846" s="15" t="s">
        <v>25260</v>
      </c>
      <c r="C12846" s="16">
        <f>134.4/(1+B2)</f>
        <v>134.4</v>
      </c>
      <c r="D12846" s="17" t="s">
        <v>11</v>
      </c>
      <c r="E12846" s="17"/>
      <c r="F12846" s="18"/>
      <c r="G12846" s="36" t="str">
        <f>IF(ISNUMBER(F12846),C12846*F12846,"")</f>
        <v/>
      </c>
    </row>
    <row r="12847" spans="1:7" ht="12" customHeight="1" outlineLevel="3" x14ac:dyDescent="0.2">
      <c r="A12847" s="14" t="s">
        <v>25261</v>
      </c>
      <c r="B12847" s="15" t="s">
        <v>25262</v>
      </c>
      <c r="C12847" s="19">
        <f>1435.08/(1+B2)</f>
        <v>1435.08</v>
      </c>
      <c r="D12847" s="17" t="s">
        <v>11</v>
      </c>
      <c r="E12847" s="17"/>
      <c r="F12847" s="18"/>
      <c r="G12847" s="36" t="str">
        <f>IF(ISNUMBER(F12847),C12847*F12847,"")</f>
        <v/>
      </c>
    </row>
    <row r="12848" spans="1:7" ht="12" customHeight="1" outlineLevel="3" x14ac:dyDescent="0.2">
      <c r="A12848" s="14" t="s">
        <v>25263</v>
      </c>
      <c r="B12848" s="15" t="s">
        <v>25264</v>
      </c>
      <c r="C12848" s="19">
        <f>1770.61/(1+B2)</f>
        <v>1770.61</v>
      </c>
      <c r="D12848" s="17" t="s">
        <v>11</v>
      </c>
      <c r="E12848" s="17"/>
      <c r="F12848" s="18"/>
      <c r="G12848" s="36" t="str">
        <f>IF(ISNUMBER(F12848),C12848*F12848,"")</f>
        <v/>
      </c>
    </row>
    <row r="12849" spans="1:7" ht="12" customHeight="1" outlineLevel="3" x14ac:dyDescent="0.2">
      <c r="A12849" s="14" t="s">
        <v>25265</v>
      </c>
      <c r="B12849" s="15" t="s">
        <v>25266</v>
      </c>
      <c r="C12849" s="19">
        <f>1126.83/(1+B2)</f>
        <v>1126.83</v>
      </c>
      <c r="D12849" s="17" t="s">
        <v>11</v>
      </c>
      <c r="E12849" s="17"/>
      <c r="F12849" s="18"/>
      <c r="G12849" s="36" t="str">
        <f>IF(ISNUMBER(F12849),C12849*F12849,"")</f>
        <v/>
      </c>
    </row>
    <row r="12850" spans="1:7" ht="12" customHeight="1" outlineLevel="3" x14ac:dyDescent="0.2">
      <c r="A12850" s="14" t="s">
        <v>25267</v>
      </c>
      <c r="B12850" s="15" t="s">
        <v>25268</v>
      </c>
      <c r="C12850" s="19">
        <f>1218.82/(1+B2)</f>
        <v>1218.82</v>
      </c>
      <c r="D12850" s="17" t="s">
        <v>11</v>
      </c>
      <c r="E12850" s="17"/>
      <c r="F12850" s="18"/>
      <c r="G12850" s="36" t="str">
        <f>IF(ISNUMBER(F12850),C12850*F12850,"")</f>
        <v/>
      </c>
    </row>
    <row r="12851" spans="1:7" ht="12" customHeight="1" outlineLevel="3" x14ac:dyDescent="0.2">
      <c r="A12851" s="14" t="s">
        <v>25269</v>
      </c>
      <c r="B12851" s="15" t="s">
        <v>25270</v>
      </c>
      <c r="C12851" s="19">
        <f>1839.91/(1+B2)</f>
        <v>1839.91</v>
      </c>
      <c r="D12851" s="17" t="s">
        <v>11</v>
      </c>
      <c r="E12851" s="17"/>
      <c r="F12851" s="18"/>
      <c r="G12851" s="36" t="str">
        <f>IF(ISNUMBER(F12851),C12851*F12851,"")</f>
        <v/>
      </c>
    </row>
    <row r="12852" spans="1:7" ht="12" customHeight="1" outlineLevel="3" x14ac:dyDescent="0.2">
      <c r="A12852" s="14" t="s">
        <v>25271</v>
      </c>
      <c r="B12852" s="15" t="s">
        <v>25272</v>
      </c>
      <c r="C12852" s="16">
        <f>353.48/(1+B2)</f>
        <v>353.48</v>
      </c>
      <c r="D12852" s="17" t="s">
        <v>11</v>
      </c>
      <c r="E12852" s="17"/>
      <c r="F12852" s="18"/>
      <c r="G12852" s="36" t="str">
        <f>IF(ISNUMBER(F12852),C12852*F12852,"")</f>
        <v/>
      </c>
    </row>
    <row r="12853" spans="1:7" ht="12" customHeight="1" outlineLevel="3" x14ac:dyDescent="0.2">
      <c r="A12853" s="14" t="s">
        <v>25273</v>
      </c>
      <c r="B12853" s="15" t="s">
        <v>25274</v>
      </c>
      <c r="C12853" s="16">
        <f>525.42/(1+B2)</f>
        <v>525.41999999999996</v>
      </c>
      <c r="D12853" s="17" t="s">
        <v>11</v>
      </c>
      <c r="E12853" s="17"/>
      <c r="F12853" s="18"/>
      <c r="G12853" s="36" t="str">
        <f>IF(ISNUMBER(F12853),C12853*F12853,"")</f>
        <v/>
      </c>
    </row>
    <row r="12854" spans="1:7" ht="12" customHeight="1" outlineLevel="3" x14ac:dyDescent="0.2">
      <c r="A12854" s="14" t="s">
        <v>25275</v>
      </c>
      <c r="B12854" s="15" t="s">
        <v>25276</v>
      </c>
      <c r="C12854" s="16">
        <f>698/(1+B2)</f>
        <v>698</v>
      </c>
      <c r="D12854" s="17" t="s">
        <v>11</v>
      </c>
      <c r="E12854" s="17"/>
      <c r="F12854" s="18"/>
      <c r="G12854" s="36" t="str">
        <f>IF(ISNUMBER(F12854),C12854*F12854,"")</f>
        <v/>
      </c>
    </row>
    <row r="12855" spans="1:7" ht="12" customHeight="1" outlineLevel="3" x14ac:dyDescent="0.2">
      <c r="A12855" s="14" t="s">
        <v>25277</v>
      </c>
      <c r="B12855" s="15" t="s">
        <v>25278</v>
      </c>
      <c r="C12855" s="16">
        <f>791.16/(1+B2)</f>
        <v>791.16</v>
      </c>
      <c r="D12855" s="17" t="s">
        <v>11</v>
      </c>
      <c r="E12855" s="17"/>
      <c r="F12855" s="18"/>
      <c r="G12855" s="36" t="str">
        <f>IF(ISNUMBER(F12855),C12855*F12855,"")</f>
        <v/>
      </c>
    </row>
    <row r="12856" spans="1:7" ht="12" customHeight="1" outlineLevel="3" x14ac:dyDescent="0.2">
      <c r="A12856" s="14" t="s">
        <v>25279</v>
      </c>
      <c r="B12856" s="15" t="s">
        <v>25280</v>
      </c>
      <c r="C12856" s="16">
        <f>855.38/(1+B2)</f>
        <v>855.38</v>
      </c>
      <c r="D12856" s="17" t="s">
        <v>11</v>
      </c>
      <c r="E12856" s="17"/>
      <c r="F12856" s="18"/>
      <c r="G12856" s="36" t="str">
        <f>IF(ISNUMBER(F12856),C12856*F12856,"")</f>
        <v/>
      </c>
    </row>
    <row r="12857" spans="1:7" ht="12" customHeight="1" outlineLevel="3" x14ac:dyDescent="0.2">
      <c r="A12857" s="14" t="s">
        <v>25281</v>
      </c>
      <c r="B12857" s="15" t="s">
        <v>25282</v>
      </c>
      <c r="C12857" s="16">
        <f>946.82/(1+B2)</f>
        <v>946.82</v>
      </c>
      <c r="D12857" s="17" t="s">
        <v>11</v>
      </c>
      <c r="E12857" s="17"/>
      <c r="F12857" s="18"/>
      <c r="G12857" s="36" t="str">
        <f>IF(ISNUMBER(F12857),C12857*F12857,"")</f>
        <v/>
      </c>
    </row>
    <row r="12858" spans="1:7" ht="12" customHeight="1" outlineLevel="3" x14ac:dyDescent="0.2">
      <c r="A12858" s="14" t="s">
        <v>25283</v>
      </c>
      <c r="B12858" s="15" t="s">
        <v>25284</v>
      </c>
      <c r="C12858" s="19">
        <f>1009.97/(1+B2)</f>
        <v>1009.97</v>
      </c>
      <c r="D12858" s="17" t="s">
        <v>11</v>
      </c>
      <c r="E12858" s="17"/>
      <c r="F12858" s="18"/>
      <c r="G12858" s="36" t="str">
        <f>IF(ISNUMBER(F12858),C12858*F12858,"")</f>
        <v/>
      </c>
    </row>
    <row r="12859" spans="1:7" ht="12" customHeight="1" outlineLevel="3" x14ac:dyDescent="0.2">
      <c r="A12859" s="14" t="s">
        <v>25285</v>
      </c>
      <c r="B12859" s="15" t="s">
        <v>25286</v>
      </c>
      <c r="C12859" s="16">
        <f>276.36/(1+B2)</f>
        <v>276.36</v>
      </c>
      <c r="D12859" s="17" t="s">
        <v>11</v>
      </c>
      <c r="E12859" s="17"/>
      <c r="F12859" s="18"/>
      <c r="G12859" s="36" t="str">
        <f>IF(ISNUMBER(F12859),C12859*F12859,"")</f>
        <v/>
      </c>
    </row>
    <row r="12860" spans="1:7" ht="12" customHeight="1" outlineLevel="3" x14ac:dyDescent="0.2">
      <c r="A12860" s="14" t="s">
        <v>25287</v>
      </c>
      <c r="B12860" s="15" t="s">
        <v>25288</v>
      </c>
      <c r="C12860" s="16">
        <f>294.81/(1+B2)</f>
        <v>294.81</v>
      </c>
      <c r="D12860" s="17" t="s">
        <v>11</v>
      </c>
      <c r="E12860" s="17"/>
      <c r="F12860" s="18"/>
      <c r="G12860" s="36" t="str">
        <f>IF(ISNUMBER(F12860),C12860*F12860,"")</f>
        <v/>
      </c>
    </row>
    <row r="12861" spans="1:7" ht="12" customHeight="1" outlineLevel="3" x14ac:dyDescent="0.2">
      <c r="A12861" s="14" t="s">
        <v>25289</v>
      </c>
      <c r="B12861" s="15" t="s">
        <v>25290</v>
      </c>
      <c r="C12861" s="16">
        <f>338.97/(1+B2)</f>
        <v>338.97</v>
      </c>
      <c r="D12861" s="17" t="s">
        <v>11</v>
      </c>
      <c r="E12861" s="17"/>
      <c r="F12861" s="18"/>
      <c r="G12861" s="36" t="str">
        <f>IF(ISNUMBER(F12861),C12861*F12861,"")</f>
        <v/>
      </c>
    </row>
    <row r="12862" spans="1:7" ht="12" customHeight="1" outlineLevel="3" x14ac:dyDescent="0.2">
      <c r="A12862" s="14" t="s">
        <v>25291</v>
      </c>
      <c r="B12862" s="15" t="s">
        <v>25292</v>
      </c>
      <c r="C12862" s="16">
        <f>360.96/(1+B2)</f>
        <v>360.96</v>
      </c>
      <c r="D12862" s="17" t="s">
        <v>11</v>
      </c>
      <c r="E12862" s="17"/>
      <c r="F12862" s="18"/>
      <c r="G12862" s="36" t="str">
        <f>IF(ISNUMBER(F12862),C12862*F12862,"")</f>
        <v/>
      </c>
    </row>
    <row r="12863" spans="1:7" ht="12" customHeight="1" outlineLevel="3" x14ac:dyDescent="0.2">
      <c r="A12863" s="14" t="s">
        <v>25293</v>
      </c>
      <c r="B12863" s="15" t="s">
        <v>25294</v>
      </c>
      <c r="C12863" s="16">
        <f>125.05/(1+B2)</f>
        <v>125.05</v>
      </c>
      <c r="D12863" s="17" t="s">
        <v>11</v>
      </c>
      <c r="E12863" s="17"/>
      <c r="F12863" s="18"/>
      <c r="G12863" s="36" t="str">
        <f>IF(ISNUMBER(F12863),C12863*F12863,"")</f>
        <v/>
      </c>
    </row>
    <row r="12864" spans="1:7" ht="12" customHeight="1" outlineLevel="3" x14ac:dyDescent="0.2">
      <c r="A12864" s="14" t="s">
        <v>25295</v>
      </c>
      <c r="B12864" s="15" t="s">
        <v>25296</v>
      </c>
      <c r="C12864" s="16">
        <f>344.86/(1+B2)</f>
        <v>344.86</v>
      </c>
      <c r="D12864" s="17" t="s">
        <v>11</v>
      </c>
      <c r="E12864" s="17"/>
      <c r="F12864" s="18"/>
      <c r="G12864" s="36" t="str">
        <f>IF(ISNUMBER(F12864),C12864*F12864,"")</f>
        <v/>
      </c>
    </row>
    <row r="12865" spans="1:7" ht="12" customHeight="1" outlineLevel="3" x14ac:dyDescent="0.2">
      <c r="A12865" s="14" t="s">
        <v>25297</v>
      </c>
      <c r="B12865" s="15" t="s">
        <v>25298</v>
      </c>
      <c r="C12865" s="16">
        <f>97.23/(1+B2)</f>
        <v>97.23</v>
      </c>
      <c r="D12865" s="17" t="s">
        <v>11</v>
      </c>
      <c r="E12865" s="17"/>
      <c r="F12865" s="18"/>
      <c r="G12865" s="36" t="str">
        <f>IF(ISNUMBER(F12865),C12865*F12865,"")</f>
        <v/>
      </c>
    </row>
    <row r="12866" spans="1:7" ht="12" customHeight="1" outlineLevel="3" x14ac:dyDescent="0.2">
      <c r="A12866" s="14" t="s">
        <v>25299</v>
      </c>
      <c r="B12866" s="15" t="s">
        <v>25300</v>
      </c>
      <c r="C12866" s="16">
        <f>107.33/(1+B2)</f>
        <v>107.33</v>
      </c>
      <c r="D12866" s="17" t="s">
        <v>11</v>
      </c>
      <c r="E12866" s="17"/>
      <c r="F12866" s="18"/>
      <c r="G12866" s="36" t="str">
        <f>IF(ISNUMBER(F12866),C12866*F12866,"")</f>
        <v/>
      </c>
    </row>
    <row r="12867" spans="1:7" ht="12" customHeight="1" outlineLevel="3" x14ac:dyDescent="0.2">
      <c r="A12867" s="14" t="s">
        <v>25301</v>
      </c>
      <c r="B12867" s="15" t="s">
        <v>25302</v>
      </c>
      <c r="C12867" s="16">
        <f>171.54/(1+B2)</f>
        <v>171.54</v>
      </c>
      <c r="D12867" s="17" t="s">
        <v>11</v>
      </c>
      <c r="E12867" s="17"/>
      <c r="F12867" s="18"/>
      <c r="G12867" s="36" t="str">
        <f>IF(ISNUMBER(F12867),C12867*F12867,"")</f>
        <v/>
      </c>
    </row>
    <row r="12868" spans="1:7" ht="12" customHeight="1" outlineLevel="3" x14ac:dyDescent="0.2">
      <c r="A12868" s="14" t="s">
        <v>25303</v>
      </c>
      <c r="B12868" s="15" t="s">
        <v>25304</v>
      </c>
      <c r="C12868" s="16">
        <f>896.31/(1+B2)</f>
        <v>896.31</v>
      </c>
      <c r="D12868" s="17" t="s">
        <v>11</v>
      </c>
      <c r="E12868" s="17"/>
      <c r="F12868" s="18"/>
      <c r="G12868" s="36" t="str">
        <f>IF(ISNUMBER(F12868),C12868*F12868,"")</f>
        <v/>
      </c>
    </row>
    <row r="12869" spans="1:7" ht="12" customHeight="1" outlineLevel="3" x14ac:dyDescent="0.2">
      <c r="A12869" s="14" t="s">
        <v>25305</v>
      </c>
      <c r="B12869" s="15" t="s">
        <v>25306</v>
      </c>
      <c r="C12869" s="19">
        <f>1000.24/(1+B2)</f>
        <v>1000.24</v>
      </c>
      <c r="D12869" s="17" t="s">
        <v>11</v>
      </c>
      <c r="E12869" s="17"/>
      <c r="F12869" s="18"/>
      <c r="G12869" s="36" t="str">
        <f>IF(ISNUMBER(F12869),C12869*F12869,"")</f>
        <v/>
      </c>
    </row>
    <row r="12870" spans="1:7" ht="12" customHeight="1" outlineLevel="3" x14ac:dyDescent="0.2">
      <c r="A12870" s="14" t="s">
        <v>25307</v>
      </c>
      <c r="B12870" s="15" t="s">
        <v>25308</v>
      </c>
      <c r="C12870" s="19">
        <f>1625.6/(1+B2)</f>
        <v>1625.6</v>
      </c>
      <c r="D12870" s="17" t="s">
        <v>11</v>
      </c>
      <c r="E12870" s="17"/>
      <c r="F12870" s="18"/>
      <c r="G12870" s="36" t="str">
        <f>IF(ISNUMBER(F12870),C12870*F12870,"")</f>
        <v/>
      </c>
    </row>
    <row r="12871" spans="1:7" ht="12" customHeight="1" outlineLevel="3" x14ac:dyDescent="0.2">
      <c r="A12871" s="14" t="s">
        <v>25309</v>
      </c>
      <c r="B12871" s="15" t="s">
        <v>25310</v>
      </c>
      <c r="C12871" s="16">
        <f>662.88/(1+B2)</f>
        <v>662.88</v>
      </c>
      <c r="D12871" s="17" t="s">
        <v>11</v>
      </c>
      <c r="E12871" s="17" t="s">
        <v>14</v>
      </c>
      <c r="F12871" s="18"/>
      <c r="G12871" s="36" t="str">
        <f>IF(ISNUMBER(F12871),C12871*F12871,"")</f>
        <v/>
      </c>
    </row>
    <row r="12872" spans="1:7" s="1" customFormat="1" ht="12.95" customHeight="1" outlineLevel="2" x14ac:dyDescent="0.2">
      <c r="A12872" s="20"/>
      <c r="B12872" s="21" t="s">
        <v>25311</v>
      </c>
      <c r="C12872" s="22"/>
      <c r="D12872" s="22"/>
      <c r="E12872" s="22"/>
      <c r="F12872" s="22"/>
      <c r="G12872" s="37"/>
    </row>
    <row r="12873" spans="1:7" ht="12" customHeight="1" outlineLevel="3" x14ac:dyDescent="0.2">
      <c r="A12873" s="14" t="s">
        <v>25312</v>
      </c>
      <c r="B12873" s="15" t="s">
        <v>25313</v>
      </c>
      <c r="C12873" s="16">
        <f>511.98/(1+B2)</f>
        <v>511.98</v>
      </c>
      <c r="D12873" s="17" t="s">
        <v>11</v>
      </c>
      <c r="E12873" s="17"/>
      <c r="F12873" s="18"/>
      <c r="G12873" s="36" t="str">
        <f>IF(ISNUMBER(F12873),C12873*F12873,"")</f>
        <v/>
      </c>
    </row>
    <row r="12874" spans="1:7" ht="12" customHeight="1" outlineLevel="3" x14ac:dyDescent="0.2">
      <c r="A12874" s="14" t="s">
        <v>25314</v>
      </c>
      <c r="B12874" s="15" t="s">
        <v>25315</v>
      </c>
      <c r="C12874" s="16">
        <f>563.08/(1+B2)</f>
        <v>563.08000000000004</v>
      </c>
      <c r="D12874" s="17" t="s">
        <v>11</v>
      </c>
      <c r="E12874" s="17"/>
      <c r="F12874" s="18"/>
      <c r="G12874" s="36" t="str">
        <f>IF(ISNUMBER(F12874),C12874*F12874,"")</f>
        <v/>
      </c>
    </row>
    <row r="12875" spans="1:7" ht="12" customHeight="1" outlineLevel="3" x14ac:dyDescent="0.2">
      <c r="A12875" s="14" t="s">
        <v>25316</v>
      </c>
      <c r="B12875" s="15" t="s">
        <v>25317</v>
      </c>
      <c r="C12875" s="16">
        <f>677.81/(1+B2)</f>
        <v>677.81</v>
      </c>
      <c r="D12875" s="17" t="s">
        <v>11</v>
      </c>
      <c r="E12875" s="17"/>
      <c r="F12875" s="18"/>
      <c r="G12875" s="36" t="str">
        <f>IF(ISNUMBER(F12875),C12875*F12875,"")</f>
        <v/>
      </c>
    </row>
    <row r="12876" spans="1:7" ht="12" customHeight="1" outlineLevel="3" x14ac:dyDescent="0.2">
      <c r="A12876" s="14" t="s">
        <v>25318</v>
      </c>
      <c r="B12876" s="15" t="s">
        <v>25319</v>
      </c>
      <c r="C12876" s="16">
        <f>654.19/(1+B2)</f>
        <v>654.19000000000005</v>
      </c>
      <c r="D12876" s="17" t="s">
        <v>11</v>
      </c>
      <c r="E12876" s="17" t="s">
        <v>11</v>
      </c>
      <c r="F12876" s="18"/>
      <c r="G12876" s="36" t="str">
        <f>IF(ISNUMBER(F12876),C12876*F12876,"")</f>
        <v/>
      </c>
    </row>
    <row r="12877" spans="1:7" ht="12" customHeight="1" outlineLevel="3" x14ac:dyDescent="0.2">
      <c r="A12877" s="14" t="s">
        <v>25320</v>
      </c>
      <c r="B12877" s="15" t="s">
        <v>25321</v>
      </c>
      <c r="C12877" s="16">
        <f>298.88/(1+B2)</f>
        <v>298.88</v>
      </c>
      <c r="D12877" s="17" t="s">
        <v>11</v>
      </c>
      <c r="E12877" s="17"/>
      <c r="F12877" s="18"/>
      <c r="G12877" s="36" t="str">
        <f>IF(ISNUMBER(F12877),C12877*F12877,"")</f>
        <v/>
      </c>
    </row>
    <row r="12878" spans="1:7" ht="12" customHeight="1" outlineLevel="3" x14ac:dyDescent="0.2">
      <c r="A12878" s="14" t="s">
        <v>25322</v>
      </c>
      <c r="B12878" s="15" t="s">
        <v>25323</v>
      </c>
      <c r="C12878" s="16">
        <f>368.31/(1+B2)</f>
        <v>368.31</v>
      </c>
      <c r="D12878" s="17" t="s">
        <v>11</v>
      </c>
      <c r="E12878" s="17"/>
      <c r="F12878" s="18"/>
      <c r="G12878" s="36" t="str">
        <f>IF(ISNUMBER(F12878),C12878*F12878,"")</f>
        <v/>
      </c>
    </row>
    <row r="12879" spans="1:7" ht="12" customHeight="1" outlineLevel="3" x14ac:dyDescent="0.2">
      <c r="A12879" s="14" t="s">
        <v>25324</v>
      </c>
      <c r="B12879" s="15" t="s">
        <v>25325</v>
      </c>
      <c r="C12879" s="16">
        <f>435.79/(1+B2)</f>
        <v>435.79</v>
      </c>
      <c r="D12879" s="17" t="s">
        <v>11</v>
      </c>
      <c r="E12879" s="17"/>
      <c r="F12879" s="18"/>
      <c r="G12879" s="36" t="str">
        <f>IF(ISNUMBER(F12879),C12879*F12879,"")</f>
        <v/>
      </c>
    </row>
    <row r="12880" spans="1:7" ht="12" customHeight="1" outlineLevel="3" x14ac:dyDescent="0.2">
      <c r="A12880" s="14" t="s">
        <v>25326</v>
      </c>
      <c r="B12880" s="15" t="s">
        <v>25327</v>
      </c>
      <c r="C12880" s="16">
        <f>719.51/(1+B2)</f>
        <v>719.51</v>
      </c>
      <c r="D12880" s="17" t="s">
        <v>11</v>
      </c>
      <c r="E12880" s="17"/>
      <c r="F12880" s="18"/>
      <c r="G12880" s="36" t="str">
        <f>IF(ISNUMBER(F12880),C12880*F12880,"")</f>
        <v/>
      </c>
    </row>
    <row r="12881" spans="1:7" ht="12" customHeight="1" outlineLevel="3" x14ac:dyDescent="0.2">
      <c r="A12881" s="14" t="s">
        <v>25328</v>
      </c>
      <c r="B12881" s="15" t="s">
        <v>25329</v>
      </c>
      <c r="C12881" s="19">
        <f>1494.22/(1+B2)</f>
        <v>1494.22</v>
      </c>
      <c r="D12881" s="17" t="s">
        <v>11</v>
      </c>
      <c r="E12881" s="17"/>
      <c r="F12881" s="18"/>
      <c r="G12881" s="36" t="str">
        <f>IF(ISNUMBER(F12881),C12881*F12881,"")</f>
        <v/>
      </c>
    </row>
    <row r="12882" spans="1:7" ht="12" customHeight="1" outlineLevel="3" x14ac:dyDescent="0.2">
      <c r="A12882" s="14" t="s">
        <v>25330</v>
      </c>
      <c r="B12882" s="15" t="s">
        <v>25331</v>
      </c>
      <c r="C12882" s="16">
        <f>500.83/(1+B2)</f>
        <v>500.83</v>
      </c>
      <c r="D12882" s="17" t="s">
        <v>11</v>
      </c>
      <c r="E12882" s="17"/>
      <c r="F12882" s="18"/>
      <c r="G12882" s="36" t="str">
        <f>IF(ISNUMBER(F12882),C12882*F12882,"")</f>
        <v/>
      </c>
    </row>
    <row r="12883" spans="1:7" ht="24" customHeight="1" outlineLevel="3" x14ac:dyDescent="0.2">
      <c r="A12883" s="14" t="s">
        <v>25332</v>
      </c>
      <c r="B12883" s="15" t="s">
        <v>25333</v>
      </c>
      <c r="C12883" s="19">
        <f>1167.77/(1+B2)</f>
        <v>1167.77</v>
      </c>
      <c r="D12883" s="17" t="s">
        <v>11</v>
      </c>
      <c r="E12883" s="17"/>
      <c r="F12883" s="18"/>
      <c r="G12883" s="36" t="str">
        <f>IF(ISNUMBER(F12883),C12883*F12883,"")</f>
        <v/>
      </c>
    </row>
    <row r="12884" spans="1:7" ht="24" customHeight="1" outlineLevel="3" x14ac:dyDescent="0.2">
      <c r="A12884" s="14" t="s">
        <v>25334</v>
      </c>
      <c r="B12884" s="15" t="s">
        <v>25335</v>
      </c>
      <c r="C12884" s="19">
        <f>1186.52/(1+B2)</f>
        <v>1186.52</v>
      </c>
      <c r="D12884" s="17" t="s">
        <v>11</v>
      </c>
      <c r="E12884" s="17"/>
      <c r="F12884" s="18"/>
      <c r="G12884" s="36" t="str">
        <f>IF(ISNUMBER(F12884),C12884*F12884,"")</f>
        <v/>
      </c>
    </row>
    <row r="12885" spans="1:7" ht="12" customHeight="1" outlineLevel="3" x14ac:dyDescent="0.2">
      <c r="A12885" s="14" t="s">
        <v>25336</v>
      </c>
      <c r="B12885" s="15" t="s">
        <v>25337</v>
      </c>
      <c r="C12885" s="16">
        <f>465.23/(1+B2)</f>
        <v>465.23</v>
      </c>
      <c r="D12885" s="17" t="s">
        <v>11</v>
      </c>
      <c r="E12885" s="17"/>
      <c r="F12885" s="18"/>
      <c r="G12885" s="36" t="str">
        <f>IF(ISNUMBER(F12885),C12885*F12885,"")</f>
        <v/>
      </c>
    </row>
    <row r="12886" spans="1:7" ht="12" customHeight="1" outlineLevel="3" x14ac:dyDescent="0.2">
      <c r="A12886" s="14" t="s">
        <v>25338</v>
      </c>
      <c r="B12886" s="15" t="s">
        <v>25339</v>
      </c>
      <c r="C12886" s="16">
        <f>551.15/(1+B2)</f>
        <v>551.15</v>
      </c>
      <c r="D12886" s="17" t="s">
        <v>11</v>
      </c>
      <c r="E12886" s="17"/>
      <c r="F12886" s="18"/>
      <c r="G12886" s="36" t="str">
        <f>IF(ISNUMBER(F12886),C12886*F12886,"")</f>
        <v/>
      </c>
    </row>
    <row r="12887" spans="1:7" ht="12" customHeight="1" outlineLevel="3" x14ac:dyDescent="0.2">
      <c r="A12887" s="14" t="s">
        <v>25340</v>
      </c>
      <c r="B12887" s="15" t="s">
        <v>25341</v>
      </c>
      <c r="C12887" s="16">
        <f>413.81/(1+B2)</f>
        <v>413.81</v>
      </c>
      <c r="D12887" s="17" t="s">
        <v>11</v>
      </c>
      <c r="E12887" s="17"/>
      <c r="F12887" s="18"/>
      <c r="G12887" s="36" t="str">
        <f>IF(ISNUMBER(F12887),C12887*F12887,"")</f>
        <v/>
      </c>
    </row>
    <row r="12888" spans="1:7" ht="12" customHeight="1" outlineLevel="3" x14ac:dyDescent="0.2">
      <c r="A12888" s="14" t="s">
        <v>25342</v>
      </c>
      <c r="B12888" s="15" t="s">
        <v>25343</v>
      </c>
      <c r="C12888" s="16">
        <f>397.32/(1+B2)</f>
        <v>397.32</v>
      </c>
      <c r="D12888" s="17" t="s">
        <v>11</v>
      </c>
      <c r="E12888" s="17" t="s">
        <v>11</v>
      </c>
      <c r="F12888" s="18"/>
      <c r="G12888" s="36" t="str">
        <f>IF(ISNUMBER(F12888),C12888*F12888,"")</f>
        <v/>
      </c>
    </row>
    <row r="12889" spans="1:7" ht="12" customHeight="1" outlineLevel="3" x14ac:dyDescent="0.2">
      <c r="A12889" s="14" t="s">
        <v>25344</v>
      </c>
      <c r="B12889" s="15" t="s">
        <v>25345</v>
      </c>
      <c r="C12889" s="16">
        <f>699.71/(1+B2)</f>
        <v>699.71</v>
      </c>
      <c r="D12889" s="17" t="s">
        <v>11</v>
      </c>
      <c r="E12889" s="17"/>
      <c r="F12889" s="18"/>
      <c r="G12889" s="36" t="str">
        <f>IF(ISNUMBER(F12889),C12889*F12889,"")</f>
        <v/>
      </c>
    </row>
    <row r="12890" spans="1:7" ht="12" customHeight="1" outlineLevel="3" x14ac:dyDescent="0.2">
      <c r="A12890" s="14" t="s">
        <v>25346</v>
      </c>
      <c r="B12890" s="15" t="s">
        <v>25347</v>
      </c>
      <c r="C12890" s="16">
        <f>522.08/(1+B2)</f>
        <v>522.08000000000004</v>
      </c>
      <c r="D12890" s="17" t="s">
        <v>11</v>
      </c>
      <c r="E12890" s="17"/>
      <c r="F12890" s="18"/>
      <c r="G12890" s="36" t="str">
        <f>IF(ISNUMBER(F12890),C12890*F12890,"")</f>
        <v/>
      </c>
    </row>
    <row r="12891" spans="1:7" ht="12" customHeight="1" outlineLevel="3" x14ac:dyDescent="0.2">
      <c r="A12891" s="14" t="s">
        <v>25348</v>
      </c>
      <c r="B12891" s="15" t="s">
        <v>25349</v>
      </c>
      <c r="C12891" s="16">
        <f>218.9/(1+B2)</f>
        <v>218.9</v>
      </c>
      <c r="D12891" s="17" t="s">
        <v>11</v>
      </c>
      <c r="E12891" s="17"/>
      <c r="F12891" s="18"/>
      <c r="G12891" s="36" t="str">
        <f>IF(ISNUMBER(F12891),C12891*F12891,"")</f>
        <v/>
      </c>
    </row>
    <row r="12892" spans="1:7" ht="12" customHeight="1" outlineLevel="3" x14ac:dyDescent="0.2">
      <c r="A12892" s="14" t="s">
        <v>25350</v>
      </c>
      <c r="B12892" s="15" t="s">
        <v>25351</v>
      </c>
      <c r="C12892" s="16">
        <f>289.61/(1+B2)</f>
        <v>289.61</v>
      </c>
      <c r="D12892" s="17" t="s">
        <v>11</v>
      </c>
      <c r="E12892" s="17"/>
      <c r="F12892" s="18"/>
      <c r="G12892" s="36" t="str">
        <f>IF(ISNUMBER(F12892),C12892*F12892,"")</f>
        <v/>
      </c>
    </row>
    <row r="12893" spans="1:7" ht="12" customHeight="1" outlineLevel="3" x14ac:dyDescent="0.2">
      <c r="A12893" s="14" t="s">
        <v>25352</v>
      </c>
      <c r="B12893" s="15" t="s">
        <v>25353</v>
      </c>
      <c r="C12893" s="16">
        <f>336.73/(1+B2)</f>
        <v>336.73</v>
      </c>
      <c r="D12893" s="17" t="s">
        <v>11</v>
      </c>
      <c r="E12893" s="17"/>
      <c r="F12893" s="18"/>
      <c r="G12893" s="36" t="str">
        <f>IF(ISNUMBER(F12893),C12893*F12893,"")</f>
        <v/>
      </c>
    </row>
    <row r="12894" spans="1:7" ht="12" customHeight="1" outlineLevel="3" x14ac:dyDescent="0.2">
      <c r="A12894" s="14" t="s">
        <v>25354</v>
      </c>
      <c r="B12894" s="15" t="s">
        <v>25355</v>
      </c>
      <c r="C12894" s="19">
        <f>1001.92/(1+B2)</f>
        <v>1001.92</v>
      </c>
      <c r="D12894" s="17" t="s">
        <v>11</v>
      </c>
      <c r="E12894" s="17"/>
      <c r="F12894" s="18"/>
      <c r="G12894" s="36" t="str">
        <f>IF(ISNUMBER(F12894),C12894*F12894,"")</f>
        <v/>
      </c>
    </row>
    <row r="12895" spans="1:7" ht="24" customHeight="1" outlineLevel="3" x14ac:dyDescent="0.2">
      <c r="A12895" s="14" t="s">
        <v>25356</v>
      </c>
      <c r="B12895" s="15" t="s">
        <v>25357</v>
      </c>
      <c r="C12895" s="19">
        <f>1580.35/(1+B2)</f>
        <v>1580.35</v>
      </c>
      <c r="D12895" s="17" t="s">
        <v>11</v>
      </c>
      <c r="E12895" s="17"/>
      <c r="F12895" s="18"/>
      <c r="G12895" s="36" t="str">
        <f>IF(ISNUMBER(F12895),C12895*F12895,"")</f>
        <v/>
      </c>
    </row>
    <row r="12896" spans="1:7" ht="12" customHeight="1" outlineLevel="3" x14ac:dyDescent="0.2">
      <c r="A12896" s="14" t="s">
        <v>25358</v>
      </c>
      <c r="B12896" s="15" t="s">
        <v>25359</v>
      </c>
      <c r="C12896" s="16">
        <f>704.64/(1+B2)</f>
        <v>704.64</v>
      </c>
      <c r="D12896" s="17" t="s">
        <v>11</v>
      </c>
      <c r="E12896" s="17"/>
      <c r="F12896" s="18"/>
      <c r="G12896" s="36" t="str">
        <f>IF(ISNUMBER(F12896),C12896*F12896,"")</f>
        <v/>
      </c>
    </row>
    <row r="12897" spans="1:7" ht="12" customHeight="1" outlineLevel="3" x14ac:dyDescent="0.2">
      <c r="A12897" s="14" t="s">
        <v>25360</v>
      </c>
      <c r="B12897" s="15" t="s">
        <v>25361</v>
      </c>
      <c r="C12897" s="16">
        <f>793.13/(1+B2)</f>
        <v>793.13</v>
      </c>
      <c r="D12897" s="17" t="s">
        <v>11</v>
      </c>
      <c r="E12897" s="17"/>
      <c r="F12897" s="18"/>
      <c r="G12897" s="36" t="str">
        <f>IF(ISNUMBER(F12897),C12897*F12897,"")</f>
        <v/>
      </c>
    </row>
    <row r="12898" spans="1:7" ht="24" customHeight="1" outlineLevel="3" x14ac:dyDescent="0.2">
      <c r="A12898" s="14" t="s">
        <v>25362</v>
      </c>
      <c r="B12898" s="15" t="s">
        <v>25363</v>
      </c>
      <c r="C12898" s="19">
        <f>1082.57/(1+B2)</f>
        <v>1082.57</v>
      </c>
      <c r="D12898" s="17" t="s">
        <v>11</v>
      </c>
      <c r="E12898" s="17"/>
      <c r="F12898" s="18"/>
      <c r="G12898" s="36" t="str">
        <f>IF(ISNUMBER(F12898),C12898*F12898,"")</f>
        <v/>
      </c>
    </row>
    <row r="12899" spans="1:7" ht="24" customHeight="1" outlineLevel="3" x14ac:dyDescent="0.2">
      <c r="A12899" s="14" t="s">
        <v>25364</v>
      </c>
      <c r="B12899" s="15" t="s">
        <v>25365</v>
      </c>
      <c r="C12899" s="16">
        <f>531.75/(1+B2)</f>
        <v>531.75</v>
      </c>
      <c r="D12899" s="17" t="s">
        <v>11</v>
      </c>
      <c r="E12899" s="17" t="s">
        <v>11</v>
      </c>
      <c r="F12899" s="18"/>
      <c r="G12899" s="36" t="str">
        <f>IF(ISNUMBER(F12899),C12899*F12899,"")</f>
        <v/>
      </c>
    </row>
    <row r="12900" spans="1:7" s="1" customFormat="1" ht="12.95" customHeight="1" outlineLevel="2" x14ac:dyDescent="0.2">
      <c r="A12900" s="20"/>
      <c r="B12900" s="21" t="s">
        <v>25366</v>
      </c>
      <c r="C12900" s="22"/>
      <c r="D12900" s="22"/>
      <c r="E12900" s="22"/>
      <c r="F12900" s="22"/>
      <c r="G12900" s="37"/>
    </row>
    <row r="12901" spans="1:7" ht="24" customHeight="1" outlineLevel="3" x14ac:dyDescent="0.2">
      <c r="A12901" s="14" t="s">
        <v>25367</v>
      </c>
      <c r="B12901" s="15" t="s">
        <v>25368</v>
      </c>
      <c r="C12901" s="16">
        <f>335.12/(1+B2)</f>
        <v>335.12</v>
      </c>
      <c r="D12901" s="17" t="s">
        <v>11</v>
      </c>
      <c r="E12901" s="17"/>
      <c r="F12901" s="18"/>
      <c r="G12901" s="36" t="str">
        <f>IF(ISNUMBER(F12901),C12901*F12901,"")</f>
        <v/>
      </c>
    </row>
    <row r="12902" spans="1:7" ht="24" customHeight="1" outlineLevel="3" x14ac:dyDescent="0.2">
      <c r="A12902" s="14" t="s">
        <v>25369</v>
      </c>
      <c r="B12902" s="15" t="s">
        <v>25370</v>
      </c>
      <c r="C12902" s="16">
        <f>436.12/(1+B2)</f>
        <v>436.12</v>
      </c>
      <c r="D12902" s="17" t="s">
        <v>11</v>
      </c>
      <c r="E12902" s="17"/>
      <c r="F12902" s="18"/>
      <c r="G12902" s="36" t="str">
        <f>IF(ISNUMBER(F12902),C12902*F12902,"")</f>
        <v/>
      </c>
    </row>
    <row r="12903" spans="1:7" ht="24" customHeight="1" outlineLevel="3" x14ac:dyDescent="0.2">
      <c r="A12903" s="14" t="s">
        <v>25371</v>
      </c>
      <c r="B12903" s="15" t="s">
        <v>25372</v>
      </c>
      <c r="C12903" s="16">
        <f>589.35/(1+B2)</f>
        <v>589.35</v>
      </c>
      <c r="D12903" s="17" t="s">
        <v>11</v>
      </c>
      <c r="E12903" s="17"/>
      <c r="F12903" s="18"/>
      <c r="G12903" s="36" t="str">
        <f>IF(ISNUMBER(F12903),C12903*F12903,"")</f>
        <v/>
      </c>
    </row>
    <row r="12904" spans="1:7" ht="24" customHeight="1" outlineLevel="3" x14ac:dyDescent="0.2">
      <c r="A12904" s="14" t="s">
        <v>25373</v>
      </c>
      <c r="B12904" s="15" t="s">
        <v>25374</v>
      </c>
      <c r="C12904" s="16">
        <f>221.45/(1+B2)</f>
        <v>221.45</v>
      </c>
      <c r="D12904" s="17" t="s">
        <v>11</v>
      </c>
      <c r="E12904" s="17"/>
      <c r="F12904" s="18"/>
      <c r="G12904" s="36" t="str">
        <f>IF(ISNUMBER(F12904),C12904*F12904,"")</f>
        <v/>
      </c>
    </row>
    <row r="12905" spans="1:7" ht="24" customHeight="1" outlineLevel="3" x14ac:dyDescent="0.2">
      <c r="A12905" s="14" t="s">
        <v>25375</v>
      </c>
      <c r="B12905" s="15" t="s">
        <v>25376</v>
      </c>
      <c r="C12905" s="16">
        <f>282.99/(1+B2)</f>
        <v>282.99</v>
      </c>
      <c r="D12905" s="17" t="s">
        <v>11</v>
      </c>
      <c r="E12905" s="17"/>
      <c r="F12905" s="18"/>
      <c r="G12905" s="36" t="str">
        <f>IF(ISNUMBER(F12905),C12905*F12905,"")</f>
        <v/>
      </c>
    </row>
    <row r="12906" spans="1:7" ht="12" customHeight="1" outlineLevel="3" x14ac:dyDescent="0.2">
      <c r="A12906" s="14" t="s">
        <v>25377</v>
      </c>
      <c r="B12906" s="15" t="s">
        <v>25378</v>
      </c>
      <c r="C12906" s="19">
        <f>3490.93/(1+B2)</f>
        <v>3490.93</v>
      </c>
      <c r="D12906" s="17" t="s">
        <v>11</v>
      </c>
      <c r="E12906" s="17"/>
      <c r="F12906" s="18"/>
      <c r="G12906" s="36" t="str">
        <f>IF(ISNUMBER(F12906),C12906*F12906,"")</f>
        <v/>
      </c>
    </row>
    <row r="12907" spans="1:7" ht="24" customHeight="1" outlineLevel="3" x14ac:dyDescent="0.2">
      <c r="A12907" s="14" t="s">
        <v>25379</v>
      </c>
      <c r="B12907" s="15" t="s">
        <v>25380</v>
      </c>
      <c r="C12907" s="19">
        <f>4659.96/(1+B2)</f>
        <v>4659.96</v>
      </c>
      <c r="D12907" s="17" t="s">
        <v>11</v>
      </c>
      <c r="E12907" s="17"/>
      <c r="F12907" s="18"/>
      <c r="G12907" s="36" t="str">
        <f>IF(ISNUMBER(F12907),C12907*F12907,"")</f>
        <v/>
      </c>
    </row>
    <row r="12908" spans="1:7" ht="12" customHeight="1" outlineLevel="3" x14ac:dyDescent="0.2">
      <c r="A12908" s="14" t="s">
        <v>25381</v>
      </c>
      <c r="B12908" s="15" t="s">
        <v>25382</v>
      </c>
      <c r="C12908" s="19">
        <f>3584.47/(1+B2)</f>
        <v>3584.47</v>
      </c>
      <c r="D12908" s="17" t="s">
        <v>11</v>
      </c>
      <c r="E12908" s="17"/>
      <c r="F12908" s="18"/>
      <c r="G12908" s="36" t="str">
        <f>IF(ISNUMBER(F12908),C12908*F12908,"")</f>
        <v/>
      </c>
    </row>
    <row r="12909" spans="1:7" ht="12" customHeight="1" outlineLevel="3" x14ac:dyDescent="0.2">
      <c r="A12909" s="14" t="s">
        <v>25383</v>
      </c>
      <c r="B12909" s="15" t="s">
        <v>25384</v>
      </c>
      <c r="C12909" s="19">
        <f>2091.07/(1+B2)</f>
        <v>2091.0700000000002</v>
      </c>
      <c r="D12909" s="17" t="s">
        <v>11</v>
      </c>
      <c r="E12909" s="17"/>
      <c r="F12909" s="18"/>
      <c r="G12909" s="36" t="str">
        <f>IF(ISNUMBER(F12909),C12909*F12909,"")</f>
        <v/>
      </c>
    </row>
    <row r="12910" spans="1:7" ht="24" customHeight="1" outlineLevel="3" x14ac:dyDescent="0.2">
      <c r="A12910" s="14" t="s">
        <v>25385</v>
      </c>
      <c r="B12910" s="15" t="s">
        <v>25386</v>
      </c>
      <c r="C12910" s="19">
        <f>1369.01/(1+B2)</f>
        <v>1369.01</v>
      </c>
      <c r="D12910" s="17" t="s">
        <v>11</v>
      </c>
      <c r="E12910" s="17"/>
      <c r="F12910" s="18"/>
      <c r="G12910" s="36" t="str">
        <f>IF(ISNUMBER(F12910),C12910*F12910,"")</f>
        <v/>
      </c>
    </row>
    <row r="12911" spans="1:7" ht="12" customHeight="1" outlineLevel="3" x14ac:dyDescent="0.2">
      <c r="A12911" s="14" t="s">
        <v>25387</v>
      </c>
      <c r="B12911" s="15" t="s">
        <v>25388</v>
      </c>
      <c r="C12911" s="19">
        <f>4192.73/(1+B2)</f>
        <v>4192.7299999999996</v>
      </c>
      <c r="D12911" s="17" t="s">
        <v>11</v>
      </c>
      <c r="E12911" s="17" t="s">
        <v>11</v>
      </c>
      <c r="F12911" s="18"/>
      <c r="G12911" s="36" t="str">
        <f>IF(ISNUMBER(F12911),C12911*F12911,"")</f>
        <v/>
      </c>
    </row>
    <row r="12912" spans="1:7" s="1" customFormat="1" ht="12.95" customHeight="1" outlineLevel="2" x14ac:dyDescent="0.2">
      <c r="A12912" s="20"/>
      <c r="B12912" s="21" t="s">
        <v>25389</v>
      </c>
      <c r="C12912" s="22"/>
      <c r="D12912" s="22"/>
      <c r="E12912" s="22"/>
      <c r="F12912" s="22"/>
      <c r="G12912" s="37"/>
    </row>
    <row r="12913" spans="1:7" ht="24" customHeight="1" outlineLevel="3" x14ac:dyDescent="0.2">
      <c r="A12913" s="14" t="s">
        <v>25390</v>
      </c>
      <c r="B12913" s="15" t="s">
        <v>25391</v>
      </c>
      <c r="C12913" s="19">
        <f>2593.64/(1+B2)</f>
        <v>2593.64</v>
      </c>
      <c r="D12913" s="17" t="s">
        <v>11</v>
      </c>
      <c r="E12913" s="17"/>
      <c r="F12913" s="18"/>
      <c r="G12913" s="36" t="str">
        <f>IF(ISNUMBER(F12913),C12913*F12913,"")</f>
        <v/>
      </c>
    </row>
    <row r="12914" spans="1:7" ht="12" customHeight="1" outlineLevel="3" x14ac:dyDescent="0.2">
      <c r="A12914" s="14" t="s">
        <v>25392</v>
      </c>
      <c r="B12914" s="15" t="s">
        <v>25393</v>
      </c>
      <c r="C12914" s="19">
        <f>1732.14/(1+B2)</f>
        <v>1732.14</v>
      </c>
      <c r="D12914" s="17" t="s">
        <v>11</v>
      </c>
      <c r="E12914" s="17"/>
      <c r="F12914" s="18"/>
      <c r="G12914" s="36" t="str">
        <f>IF(ISNUMBER(F12914),C12914*F12914,"")</f>
        <v/>
      </c>
    </row>
    <row r="12915" spans="1:7" ht="12" customHeight="1" outlineLevel="3" x14ac:dyDescent="0.2">
      <c r="A12915" s="14" t="s">
        <v>25394</v>
      </c>
      <c r="B12915" s="15" t="s">
        <v>25395</v>
      </c>
      <c r="C12915" s="19">
        <f>1997.6/(1+B2)</f>
        <v>1997.6</v>
      </c>
      <c r="D12915" s="17" t="s">
        <v>11</v>
      </c>
      <c r="E12915" s="17"/>
      <c r="F12915" s="18"/>
      <c r="G12915" s="36" t="str">
        <f>IF(ISNUMBER(F12915),C12915*F12915,"")</f>
        <v/>
      </c>
    </row>
    <row r="12916" spans="1:7" ht="12" customHeight="1" outlineLevel="3" x14ac:dyDescent="0.2">
      <c r="A12916" s="14" t="s">
        <v>25396</v>
      </c>
      <c r="B12916" s="15" t="s">
        <v>25397</v>
      </c>
      <c r="C12916" s="19">
        <f>1650.17/(1+B2)</f>
        <v>1650.17</v>
      </c>
      <c r="D12916" s="17" t="s">
        <v>11</v>
      </c>
      <c r="E12916" s="17"/>
      <c r="F12916" s="18"/>
      <c r="G12916" s="36" t="str">
        <f>IF(ISNUMBER(F12916),C12916*F12916,"")</f>
        <v/>
      </c>
    </row>
    <row r="12917" spans="1:7" ht="24" customHeight="1" outlineLevel="3" x14ac:dyDescent="0.2">
      <c r="A12917" s="14" t="s">
        <v>25398</v>
      </c>
      <c r="B12917" s="15" t="s">
        <v>25399</v>
      </c>
      <c r="C12917" s="19">
        <f>2297.06/(1+B2)</f>
        <v>2297.06</v>
      </c>
      <c r="D12917" s="17" t="s">
        <v>11</v>
      </c>
      <c r="E12917" s="17"/>
      <c r="F12917" s="18"/>
      <c r="G12917" s="36" t="str">
        <f>IF(ISNUMBER(F12917),C12917*F12917,"")</f>
        <v/>
      </c>
    </row>
    <row r="12918" spans="1:7" ht="12" customHeight="1" outlineLevel="3" x14ac:dyDescent="0.2">
      <c r="A12918" s="14" t="s">
        <v>25400</v>
      </c>
      <c r="B12918" s="15" t="s">
        <v>25401</v>
      </c>
      <c r="C12918" s="19">
        <f>2563.57/(1+B2)</f>
        <v>2563.5700000000002</v>
      </c>
      <c r="D12918" s="17" t="s">
        <v>11</v>
      </c>
      <c r="E12918" s="17"/>
      <c r="F12918" s="18"/>
      <c r="G12918" s="36" t="str">
        <f>IF(ISNUMBER(F12918),C12918*F12918,"")</f>
        <v/>
      </c>
    </row>
    <row r="12919" spans="1:7" ht="24" customHeight="1" outlineLevel="3" x14ac:dyDescent="0.2">
      <c r="A12919" s="14" t="s">
        <v>25402</v>
      </c>
      <c r="B12919" s="15" t="s">
        <v>25403</v>
      </c>
      <c r="C12919" s="19">
        <f>3155.21/(1+B2)</f>
        <v>3155.21</v>
      </c>
      <c r="D12919" s="17" t="s">
        <v>11</v>
      </c>
      <c r="E12919" s="17"/>
      <c r="F12919" s="18"/>
      <c r="G12919" s="36" t="str">
        <f>IF(ISNUMBER(F12919),C12919*F12919,"")</f>
        <v/>
      </c>
    </row>
    <row r="12920" spans="1:7" ht="24" customHeight="1" outlineLevel="3" x14ac:dyDescent="0.2">
      <c r="A12920" s="14" t="s">
        <v>25404</v>
      </c>
      <c r="B12920" s="15" t="s">
        <v>25405</v>
      </c>
      <c r="C12920" s="19">
        <f>3140.57/(1+B2)</f>
        <v>3140.57</v>
      </c>
      <c r="D12920" s="17" t="s">
        <v>11</v>
      </c>
      <c r="E12920" s="17"/>
      <c r="F12920" s="18"/>
      <c r="G12920" s="36" t="str">
        <f>IF(ISNUMBER(F12920),C12920*F12920,"")</f>
        <v/>
      </c>
    </row>
    <row r="12921" spans="1:7" ht="12" customHeight="1" outlineLevel="3" x14ac:dyDescent="0.2">
      <c r="A12921" s="14" t="s">
        <v>25406</v>
      </c>
      <c r="B12921" s="15" t="s">
        <v>25407</v>
      </c>
      <c r="C12921" s="19">
        <f>2967.24/(1+B2)</f>
        <v>2967.24</v>
      </c>
      <c r="D12921" s="17" t="s">
        <v>11</v>
      </c>
      <c r="E12921" s="17"/>
      <c r="F12921" s="18"/>
      <c r="G12921" s="36" t="str">
        <f>IF(ISNUMBER(F12921),C12921*F12921,"")</f>
        <v/>
      </c>
    </row>
    <row r="12922" spans="1:7" ht="12" customHeight="1" outlineLevel="3" x14ac:dyDescent="0.2">
      <c r="A12922" s="14" t="s">
        <v>25408</v>
      </c>
      <c r="B12922" s="15" t="s">
        <v>25409</v>
      </c>
      <c r="C12922" s="19">
        <f>3686.94/(1+B2)</f>
        <v>3686.94</v>
      </c>
      <c r="D12922" s="17" t="s">
        <v>11</v>
      </c>
      <c r="E12922" s="17"/>
      <c r="F12922" s="18"/>
      <c r="G12922" s="36" t="str">
        <f>IF(ISNUMBER(F12922),C12922*F12922,"")</f>
        <v/>
      </c>
    </row>
    <row r="12923" spans="1:7" ht="12" customHeight="1" outlineLevel="3" x14ac:dyDescent="0.2">
      <c r="A12923" s="14" t="s">
        <v>25410</v>
      </c>
      <c r="B12923" s="15" t="s">
        <v>25411</v>
      </c>
      <c r="C12923" s="19">
        <f>4163.68/(1+B2)</f>
        <v>4163.68</v>
      </c>
      <c r="D12923" s="17" t="s">
        <v>11</v>
      </c>
      <c r="E12923" s="17"/>
      <c r="F12923" s="18"/>
      <c r="G12923" s="36" t="str">
        <f>IF(ISNUMBER(F12923),C12923*F12923,"")</f>
        <v/>
      </c>
    </row>
    <row r="12924" spans="1:7" ht="24" customHeight="1" outlineLevel="3" x14ac:dyDescent="0.2">
      <c r="A12924" s="14" t="s">
        <v>25412</v>
      </c>
      <c r="B12924" s="15" t="s">
        <v>25413</v>
      </c>
      <c r="C12924" s="19">
        <f>1624.76/(1+B2)</f>
        <v>1624.76</v>
      </c>
      <c r="D12924" s="17" t="s">
        <v>11</v>
      </c>
      <c r="E12924" s="17"/>
      <c r="F12924" s="18"/>
      <c r="G12924" s="36" t="str">
        <f>IF(ISNUMBER(F12924),C12924*F12924,"")</f>
        <v/>
      </c>
    </row>
    <row r="12925" spans="1:7" ht="12" customHeight="1" outlineLevel="3" x14ac:dyDescent="0.2">
      <c r="A12925" s="14" t="s">
        <v>25414</v>
      </c>
      <c r="B12925" s="15" t="s">
        <v>25415</v>
      </c>
      <c r="C12925" s="19">
        <f>1736.92/(1+B2)</f>
        <v>1736.92</v>
      </c>
      <c r="D12925" s="17" t="s">
        <v>11</v>
      </c>
      <c r="E12925" s="17"/>
      <c r="F12925" s="18"/>
      <c r="G12925" s="36" t="str">
        <f>IF(ISNUMBER(F12925),C12925*F12925,"")</f>
        <v/>
      </c>
    </row>
    <row r="12926" spans="1:7" ht="12" customHeight="1" outlineLevel="3" x14ac:dyDescent="0.2">
      <c r="A12926" s="14" t="s">
        <v>25416</v>
      </c>
      <c r="B12926" s="15" t="s">
        <v>25417</v>
      </c>
      <c r="C12926" s="19">
        <f>2327.08/(1+B2)</f>
        <v>2327.08</v>
      </c>
      <c r="D12926" s="17" t="s">
        <v>11</v>
      </c>
      <c r="E12926" s="17"/>
      <c r="F12926" s="18"/>
      <c r="G12926" s="36" t="str">
        <f>IF(ISNUMBER(F12926),C12926*F12926,"")</f>
        <v/>
      </c>
    </row>
    <row r="12927" spans="1:7" ht="24" customHeight="1" outlineLevel="3" x14ac:dyDescent="0.2">
      <c r="A12927" s="14" t="s">
        <v>25418</v>
      </c>
      <c r="B12927" s="15" t="s">
        <v>25419</v>
      </c>
      <c r="C12927" s="19">
        <f>2452.73/(1+B2)</f>
        <v>2452.73</v>
      </c>
      <c r="D12927" s="17" t="s">
        <v>11</v>
      </c>
      <c r="E12927" s="17"/>
      <c r="F12927" s="18"/>
      <c r="G12927" s="36" t="str">
        <f>IF(ISNUMBER(F12927),C12927*F12927,"")</f>
        <v/>
      </c>
    </row>
    <row r="12928" spans="1:7" ht="24" customHeight="1" outlineLevel="3" x14ac:dyDescent="0.2">
      <c r="A12928" s="14" t="s">
        <v>25420</v>
      </c>
      <c r="B12928" s="15" t="s">
        <v>25421</v>
      </c>
      <c r="C12928" s="19">
        <f>2860.66/(1+B2)</f>
        <v>2860.66</v>
      </c>
      <c r="D12928" s="17" t="s">
        <v>11</v>
      </c>
      <c r="E12928" s="17"/>
      <c r="F12928" s="18"/>
      <c r="G12928" s="36" t="str">
        <f>IF(ISNUMBER(F12928),C12928*F12928,"")</f>
        <v/>
      </c>
    </row>
    <row r="12929" spans="1:7" ht="12" customHeight="1" outlineLevel="3" x14ac:dyDescent="0.2">
      <c r="A12929" s="14" t="s">
        <v>25422</v>
      </c>
      <c r="B12929" s="15" t="s">
        <v>25423</v>
      </c>
      <c r="C12929" s="19">
        <f>2603.85/(1+B2)</f>
        <v>2603.85</v>
      </c>
      <c r="D12929" s="17" t="s">
        <v>11</v>
      </c>
      <c r="E12929" s="17"/>
      <c r="F12929" s="18"/>
      <c r="G12929" s="36" t="str">
        <f>IF(ISNUMBER(F12929),C12929*F12929,"")</f>
        <v/>
      </c>
    </row>
    <row r="12930" spans="1:7" ht="12" customHeight="1" outlineLevel="3" x14ac:dyDescent="0.2">
      <c r="A12930" s="14" t="s">
        <v>25424</v>
      </c>
      <c r="B12930" s="15" t="s">
        <v>25425</v>
      </c>
      <c r="C12930" s="16">
        <f>125.76/(1+B2)</f>
        <v>125.76</v>
      </c>
      <c r="D12930" s="17" t="s">
        <v>11</v>
      </c>
      <c r="E12930" s="17"/>
      <c r="F12930" s="18"/>
      <c r="G12930" s="36" t="str">
        <f>IF(ISNUMBER(F12930),C12930*F12930,"")</f>
        <v/>
      </c>
    </row>
    <row r="12931" spans="1:7" ht="12" customHeight="1" outlineLevel="3" x14ac:dyDescent="0.2">
      <c r="A12931" s="14" t="s">
        <v>25426</v>
      </c>
      <c r="B12931" s="15" t="s">
        <v>25427</v>
      </c>
      <c r="C12931" s="16">
        <f>324/(1+B2)</f>
        <v>324</v>
      </c>
      <c r="D12931" s="17" t="s">
        <v>11</v>
      </c>
      <c r="E12931" s="17"/>
      <c r="F12931" s="18"/>
      <c r="G12931" s="36" t="str">
        <f>IF(ISNUMBER(F12931),C12931*F12931,"")</f>
        <v/>
      </c>
    </row>
    <row r="12932" spans="1:7" ht="12" customHeight="1" outlineLevel="3" x14ac:dyDescent="0.2">
      <c r="A12932" s="14" t="s">
        <v>25428</v>
      </c>
      <c r="B12932" s="15" t="s">
        <v>25429</v>
      </c>
      <c r="C12932" s="16">
        <f>533.91/(1+B2)</f>
        <v>533.91</v>
      </c>
      <c r="D12932" s="17" t="s">
        <v>11</v>
      </c>
      <c r="E12932" s="17"/>
      <c r="F12932" s="18"/>
      <c r="G12932" s="36" t="str">
        <f>IF(ISNUMBER(F12932),C12932*F12932,"")</f>
        <v/>
      </c>
    </row>
    <row r="12933" spans="1:7" ht="12" customHeight="1" outlineLevel="3" x14ac:dyDescent="0.2">
      <c r="A12933" s="14" t="s">
        <v>25430</v>
      </c>
      <c r="B12933" s="15" t="s">
        <v>25431</v>
      </c>
      <c r="C12933" s="16">
        <f>670.95/(1+B2)</f>
        <v>670.95</v>
      </c>
      <c r="D12933" s="17" t="s">
        <v>11</v>
      </c>
      <c r="E12933" s="17"/>
      <c r="F12933" s="18"/>
      <c r="G12933" s="36" t="str">
        <f>IF(ISNUMBER(F12933),C12933*F12933,"")</f>
        <v/>
      </c>
    </row>
    <row r="12934" spans="1:7" ht="12" customHeight="1" outlineLevel="3" x14ac:dyDescent="0.2">
      <c r="A12934" s="14" t="s">
        <v>25432</v>
      </c>
      <c r="B12934" s="15" t="s">
        <v>25433</v>
      </c>
      <c r="C12934" s="16">
        <f>166.33/(1+B2)</f>
        <v>166.33</v>
      </c>
      <c r="D12934" s="17" t="s">
        <v>11</v>
      </c>
      <c r="E12934" s="17"/>
      <c r="F12934" s="18"/>
      <c r="G12934" s="36" t="str">
        <f>IF(ISNUMBER(F12934),C12934*F12934,"")</f>
        <v/>
      </c>
    </row>
    <row r="12935" spans="1:7" ht="12" customHeight="1" outlineLevel="3" x14ac:dyDescent="0.2">
      <c r="A12935" s="14" t="s">
        <v>25434</v>
      </c>
      <c r="B12935" s="15" t="s">
        <v>25435</v>
      </c>
      <c r="C12935" s="16">
        <f>231.3/(1+B2)</f>
        <v>231.3</v>
      </c>
      <c r="D12935" s="17" t="s">
        <v>11</v>
      </c>
      <c r="E12935" s="17"/>
      <c r="F12935" s="18"/>
      <c r="G12935" s="36" t="str">
        <f>IF(ISNUMBER(F12935),C12935*F12935,"")</f>
        <v/>
      </c>
    </row>
    <row r="12936" spans="1:7" ht="12" customHeight="1" outlineLevel="3" x14ac:dyDescent="0.2">
      <c r="A12936" s="14" t="s">
        <v>25436</v>
      </c>
      <c r="B12936" s="15" t="s">
        <v>25437</v>
      </c>
      <c r="C12936" s="16">
        <f>281.84/(1+B2)</f>
        <v>281.83999999999997</v>
      </c>
      <c r="D12936" s="17" t="s">
        <v>11</v>
      </c>
      <c r="E12936" s="17"/>
      <c r="F12936" s="18"/>
      <c r="G12936" s="36" t="str">
        <f>IF(ISNUMBER(F12936),C12936*F12936,"")</f>
        <v/>
      </c>
    </row>
    <row r="12937" spans="1:7" ht="12" customHeight="1" outlineLevel="3" x14ac:dyDescent="0.2">
      <c r="A12937" s="14" t="s">
        <v>25438</v>
      </c>
      <c r="B12937" s="15" t="s">
        <v>25439</v>
      </c>
      <c r="C12937" s="16">
        <f>370.96/(1+B2)</f>
        <v>370.96</v>
      </c>
      <c r="D12937" s="17" t="s">
        <v>11</v>
      </c>
      <c r="E12937" s="17"/>
      <c r="F12937" s="18"/>
      <c r="G12937" s="36" t="str">
        <f>IF(ISNUMBER(F12937),C12937*F12937,"")</f>
        <v/>
      </c>
    </row>
    <row r="12938" spans="1:7" ht="12" customHeight="1" outlineLevel="3" x14ac:dyDescent="0.2">
      <c r="A12938" s="14" t="s">
        <v>25440</v>
      </c>
      <c r="B12938" s="15" t="s">
        <v>25441</v>
      </c>
      <c r="C12938" s="16">
        <f>636.69/(1+B2)</f>
        <v>636.69000000000005</v>
      </c>
      <c r="D12938" s="17" t="s">
        <v>11</v>
      </c>
      <c r="E12938" s="17"/>
      <c r="F12938" s="18"/>
      <c r="G12938" s="36" t="str">
        <f>IF(ISNUMBER(F12938),C12938*F12938,"")</f>
        <v/>
      </c>
    </row>
    <row r="12939" spans="1:7" ht="24" customHeight="1" outlineLevel="3" x14ac:dyDescent="0.2">
      <c r="A12939" s="14" t="s">
        <v>25442</v>
      </c>
      <c r="B12939" s="15" t="s">
        <v>25443</v>
      </c>
      <c r="C12939" s="19">
        <f>1132.78/(1+B2)</f>
        <v>1132.78</v>
      </c>
      <c r="D12939" s="17" t="s">
        <v>11</v>
      </c>
      <c r="E12939" s="17"/>
      <c r="F12939" s="18"/>
      <c r="G12939" s="36" t="str">
        <f>IF(ISNUMBER(F12939),C12939*F12939,"")</f>
        <v/>
      </c>
    </row>
    <row r="12940" spans="1:7" ht="24" customHeight="1" outlineLevel="3" x14ac:dyDescent="0.2">
      <c r="A12940" s="14" t="s">
        <v>25444</v>
      </c>
      <c r="B12940" s="15" t="s">
        <v>25445</v>
      </c>
      <c r="C12940" s="19">
        <f>1827.78/(1+B2)</f>
        <v>1827.78</v>
      </c>
      <c r="D12940" s="17" t="s">
        <v>11</v>
      </c>
      <c r="E12940" s="17"/>
      <c r="F12940" s="18"/>
      <c r="G12940" s="36" t="str">
        <f>IF(ISNUMBER(F12940),C12940*F12940,"")</f>
        <v/>
      </c>
    </row>
    <row r="12941" spans="1:7" ht="24" customHeight="1" outlineLevel="3" x14ac:dyDescent="0.2">
      <c r="A12941" s="14" t="s">
        <v>25446</v>
      </c>
      <c r="B12941" s="15" t="s">
        <v>25447</v>
      </c>
      <c r="C12941" s="19">
        <f>1554.23/(1+B2)</f>
        <v>1554.23</v>
      </c>
      <c r="D12941" s="17" t="s">
        <v>11</v>
      </c>
      <c r="E12941" s="17"/>
      <c r="F12941" s="18"/>
      <c r="G12941" s="36" t="str">
        <f>IF(ISNUMBER(F12941),C12941*F12941,"")</f>
        <v/>
      </c>
    </row>
    <row r="12942" spans="1:7" ht="24" customHeight="1" outlineLevel="3" x14ac:dyDescent="0.2">
      <c r="A12942" s="14" t="s">
        <v>25448</v>
      </c>
      <c r="B12942" s="15" t="s">
        <v>25449</v>
      </c>
      <c r="C12942" s="19">
        <f>1863.86/(1+B2)</f>
        <v>1863.86</v>
      </c>
      <c r="D12942" s="17" t="s">
        <v>11</v>
      </c>
      <c r="E12942" s="17"/>
      <c r="F12942" s="18"/>
      <c r="G12942" s="36" t="str">
        <f>IF(ISNUMBER(F12942),C12942*F12942,"")</f>
        <v/>
      </c>
    </row>
    <row r="12943" spans="1:7" ht="12" customHeight="1" outlineLevel="3" x14ac:dyDescent="0.2">
      <c r="A12943" s="14" t="s">
        <v>25450</v>
      </c>
      <c r="B12943" s="15" t="s">
        <v>25451</v>
      </c>
      <c r="C12943" s="16">
        <f>645.38/(1+B2)</f>
        <v>645.38</v>
      </c>
      <c r="D12943" s="17" t="s">
        <v>11</v>
      </c>
      <c r="E12943" s="17"/>
      <c r="F12943" s="18"/>
      <c r="G12943" s="36" t="str">
        <f>IF(ISNUMBER(F12943),C12943*F12943,"")</f>
        <v/>
      </c>
    </row>
    <row r="12944" spans="1:7" ht="12" customHeight="1" outlineLevel="3" x14ac:dyDescent="0.2">
      <c r="A12944" s="14" t="s">
        <v>25452</v>
      </c>
      <c r="B12944" s="15" t="s">
        <v>25453</v>
      </c>
      <c r="C12944" s="16">
        <f>440.91/(1+B2)</f>
        <v>440.91</v>
      </c>
      <c r="D12944" s="17" t="s">
        <v>11</v>
      </c>
      <c r="E12944" s="17"/>
      <c r="F12944" s="18"/>
      <c r="G12944" s="36" t="str">
        <f>IF(ISNUMBER(F12944),C12944*F12944,"")</f>
        <v/>
      </c>
    </row>
    <row r="12945" spans="1:7" s="1" customFormat="1" ht="15.95" customHeight="1" outlineLevel="1" x14ac:dyDescent="0.25">
      <c r="A12945" s="11"/>
      <c r="B12945" s="12" t="s">
        <v>25454</v>
      </c>
      <c r="C12945" s="13"/>
      <c r="D12945" s="13"/>
      <c r="E12945" s="13"/>
      <c r="F12945" s="13"/>
      <c r="G12945" s="35"/>
    </row>
    <row r="12946" spans="1:7" ht="12" customHeight="1" outlineLevel="2" x14ac:dyDescent="0.2">
      <c r="A12946" s="14" t="s">
        <v>25455</v>
      </c>
      <c r="B12946" s="15" t="s">
        <v>25456</v>
      </c>
      <c r="C12946" s="16">
        <f>364.59/(1+B2)</f>
        <v>364.59</v>
      </c>
      <c r="D12946" s="17" t="s">
        <v>11</v>
      </c>
      <c r="E12946" s="17"/>
      <c r="F12946" s="18"/>
      <c r="G12946" s="36" t="str">
        <f>IF(ISNUMBER(F12946),C12946*F12946,"")</f>
        <v/>
      </c>
    </row>
    <row r="12947" spans="1:7" ht="12" customHeight="1" outlineLevel="2" x14ac:dyDescent="0.2">
      <c r="A12947" s="14" t="s">
        <v>25457</v>
      </c>
      <c r="B12947" s="15" t="s">
        <v>25458</v>
      </c>
      <c r="C12947" s="16">
        <f>602.84/(1+B2)</f>
        <v>602.84</v>
      </c>
      <c r="D12947" s="17" t="s">
        <v>11</v>
      </c>
      <c r="E12947" s="17"/>
      <c r="F12947" s="18"/>
      <c r="G12947" s="36" t="str">
        <f>IF(ISNUMBER(F12947),C12947*F12947,"")</f>
        <v/>
      </c>
    </row>
    <row r="12948" spans="1:7" ht="12" customHeight="1" outlineLevel="2" x14ac:dyDescent="0.2">
      <c r="A12948" s="14" t="s">
        <v>25459</v>
      </c>
      <c r="B12948" s="15" t="s">
        <v>25460</v>
      </c>
      <c r="C12948" s="16">
        <f>382.82/(1+B2)</f>
        <v>382.82</v>
      </c>
      <c r="D12948" s="17" t="s">
        <v>11</v>
      </c>
      <c r="E12948" s="17"/>
      <c r="F12948" s="18"/>
      <c r="G12948" s="36" t="str">
        <f>IF(ISNUMBER(F12948),C12948*F12948,"")</f>
        <v/>
      </c>
    </row>
    <row r="12949" spans="1:7" ht="12" customHeight="1" outlineLevel="2" x14ac:dyDescent="0.2">
      <c r="A12949" s="14" t="s">
        <v>25461</v>
      </c>
      <c r="B12949" s="15" t="s">
        <v>25462</v>
      </c>
      <c r="C12949" s="16">
        <f>551.17/(1+B2)</f>
        <v>551.16999999999996</v>
      </c>
      <c r="D12949" s="17" t="s">
        <v>11</v>
      </c>
      <c r="E12949" s="17"/>
      <c r="F12949" s="18"/>
      <c r="G12949" s="36" t="str">
        <f>IF(ISNUMBER(F12949),C12949*F12949,"")</f>
        <v/>
      </c>
    </row>
    <row r="12950" spans="1:7" ht="12" customHeight="1" outlineLevel="2" x14ac:dyDescent="0.2">
      <c r="A12950" s="14" t="s">
        <v>25463</v>
      </c>
      <c r="B12950" s="15" t="s">
        <v>25464</v>
      </c>
      <c r="C12950" s="16">
        <f>695.61/(1+B2)</f>
        <v>695.61</v>
      </c>
      <c r="D12950" s="17" t="s">
        <v>11</v>
      </c>
      <c r="E12950" s="17"/>
      <c r="F12950" s="18"/>
      <c r="G12950" s="36" t="str">
        <f>IF(ISNUMBER(F12950),C12950*F12950,"")</f>
        <v/>
      </c>
    </row>
    <row r="12951" spans="1:7" ht="12" customHeight="1" outlineLevel="2" x14ac:dyDescent="0.2">
      <c r="A12951" s="14" t="s">
        <v>25465</v>
      </c>
      <c r="B12951" s="15" t="s">
        <v>25466</v>
      </c>
      <c r="C12951" s="16">
        <f>397.71/(1+B2)</f>
        <v>397.71</v>
      </c>
      <c r="D12951" s="17" t="s">
        <v>11</v>
      </c>
      <c r="E12951" s="17"/>
      <c r="F12951" s="18"/>
      <c r="G12951" s="36" t="str">
        <f>IF(ISNUMBER(F12951),C12951*F12951,"")</f>
        <v/>
      </c>
    </row>
    <row r="12952" spans="1:7" ht="12" customHeight="1" outlineLevel="2" x14ac:dyDescent="0.2">
      <c r="A12952" s="14" t="s">
        <v>25467</v>
      </c>
      <c r="B12952" s="15" t="s">
        <v>25468</v>
      </c>
      <c r="C12952" s="16">
        <f>454.1/(1+B2)</f>
        <v>454.1</v>
      </c>
      <c r="D12952" s="17" t="s">
        <v>11</v>
      </c>
      <c r="E12952" s="17"/>
      <c r="F12952" s="18"/>
      <c r="G12952" s="36" t="str">
        <f>IF(ISNUMBER(F12952),C12952*F12952,"")</f>
        <v/>
      </c>
    </row>
    <row r="12953" spans="1:7" ht="12" customHeight="1" outlineLevel="2" x14ac:dyDescent="0.2">
      <c r="A12953" s="14" t="s">
        <v>25469</v>
      </c>
      <c r="B12953" s="15" t="s">
        <v>25470</v>
      </c>
      <c r="C12953" s="16">
        <f>430.39/(1+B2)</f>
        <v>430.39</v>
      </c>
      <c r="D12953" s="17" t="s">
        <v>11</v>
      </c>
      <c r="E12953" s="17"/>
      <c r="F12953" s="18"/>
      <c r="G12953" s="36" t="str">
        <f>IF(ISNUMBER(F12953),C12953*F12953,"")</f>
        <v/>
      </c>
    </row>
    <row r="12954" spans="1:7" ht="12" customHeight="1" outlineLevel="2" x14ac:dyDescent="0.2">
      <c r="A12954" s="14" t="s">
        <v>25471</v>
      </c>
      <c r="B12954" s="15" t="s">
        <v>25472</v>
      </c>
      <c r="C12954" s="16">
        <f>431.1/(1+B2)</f>
        <v>431.1</v>
      </c>
      <c r="D12954" s="17" t="s">
        <v>11</v>
      </c>
      <c r="E12954" s="17"/>
      <c r="F12954" s="18"/>
      <c r="G12954" s="36" t="str">
        <f>IF(ISNUMBER(F12954),C12954*F12954,"")</f>
        <v/>
      </c>
    </row>
    <row r="12955" spans="1:7" ht="24" customHeight="1" outlineLevel="2" x14ac:dyDescent="0.2">
      <c r="A12955" s="14" t="s">
        <v>25473</v>
      </c>
      <c r="B12955" s="15" t="s">
        <v>25474</v>
      </c>
      <c r="C12955" s="16">
        <f>473.22/(1+B2)</f>
        <v>473.22</v>
      </c>
      <c r="D12955" s="17" t="s">
        <v>11</v>
      </c>
      <c r="E12955" s="17"/>
      <c r="F12955" s="18"/>
      <c r="G12955" s="36" t="str">
        <f>IF(ISNUMBER(F12955),C12955*F12955,"")</f>
        <v/>
      </c>
    </row>
    <row r="12956" spans="1:7" ht="24" customHeight="1" outlineLevel="2" x14ac:dyDescent="0.2">
      <c r="A12956" s="14" t="s">
        <v>25475</v>
      </c>
      <c r="B12956" s="15" t="s">
        <v>25476</v>
      </c>
      <c r="C12956" s="16">
        <f>494.43/(1+B2)</f>
        <v>494.43</v>
      </c>
      <c r="D12956" s="17" t="s">
        <v>11</v>
      </c>
      <c r="E12956" s="17"/>
      <c r="F12956" s="18"/>
      <c r="G12956" s="36" t="str">
        <f>IF(ISNUMBER(F12956),C12956*F12956,"")</f>
        <v/>
      </c>
    </row>
    <row r="12957" spans="1:7" ht="24" customHeight="1" outlineLevel="2" x14ac:dyDescent="0.2">
      <c r="A12957" s="14" t="s">
        <v>25477</v>
      </c>
      <c r="B12957" s="15" t="s">
        <v>25478</v>
      </c>
      <c r="C12957" s="16">
        <f>505.53/(1+B2)</f>
        <v>505.53</v>
      </c>
      <c r="D12957" s="17" t="s">
        <v>11</v>
      </c>
      <c r="E12957" s="17"/>
      <c r="F12957" s="18"/>
      <c r="G12957" s="36" t="str">
        <f>IF(ISNUMBER(F12957),C12957*F12957,"")</f>
        <v/>
      </c>
    </row>
    <row r="12958" spans="1:7" ht="12" customHeight="1" outlineLevel="2" x14ac:dyDescent="0.2">
      <c r="A12958" s="14" t="s">
        <v>25479</v>
      </c>
      <c r="B12958" s="15" t="s">
        <v>25480</v>
      </c>
      <c r="C12958" s="16">
        <f>997.4/(1+B2)</f>
        <v>997.4</v>
      </c>
      <c r="D12958" s="17" t="s">
        <v>11</v>
      </c>
      <c r="E12958" s="17"/>
      <c r="F12958" s="18"/>
      <c r="G12958" s="36" t="str">
        <f>IF(ISNUMBER(F12958),C12958*F12958,"")</f>
        <v/>
      </c>
    </row>
    <row r="12959" spans="1:7" ht="12" customHeight="1" outlineLevel="2" x14ac:dyDescent="0.2">
      <c r="A12959" s="14" t="s">
        <v>25481</v>
      </c>
      <c r="B12959" s="15" t="s">
        <v>25482</v>
      </c>
      <c r="C12959" s="16">
        <f>901.02/(1+B2)</f>
        <v>901.02</v>
      </c>
      <c r="D12959" s="17" t="s">
        <v>11</v>
      </c>
      <c r="E12959" s="17"/>
      <c r="F12959" s="18"/>
      <c r="G12959" s="36" t="str">
        <f>IF(ISNUMBER(F12959),C12959*F12959,"")</f>
        <v/>
      </c>
    </row>
    <row r="12960" spans="1:7" ht="12" customHeight="1" outlineLevel="2" x14ac:dyDescent="0.2">
      <c r="A12960" s="14" t="s">
        <v>25483</v>
      </c>
      <c r="B12960" s="15" t="s">
        <v>25484</v>
      </c>
      <c r="C12960" s="19">
        <f>1299.95/(1+B2)</f>
        <v>1299.95</v>
      </c>
      <c r="D12960" s="17" t="s">
        <v>11</v>
      </c>
      <c r="E12960" s="17"/>
      <c r="F12960" s="18"/>
      <c r="G12960" s="36" t="str">
        <f>IF(ISNUMBER(F12960),C12960*F12960,"")</f>
        <v/>
      </c>
    </row>
    <row r="12961" spans="1:7" ht="12" customHeight="1" outlineLevel="2" x14ac:dyDescent="0.2">
      <c r="A12961" s="14" t="s">
        <v>25485</v>
      </c>
      <c r="B12961" s="15" t="s">
        <v>25486</v>
      </c>
      <c r="C12961" s="19">
        <f>1193.63/(1+B2)</f>
        <v>1193.6300000000001</v>
      </c>
      <c r="D12961" s="17" t="s">
        <v>11</v>
      </c>
      <c r="E12961" s="17"/>
      <c r="F12961" s="18"/>
      <c r="G12961" s="36" t="str">
        <f>IF(ISNUMBER(F12961),C12961*F12961,"")</f>
        <v/>
      </c>
    </row>
    <row r="12962" spans="1:7" ht="24" customHeight="1" outlineLevel="2" x14ac:dyDescent="0.2">
      <c r="A12962" s="14" t="s">
        <v>25487</v>
      </c>
      <c r="B12962" s="15" t="s">
        <v>25488</v>
      </c>
      <c r="C12962" s="19">
        <f>1279.35/(1+B2)</f>
        <v>1279.3499999999999</v>
      </c>
      <c r="D12962" s="17" t="s">
        <v>11</v>
      </c>
      <c r="E12962" s="17"/>
      <c r="F12962" s="18"/>
      <c r="G12962" s="36" t="str">
        <f>IF(ISNUMBER(F12962),C12962*F12962,"")</f>
        <v/>
      </c>
    </row>
    <row r="12963" spans="1:7" ht="24" customHeight="1" outlineLevel="2" x14ac:dyDescent="0.2">
      <c r="A12963" s="14" t="s">
        <v>25489</v>
      </c>
      <c r="B12963" s="15" t="s">
        <v>25490</v>
      </c>
      <c r="C12963" s="19">
        <f>1266.51/(1+B2)</f>
        <v>1266.51</v>
      </c>
      <c r="D12963" s="17" t="s">
        <v>11</v>
      </c>
      <c r="E12963" s="17"/>
      <c r="F12963" s="18"/>
      <c r="G12963" s="36" t="str">
        <f>IF(ISNUMBER(F12963),C12963*F12963,"")</f>
        <v/>
      </c>
    </row>
    <row r="12964" spans="1:7" ht="12" customHeight="1" outlineLevel="2" x14ac:dyDescent="0.2">
      <c r="A12964" s="14" t="s">
        <v>25491</v>
      </c>
      <c r="B12964" s="15" t="s">
        <v>25492</v>
      </c>
      <c r="C12964" s="19">
        <f>1243.45/(1+B2)</f>
        <v>1243.45</v>
      </c>
      <c r="D12964" s="17" t="s">
        <v>11</v>
      </c>
      <c r="E12964" s="17"/>
      <c r="F12964" s="18"/>
      <c r="G12964" s="36" t="str">
        <f>IF(ISNUMBER(F12964),C12964*F12964,"")</f>
        <v/>
      </c>
    </row>
    <row r="12965" spans="1:7" ht="24" customHeight="1" outlineLevel="2" x14ac:dyDescent="0.2">
      <c r="A12965" s="14" t="s">
        <v>25493</v>
      </c>
      <c r="B12965" s="15" t="s">
        <v>25494</v>
      </c>
      <c r="C12965" s="19">
        <f>1310.04/(1+B2)</f>
        <v>1310.04</v>
      </c>
      <c r="D12965" s="17" t="s">
        <v>11</v>
      </c>
      <c r="E12965" s="17"/>
      <c r="F12965" s="18"/>
      <c r="G12965" s="36" t="str">
        <f>IF(ISNUMBER(F12965),C12965*F12965,"")</f>
        <v/>
      </c>
    </row>
    <row r="12966" spans="1:7" ht="24" customHeight="1" outlineLevel="2" x14ac:dyDescent="0.2">
      <c r="A12966" s="14" t="s">
        <v>25495</v>
      </c>
      <c r="B12966" s="15" t="s">
        <v>25496</v>
      </c>
      <c r="C12966" s="19">
        <f>1604.1/(1+B2)</f>
        <v>1604.1</v>
      </c>
      <c r="D12966" s="17" t="s">
        <v>11</v>
      </c>
      <c r="E12966" s="17"/>
      <c r="F12966" s="18"/>
      <c r="G12966" s="36" t="str">
        <f>IF(ISNUMBER(F12966),C12966*F12966,"")</f>
        <v/>
      </c>
    </row>
    <row r="12967" spans="1:7" ht="12" customHeight="1" outlineLevel="2" x14ac:dyDescent="0.2">
      <c r="A12967" s="14" t="s">
        <v>25497</v>
      </c>
      <c r="B12967" s="15" t="s">
        <v>25498</v>
      </c>
      <c r="C12967" s="19">
        <f>1319.89/(1+B2)</f>
        <v>1319.89</v>
      </c>
      <c r="D12967" s="17" t="s">
        <v>11</v>
      </c>
      <c r="E12967" s="17"/>
      <c r="F12967" s="18"/>
      <c r="G12967" s="36" t="str">
        <f>IF(ISNUMBER(F12967),C12967*F12967,"")</f>
        <v/>
      </c>
    </row>
    <row r="12968" spans="1:7" ht="24" customHeight="1" outlineLevel="2" x14ac:dyDescent="0.2">
      <c r="A12968" s="14" t="s">
        <v>25499</v>
      </c>
      <c r="B12968" s="15" t="s">
        <v>25500</v>
      </c>
      <c r="C12968" s="19">
        <f>1737.31/(1+B2)</f>
        <v>1737.31</v>
      </c>
      <c r="D12968" s="17" t="s">
        <v>11</v>
      </c>
      <c r="E12968" s="17"/>
      <c r="F12968" s="18"/>
      <c r="G12968" s="36" t="str">
        <f>IF(ISNUMBER(F12968),C12968*F12968,"")</f>
        <v/>
      </c>
    </row>
    <row r="12969" spans="1:7" ht="24" customHeight="1" outlineLevel="2" x14ac:dyDescent="0.2">
      <c r="A12969" s="14" t="s">
        <v>25501</v>
      </c>
      <c r="B12969" s="15" t="s">
        <v>25502</v>
      </c>
      <c r="C12969" s="19">
        <f>1963.17/(1+B2)</f>
        <v>1963.17</v>
      </c>
      <c r="D12969" s="17" t="s">
        <v>11</v>
      </c>
      <c r="E12969" s="17"/>
      <c r="F12969" s="18"/>
      <c r="G12969" s="36" t="str">
        <f>IF(ISNUMBER(F12969),C12969*F12969,"")</f>
        <v/>
      </c>
    </row>
    <row r="12970" spans="1:7" ht="12" customHeight="1" outlineLevel="2" x14ac:dyDescent="0.2">
      <c r="A12970" s="14" t="s">
        <v>25503</v>
      </c>
      <c r="B12970" s="15" t="s">
        <v>25504</v>
      </c>
      <c r="C12970" s="16">
        <f>939.39/(1+B2)</f>
        <v>939.39</v>
      </c>
      <c r="D12970" s="17" t="s">
        <v>11</v>
      </c>
      <c r="E12970" s="17"/>
      <c r="F12970" s="18"/>
      <c r="G12970" s="36" t="str">
        <f>IF(ISNUMBER(F12970),C12970*F12970,"")</f>
        <v/>
      </c>
    </row>
    <row r="12971" spans="1:7" ht="24" customHeight="1" outlineLevel="2" x14ac:dyDescent="0.2">
      <c r="A12971" s="14" t="s">
        <v>25505</v>
      </c>
      <c r="B12971" s="15" t="s">
        <v>25506</v>
      </c>
      <c r="C12971" s="16">
        <f>745.88/(1+B2)</f>
        <v>745.88</v>
      </c>
      <c r="D12971" s="17" t="s">
        <v>11</v>
      </c>
      <c r="E12971" s="17"/>
      <c r="F12971" s="18"/>
      <c r="G12971" s="36" t="str">
        <f>IF(ISNUMBER(F12971),C12971*F12971,"")</f>
        <v/>
      </c>
    </row>
    <row r="12972" spans="1:7" ht="12" customHeight="1" outlineLevel="2" x14ac:dyDescent="0.2">
      <c r="A12972" s="14" t="s">
        <v>25507</v>
      </c>
      <c r="B12972" s="15" t="s">
        <v>25508</v>
      </c>
      <c r="C12972" s="16">
        <f>499.99/(1+B2)</f>
        <v>499.99</v>
      </c>
      <c r="D12972" s="17" t="s">
        <v>11</v>
      </c>
      <c r="E12972" s="17"/>
      <c r="F12972" s="18"/>
      <c r="G12972" s="36" t="str">
        <f>IF(ISNUMBER(F12972),C12972*F12972,"")</f>
        <v/>
      </c>
    </row>
    <row r="12973" spans="1:7" ht="12" customHeight="1" outlineLevel="2" x14ac:dyDescent="0.2">
      <c r="A12973" s="14" t="s">
        <v>25509</v>
      </c>
      <c r="B12973" s="15" t="s">
        <v>25510</v>
      </c>
      <c r="C12973" s="16">
        <f>565.49/(1+B2)</f>
        <v>565.49</v>
      </c>
      <c r="D12973" s="17" t="s">
        <v>11</v>
      </c>
      <c r="E12973" s="17"/>
      <c r="F12973" s="18"/>
      <c r="G12973" s="36" t="str">
        <f>IF(ISNUMBER(F12973),C12973*F12973,"")</f>
        <v/>
      </c>
    </row>
    <row r="12974" spans="1:7" ht="12" customHeight="1" outlineLevel="2" x14ac:dyDescent="0.2">
      <c r="A12974" s="14" t="s">
        <v>25511</v>
      </c>
      <c r="B12974" s="15" t="s">
        <v>25512</v>
      </c>
      <c r="C12974" s="16">
        <f>606.05/(1+B2)</f>
        <v>606.04999999999995</v>
      </c>
      <c r="D12974" s="17" t="s">
        <v>11</v>
      </c>
      <c r="E12974" s="17"/>
      <c r="F12974" s="18"/>
      <c r="G12974" s="36" t="str">
        <f>IF(ISNUMBER(F12974),C12974*F12974,"")</f>
        <v/>
      </c>
    </row>
    <row r="12975" spans="1:7" ht="24" customHeight="1" outlineLevel="2" x14ac:dyDescent="0.2">
      <c r="A12975" s="14" t="s">
        <v>25513</v>
      </c>
      <c r="B12975" s="15" t="s">
        <v>25514</v>
      </c>
      <c r="C12975" s="16">
        <f>548.96/(1+B2)</f>
        <v>548.96</v>
      </c>
      <c r="D12975" s="17" t="s">
        <v>11</v>
      </c>
      <c r="E12975" s="17"/>
      <c r="F12975" s="18"/>
      <c r="G12975" s="36" t="str">
        <f>IF(ISNUMBER(F12975),C12975*F12975,"")</f>
        <v/>
      </c>
    </row>
    <row r="12976" spans="1:7" ht="24" customHeight="1" outlineLevel="2" x14ac:dyDescent="0.2">
      <c r="A12976" s="14" t="s">
        <v>25515</v>
      </c>
      <c r="B12976" s="15" t="s">
        <v>25516</v>
      </c>
      <c r="C12976" s="16">
        <f>899.67/(1+B2)</f>
        <v>899.67</v>
      </c>
      <c r="D12976" s="17" t="s">
        <v>11</v>
      </c>
      <c r="E12976" s="17"/>
      <c r="F12976" s="18"/>
      <c r="G12976" s="36" t="str">
        <f>IF(ISNUMBER(F12976),C12976*F12976,"")</f>
        <v/>
      </c>
    </row>
    <row r="12977" spans="1:7" ht="24" customHeight="1" outlineLevel="2" x14ac:dyDescent="0.2">
      <c r="A12977" s="14" t="s">
        <v>25517</v>
      </c>
      <c r="B12977" s="15" t="s">
        <v>25518</v>
      </c>
      <c r="C12977" s="16">
        <f>635.44/(1+B2)</f>
        <v>635.44000000000005</v>
      </c>
      <c r="D12977" s="17" t="s">
        <v>11</v>
      </c>
      <c r="E12977" s="17"/>
      <c r="F12977" s="18"/>
      <c r="G12977" s="36" t="str">
        <f>IF(ISNUMBER(F12977),C12977*F12977,"")</f>
        <v/>
      </c>
    </row>
    <row r="12978" spans="1:7" ht="12" customHeight="1" outlineLevel="2" x14ac:dyDescent="0.2">
      <c r="A12978" s="14" t="s">
        <v>25519</v>
      </c>
      <c r="B12978" s="15" t="s">
        <v>25520</v>
      </c>
      <c r="C12978" s="16">
        <f>197.03/(1+B2)</f>
        <v>197.03</v>
      </c>
      <c r="D12978" s="17" t="s">
        <v>11</v>
      </c>
      <c r="E12978" s="17"/>
      <c r="F12978" s="18"/>
      <c r="G12978" s="36" t="str">
        <f>IF(ISNUMBER(F12978),C12978*F12978,"")</f>
        <v/>
      </c>
    </row>
    <row r="12979" spans="1:7" ht="24" customHeight="1" outlineLevel="2" x14ac:dyDescent="0.2">
      <c r="A12979" s="14" t="s">
        <v>25521</v>
      </c>
      <c r="B12979" s="15" t="s">
        <v>25522</v>
      </c>
      <c r="C12979" s="16">
        <f>328.21/(1+B2)</f>
        <v>328.21</v>
      </c>
      <c r="D12979" s="17" t="s">
        <v>11</v>
      </c>
      <c r="E12979" s="17"/>
      <c r="F12979" s="18"/>
      <c r="G12979" s="36" t="str">
        <f>IF(ISNUMBER(F12979),C12979*F12979,"")</f>
        <v/>
      </c>
    </row>
    <row r="12980" spans="1:7" ht="12" customHeight="1" outlineLevel="2" x14ac:dyDescent="0.2">
      <c r="A12980" s="14" t="s">
        <v>25523</v>
      </c>
      <c r="B12980" s="15" t="s">
        <v>25524</v>
      </c>
      <c r="C12980" s="16">
        <f>205.62/(1+B2)</f>
        <v>205.62</v>
      </c>
      <c r="D12980" s="17" t="s">
        <v>11</v>
      </c>
      <c r="E12980" s="17"/>
      <c r="F12980" s="18"/>
      <c r="G12980" s="36" t="str">
        <f>IF(ISNUMBER(F12980),C12980*F12980,"")</f>
        <v/>
      </c>
    </row>
    <row r="12981" spans="1:7" ht="24" customHeight="1" outlineLevel="2" x14ac:dyDescent="0.2">
      <c r="A12981" s="14" t="s">
        <v>25525</v>
      </c>
      <c r="B12981" s="15" t="s">
        <v>25526</v>
      </c>
      <c r="C12981" s="16">
        <f>526.99/(1+B2)</f>
        <v>526.99</v>
      </c>
      <c r="D12981" s="17" t="s">
        <v>11</v>
      </c>
      <c r="E12981" s="17"/>
      <c r="F12981" s="18"/>
      <c r="G12981" s="36" t="str">
        <f>IF(ISNUMBER(F12981),C12981*F12981,"")</f>
        <v/>
      </c>
    </row>
    <row r="12982" spans="1:7" ht="24" customHeight="1" outlineLevel="2" x14ac:dyDescent="0.2">
      <c r="A12982" s="14" t="s">
        <v>25527</v>
      </c>
      <c r="B12982" s="15" t="s">
        <v>25528</v>
      </c>
      <c r="C12982" s="16">
        <f>198.19/(1+B2)</f>
        <v>198.19</v>
      </c>
      <c r="D12982" s="17" t="s">
        <v>11</v>
      </c>
      <c r="E12982" s="17"/>
      <c r="F12982" s="18"/>
      <c r="G12982" s="36" t="str">
        <f>IF(ISNUMBER(F12982),C12982*F12982,"")</f>
        <v/>
      </c>
    </row>
    <row r="12983" spans="1:7" ht="12" customHeight="1" outlineLevel="2" x14ac:dyDescent="0.2">
      <c r="A12983" s="14" t="s">
        <v>25529</v>
      </c>
      <c r="B12983" s="15" t="s">
        <v>25530</v>
      </c>
      <c r="C12983" s="16">
        <f>932.27/(1+B2)</f>
        <v>932.27</v>
      </c>
      <c r="D12983" s="17" t="s">
        <v>11</v>
      </c>
      <c r="E12983" s="17"/>
      <c r="F12983" s="18"/>
      <c r="G12983" s="36" t="str">
        <f>IF(ISNUMBER(F12983),C12983*F12983,"")</f>
        <v/>
      </c>
    </row>
    <row r="12984" spans="1:7" ht="12" customHeight="1" outlineLevel="2" x14ac:dyDescent="0.2">
      <c r="A12984" s="14" t="s">
        <v>25531</v>
      </c>
      <c r="B12984" s="15" t="s">
        <v>25532</v>
      </c>
      <c r="C12984" s="16">
        <f>975.67/(1+B2)</f>
        <v>975.67</v>
      </c>
      <c r="D12984" s="17" t="s">
        <v>11</v>
      </c>
      <c r="E12984" s="17"/>
      <c r="F12984" s="18"/>
      <c r="G12984" s="36" t="str">
        <f>IF(ISNUMBER(F12984),C12984*F12984,"")</f>
        <v/>
      </c>
    </row>
    <row r="12985" spans="1:7" ht="12" customHeight="1" outlineLevel="2" x14ac:dyDescent="0.2">
      <c r="A12985" s="14" t="s">
        <v>25533</v>
      </c>
      <c r="B12985" s="15" t="s">
        <v>25534</v>
      </c>
      <c r="C12985" s="16">
        <f>468.55/(1+B2)</f>
        <v>468.55</v>
      </c>
      <c r="D12985" s="17" t="s">
        <v>11</v>
      </c>
      <c r="E12985" s="17"/>
      <c r="F12985" s="18"/>
      <c r="G12985" s="36" t="str">
        <f>IF(ISNUMBER(F12985),C12985*F12985,"")</f>
        <v/>
      </c>
    </row>
    <row r="12986" spans="1:7" ht="12" customHeight="1" outlineLevel="2" x14ac:dyDescent="0.2">
      <c r="A12986" s="14" t="s">
        <v>25535</v>
      </c>
      <c r="B12986" s="15" t="s">
        <v>25536</v>
      </c>
      <c r="C12986" s="16">
        <f>314.63/(1+B2)</f>
        <v>314.63</v>
      </c>
      <c r="D12986" s="17" t="s">
        <v>11</v>
      </c>
      <c r="E12986" s="17" t="s">
        <v>11</v>
      </c>
      <c r="F12986" s="18"/>
      <c r="G12986" s="36" t="str">
        <f>IF(ISNUMBER(F12986),C12986*F12986,"")</f>
        <v/>
      </c>
    </row>
    <row r="12987" spans="1:7" ht="12" customHeight="1" outlineLevel="2" x14ac:dyDescent="0.2">
      <c r="A12987" s="14" t="s">
        <v>25537</v>
      </c>
      <c r="B12987" s="15" t="s">
        <v>25538</v>
      </c>
      <c r="C12987" s="16">
        <f>314.63/(1+B2)</f>
        <v>314.63</v>
      </c>
      <c r="D12987" s="17" t="s">
        <v>11</v>
      </c>
      <c r="E12987" s="17" t="s">
        <v>53</v>
      </c>
      <c r="F12987" s="18"/>
      <c r="G12987" s="36" t="str">
        <f>IF(ISNUMBER(F12987),C12987*F12987,"")</f>
        <v/>
      </c>
    </row>
    <row r="12988" spans="1:7" ht="12" customHeight="1" outlineLevel="2" x14ac:dyDescent="0.2">
      <c r="A12988" s="14" t="s">
        <v>25539</v>
      </c>
      <c r="B12988" s="15" t="s">
        <v>25540</v>
      </c>
      <c r="C12988" s="16">
        <f>436.95/(1+B2)</f>
        <v>436.95</v>
      </c>
      <c r="D12988" s="17" t="s">
        <v>11</v>
      </c>
      <c r="E12988" s="17" t="s">
        <v>53</v>
      </c>
      <c r="F12988" s="18"/>
      <c r="G12988" s="36" t="str">
        <f>IF(ISNUMBER(F12988),C12988*F12988,"")</f>
        <v/>
      </c>
    </row>
    <row r="12989" spans="1:7" ht="12" customHeight="1" outlineLevel="2" x14ac:dyDescent="0.2">
      <c r="A12989" s="14" t="s">
        <v>25541</v>
      </c>
      <c r="B12989" s="15" t="s">
        <v>25542</v>
      </c>
      <c r="C12989" s="16">
        <f>571.15/(1+B2)</f>
        <v>571.15</v>
      </c>
      <c r="D12989" s="17" t="s">
        <v>11</v>
      </c>
      <c r="E12989" s="17" t="s">
        <v>11</v>
      </c>
      <c r="F12989" s="18"/>
      <c r="G12989" s="36" t="str">
        <f>IF(ISNUMBER(F12989),C12989*F12989,"")</f>
        <v/>
      </c>
    </row>
    <row r="12990" spans="1:7" ht="12" customHeight="1" outlineLevel="2" x14ac:dyDescent="0.2">
      <c r="A12990" s="14" t="s">
        <v>25543</v>
      </c>
      <c r="B12990" s="15" t="s">
        <v>25544</v>
      </c>
      <c r="C12990" s="16">
        <f>954.47/(1+B2)</f>
        <v>954.47</v>
      </c>
      <c r="D12990" s="17" t="s">
        <v>11</v>
      </c>
      <c r="E12990" s="17"/>
      <c r="F12990" s="18"/>
      <c r="G12990" s="36" t="str">
        <f>IF(ISNUMBER(F12990),C12990*F12990,"")</f>
        <v/>
      </c>
    </row>
    <row r="12991" spans="1:7" ht="12" customHeight="1" outlineLevel="2" x14ac:dyDescent="0.2">
      <c r="A12991" s="14" t="s">
        <v>25545</v>
      </c>
      <c r="B12991" s="15" t="s">
        <v>25546</v>
      </c>
      <c r="C12991" s="19">
        <f>1285.32/(1+B2)</f>
        <v>1285.32</v>
      </c>
      <c r="D12991" s="17" t="s">
        <v>11</v>
      </c>
      <c r="E12991" s="17"/>
      <c r="F12991" s="18"/>
      <c r="G12991" s="36" t="str">
        <f>IF(ISNUMBER(F12991),C12991*F12991,"")</f>
        <v/>
      </c>
    </row>
    <row r="12992" spans="1:7" ht="12" customHeight="1" outlineLevel="2" x14ac:dyDescent="0.2">
      <c r="A12992" s="14" t="s">
        <v>25547</v>
      </c>
      <c r="B12992" s="15" t="s">
        <v>25548</v>
      </c>
      <c r="C12992" s="16">
        <f>535.03/(1+B2)</f>
        <v>535.03</v>
      </c>
      <c r="D12992" s="17" t="s">
        <v>11</v>
      </c>
      <c r="E12992" s="17"/>
      <c r="F12992" s="18"/>
      <c r="G12992" s="36" t="str">
        <f>IF(ISNUMBER(F12992),C12992*F12992,"")</f>
        <v/>
      </c>
    </row>
    <row r="12993" spans="1:7" ht="12" customHeight="1" outlineLevel="2" x14ac:dyDescent="0.2">
      <c r="A12993" s="14" t="s">
        <v>25549</v>
      </c>
      <c r="B12993" s="15" t="s">
        <v>25550</v>
      </c>
      <c r="C12993" s="16">
        <f>409.95/(1+B2)</f>
        <v>409.95</v>
      </c>
      <c r="D12993" s="17" t="s">
        <v>11</v>
      </c>
      <c r="E12993" s="17"/>
      <c r="F12993" s="18"/>
      <c r="G12993" s="36" t="str">
        <f>IF(ISNUMBER(F12993),C12993*F12993,"")</f>
        <v/>
      </c>
    </row>
    <row r="12994" spans="1:7" ht="12" customHeight="1" outlineLevel="2" x14ac:dyDescent="0.2">
      <c r="A12994" s="14" t="s">
        <v>25551</v>
      </c>
      <c r="B12994" s="15" t="s">
        <v>25552</v>
      </c>
      <c r="C12994" s="16">
        <f>246.77/(1+B2)</f>
        <v>246.77</v>
      </c>
      <c r="D12994" s="17" t="s">
        <v>11</v>
      </c>
      <c r="E12994" s="17"/>
      <c r="F12994" s="18"/>
      <c r="G12994" s="36" t="str">
        <f>IF(ISNUMBER(F12994),C12994*F12994,"")</f>
        <v/>
      </c>
    </row>
    <row r="12995" spans="1:7" ht="12" customHeight="1" outlineLevel="2" x14ac:dyDescent="0.2">
      <c r="A12995" s="14" t="s">
        <v>25553</v>
      </c>
      <c r="B12995" s="15" t="s">
        <v>25554</v>
      </c>
      <c r="C12995" s="16">
        <f>290.74/(1+B2)</f>
        <v>290.74</v>
      </c>
      <c r="D12995" s="17" t="s">
        <v>11</v>
      </c>
      <c r="E12995" s="17"/>
      <c r="F12995" s="18"/>
      <c r="G12995" s="36" t="str">
        <f>IF(ISNUMBER(F12995),C12995*F12995,"")</f>
        <v/>
      </c>
    </row>
    <row r="12996" spans="1:7" ht="12" customHeight="1" outlineLevel="2" x14ac:dyDescent="0.2">
      <c r="A12996" s="14" t="s">
        <v>25555</v>
      </c>
      <c r="B12996" s="15" t="s">
        <v>25556</v>
      </c>
      <c r="C12996" s="16">
        <f>305.11/(1+B2)</f>
        <v>305.11</v>
      </c>
      <c r="D12996" s="17" t="s">
        <v>11</v>
      </c>
      <c r="E12996" s="17"/>
      <c r="F12996" s="18"/>
      <c r="G12996" s="36" t="str">
        <f>IF(ISNUMBER(F12996),C12996*F12996,"")</f>
        <v/>
      </c>
    </row>
    <row r="12997" spans="1:7" ht="12" customHeight="1" outlineLevel="2" x14ac:dyDescent="0.2">
      <c r="A12997" s="14" t="s">
        <v>25557</v>
      </c>
      <c r="B12997" s="15" t="s">
        <v>25558</v>
      </c>
      <c r="C12997" s="16">
        <f>680/(1+B2)</f>
        <v>680</v>
      </c>
      <c r="D12997" s="17" t="s">
        <v>11</v>
      </c>
      <c r="E12997" s="17"/>
      <c r="F12997" s="18"/>
      <c r="G12997" s="36" t="str">
        <f>IF(ISNUMBER(F12997),C12997*F12997,"")</f>
        <v/>
      </c>
    </row>
    <row r="12998" spans="1:7" s="1" customFormat="1" ht="15.95" customHeight="1" outlineLevel="1" x14ac:dyDescent="0.25">
      <c r="A12998" s="11"/>
      <c r="B12998" s="12" t="s">
        <v>25559</v>
      </c>
      <c r="C12998" s="13"/>
      <c r="D12998" s="13"/>
      <c r="E12998" s="13"/>
      <c r="F12998" s="13"/>
      <c r="G12998" s="35"/>
    </row>
    <row r="12999" spans="1:7" ht="12" customHeight="1" outlineLevel="2" x14ac:dyDescent="0.2">
      <c r="A12999" s="14" t="s">
        <v>25560</v>
      </c>
      <c r="B12999" s="15" t="s">
        <v>25561</v>
      </c>
      <c r="C12999" s="16">
        <f>203.76/(1+B2)</f>
        <v>203.76</v>
      </c>
      <c r="D12999" s="17" t="s">
        <v>11</v>
      </c>
      <c r="E12999" s="17"/>
      <c r="F12999" s="18"/>
      <c r="G12999" s="36" t="str">
        <f>IF(ISNUMBER(F12999),C12999*F12999,"")</f>
        <v/>
      </c>
    </row>
    <row r="13000" spans="1:7" ht="12" customHeight="1" outlineLevel="2" x14ac:dyDescent="0.2">
      <c r="A13000" s="14" t="s">
        <v>25562</v>
      </c>
      <c r="B13000" s="15" t="s">
        <v>25563</v>
      </c>
      <c r="C13000" s="16">
        <f>250.67/(1+B2)</f>
        <v>250.67</v>
      </c>
      <c r="D13000" s="17" t="s">
        <v>11</v>
      </c>
      <c r="E13000" s="17"/>
      <c r="F13000" s="18"/>
      <c r="G13000" s="36" t="str">
        <f>IF(ISNUMBER(F13000),C13000*F13000,"")</f>
        <v/>
      </c>
    </row>
    <row r="13001" spans="1:7" ht="12" customHeight="1" outlineLevel="2" x14ac:dyDescent="0.2">
      <c r="A13001" s="14" t="s">
        <v>25564</v>
      </c>
      <c r="B13001" s="15" t="s">
        <v>25565</v>
      </c>
      <c r="C13001" s="19">
        <f>1514.19/(1+B2)</f>
        <v>1514.19</v>
      </c>
      <c r="D13001" s="17" t="s">
        <v>11</v>
      </c>
      <c r="E13001" s="17"/>
      <c r="F13001" s="18"/>
      <c r="G13001" s="36" t="str">
        <f>IF(ISNUMBER(F13001),C13001*F13001,"")</f>
        <v/>
      </c>
    </row>
    <row r="13002" spans="1:7" ht="12" customHeight="1" outlineLevel="2" x14ac:dyDescent="0.2">
      <c r="A13002" s="14" t="s">
        <v>25566</v>
      </c>
      <c r="B13002" s="15" t="s">
        <v>25567</v>
      </c>
      <c r="C13002" s="16">
        <f>274.49/(1+B2)</f>
        <v>274.49</v>
      </c>
      <c r="D13002" s="17" t="s">
        <v>11</v>
      </c>
      <c r="E13002" s="17"/>
      <c r="F13002" s="18"/>
      <c r="G13002" s="36" t="str">
        <f>IF(ISNUMBER(F13002),C13002*F13002,"")</f>
        <v/>
      </c>
    </row>
    <row r="13003" spans="1:7" ht="24" customHeight="1" outlineLevel="2" x14ac:dyDescent="0.2">
      <c r="A13003" s="14" t="s">
        <v>25568</v>
      </c>
      <c r="B13003" s="15" t="s">
        <v>25569</v>
      </c>
      <c r="C13003" s="16">
        <f>528.86/(1+B2)</f>
        <v>528.86</v>
      </c>
      <c r="D13003" s="17" t="s">
        <v>11</v>
      </c>
      <c r="E13003" s="17"/>
      <c r="F13003" s="18"/>
      <c r="G13003" s="36" t="str">
        <f>IF(ISNUMBER(F13003),C13003*F13003,"")</f>
        <v/>
      </c>
    </row>
    <row r="13004" spans="1:7" ht="24" customHeight="1" outlineLevel="2" x14ac:dyDescent="0.2">
      <c r="A13004" s="14" t="s">
        <v>25570</v>
      </c>
      <c r="B13004" s="15" t="s">
        <v>25571</v>
      </c>
      <c r="C13004" s="19">
        <f>1123.54/(1+B2)</f>
        <v>1123.54</v>
      </c>
      <c r="D13004" s="17" t="s">
        <v>11</v>
      </c>
      <c r="E13004" s="17"/>
      <c r="F13004" s="18"/>
      <c r="G13004" s="36" t="str">
        <f>IF(ISNUMBER(F13004),C13004*F13004,"")</f>
        <v/>
      </c>
    </row>
    <row r="13005" spans="1:7" ht="12" customHeight="1" outlineLevel="2" x14ac:dyDescent="0.2">
      <c r="A13005" s="14" t="s">
        <v>25572</v>
      </c>
      <c r="B13005" s="15" t="s">
        <v>25573</v>
      </c>
      <c r="C13005" s="16">
        <f>115.73/(1+B2)</f>
        <v>115.73</v>
      </c>
      <c r="D13005" s="17" t="s">
        <v>11</v>
      </c>
      <c r="E13005" s="17"/>
      <c r="F13005" s="18"/>
      <c r="G13005" s="36" t="str">
        <f>IF(ISNUMBER(F13005),C13005*F13005,"")</f>
        <v/>
      </c>
    </row>
    <row r="13006" spans="1:7" ht="12" customHeight="1" outlineLevel="2" x14ac:dyDescent="0.2">
      <c r="A13006" s="14" t="s">
        <v>25574</v>
      </c>
      <c r="B13006" s="15" t="s">
        <v>25575</v>
      </c>
      <c r="C13006" s="16">
        <f>260.1/(1+B2)</f>
        <v>260.10000000000002</v>
      </c>
      <c r="D13006" s="17" t="s">
        <v>11</v>
      </c>
      <c r="E13006" s="17"/>
      <c r="F13006" s="18"/>
      <c r="G13006" s="36" t="str">
        <f>IF(ISNUMBER(F13006),C13006*F13006,"")</f>
        <v/>
      </c>
    </row>
    <row r="13007" spans="1:7" ht="12" customHeight="1" outlineLevel="2" x14ac:dyDescent="0.2">
      <c r="A13007" s="14" t="s">
        <v>25576</v>
      </c>
      <c r="B13007" s="15" t="s">
        <v>25577</v>
      </c>
      <c r="C13007" s="16">
        <f>277.24/(1+B2)</f>
        <v>277.24</v>
      </c>
      <c r="D13007" s="17" t="s">
        <v>11</v>
      </c>
      <c r="E13007" s="17"/>
      <c r="F13007" s="18"/>
      <c r="G13007" s="36" t="str">
        <f>IF(ISNUMBER(F13007),C13007*F13007,"")</f>
        <v/>
      </c>
    </row>
    <row r="13008" spans="1:7" ht="12" customHeight="1" outlineLevel="2" x14ac:dyDescent="0.2">
      <c r="A13008" s="14" t="s">
        <v>25578</v>
      </c>
      <c r="B13008" s="15" t="s">
        <v>25579</v>
      </c>
      <c r="C13008" s="16">
        <f>216.75/(1+B2)</f>
        <v>216.75</v>
      </c>
      <c r="D13008" s="17" t="s">
        <v>11</v>
      </c>
      <c r="E13008" s="17"/>
      <c r="F13008" s="18"/>
      <c r="G13008" s="36" t="str">
        <f>IF(ISNUMBER(F13008),C13008*F13008,"")</f>
        <v/>
      </c>
    </row>
    <row r="13009" spans="1:7" ht="12" customHeight="1" outlineLevel="2" x14ac:dyDescent="0.2">
      <c r="A13009" s="14" t="s">
        <v>25580</v>
      </c>
      <c r="B13009" s="15" t="s">
        <v>25581</v>
      </c>
      <c r="C13009" s="16">
        <f>174.69/(1+B2)</f>
        <v>174.69</v>
      </c>
      <c r="D13009" s="17" t="s">
        <v>11</v>
      </c>
      <c r="E13009" s="17"/>
      <c r="F13009" s="18"/>
      <c r="G13009" s="36" t="str">
        <f>IF(ISNUMBER(F13009),C13009*F13009,"")</f>
        <v/>
      </c>
    </row>
    <row r="13010" spans="1:7" ht="12" customHeight="1" outlineLevel="2" x14ac:dyDescent="0.2">
      <c r="A13010" s="14" t="s">
        <v>25582</v>
      </c>
      <c r="B13010" s="15" t="s">
        <v>25583</v>
      </c>
      <c r="C13010" s="16">
        <f>777.08/(1+B2)</f>
        <v>777.08</v>
      </c>
      <c r="D13010" s="17" t="s">
        <v>11</v>
      </c>
      <c r="E13010" s="17"/>
      <c r="F13010" s="18"/>
      <c r="G13010" s="36" t="str">
        <f>IF(ISNUMBER(F13010),C13010*F13010,"")</f>
        <v/>
      </c>
    </row>
    <row r="13011" spans="1:7" ht="12" customHeight="1" outlineLevel="2" x14ac:dyDescent="0.2">
      <c r="A13011" s="14" t="s">
        <v>25584</v>
      </c>
      <c r="B13011" s="15" t="s">
        <v>25585</v>
      </c>
      <c r="C13011" s="16">
        <f>985.31/(1+B2)</f>
        <v>985.31</v>
      </c>
      <c r="D13011" s="17" t="s">
        <v>11</v>
      </c>
      <c r="E13011" s="17"/>
      <c r="F13011" s="18"/>
      <c r="G13011" s="36" t="str">
        <f>IF(ISNUMBER(F13011),C13011*F13011,"")</f>
        <v/>
      </c>
    </row>
    <row r="13012" spans="1:7" ht="12" customHeight="1" outlineLevel="2" x14ac:dyDescent="0.2">
      <c r="A13012" s="14" t="s">
        <v>25586</v>
      </c>
      <c r="B13012" s="15" t="s">
        <v>25587</v>
      </c>
      <c r="C13012" s="16">
        <f>514.79/(1+B2)</f>
        <v>514.79</v>
      </c>
      <c r="D13012" s="17" t="s">
        <v>11</v>
      </c>
      <c r="E13012" s="17"/>
      <c r="F13012" s="18"/>
      <c r="G13012" s="36" t="str">
        <f>IF(ISNUMBER(F13012),C13012*F13012,"")</f>
        <v/>
      </c>
    </row>
    <row r="13013" spans="1:7" ht="12" customHeight="1" outlineLevel="2" x14ac:dyDescent="0.2">
      <c r="A13013" s="14" t="s">
        <v>25588</v>
      </c>
      <c r="B13013" s="15" t="s">
        <v>25589</v>
      </c>
      <c r="C13013" s="16">
        <f>589.35/(1+B2)</f>
        <v>589.35</v>
      </c>
      <c r="D13013" s="17" t="s">
        <v>11</v>
      </c>
      <c r="E13013" s="17"/>
      <c r="F13013" s="18"/>
      <c r="G13013" s="36" t="str">
        <f>IF(ISNUMBER(F13013),C13013*F13013,"")</f>
        <v/>
      </c>
    </row>
    <row r="13014" spans="1:7" ht="12" customHeight="1" outlineLevel="2" x14ac:dyDescent="0.2">
      <c r="A13014" s="14" t="s">
        <v>25590</v>
      </c>
      <c r="B13014" s="15" t="s">
        <v>25591</v>
      </c>
      <c r="C13014" s="16">
        <f>72.08/(1+B2)</f>
        <v>72.08</v>
      </c>
      <c r="D13014" s="17" t="s">
        <v>14</v>
      </c>
      <c r="E13014" s="17"/>
      <c r="F13014" s="18"/>
      <c r="G13014" s="36" t="str">
        <f>IF(ISNUMBER(F13014),C13014*F13014,"")</f>
        <v/>
      </c>
    </row>
    <row r="13015" spans="1:7" ht="12" customHeight="1" outlineLevel="2" x14ac:dyDescent="0.2">
      <c r="A13015" s="14" t="s">
        <v>25592</v>
      </c>
      <c r="B13015" s="15" t="s">
        <v>25593</v>
      </c>
      <c r="C13015" s="16">
        <f>185.86/(1+B2)</f>
        <v>185.86</v>
      </c>
      <c r="D13015" s="17" t="s">
        <v>14</v>
      </c>
      <c r="E13015" s="17"/>
      <c r="F13015" s="18"/>
      <c r="G13015" s="36" t="str">
        <f>IF(ISNUMBER(F13015),C13015*F13015,"")</f>
        <v/>
      </c>
    </row>
    <row r="13016" spans="1:7" ht="12" customHeight="1" outlineLevel="2" x14ac:dyDescent="0.2">
      <c r="A13016" s="14" t="s">
        <v>25594</v>
      </c>
      <c r="B13016" s="15" t="s">
        <v>25595</v>
      </c>
      <c r="C13016" s="16">
        <f>80.98/(1+B2)</f>
        <v>80.98</v>
      </c>
      <c r="D13016" s="17" t="s">
        <v>11</v>
      </c>
      <c r="E13016" s="17"/>
      <c r="F13016" s="18"/>
      <c r="G13016" s="36" t="str">
        <f>IF(ISNUMBER(F13016),C13016*F13016,"")</f>
        <v/>
      </c>
    </row>
    <row r="13017" spans="1:7" ht="12" customHeight="1" outlineLevel="2" x14ac:dyDescent="0.2">
      <c r="A13017" s="14" t="s">
        <v>25596</v>
      </c>
      <c r="B13017" s="15" t="s">
        <v>25597</v>
      </c>
      <c r="C13017" s="16">
        <f>141.26/(1+B2)</f>
        <v>141.26</v>
      </c>
      <c r="D13017" s="17" t="s">
        <v>11</v>
      </c>
      <c r="E13017" s="17"/>
      <c r="F13017" s="18"/>
      <c r="G13017" s="36" t="str">
        <f>IF(ISNUMBER(F13017),C13017*F13017,"")</f>
        <v/>
      </c>
    </row>
    <row r="13018" spans="1:7" ht="12" customHeight="1" outlineLevel="2" x14ac:dyDescent="0.2">
      <c r="A13018" s="14" t="s">
        <v>25598</v>
      </c>
      <c r="B13018" s="15" t="s">
        <v>25599</v>
      </c>
      <c r="C13018" s="16">
        <f>181.95/(1+B2)</f>
        <v>181.95</v>
      </c>
      <c r="D13018" s="17" t="s">
        <v>14</v>
      </c>
      <c r="E13018" s="17"/>
      <c r="F13018" s="18"/>
      <c r="G13018" s="36" t="str">
        <f>IF(ISNUMBER(F13018),C13018*F13018,"")</f>
        <v/>
      </c>
    </row>
    <row r="13019" spans="1:7" ht="12" customHeight="1" outlineLevel="2" x14ac:dyDescent="0.2">
      <c r="A13019" s="14" t="s">
        <v>25600</v>
      </c>
      <c r="B13019" s="15" t="s">
        <v>25601</v>
      </c>
      <c r="C13019" s="16">
        <f>69.52/(1+B2)</f>
        <v>69.52</v>
      </c>
      <c r="D13019" s="17" t="s">
        <v>11</v>
      </c>
      <c r="E13019" s="17"/>
      <c r="F13019" s="18"/>
      <c r="G13019" s="36" t="str">
        <f>IF(ISNUMBER(F13019),C13019*F13019,"")</f>
        <v/>
      </c>
    </row>
    <row r="13020" spans="1:7" ht="12" customHeight="1" outlineLevel="2" x14ac:dyDescent="0.2">
      <c r="A13020" s="14" t="s">
        <v>25602</v>
      </c>
      <c r="B13020" s="15" t="s">
        <v>25603</v>
      </c>
      <c r="C13020" s="16">
        <f>181.92/(1+B2)</f>
        <v>181.92</v>
      </c>
      <c r="D13020" s="17" t="s">
        <v>11</v>
      </c>
      <c r="E13020" s="17"/>
      <c r="F13020" s="18"/>
      <c r="G13020" s="36" t="str">
        <f>IF(ISNUMBER(F13020),C13020*F13020,"")</f>
        <v/>
      </c>
    </row>
    <row r="13021" spans="1:7" ht="12" customHeight="1" outlineLevel="2" x14ac:dyDescent="0.2">
      <c r="A13021" s="14" t="s">
        <v>25604</v>
      </c>
      <c r="B13021" s="15" t="s">
        <v>25605</v>
      </c>
      <c r="C13021" s="16">
        <f>195.41/(1+B2)</f>
        <v>195.41</v>
      </c>
      <c r="D13021" s="17" t="s">
        <v>11</v>
      </c>
      <c r="E13021" s="17"/>
      <c r="F13021" s="18"/>
      <c r="G13021" s="36" t="str">
        <f>IF(ISNUMBER(F13021),C13021*F13021,"")</f>
        <v/>
      </c>
    </row>
    <row r="13022" spans="1:7" ht="12" customHeight="1" outlineLevel="2" x14ac:dyDescent="0.2">
      <c r="A13022" s="14" t="s">
        <v>25606</v>
      </c>
      <c r="B13022" s="15" t="s">
        <v>25607</v>
      </c>
      <c r="C13022" s="16">
        <f>184.15/(1+B2)</f>
        <v>184.15</v>
      </c>
      <c r="D13022" s="17" t="s">
        <v>11</v>
      </c>
      <c r="E13022" s="17"/>
      <c r="F13022" s="18"/>
      <c r="G13022" s="36" t="str">
        <f>IF(ISNUMBER(F13022),C13022*F13022,"")</f>
        <v/>
      </c>
    </row>
    <row r="13023" spans="1:7" ht="12" customHeight="1" outlineLevel="2" x14ac:dyDescent="0.2">
      <c r="A13023" s="14" t="s">
        <v>25608</v>
      </c>
      <c r="B13023" s="15" t="s">
        <v>25609</v>
      </c>
      <c r="C13023" s="16">
        <f>147.72/(1+B2)</f>
        <v>147.72</v>
      </c>
      <c r="D13023" s="17" t="s">
        <v>11</v>
      </c>
      <c r="E13023" s="17"/>
      <c r="F13023" s="18"/>
      <c r="G13023" s="36" t="str">
        <f>IF(ISNUMBER(F13023),C13023*F13023,"")</f>
        <v/>
      </c>
    </row>
    <row r="13024" spans="1:7" ht="12" customHeight="1" outlineLevel="2" x14ac:dyDescent="0.2">
      <c r="A13024" s="14" t="s">
        <v>25610</v>
      </c>
      <c r="B13024" s="15" t="s">
        <v>25611</v>
      </c>
      <c r="C13024" s="16">
        <f>149.6/(1+B2)</f>
        <v>149.6</v>
      </c>
      <c r="D13024" s="17" t="s">
        <v>14</v>
      </c>
      <c r="E13024" s="17"/>
      <c r="F13024" s="18"/>
      <c r="G13024" s="36" t="str">
        <f>IF(ISNUMBER(F13024),C13024*F13024,"")</f>
        <v/>
      </c>
    </row>
    <row r="13025" spans="1:7" ht="12" customHeight="1" outlineLevel="2" x14ac:dyDescent="0.2">
      <c r="A13025" s="14" t="s">
        <v>25612</v>
      </c>
      <c r="B13025" s="15" t="s">
        <v>25613</v>
      </c>
      <c r="C13025" s="16">
        <f>80.07/(1+B2)</f>
        <v>80.069999999999993</v>
      </c>
      <c r="D13025" s="17" t="s">
        <v>14</v>
      </c>
      <c r="E13025" s="17"/>
      <c r="F13025" s="18"/>
      <c r="G13025" s="36" t="str">
        <f>IF(ISNUMBER(F13025),C13025*F13025,"")</f>
        <v/>
      </c>
    </row>
    <row r="13026" spans="1:7" ht="12" customHeight="1" outlineLevel="2" x14ac:dyDescent="0.2">
      <c r="A13026" s="14" t="s">
        <v>25614</v>
      </c>
      <c r="B13026" s="15" t="s">
        <v>25615</v>
      </c>
      <c r="C13026" s="16">
        <f>220.3/(1+B2)</f>
        <v>220.3</v>
      </c>
      <c r="D13026" s="17" t="s">
        <v>11</v>
      </c>
      <c r="E13026" s="17"/>
      <c r="F13026" s="18"/>
      <c r="G13026" s="36" t="str">
        <f>IF(ISNUMBER(F13026),C13026*F13026,"")</f>
        <v/>
      </c>
    </row>
    <row r="13027" spans="1:7" ht="12" customHeight="1" outlineLevel="2" x14ac:dyDescent="0.2">
      <c r="A13027" s="14" t="s">
        <v>25616</v>
      </c>
      <c r="B13027" s="15" t="s">
        <v>25617</v>
      </c>
      <c r="C13027" s="16">
        <f>147.47/(1+B2)</f>
        <v>147.47</v>
      </c>
      <c r="D13027" s="17" t="s">
        <v>14</v>
      </c>
      <c r="E13027" s="17"/>
      <c r="F13027" s="18"/>
      <c r="G13027" s="36" t="str">
        <f>IF(ISNUMBER(F13027),C13027*F13027,"")</f>
        <v/>
      </c>
    </row>
    <row r="13028" spans="1:7" ht="12" customHeight="1" outlineLevel="2" x14ac:dyDescent="0.2">
      <c r="A13028" s="14" t="s">
        <v>25618</v>
      </c>
      <c r="B13028" s="15" t="s">
        <v>25619</v>
      </c>
      <c r="C13028" s="16">
        <f>105.28/(1+B2)</f>
        <v>105.28</v>
      </c>
      <c r="D13028" s="17" t="s">
        <v>11</v>
      </c>
      <c r="E13028" s="17"/>
      <c r="F13028" s="18"/>
      <c r="G13028" s="36" t="str">
        <f>IF(ISNUMBER(F13028),C13028*F13028,"")</f>
        <v/>
      </c>
    </row>
    <row r="13029" spans="1:7" ht="12" customHeight="1" outlineLevel="2" x14ac:dyDescent="0.2">
      <c r="A13029" s="14" t="s">
        <v>25620</v>
      </c>
      <c r="B13029" s="15" t="s">
        <v>25621</v>
      </c>
      <c r="C13029" s="16">
        <f>291.46/(1+B2)</f>
        <v>291.45999999999998</v>
      </c>
      <c r="D13029" s="17" t="s">
        <v>11</v>
      </c>
      <c r="E13029" s="17"/>
      <c r="F13029" s="18"/>
      <c r="G13029" s="36" t="str">
        <f>IF(ISNUMBER(F13029),C13029*F13029,"")</f>
        <v/>
      </c>
    </row>
    <row r="13030" spans="1:7" ht="12" customHeight="1" outlineLevel="2" x14ac:dyDescent="0.2">
      <c r="A13030" s="14" t="s">
        <v>25622</v>
      </c>
      <c r="B13030" s="15" t="s">
        <v>25623</v>
      </c>
      <c r="C13030" s="16">
        <f>241.42/(1+B2)</f>
        <v>241.42</v>
      </c>
      <c r="D13030" s="17" t="s">
        <v>11</v>
      </c>
      <c r="E13030" s="17"/>
      <c r="F13030" s="18"/>
      <c r="G13030" s="36" t="str">
        <f>IF(ISNUMBER(F13030),C13030*F13030,"")</f>
        <v/>
      </c>
    </row>
    <row r="13031" spans="1:7" ht="12" customHeight="1" outlineLevel="2" x14ac:dyDescent="0.2">
      <c r="A13031" s="14" t="s">
        <v>25624</v>
      </c>
      <c r="B13031" s="15" t="s">
        <v>25625</v>
      </c>
      <c r="C13031" s="16">
        <f>113.8/(1+B2)</f>
        <v>113.8</v>
      </c>
      <c r="D13031" s="17" t="s">
        <v>11</v>
      </c>
      <c r="E13031" s="17"/>
      <c r="F13031" s="18"/>
      <c r="G13031" s="36" t="str">
        <f>IF(ISNUMBER(F13031),C13031*F13031,"")</f>
        <v/>
      </c>
    </row>
    <row r="13032" spans="1:7" ht="12" customHeight="1" outlineLevel="2" x14ac:dyDescent="0.2">
      <c r="A13032" s="14" t="s">
        <v>25626</v>
      </c>
      <c r="B13032" s="15" t="s">
        <v>25627</v>
      </c>
      <c r="C13032" s="16">
        <f>161.17/(1+B2)</f>
        <v>161.16999999999999</v>
      </c>
      <c r="D13032" s="17" t="s">
        <v>11</v>
      </c>
      <c r="E13032" s="17"/>
      <c r="F13032" s="18"/>
      <c r="G13032" s="36" t="str">
        <f>IF(ISNUMBER(F13032),C13032*F13032,"")</f>
        <v/>
      </c>
    </row>
    <row r="13033" spans="1:7" ht="12" customHeight="1" outlineLevel="2" x14ac:dyDescent="0.2">
      <c r="A13033" s="14" t="s">
        <v>25628</v>
      </c>
      <c r="B13033" s="15" t="s">
        <v>25629</v>
      </c>
      <c r="C13033" s="16">
        <f>168.79/(1+B2)</f>
        <v>168.79</v>
      </c>
      <c r="D13033" s="17" t="s">
        <v>11</v>
      </c>
      <c r="E13033" s="17"/>
      <c r="F13033" s="18"/>
      <c r="G13033" s="36" t="str">
        <f>IF(ISNUMBER(F13033),C13033*F13033,"")</f>
        <v/>
      </c>
    </row>
    <row r="13034" spans="1:7" ht="12" customHeight="1" outlineLevel="2" x14ac:dyDescent="0.2">
      <c r="A13034" s="14" t="s">
        <v>25630</v>
      </c>
      <c r="B13034" s="15" t="s">
        <v>25631</v>
      </c>
      <c r="C13034" s="16">
        <f>223.32/(1+B2)</f>
        <v>223.32</v>
      </c>
      <c r="D13034" s="17" t="s">
        <v>11</v>
      </c>
      <c r="E13034" s="17"/>
      <c r="F13034" s="18"/>
      <c r="G13034" s="36" t="str">
        <f>IF(ISNUMBER(F13034),C13034*F13034,"")</f>
        <v/>
      </c>
    </row>
    <row r="13035" spans="1:7" ht="12" customHeight="1" outlineLevel="2" x14ac:dyDescent="0.2">
      <c r="A13035" s="14" t="s">
        <v>25632</v>
      </c>
      <c r="B13035" s="15" t="s">
        <v>25633</v>
      </c>
      <c r="C13035" s="16">
        <f>255.44/(1+B2)</f>
        <v>255.44</v>
      </c>
      <c r="D13035" s="17" t="s">
        <v>11</v>
      </c>
      <c r="E13035" s="17"/>
      <c r="F13035" s="18"/>
      <c r="G13035" s="36" t="str">
        <f>IF(ISNUMBER(F13035),C13035*F13035,"")</f>
        <v/>
      </c>
    </row>
    <row r="13036" spans="1:7" ht="12" customHeight="1" outlineLevel="2" x14ac:dyDescent="0.2">
      <c r="A13036" s="14" t="s">
        <v>25634</v>
      </c>
      <c r="B13036" s="15" t="s">
        <v>25635</v>
      </c>
      <c r="C13036" s="16">
        <f>63.04/(1+B2)</f>
        <v>63.04</v>
      </c>
      <c r="D13036" s="17" t="s">
        <v>11</v>
      </c>
      <c r="E13036" s="17"/>
      <c r="F13036" s="18"/>
      <c r="G13036" s="36" t="str">
        <f>IF(ISNUMBER(F13036),C13036*F13036,"")</f>
        <v/>
      </c>
    </row>
    <row r="13037" spans="1:7" ht="12" customHeight="1" outlineLevel="2" x14ac:dyDescent="0.2">
      <c r="A13037" s="14" t="s">
        <v>25636</v>
      </c>
      <c r="B13037" s="15" t="s">
        <v>25637</v>
      </c>
      <c r="C13037" s="16">
        <f>183.72/(1+B2)</f>
        <v>183.72</v>
      </c>
      <c r="D13037" s="17" t="s">
        <v>11</v>
      </c>
      <c r="E13037" s="17"/>
      <c r="F13037" s="18"/>
      <c r="G13037" s="36" t="str">
        <f>IF(ISNUMBER(F13037),C13037*F13037,"")</f>
        <v/>
      </c>
    </row>
    <row r="13038" spans="1:7" ht="12" customHeight="1" outlineLevel="2" x14ac:dyDescent="0.2">
      <c r="A13038" s="14" t="s">
        <v>25638</v>
      </c>
      <c r="B13038" s="15" t="s">
        <v>25639</v>
      </c>
      <c r="C13038" s="16">
        <f>303.03/(1+B2)</f>
        <v>303.02999999999997</v>
      </c>
      <c r="D13038" s="17" t="s">
        <v>11</v>
      </c>
      <c r="E13038" s="17"/>
      <c r="F13038" s="18"/>
      <c r="G13038" s="36" t="str">
        <f>IF(ISNUMBER(F13038),C13038*F13038,"")</f>
        <v/>
      </c>
    </row>
    <row r="13039" spans="1:7" ht="12" customHeight="1" outlineLevel="2" x14ac:dyDescent="0.2">
      <c r="A13039" s="14" t="s">
        <v>25640</v>
      </c>
      <c r="B13039" s="15" t="s">
        <v>25641</v>
      </c>
      <c r="C13039" s="16">
        <f>106.71/(1+B2)</f>
        <v>106.71</v>
      </c>
      <c r="D13039" s="17" t="s">
        <v>11</v>
      </c>
      <c r="E13039" s="17"/>
      <c r="F13039" s="18"/>
      <c r="G13039" s="36" t="str">
        <f>IF(ISNUMBER(F13039),C13039*F13039,"")</f>
        <v/>
      </c>
    </row>
    <row r="13040" spans="1:7" ht="12" customHeight="1" outlineLevel="2" x14ac:dyDescent="0.2">
      <c r="A13040" s="14" t="s">
        <v>25642</v>
      </c>
      <c r="B13040" s="15" t="s">
        <v>25643</v>
      </c>
      <c r="C13040" s="16">
        <f>152.88/(1+B2)</f>
        <v>152.88</v>
      </c>
      <c r="D13040" s="17" t="s">
        <v>11</v>
      </c>
      <c r="E13040" s="17"/>
      <c r="F13040" s="18"/>
      <c r="G13040" s="36" t="str">
        <f>IF(ISNUMBER(F13040),C13040*F13040,"")</f>
        <v/>
      </c>
    </row>
    <row r="13041" spans="1:7" ht="12" customHeight="1" outlineLevel="2" x14ac:dyDescent="0.2">
      <c r="A13041" s="14" t="s">
        <v>25644</v>
      </c>
      <c r="B13041" s="15" t="s">
        <v>25645</v>
      </c>
      <c r="C13041" s="16">
        <f>52.26/(1+B2)</f>
        <v>52.26</v>
      </c>
      <c r="D13041" s="17" t="s">
        <v>11</v>
      </c>
      <c r="E13041" s="17"/>
      <c r="F13041" s="18"/>
      <c r="G13041" s="36" t="str">
        <f>IF(ISNUMBER(F13041),C13041*F13041,"")</f>
        <v/>
      </c>
    </row>
    <row r="13042" spans="1:7" ht="24" customHeight="1" outlineLevel="2" x14ac:dyDescent="0.2">
      <c r="A13042" s="14" t="s">
        <v>25646</v>
      </c>
      <c r="B13042" s="15" t="s">
        <v>25647</v>
      </c>
      <c r="C13042" s="16">
        <f>248.73/(1+B2)</f>
        <v>248.73</v>
      </c>
      <c r="D13042" s="17" t="s">
        <v>11</v>
      </c>
      <c r="E13042" s="17"/>
      <c r="F13042" s="18"/>
      <c r="G13042" s="36" t="str">
        <f>IF(ISNUMBER(F13042),C13042*F13042,"")</f>
        <v/>
      </c>
    </row>
    <row r="13043" spans="1:7" ht="24" customHeight="1" outlineLevel="2" x14ac:dyDescent="0.2">
      <c r="A13043" s="14" t="s">
        <v>25648</v>
      </c>
      <c r="B13043" s="15" t="s">
        <v>25649</v>
      </c>
      <c r="C13043" s="16">
        <f>189.54/(1+B2)</f>
        <v>189.54</v>
      </c>
      <c r="D13043" s="17" t="s">
        <v>11</v>
      </c>
      <c r="E13043" s="17"/>
      <c r="F13043" s="18"/>
      <c r="G13043" s="36" t="str">
        <f>IF(ISNUMBER(F13043),C13043*F13043,"")</f>
        <v/>
      </c>
    </row>
    <row r="13044" spans="1:7" ht="24" customHeight="1" outlineLevel="2" x14ac:dyDescent="0.2">
      <c r="A13044" s="14" t="s">
        <v>25650</v>
      </c>
      <c r="B13044" s="15" t="s">
        <v>25651</v>
      </c>
      <c r="C13044" s="16">
        <f>219.82/(1+B2)</f>
        <v>219.82</v>
      </c>
      <c r="D13044" s="17" t="s">
        <v>11</v>
      </c>
      <c r="E13044" s="17"/>
      <c r="F13044" s="18"/>
      <c r="G13044" s="36" t="str">
        <f>IF(ISNUMBER(F13044),C13044*F13044,"")</f>
        <v/>
      </c>
    </row>
    <row r="13045" spans="1:7" s="1" customFormat="1" ht="15.95" customHeight="1" outlineLevel="1" x14ac:dyDescent="0.25">
      <c r="A13045" s="11"/>
      <c r="B13045" s="12" t="s">
        <v>25652</v>
      </c>
      <c r="C13045" s="13"/>
      <c r="D13045" s="13"/>
      <c r="E13045" s="13"/>
      <c r="F13045" s="13"/>
      <c r="G13045" s="35"/>
    </row>
    <row r="13046" spans="1:7" ht="12" customHeight="1" outlineLevel="2" x14ac:dyDescent="0.2">
      <c r="A13046" s="14" t="s">
        <v>25653</v>
      </c>
      <c r="B13046" s="15" t="s">
        <v>25654</v>
      </c>
      <c r="C13046" s="16">
        <f>68.2/(1+B2)</f>
        <v>68.2</v>
      </c>
      <c r="D13046" s="17" t="s">
        <v>11</v>
      </c>
      <c r="E13046" s="17"/>
      <c r="F13046" s="18"/>
      <c r="G13046" s="36" t="str">
        <f>IF(ISNUMBER(F13046),C13046*F13046,"")</f>
        <v/>
      </c>
    </row>
    <row r="13047" spans="1:7" ht="12" customHeight="1" outlineLevel="2" x14ac:dyDescent="0.2">
      <c r="A13047" s="14" t="s">
        <v>25655</v>
      </c>
      <c r="B13047" s="15" t="s">
        <v>25656</v>
      </c>
      <c r="C13047" s="16">
        <f>95.04/(1+B2)</f>
        <v>95.04</v>
      </c>
      <c r="D13047" s="17" t="s">
        <v>11</v>
      </c>
      <c r="E13047" s="17"/>
      <c r="F13047" s="18"/>
      <c r="G13047" s="36" t="str">
        <f>IF(ISNUMBER(F13047),C13047*F13047,"")</f>
        <v/>
      </c>
    </row>
    <row r="13048" spans="1:7" ht="12" customHeight="1" outlineLevel="2" x14ac:dyDescent="0.2">
      <c r="A13048" s="14" t="s">
        <v>25657</v>
      </c>
      <c r="B13048" s="15" t="s">
        <v>25658</v>
      </c>
      <c r="C13048" s="16">
        <f>14.69/(1+B2)</f>
        <v>14.69</v>
      </c>
      <c r="D13048" s="17" t="s">
        <v>14</v>
      </c>
      <c r="E13048" s="17"/>
      <c r="F13048" s="18"/>
      <c r="G13048" s="36" t="str">
        <f>IF(ISNUMBER(F13048),C13048*F13048,"")</f>
        <v/>
      </c>
    </row>
    <row r="13049" spans="1:7" ht="12" customHeight="1" outlineLevel="2" x14ac:dyDescent="0.2">
      <c r="A13049" s="14" t="s">
        <v>25659</v>
      </c>
      <c r="B13049" s="15" t="s">
        <v>25660</v>
      </c>
      <c r="C13049" s="16">
        <f>851.46/(1+B2)</f>
        <v>851.46</v>
      </c>
      <c r="D13049" s="17" t="s">
        <v>11</v>
      </c>
      <c r="E13049" s="17"/>
      <c r="F13049" s="18"/>
      <c r="G13049" s="36" t="str">
        <f>IF(ISNUMBER(F13049),C13049*F13049,"")</f>
        <v/>
      </c>
    </row>
    <row r="13050" spans="1:7" ht="12" customHeight="1" outlineLevel="2" x14ac:dyDescent="0.2">
      <c r="A13050" s="14" t="s">
        <v>25661</v>
      </c>
      <c r="B13050" s="15" t="s">
        <v>25662</v>
      </c>
      <c r="C13050" s="16">
        <f>146.46/(1+B2)</f>
        <v>146.46</v>
      </c>
      <c r="D13050" s="17" t="s">
        <v>11</v>
      </c>
      <c r="E13050" s="17"/>
      <c r="F13050" s="18"/>
      <c r="G13050" s="36" t="str">
        <f>IF(ISNUMBER(F13050),C13050*F13050,"")</f>
        <v/>
      </c>
    </row>
    <row r="13051" spans="1:7" ht="12" customHeight="1" outlineLevel="2" x14ac:dyDescent="0.2">
      <c r="A13051" s="14" t="s">
        <v>25663</v>
      </c>
      <c r="B13051" s="15" t="s">
        <v>25664</v>
      </c>
      <c r="C13051" s="16">
        <f>477.41/(1+B2)</f>
        <v>477.41</v>
      </c>
      <c r="D13051" s="17" t="s">
        <v>11</v>
      </c>
      <c r="E13051" s="17"/>
      <c r="F13051" s="18"/>
      <c r="G13051" s="36" t="str">
        <f>IF(ISNUMBER(F13051),C13051*F13051,"")</f>
        <v/>
      </c>
    </row>
    <row r="13052" spans="1:7" ht="12" customHeight="1" outlineLevel="2" x14ac:dyDescent="0.2">
      <c r="A13052" s="14" t="s">
        <v>25665</v>
      </c>
      <c r="B13052" s="15" t="s">
        <v>25666</v>
      </c>
      <c r="C13052" s="16">
        <f>303.8/(1+B2)</f>
        <v>303.8</v>
      </c>
      <c r="D13052" s="17" t="s">
        <v>11</v>
      </c>
      <c r="E13052" s="17"/>
      <c r="F13052" s="18"/>
      <c r="G13052" s="36" t="str">
        <f>IF(ISNUMBER(F13052),C13052*F13052,"")</f>
        <v/>
      </c>
    </row>
    <row r="13053" spans="1:7" ht="12" customHeight="1" outlineLevel="2" x14ac:dyDescent="0.2">
      <c r="A13053" s="14" t="s">
        <v>25667</v>
      </c>
      <c r="B13053" s="15" t="s">
        <v>25668</v>
      </c>
      <c r="C13053" s="16">
        <f>502.86/(1+B2)</f>
        <v>502.86</v>
      </c>
      <c r="D13053" s="17" t="s">
        <v>11</v>
      </c>
      <c r="E13053" s="17"/>
      <c r="F13053" s="18"/>
      <c r="G13053" s="36" t="str">
        <f>IF(ISNUMBER(F13053),C13053*F13053,"")</f>
        <v/>
      </c>
    </row>
    <row r="13054" spans="1:7" ht="12" customHeight="1" outlineLevel="2" x14ac:dyDescent="0.2">
      <c r="A13054" s="14" t="s">
        <v>25669</v>
      </c>
      <c r="B13054" s="15" t="s">
        <v>25670</v>
      </c>
      <c r="C13054" s="16">
        <f>526.78/(1+B2)</f>
        <v>526.78</v>
      </c>
      <c r="D13054" s="17" t="s">
        <v>11</v>
      </c>
      <c r="E13054" s="17"/>
      <c r="F13054" s="18"/>
      <c r="G13054" s="36" t="str">
        <f>IF(ISNUMBER(F13054),C13054*F13054,"")</f>
        <v/>
      </c>
    </row>
    <row r="13055" spans="1:7" ht="12" customHeight="1" outlineLevel="2" x14ac:dyDescent="0.2">
      <c r="A13055" s="14" t="s">
        <v>25671</v>
      </c>
      <c r="B13055" s="15" t="s">
        <v>25672</v>
      </c>
      <c r="C13055" s="16">
        <f>216.88/(1+B2)</f>
        <v>216.88</v>
      </c>
      <c r="D13055" s="17" t="s">
        <v>11</v>
      </c>
      <c r="E13055" s="17"/>
      <c r="F13055" s="18"/>
      <c r="G13055" s="36" t="str">
        <f>IF(ISNUMBER(F13055),C13055*F13055,"")</f>
        <v/>
      </c>
    </row>
    <row r="13056" spans="1:7" s="1" customFormat="1" ht="15.95" customHeight="1" outlineLevel="1" x14ac:dyDescent="0.25">
      <c r="A13056" s="11"/>
      <c r="B13056" s="12" t="s">
        <v>25673</v>
      </c>
      <c r="C13056" s="13"/>
      <c r="D13056" s="13"/>
      <c r="E13056" s="13"/>
      <c r="F13056" s="13"/>
      <c r="G13056" s="35"/>
    </row>
    <row r="13057" spans="1:7" ht="12" customHeight="1" outlineLevel="2" x14ac:dyDescent="0.2">
      <c r="A13057" s="14" t="s">
        <v>25674</v>
      </c>
      <c r="B13057" s="15" t="s">
        <v>25675</v>
      </c>
      <c r="C13057" s="16">
        <f>396.26/(1+B2)</f>
        <v>396.26</v>
      </c>
      <c r="D13057" s="17" t="s">
        <v>11</v>
      </c>
      <c r="E13057" s="17"/>
      <c r="F13057" s="18"/>
      <c r="G13057" s="36" t="str">
        <f>IF(ISNUMBER(F13057),C13057*F13057,"")</f>
        <v/>
      </c>
    </row>
    <row r="13058" spans="1:7" ht="12" customHeight="1" outlineLevel="2" x14ac:dyDescent="0.2">
      <c r="A13058" s="14" t="s">
        <v>25676</v>
      </c>
      <c r="B13058" s="15" t="s">
        <v>25677</v>
      </c>
      <c r="C13058" s="16">
        <f>751.41/(1+B2)</f>
        <v>751.41</v>
      </c>
      <c r="D13058" s="17" t="s">
        <v>11</v>
      </c>
      <c r="E13058" s="17"/>
      <c r="F13058" s="18"/>
      <c r="G13058" s="36" t="str">
        <f>IF(ISNUMBER(F13058),C13058*F13058,"")</f>
        <v/>
      </c>
    </row>
    <row r="13059" spans="1:7" ht="12" customHeight="1" outlineLevel="2" x14ac:dyDescent="0.2">
      <c r="A13059" s="14" t="s">
        <v>25678</v>
      </c>
      <c r="B13059" s="15" t="s">
        <v>25679</v>
      </c>
      <c r="C13059" s="16">
        <f>935.14/(1+B2)</f>
        <v>935.14</v>
      </c>
      <c r="D13059" s="17" t="s">
        <v>11</v>
      </c>
      <c r="E13059" s="17"/>
      <c r="F13059" s="18"/>
      <c r="G13059" s="36" t="str">
        <f>IF(ISNUMBER(F13059),C13059*F13059,"")</f>
        <v/>
      </c>
    </row>
    <row r="13060" spans="1:7" ht="12" customHeight="1" outlineLevel="2" x14ac:dyDescent="0.2">
      <c r="A13060" s="14" t="s">
        <v>25680</v>
      </c>
      <c r="B13060" s="15" t="s">
        <v>25681</v>
      </c>
      <c r="C13060" s="16">
        <f>831.85/(1+B2)</f>
        <v>831.85</v>
      </c>
      <c r="D13060" s="17" t="s">
        <v>11</v>
      </c>
      <c r="E13060" s="17"/>
      <c r="F13060" s="18"/>
      <c r="G13060" s="36" t="str">
        <f>IF(ISNUMBER(F13060),C13060*F13060,"")</f>
        <v/>
      </c>
    </row>
    <row r="13061" spans="1:7" ht="12" customHeight="1" outlineLevel="2" x14ac:dyDescent="0.2">
      <c r="A13061" s="14" t="s">
        <v>25682</v>
      </c>
      <c r="B13061" s="15" t="s">
        <v>25683</v>
      </c>
      <c r="C13061" s="19">
        <f>1061.47/(1+B2)</f>
        <v>1061.47</v>
      </c>
      <c r="D13061" s="17" t="s">
        <v>11</v>
      </c>
      <c r="E13061" s="17"/>
      <c r="F13061" s="18"/>
      <c r="G13061" s="36" t="str">
        <f>IF(ISNUMBER(F13061),C13061*F13061,"")</f>
        <v/>
      </c>
    </row>
    <row r="13062" spans="1:7" ht="12" customHeight="1" outlineLevel="2" x14ac:dyDescent="0.2">
      <c r="A13062" s="14" t="s">
        <v>25684</v>
      </c>
      <c r="B13062" s="15" t="s">
        <v>25685</v>
      </c>
      <c r="C13062" s="19">
        <f>1382.39/(1+B2)</f>
        <v>1382.39</v>
      </c>
      <c r="D13062" s="17" t="s">
        <v>11</v>
      </c>
      <c r="E13062" s="17"/>
      <c r="F13062" s="18"/>
      <c r="G13062" s="36" t="str">
        <f>IF(ISNUMBER(F13062),C13062*F13062,"")</f>
        <v/>
      </c>
    </row>
    <row r="13063" spans="1:7" ht="12" customHeight="1" outlineLevel="2" x14ac:dyDescent="0.2">
      <c r="A13063" s="14" t="s">
        <v>25686</v>
      </c>
      <c r="B13063" s="15" t="s">
        <v>25687</v>
      </c>
      <c r="C13063" s="16">
        <f>273.77/(1+B2)</f>
        <v>273.77</v>
      </c>
      <c r="D13063" s="17" t="s">
        <v>11</v>
      </c>
      <c r="E13063" s="17"/>
      <c r="F13063" s="18"/>
      <c r="G13063" s="36" t="str">
        <f>IF(ISNUMBER(F13063),C13063*F13063,"")</f>
        <v/>
      </c>
    </row>
    <row r="13064" spans="1:7" ht="12" customHeight="1" outlineLevel="2" x14ac:dyDescent="0.2">
      <c r="A13064" s="14" t="s">
        <v>25688</v>
      </c>
      <c r="B13064" s="15" t="s">
        <v>25689</v>
      </c>
      <c r="C13064" s="16">
        <f>276.39/(1+B2)</f>
        <v>276.39</v>
      </c>
      <c r="D13064" s="17" t="s">
        <v>11</v>
      </c>
      <c r="E13064" s="17"/>
      <c r="F13064" s="18"/>
      <c r="G13064" s="36" t="str">
        <f>IF(ISNUMBER(F13064),C13064*F13064,"")</f>
        <v/>
      </c>
    </row>
    <row r="13065" spans="1:7" ht="12" customHeight="1" outlineLevel="2" x14ac:dyDescent="0.2">
      <c r="A13065" s="14" t="s">
        <v>25690</v>
      </c>
      <c r="B13065" s="15" t="s">
        <v>25691</v>
      </c>
      <c r="C13065" s="16">
        <f>558.01/(1+B2)</f>
        <v>558.01</v>
      </c>
      <c r="D13065" s="17" t="s">
        <v>11</v>
      </c>
      <c r="E13065" s="17"/>
      <c r="F13065" s="18"/>
      <c r="G13065" s="36" t="str">
        <f>IF(ISNUMBER(F13065),C13065*F13065,"")</f>
        <v/>
      </c>
    </row>
    <row r="13066" spans="1:7" ht="12" customHeight="1" outlineLevel="2" x14ac:dyDescent="0.2">
      <c r="A13066" s="14" t="s">
        <v>25692</v>
      </c>
      <c r="B13066" s="15" t="s">
        <v>25693</v>
      </c>
      <c r="C13066" s="16">
        <f>541.42/(1+B2)</f>
        <v>541.41999999999996</v>
      </c>
      <c r="D13066" s="17" t="s">
        <v>11</v>
      </c>
      <c r="E13066" s="17"/>
      <c r="F13066" s="18"/>
      <c r="G13066" s="36" t="str">
        <f>IF(ISNUMBER(F13066),C13066*F13066,"")</f>
        <v/>
      </c>
    </row>
    <row r="13067" spans="1:7" ht="12" customHeight="1" outlineLevel="2" x14ac:dyDescent="0.2">
      <c r="A13067" s="14" t="s">
        <v>25694</v>
      </c>
      <c r="B13067" s="15" t="s">
        <v>25695</v>
      </c>
      <c r="C13067" s="16">
        <f>762.64/(1+B2)</f>
        <v>762.64</v>
      </c>
      <c r="D13067" s="17" t="s">
        <v>11</v>
      </c>
      <c r="E13067" s="17"/>
      <c r="F13067" s="18"/>
      <c r="G13067" s="36" t="str">
        <f>IF(ISNUMBER(F13067),C13067*F13067,"")</f>
        <v/>
      </c>
    </row>
    <row r="13068" spans="1:7" ht="12" customHeight="1" outlineLevel="2" x14ac:dyDescent="0.2">
      <c r="A13068" s="14" t="s">
        <v>25696</v>
      </c>
      <c r="B13068" s="15" t="s">
        <v>25697</v>
      </c>
      <c r="C13068" s="19">
        <f>1117.76/(1+B2)</f>
        <v>1117.76</v>
      </c>
      <c r="D13068" s="17" t="s">
        <v>11</v>
      </c>
      <c r="E13068" s="17"/>
      <c r="F13068" s="18"/>
      <c r="G13068" s="36" t="str">
        <f>IF(ISNUMBER(F13068),C13068*F13068,"")</f>
        <v/>
      </c>
    </row>
    <row r="13069" spans="1:7" ht="12" customHeight="1" outlineLevel="2" x14ac:dyDescent="0.2">
      <c r="A13069" s="14" t="s">
        <v>25698</v>
      </c>
      <c r="B13069" s="15" t="s">
        <v>25699</v>
      </c>
      <c r="C13069" s="16">
        <f>663.91/(1+B2)</f>
        <v>663.91</v>
      </c>
      <c r="D13069" s="17" t="s">
        <v>11</v>
      </c>
      <c r="E13069" s="17"/>
      <c r="F13069" s="18"/>
      <c r="G13069" s="36" t="str">
        <f>IF(ISNUMBER(F13069),C13069*F13069,"")</f>
        <v/>
      </c>
    </row>
    <row r="13070" spans="1:7" ht="24" customHeight="1" outlineLevel="2" x14ac:dyDescent="0.2">
      <c r="A13070" s="14" t="s">
        <v>25700</v>
      </c>
      <c r="B13070" s="15" t="s">
        <v>25701</v>
      </c>
      <c r="C13070" s="16">
        <f>330/(1+B2)</f>
        <v>330</v>
      </c>
      <c r="D13070" s="17" t="s">
        <v>11</v>
      </c>
      <c r="E13070" s="17"/>
      <c r="F13070" s="18"/>
      <c r="G13070" s="36" t="str">
        <f>IF(ISNUMBER(F13070),C13070*F13070,"")</f>
        <v/>
      </c>
    </row>
    <row r="13071" spans="1:7" ht="12" customHeight="1" outlineLevel="2" x14ac:dyDescent="0.2">
      <c r="A13071" s="14" t="s">
        <v>25702</v>
      </c>
      <c r="B13071" s="15" t="s">
        <v>25703</v>
      </c>
      <c r="C13071" s="16">
        <f>489/(1+B2)</f>
        <v>489</v>
      </c>
      <c r="D13071" s="17" t="s">
        <v>11</v>
      </c>
      <c r="E13071" s="17"/>
      <c r="F13071" s="18"/>
      <c r="G13071" s="36" t="str">
        <f>IF(ISNUMBER(F13071),C13071*F13071,"")</f>
        <v/>
      </c>
    </row>
    <row r="13072" spans="1:7" ht="12" customHeight="1" outlineLevel="2" x14ac:dyDescent="0.2">
      <c r="A13072" s="14" t="s">
        <v>25704</v>
      </c>
      <c r="B13072" s="15" t="s">
        <v>25705</v>
      </c>
      <c r="C13072" s="16">
        <f>277.51/(1+B2)</f>
        <v>277.51</v>
      </c>
      <c r="D13072" s="17" t="s">
        <v>11</v>
      </c>
      <c r="E13072" s="17"/>
      <c r="F13072" s="18"/>
      <c r="G13072" s="36" t="str">
        <f>IF(ISNUMBER(F13072),C13072*F13072,"")</f>
        <v/>
      </c>
    </row>
    <row r="13073" spans="1:7" ht="12" customHeight="1" outlineLevel="2" x14ac:dyDescent="0.2">
      <c r="A13073" s="14" t="s">
        <v>25706</v>
      </c>
      <c r="B13073" s="15" t="s">
        <v>25707</v>
      </c>
      <c r="C13073" s="16">
        <f>470.28/(1+B2)</f>
        <v>470.28</v>
      </c>
      <c r="D13073" s="17" t="s">
        <v>11</v>
      </c>
      <c r="E13073" s="17"/>
      <c r="F13073" s="18"/>
      <c r="G13073" s="36" t="str">
        <f>IF(ISNUMBER(F13073),C13073*F13073,"")</f>
        <v/>
      </c>
    </row>
    <row r="13074" spans="1:7" ht="12" customHeight="1" outlineLevel="2" x14ac:dyDescent="0.2">
      <c r="A13074" s="14" t="s">
        <v>25708</v>
      </c>
      <c r="B13074" s="15" t="s">
        <v>25709</v>
      </c>
      <c r="C13074" s="16">
        <f>229.28/(1+B2)</f>
        <v>229.28</v>
      </c>
      <c r="D13074" s="17" t="s">
        <v>11</v>
      </c>
      <c r="E13074" s="17"/>
      <c r="F13074" s="18"/>
      <c r="G13074" s="36" t="str">
        <f>IF(ISNUMBER(F13074),C13074*F13074,"")</f>
        <v/>
      </c>
    </row>
    <row r="13075" spans="1:7" ht="12" customHeight="1" outlineLevel="2" x14ac:dyDescent="0.2">
      <c r="A13075" s="14" t="s">
        <v>25710</v>
      </c>
      <c r="B13075" s="15" t="s">
        <v>25711</v>
      </c>
      <c r="C13075" s="16">
        <f>369.39/(1+B2)</f>
        <v>369.39</v>
      </c>
      <c r="D13075" s="17" t="s">
        <v>11</v>
      </c>
      <c r="E13075" s="17"/>
      <c r="F13075" s="18"/>
      <c r="G13075" s="36" t="str">
        <f>IF(ISNUMBER(F13075),C13075*F13075,"")</f>
        <v/>
      </c>
    </row>
    <row r="13076" spans="1:7" ht="12" customHeight="1" outlineLevel="2" x14ac:dyDescent="0.2">
      <c r="A13076" s="14" t="s">
        <v>25712</v>
      </c>
      <c r="B13076" s="15" t="s">
        <v>25713</v>
      </c>
      <c r="C13076" s="16">
        <f>260.59/(1+B2)</f>
        <v>260.58999999999997</v>
      </c>
      <c r="D13076" s="17" t="s">
        <v>11</v>
      </c>
      <c r="E13076" s="17"/>
      <c r="F13076" s="18"/>
      <c r="G13076" s="36" t="str">
        <f>IF(ISNUMBER(F13076),C13076*F13076,"")</f>
        <v/>
      </c>
    </row>
    <row r="13077" spans="1:7" ht="12" customHeight="1" outlineLevel="2" x14ac:dyDescent="0.2">
      <c r="A13077" s="14" t="s">
        <v>25714</v>
      </c>
      <c r="B13077" s="15" t="s">
        <v>25715</v>
      </c>
      <c r="C13077" s="16">
        <f>403.72/(1+B2)</f>
        <v>403.72</v>
      </c>
      <c r="D13077" s="17" t="s">
        <v>11</v>
      </c>
      <c r="E13077" s="17"/>
      <c r="F13077" s="18"/>
      <c r="G13077" s="36" t="str">
        <f>IF(ISNUMBER(F13077),C13077*F13077,"")</f>
        <v/>
      </c>
    </row>
    <row r="13078" spans="1:7" ht="12" customHeight="1" outlineLevel="2" x14ac:dyDescent="0.2">
      <c r="A13078" s="14" t="s">
        <v>25716</v>
      </c>
      <c r="B13078" s="15" t="s">
        <v>25717</v>
      </c>
      <c r="C13078" s="16">
        <f>592.85/(1+B2)</f>
        <v>592.85</v>
      </c>
      <c r="D13078" s="17" t="s">
        <v>11</v>
      </c>
      <c r="E13078" s="17"/>
      <c r="F13078" s="18"/>
      <c r="G13078" s="36" t="str">
        <f>IF(ISNUMBER(F13078),C13078*F13078,"")</f>
        <v/>
      </c>
    </row>
    <row r="13079" spans="1:7" ht="12" customHeight="1" outlineLevel="2" x14ac:dyDescent="0.2">
      <c r="A13079" s="14" t="s">
        <v>25718</v>
      </c>
      <c r="B13079" s="15" t="s">
        <v>25719</v>
      </c>
      <c r="C13079" s="16">
        <f>667.68/(1+B2)</f>
        <v>667.68</v>
      </c>
      <c r="D13079" s="17" t="s">
        <v>11</v>
      </c>
      <c r="E13079" s="17"/>
      <c r="F13079" s="18"/>
      <c r="G13079" s="36" t="str">
        <f>IF(ISNUMBER(F13079),C13079*F13079,"")</f>
        <v/>
      </c>
    </row>
    <row r="13080" spans="1:7" ht="12" customHeight="1" outlineLevel="2" x14ac:dyDescent="0.2">
      <c r="A13080" s="14" t="s">
        <v>25720</v>
      </c>
      <c r="B13080" s="15" t="s">
        <v>25721</v>
      </c>
      <c r="C13080" s="16">
        <f>654.82/(1+B2)</f>
        <v>654.82000000000005</v>
      </c>
      <c r="D13080" s="17" t="s">
        <v>11</v>
      </c>
      <c r="E13080" s="17"/>
      <c r="F13080" s="18"/>
      <c r="G13080" s="36" t="str">
        <f>IF(ISNUMBER(F13080),C13080*F13080,"")</f>
        <v/>
      </c>
    </row>
    <row r="13081" spans="1:7" ht="12" customHeight="1" outlineLevel="2" x14ac:dyDescent="0.2">
      <c r="A13081" s="14" t="s">
        <v>25722</v>
      </c>
      <c r="B13081" s="15" t="s">
        <v>25723</v>
      </c>
      <c r="C13081" s="19">
        <f>1174.71/(1+B2)</f>
        <v>1174.71</v>
      </c>
      <c r="D13081" s="17" t="s">
        <v>11</v>
      </c>
      <c r="E13081" s="17"/>
      <c r="F13081" s="18"/>
      <c r="G13081" s="36" t="str">
        <f>IF(ISNUMBER(F13081),C13081*F13081,"")</f>
        <v/>
      </c>
    </row>
    <row r="13082" spans="1:7" ht="12" customHeight="1" outlineLevel="2" x14ac:dyDescent="0.2">
      <c r="A13082" s="14" t="s">
        <v>25724</v>
      </c>
      <c r="B13082" s="15" t="s">
        <v>25725</v>
      </c>
      <c r="C13082" s="16">
        <f>970.41/(1+B2)</f>
        <v>970.41</v>
      </c>
      <c r="D13082" s="17" t="s">
        <v>11</v>
      </c>
      <c r="E13082" s="17"/>
      <c r="F13082" s="18"/>
      <c r="G13082" s="36" t="str">
        <f>IF(ISNUMBER(F13082),C13082*F13082,"")</f>
        <v/>
      </c>
    </row>
    <row r="13083" spans="1:7" ht="24" customHeight="1" outlineLevel="2" x14ac:dyDescent="0.2">
      <c r="A13083" s="14" t="s">
        <v>25726</v>
      </c>
      <c r="B13083" s="15" t="s">
        <v>25727</v>
      </c>
      <c r="C13083" s="16">
        <f>466.41/(1+B2)</f>
        <v>466.41</v>
      </c>
      <c r="D13083" s="17" t="s">
        <v>11</v>
      </c>
      <c r="E13083" s="17"/>
      <c r="F13083" s="18"/>
      <c r="G13083" s="36" t="str">
        <f>IF(ISNUMBER(F13083),C13083*F13083,"")</f>
        <v/>
      </c>
    </row>
    <row r="13084" spans="1:7" ht="12" customHeight="1" outlineLevel="2" x14ac:dyDescent="0.2">
      <c r="A13084" s="14" t="s">
        <v>25728</v>
      </c>
      <c r="B13084" s="15" t="s">
        <v>25729</v>
      </c>
      <c r="C13084" s="16">
        <f>645.24/(1+B2)</f>
        <v>645.24</v>
      </c>
      <c r="D13084" s="17" t="s">
        <v>14</v>
      </c>
      <c r="E13084" s="17"/>
      <c r="F13084" s="18"/>
      <c r="G13084" s="36" t="str">
        <f>IF(ISNUMBER(F13084),C13084*F13084,"")</f>
        <v/>
      </c>
    </row>
    <row r="13085" spans="1:7" ht="12" customHeight="1" outlineLevel="2" x14ac:dyDescent="0.2">
      <c r="A13085" s="14" t="s">
        <v>25730</v>
      </c>
      <c r="B13085" s="15" t="s">
        <v>25731</v>
      </c>
      <c r="C13085" s="16">
        <f>460.02/(1+B2)</f>
        <v>460.02</v>
      </c>
      <c r="D13085" s="17" t="s">
        <v>11</v>
      </c>
      <c r="E13085" s="17"/>
      <c r="F13085" s="18"/>
      <c r="G13085" s="36" t="str">
        <f>IF(ISNUMBER(F13085),C13085*F13085,"")</f>
        <v/>
      </c>
    </row>
    <row r="13086" spans="1:7" ht="12" customHeight="1" outlineLevel="2" x14ac:dyDescent="0.2">
      <c r="A13086" s="14" t="s">
        <v>25732</v>
      </c>
      <c r="B13086" s="15" t="s">
        <v>25733</v>
      </c>
      <c r="C13086" s="16">
        <f>613.58/(1+B2)</f>
        <v>613.58000000000004</v>
      </c>
      <c r="D13086" s="17" t="s">
        <v>11</v>
      </c>
      <c r="E13086" s="17"/>
      <c r="F13086" s="18"/>
      <c r="G13086" s="36" t="str">
        <f>IF(ISNUMBER(F13086),C13086*F13086,"")</f>
        <v/>
      </c>
    </row>
    <row r="13087" spans="1:7" ht="12" customHeight="1" outlineLevel="2" x14ac:dyDescent="0.2">
      <c r="A13087" s="14" t="s">
        <v>25734</v>
      </c>
      <c r="B13087" s="15" t="s">
        <v>25735</v>
      </c>
      <c r="C13087" s="16">
        <f>155.12/(1+B2)</f>
        <v>155.12</v>
      </c>
      <c r="D13087" s="17" t="s">
        <v>11</v>
      </c>
      <c r="E13087" s="17"/>
      <c r="F13087" s="18"/>
      <c r="G13087" s="36" t="str">
        <f>IF(ISNUMBER(F13087),C13087*F13087,"")</f>
        <v/>
      </c>
    </row>
    <row r="13088" spans="1:7" ht="12" customHeight="1" outlineLevel="2" x14ac:dyDescent="0.2">
      <c r="A13088" s="14" t="s">
        <v>25736</v>
      </c>
      <c r="B13088" s="15" t="s">
        <v>25737</v>
      </c>
      <c r="C13088" s="16">
        <f>194.45/(1+B2)</f>
        <v>194.45</v>
      </c>
      <c r="D13088" s="17" t="s">
        <v>11</v>
      </c>
      <c r="E13088" s="17"/>
      <c r="F13088" s="18"/>
      <c r="G13088" s="36" t="str">
        <f>IF(ISNUMBER(F13088),C13088*F13088,"")</f>
        <v/>
      </c>
    </row>
    <row r="13089" spans="1:7" ht="12" customHeight="1" outlineLevel="2" x14ac:dyDescent="0.2">
      <c r="A13089" s="14" t="s">
        <v>25738</v>
      </c>
      <c r="B13089" s="15" t="s">
        <v>25739</v>
      </c>
      <c r="C13089" s="16">
        <f>622.9/(1+B2)</f>
        <v>622.9</v>
      </c>
      <c r="D13089" s="17" t="s">
        <v>11</v>
      </c>
      <c r="E13089" s="17"/>
      <c r="F13089" s="18"/>
      <c r="G13089" s="36" t="str">
        <f>IF(ISNUMBER(F13089),C13089*F13089,"")</f>
        <v/>
      </c>
    </row>
    <row r="13090" spans="1:7" ht="12" customHeight="1" outlineLevel="2" x14ac:dyDescent="0.2">
      <c r="A13090" s="14" t="s">
        <v>25740</v>
      </c>
      <c r="B13090" s="15" t="s">
        <v>25741</v>
      </c>
      <c r="C13090" s="16">
        <f>137.51/(1+B2)</f>
        <v>137.51</v>
      </c>
      <c r="D13090" s="17" t="s">
        <v>11</v>
      </c>
      <c r="E13090" s="17"/>
      <c r="F13090" s="18"/>
      <c r="G13090" s="36" t="str">
        <f>IF(ISNUMBER(F13090),C13090*F13090,"")</f>
        <v/>
      </c>
    </row>
    <row r="13091" spans="1:7" ht="12" customHeight="1" outlineLevel="2" x14ac:dyDescent="0.2">
      <c r="A13091" s="14" t="s">
        <v>25742</v>
      </c>
      <c r="B13091" s="15" t="s">
        <v>25743</v>
      </c>
      <c r="C13091" s="16">
        <f>146.28/(1+B2)</f>
        <v>146.28</v>
      </c>
      <c r="D13091" s="17" t="s">
        <v>11</v>
      </c>
      <c r="E13091" s="17"/>
      <c r="F13091" s="18"/>
      <c r="G13091" s="36" t="str">
        <f>IF(ISNUMBER(F13091),C13091*F13091,"")</f>
        <v/>
      </c>
    </row>
    <row r="13092" spans="1:7" ht="12" customHeight="1" outlineLevel="2" x14ac:dyDescent="0.2">
      <c r="A13092" s="14" t="s">
        <v>25744</v>
      </c>
      <c r="B13092" s="15" t="s">
        <v>25745</v>
      </c>
      <c r="C13092" s="16">
        <f>405.78/(1+B2)</f>
        <v>405.78</v>
      </c>
      <c r="D13092" s="17" t="s">
        <v>11</v>
      </c>
      <c r="E13092" s="17"/>
      <c r="F13092" s="18"/>
      <c r="G13092" s="36" t="str">
        <f>IF(ISNUMBER(F13092),C13092*F13092,"")</f>
        <v/>
      </c>
    </row>
    <row r="13093" spans="1:7" ht="12" customHeight="1" outlineLevel="2" x14ac:dyDescent="0.2">
      <c r="A13093" s="14" t="s">
        <v>25746</v>
      </c>
      <c r="B13093" s="15" t="s">
        <v>25747</v>
      </c>
      <c r="C13093" s="16">
        <f>454.5/(1+B2)</f>
        <v>454.5</v>
      </c>
      <c r="D13093" s="17" t="s">
        <v>11</v>
      </c>
      <c r="E13093" s="17"/>
      <c r="F13093" s="18"/>
      <c r="G13093" s="36" t="str">
        <f>IF(ISNUMBER(F13093),C13093*F13093,"")</f>
        <v/>
      </c>
    </row>
    <row r="13094" spans="1:7" ht="12" customHeight="1" outlineLevel="2" x14ac:dyDescent="0.2">
      <c r="A13094" s="14" t="s">
        <v>25748</v>
      </c>
      <c r="B13094" s="15" t="s">
        <v>25749</v>
      </c>
      <c r="C13094" s="16">
        <f>553.21/(1+B2)</f>
        <v>553.21</v>
      </c>
      <c r="D13094" s="17" t="s">
        <v>11</v>
      </c>
      <c r="E13094" s="17"/>
      <c r="F13094" s="18"/>
      <c r="G13094" s="36" t="str">
        <f>IF(ISNUMBER(F13094),C13094*F13094,"")</f>
        <v/>
      </c>
    </row>
    <row r="13095" spans="1:7" ht="12" customHeight="1" outlineLevel="2" x14ac:dyDescent="0.2">
      <c r="A13095" s="14" t="s">
        <v>25750</v>
      </c>
      <c r="B13095" s="15" t="s">
        <v>25751</v>
      </c>
      <c r="C13095" s="16">
        <f>564.47/(1+B2)</f>
        <v>564.47</v>
      </c>
      <c r="D13095" s="17" t="s">
        <v>11</v>
      </c>
      <c r="E13095" s="17"/>
      <c r="F13095" s="18"/>
      <c r="G13095" s="36" t="str">
        <f>IF(ISNUMBER(F13095),C13095*F13095,"")</f>
        <v/>
      </c>
    </row>
    <row r="13096" spans="1:7" ht="12" customHeight="1" outlineLevel="2" x14ac:dyDescent="0.2">
      <c r="A13096" s="14" t="s">
        <v>25752</v>
      </c>
      <c r="B13096" s="15" t="s">
        <v>25753</v>
      </c>
      <c r="C13096" s="16">
        <f>149.75/(1+B2)</f>
        <v>149.75</v>
      </c>
      <c r="D13096" s="17" t="s">
        <v>11</v>
      </c>
      <c r="E13096" s="17"/>
      <c r="F13096" s="18"/>
      <c r="G13096" s="36" t="str">
        <f>IF(ISNUMBER(F13096),C13096*F13096,"")</f>
        <v/>
      </c>
    </row>
    <row r="13097" spans="1:7" ht="12" customHeight="1" outlineLevel="2" x14ac:dyDescent="0.2">
      <c r="A13097" s="14" t="s">
        <v>25754</v>
      </c>
      <c r="B13097" s="15" t="s">
        <v>25755</v>
      </c>
      <c r="C13097" s="16">
        <f>460.75/(1+B2)</f>
        <v>460.75</v>
      </c>
      <c r="D13097" s="17" t="s">
        <v>11</v>
      </c>
      <c r="E13097" s="17"/>
      <c r="F13097" s="18"/>
      <c r="G13097" s="36" t="str">
        <f>IF(ISNUMBER(F13097),C13097*F13097,"")</f>
        <v/>
      </c>
    </row>
    <row r="13098" spans="1:7" ht="12" customHeight="1" outlineLevel="2" x14ac:dyDescent="0.2">
      <c r="A13098" s="14" t="s">
        <v>25756</v>
      </c>
      <c r="B13098" s="15" t="s">
        <v>25757</v>
      </c>
      <c r="C13098" s="16">
        <f>563.5/(1+B2)</f>
        <v>563.5</v>
      </c>
      <c r="D13098" s="17" t="s">
        <v>11</v>
      </c>
      <c r="E13098" s="17"/>
      <c r="F13098" s="18"/>
      <c r="G13098" s="36" t="str">
        <f>IF(ISNUMBER(F13098),C13098*F13098,"")</f>
        <v/>
      </c>
    </row>
    <row r="13099" spans="1:7" ht="12" customHeight="1" outlineLevel="2" x14ac:dyDescent="0.2">
      <c r="A13099" s="14" t="s">
        <v>25758</v>
      </c>
      <c r="B13099" s="15" t="s">
        <v>25759</v>
      </c>
      <c r="C13099" s="16">
        <f>532.66/(1+B2)</f>
        <v>532.66</v>
      </c>
      <c r="D13099" s="17" t="s">
        <v>11</v>
      </c>
      <c r="E13099" s="17"/>
      <c r="F13099" s="18"/>
      <c r="G13099" s="36" t="str">
        <f>IF(ISNUMBER(F13099),C13099*F13099,"")</f>
        <v/>
      </c>
    </row>
    <row r="13100" spans="1:7" ht="24" customHeight="1" outlineLevel="2" x14ac:dyDescent="0.2">
      <c r="A13100" s="14" t="s">
        <v>25760</v>
      </c>
      <c r="B13100" s="15" t="s">
        <v>25761</v>
      </c>
      <c r="C13100" s="16">
        <f>268.53/(1+B2)</f>
        <v>268.52999999999997</v>
      </c>
      <c r="D13100" s="17" t="s">
        <v>11</v>
      </c>
      <c r="E13100" s="17"/>
      <c r="F13100" s="18"/>
      <c r="G13100" s="36" t="str">
        <f>IF(ISNUMBER(F13100),C13100*F13100,"")</f>
        <v/>
      </c>
    </row>
    <row r="13101" spans="1:7" ht="24" customHeight="1" outlineLevel="2" x14ac:dyDescent="0.2">
      <c r="A13101" s="14" t="s">
        <v>25762</v>
      </c>
      <c r="B13101" s="15" t="s">
        <v>25763</v>
      </c>
      <c r="C13101" s="16">
        <f>251.77/(1+B2)</f>
        <v>251.77</v>
      </c>
      <c r="D13101" s="17" t="s">
        <v>11</v>
      </c>
      <c r="E13101" s="17"/>
      <c r="F13101" s="18"/>
      <c r="G13101" s="36" t="str">
        <f>IF(ISNUMBER(F13101),C13101*F13101,"")</f>
        <v/>
      </c>
    </row>
    <row r="13102" spans="1:7" ht="24" customHeight="1" outlineLevel="2" x14ac:dyDescent="0.2">
      <c r="A13102" s="14" t="s">
        <v>25764</v>
      </c>
      <c r="B13102" s="15" t="s">
        <v>25765</v>
      </c>
      <c r="C13102" s="16">
        <f>423.59/(1+B2)</f>
        <v>423.59</v>
      </c>
      <c r="D13102" s="17" t="s">
        <v>11</v>
      </c>
      <c r="E13102" s="17"/>
      <c r="F13102" s="18"/>
      <c r="G13102" s="36" t="str">
        <f>IF(ISNUMBER(F13102),C13102*F13102,"")</f>
        <v/>
      </c>
    </row>
    <row r="13103" spans="1:7" ht="24" customHeight="1" outlineLevel="2" x14ac:dyDescent="0.2">
      <c r="A13103" s="14" t="s">
        <v>25766</v>
      </c>
      <c r="B13103" s="15" t="s">
        <v>25767</v>
      </c>
      <c r="C13103" s="16">
        <f>582.61/(1+B2)</f>
        <v>582.61</v>
      </c>
      <c r="D13103" s="17" t="s">
        <v>11</v>
      </c>
      <c r="E13103" s="17"/>
      <c r="F13103" s="18"/>
      <c r="G13103" s="36" t="str">
        <f>IF(ISNUMBER(F13103),C13103*F13103,"")</f>
        <v/>
      </c>
    </row>
    <row r="13104" spans="1:7" ht="24" customHeight="1" outlineLevel="2" x14ac:dyDescent="0.2">
      <c r="A13104" s="14" t="s">
        <v>25768</v>
      </c>
      <c r="B13104" s="15" t="s">
        <v>25769</v>
      </c>
      <c r="C13104" s="19">
        <f>1042.43/(1+B2)</f>
        <v>1042.43</v>
      </c>
      <c r="D13104" s="17" t="s">
        <v>11</v>
      </c>
      <c r="E13104" s="17"/>
      <c r="F13104" s="18"/>
      <c r="G13104" s="36" t="str">
        <f>IF(ISNUMBER(F13104),C13104*F13104,"")</f>
        <v/>
      </c>
    </row>
    <row r="13105" spans="1:7" ht="24" customHeight="1" outlineLevel="2" x14ac:dyDescent="0.2">
      <c r="A13105" s="14" t="s">
        <v>25770</v>
      </c>
      <c r="B13105" s="15" t="s">
        <v>25771</v>
      </c>
      <c r="C13105" s="16">
        <f>840.15/(1+B2)</f>
        <v>840.15</v>
      </c>
      <c r="D13105" s="17" t="s">
        <v>11</v>
      </c>
      <c r="E13105" s="17"/>
      <c r="F13105" s="18"/>
      <c r="G13105" s="36" t="str">
        <f>IF(ISNUMBER(F13105),C13105*F13105,"")</f>
        <v/>
      </c>
    </row>
    <row r="13106" spans="1:7" ht="24" customHeight="1" outlineLevel="2" x14ac:dyDescent="0.2">
      <c r="A13106" s="14" t="s">
        <v>25772</v>
      </c>
      <c r="B13106" s="15" t="s">
        <v>25773</v>
      </c>
      <c r="C13106" s="19">
        <f>1083.17/(1+B2)</f>
        <v>1083.17</v>
      </c>
      <c r="D13106" s="17" t="s">
        <v>11</v>
      </c>
      <c r="E13106" s="17"/>
      <c r="F13106" s="18"/>
      <c r="G13106" s="36" t="str">
        <f>IF(ISNUMBER(F13106),C13106*F13106,"")</f>
        <v/>
      </c>
    </row>
    <row r="13107" spans="1:7" ht="12" customHeight="1" outlineLevel="2" x14ac:dyDescent="0.2">
      <c r="A13107" s="14" t="s">
        <v>25774</v>
      </c>
      <c r="B13107" s="15" t="s">
        <v>25775</v>
      </c>
      <c r="C13107" s="16">
        <f>293.33/(1+B2)</f>
        <v>293.33</v>
      </c>
      <c r="D13107" s="17" t="s">
        <v>11</v>
      </c>
      <c r="E13107" s="17"/>
      <c r="F13107" s="18"/>
      <c r="G13107" s="36" t="str">
        <f>IF(ISNUMBER(F13107),C13107*F13107,"")</f>
        <v/>
      </c>
    </row>
    <row r="13108" spans="1:7" ht="12" customHeight="1" outlineLevel="2" x14ac:dyDescent="0.2">
      <c r="A13108" s="14" t="s">
        <v>25776</v>
      </c>
      <c r="B13108" s="15" t="s">
        <v>25777</v>
      </c>
      <c r="C13108" s="16">
        <f>496.85/(1+B2)</f>
        <v>496.85</v>
      </c>
      <c r="D13108" s="17" t="s">
        <v>11</v>
      </c>
      <c r="E13108" s="17"/>
      <c r="F13108" s="18"/>
      <c r="G13108" s="36" t="str">
        <f>IF(ISNUMBER(F13108),C13108*F13108,"")</f>
        <v/>
      </c>
    </row>
    <row r="13109" spans="1:7" ht="12" customHeight="1" outlineLevel="2" x14ac:dyDescent="0.2">
      <c r="A13109" s="14" t="s">
        <v>25778</v>
      </c>
      <c r="B13109" s="15" t="s">
        <v>25779</v>
      </c>
      <c r="C13109" s="16">
        <f>444.97/(1+B2)</f>
        <v>444.97</v>
      </c>
      <c r="D13109" s="17" t="s">
        <v>11</v>
      </c>
      <c r="E13109" s="17"/>
      <c r="F13109" s="18"/>
      <c r="G13109" s="36" t="str">
        <f>IF(ISNUMBER(F13109),C13109*F13109,"")</f>
        <v/>
      </c>
    </row>
    <row r="13110" spans="1:7" ht="12" customHeight="1" outlineLevel="2" x14ac:dyDescent="0.2">
      <c r="A13110" s="14" t="s">
        <v>25780</v>
      </c>
      <c r="B13110" s="15" t="s">
        <v>25781</v>
      </c>
      <c r="C13110" s="16">
        <f>539.74/(1+B2)</f>
        <v>539.74</v>
      </c>
      <c r="D13110" s="17" t="s">
        <v>11</v>
      </c>
      <c r="E13110" s="17"/>
      <c r="F13110" s="18"/>
      <c r="G13110" s="36" t="str">
        <f>IF(ISNUMBER(F13110),C13110*F13110,"")</f>
        <v/>
      </c>
    </row>
    <row r="13111" spans="1:7" s="1" customFormat="1" ht="15.95" customHeight="1" outlineLevel="1" x14ac:dyDescent="0.25">
      <c r="A13111" s="11"/>
      <c r="B13111" s="12" t="s">
        <v>25782</v>
      </c>
      <c r="C13111" s="13"/>
      <c r="D13111" s="13"/>
      <c r="E13111" s="13"/>
      <c r="F13111" s="13"/>
      <c r="G13111" s="35"/>
    </row>
    <row r="13112" spans="1:7" ht="12" customHeight="1" outlineLevel="2" x14ac:dyDescent="0.2">
      <c r="A13112" s="14" t="s">
        <v>25783</v>
      </c>
      <c r="B13112" s="15" t="s">
        <v>25784</v>
      </c>
      <c r="C13112" s="19">
        <f>1148.87/(1+B2)</f>
        <v>1148.8699999999999</v>
      </c>
      <c r="D13112" s="17" t="s">
        <v>11</v>
      </c>
      <c r="E13112" s="17"/>
      <c r="F13112" s="18"/>
      <c r="G13112" s="36" t="str">
        <f>IF(ISNUMBER(F13112),C13112*F13112,"")</f>
        <v/>
      </c>
    </row>
    <row r="13113" spans="1:7" ht="12" customHeight="1" outlineLevel="2" x14ac:dyDescent="0.2">
      <c r="A13113" s="14" t="s">
        <v>25785</v>
      </c>
      <c r="B13113" s="15" t="s">
        <v>25786</v>
      </c>
      <c r="C13113" s="19">
        <f>2075.99/(1+B2)</f>
        <v>2075.9899999999998</v>
      </c>
      <c r="D13113" s="17" t="s">
        <v>11</v>
      </c>
      <c r="E13113" s="17"/>
      <c r="F13113" s="18"/>
      <c r="G13113" s="36" t="str">
        <f>IF(ISNUMBER(F13113),C13113*F13113,"")</f>
        <v/>
      </c>
    </row>
    <row r="13114" spans="1:7" ht="12" customHeight="1" outlineLevel="2" x14ac:dyDescent="0.2">
      <c r="A13114" s="14" t="s">
        <v>25787</v>
      </c>
      <c r="B13114" s="15" t="s">
        <v>25788</v>
      </c>
      <c r="C13114" s="19">
        <f>2826.26/(1+B2)</f>
        <v>2826.26</v>
      </c>
      <c r="D13114" s="17" t="s">
        <v>11</v>
      </c>
      <c r="E13114" s="17"/>
      <c r="F13114" s="18"/>
      <c r="G13114" s="36" t="str">
        <f>IF(ISNUMBER(F13114),C13114*F13114,"")</f>
        <v/>
      </c>
    </row>
    <row r="13115" spans="1:7" ht="12" customHeight="1" outlineLevel="2" x14ac:dyDescent="0.2">
      <c r="A13115" s="14" t="s">
        <v>25789</v>
      </c>
      <c r="B13115" s="15" t="s">
        <v>25790</v>
      </c>
      <c r="C13115" s="19">
        <f>3265.75/(1+B2)</f>
        <v>3265.75</v>
      </c>
      <c r="D13115" s="17" t="s">
        <v>11</v>
      </c>
      <c r="E13115" s="17"/>
      <c r="F13115" s="18"/>
      <c r="G13115" s="36" t="str">
        <f>IF(ISNUMBER(F13115),C13115*F13115,"")</f>
        <v/>
      </c>
    </row>
    <row r="13116" spans="1:7" ht="12" customHeight="1" outlineLevel="2" x14ac:dyDescent="0.2">
      <c r="A13116" s="14" t="s">
        <v>25791</v>
      </c>
      <c r="B13116" s="15" t="s">
        <v>25792</v>
      </c>
      <c r="C13116" s="19">
        <f>3264.44/(1+B2)</f>
        <v>3264.44</v>
      </c>
      <c r="D13116" s="17" t="s">
        <v>11</v>
      </c>
      <c r="E13116" s="17"/>
      <c r="F13116" s="18"/>
      <c r="G13116" s="36" t="str">
        <f>IF(ISNUMBER(F13116),C13116*F13116,"")</f>
        <v/>
      </c>
    </row>
    <row r="13117" spans="1:7" ht="12" customHeight="1" outlineLevel="2" x14ac:dyDescent="0.2">
      <c r="A13117" s="14" t="s">
        <v>25793</v>
      </c>
      <c r="B13117" s="15" t="s">
        <v>25794</v>
      </c>
      <c r="C13117" s="16">
        <f>257.27/(1+B2)</f>
        <v>257.27</v>
      </c>
      <c r="D13117" s="17" t="s">
        <v>11</v>
      </c>
      <c r="E13117" s="17"/>
      <c r="F13117" s="18"/>
      <c r="G13117" s="36" t="str">
        <f>IF(ISNUMBER(F13117),C13117*F13117,"")</f>
        <v/>
      </c>
    </row>
    <row r="13118" spans="1:7" ht="24" customHeight="1" outlineLevel="2" x14ac:dyDescent="0.2">
      <c r="A13118" s="14" t="s">
        <v>25795</v>
      </c>
      <c r="B13118" s="15" t="s">
        <v>25796</v>
      </c>
      <c r="C13118" s="16">
        <f>181.33/(1+B2)</f>
        <v>181.33</v>
      </c>
      <c r="D13118" s="17" t="s">
        <v>11</v>
      </c>
      <c r="E13118" s="17"/>
      <c r="F13118" s="18"/>
      <c r="G13118" s="36" t="str">
        <f>IF(ISNUMBER(F13118),C13118*F13118,"")</f>
        <v/>
      </c>
    </row>
    <row r="13119" spans="1:7" ht="12" customHeight="1" outlineLevel="2" x14ac:dyDescent="0.2">
      <c r="A13119" s="14" t="s">
        <v>25797</v>
      </c>
      <c r="B13119" s="15" t="s">
        <v>25798</v>
      </c>
      <c r="C13119" s="16">
        <f>230.19/(1+B2)</f>
        <v>230.19</v>
      </c>
      <c r="D13119" s="17" t="s">
        <v>11</v>
      </c>
      <c r="E13119" s="17"/>
      <c r="F13119" s="18"/>
      <c r="G13119" s="36" t="str">
        <f>IF(ISNUMBER(F13119),C13119*F13119,"")</f>
        <v/>
      </c>
    </row>
    <row r="13120" spans="1:7" ht="24" customHeight="1" outlineLevel="2" x14ac:dyDescent="0.2">
      <c r="A13120" s="14" t="s">
        <v>25799</v>
      </c>
      <c r="B13120" s="15" t="s">
        <v>25800</v>
      </c>
      <c r="C13120" s="16">
        <f>351.73/(1+B2)</f>
        <v>351.73</v>
      </c>
      <c r="D13120" s="17" t="s">
        <v>11</v>
      </c>
      <c r="E13120" s="17"/>
      <c r="F13120" s="18"/>
      <c r="G13120" s="36" t="str">
        <f>IF(ISNUMBER(F13120),C13120*F13120,"")</f>
        <v/>
      </c>
    </row>
    <row r="13121" spans="1:7" ht="12" customHeight="1" outlineLevel="2" x14ac:dyDescent="0.2">
      <c r="A13121" s="14" t="s">
        <v>25801</v>
      </c>
      <c r="B13121" s="15" t="s">
        <v>25802</v>
      </c>
      <c r="C13121" s="16">
        <f>443.88/(1+B2)</f>
        <v>443.88</v>
      </c>
      <c r="D13121" s="17" t="s">
        <v>11</v>
      </c>
      <c r="E13121" s="17"/>
      <c r="F13121" s="18"/>
      <c r="G13121" s="36" t="str">
        <f>IF(ISNUMBER(F13121),C13121*F13121,"")</f>
        <v/>
      </c>
    </row>
    <row r="13122" spans="1:7" ht="12" customHeight="1" outlineLevel="2" x14ac:dyDescent="0.2">
      <c r="A13122" s="14" t="s">
        <v>25803</v>
      </c>
      <c r="B13122" s="15" t="s">
        <v>25804</v>
      </c>
      <c r="C13122" s="16">
        <f>274.03/(1+B2)</f>
        <v>274.02999999999997</v>
      </c>
      <c r="D13122" s="17" t="s">
        <v>11</v>
      </c>
      <c r="E13122" s="17"/>
      <c r="F13122" s="18"/>
      <c r="G13122" s="36" t="str">
        <f>IF(ISNUMBER(F13122),C13122*F13122,"")</f>
        <v/>
      </c>
    </row>
    <row r="13123" spans="1:7" ht="12" customHeight="1" outlineLevel="2" x14ac:dyDescent="0.2">
      <c r="A13123" s="14" t="s">
        <v>25805</v>
      </c>
      <c r="B13123" s="15" t="s">
        <v>25806</v>
      </c>
      <c r="C13123" s="16">
        <f>334.14/(1+B2)</f>
        <v>334.14</v>
      </c>
      <c r="D13123" s="17" t="s">
        <v>11</v>
      </c>
      <c r="E13123" s="17"/>
      <c r="F13123" s="18"/>
      <c r="G13123" s="36" t="str">
        <f>IF(ISNUMBER(F13123),C13123*F13123,"")</f>
        <v/>
      </c>
    </row>
    <row r="13124" spans="1:7" ht="12" customHeight="1" outlineLevel="2" x14ac:dyDescent="0.2">
      <c r="A13124" s="14" t="s">
        <v>25807</v>
      </c>
      <c r="B13124" s="15" t="s">
        <v>25808</v>
      </c>
      <c r="C13124" s="16">
        <f>310.91/(1+B2)</f>
        <v>310.91000000000003</v>
      </c>
      <c r="D13124" s="17" t="s">
        <v>11</v>
      </c>
      <c r="E13124" s="17"/>
      <c r="F13124" s="18"/>
      <c r="G13124" s="36" t="str">
        <f>IF(ISNUMBER(F13124),C13124*F13124,"")</f>
        <v/>
      </c>
    </row>
    <row r="13125" spans="1:7" ht="12" customHeight="1" outlineLevel="2" x14ac:dyDescent="0.2">
      <c r="A13125" s="14" t="s">
        <v>25809</v>
      </c>
      <c r="B13125" s="15" t="s">
        <v>25810</v>
      </c>
      <c r="C13125" s="16">
        <f>361.52/(1+B2)</f>
        <v>361.52</v>
      </c>
      <c r="D13125" s="17" t="s">
        <v>11</v>
      </c>
      <c r="E13125" s="17"/>
      <c r="F13125" s="18"/>
      <c r="G13125" s="36" t="str">
        <f>IF(ISNUMBER(F13125),C13125*F13125,"")</f>
        <v/>
      </c>
    </row>
    <row r="13126" spans="1:7" ht="12" customHeight="1" outlineLevel="2" x14ac:dyDescent="0.2">
      <c r="A13126" s="14" t="s">
        <v>25811</v>
      </c>
      <c r="B13126" s="15" t="s">
        <v>25812</v>
      </c>
      <c r="C13126" s="16">
        <f>419.35/(1+B2)</f>
        <v>419.35</v>
      </c>
      <c r="D13126" s="17" t="s">
        <v>11</v>
      </c>
      <c r="E13126" s="17"/>
      <c r="F13126" s="18"/>
      <c r="G13126" s="36" t="str">
        <f>IF(ISNUMBER(F13126),C13126*F13126,"")</f>
        <v/>
      </c>
    </row>
    <row r="13127" spans="1:7" ht="12" customHeight="1" outlineLevel="2" x14ac:dyDescent="0.2">
      <c r="A13127" s="14" t="s">
        <v>25813</v>
      </c>
      <c r="B13127" s="15" t="s">
        <v>25814</v>
      </c>
      <c r="C13127" s="16">
        <f>419.14/(1+B2)</f>
        <v>419.14</v>
      </c>
      <c r="D13127" s="17" t="s">
        <v>11</v>
      </c>
      <c r="E13127" s="17"/>
      <c r="F13127" s="18"/>
      <c r="G13127" s="36" t="str">
        <f>IF(ISNUMBER(F13127),C13127*F13127,"")</f>
        <v/>
      </c>
    </row>
    <row r="13128" spans="1:7" ht="12" customHeight="1" outlineLevel="2" x14ac:dyDescent="0.2">
      <c r="A13128" s="14" t="s">
        <v>25815</v>
      </c>
      <c r="B13128" s="15" t="s">
        <v>25816</v>
      </c>
      <c r="C13128" s="16">
        <f>351.24/(1+B2)</f>
        <v>351.24</v>
      </c>
      <c r="D13128" s="17" t="s">
        <v>11</v>
      </c>
      <c r="E13128" s="17"/>
      <c r="F13128" s="18"/>
      <c r="G13128" s="36" t="str">
        <f>IF(ISNUMBER(F13128),C13128*F13128,"")</f>
        <v/>
      </c>
    </row>
    <row r="13129" spans="1:7" ht="12" customHeight="1" outlineLevel="2" x14ac:dyDescent="0.2">
      <c r="A13129" s="14" t="s">
        <v>25817</v>
      </c>
      <c r="B13129" s="15" t="s">
        <v>25818</v>
      </c>
      <c r="C13129" s="16">
        <f>501.61/(1+B2)</f>
        <v>501.61</v>
      </c>
      <c r="D13129" s="17" t="s">
        <v>11</v>
      </c>
      <c r="E13129" s="17"/>
      <c r="F13129" s="18"/>
      <c r="G13129" s="36" t="str">
        <f>IF(ISNUMBER(F13129),C13129*F13129,"")</f>
        <v/>
      </c>
    </row>
    <row r="13130" spans="1:7" ht="12" customHeight="1" outlineLevel="2" x14ac:dyDescent="0.2">
      <c r="A13130" s="14" t="s">
        <v>25819</v>
      </c>
      <c r="B13130" s="15" t="s">
        <v>25820</v>
      </c>
      <c r="C13130" s="16">
        <f>485.18/(1+B2)</f>
        <v>485.18</v>
      </c>
      <c r="D13130" s="17" t="s">
        <v>11</v>
      </c>
      <c r="E13130" s="17"/>
      <c r="F13130" s="18"/>
      <c r="G13130" s="36" t="str">
        <f>IF(ISNUMBER(F13130),C13130*F13130,"")</f>
        <v/>
      </c>
    </row>
    <row r="13131" spans="1:7" ht="12" customHeight="1" outlineLevel="2" x14ac:dyDescent="0.2">
      <c r="A13131" s="14" t="s">
        <v>25821</v>
      </c>
      <c r="B13131" s="15" t="s">
        <v>25822</v>
      </c>
      <c r="C13131" s="16">
        <f>389.11/(1+B2)</f>
        <v>389.11</v>
      </c>
      <c r="D13131" s="17" t="s">
        <v>11</v>
      </c>
      <c r="E13131" s="17"/>
      <c r="F13131" s="18"/>
      <c r="G13131" s="36" t="str">
        <f>IF(ISNUMBER(F13131),C13131*F13131,"")</f>
        <v/>
      </c>
    </row>
    <row r="13132" spans="1:7" ht="12" customHeight="1" outlineLevel="2" x14ac:dyDescent="0.2">
      <c r="A13132" s="14" t="s">
        <v>25823</v>
      </c>
      <c r="B13132" s="15" t="s">
        <v>25824</v>
      </c>
      <c r="C13132" s="16">
        <f>449.21/(1+B2)</f>
        <v>449.21</v>
      </c>
      <c r="D13132" s="17" t="s">
        <v>11</v>
      </c>
      <c r="E13132" s="17"/>
      <c r="F13132" s="18"/>
      <c r="G13132" s="36" t="str">
        <f>IF(ISNUMBER(F13132),C13132*F13132,"")</f>
        <v/>
      </c>
    </row>
    <row r="13133" spans="1:7" ht="12" customHeight="1" outlineLevel="2" x14ac:dyDescent="0.2">
      <c r="A13133" s="14" t="s">
        <v>25825</v>
      </c>
      <c r="B13133" s="15" t="s">
        <v>25826</v>
      </c>
      <c r="C13133" s="16">
        <f>492.92/(1+B2)</f>
        <v>492.92</v>
      </c>
      <c r="D13133" s="17" t="s">
        <v>11</v>
      </c>
      <c r="E13133" s="17"/>
      <c r="F13133" s="18"/>
      <c r="G13133" s="36" t="str">
        <f>IF(ISNUMBER(F13133),C13133*F13133,"")</f>
        <v/>
      </c>
    </row>
    <row r="13134" spans="1:7" ht="12" customHeight="1" outlineLevel="2" x14ac:dyDescent="0.2">
      <c r="A13134" s="14" t="s">
        <v>25827</v>
      </c>
      <c r="B13134" s="15" t="s">
        <v>25828</v>
      </c>
      <c r="C13134" s="16">
        <f>367.2/(1+B2)</f>
        <v>367.2</v>
      </c>
      <c r="D13134" s="17" t="s">
        <v>11</v>
      </c>
      <c r="E13134" s="17"/>
      <c r="F13134" s="18"/>
      <c r="G13134" s="36" t="str">
        <f>IF(ISNUMBER(F13134),C13134*F13134,"")</f>
        <v/>
      </c>
    </row>
    <row r="13135" spans="1:7" ht="12" customHeight="1" outlineLevel="2" x14ac:dyDescent="0.2">
      <c r="A13135" s="14" t="s">
        <v>25829</v>
      </c>
      <c r="B13135" s="15" t="s">
        <v>25830</v>
      </c>
      <c r="C13135" s="16">
        <f>470.61/(1+B2)</f>
        <v>470.61</v>
      </c>
      <c r="D13135" s="17" t="s">
        <v>11</v>
      </c>
      <c r="E13135" s="17"/>
      <c r="F13135" s="18"/>
      <c r="G13135" s="36" t="str">
        <f>IF(ISNUMBER(F13135),C13135*F13135,"")</f>
        <v/>
      </c>
    </row>
    <row r="13136" spans="1:7" ht="12" customHeight="1" outlineLevel="2" x14ac:dyDescent="0.2">
      <c r="A13136" s="14" t="s">
        <v>25831</v>
      </c>
      <c r="B13136" s="15" t="s">
        <v>25832</v>
      </c>
      <c r="C13136" s="16">
        <f>568.13/(1+B2)</f>
        <v>568.13</v>
      </c>
      <c r="D13136" s="17" t="s">
        <v>11</v>
      </c>
      <c r="E13136" s="17"/>
      <c r="F13136" s="18"/>
      <c r="G13136" s="36" t="str">
        <f>IF(ISNUMBER(F13136),C13136*F13136,"")</f>
        <v/>
      </c>
    </row>
    <row r="13137" spans="1:7" ht="12" customHeight="1" outlineLevel="2" x14ac:dyDescent="0.2">
      <c r="A13137" s="14" t="s">
        <v>25833</v>
      </c>
      <c r="B13137" s="15" t="s">
        <v>25834</v>
      </c>
      <c r="C13137" s="16">
        <f>634.8/(1+B2)</f>
        <v>634.79999999999995</v>
      </c>
      <c r="D13137" s="17" t="s">
        <v>11</v>
      </c>
      <c r="E13137" s="17"/>
      <c r="F13137" s="18"/>
      <c r="G13137" s="36" t="str">
        <f>IF(ISNUMBER(F13137),C13137*F13137,"")</f>
        <v/>
      </c>
    </row>
    <row r="13138" spans="1:7" ht="12" customHeight="1" outlineLevel="2" x14ac:dyDescent="0.2">
      <c r="A13138" s="14" t="s">
        <v>25835</v>
      </c>
      <c r="B13138" s="15" t="s">
        <v>25836</v>
      </c>
      <c r="C13138" s="16">
        <f>444.49/(1+B2)</f>
        <v>444.49</v>
      </c>
      <c r="D13138" s="17" t="s">
        <v>11</v>
      </c>
      <c r="E13138" s="17"/>
      <c r="F13138" s="18"/>
      <c r="G13138" s="36" t="str">
        <f>IF(ISNUMBER(F13138),C13138*F13138,"")</f>
        <v/>
      </c>
    </row>
    <row r="13139" spans="1:7" ht="12" customHeight="1" outlineLevel="2" x14ac:dyDescent="0.2">
      <c r="A13139" s="14" t="s">
        <v>25837</v>
      </c>
      <c r="B13139" s="15" t="s">
        <v>25838</v>
      </c>
      <c r="C13139" s="16">
        <f>485.39/(1+B2)</f>
        <v>485.39</v>
      </c>
      <c r="D13139" s="17" t="s">
        <v>11</v>
      </c>
      <c r="E13139" s="17"/>
      <c r="F13139" s="18"/>
      <c r="G13139" s="36" t="str">
        <f>IF(ISNUMBER(F13139),C13139*F13139,"")</f>
        <v/>
      </c>
    </row>
    <row r="13140" spans="1:7" ht="12" customHeight="1" outlineLevel="2" x14ac:dyDescent="0.2">
      <c r="A13140" s="14" t="s">
        <v>25839</v>
      </c>
      <c r="B13140" s="15" t="s">
        <v>25840</v>
      </c>
      <c r="C13140" s="16">
        <f>488.22/(1+B2)</f>
        <v>488.22</v>
      </c>
      <c r="D13140" s="17" t="s">
        <v>11</v>
      </c>
      <c r="E13140" s="17"/>
      <c r="F13140" s="18"/>
      <c r="G13140" s="36" t="str">
        <f>IF(ISNUMBER(F13140),C13140*F13140,"")</f>
        <v/>
      </c>
    </row>
    <row r="13141" spans="1:7" ht="12" customHeight="1" outlineLevel="2" x14ac:dyDescent="0.2">
      <c r="A13141" s="14" t="s">
        <v>25841</v>
      </c>
      <c r="B13141" s="15" t="s">
        <v>25842</v>
      </c>
      <c r="C13141" s="16">
        <f>611.62/(1+B2)</f>
        <v>611.62</v>
      </c>
      <c r="D13141" s="17" t="s">
        <v>11</v>
      </c>
      <c r="E13141" s="17"/>
      <c r="F13141" s="18"/>
      <c r="G13141" s="36" t="str">
        <f>IF(ISNUMBER(F13141),C13141*F13141,"")</f>
        <v/>
      </c>
    </row>
    <row r="13142" spans="1:7" ht="12" customHeight="1" outlineLevel="2" x14ac:dyDescent="0.2">
      <c r="A13142" s="14" t="s">
        <v>25843</v>
      </c>
      <c r="B13142" s="15" t="s">
        <v>25844</v>
      </c>
      <c r="C13142" s="16">
        <f>467.41/(1+B2)</f>
        <v>467.41</v>
      </c>
      <c r="D13142" s="17" t="s">
        <v>11</v>
      </c>
      <c r="E13142" s="17"/>
      <c r="F13142" s="18"/>
      <c r="G13142" s="36" t="str">
        <f>IF(ISNUMBER(F13142),C13142*F13142,"")</f>
        <v/>
      </c>
    </row>
    <row r="13143" spans="1:7" ht="24" customHeight="1" outlineLevel="2" x14ac:dyDescent="0.2">
      <c r="A13143" s="14" t="s">
        <v>25845</v>
      </c>
      <c r="B13143" s="15" t="s">
        <v>25846</v>
      </c>
      <c r="C13143" s="16">
        <f>628.52/(1+B2)</f>
        <v>628.52</v>
      </c>
      <c r="D13143" s="17" t="s">
        <v>11</v>
      </c>
      <c r="E13143" s="17"/>
      <c r="F13143" s="18"/>
      <c r="G13143" s="36" t="str">
        <f>IF(ISNUMBER(F13143),C13143*F13143,"")</f>
        <v/>
      </c>
    </row>
    <row r="13144" spans="1:7" ht="12" customHeight="1" outlineLevel="2" x14ac:dyDescent="0.2">
      <c r="A13144" s="14" t="s">
        <v>25847</v>
      </c>
      <c r="B13144" s="15" t="s">
        <v>25848</v>
      </c>
      <c r="C13144" s="16">
        <f>821.6/(1+B2)</f>
        <v>821.6</v>
      </c>
      <c r="D13144" s="17" t="s">
        <v>11</v>
      </c>
      <c r="E13144" s="17"/>
      <c r="F13144" s="18"/>
      <c r="G13144" s="36" t="str">
        <f>IF(ISNUMBER(F13144),C13144*F13144,"")</f>
        <v/>
      </c>
    </row>
    <row r="13145" spans="1:7" ht="12" customHeight="1" outlineLevel="2" x14ac:dyDescent="0.2">
      <c r="A13145" s="14" t="s">
        <v>25849</v>
      </c>
      <c r="B13145" s="15" t="s">
        <v>25850</v>
      </c>
      <c r="C13145" s="16">
        <f>680.45/(1+B2)</f>
        <v>680.45</v>
      </c>
      <c r="D13145" s="17" t="s">
        <v>11</v>
      </c>
      <c r="E13145" s="17"/>
      <c r="F13145" s="18"/>
      <c r="G13145" s="36" t="str">
        <f>IF(ISNUMBER(F13145),C13145*F13145,"")</f>
        <v/>
      </c>
    </row>
    <row r="13146" spans="1:7" ht="12" customHeight="1" outlineLevel="2" x14ac:dyDescent="0.2">
      <c r="A13146" s="14" t="s">
        <v>25851</v>
      </c>
      <c r="B13146" s="15" t="s">
        <v>25852</v>
      </c>
      <c r="C13146" s="16">
        <f>901.99/(1+B2)</f>
        <v>901.99</v>
      </c>
      <c r="D13146" s="17" t="s">
        <v>11</v>
      </c>
      <c r="E13146" s="17"/>
      <c r="F13146" s="18"/>
      <c r="G13146" s="36" t="str">
        <f>IF(ISNUMBER(F13146),C13146*F13146,"")</f>
        <v/>
      </c>
    </row>
    <row r="13147" spans="1:7" ht="12" customHeight="1" outlineLevel="2" x14ac:dyDescent="0.2">
      <c r="A13147" s="14" t="s">
        <v>25853</v>
      </c>
      <c r="B13147" s="15" t="s">
        <v>25854</v>
      </c>
      <c r="C13147" s="19">
        <f>1057/(1+B2)</f>
        <v>1057</v>
      </c>
      <c r="D13147" s="17" t="s">
        <v>11</v>
      </c>
      <c r="E13147" s="17"/>
      <c r="F13147" s="18"/>
      <c r="G13147" s="36" t="str">
        <f>IF(ISNUMBER(F13147),C13147*F13147,"")</f>
        <v/>
      </c>
    </row>
    <row r="13148" spans="1:7" ht="12" customHeight="1" outlineLevel="2" x14ac:dyDescent="0.2">
      <c r="A13148" s="14" t="s">
        <v>25855</v>
      </c>
      <c r="B13148" s="15" t="s">
        <v>25856</v>
      </c>
      <c r="C13148" s="16">
        <f>960.7/(1+B2)</f>
        <v>960.7</v>
      </c>
      <c r="D13148" s="17" t="s">
        <v>11</v>
      </c>
      <c r="E13148" s="17"/>
      <c r="F13148" s="18"/>
      <c r="G13148" s="36" t="str">
        <f>IF(ISNUMBER(F13148),C13148*F13148,"")</f>
        <v/>
      </c>
    </row>
    <row r="13149" spans="1:7" ht="12" customHeight="1" outlineLevel="2" x14ac:dyDescent="0.2">
      <c r="A13149" s="14" t="s">
        <v>25857</v>
      </c>
      <c r="B13149" s="15" t="s">
        <v>25858</v>
      </c>
      <c r="C13149" s="19">
        <f>1020.5/(1+B2)</f>
        <v>1020.5</v>
      </c>
      <c r="D13149" s="17" t="s">
        <v>11</v>
      </c>
      <c r="E13149" s="17"/>
      <c r="F13149" s="18"/>
      <c r="G13149" s="36" t="str">
        <f>IF(ISNUMBER(F13149),C13149*F13149,"")</f>
        <v/>
      </c>
    </row>
    <row r="13150" spans="1:7" ht="12" customHeight="1" outlineLevel="2" x14ac:dyDescent="0.2">
      <c r="A13150" s="14" t="s">
        <v>25859</v>
      </c>
      <c r="B13150" s="15" t="s">
        <v>25860</v>
      </c>
      <c r="C13150" s="16">
        <f>865.77/(1+B2)</f>
        <v>865.77</v>
      </c>
      <c r="D13150" s="17" t="s">
        <v>11</v>
      </c>
      <c r="E13150" s="17"/>
      <c r="F13150" s="18"/>
      <c r="G13150" s="36" t="str">
        <f>IF(ISNUMBER(F13150),C13150*F13150,"")</f>
        <v/>
      </c>
    </row>
    <row r="13151" spans="1:7" ht="12" customHeight="1" outlineLevel="2" x14ac:dyDescent="0.2">
      <c r="A13151" s="14" t="s">
        <v>25861</v>
      </c>
      <c r="B13151" s="15" t="s">
        <v>25862</v>
      </c>
      <c r="C13151" s="19">
        <f>3728.63/(1+B2)</f>
        <v>3728.63</v>
      </c>
      <c r="D13151" s="17" t="s">
        <v>11</v>
      </c>
      <c r="E13151" s="17"/>
      <c r="F13151" s="18"/>
      <c r="G13151" s="36" t="str">
        <f>IF(ISNUMBER(F13151),C13151*F13151,"")</f>
        <v/>
      </c>
    </row>
    <row r="13152" spans="1:7" ht="12" customHeight="1" outlineLevel="2" x14ac:dyDescent="0.2">
      <c r="A13152" s="14" t="s">
        <v>25863</v>
      </c>
      <c r="B13152" s="15" t="s">
        <v>25864</v>
      </c>
      <c r="C13152" s="19">
        <f>3744.77/(1+B2)</f>
        <v>3744.77</v>
      </c>
      <c r="D13152" s="17" t="s">
        <v>11</v>
      </c>
      <c r="E13152" s="17"/>
      <c r="F13152" s="18"/>
      <c r="G13152" s="36" t="str">
        <f>IF(ISNUMBER(F13152),C13152*F13152,"")</f>
        <v/>
      </c>
    </row>
    <row r="13153" spans="1:7" ht="12" customHeight="1" outlineLevel="2" x14ac:dyDescent="0.2">
      <c r="A13153" s="14" t="s">
        <v>25865</v>
      </c>
      <c r="B13153" s="15" t="s">
        <v>25866</v>
      </c>
      <c r="C13153" s="16">
        <f>467.55/(1+B2)</f>
        <v>467.55</v>
      </c>
      <c r="D13153" s="17" t="s">
        <v>11</v>
      </c>
      <c r="E13153" s="17"/>
      <c r="F13153" s="18"/>
      <c r="G13153" s="36" t="str">
        <f>IF(ISNUMBER(F13153),C13153*F13153,"")</f>
        <v/>
      </c>
    </row>
    <row r="13154" spans="1:7" ht="12" customHeight="1" outlineLevel="2" x14ac:dyDescent="0.2">
      <c r="A13154" s="14" t="s">
        <v>25867</v>
      </c>
      <c r="B13154" s="15" t="s">
        <v>25868</v>
      </c>
      <c r="C13154" s="19">
        <f>1024.32/(1+B2)</f>
        <v>1024.32</v>
      </c>
      <c r="D13154" s="17" t="s">
        <v>11</v>
      </c>
      <c r="E13154" s="17"/>
      <c r="F13154" s="18"/>
      <c r="G13154" s="36" t="str">
        <f>IF(ISNUMBER(F13154),C13154*F13154,"")</f>
        <v/>
      </c>
    </row>
    <row r="13155" spans="1:7" ht="12" customHeight="1" outlineLevel="2" x14ac:dyDescent="0.2">
      <c r="A13155" s="14" t="s">
        <v>25869</v>
      </c>
      <c r="B13155" s="15" t="s">
        <v>25870</v>
      </c>
      <c r="C13155" s="19">
        <f>1119.45/(1+B2)</f>
        <v>1119.45</v>
      </c>
      <c r="D13155" s="17" t="s">
        <v>11</v>
      </c>
      <c r="E13155" s="17"/>
      <c r="F13155" s="18"/>
      <c r="G13155" s="36" t="str">
        <f>IF(ISNUMBER(F13155),C13155*F13155,"")</f>
        <v/>
      </c>
    </row>
    <row r="13156" spans="1:7" ht="12" customHeight="1" outlineLevel="2" x14ac:dyDescent="0.2">
      <c r="A13156" s="14" t="s">
        <v>25871</v>
      </c>
      <c r="B13156" s="15" t="s">
        <v>25872</v>
      </c>
      <c r="C13156" s="16">
        <f>947.62/(1+B2)</f>
        <v>947.62</v>
      </c>
      <c r="D13156" s="17" t="s">
        <v>11</v>
      </c>
      <c r="E13156" s="17"/>
      <c r="F13156" s="18"/>
      <c r="G13156" s="36" t="str">
        <f>IF(ISNUMBER(F13156),C13156*F13156,"")</f>
        <v/>
      </c>
    </row>
    <row r="13157" spans="1:7" ht="12" customHeight="1" outlineLevel="2" x14ac:dyDescent="0.2">
      <c r="A13157" s="14" t="s">
        <v>25873</v>
      </c>
      <c r="B13157" s="15" t="s">
        <v>25874</v>
      </c>
      <c r="C13157" s="19">
        <f>1119.45/(1+B2)</f>
        <v>1119.45</v>
      </c>
      <c r="D13157" s="17" t="s">
        <v>11</v>
      </c>
      <c r="E13157" s="17"/>
      <c r="F13157" s="18"/>
      <c r="G13157" s="36" t="str">
        <f>IF(ISNUMBER(F13157),C13157*F13157,"")</f>
        <v/>
      </c>
    </row>
    <row r="13158" spans="1:7" ht="12" customHeight="1" outlineLevel="2" x14ac:dyDescent="0.2">
      <c r="A13158" s="14" t="s">
        <v>25875</v>
      </c>
      <c r="B13158" s="15" t="s">
        <v>25876</v>
      </c>
      <c r="C13158" s="19">
        <f>1293.48/(1+B2)</f>
        <v>1293.48</v>
      </c>
      <c r="D13158" s="17" t="s">
        <v>11</v>
      </c>
      <c r="E13158" s="17"/>
      <c r="F13158" s="18"/>
      <c r="G13158" s="36" t="str">
        <f>IF(ISNUMBER(F13158),C13158*F13158,"")</f>
        <v/>
      </c>
    </row>
    <row r="13159" spans="1:7" ht="12" customHeight="1" outlineLevel="2" x14ac:dyDescent="0.2">
      <c r="A13159" s="14" t="s">
        <v>25877</v>
      </c>
      <c r="B13159" s="15" t="s">
        <v>25878</v>
      </c>
      <c r="C13159" s="19">
        <f>1523.57/(1+B2)</f>
        <v>1523.57</v>
      </c>
      <c r="D13159" s="17" t="s">
        <v>11</v>
      </c>
      <c r="E13159" s="17"/>
      <c r="F13159" s="18"/>
      <c r="G13159" s="36" t="str">
        <f>IF(ISNUMBER(F13159),C13159*F13159,"")</f>
        <v/>
      </c>
    </row>
    <row r="13160" spans="1:7" ht="12" customHeight="1" outlineLevel="2" x14ac:dyDescent="0.2">
      <c r="A13160" s="14" t="s">
        <v>25879</v>
      </c>
      <c r="B13160" s="15" t="s">
        <v>25880</v>
      </c>
      <c r="C13160" s="16">
        <f>858.74/(1+B2)</f>
        <v>858.74</v>
      </c>
      <c r="D13160" s="17" t="s">
        <v>11</v>
      </c>
      <c r="E13160" s="17"/>
      <c r="F13160" s="18"/>
      <c r="G13160" s="36" t="str">
        <f>IF(ISNUMBER(F13160),C13160*F13160,"")</f>
        <v/>
      </c>
    </row>
    <row r="13161" spans="1:7" ht="12" customHeight="1" outlineLevel="2" x14ac:dyDescent="0.2">
      <c r="A13161" s="14" t="s">
        <v>25881</v>
      </c>
      <c r="B13161" s="15" t="s">
        <v>25882</v>
      </c>
      <c r="C13161" s="19">
        <f>1071.8/(1+B2)</f>
        <v>1071.8</v>
      </c>
      <c r="D13161" s="17" t="s">
        <v>11</v>
      </c>
      <c r="E13161" s="17"/>
      <c r="F13161" s="18"/>
      <c r="G13161" s="36" t="str">
        <f>IF(ISNUMBER(F13161),C13161*F13161,"")</f>
        <v/>
      </c>
    </row>
    <row r="13162" spans="1:7" ht="12" customHeight="1" outlineLevel="2" x14ac:dyDescent="0.2">
      <c r="A13162" s="14" t="s">
        <v>25883</v>
      </c>
      <c r="B13162" s="15" t="s">
        <v>25884</v>
      </c>
      <c r="C13162" s="19">
        <f>1128.81/(1+B2)</f>
        <v>1128.81</v>
      </c>
      <c r="D13162" s="17" t="s">
        <v>11</v>
      </c>
      <c r="E13162" s="17"/>
      <c r="F13162" s="18"/>
      <c r="G13162" s="36" t="str">
        <f>IF(ISNUMBER(F13162),C13162*F13162,"")</f>
        <v/>
      </c>
    </row>
    <row r="13163" spans="1:7" ht="12" customHeight="1" outlineLevel="2" x14ac:dyDescent="0.2">
      <c r="A13163" s="14" t="s">
        <v>25885</v>
      </c>
      <c r="B13163" s="15" t="s">
        <v>25886</v>
      </c>
      <c r="C13163" s="19">
        <f>1248.53/(1+B2)</f>
        <v>1248.53</v>
      </c>
      <c r="D13163" s="17" t="s">
        <v>11</v>
      </c>
      <c r="E13163" s="17"/>
      <c r="F13163" s="18"/>
      <c r="G13163" s="36" t="str">
        <f>IF(ISNUMBER(F13163),C13163*F13163,"")</f>
        <v/>
      </c>
    </row>
    <row r="13164" spans="1:7" ht="12" customHeight="1" outlineLevel="2" x14ac:dyDescent="0.2">
      <c r="A13164" s="14" t="s">
        <v>25887</v>
      </c>
      <c r="B13164" s="15" t="s">
        <v>25888</v>
      </c>
      <c r="C13164" s="19">
        <f>1035.43/(1+B2)</f>
        <v>1035.43</v>
      </c>
      <c r="D13164" s="17" t="s">
        <v>11</v>
      </c>
      <c r="E13164" s="17"/>
      <c r="F13164" s="18"/>
      <c r="G13164" s="36" t="str">
        <f>IF(ISNUMBER(F13164),C13164*F13164,"")</f>
        <v/>
      </c>
    </row>
    <row r="13165" spans="1:7" ht="12" customHeight="1" outlineLevel="2" x14ac:dyDescent="0.2">
      <c r="A13165" s="14" t="s">
        <v>25889</v>
      </c>
      <c r="B13165" s="15" t="s">
        <v>25890</v>
      </c>
      <c r="C13165" s="19">
        <f>1743.2/(1+B2)</f>
        <v>1743.2</v>
      </c>
      <c r="D13165" s="17" t="s">
        <v>11</v>
      </c>
      <c r="E13165" s="17"/>
      <c r="F13165" s="18"/>
      <c r="G13165" s="36" t="str">
        <f>IF(ISNUMBER(F13165),C13165*F13165,"")</f>
        <v/>
      </c>
    </row>
    <row r="13166" spans="1:7" ht="12" customHeight="1" outlineLevel="2" x14ac:dyDescent="0.2">
      <c r="A13166" s="14" t="s">
        <v>25891</v>
      </c>
      <c r="B13166" s="15" t="s">
        <v>25892</v>
      </c>
      <c r="C13166" s="16">
        <f>314.13/(1+B2)</f>
        <v>314.13</v>
      </c>
      <c r="D13166" s="17" t="s">
        <v>11</v>
      </c>
      <c r="E13166" s="17"/>
      <c r="F13166" s="18"/>
      <c r="G13166" s="36" t="str">
        <f>IF(ISNUMBER(F13166),C13166*F13166,"")</f>
        <v/>
      </c>
    </row>
    <row r="13167" spans="1:7" ht="12" customHeight="1" outlineLevel="2" x14ac:dyDescent="0.2">
      <c r="A13167" s="14" t="s">
        <v>25893</v>
      </c>
      <c r="B13167" s="15" t="s">
        <v>25894</v>
      </c>
      <c r="C13167" s="16">
        <f>423.47/(1+B2)</f>
        <v>423.47</v>
      </c>
      <c r="D13167" s="17" t="s">
        <v>11</v>
      </c>
      <c r="E13167" s="17"/>
      <c r="F13167" s="18"/>
      <c r="G13167" s="36" t="str">
        <f>IF(ISNUMBER(F13167),C13167*F13167,"")</f>
        <v/>
      </c>
    </row>
    <row r="13168" spans="1:7" ht="12" customHeight="1" outlineLevel="2" x14ac:dyDescent="0.2">
      <c r="A13168" s="14" t="s">
        <v>25895</v>
      </c>
      <c r="B13168" s="15" t="s">
        <v>25896</v>
      </c>
      <c r="C13168" s="16">
        <f>450.07/(1+B2)</f>
        <v>450.07</v>
      </c>
      <c r="D13168" s="17" t="s">
        <v>11</v>
      </c>
      <c r="E13168" s="17"/>
      <c r="F13168" s="18"/>
      <c r="G13168" s="36" t="str">
        <f>IF(ISNUMBER(F13168),C13168*F13168,"")</f>
        <v/>
      </c>
    </row>
    <row r="13169" spans="1:7" ht="12" customHeight="1" outlineLevel="2" x14ac:dyDescent="0.2">
      <c r="A13169" s="14" t="s">
        <v>25897</v>
      </c>
      <c r="B13169" s="15" t="s">
        <v>25898</v>
      </c>
      <c r="C13169" s="16">
        <f>254.66/(1+B2)</f>
        <v>254.66</v>
      </c>
      <c r="D13169" s="17" t="s">
        <v>11</v>
      </c>
      <c r="E13169" s="17"/>
      <c r="F13169" s="18"/>
      <c r="G13169" s="36" t="str">
        <f>IF(ISNUMBER(F13169),C13169*F13169,"")</f>
        <v/>
      </c>
    </row>
    <row r="13170" spans="1:7" ht="12" customHeight="1" outlineLevel="2" x14ac:dyDescent="0.2">
      <c r="A13170" s="14" t="s">
        <v>25899</v>
      </c>
      <c r="B13170" s="15" t="s">
        <v>25900</v>
      </c>
      <c r="C13170" s="16">
        <f>360.33/(1+B2)</f>
        <v>360.33</v>
      </c>
      <c r="D13170" s="17" t="s">
        <v>11</v>
      </c>
      <c r="E13170" s="17"/>
      <c r="F13170" s="18"/>
      <c r="G13170" s="36" t="str">
        <f>IF(ISNUMBER(F13170),C13170*F13170,"")</f>
        <v/>
      </c>
    </row>
    <row r="13171" spans="1:7" ht="12" customHeight="1" outlineLevel="2" x14ac:dyDescent="0.2">
      <c r="A13171" s="14" t="s">
        <v>25901</v>
      </c>
      <c r="B13171" s="15" t="s">
        <v>25902</v>
      </c>
      <c r="C13171" s="16">
        <f>407.18/(1+B2)</f>
        <v>407.18</v>
      </c>
      <c r="D13171" s="17" t="s">
        <v>11</v>
      </c>
      <c r="E13171" s="17"/>
      <c r="F13171" s="18"/>
      <c r="G13171" s="36" t="str">
        <f>IF(ISNUMBER(F13171),C13171*F13171,"")</f>
        <v/>
      </c>
    </row>
    <row r="13172" spans="1:7" ht="12" customHeight="1" outlineLevel="2" x14ac:dyDescent="0.2">
      <c r="A13172" s="14" t="s">
        <v>25903</v>
      </c>
      <c r="B13172" s="15" t="s">
        <v>25904</v>
      </c>
      <c r="C13172" s="16">
        <f>545.73/(1+B2)</f>
        <v>545.73</v>
      </c>
      <c r="D13172" s="17" t="s">
        <v>11</v>
      </c>
      <c r="E13172" s="17"/>
      <c r="F13172" s="18"/>
      <c r="G13172" s="36" t="str">
        <f>IF(ISNUMBER(F13172),C13172*F13172,"")</f>
        <v/>
      </c>
    </row>
    <row r="13173" spans="1:7" ht="12" customHeight="1" outlineLevel="2" x14ac:dyDescent="0.2">
      <c r="A13173" s="14" t="s">
        <v>25905</v>
      </c>
      <c r="B13173" s="15" t="s">
        <v>25906</v>
      </c>
      <c r="C13173" s="16">
        <f>318.98/(1+B2)</f>
        <v>318.98</v>
      </c>
      <c r="D13173" s="17" t="s">
        <v>53</v>
      </c>
      <c r="E13173" s="17"/>
      <c r="F13173" s="18"/>
      <c r="G13173" s="36" t="str">
        <f>IF(ISNUMBER(F13173),C13173*F13173,"")</f>
        <v/>
      </c>
    </row>
    <row r="13174" spans="1:7" ht="12" customHeight="1" outlineLevel="2" x14ac:dyDescent="0.2">
      <c r="A13174" s="14" t="s">
        <v>25907</v>
      </c>
      <c r="B13174" s="15" t="s">
        <v>25908</v>
      </c>
      <c r="C13174" s="16">
        <f>305.53/(1+B2)</f>
        <v>305.52999999999997</v>
      </c>
      <c r="D13174" s="17" t="s">
        <v>11</v>
      </c>
      <c r="E13174" s="17"/>
      <c r="F13174" s="18"/>
      <c r="G13174" s="36" t="str">
        <f>IF(ISNUMBER(F13174),C13174*F13174,"")</f>
        <v/>
      </c>
    </row>
    <row r="13175" spans="1:7" ht="12" customHeight="1" outlineLevel="2" x14ac:dyDescent="0.2">
      <c r="A13175" s="14" t="s">
        <v>25909</v>
      </c>
      <c r="B13175" s="15" t="s">
        <v>25910</v>
      </c>
      <c r="C13175" s="16">
        <f>366.45/(1+B2)</f>
        <v>366.45</v>
      </c>
      <c r="D13175" s="17" t="s">
        <v>11</v>
      </c>
      <c r="E13175" s="17"/>
      <c r="F13175" s="18"/>
      <c r="G13175" s="36" t="str">
        <f>IF(ISNUMBER(F13175),C13175*F13175,"")</f>
        <v/>
      </c>
    </row>
    <row r="13176" spans="1:7" ht="12" customHeight="1" outlineLevel="2" x14ac:dyDescent="0.2">
      <c r="A13176" s="14" t="s">
        <v>25911</v>
      </c>
      <c r="B13176" s="15" t="s">
        <v>25912</v>
      </c>
      <c r="C13176" s="16">
        <f>533.85/(1+B2)</f>
        <v>533.85</v>
      </c>
      <c r="D13176" s="17" t="s">
        <v>11</v>
      </c>
      <c r="E13176" s="17"/>
      <c r="F13176" s="18"/>
      <c r="G13176" s="36" t="str">
        <f>IF(ISNUMBER(F13176),C13176*F13176,"")</f>
        <v/>
      </c>
    </row>
    <row r="13177" spans="1:7" ht="12" customHeight="1" outlineLevel="2" x14ac:dyDescent="0.2">
      <c r="A13177" s="14" t="s">
        <v>25913</v>
      </c>
      <c r="B13177" s="15" t="s">
        <v>25914</v>
      </c>
      <c r="C13177" s="16">
        <f>586.48/(1+B2)</f>
        <v>586.48</v>
      </c>
      <c r="D13177" s="17" t="s">
        <v>11</v>
      </c>
      <c r="E13177" s="17"/>
      <c r="F13177" s="18"/>
      <c r="G13177" s="36" t="str">
        <f>IF(ISNUMBER(F13177),C13177*F13177,"")</f>
        <v/>
      </c>
    </row>
    <row r="13178" spans="1:7" s="1" customFormat="1" ht="15.95" customHeight="1" outlineLevel="1" x14ac:dyDescent="0.25">
      <c r="A13178" s="11"/>
      <c r="B13178" s="12" t="s">
        <v>25915</v>
      </c>
      <c r="C13178" s="13"/>
      <c r="D13178" s="13"/>
      <c r="E13178" s="13"/>
      <c r="F13178" s="13"/>
      <c r="G13178" s="35"/>
    </row>
    <row r="13179" spans="1:7" ht="12" customHeight="1" outlineLevel="2" x14ac:dyDescent="0.2">
      <c r="A13179" s="14" t="s">
        <v>25916</v>
      </c>
      <c r="B13179" s="15" t="s">
        <v>25917</v>
      </c>
      <c r="C13179" s="19">
        <f>5332.52/(1+B2)</f>
        <v>5332.52</v>
      </c>
      <c r="D13179" s="17" t="s">
        <v>11</v>
      </c>
      <c r="E13179" s="17"/>
      <c r="F13179" s="18"/>
      <c r="G13179" s="36" t="str">
        <f>IF(ISNUMBER(F13179),C13179*F13179,"")</f>
        <v/>
      </c>
    </row>
    <row r="13180" spans="1:7" ht="12" customHeight="1" outlineLevel="2" x14ac:dyDescent="0.2">
      <c r="A13180" s="14" t="s">
        <v>25918</v>
      </c>
      <c r="B13180" s="15" t="s">
        <v>25919</v>
      </c>
      <c r="C13180" s="19">
        <f>4728.45/(1+B2)</f>
        <v>4728.45</v>
      </c>
      <c r="D13180" s="17" t="s">
        <v>11</v>
      </c>
      <c r="E13180" s="17"/>
      <c r="F13180" s="18"/>
      <c r="G13180" s="36" t="str">
        <f>IF(ISNUMBER(F13180),C13180*F13180,"")</f>
        <v/>
      </c>
    </row>
    <row r="13181" spans="1:7" ht="12" customHeight="1" outlineLevel="2" x14ac:dyDescent="0.2">
      <c r="A13181" s="14" t="s">
        <v>25920</v>
      </c>
      <c r="B13181" s="15" t="s">
        <v>25921</v>
      </c>
      <c r="C13181" s="16">
        <f>583.34/(1+B2)</f>
        <v>583.34</v>
      </c>
      <c r="D13181" s="17" t="s">
        <v>11</v>
      </c>
      <c r="E13181" s="17"/>
      <c r="F13181" s="18"/>
      <c r="G13181" s="36" t="str">
        <f>IF(ISNUMBER(F13181),C13181*F13181,"")</f>
        <v/>
      </c>
    </row>
    <row r="13182" spans="1:7" ht="12" customHeight="1" outlineLevel="2" x14ac:dyDescent="0.2">
      <c r="A13182" s="14" t="s">
        <v>25922</v>
      </c>
      <c r="B13182" s="15" t="s">
        <v>25923</v>
      </c>
      <c r="C13182" s="16">
        <f>550.74/(1+B2)</f>
        <v>550.74</v>
      </c>
      <c r="D13182" s="17" t="s">
        <v>11</v>
      </c>
      <c r="E13182" s="17"/>
      <c r="F13182" s="18"/>
      <c r="G13182" s="36" t="str">
        <f>IF(ISNUMBER(F13182),C13182*F13182,"")</f>
        <v/>
      </c>
    </row>
    <row r="13183" spans="1:7" ht="12" customHeight="1" outlineLevel="2" x14ac:dyDescent="0.2">
      <c r="A13183" s="14" t="s">
        <v>25924</v>
      </c>
      <c r="B13183" s="15" t="s">
        <v>25925</v>
      </c>
      <c r="C13183" s="16">
        <f>550.74/(1+B2)</f>
        <v>550.74</v>
      </c>
      <c r="D13183" s="17" t="s">
        <v>11</v>
      </c>
      <c r="E13183" s="17"/>
      <c r="F13183" s="18"/>
      <c r="G13183" s="36" t="str">
        <f>IF(ISNUMBER(F13183),C13183*F13183,"")</f>
        <v/>
      </c>
    </row>
    <row r="13184" spans="1:7" ht="24" customHeight="1" outlineLevel="2" x14ac:dyDescent="0.2">
      <c r="A13184" s="14" t="s">
        <v>25926</v>
      </c>
      <c r="B13184" s="15" t="s">
        <v>25927</v>
      </c>
      <c r="C13184" s="16">
        <f>794.06/(1+B2)</f>
        <v>794.06</v>
      </c>
      <c r="D13184" s="17" t="s">
        <v>11</v>
      </c>
      <c r="E13184" s="17"/>
      <c r="F13184" s="18"/>
      <c r="G13184" s="36" t="str">
        <f>IF(ISNUMBER(F13184),C13184*F13184,"")</f>
        <v/>
      </c>
    </row>
    <row r="13185" spans="1:7" ht="24" customHeight="1" outlineLevel="2" x14ac:dyDescent="0.2">
      <c r="A13185" s="14" t="s">
        <v>25928</v>
      </c>
      <c r="B13185" s="15" t="s">
        <v>25929</v>
      </c>
      <c r="C13185" s="16">
        <f>893.98/(1+B2)</f>
        <v>893.98</v>
      </c>
      <c r="D13185" s="17" t="s">
        <v>11</v>
      </c>
      <c r="E13185" s="17"/>
      <c r="F13185" s="18"/>
      <c r="G13185" s="36" t="str">
        <f>IF(ISNUMBER(F13185),C13185*F13185,"")</f>
        <v/>
      </c>
    </row>
    <row r="13186" spans="1:7" ht="24" customHeight="1" outlineLevel="2" x14ac:dyDescent="0.2">
      <c r="A13186" s="14" t="s">
        <v>25930</v>
      </c>
      <c r="B13186" s="15" t="s">
        <v>25931</v>
      </c>
      <c r="C13186" s="16">
        <f>864.02/(1+B2)</f>
        <v>864.02</v>
      </c>
      <c r="D13186" s="17" t="s">
        <v>11</v>
      </c>
      <c r="E13186" s="17"/>
      <c r="F13186" s="18"/>
      <c r="G13186" s="36" t="str">
        <f>IF(ISNUMBER(F13186),C13186*F13186,"")</f>
        <v/>
      </c>
    </row>
    <row r="13187" spans="1:7" ht="24" customHeight="1" outlineLevel="2" x14ac:dyDescent="0.2">
      <c r="A13187" s="14" t="s">
        <v>25932</v>
      </c>
      <c r="B13187" s="15" t="s">
        <v>25933</v>
      </c>
      <c r="C13187" s="19">
        <f>1039.14/(1+B2)</f>
        <v>1039.1400000000001</v>
      </c>
      <c r="D13187" s="17" t="s">
        <v>11</v>
      </c>
      <c r="E13187" s="17"/>
      <c r="F13187" s="18"/>
      <c r="G13187" s="36" t="str">
        <f>IF(ISNUMBER(F13187),C13187*F13187,"")</f>
        <v/>
      </c>
    </row>
    <row r="13188" spans="1:7" ht="24" customHeight="1" outlineLevel="2" x14ac:dyDescent="0.2">
      <c r="A13188" s="14" t="s">
        <v>25934</v>
      </c>
      <c r="B13188" s="15" t="s">
        <v>25935</v>
      </c>
      <c r="C13188" s="19">
        <f>1098.49/(1+B2)</f>
        <v>1098.49</v>
      </c>
      <c r="D13188" s="17" t="s">
        <v>11</v>
      </c>
      <c r="E13188" s="17"/>
      <c r="F13188" s="18"/>
      <c r="G13188" s="36" t="str">
        <f>IF(ISNUMBER(F13188),C13188*F13188,"")</f>
        <v/>
      </c>
    </row>
    <row r="13189" spans="1:7" ht="24" customHeight="1" outlineLevel="2" x14ac:dyDescent="0.2">
      <c r="A13189" s="14" t="s">
        <v>25936</v>
      </c>
      <c r="B13189" s="15" t="s">
        <v>25937</v>
      </c>
      <c r="C13189" s="19">
        <f>1612.21/(1+B2)</f>
        <v>1612.21</v>
      </c>
      <c r="D13189" s="17" t="s">
        <v>11</v>
      </c>
      <c r="E13189" s="17"/>
      <c r="F13189" s="18"/>
      <c r="G13189" s="36" t="str">
        <f>IF(ISNUMBER(F13189),C13189*F13189,"")</f>
        <v/>
      </c>
    </row>
    <row r="13190" spans="1:7" ht="24" customHeight="1" outlineLevel="2" x14ac:dyDescent="0.2">
      <c r="A13190" s="14" t="s">
        <v>25938</v>
      </c>
      <c r="B13190" s="15" t="s">
        <v>25939</v>
      </c>
      <c r="C13190" s="19">
        <f>1572.71/(1+B2)</f>
        <v>1572.71</v>
      </c>
      <c r="D13190" s="17" t="s">
        <v>11</v>
      </c>
      <c r="E13190" s="17"/>
      <c r="F13190" s="18"/>
      <c r="G13190" s="36" t="str">
        <f>IF(ISNUMBER(F13190),C13190*F13190,"")</f>
        <v/>
      </c>
    </row>
    <row r="13191" spans="1:7" ht="24" customHeight="1" outlineLevel="2" x14ac:dyDescent="0.2">
      <c r="A13191" s="14" t="s">
        <v>25940</v>
      </c>
      <c r="B13191" s="15" t="s">
        <v>25941</v>
      </c>
      <c r="C13191" s="19">
        <f>2637.3/(1+B2)</f>
        <v>2637.3</v>
      </c>
      <c r="D13191" s="17" t="s">
        <v>11</v>
      </c>
      <c r="E13191" s="17"/>
      <c r="F13191" s="18"/>
      <c r="G13191" s="36" t="str">
        <f>IF(ISNUMBER(F13191),C13191*F13191,"")</f>
        <v/>
      </c>
    </row>
    <row r="13192" spans="1:7" ht="24" customHeight="1" outlineLevel="2" x14ac:dyDescent="0.2">
      <c r="A13192" s="14" t="s">
        <v>25942</v>
      </c>
      <c r="B13192" s="15" t="s">
        <v>25943</v>
      </c>
      <c r="C13192" s="19">
        <f>2888.51/(1+B2)</f>
        <v>2888.51</v>
      </c>
      <c r="D13192" s="17" t="s">
        <v>11</v>
      </c>
      <c r="E13192" s="17"/>
      <c r="F13192" s="18"/>
      <c r="G13192" s="36" t="str">
        <f>IF(ISNUMBER(F13192),C13192*F13192,"")</f>
        <v/>
      </c>
    </row>
    <row r="13193" spans="1:7" ht="24" customHeight="1" outlineLevel="2" x14ac:dyDescent="0.2">
      <c r="A13193" s="14" t="s">
        <v>25944</v>
      </c>
      <c r="B13193" s="15" t="s">
        <v>25945</v>
      </c>
      <c r="C13193" s="19">
        <f>2961.89/(1+B2)</f>
        <v>2961.89</v>
      </c>
      <c r="D13193" s="17" t="s">
        <v>11</v>
      </c>
      <c r="E13193" s="17"/>
      <c r="F13193" s="18"/>
      <c r="G13193" s="36" t="str">
        <f>IF(ISNUMBER(F13193),C13193*F13193,"")</f>
        <v/>
      </c>
    </row>
    <row r="13194" spans="1:7" ht="12" customHeight="1" outlineLevel="2" x14ac:dyDescent="0.2">
      <c r="A13194" s="14" t="s">
        <v>25946</v>
      </c>
      <c r="B13194" s="15" t="s">
        <v>25947</v>
      </c>
      <c r="C13194" s="19">
        <f>2054.72/(1+B2)</f>
        <v>2054.7199999999998</v>
      </c>
      <c r="D13194" s="17" t="s">
        <v>11</v>
      </c>
      <c r="E13194" s="17"/>
      <c r="F13194" s="18"/>
      <c r="G13194" s="36" t="str">
        <f>IF(ISNUMBER(F13194),C13194*F13194,"")</f>
        <v/>
      </c>
    </row>
    <row r="13195" spans="1:7" ht="12" customHeight="1" outlineLevel="2" x14ac:dyDescent="0.2">
      <c r="A13195" s="14" t="s">
        <v>25948</v>
      </c>
      <c r="B13195" s="15" t="s">
        <v>25949</v>
      </c>
      <c r="C13195" s="16">
        <f>472.49/(1+B2)</f>
        <v>472.49</v>
      </c>
      <c r="D13195" s="17" t="s">
        <v>11</v>
      </c>
      <c r="E13195" s="17"/>
      <c r="F13195" s="18"/>
      <c r="G13195" s="36" t="str">
        <f>IF(ISNUMBER(F13195),C13195*F13195,"")</f>
        <v/>
      </c>
    </row>
    <row r="13196" spans="1:7" ht="12" customHeight="1" outlineLevel="2" x14ac:dyDescent="0.2">
      <c r="A13196" s="14" t="s">
        <v>25950</v>
      </c>
      <c r="B13196" s="15" t="s">
        <v>25951</v>
      </c>
      <c r="C13196" s="16">
        <f>460.57/(1+B2)</f>
        <v>460.57</v>
      </c>
      <c r="D13196" s="17" t="s">
        <v>11</v>
      </c>
      <c r="E13196" s="17"/>
      <c r="F13196" s="18"/>
      <c r="G13196" s="36" t="str">
        <f>IF(ISNUMBER(F13196),C13196*F13196,"")</f>
        <v/>
      </c>
    </row>
    <row r="13197" spans="1:7" ht="12" customHeight="1" outlineLevel="2" x14ac:dyDescent="0.2">
      <c r="A13197" s="14" t="s">
        <v>25952</v>
      </c>
      <c r="B13197" s="15" t="s">
        <v>25953</v>
      </c>
      <c r="C13197" s="16">
        <f>723.51/(1+B2)</f>
        <v>723.51</v>
      </c>
      <c r="D13197" s="17" t="s">
        <v>11</v>
      </c>
      <c r="E13197" s="17"/>
      <c r="F13197" s="18"/>
      <c r="G13197" s="36" t="str">
        <f>IF(ISNUMBER(F13197),C13197*F13197,"")</f>
        <v/>
      </c>
    </row>
    <row r="13198" spans="1:7" ht="12" customHeight="1" outlineLevel="2" x14ac:dyDescent="0.2">
      <c r="A13198" s="14" t="s">
        <v>25954</v>
      </c>
      <c r="B13198" s="15" t="s">
        <v>25955</v>
      </c>
      <c r="C13198" s="19">
        <f>1107.17/(1+B2)</f>
        <v>1107.17</v>
      </c>
      <c r="D13198" s="17" t="s">
        <v>11</v>
      </c>
      <c r="E13198" s="17"/>
      <c r="F13198" s="18"/>
      <c r="G13198" s="36" t="str">
        <f>IF(ISNUMBER(F13198),C13198*F13198,"")</f>
        <v/>
      </c>
    </row>
    <row r="13199" spans="1:7" ht="24" customHeight="1" outlineLevel="2" x14ac:dyDescent="0.2">
      <c r="A13199" s="14" t="s">
        <v>25956</v>
      </c>
      <c r="B13199" s="15" t="s">
        <v>25957</v>
      </c>
      <c r="C13199" s="16">
        <f>537.23/(1+B2)</f>
        <v>537.23</v>
      </c>
      <c r="D13199" s="17" t="s">
        <v>11</v>
      </c>
      <c r="E13199" s="17"/>
      <c r="F13199" s="18"/>
      <c r="G13199" s="36" t="str">
        <f>IF(ISNUMBER(F13199),C13199*F13199,"")</f>
        <v/>
      </c>
    </row>
    <row r="13200" spans="1:7" ht="24" customHeight="1" outlineLevel="2" x14ac:dyDescent="0.2">
      <c r="A13200" s="14" t="s">
        <v>25958</v>
      </c>
      <c r="B13200" s="15" t="s">
        <v>25959</v>
      </c>
      <c r="C13200" s="16">
        <f>745.81/(1+B2)</f>
        <v>745.81</v>
      </c>
      <c r="D13200" s="17" t="s">
        <v>11</v>
      </c>
      <c r="E13200" s="17"/>
      <c r="F13200" s="18"/>
      <c r="G13200" s="36" t="str">
        <f>IF(ISNUMBER(F13200),C13200*F13200,"")</f>
        <v/>
      </c>
    </row>
    <row r="13201" spans="1:7" ht="24" customHeight="1" outlineLevel="2" x14ac:dyDescent="0.2">
      <c r="A13201" s="14" t="s">
        <v>25960</v>
      </c>
      <c r="B13201" s="15" t="s">
        <v>25961</v>
      </c>
      <c r="C13201" s="16">
        <f>962.19/(1+B2)</f>
        <v>962.19</v>
      </c>
      <c r="D13201" s="17" t="s">
        <v>11</v>
      </c>
      <c r="E13201" s="17"/>
      <c r="F13201" s="18"/>
      <c r="G13201" s="36" t="str">
        <f>IF(ISNUMBER(F13201),C13201*F13201,"")</f>
        <v/>
      </c>
    </row>
    <row r="13202" spans="1:7" ht="12" customHeight="1" outlineLevel="2" x14ac:dyDescent="0.2">
      <c r="A13202" s="14" t="s">
        <v>25962</v>
      </c>
      <c r="B13202" s="15" t="s">
        <v>25963</v>
      </c>
      <c r="C13202" s="16">
        <f>515.85/(1+B2)</f>
        <v>515.85</v>
      </c>
      <c r="D13202" s="17" t="s">
        <v>11</v>
      </c>
      <c r="E13202" s="17"/>
      <c r="F13202" s="18"/>
      <c r="G13202" s="36" t="str">
        <f>IF(ISNUMBER(F13202),C13202*F13202,"")</f>
        <v/>
      </c>
    </row>
    <row r="13203" spans="1:7" ht="12" customHeight="1" outlineLevel="2" x14ac:dyDescent="0.2">
      <c r="A13203" s="14" t="s">
        <v>25964</v>
      </c>
      <c r="B13203" s="15" t="s">
        <v>25965</v>
      </c>
      <c r="C13203" s="16">
        <f>493.3/(1+B2)</f>
        <v>493.3</v>
      </c>
      <c r="D13203" s="17" t="s">
        <v>11</v>
      </c>
      <c r="E13203" s="17"/>
      <c r="F13203" s="18"/>
      <c r="G13203" s="36" t="str">
        <f>IF(ISNUMBER(F13203),C13203*F13203,"")</f>
        <v/>
      </c>
    </row>
    <row r="13204" spans="1:7" ht="12" customHeight="1" outlineLevel="2" x14ac:dyDescent="0.2">
      <c r="A13204" s="14" t="s">
        <v>25966</v>
      </c>
      <c r="B13204" s="15" t="s">
        <v>25967</v>
      </c>
      <c r="C13204" s="16">
        <f>688.36/(1+B2)</f>
        <v>688.36</v>
      </c>
      <c r="D13204" s="17" t="s">
        <v>11</v>
      </c>
      <c r="E13204" s="17"/>
      <c r="F13204" s="18"/>
      <c r="G13204" s="36" t="str">
        <f>IF(ISNUMBER(F13204),C13204*F13204,"")</f>
        <v/>
      </c>
    </row>
    <row r="13205" spans="1:7" ht="12" customHeight="1" outlineLevel="2" x14ac:dyDescent="0.2">
      <c r="A13205" s="14" t="s">
        <v>25968</v>
      </c>
      <c r="B13205" s="15" t="s">
        <v>25969</v>
      </c>
      <c r="C13205" s="19">
        <f>1175.2/(1+B2)</f>
        <v>1175.2</v>
      </c>
      <c r="D13205" s="17" t="s">
        <v>11</v>
      </c>
      <c r="E13205" s="17"/>
      <c r="F13205" s="18"/>
      <c r="G13205" s="36" t="str">
        <f>IF(ISNUMBER(F13205),C13205*F13205,"")</f>
        <v/>
      </c>
    </row>
    <row r="13206" spans="1:7" ht="12" customHeight="1" outlineLevel="2" x14ac:dyDescent="0.2">
      <c r="A13206" s="14" t="s">
        <v>25970</v>
      </c>
      <c r="B13206" s="15" t="s">
        <v>25971</v>
      </c>
      <c r="C13206" s="16">
        <f>561/(1+B2)</f>
        <v>561</v>
      </c>
      <c r="D13206" s="17" t="s">
        <v>11</v>
      </c>
      <c r="E13206" s="17" t="s">
        <v>106</v>
      </c>
      <c r="F13206" s="18"/>
      <c r="G13206" s="36" t="str">
        <f>IF(ISNUMBER(F13206),C13206*F13206,"")</f>
        <v/>
      </c>
    </row>
    <row r="13207" spans="1:7" ht="12" customHeight="1" outlineLevel="2" x14ac:dyDescent="0.2">
      <c r="A13207" s="14" t="s">
        <v>25972</v>
      </c>
      <c r="B13207" s="15" t="s">
        <v>25973</v>
      </c>
      <c r="C13207" s="19">
        <f>5291.23/(1+B2)</f>
        <v>5291.23</v>
      </c>
      <c r="D13207" s="17" t="s">
        <v>11</v>
      </c>
      <c r="E13207" s="17"/>
      <c r="F13207" s="18"/>
      <c r="G13207" s="36" t="str">
        <f>IF(ISNUMBER(F13207),C13207*F13207,"")</f>
        <v/>
      </c>
    </row>
    <row r="13208" spans="1:7" ht="12" customHeight="1" outlineLevel="2" x14ac:dyDescent="0.2">
      <c r="A13208" s="14" t="s">
        <v>25974</v>
      </c>
      <c r="B13208" s="15" t="s">
        <v>25975</v>
      </c>
      <c r="C13208" s="19">
        <f>9192/(1+B2)</f>
        <v>9192</v>
      </c>
      <c r="D13208" s="17" t="s">
        <v>11</v>
      </c>
      <c r="E13208" s="17"/>
      <c r="F13208" s="18"/>
      <c r="G13208" s="36" t="str">
        <f>IF(ISNUMBER(F13208),C13208*F13208,"")</f>
        <v/>
      </c>
    </row>
    <row r="13209" spans="1:7" ht="12" customHeight="1" outlineLevel="2" x14ac:dyDescent="0.2">
      <c r="A13209" s="14" t="s">
        <v>25976</v>
      </c>
      <c r="B13209" s="15" t="s">
        <v>25977</v>
      </c>
      <c r="C13209" s="16">
        <f>59.66/(1+B2)</f>
        <v>59.66</v>
      </c>
      <c r="D13209" s="17" t="s">
        <v>11</v>
      </c>
      <c r="E13209" s="17"/>
      <c r="F13209" s="18"/>
      <c r="G13209" s="36" t="str">
        <f>IF(ISNUMBER(F13209),C13209*F13209,"")</f>
        <v/>
      </c>
    </row>
    <row r="13210" spans="1:7" ht="12" customHeight="1" outlineLevel="2" x14ac:dyDescent="0.2">
      <c r="A13210" s="14" t="s">
        <v>25978</v>
      </c>
      <c r="B13210" s="15" t="s">
        <v>25979</v>
      </c>
      <c r="C13210" s="16">
        <f>226.74/(1+B2)</f>
        <v>226.74</v>
      </c>
      <c r="D13210" s="17" t="s">
        <v>11</v>
      </c>
      <c r="E13210" s="17"/>
      <c r="F13210" s="18"/>
      <c r="G13210" s="36" t="str">
        <f>IF(ISNUMBER(F13210),C13210*F13210,"")</f>
        <v/>
      </c>
    </row>
    <row r="13211" spans="1:7" ht="12" customHeight="1" outlineLevel="2" x14ac:dyDescent="0.2">
      <c r="A13211" s="14" t="s">
        <v>25980</v>
      </c>
      <c r="B13211" s="15" t="s">
        <v>25981</v>
      </c>
      <c r="C13211" s="16">
        <f>318.27/(1+B2)</f>
        <v>318.27</v>
      </c>
      <c r="D13211" s="17" t="s">
        <v>11</v>
      </c>
      <c r="E13211" s="17"/>
      <c r="F13211" s="18"/>
      <c r="G13211" s="36" t="str">
        <f>IF(ISNUMBER(F13211),C13211*F13211,"")</f>
        <v/>
      </c>
    </row>
    <row r="13212" spans="1:7" ht="12" customHeight="1" outlineLevel="2" x14ac:dyDescent="0.2">
      <c r="A13212" s="14" t="s">
        <v>25982</v>
      </c>
      <c r="B13212" s="15" t="s">
        <v>25983</v>
      </c>
      <c r="C13212" s="16">
        <f>173.49/(1+B2)</f>
        <v>173.49</v>
      </c>
      <c r="D13212" s="17" t="s">
        <v>11</v>
      </c>
      <c r="E13212" s="17"/>
      <c r="F13212" s="18"/>
      <c r="G13212" s="36" t="str">
        <f>IF(ISNUMBER(F13212),C13212*F13212,"")</f>
        <v/>
      </c>
    </row>
    <row r="13213" spans="1:7" ht="12" customHeight="1" outlineLevel="2" x14ac:dyDescent="0.2">
      <c r="A13213" s="14" t="s">
        <v>25984</v>
      </c>
      <c r="B13213" s="15" t="s">
        <v>25985</v>
      </c>
      <c r="C13213" s="16">
        <f>116/(1+B2)</f>
        <v>116</v>
      </c>
      <c r="D13213" s="17" t="s">
        <v>11</v>
      </c>
      <c r="E13213" s="17"/>
      <c r="F13213" s="18"/>
      <c r="G13213" s="36" t="str">
        <f>IF(ISNUMBER(F13213),C13213*F13213,"")</f>
        <v/>
      </c>
    </row>
    <row r="13214" spans="1:7" ht="12" customHeight="1" outlineLevel="2" x14ac:dyDescent="0.2">
      <c r="A13214" s="14" t="s">
        <v>25986</v>
      </c>
      <c r="B13214" s="15" t="s">
        <v>25987</v>
      </c>
      <c r="C13214" s="16">
        <f>992.77/(1+B2)</f>
        <v>992.77</v>
      </c>
      <c r="D13214" s="17" t="s">
        <v>11</v>
      </c>
      <c r="E13214" s="17"/>
      <c r="F13214" s="18"/>
      <c r="G13214" s="36" t="str">
        <f>IF(ISNUMBER(F13214),C13214*F13214,"")</f>
        <v/>
      </c>
    </row>
    <row r="13215" spans="1:7" ht="24" customHeight="1" outlineLevel="2" x14ac:dyDescent="0.2">
      <c r="A13215" s="14" t="s">
        <v>25988</v>
      </c>
      <c r="B13215" s="15" t="s">
        <v>25989</v>
      </c>
      <c r="C13215" s="16">
        <f>677.27/(1+B2)</f>
        <v>677.27</v>
      </c>
      <c r="D13215" s="17" t="s">
        <v>11</v>
      </c>
      <c r="E13215" s="17"/>
      <c r="F13215" s="18"/>
      <c r="G13215" s="36" t="str">
        <f>IF(ISNUMBER(F13215),C13215*F13215,"")</f>
        <v/>
      </c>
    </row>
    <row r="13216" spans="1:7" ht="12" customHeight="1" outlineLevel="2" x14ac:dyDescent="0.2">
      <c r="A13216" s="14" t="s">
        <v>25990</v>
      </c>
      <c r="B13216" s="15" t="s">
        <v>25991</v>
      </c>
      <c r="C13216" s="19">
        <f>1304/(1+B2)</f>
        <v>1304</v>
      </c>
      <c r="D13216" s="17" t="s">
        <v>11</v>
      </c>
      <c r="E13216" s="17"/>
      <c r="F13216" s="18"/>
      <c r="G13216" s="36" t="str">
        <f>IF(ISNUMBER(F13216),C13216*F13216,"")</f>
        <v/>
      </c>
    </row>
    <row r="13217" spans="1:7" ht="12" customHeight="1" outlineLevel="2" x14ac:dyDescent="0.2">
      <c r="A13217" s="14" t="s">
        <v>25992</v>
      </c>
      <c r="B13217" s="15" t="s">
        <v>25993</v>
      </c>
      <c r="C13217" s="19">
        <f>2909.86/(1+B2)</f>
        <v>2909.86</v>
      </c>
      <c r="D13217" s="17" t="s">
        <v>11</v>
      </c>
      <c r="E13217" s="17"/>
      <c r="F13217" s="18"/>
      <c r="G13217" s="36" t="str">
        <f>IF(ISNUMBER(F13217),C13217*F13217,"")</f>
        <v/>
      </c>
    </row>
    <row r="13218" spans="1:7" ht="12" customHeight="1" outlineLevel="2" x14ac:dyDescent="0.2">
      <c r="A13218" s="14" t="s">
        <v>25994</v>
      </c>
      <c r="B13218" s="15" t="s">
        <v>25995</v>
      </c>
      <c r="C13218" s="16">
        <f>392.71/(1+B2)</f>
        <v>392.71</v>
      </c>
      <c r="D13218" s="17" t="s">
        <v>11</v>
      </c>
      <c r="E13218" s="17"/>
      <c r="F13218" s="18"/>
      <c r="G13218" s="36" t="str">
        <f>IF(ISNUMBER(F13218),C13218*F13218,"")</f>
        <v/>
      </c>
    </row>
    <row r="13219" spans="1:7" ht="12" customHeight="1" outlineLevel="2" x14ac:dyDescent="0.2">
      <c r="A13219" s="14" t="s">
        <v>25996</v>
      </c>
      <c r="B13219" s="15" t="s">
        <v>25997</v>
      </c>
      <c r="C13219" s="16">
        <f>417.73/(1+B2)</f>
        <v>417.73</v>
      </c>
      <c r="D13219" s="17" t="s">
        <v>11</v>
      </c>
      <c r="E13219" s="17"/>
      <c r="F13219" s="18"/>
      <c r="G13219" s="36" t="str">
        <f>IF(ISNUMBER(F13219),C13219*F13219,"")</f>
        <v/>
      </c>
    </row>
    <row r="13220" spans="1:7" ht="12" customHeight="1" outlineLevel="2" x14ac:dyDescent="0.2">
      <c r="A13220" s="14" t="s">
        <v>25998</v>
      </c>
      <c r="B13220" s="15" t="s">
        <v>25999</v>
      </c>
      <c r="C13220" s="16">
        <f>293.71/(1+B2)</f>
        <v>293.70999999999998</v>
      </c>
      <c r="D13220" s="17" t="s">
        <v>11</v>
      </c>
      <c r="E13220" s="17"/>
      <c r="F13220" s="18"/>
      <c r="G13220" s="36" t="str">
        <f>IF(ISNUMBER(F13220),C13220*F13220,"")</f>
        <v/>
      </c>
    </row>
    <row r="13221" spans="1:7" s="1" customFormat="1" ht="15.95" customHeight="1" outlineLevel="1" x14ac:dyDescent="0.25">
      <c r="A13221" s="11"/>
      <c r="B13221" s="12" t="s">
        <v>26000</v>
      </c>
      <c r="C13221" s="13"/>
      <c r="D13221" s="13"/>
      <c r="E13221" s="13"/>
      <c r="F13221" s="13"/>
      <c r="G13221" s="35"/>
    </row>
    <row r="13222" spans="1:7" s="1" customFormat="1" ht="12.95" customHeight="1" outlineLevel="2" x14ac:dyDescent="0.2">
      <c r="A13222" s="20"/>
      <c r="B13222" s="21" t="s">
        <v>26001</v>
      </c>
      <c r="C13222" s="22"/>
      <c r="D13222" s="22"/>
      <c r="E13222" s="22"/>
      <c r="F13222" s="22"/>
      <c r="G13222" s="37"/>
    </row>
    <row r="13223" spans="1:7" ht="12" customHeight="1" outlineLevel="3" x14ac:dyDescent="0.2">
      <c r="A13223" s="14" t="s">
        <v>26002</v>
      </c>
      <c r="B13223" s="15" t="s">
        <v>26003</v>
      </c>
      <c r="C13223" s="16">
        <f>168.97/(1+B2)</f>
        <v>168.97</v>
      </c>
      <c r="D13223" s="17" t="s">
        <v>11</v>
      </c>
      <c r="E13223" s="17"/>
      <c r="F13223" s="18"/>
      <c r="G13223" s="36" t="str">
        <f>IF(ISNUMBER(F13223),C13223*F13223,"")</f>
        <v/>
      </c>
    </row>
    <row r="13224" spans="1:7" ht="12" customHeight="1" outlineLevel="3" x14ac:dyDescent="0.2">
      <c r="A13224" s="14" t="s">
        <v>26004</v>
      </c>
      <c r="B13224" s="15" t="s">
        <v>26005</v>
      </c>
      <c r="C13224" s="16">
        <f>514.08/(1+B2)</f>
        <v>514.08000000000004</v>
      </c>
      <c r="D13224" s="17" t="s">
        <v>11</v>
      </c>
      <c r="E13224" s="17"/>
      <c r="F13224" s="18"/>
      <c r="G13224" s="36" t="str">
        <f>IF(ISNUMBER(F13224),C13224*F13224,"")</f>
        <v/>
      </c>
    </row>
    <row r="13225" spans="1:7" ht="12" customHeight="1" outlineLevel="3" x14ac:dyDescent="0.2">
      <c r="A13225" s="14" t="s">
        <v>26006</v>
      </c>
      <c r="B13225" s="15" t="s">
        <v>26007</v>
      </c>
      <c r="C13225" s="16">
        <f>141.48/(1+B2)</f>
        <v>141.47999999999999</v>
      </c>
      <c r="D13225" s="17" t="s">
        <v>11</v>
      </c>
      <c r="E13225" s="17"/>
      <c r="F13225" s="18"/>
      <c r="G13225" s="36" t="str">
        <f>IF(ISNUMBER(F13225),C13225*F13225,"")</f>
        <v/>
      </c>
    </row>
    <row r="13226" spans="1:7" ht="24" customHeight="1" outlineLevel="3" x14ac:dyDescent="0.2">
      <c r="A13226" s="14" t="s">
        <v>26008</v>
      </c>
      <c r="B13226" s="15" t="s">
        <v>26009</v>
      </c>
      <c r="C13226" s="16">
        <f>119.18/(1+B2)</f>
        <v>119.18</v>
      </c>
      <c r="D13226" s="17" t="s">
        <v>11</v>
      </c>
      <c r="E13226" s="17"/>
      <c r="F13226" s="18"/>
      <c r="G13226" s="36" t="str">
        <f>IF(ISNUMBER(F13226),C13226*F13226,"")</f>
        <v/>
      </c>
    </row>
    <row r="13227" spans="1:7" ht="12" customHeight="1" outlineLevel="3" x14ac:dyDescent="0.2">
      <c r="A13227" s="14" t="s">
        <v>26010</v>
      </c>
      <c r="B13227" s="15" t="s">
        <v>26011</v>
      </c>
      <c r="C13227" s="16">
        <f>59.92/(1+B2)</f>
        <v>59.92</v>
      </c>
      <c r="D13227" s="17" t="s">
        <v>14</v>
      </c>
      <c r="E13227" s="17"/>
      <c r="F13227" s="18"/>
      <c r="G13227" s="36" t="str">
        <f>IF(ISNUMBER(F13227),C13227*F13227,"")</f>
        <v/>
      </c>
    </row>
    <row r="13228" spans="1:7" ht="12" customHeight="1" outlineLevel="3" x14ac:dyDescent="0.2">
      <c r="A13228" s="14" t="s">
        <v>26012</v>
      </c>
      <c r="B13228" s="15" t="s">
        <v>26013</v>
      </c>
      <c r="C13228" s="16">
        <f>63.35/(1+B2)</f>
        <v>63.35</v>
      </c>
      <c r="D13228" s="17" t="s">
        <v>14</v>
      </c>
      <c r="E13228" s="17"/>
      <c r="F13228" s="18"/>
      <c r="G13228" s="36" t="str">
        <f>IF(ISNUMBER(F13228),C13228*F13228,"")</f>
        <v/>
      </c>
    </row>
    <row r="13229" spans="1:7" ht="12" customHeight="1" outlineLevel="3" x14ac:dyDescent="0.2">
      <c r="A13229" s="14" t="s">
        <v>26014</v>
      </c>
      <c r="B13229" s="15" t="s">
        <v>26015</v>
      </c>
      <c r="C13229" s="16">
        <f>96.99/(1+B2)</f>
        <v>96.99</v>
      </c>
      <c r="D13229" s="17" t="s">
        <v>11</v>
      </c>
      <c r="E13229" s="17"/>
      <c r="F13229" s="18"/>
      <c r="G13229" s="36" t="str">
        <f>IF(ISNUMBER(F13229),C13229*F13229,"")</f>
        <v/>
      </c>
    </row>
    <row r="13230" spans="1:7" ht="12" customHeight="1" outlineLevel="3" x14ac:dyDescent="0.2">
      <c r="A13230" s="14" t="s">
        <v>26016</v>
      </c>
      <c r="B13230" s="15" t="s">
        <v>26017</v>
      </c>
      <c r="C13230" s="16">
        <f>58.75/(1+B2)</f>
        <v>58.75</v>
      </c>
      <c r="D13230" s="17" t="s">
        <v>11</v>
      </c>
      <c r="E13230" s="17"/>
      <c r="F13230" s="18"/>
      <c r="G13230" s="36" t="str">
        <f>IF(ISNUMBER(F13230),C13230*F13230,"")</f>
        <v/>
      </c>
    </row>
    <row r="13231" spans="1:7" ht="12" customHeight="1" outlineLevel="3" x14ac:dyDescent="0.2">
      <c r="A13231" s="14" t="s">
        <v>26018</v>
      </c>
      <c r="B13231" s="15" t="s">
        <v>26019</v>
      </c>
      <c r="C13231" s="16">
        <f>78.34/(1+B2)</f>
        <v>78.34</v>
      </c>
      <c r="D13231" s="17" t="s">
        <v>14</v>
      </c>
      <c r="E13231" s="17"/>
      <c r="F13231" s="18"/>
      <c r="G13231" s="36" t="str">
        <f>IF(ISNUMBER(F13231),C13231*F13231,"")</f>
        <v/>
      </c>
    </row>
    <row r="13232" spans="1:7" ht="12" customHeight="1" outlineLevel="3" x14ac:dyDescent="0.2">
      <c r="A13232" s="14" t="s">
        <v>26020</v>
      </c>
      <c r="B13232" s="15" t="s">
        <v>26021</v>
      </c>
      <c r="C13232" s="16">
        <f>82.95/(1+B2)</f>
        <v>82.95</v>
      </c>
      <c r="D13232" s="17" t="s">
        <v>11</v>
      </c>
      <c r="E13232" s="17"/>
      <c r="F13232" s="18"/>
      <c r="G13232" s="36" t="str">
        <f>IF(ISNUMBER(F13232),C13232*F13232,"")</f>
        <v/>
      </c>
    </row>
    <row r="13233" spans="1:7" ht="12" customHeight="1" outlineLevel="3" x14ac:dyDescent="0.2">
      <c r="A13233" s="14" t="s">
        <v>26022</v>
      </c>
      <c r="B13233" s="15" t="s">
        <v>26023</v>
      </c>
      <c r="C13233" s="16">
        <f>59.92/(1+B2)</f>
        <v>59.92</v>
      </c>
      <c r="D13233" s="17" t="s">
        <v>11</v>
      </c>
      <c r="E13233" s="17"/>
      <c r="F13233" s="18"/>
      <c r="G13233" s="36" t="str">
        <f>IF(ISNUMBER(F13233),C13233*F13233,"")</f>
        <v/>
      </c>
    </row>
    <row r="13234" spans="1:7" ht="24" customHeight="1" outlineLevel="3" x14ac:dyDescent="0.2">
      <c r="A13234" s="14" t="s">
        <v>26024</v>
      </c>
      <c r="B13234" s="15" t="s">
        <v>26025</v>
      </c>
      <c r="C13234" s="16">
        <f>65.24/(1+B2)</f>
        <v>65.239999999999995</v>
      </c>
      <c r="D13234" s="17" t="s">
        <v>14</v>
      </c>
      <c r="E13234" s="17"/>
      <c r="F13234" s="18"/>
      <c r="G13234" s="36" t="str">
        <f>IF(ISNUMBER(F13234),C13234*F13234,"")</f>
        <v/>
      </c>
    </row>
    <row r="13235" spans="1:7" ht="24" customHeight="1" outlineLevel="3" x14ac:dyDescent="0.2">
      <c r="A13235" s="14" t="s">
        <v>26026</v>
      </c>
      <c r="B13235" s="15" t="s">
        <v>26027</v>
      </c>
      <c r="C13235" s="16">
        <f>69.92/(1+B2)</f>
        <v>69.92</v>
      </c>
      <c r="D13235" s="17" t="s">
        <v>11</v>
      </c>
      <c r="E13235" s="17"/>
      <c r="F13235" s="18"/>
      <c r="G13235" s="36" t="str">
        <f>IF(ISNUMBER(F13235),C13235*F13235,"")</f>
        <v/>
      </c>
    </row>
    <row r="13236" spans="1:7" ht="24" customHeight="1" outlineLevel="3" x14ac:dyDescent="0.2">
      <c r="A13236" s="14" t="s">
        <v>26028</v>
      </c>
      <c r="B13236" s="15" t="s">
        <v>26029</v>
      </c>
      <c r="C13236" s="16">
        <f>60.58/(1+B2)</f>
        <v>60.58</v>
      </c>
      <c r="D13236" s="17" t="s">
        <v>14</v>
      </c>
      <c r="E13236" s="17"/>
      <c r="F13236" s="18"/>
      <c r="G13236" s="36" t="str">
        <f>IF(ISNUMBER(F13236),C13236*F13236,"")</f>
        <v/>
      </c>
    </row>
    <row r="13237" spans="1:7" ht="24" customHeight="1" outlineLevel="3" x14ac:dyDescent="0.2">
      <c r="A13237" s="14" t="s">
        <v>26030</v>
      </c>
      <c r="B13237" s="15" t="s">
        <v>26031</v>
      </c>
      <c r="C13237" s="16">
        <f>86.22/(1+B2)</f>
        <v>86.22</v>
      </c>
      <c r="D13237" s="17" t="s">
        <v>14</v>
      </c>
      <c r="E13237" s="17"/>
      <c r="F13237" s="18"/>
      <c r="G13237" s="36" t="str">
        <f>IF(ISNUMBER(F13237),C13237*F13237,"")</f>
        <v/>
      </c>
    </row>
    <row r="13238" spans="1:7" ht="24" customHeight="1" outlineLevel="3" x14ac:dyDescent="0.2">
      <c r="A13238" s="14" t="s">
        <v>26032</v>
      </c>
      <c r="B13238" s="15" t="s">
        <v>26033</v>
      </c>
      <c r="C13238" s="16">
        <f>95.54/(1+B2)</f>
        <v>95.54</v>
      </c>
      <c r="D13238" s="17" t="s">
        <v>14</v>
      </c>
      <c r="E13238" s="17"/>
      <c r="F13238" s="18"/>
      <c r="G13238" s="36" t="str">
        <f>IF(ISNUMBER(F13238),C13238*F13238,"")</f>
        <v/>
      </c>
    </row>
    <row r="13239" spans="1:7" ht="24" customHeight="1" outlineLevel="3" x14ac:dyDescent="0.2">
      <c r="A13239" s="14" t="s">
        <v>26034</v>
      </c>
      <c r="B13239" s="15" t="s">
        <v>26035</v>
      </c>
      <c r="C13239" s="16">
        <f>73.4/(1+B2)</f>
        <v>73.400000000000006</v>
      </c>
      <c r="D13239" s="17" t="s">
        <v>14</v>
      </c>
      <c r="E13239" s="17"/>
      <c r="F13239" s="18"/>
      <c r="G13239" s="36" t="str">
        <f>IF(ISNUMBER(F13239),C13239*F13239,"")</f>
        <v/>
      </c>
    </row>
    <row r="13240" spans="1:7" ht="24" customHeight="1" outlineLevel="3" x14ac:dyDescent="0.2">
      <c r="A13240" s="14" t="s">
        <v>26036</v>
      </c>
      <c r="B13240" s="15" t="s">
        <v>26037</v>
      </c>
      <c r="C13240" s="16">
        <f>88.54/(1+B2)</f>
        <v>88.54</v>
      </c>
      <c r="D13240" s="17" t="s">
        <v>11</v>
      </c>
      <c r="E13240" s="17"/>
      <c r="F13240" s="18"/>
      <c r="G13240" s="36" t="str">
        <f>IF(ISNUMBER(F13240),C13240*F13240,"")</f>
        <v/>
      </c>
    </row>
    <row r="13241" spans="1:7" ht="24" customHeight="1" outlineLevel="3" x14ac:dyDescent="0.2">
      <c r="A13241" s="14" t="s">
        <v>26038</v>
      </c>
      <c r="B13241" s="15" t="s">
        <v>26039</v>
      </c>
      <c r="C13241" s="16">
        <f>99.04/(1+B2)</f>
        <v>99.04</v>
      </c>
      <c r="D13241" s="17" t="s">
        <v>53</v>
      </c>
      <c r="E13241" s="17"/>
      <c r="F13241" s="18"/>
      <c r="G13241" s="36" t="str">
        <f>IF(ISNUMBER(F13241),C13241*F13241,"")</f>
        <v/>
      </c>
    </row>
    <row r="13242" spans="1:7" ht="24" customHeight="1" outlineLevel="3" x14ac:dyDescent="0.2">
      <c r="A13242" s="14" t="s">
        <v>26040</v>
      </c>
      <c r="B13242" s="15" t="s">
        <v>26041</v>
      </c>
      <c r="C13242" s="16">
        <f>114.18/(1+B2)</f>
        <v>114.18</v>
      </c>
      <c r="D13242" s="17" t="s">
        <v>11</v>
      </c>
      <c r="E13242" s="17"/>
      <c r="F13242" s="18"/>
      <c r="G13242" s="36" t="str">
        <f>IF(ISNUMBER(F13242),C13242*F13242,"")</f>
        <v/>
      </c>
    </row>
    <row r="13243" spans="1:7" ht="24" customHeight="1" outlineLevel="3" x14ac:dyDescent="0.2">
      <c r="A13243" s="14" t="s">
        <v>26042</v>
      </c>
      <c r="B13243" s="15" t="s">
        <v>26043</v>
      </c>
      <c r="C13243" s="16">
        <f>122.34/(1+B2)</f>
        <v>122.34</v>
      </c>
      <c r="D13243" s="17" t="s">
        <v>14</v>
      </c>
      <c r="E13243" s="17"/>
      <c r="F13243" s="18"/>
      <c r="G13243" s="36" t="str">
        <f>IF(ISNUMBER(F13243),C13243*F13243,"")</f>
        <v/>
      </c>
    </row>
    <row r="13244" spans="1:7" ht="24" customHeight="1" outlineLevel="3" x14ac:dyDescent="0.2">
      <c r="A13244" s="14" t="s">
        <v>26044</v>
      </c>
      <c r="B13244" s="15" t="s">
        <v>26045</v>
      </c>
      <c r="C13244" s="16">
        <f>74.57/(1+B2)</f>
        <v>74.569999999999993</v>
      </c>
      <c r="D13244" s="17" t="s">
        <v>14</v>
      </c>
      <c r="E13244" s="17"/>
      <c r="F13244" s="18"/>
      <c r="G13244" s="36" t="str">
        <f>IF(ISNUMBER(F13244),C13244*F13244,"")</f>
        <v/>
      </c>
    </row>
    <row r="13245" spans="1:7" ht="24" customHeight="1" outlineLevel="3" x14ac:dyDescent="0.2">
      <c r="A13245" s="14" t="s">
        <v>26046</v>
      </c>
      <c r="B13245" s="15" t="s">
        <v>26047</v>
      </c>
      <c r="C13245" s="16">
        <f>158.46/(1+B2)</f>
        <v>158.46</v>
      </c>
      <c r="D13245" s="17" t="s">
        <v>11</v>
      </c>
      <c r="E13245" s="17"/>
      <c r="F13245" s="18"/>
      <c r="G13245" s="36" t="str">
        <f>IF(ISNUMBER(F13245),C13245*F13245,"")</f>
        <v/>
      </c>
    </row>
    <row r="13246" spans="1:7" ht="24" customHeight="1" outlineLevel="3" x14ac:dyDescent="0.2">
      <c r="A13246" s="14" t="s">
        <v>26048</v>
      </c>
      <c r="B13246" s="15" t="s">
        <v>26049</v>
      </c>
      <c r="C13246" s="16">
        <f>191.08/(1+B2)</f>
        <v>191.08</v>
      </c>
      <c r="D13246" s="17" t="s">
        <v>11</v>
      </c>
      <c r="E13246" s="17"/>
      <c r="F13246" s="18"/>
      <c r="G13246" s="36" t="str">
        <f>IF(ISNUMBER(F13246),C13246*F13246,"")</f>
        <v/>
      </c>
    </row>
    <row r="13247" spans="1:7" ht="12" customHeight="1" outlineLevel="3" x14ac:dyDescent="0.2">
      <c r="A13247" s="14" t="s">
        <v>26050</v>
      </c>
      <c r="B13247" s="15" t="s">
        <v>26051</v>
      </c>
      <c r="C13247" s="16">
        <f>191.08/(1+B2)</f>
        <v>191.08</v>
      </c>
      <c r="D13247" s="17" t="s">
        <v>11</v>
      </c>
      <c r="E13247" s="17"/>
      <c r="F13247" s="18"/>
      <c r="G13247" s="36" t="str">
        <f>IF(ISNUMBER(F13247),C13247*F13247,"")</f>
        <v/>
      </c>
    </row>
    <row r="13248" spans="1:7" ht="12" customHeight="1" outlineLevel="3" x14ac:dyDescent="0.2">
      <c r="A13248" s="14" t="s">
        <v>26052</v>
      </c>
      <c r="B13248" s="15" t="s">
        <v>26053</v>
      </c>
      <c r="C13248" s="16">
        <f>196.22/(1+B2)</f>
        <v>196.22</v>
      </c>
      <c r="D13248" s="17" t="s">
        <v>11</v>
      </c>
      <c r="E13248" s="17"/>
      <c r="F13248" s="18"/>
      <c r="G13248" s="36" t="str">
        <f>IF(ISNUMBER(F13248),C13248*F13248,"")</f>
        <v/>
      </c>
    </row>
    <row r="13249" spans="1:7" ht="12" customHeight="1" outlineLevel="3" x14ac:dyDescent="0.2">
      <c r="A13249" s="14" t="s">
        <v>26054</v>
      </c>
      <c r="B13249" s="15" t="s">
        <v>26055</v>
      </c>
      <c r="C13249" s="16">
        <f>280.69/(1+B2)</f>
        <v>280.69</v>
      </c>
      <c r="D13249" s="17" t="s">
        <v>11</v>
      </c>
      <c r="E13249" s="17"/>
      <c r="F13249" s="18"/>
      <c r="G13249" s="36" t="str">
        <f>IF(ISNUMBER(F13249),C13249*F13249,"")</f>
        <v/>
      </c>
    </row>
    <row r="13250" spans="1:7" ht="12" customHeight="1" outlineLevel="3" x14ac:dyDescent="0.2">
      <c r="A13250" s="14" t="s">
        <v>26056</v>
      </c>
      <c r="B13250" s="15" t="s">
        <v>26057</v>
      </c>
      <c r="C13250" s="16">
        <f>226.09/(1+B2)</f>
        <v>226.09</v>
      </c>
      <c r="D13250" s="17" t="s">
        <v>11</v>
      </c>
      <c r="E13250" s="17"/>
      <c r="F13250" s="18"/>
      <c r="G13250" s="36" t="str">
        <f>IF(ISNUMBER(F13250),C13250*F13250,"")</f>
        <v/>
      </c>
    </row>
    <row r="13251" spans="1:7" ht="12" customHeight="1" outlineLevel="3" x14ac:dyDescent="0.2">
      <c r="A13251" s="14" t="s">
        <v>26058</v>
      </c>
      <c r="B13251" s="15" t="s">
        <v>26059</v>
      </c>
      <c r="C13251" s="16">
        <f>259/(1+B2)</f>
        <v>259</v>
      </c>
      <c r="D13251" s="17" t="s">
        <v>11</v>
      </c>
      <c r="E13251" s="17"/>
      <c r="F13251" s="18"/>
      <c r="G13251" s="36" t="str">
        <f>IF(ISNUMBER(F13251),C13251*F13251,"")</f>
        <v/>
      </c>
    </row>
    <row r="13252" spans="1:7" ht="12" customHeight="1" outlineLevel="3" x14ac:dyDescent="0.2">
      <c r="A13252" s="14" t="s">
        <v>26060</v>
      </c>
      <c r="B13252" s="15" t="s">
        <v>26061</v>
      </c>
      <c r="C13252" s="16">
        <f>156.84/(1+B2)</f>
        <v>156.84</v>
      </c>
      <c r="D13252" s="17" t="s">
        <v>11</v>
      </c>
      <c r="E13252" s="17"/>
      <c r="F13252" s="18"/>
      <c r="G13252" s="36" t="str">
        <f>IF(ISNUMBER(F13252),C13252*F13252,"")</f>
        <v/>
      </c>
    </row>
    <row r="13253" spans="1:7" ht="12" customHeight="1" outlineLevel="3" x14ac:dyDescent="0.2">
      <c r="A13253" s="14" t="s">
        <v>26062</v>
      </c>
      <c r="B13253" s="15" t="s">
        <v>26063</v>
      </c>
      <c r="C13253" s="16">
        <f>262.25/(1+B2)</f>
        <v>262.25</v>
      </c>
      <c r="D13253" s="17" t="s">
        <v>11</v>
      </c>
      <c r="E13253" s="17"/>
      <c r="F13253" s="18"/>
      <c r="G13253" s="36" t="str">
        <f>IF(ISNUMBER(F13253),C13253*F13253,"")</f>
        <v/>
      </c>
    </row>
    <row r="13254" spans="1:7" ht="12" customHeight="1" outlineLevel="3" x14ac:dyDescent="0.2">
      <c r="A13254" s="14" t="s">
        <v>26064</v>
      </c>
      <c r="B13254" s="15" t="s">
        <v>26065</v>
      </c>
      <c r="C13254" s="16">
        <f>371.22/(1+B2)</f>
        <v>371.22</v>
      </c>
      <c r="D13254" s="17" t="s">
        <v>11</v>
      </c>
      <c r="E13254" s="17"/>
      <c r="F13254" s="18"/>
      <c r="G13254" s="36" t="str">
        <f>IF(ISNUMBER(F13254),C13254*F13254,"")</f>
        <v/>
      </c>
    </row>
    <row r="13255" spans="1:7" ht="12" customHeight="1" outlineLevel="3" x14ac:dyDescent="0.2">
      <c r="A13255" s="14" t="s">
        <v>26066</v>
      </c>
      <c r="B13255" s="15" t="s">
        <v>26067</v>
      </c>
      <c r="C13255" s="16">
        <f>55.28/(1+B2)</f>
        <v>55.28</v>
      </c>
      <c r="D13255" s="17" t="s">
        <v>11</v>
      </c>
      <c r="E13255" s="17"/>
      <c r="F13255" s="18"/>
      <c r="G13255" s="36" t="str">
        <f>IF(ISNUMBER(F13255),C13255*F13255,"")</f>
        <v/>
      </c>
    </row>
    <row r="13256" spans="1:7" ht="12" customHeight="1" outlineLevel="3" x14ac:dyDescent="0.2">
      <c r="A13256" s="14" t="s">
        <v>26068</v>
      </c>
      <c r="B13256" s="15" t="s">
        <v>26069</v>
      </c>
      <c r="C13256" s="16">
        <f>59.92/(1+B2)</f>
        <v>59.92</v>
      </c>
      <c r="D13256" s="17" t="s">
        <v>11</v>
      </c>
      <c r="E13256" s="17"/>
      <c r="F13256" s="18"/>
      <c r="G13256" s="36" t="str">
        <f>IF(ISNUMBER(F13256),C13256*F13256,"")</f>
        <v/>
      </c>
    </row>
    <row r="13257" spans="1:7" ht="12" customHeight="1" outlineLevel="3" x14ac:dyDescent="0.2">
      <c r="A13257" s="14" t="s">
        <v>26070</v>
      </c>
      <c r="B13257" s="15" t="s">
        <v>26071</v>
      </c>
      <c r="C13257" s="16">
        <f>62.21/(1+B2)</f>
        <v>62.21</v>
      </c>
      <c r="D13257" s="17" t="s">
        <v>11</v>
      </c>
      <c r="E13257" s="17"/>
      <c r="F13257" s="18"/>
      <c r="G13257" s="36" t="str">
        <f>IF(ISNUMBER(F13257),C13257*F13257,"")</f>
        <v/>
      </c>
    </row>
    <row r="13258" spans="1:7" ht="12" customHeight="1" outlineLevel="3" x14ac:dyDescent="0.2">
      <c r="A13258" s="14" t="s">
        <v>26072</v>
      </c>
      <c r="B13258" s="15" t="s">
        <v>26073</v>
      </c>
      <c r="C13258" s="16">
        <f>66.02/(1+B2)</f>
        <v>66.02</v>
      </c>
      <c r="D13258" s="17" t="s">
        <v>11</v>
      </c>
      <c r="E13258" s="17"/>
      <c r="F13258" s="18"/>
      <c r="G13258" s="36" t="str">
        <f>IF(ISNUMBER(F13258),C13258*F13258,"")</f>
        <v/>
      </c>
    </row>
    <row r="13259" spans="1:7" ht="12" customHeight="1" outlineLevel="3" x14ac:dyDescent="0.2">
      <c r="A13259" s="14" t="s">
        <v>26074</v>
      </c>
      <c r="B13259" s="15" t="s">
        <v>26075</v>
      </c>
      <c r="C13259" s="16">
        <f>73.73/(1+B2)</f>
        <v>73.73</v>
      </c>
      <c r="D13259" s="17" t="s">
        <v>11</v>
      </c>
      <c r="E13259" s="17"/>
      <c r="F13259" s="18"/>
      <c r="G13259" s="36" t="str">
        <f>IF(ISNUMBER(F13259),C13259*F13259,"")</f>
        <v/>
      </c>
    </row>
    <row r="13260" spans="1:7" ht="12" customHeight="1" outlineLevel="3" x14ac:dyDescent="0.2">
      <c r="A13260" s="14" t="s">
        <v>26076</v>
      </c>
      <c r="B13260" s="15" t="s">
        <v>26077</v>
      </c>
      <c r="C13260" s="16">
        <f>85.26/(1+B2)</f>
        <v>85.26</v>
      </c>
      <c r="D13260" s="17" t="s">
        <v>11</v>
      </c>
      <c r="E13260" s="17"/>
      <c r="F13260" s="18"/>
      <c r="G13260" s="36" t="str">
        <f>IF(ISNUMBER(F13260),C13260*F13260,"")</f>
        <v/>
      </c>
    </row>
    <row r="13261" spans="1:7" ht="12" customHeight="1" outlineLevel="3" x14ac:dyDescent="0.2">
      <c r="A13261" s="14" t="s">
        <v>26078</v>
      </c>
      <c r="B13261" s="15" t="s">
        <v>26079</v>
      </c>
      <c r="C13261" s="16">
        <f>132.49/(1+B2)</f>
        <v>132.49</v>
      </c>
      <c r="D13261" s="17" t="s">
        <v>11</v>
      </c>
      <c r="E13261" s="17"/>
      <c r="F13261" s="18"/>
      <c r="G13261" s="36" t="str">
        <f>IF(ISNUMBER(F13261),C13261*F13261,"")</f>
        <v/>
      </c>
    </row>
    <row r="13262" spans="1:7" ht="24" customHeight="1" outlineLevel="3" x14ac:dyDescent="0.2">
      <c r="A13262" s="14" t="s">
        <v>26080</v>
      </c>
      <c r="B13262" s="15" t="s">
        <v>26081</v>
      </c>
      <c r="C13262" s="16">
        <f>68.76/(1+B2)</f>
        <v>68.760000000000005</v>
      </c>
      <c r="D13262" s="17" t="s">
        <v>14</v>
      </c>
      <c r="E13262" s="17"/>
      <c r="F13262" s="18"/>
      <c r="G13262" s="36" t="str">
        <f>IF(ISNUMBER(F13262),C13262*F13262,"")</f>
        <v/>
      </c>
    </row>
    <row r="13263" spans="1:7" ht="24" customHeight="1" outlineLevel="3" x14ac:dyDescent="0.2">
      <c r="A13263" s="14" t="s">
        <v>26082</v>
      </c>
      <c r="B13263" s="15" t="s">
        <v>26083</v>
      </c>
      <c r="C13263" s="16">
        <f>85.06/(1+B2)</f>
        <v>85.06</v>
      </c>
      <c r="D13263" s="17" t="s">
        <v>11</v>
      </c>
      <c r="E13263" s="17"/>
      <c r="F13263" s="18"/>
      <c r="G13263" s="36" t="str">
        <f>IF(ISNUMBER(F13263),C13263*F13263,"")</f>
        <v/>
      </c>
    </row>
    <row r="13264" spans="1:7" ht="24" customHeight="1" outlineLevel="3" x14ac:dyDescent="0.2">
      <c r="A13264" s="14" t="s">
        <v>26084</v>
      </c>
      <c r="B13264" s="15" t="s">
        <v>26085</v>
      </c>
      <c r="C13264" s="16">
        <f>61.77/(1+B2)</f>
        <v>61.77</v>
      </c>
      <c r="D13264" s="17" t="s">
        <v>11</v>
      </c>
      <c r="E13264" s="17"/>
      <c r="F13264" s="18"/>
      <c r="G13264" s="36" t="str">
        <f>IF(ISNUMBER(F13264),C13264*F13264,"")</f>
        <v/>
      </c>
    </row>
    <row r="13265" spans="1:7" ht="24" customHeight="1" outlineLevel="3" x14ac:dyDescent="0.2">
      <c r="A13265" s="14" t="s">
        <v>26086</v>
      </c>
      <c r="B13265" s="15" t="s">
        <v>26087</v>
      </c>
      <c r="C13265" s="16">
        <f>74.57/(1+B2)</f>
        <v>74.569999999999993</v>
      </c>
      <c r="D13265" s="17" t="s">
        <v>11</v>
      </c>
      <c r="E13265" s="17"/>
      <c r="F13265" s="18"/>
      <c r="G13265" s="36" t="str">
        <f>IF(ISNUMBER(F13265),C13265*F13265,"")</f>
        <v/>
      </c>
    </row>
    <row r="13266" spans="1:7" ht="24" customHeight="1" outlineLevel="3" x14ac:dyDescent="0.2">
      <c r="A13266" s="14" t="s">
        <v>26088</v>
      </c>
      <c r="B13266" s="15" t="s">
        <v>26089</v>
      </c>
      <c r="C13266" s="16">
        <f>85.06/(1+B2)</f>
        <v>85.06</v>
      </c>
      <c r="D13266" s="17" t="s">
        <v>14</v>
      </c>
      <c r="E13266" s="17"/>
      <c r="F13266" s="18"/>
      <c r="G13266" s="36" t="str">
        <f>IF(ISNUMBER(F13266),C13266*F13266,"")</f>
        <v/>
      </c>
    </row>
    <row r="13267" spans="1:7" ht="24" customHeight="1" outlineLevel="3" x14ac:dyDescent="0.2">
      <c r="A13267" s="14" t="s">
        <v>26090</v>
      </c>
      <c r="B13267" s="15" t="s">
        <v>26091</v>
      </c>
      <c r="C13267" s="16">
        <f>87.4/(1+B2)</f>
        <v>87.4</v>
      </c>
      <c r="D13267" s="17" t="s">
        <v>11</v>
      </c>
      <c r="E13267" s="17"/>
      <c r="F13267" s="18"/>
      <c r="G13267" s="36" t="str">
        <f>IF(ISNUMBER(F13267),C13267*F13267,"")</f>
        <v/>
      </c>
    </row>
    <row r="13268" spans="1:7" ht="24" customHeight="1" outlineLevel="3" x14ac:dyDescent="0.2">
      <c r="A13268" s="14" t="s">
        <v>26092</v>
      </c>
      <c r="B13268" s="15" t="s">
        <v>26093</v>
      </c>
      <c r="C13268" s="16">
        <f>93.22/(1+B2)</f>
        <v>93.22</v>
      </c>
      <c r="D13268" s="17" t="s">
        <v>11</v>
      </c>
      <c r="E13268" s="17"/>
      <c r="F13268" s="18"/>
      <c r="G13268" s="36" t="str">
        <f>IF(ISNUMBER(F13268),C13268*F13268,"")</f>
        <v/>
      </c>
    </row>
    <row r="13269" spans="1:7" ht="24" customHeight="1" outlineLevel="3" x14ac:dyDescent="0.2">
      <c r="A13269" s="14" t="s">
        <v>26094</v>
      </c>
      <c r="B13269" s="15" t="s">
        <v>26095</v>
      </c>
      <c r="C13269" s="16">
        <f>76.9/(1+B2)</f>
        <v>76.900000000000006</v>
      </c>
      <c r="D13269" s="17" t="s">
        <v>11</v>
      </c>
      <c r="E13269" s="17"/>
      <c r="F13269" s="18"/>
      <c r="G13269" s="36" t="str">
        <f>IF(ISNUMBER(F13269),C13269*F13269,"")</f>
        <v/>
      </c>
    </row>
    <row r="13270" spans="1:7" ht="24" customHeight="1" outlineLevel="3" x14ac:dyDescent="0.2">
      <c r="A13270" s="14" t="s">
        <v>26096</v>
      </c>
      <c r="B13270" s="15" t="s">
        <v>26097</v>
      </c>
      <c r="C13270" s="16">
        <f>99.04/(1+B2)</f>
        <v>99.04</v>
      </c>
      <c r="D13270" s="17" t="s">
        <v>11</v>
      </c>
      <c r="E13270" s="17"/>
      <c r="F13270" s="18"/>
      <c r="G13270" s="36" t="str">
        <f>IF(ISNUMBER(F13270),C13270*F13270,"")</f>
        <v/>
      </c>
    </row>
    <row r="13271" spans="1:7" ht="24" customHeight="1" outlineLevel="3" x14ac:dyDescent="0.2">
      <c r="A13271" s="14" t="s">
        <v>26098</v>
      </c>
      <c r="B13271" s="15" t="s">
        <v>26099</v>
      </c>
      <c r="C13271" s="16">
        <f>110.69/(1+B2)</f>
        <v>110.69</v>
      </c>
      <c r="D13271" s="17" t="s">
        <v>14</v>
      </c>
      <c r="E13271" s="17"/>
      <c r="F13271" s="18"/>
      <c r="G13271" s="36" t="str">
        <f>IF(ISNUMBER(F13271),C13271*F13271,"")</f>
        <v/>
      </c>
    </row>
    <row r="13272" spans="1:7" ht="24" customHeight="1" outlineLevel="3" x14ac:dyDescent="0.2">
      <c r="A13272" s="14" t="s">
        <v>26100</v>
      </c>
      <c r="B13272" s="15" t="s">
        <v>26101</v>
      </c>
      <c r="C13272" s="16">
        <f>122.34/(1+B2)</f>
        <v>122.34</v>
      </c>
      <c r="D13272" s="17" t="s">
        <v>14</v>
      </c>
      <c r="E13272" s="17"/>
      <c r="F13272" s="18"/>
      <c r="G13272" s="36" t="str">
        <f>IF(ISNUMBER(F13272),C13272*F13272,"")</f>
        <v/>
      </c>
    </row>
    <row r="13273" spans="1:7" ht="24" customHeight="1" outlineLevel="3" x14ac:dyDescent="0.2">
      <c r="A13273" s="14" t="s">
        <v>26102</v>
      </c>
      <c r="B13273" s="15" t="s">
        <v>26103</v>
      </c>
      <c r="C13273" s="16">
        <f>173.61/(1+B2)</f>
        <v>173.61</v>
      </c>
      <c r="D13273" s="17" t="s">
        <v>11</v>
      </c>
      <c r="E13273" s="17"/>
      <c r="F13273" s="18"/>
      <c r="G13273" s="36" t="str">
        <f>IF(ISNUMBER(F13273),C13273*F13273,"")</f>
        <v/>
      </c>
    </row>
    <row r="13274" spans="1:7" ht="12" customHeight="1" outlineLevel="3" x14ac:dyDescent="0.2">
      <c r="A13274" s="14" t="s">
        <v>26104</v>
      </c>
      <c r="B13274" s="15" t="s">
        <v>26105</v>
      </c>
      <c r="C13274" s="16">
        <f>248.73/(1+B2)</f>
        <v>248.73</v>
      </c>
      <c r="D13274" s="17" t="s">
        <v>11</v>
      </c>
      <c r="E13274" s="17"/>
      <c r="F13274" s="18"/>
      <c r="G13274" s="36" t="str">
        <f>IF(ISNUMBER(F13274),C13274*F13274,"")</f>
        <v/>
      </c>
    </row>
    <row r="13275" spans="1:7" ht="12" customHeight="1" outlineLevel="3" x14ac:dyDescent="0.2">
      <c r="A13275" s="14" t="s">
        <v>26106</v>
      </c>
      <c r="B13275" s="15" t="s">
        <v>26107</v>
      </c>
      <c r="C13275" s="16">
        <f>375.35/(1+B2)</f>
        <v>375.35</v>
      </c>
      <c r="D13275" s="17" t="s">
        <v>11</v>
      </c>
      <c r="E13275" s="17"/>
      <c r="F13275" s="18"/>
      <c r="G13275" s="36" t="str">
        <f>IF(ISNUMBER(F13275),C13275*F13275,"")</f>
        <v/>
      </c>
    </row>
    <row r="13276" spans="1:7" ht="12" customHeight="1" outlineLevel="3" x14ac:dyDescent="0.2">
      <c r="A13276" s="14" t="s">
        <v>26108</v>
      </c>
      <c r="B13276" s="15" t="s">
        <v>26109</v>
      </c>
      <c r="C13276" s="16">
        <f>286.73/(1+B2)</f>
        <v>286.73</v>
      </c>
      <c r="D13276" s="17" t="s">
        <v>11</v>
      </c>
      <c r="E13276" s="17"/>
      <c r="F13276" s="18"/>
      <c r="G13276" s="36" t="str">
        <f>IF(ISNUMBER(F13276),C13276*F13276,"")</f>
        <v/>
      </c>
    </row>
    <row r="13277" spans="1:7" ht="12" customHeight="1" outlineLevel="3" x14ac:dyDescent="0.2">
      <c r="A13277" s="14" t="s">
        <v>26110</v>
      </c>
      <c r="B13277" s="15" t="s">
        <v>26111</v>
      </c>
      <c r="C13277" s="16">
        <f>202.1/(1+B2)</f>
        <v>202.1</v>
      </c>
      <c r="D13277" s="17" t="s">
        <v>11</v>
      </c>
      <c r="E13277" s="17"/>
      <c r="F13277" s="18"/>
      <c r="G13277" s="36" t="str">
        <f>IF(ISNUMBER(F13277),C13277*F13277,"")</f>
        <v/>
      </c>
    </row>
    <row r="13278" spans="1:7" ht="24" customHeight="1" outlineLevel="3" x14ac:dyDescent="0.2">
      <c r="A13278" s="14" t="s">
        <v>26112</v>
      </c>
      <c r="B13278" s="15" t="s">
        <v>26113</v>
      </c>
      <c r="C13278" s="16">
        <f>120.22/(1+B2)</f>
        <v>120.22</v>
      </c>
      <c r="D13278" s="17" t="s">
        <v>11</v>
      </c>
      <c r="E13278" s="17"/>
      <c r="F13278" s="18"/>
      <c r="G13278" s="36" t="str">
        <f>IF(ISNUMBER(F13278),C13278*F13278,"")</f>
        <v/>
      </c>
    </row>
    <row r="13279" spans="1:7" ht="24" customHeight="1" outlineLevel="3" x14ac:dyDescent="0.2">
      <c r="A13279" s="14" t="s">
        <v>26114</v>
      </c>
      <c r="B13279" s="15" t="s">
        <v>26115</v>
      </c>
      <c r="C13279" s="16">
        <f>137.4/(1+B2)</f>
        <v>137.4</v>
      </c>
      <c r="D13279" s="17" t="s">
        <v>11</v>
      </c>
      <c r="E13279" s="17"/>
      <c r="F13279" s="18"/>
      <c r="G13279" s="36" t="str">
        <f>IF(ISNUMBER(F13279),C13279*F13279,"")</f>
        <v/>
      </c>
    </row>
    <row r="13280" spans="1:7" ht="24" customHeight="1" outlineLevel="3" x14ac:dyDescent="0.2">
      <c r="A13280" s="14" t="s">
        <v>26116</v>
      </c>
      <c r="B13280" s="15" t="s">
        <v>26117</v>
      </c>
      <c r="C13280" s="16">
        <f>110.01/(1+B2)</f>
        <v>110.01</v>
      </c>
      <c r="D13280" s="17" t="s">
        <v>11</v>
      </c>
      <c r="E13280" s="17"/>
      <c r="F13280" s="18"/>
      <c r="G13280" s="36" t="str">
        <f>IF(ISNUMBER(F13280),C13280*F13280,"")</f>
        <v/>
      </c>
    </row>
    <row r="13281" spans="1:7" ht="24" customHeight="1" outlineLevel="3" x14ac:dyDescent="0.2">
      <c r="A13281" s="14" t="s">
        <v>26118</v>
      </c>
      <c r="B13281" s="15" t="s">
        <v>26119</v>
      </c>
      <c r="C13281" s="16">
        <f>138.61/(1+B2)</f>
        <v>138.61000000000001</v>
      </c>
      <c r="D13281" s="17" t="s">
        <v>11</v>
      </c>
      <c r="E13281" s="17"/>
      <c r="F13281" s="18"/>
      <c r="G13281" s="36" t="str">
        <f>IF(ISNUMBER(F13281),C13281*F13281,"")</f>
        <v/>
      </c>
    </row>
    <row r="13282" spans="1:7" ht="24" customHeight="1" outlineLevel="3" x14ac:dyDescent="0.2">
      <c r="A13282" s="14" t="s">
        <v>26120</v>
      </c>
      <c r="B13282" s="15" t="s">
        <v>26121</v>
      </c>
      <c r="C13282" s="16">
        <f>139.95/(1+B2)</f>
        <v>139.94999999999999</v>
      </c>
      <c r="D13282" s="17" t="s">
        <v>11</v>
      </c>
      <c r="E13282" s="17"/>
      <c r="F13282" s="18"/>
      <c r="G13282" s="36" t="str">
        <f>IF(ISNUMBER(F13282),C13282*F13282,"")</f>
        <v/>
      </c>
    </row>
    <row r="13283" spans="1:7" ht="24" customHeight="1" outlineLevel="3" x14ac:dyDescent="0.2">
      <c r="A13283" s="14" t="s">
        <v>26122</v>
      </c>
      <c r="B13283" s="15" t="s">
        <v>26123</v>
      </c>
      <c r="C13283" s="16">
        <f>206.11/(1+B2)</f>
        <v>206.11</v>
      </c>
      <c r="D13283" s="17" t="s">
        <v>11</v>
      </c>
      <c r="E13283" s="17"/>
      <c r="F13283" s="18"/>
      <c r="G13283" s="36" t="str">
        <f>IF(ISNUMBER(F13283),C13283*F13283,"")</f>
        <v/>
      </c>
    </row>
    <row r="13284" spans="1:7" s="1" customFormat="1" ht="12.95" customHeight="1" outlineLevel="2" x14ac:dyDescent="0.2">
      <c r="A13284" s="20"/>
      <c r="B13284" s="21" t="s">
        <v>26124</v>
      </c>
      <c r="C13284" s="22"/>
      <c r="D13284" s="22"/>
      <c r="E13284" s="22"/>
      <c r="F13284" s="22"/>
      <c r="G13284" s="37"/>
    </row>
    <row r="13285" spans="1:7" ht="12" customHeight="1" outlineLevel="3" x14ac:dyDescent="0.2">
      <c r="A13285" s="14" t="s">
        <v>26125</v>
      </c>
      <c r="B13285" s="15" t="s">
        <v>26126</v>
      </c>
      <c r="C13285" s="16">
        <f>119.85/(1+B2)</f>
        <v>119.85</v>
      </c>
      <c r="D13285" s="17" t="s">
        <v>11</v>
      </c>
      <c r="E13285" s="17"/>
      <c r="F13285" s="18"/>
      <c r="G13285" s="36" t="str">
        <f>IF(ISNUMBER(F13285),C13285*F13285,"")</f>
        <v/>
      </c>
    </row>
    <row r="13286" spans="1:7" ht="24" customHeight="1" outlineLevel="3" x14ac:dyDescent="0.2">
      <c r="A13286" s="14" t="s">
        <v>26127</v>
      </c>
      <c r="B13286" s="15" t="s">
        <v>26128</v>
      </c>
      <c r="C13286" s="16">
        <f>52.81/(1+B2)</f>
        <v>52.81</v>
      </c>
      <c r="D13286" s="17" t="s">
        <v>11</v>
      </c>
      <c r="E13286" s="17"/>
      <c r="F13286" s="18"/>
      <c r="G13286" s="36" t="str">
        <f>IF(ISNUMBER(F13286),C13286*F13286,"")</f>
        <v/>
      </c>
    </row>
    <row r="13287" spans="1:7" ht="24" customHeight="1" outlineLevel="3" x14ac:dyDescent="0.2">
      <c r="A13287" s="14" t="s">
        <v>26129</v>
      </c>
      <c r="B13287" s="15" t="s">
        <v>26130</v>
      </c>
      <c r="C13287" s="16">
        <f>45.4/(1+B2)</f>
        <v>45.4</v>
      </c>
      <c r="D13287" s="17" t="s">
        <v>11</v>
      </c>
      <c r="E13287" s="17"/>
      <c r="F13287" s="18"/>
      <c r="G13287" s="36" t="str">
        <f>IF(ISNUMBER(F13287),C13287*F13287,"")</f>
        <v/>
      </c>
    </row>
    <row r="13288" spans="1:7" ht="24" customHeight="1" outlineLevel="3" x14ac:dyDescent="0.2">
      <c r="A13288" s="14" t="s">
        <v>26131</v>
      </c>
      <c r="B13288" s="15" t="s">
        <v>26132</v>
      </c>
      <c r="C13288" s="16">
        <f>52.23/(1+B2)</f>
        <v>52.23</v>
      </c>
      <c r="D13288" s="17" t="s">
        <v>11</v>
      </c>
      <c r="E13288" s="17"/>
      <c r="F13288" s="18"/>
      <c r="G13288" s="36" t="str">
        <f>IF(ISNUMBER(F13288),C13288*F13288,"")</f>
        <v/>
      </c>
    </row>
    <row r="13289" spans="1:7" ht="24" customHeight="1" outlineLevel="3" x14ac:dyDescent="0.2">
      <c r="A13289" s="14" t="s">
        <v>26133</v>
      </c>
      <c r="B13289" s="15" t="s">
        <v>26134</v>
      </c>
      <c r="C13289" s="16">
        <f>60.52/(1+B2)</f>
        <v>60.52</v>
      </c>
      <c r="D13289" s="17" t="s">
        <v>14</v>
      </c>
      <c r="E13289" s="17"/>
      <c r="F13289" s="18"/>
      <c r="G13289" s="36" t="str">
        <f>IF(ISNUMBER(F13289),C13289*F13289,"")</f>
        <v/>
      </c>
    </row>
    <row r="13290" spans="1:7" ht="24" customHeight="1" outlineLevel="3" x14ac:dyDescent="0.2">
      <c r="A13290" s="14" t="s">
        <v>26135</v>
      </c>
      <c r="B13290" s="15" t="s">
        <v>26136</v>
      </c>
      <c r="C13290" s="16">
        <f>77.03/(1+B2)</f>
        <v>77.03</v>
      </c>
      <c r="D13290" s="17" t="s">
        <v>11</v>
      </c>
      <c r="E13290" s="17"/>
      <c r="F13290" s="18"/>
      <c r="G13290" s="36" t="str">
        <f>IF(ISNUMBER(F13290),C13290*F13290,"")</f>
        <v/>
      </c>
    </row>
    <row r="13291" spans="1:7" ht="24" customHeight="1" outlineLevel="3" x14ac:dyDescent="0.2">
      <c r="A13291" s="14" t="s">
        <v>26137</v>
      </c>
      <c r="B13291" s="15" t="s">
        <v>26138</v>
      </c>
      <c r="C13291" s="16">
        <f>56.25/(1+B2)</f>
        <v>56.25</v>
      </c>
      <c r="D13291" s="17" t="s">
        <v>14</v>
      </c>
      <c r="E13291" s="17"/>
      <c r="F13291" s="18"/>
      <c r="G13291" s="36" t="str">
        <f>IF(ISNUMBER(F13291),C13291*F13291,"")</f>
        <v/>
      </c>
    </row>
    <row r="13292" spans="1:7" ht="24" customHeight="1" outlineLevel="3" x14ac:dyDescent="0.2">
      <c r="A13292" s="14" t="s">
        <v>26139</v>
      </c>
      <c r="B13292" s="15" t="s">
        <v>26140</v>
      </c>
      <c r="C13292" s="16">
        <f>40.72/(1+B2)</f>
        <v>40.72</v>
      </c>
      <c r="D13292" s="17" t="s">
        <v>11</v>
      </c>
      <c r="E13292" s="17"/>
      <c r="F13292" s="18"/>
      <c r="G13292" s="36" t="str">
        <f>IF(ISNUMBER(F13292),C13292*F13292,"")</f>
        <v/>
      </c>
    </row>
    <row r="13293" spans="1:7" ht="24" customHeight="1" outlineLevel="3" x14ac:dyDescent="0.2">
      <c r="A13293" s="14" t="s">
        <v>26141</v>
      </c>
      <c r="B13293" s="15" t="s">
        <v>26142</v>
      </c>
      <c r="C13293" s="16">
        <f>46.21/(1+B2)</f>
        <v>46.21</v>
      </c>
      <c r="D13293" s="17" t="s">
        <v>11</v>
      </c>
      <c r="E13293" s="17"/>
      <c r="F13293" s="18"/>
      <c r="G13293" s="36" t="str">
        <f>IF(ISNUMBER(F13293),C13293*F13293,"")</f>
        <v/>
      </c>
    </row>
    <row r="13294" spans="1:7" ht="24" customHeight="1" outlineLevel="3" x14ac:dyDescent="0.2">
      <c r="A13294" s="14" t="s">
        <v>26143</v>
      </c>
      <c r="B13294" s="15" t="s">
        <v>26144</v>
      </c>
      <c r="C13294" s="16">
        <f>66.02/(1+B2)</f>
        <v>66.02</v>
      </c>
      <c r="D13294" s="17" t="s">
        <v>11</v>
      </c>
      <c r="E13294" s="17"/>
      <c r="F13294" s="18"/>
      <c r="G13294" s="36" t="str">
        <f>IF(ISNUMBER(F13294),C13294*F13294,"")</f>
        <v/>
      </c>
    </row>
    <row r="13295" spans="1:7" ht="24" customHeight="1" outlineLevel="3" x14ac:dyDescent="0.2">
      <c r="A13295" s="14" t="s">
        <v>26145</v>
      </c>
      <c r="B13295" s="15" t="s">
        <v>26146</v>
      </c>
      <c r="C13295" s="16">
        <f>61.63/(1+B2)</f>
        <v>61.63</v>
      </c>
      <c r="D13295" s="17" t="s">
        <v>11</v>
      </c>
      <c r="E13295" s="17"/>
      <c r="F13295" s="18"/>
      <c r="G13295" s="36" t="str">
        <f>IF(ISNUMBER(F13295),C13295*F13295,"")</f>
        <v/>
      </c>
    </row>
    <row r="13296" spans="1:7" ht="24" customHeight="1" outlineLevel="3" x14ac:dyDescent="0.2">
      <c r="A13296" s="14" t="s">
        <v>26147</v>
      </c>
      <c r="B13296" s="15" t="s">
        <v>26148</v>
      </c>
      <c r="C13296" s="16">
        <f>62.14/(1+B2)</f>
        <v>62.14</v>
      </c>
      <c r="D13296" s="17" t="s">
        <v>14</v>
      </c>
      <c r="E13296" s="17"/>
      <c r="F13296" s="18"/>
      <c r="G13296" s="36" t="str">
        <f>IF(ISNUMBER(F13296),C13296*F13296,"")</f>
        <v/>
      </c>
    </row>
    <row r="13297" spans="1:7" ht="24" customHeight="1" outlineLevel="3" x14ac:dyDescent="0.2">
      <c r="A13297" s="14" t="s">
        <v>26149</v>
      </c>
      <c r="B13297" s="15" t="s">
        <v>26150</v>
      </c>
      <c r="C13297" s="16">
        <f>77.03/(1+B2)</f>
        <v>77.03</v>
      </c>
      <c r="D13297" s="17" t="s">
        <v>11</v>
      </c>
      <c r="E13297" s="17"/>
      <c r="F13297" s="18"/>
      <c r="G13297" s="36" t="str">
        <f>IF(ISNUMBER(F13297),C13297*F13297,"")</f>
        <v/>
      </c>
    </row>
    <row r="13298" spans="1:7" ht="12" customHeight="1" outlineLevel="3" x14ac:dyDescent="0.2">
      <c r="A13298" s="14" t="s">
        <v>26151</v>
      </c>
      <c r="B13298" s="15" t="s">
        <v>26152</v>
      </c>
      <c r="C13298" s="16">
        <f>167.86/(1+B2)</f>
        <v>167.86</v>
      </c>
      <c r="D13298" s="17" t="s">
        <v>11</v>
      </c>
      <c r="E13298" s="17"/>
      <c r="F13298" s="18"/>
      <c r="G13298" s="36" t="str">
        <f>IF(ISNUMBER(F13298),C13298*F13298,"")</f>
        <v/>
      </c>
    </row>
    <row r="13299" spans="1:7" ht="12" customHeight="1" outlineLevel="3" x14ac:dyDescent="0.2">
      <c r="A13299" s="14" t="s">
        <v>26153</v>
      </c>
      <c r="B13299" s="15" t="s">
        <v>26154</v>
      </c>
      <c r="C13299" s="16">
        <f>176.74/(1+B2)</f>
        <v>176.74</v>
      </c>
      <c r="D13299" s="17" t="s">
        <v>11</v>
      </c>
      <c r="E13299" s="17"/>
      <c r="F13299" s="18"/>
      <c r="G13299" s="36" t="str">
        <f>IF(ISNUMBER(F13299),C13299*F13299,"")</f>
        <v/>
      </c>
    </row>
    <row r="13300" spans="1:7" ht="12" customHeight="1" outlineLevel="3" x14ac:dyDescent="0.2">
      <c r="A13300" s="14" t="s">
        <v>26155</v>
      </c>
      <c r="B13300" s="15" t="s">
        <v>26156</v>
      </c>
      <c r="C13300" s="16">
        <f>27.28/(1+B2)</f>
        <v>27.28</v>
      </c>
      <c r="D13300" s="17" t="s">
        <v>14</v>
      </c>
      <c r="E13300" s="17" t="s">
        <v>106</v>
      </c>
      <c r="F13300" s="18"/>
      <c r="G13300" s="36" t="str">
        <f>IF(ISNUMBER(F13300),C13300*F13300,"")</f>
        <v/>
      </c>
    </row>
    <row r="13301" spans="1:7" ht="12" customHeight="1" outlineLevel="3" x14ac:dyDescent="0.2">
      <c r="A13301" s="14" t="s">
        <v>26157</v>
      </c>
      <c r="B13301" s="15" t="s">
        <v>26158</v>
      </c>
      <c r="C13301" s="16">
        <f>42.89/(1+B2)</f>
        <v>42.89</v>
      </c>
      <c r="D13301" s="17" t="s">
        <v>14</v>
      </c>
      <c r="E13301" s="17" t="s">
        <v>106</v>
      </c>
      <c r="F13301" s="18"/>
      <c r="G13301" s="36" t="str">
        <f>IF(ISNUMBER(F13301),C13301*F13301,"")</f>
        <v/>
      </c>
    </row>
    <row r="13302" spans="1:7" ht="12" customHeight="1" outlineLevel="3" x14ac:dyDescent="0.2">
      <c r="A13302" s="14" t="s">
        <v>26159</v>
      </c>
      <c r="B13302" s="15" t="s">
        <v>26160</v>
      </c>
      <c r="C13302" s="16">
        <f>35.72/(1+B2)</f>
        <v>35.72</v>
      </c>
      <c r="D13302" s="17" t="s">
        <v>53</v>
      </c>
      <c r="E13302" s="17" t="s">
        <v>106</v>
      </c>
      <c r="F13302" s="18"/>
      <c r="G13302" s="36" t="str">
        <f>IF(ISNUMBER(F13302),C13302*F13302,"")</f>
        <v/>
      </c>
    </row>
    <row r="13303" spans="1:7" ht="12" customHeight="1" outlineLevel="3" x14ac:dyDescent="0.2">
      <c r="A13303" s="14" t="s">
        <v>26161</v>
      </c>
      <c r="B13303" s="15" t="s">
        <v>26162</v>
      </c>
      <c r="C13303" s="16">
        <f>39.62/(1+B2)</f>
        <v>39.619999999999997</v>
      </c>
      <c r="D13303" s="17" t="s">
        <v>11</v>
      </c>
      <c r="E13303" s="17" t="s">
        <v>106</v>
      </c>
      <c r="F13303" s="18"/>
      <c r="G13303" s="36" t="str">
        <f>IF(ISNUMBER(F13303),C13303*F13303,"")</f>
        <v/>
      </c>
    </row>
    <row r="13304" spans="1:7" ht="24" customHeight="1" outlineLevel="3" x14ac:dyDescent="0.2">
      <c r="A13304" s="14" t="s">
        <v>26163</v>
      </c>
      <c r="B13304" s="15" t="s">
        <v>26164</v>
      </c>
      <c r="C13304" s="16">
        <f>56/(1+B2)</f>
        <v>56</v>
      </c>
      <c r="D13304" s="17" t="s">
        <v>11</v>
      </c>
      <c r="E13304" s="17" t="s">
        <v>53</v>
      </c>
      <c r="F13304" s="18"/>
      <c r="G13304" s="36" t="str">
        <f>IF(ISNUMBER(F13304),C13304*F13304,"")</f>
        <v/>
      </c>
    </row>
    <row r="13305" spans="1:7" ht="12" customHeight="1" outlineLevel="3" x14ac:dyDescent="0.2">
      <c r="A13305" s="14" t="s">
        <v>26165</v>
      </c>
      <c r="B13305" s="15" t="s">
        <v>26166</v>
      </c>
      <c r="C13305" s="16">
        <f>35.94/(1+B2)</f>
        <v>35.94</v>
      </c>
      <c r="D13305" s="17" t="s">
        <v>14</v>
      </c>
      <c r="E13305" s="17" t="s">
        <v>14</v>
      </c>
      <c r="F13305" s="18"/>
      <c r="G13305" s="36" t="str">
        <f>IF(ISNUMBER(F13305),C13305*F13305,"")</f>
        <v/>
      </c>
    </row>
    <row r="13306" spans="1:7" ht="12" customHeight="1" outlineLevel="3" x14ac:dyDescent="0.2">
      <c r="A13306" s="14" t="s">
        <v>26167</v>
      </c>
      <c r="B13306" s="15" t="s">
        <v>26168</v>
      </c>
      <c r="C13306" s="16">
        <f>46.12/(1+B2)</f>
        <v>46.12</v>
      </c>
      <c r="D13306" s="17" t="s">
        <v>11</v>
      </c>
      <c r="E13306" s="17" t="s">
        <v>11</v>
      </c>
      <c r="F13306" s="18"/>
      <c r="G13306" s="36" t="str">
        <f>IF(ISNUMBER(F13306),C13306*F13306,"")</f>
        <v/>
      </c>
    </row>
    <row r="13307" spans="1:7" ht="12" customHeight="1" outlineLevel="3" x14ac:dyDescent="0.2">
      <c r="A13307" s="14" t="s">
        <v>26169</v>
      </c>
      <c r="B13307" s="15" t="s">
        <v>26170</v>
      </c>
      <c r="C13307" s="16">
        <f>64.27/(1+B2)</f>
        <v>64.27</v>
      </c>
      <c r="D13307" s="17" t="s">
        <v>11</v>
      </c>
      <c r="E13307" s="17" t="s">
        <v>14</v>
      </c>
      <c r="F13307" s="18"/>
      <c r="G13307" s="36" t="str">
        <f>IF(ISNUMBER(F13307),C13307*F13307,"")</f>
        <v/>
      </c>
    </row>
    <row r="13308" spans="1:7" ht="24" customHeight="1" outlineLevel="3" x14ac:dyDescent="0.2">
      <c r="A13308" s="14" t="s">
        <v>26171</v>
      </c>
      <c r="B13308" s="15" t="s">
        <v>26172</v>
      </c>
      <c r="C13308" s="16">
        <f>55.13/(1+B2)</f>
        <v>55.13</v>
      </c>
      <c r="D13308" s="17" t="s">
        <v>14</v>
      </c>
      <c r="E13308" s="17" t="s">
        <v>11</v>
      </c>
      <c r="F13308" s="18"/>
      <c r="G13308" s="36" t="str">
        <f>IF(ISNUMBER(F13308),C13308*F13308,"")</f>
        <v/>
      </c>
    </row>
    <row r="13309" spans="1:7" ht="24" customHeight="1" outlineLevel="3" x14ac:dyDescent="0.2">
      <c r="A13309" s="14" t="s">
        <v>26173</v>
      </c>
      <c r="B13309" s="15" t="s">
        <v>26174</v>
      </c>
      <c r="C13309" s="16">
        <f>40.49/(1+B2)</f>
        <v>40.49</v>
      </c>
      <c r="D13309" s="17" t="s">
        <v>11</v>
      </c>
      <c r="E13309" s="17"/>
      <c r="F13309" s="18"/>
      <c r="G13309" s="36" t="str">
        <f>IF(ISNUMBER(F13309),C13309*F13309,"")</f>
        <v/>
      </c>
    </row>
    <row r="13310" spans="1:7" ht="12" customHeight="1" outlineLevel="3" x14ac:dyDescent="0.2">
      <c r="A13310" s="14" t="s">
        <v>26175</v>
      </c>
      <c r="B13310" s="15" t="s">
        <v>26176</v>
      </c>
      <c r="C13310" s="16">
        <f>54.13/(1+B2)</f>
        <v>54.13</v>
      </c>
      <c r="D13310" s="17"/>
      <c r="E13310" s="17" t="s">
        <v>11</v>
      </c>
      <c r="F13310" s="18"/>
      <c r="G13310" s="36" t="str">
        <f>IF(ISNUMBER(F13310),C13310*F13310,"")</f>
        <v/>
      </c>
    </row>
    <row r="13311" spans="1:7" ht="24" customHeight="1" outlineLevel="3" x14ac:dyDescent="0.2">
      <c r="A13311" s="14" t="s">
        <v>26177</v>
      </c>
      <c r="B13311" s="15" t="s">
        <v>26178</v>
      </c>
      <c r="C13311" s="16">
        <f>54.71/(1+B2)</f>
        <v>54.71</v>
      </c>
      <c r="D13311" s="17" t="s">
        <v>14</v>
      </c>
      <c r="E13311" s="17" t="s">
        <v>11</v>
      </c>
      <c r="F13311" s="18"/>
      <c r="G13311" s="36" t="str">
        <f>IF(ISNUMBER(F13311),C13311*F13311,"")</f>
        <v/>
      </c>
    </row>
    <row r="13312" spans="1:7" ht="12" customHeight="1" outlineLevel="3" x14ac:dyDescent="0.2">
      <c r="A13312" s="14" t="s">
        <v>26179</v>
      </c>
      <c r="B13312" s="15" t="s">
        <v>26180</v>
      </c>
      <c r="C13312" s="16">
        <f>18.85/(1+B2)</f>
        <v>18.850000000000001</v>
      </c>
      <c r="D13312" s="17" t="s">
        <v>11</v>
      </c>
      <c r="E13312" s="17" t="s">
        <v>106</v>
      </c>
      <c r="F13312" s="18"/>
      <c r="G13312" s="36" t="str">
        <f>IF(ISNUMBER(F13312),C13312*F13312,"")</f>
        <v/>
      </c>
    </row>
    <row r="13313" spans="1:7" ht="12" customHeight="1" outlineLevel="3" x14ac:dyDescent="0.2">
      <c r="A13313" s="14" t="s">
        <v>26181</v>
      </c>
      <c r="B13313" s="15" t="s">
        <v>26182</v>
      </c>
      <c r="C13313" s="16">
        <f>27.3/(1+B2)</f>
        <v>27.3</v>
      </c>
      <c r="D13313" s="17" t="s">
        <v>53</v>
      </c>
      <c r="E13313" s="17" t="s">
        <v>106</v>
      </c>
      <c r="F13313" s="18"/>
      <c r="G13313" s="36" t="str">
        <f>IF(ISNUMBER(F13313),C13313*F13313,"")</f>
        <v/>
      </c>
    </row>
    <row r="13314" spans="1:7" ht="12" customHeight="1" outlineLevel="3" x14ac:dyDescent="0.2">
      <c r="A13314" s="14" t="s">
        <v>26183</v>
      </c>
      <c r="B13314" s="15" t="s">
        <v>26184</v>
      </c>
      <c r="C13314" s="16">
        <f>20.43/(1+B2)</f>
        <v>20.43</v>
      </c>
      <c r="D13314" s="17" t="s">
        <v>14</v>
      </c>
      <c r="E13314" s="17" t="s">
        <v>106</v>
      </c>
      <c r="F13314" s="18"/>
      <c r="G13314" s="36" t="str">
        <f>IF(ISNUMBER(F13314),C13314*F13314,"")</f>
        <v/>
      </c>
    </row>
    <row r="13315" spans="1:7" ht="12" customHeight="1" outlineLevel="3" x14ac:dyDescent="0.2">
      <c r="A13315" s="14" t="s">
        <v>26185</v>
      </c>
      <c r="B13315" s="15" t="s">
        <v>26186</v>
      </c>
      <c r="C13315" s="16">
        <f>21.14/(1+B2)</f>
        <v>21.14</v>
      </c>
      <c r="D13315" s="17" t="s">
        <v>14</v>
      </c>
      <c r="E13315" s="17"/>
      <c r="F13315" s="18"/>
      <c r="G13315" s="36" t="str">
        <f>IF(ISNUMBER(F13315),C13315*F13315,"")</f>
        <v/>
      </c>
    </row>
    <row r="13316" spans="1:7" ht="12" customHeight="1" outlineLevel="3" x14ac:dyDescent="0.2">
      <c r="A13316" s="14" t="s">
        <v>26187</v>
      </c>
      <c r="B13316" s="15" t="s">
        <v>26188</v>
      </c>
      <c r="C13316" s="16">
        <f>20.8/(1+B2)</f>
        <v>20.8</v>
      </c>
      <c r="D13316" s="17" t="s">
        <v>11</v>
      </c>
      <c r="E13316" s="17"/>
      <c r="F13316" s="18"/>
      <c r="G13316" s="36" t="str">
        <f>IF(ISNUMBER(F13316),C13316*F13316,"")</f>
        <v/>
      </c>
    </row>
    <row r="13317" spans="1:7" ht="12" customHeight="1" outlineLevel="3" x14ac:dyDescent="0.2">
      <c r="A13317" s="14" t="s">
        <v>26189</v>
      </c>
      <c r="B13317" s="15" t="s">
        <v>26190</v>
      </c>
      <c r="C13317" s="16">
        <f>26/(1+B2)</f>
        <v>26</v>
      </c>
      <c r="D13317" s="17" t="s">
        <v>14</v>
      </c>
      <c r="E13317" s="17"/>
      <c r="F13317" s="18"/>
      <c r="G13317" s="36" t="str">
        <f>IF(ISNUMBER(F13317),C13317*F13317,"")</f>
        <v/>
      </c>
    </row>
    <row r="13318" spans="1:7" ht="12" customHeight="1" outlineLevel="3" x14ac:dyDescent="0.2">
      <c r="A13318" s="14" t="s">
        <v>26191</v>
      </c>
      <c r="B13318" s="15" t="s">
        <v>26192</v>
      </c>
      <c r="C13318" s="16">
        <f>47.5/(1+B2)</f>
        <v>47.5</v>
      </c>
      <c r="D13318" s="17" t="s">
        <v>11</v>
      </c>
      <c r="E13318" s="17" t="s">
        <v>14</v>
      </c>
      <c r="F13318" s="18"/>
      <c r="G13318" s="36" t="str">
        <f>IF(ISNUMBER(F13318),C13318*F13318,"")</f>
        <v/>
      </c>
    </row>
    <row r="13319" spans="1:7" ht="12" customHeight="1" outlineLevel="3" x14ac:dyDescent="0.2">
      <c r="A13319" s="14" t="s">
        <v>26193</v>
      </c>
      <c r="B13319" s="15" t="s">
        <v>26194</v>
      </c>
      <c r="C13319" s="16">
        <f>98.64/(1+B2)</f>
        <v>98.64</v>
      </c>
      <c r="D13319" s="17" t="s">
        <v>11</v>
      </c>
      <c r="E13319" s="17"/>
      <c r="F13319" s="18"/>
      <c r="G13319" s="36" t="str">
        <f>IF(ISNUMBER(F13319),C13319*F13319,"")</f>
        <v/>
      </c>
    </row>
    <row r="13320" spans="1:7" ht="12" customHeight="1" outlineLevel="3" x14ac:dyDescent="0.2">
      <c r="A13320" s="14" t="s">
        <v>26195</v>
      </c>
      <c r="B13320" s="15" t="s">
        <v>26196</v>
      </c>
      <c r="C13320" s="16">
        <f>117.13/(1+B2)</f>
        <v>117.13</v>
      </c>
      <c r="D13320" s="17" t="s">
        <v>11</v>
      </c>
      <c r="E13320" s="17"/>
      <c r="F13320" s="18"/>
      <c r="G13320" s="36" t="str">
        <f>IF(ISNUMBER(F13320),C13320*F13320,"")</f>
        <v/>
      </c>
    </row>
    <row r="13321" spans="1:7" ht="12" customHeight="1" outlineLevel="3" x14ac:dyDescent="0.2">
      <c r="A13321" s="14" t="s">
        <v>26197</v>
      </c>
      <c r="B13321" s="15" t="s">
        <v>26198</v>
      </c>
      <c r="C13321" s="16">
        <f>152.89/(1+B2)</f>
        <v>152.88999999999999</v>
      </c>
      <c r="D13321" s="17" t="s">
        <v>11</v>
      </c>
      <c r="E13321" s="17"/>
      <c r="F13321" s="18"/>
      <c r="G13321" s="36" t="str">
        <f>IF(ISNUMBER(F13321),C13321*F13321,"")</f>
        <v/>
      </c>
    </row>
    <row r="13322" spans="1:7" ht="12" customHeight="1" outlineLevel="3" x14ac:dyDescent="0.2">
      <c r="A13322" s="14" t="s">
        <v>26199</v>
      </c>
      <c r="B13322" s="15" t="s">
        <v>26200</v>
      </c>
      <c r="C13322" s="16">
        <f>96.17/(1+B2)</f>
        <v>96.17</v>
      </c>
      <c r="D13322" s="17" t="s">
        <v>11</v>
      </c>
      <c r="E13322" s="17"/>
      <c r="F13322" s="18"/>
      <c r="G13322" s="36" t="str">
        <f>IF(ISNUMBER(F13322),C13322*F13322,"")</f>
        <v/>
      </c>
    </row>
    <row r="13323" spans="1:7" ht="12" customHeight="1" outlineLevel="3" x14ac:dyDescent="0.2">
      <c r="A13323" s="14" t="s">
        <v>26201</v>
      </c>
      <c r="B13323" s="15" t="s">
        <v>26202</v>
      </c>
      <c r="C13323" s="16">
        <f>109.18/(1+B2)</f>
        <v>109.18</v>
      </c>
      <c r="D13323" s="17" t="s">
        <v>11</v>
      </c>
      <c r="E13323" s="17"/>
      <c r="F13323" s="18"/>
      <c r="G13323" s="36" t="str">
        <f>IF(ISNUMBER(F13323),C13323*F13323,"")</f>
        <v/>
      </c>
    </row>
    <row r="13324" spans="1:7" ht="12" customHeight="1" outlineLevel="3" x14ac:dyDescent="0.2">
      <c r="A13324" s="14" t="s">
        <v>26203</v>
      </c>
      <c r="B13324" s="15" t="s">
        <v>26204</v>
      </c>
      <c r="C13324" s="16">
        <f>132.02/(1+B2)</f>
        <v>132.02000000000001</v>
      </c>
      <c r="D13324" s="17" t="s">
        <v>11</v>
      </c>
      <c r="E13324" s="17"/>
      <c r="F13324" s="18"/>
      <c r="G13324" s="36" t="str">
        <f>IF(ISNUMBER(F13324),C13324*F13324,"")</f>
        <v/>
      </c>
    </row>
    <row r="13325" spans="1:7" ht="12" customHeight="1" outlineLevel="3" x14ac:dyDescent="0.2">
      <c r="A13325" s="14" t="s">
        <v>26205</v>
      </c>
      <c r="B13325" s="15" t="s">
        <v>26206</v>
      </c>
      <c r="C13325" s="16">
        <f>163.99/(1+B2)</f>
        <v>163.99</v>
      </c>
      <c r="D13325" s="17" t="s">
        <v>11</v>
      </c>
      <c r="E13325" s="17"/>
      <c r="F13325" s="18"/>
      <c r="G13325" s="36" t="str">
        <f>IF(ISNUMBER(F13325),C13325*F13325,"")</f>
        <v/>
      </c>
    </row>
    <row r="13326" spans="1:7" s="1" customFormat="1" ht="12.95" customHeight="1" outlineLevel="2" x14ac:dyDescent="0.2">
      <c r="A13326" s="20"/>
      <c r="B13326" s="21" t="s">
        <v>26207</v>
      </c>
      <c r="C13326" s="22"/>
      <c r="D13326" s="22"/>
      <c r="E13326" s="22"/>
      <c r="F13326" s="22"/>
      <c r="G13326" s="37"/>
    </row>
    <row r="13327" spans="1:7" ht="24" customHeight="1" outlineLevel="3" x14ac:dyDescent="0.2">
      <c r="A13327" s="14" t="s">
        <v>26208</v>
      </c>
      <c r="B13327" s="15" t="s">
        <v>26209</v>
      </c>
      <c r="C13327" s="16">
        <f>263.65/(1+B2)</f>
        <v>263.64999999999998</v>
      </c>
      <c r="D13327" s="17" t="s">
        <v>11</v>
      </c>
      <c r="E13327" s="17"/>
      <c r="F13327" s="18"/>
      <c r="G13327" s="36" t="str">
        <f>IF(ISNUMBER(F13327),C13327*F13327,"")</f>
        <v/>
      </c>
    </row>
    <row r="13328" spans="1:7" ht="12" customHeight="1" outlineLevel="3" x14ac:dyDescent="0.2">
      <c r="A13328" s="14" t="s">
        <v>26210</v>
      </c>
      <c r="B13328" s="15" t="s">
        <v>26211</v>
      </c>
      <c r="C13328" s="16">
        <f>614.05/(1+B2)</f>
        <v>614.04999999999995</v>
      </c>
      <c r="D13328" s="17" t="s">
        <v>11</v>
      </c>
      <c r="E13328" s="17"/>
      <c r="F13328" s="18"/>
      <c r="G13328" s="36" t="str">
        <f>IF(ISNUMBER(F13328),C13328*F13328,"")</f>
        <v/>
      </c>
    </row>
    <row r="13329" spans="1:7" ht="12" customHeight="1" outlineLevel="3" x14ac:dyDescent="0.2">
      <c r="A13329" s="14" t="s">
        <v>26212</v>
      </c>
      <c r="B13329" s="15" t="s">
        <v>26213</v>
      </c>
      <c r="C13329" s="19">
        <f>1268.31/(1+B2)</f>
        <v>1268.31</v>
      </c>
      <c r="D13329" s="17" t="s">
        <v>11</v>
      </c>
      <c r="E13329" s="17"/>
      <c r="F13329" s="18"/>
      <c r="G13329" s="36" t="str">
        <f>IF(ISNUMBER(F13329),C13329*F13329,"")</f>
        <v/>
      </c>
    </row>
    <row r="13330" spans="1:7" ht="24" customHeight="1" outlineLevel="3" x14ac:dyDescent="0.2">
      <c r="A13330" s="14" t="s">
        <v>26214</v>
      </c>
      <c r="B13330" s="15" t="s">
        <v>26215</v>
      </c>
      <c r="C13330" s="16">
        <f>728.91/(1+B2)</f>
        <v>728.91</v>
      </c>
      <c r="D13330" s="17" t="s">
        <v>11</v>
      </c>
      <c r="E13330" s="17"/>
      <c r="F13330" s="18"/>
      <c r="G13330" s="36" t="str">
        <f>IF(ISNUMBER(F13330),C13330*F13330,"")</f>
        <v/>
      </c>
    </row>
    <row r="13331" spans="1:7" ht="12" customHeight="1" outlineLevel="3" x14ac:dyDescent="0.2">
      <c r="A13331" s="14" t="s">
        <v>26216</v>
      </c>
      <c r="B13331" s="15" t="s">
        <v>26217</v>
      </c>
      <c r="C13331" s="16">
        <f>550.74/(1+B2)</f>
        <v>550.74</v>
      </c>
      <c r="D13331" s="17" t="s">
        <v>11</v>
      </c>
      <c r="E13331" s="17"/>
      <c r="F13331" s="18"/>
      <c r="G13331" s="36" t="str">
        <f>IF(ISNUMBER(F13331),C13331*F13331,"")</f>
        <v/>
      </c>
    </row>
    <row r="13332" spans="1:7" ht="24" customHeight="1" outlineLevel="3" x14ac:dyDescent="0.2">
      <c r="A13332" s="14" t="s">
        <v>26218</v>
      </c>
      <c r="B13332" s="15" t="s">
        <v>26219</v>
      </c>
      <c r="C13332" s="16">
        <f>519.15/(1+B2)</f>
        <v>519.15</v>
      </c>
      <c r="D13332" s="17" t="s">
        <v>11</v>
      </c>
      <c r="E13332" s="17"/>
      <c r="F13332" s="18"/>
      <c r="G13332" s="36" t="str">
        <f>IF(ISNUMBER(F13332),C13332*F13332,"")</f>
        <v/>
      </c>
    </row>
    <row r="13333" spans="1:7" ht="12" customHeight="1" outlineLevel="3" x14ac:dyDescent="0.2">
      <c r="A13333" s="14" t="s">
        <v>26220</v>
      </c>
      <c r="B13333" s="15" t="s">
        <v>26221</v>
      </c>
      <c r="C13333" s="16">
        <f>413.35/(1+B2)</f>
        <v>413.35</v>
      </c>
      <c r="D13333" s="17" t="s">
        <v>11</v>
      </c>
      <c r="E13333" s="17"/>
      <c r="F13333" s="18"/>
      <c r="G13333" s="36" t="str">
        <f>IF(ISNUMBER(F13333),C13333*F13333,"")</f>
        <v/>
      </c>
    </row>
    <row r="13334" spans="1:7" ht="12" customHeight="1" outlineLevel="3" x14ac:dyDescent="0.2">
      <c r="A13334" s="14" t="s">
        <v>26222</v>
      </c>
      <c r="B13334" s="15" t="s">
        <v>26223</v>
      </c>
      <c r="C13334" s="16">
        <f>574.04/(1+B2)</f>
        <v>574.04</v>
      </c>
      <c r="D13334" s="17" t="s">
        <v>11</v>
      </c>
      <c r="E13334" s="17"/>
      <c r="F13334" s="18"/>
      <c r="G13334" s="36" t="str">
        <f>IF(ISNUMBER(F13334),C13334*F13334,"")</f>
        <v/>
      </c>
    </row>
    <row r="13335" spans="1:7" ht="12" customHeight="1" outlineLevel="3" x14ac:dyDescent="0.2">
      <c r="A13335" s="14" t="s">
        <v>26224</v>
      </c>
      <c r="B13335" s="15" t="s">
        <v>26225</v>
      </c>
      <c r="C13335" s="16">
        <f>367.11/(1+B2)</f>
        <v>367.11</v>
      </c>
      <c r="D13335" s="17" t="s">
        <v>11</v>
      </c>
      <c r="E13335" s="17"/>
      <c r="F13335" s="18"/>
      <c r="G13335" s="36" t="str">
        <f>IF(ISNUMBER(F13335),C13335*F13335,"")</f>
        <v/>
      </c>
    </row>
    <row r="13336" spans="1:7" ht="24" customHeight="1" outlineLevel="3" x14ac:dyDescent="0.2">
      <c r="A13336" s="14" t="s">
        <v>26226</v>
      </c>
      <c r="B13336" s="15" t="s">
        <v>26227</v>
      </c>
      <c r="C13336" s="16">
        <f>900.03/(1+B2)</f>
        <v>900.03</v>
      </c>
      <c r="D13336" s="17" t="s">
        <v>11</v>
      </c>
      <c r="E13336" s="17"/>
      <c r="F13336" s="18"/>
      <c r="G13336" s="36" t="str">
        <f>IF(ISNUMBER(F13336),C13336*F13336,"")</f>
        <v/>
      </c>
    </row>
    <row r="13337" spans="1:7" ht="12" customHeight="1" outlineLevel="3" x14ac:dyDescent="0.2">
      <c r="A13337" s="14" t="s">
        <v>26228</v>
      </c>
      <c r="B13337" s="15" t="s">
        <v>26229</v>
      </c>
      <c r="C13337" s="19">
        <f>1386.63/(1+B2)</f>
        <v>1386.63</v>
      </c>
      <c r="D13337" s="17" t="s">
        <v>11</v>
      </c>
      <c r="E13337" s="17"/>
      <c r="F13337" s="18"/>
      <c r="G13337" s="36" t="str">
        <f>IF(ISNUMBER(F13337),C13337*F13337,"")</f>
        <v/>
      </c>
    </row>
    <row r="13338" spans="1:7" ht="12" customHeight="1" outlineLevel="3" x14ac:dyDescent="0.2">
      <c r="A13338" s="14" t="s">
        <v>26230</v>
      </c>
      <c r="B13338" s="15" t="s">
        <v>26231</v>
      </c>
      <c r="C13338" s="19">
        <f>1285.36/(1+B2)</f>
        <v>1285.3599999999999</v>
      </c>
      <c r="D13338" s="17" t="s">
        <v>14</v>
      </c>
      <c r="E13338" s="17"/>
      <c r="F13338" s="18"/>
      <c r="G13338" s="36" t="str">
        <f>IF(ISNUMBER(F13338),C13338*F13338,"")</f>
        <v/>
      </c>
    </row>
    <row r="13339" spans="1:7" ht="24" customHeight="1" outlineLevel="3" x14ac:dyDescent="0.2">
      <c r="A13339" s="14" t="s">
        <v>26232</v>
      </c>
      <c r="B13339" s="15" t="s">
        <v>26233</v>
      </c>
      <c r="C13339" s="16">
        <f>265.08/(1+B2)</f>
        <v>265.08</v>
      </c>
      <c r="D13339" s="17" t="s">
        <v>11</v>
      </c>
      <c r="E13339" s="17"/>
      <c r="F13339" s="18"/>
      <c r="G13339" s="36" t="str">
        <f>IF(ISNUMBER(F13339),C13339*F13339,"")</f>
        <v/>
      </c>
    </row>
    <row r="13340" spans="1:7" ht="24" customHeight="1" outlineLevel="3" x14ac:dyDescent="0.2">
      <c r="A13340" s="14" t="s">
        <v>26234</v>
      </c>
      <c r="B13340" s="15" t="s">
        <v>26235</v>
      </c>
      <c r="C13340" s="19">
        <f>1391.41/(1+B2)</f>
        <v>1391.41</v>
      </c>
      <c r="D13340" s="17" t="s">
        <v>11</v>
      </c>
      <c r="E13340" s="17"/>
      <c r="F13340" s="18"/>
      <c r="G13340" s="36" t="str">
        <f>IF(ISNUMBER(F13340),C13340*F13340,"")</f>
        <v/>
      </c>
    </row>
    <row r="13341" spans="1:7" ht="12" customHeight="1" outlineLevel="3" x14ac:dyDescent="0.2">
      <c r="A13341" s="14" t="s">
        <v>26236</v>
      </c>
      <c r="B13341" s="15" t="s">
        <v>26237</v>
      </c>
      <c r="C13341" s="16">
        <f>719.72/(1+B2)</f>
        <v>719.72</v>
      </c>
      <c r="D13341" s="17" t="s">
        <v>11</v>
      </c>
      <c r="E13341" s="17"/>
      <c r="F13341" s="18"/>
      <c r="G13341" s="36" t="str">
        <f>IF(ISNUMBER(F13341),C13341*F13341,"")</f>
        <v/>
      </c>
    </row>
    <row r="13342" spans="1:7" ht="12" customHeight="1" outlineLevel="3" x14ac:dyDescent="0.2">
      <c r="A13342" s="14" t="s">
        <v>26238</v>
      </c>
      <c r="B13342" s="15" t="s">
        <v>26239</v>
      </c>
      <c r="C13342" s="16">
        <f>128.04/(1+B2)</f>
        <v>128.04</v>
      </c>
      <c r="D13342" s="17" t="s">
        <v>11</v>
      </c>
      <c r="E13342" s="17"/>
      <c r="F13342" s="18"/>
      <c r="G13342" s="36" t="str">
        <f>IF(ISNUMBER(F13342),C13342*F13342,"")</f>
        <v/>
      </c>
    </row>
    <row r="13343" spans="1:7" ht="12" customHeight="1" outlineLevel="3" x14ac:dyDescent="0.2">
      <c r="A13343" s="14" t="s">
        <v>26240</v>
      </c>
      <c r="B13343" s="15" t="s">
        <v>26241</v>
      </c>
      <c r="C13343" s="16">
        <f>732.22/(1+B2)</f>
        <v>732.22</v>
      </c>
      <c r="D13343" s="17" t="s">
        <v>11</v>
      </c>
      <c r="E13343" s="17"/>
      <c r="F13343" s="18"/>
      <c r="G13343" s="36" t="str">
        <f>IF(ISNUMBER(F13343),C13343*F13343,"")</f>
        <v/>
      </c>
    </row>
    <row r="13344" spans="1:7" ht="12" customHeight="1" outlineLevel="3" x14ac:dyDescent="0.2">
      <c r="A13344" s="14" t="s">
        <v>26242</v>
      </c>
      <c r="B13344" s="15" t="s">
        <v>26243</v>
      </c>
      <c r="C13344" s="19">
        <f>1377.12/(1+B2)</f>
        <v>1377.12</v>
      </c>
      <c r="D13344" s="17" t="s">
        <v>11</v>
      </c>
      <c r="E13344" s="17"/>
      <c r="F13344" s="18"/>
      <c r="G13344" s="36" t="str">
        <f>IF(ISNUMBER(F13344),C13344*F13344,"")</f>
        <v/>
      </c>
    </row>
    <row r="13345" spans="1:7" ht="12" customHeight="1" outlineLevel="3" x14ac:dyDescent="0.2">
      <c r="A13345" s="14" t="s">
        <v>26244</v>
      </c>
      <c r="B13345" s="15" t="s">
        <v>26245</v>
      </c>
      <c r="C13345" s="16">
        <f>571.2/(1+B2)</f>
        <v>571.20000000000005</v>
      </c>
      <c r="D13345" s="17" t="s">
        <v>11</v>
      </c>
      <c r="E13345" s="17"/>
      <c r="F13345" s="18"/>
      <c r="G13345" s="36" t="str">
        <f>IF(ISNUMBER(F13345),C13345*F13345,"")</f>
        <v/>
      </c>
    </row>
    <row r="13346" spans="1:7" s="1" customFormat="1" ht="12.95" customHeight="1" outlineLevel="2" x14ac:dyDescent="0.2">
      <c r="A13346" s="20"/>
      <c r="B13346" s="21" t="s">
        <v>26246</v>
      </c>
      <c r="C13346" s="22"/>
      <c r="D13346" s="22"/>
      <c r="E13346" s="22"/>
      <c r="F13346" s="22"/>
      <c r="G13346" s="37"/>
    </row>
    <row r="13347" spans="1:7" ht="12" customHeight="1" outlineLevel="3" x14ac:dyDescent="0.2">
      <c r="A13347" s="14" t="s">
        <v>26247</v>
      </c>
      <c r="B13347" s="15" t="s">
        <v>26248</v>
      </c>
      <c r="C13347" s="16">
        <f>299.65/(1+B2)</f>
        <v>299.64999999999998</v>
      </c>
      <c r="D13347" s="17" t="s">
        <v>11</v>
      </c>
      <c r="E13347" s="17"/>
      <c r="F13347" s="18"/>
      <c r="G13347" s="36" t="str">
        <f>IF(ISNUMBER(F13347),C13347*F13347,"")</f>
        <v/>
      </c>
    </row>
    <row r="13348" spans="1:7" ht="12" customHeight="1" outlineLevel="3" x14ac:dyDescent="0.2">
      <c r="A13348" s="14" t="s">
        <v>26249</v>
      </c>
      <c r="B13348" s="15" t="s">
        <v>26250</v>
      </c>
      <c r="C13348" s="19">
        <f>1081.07/(1+B2)</f>
        <v>1081.07</v>
      </c>
      <c r="D13348" s="17" t="s">
        <v>11</v>
      </c>
      <c r="E13348" s="17"/>
      <c r="F13348" s="18"/>
      <c r="G13348" s="36" t="str">
        <f>IF(ISNUMBER(F13348),C13348*F13348,"")</f>
        <v/>
      </c>
    </row>
    <row r="13349" spans="1:7" ht="24" customHeight="1" outlineLevel="3" x14ac:dyDescent="0.2">
      <c r="A13349" s="14" t="s">
        <v>26251</v>
      </c>
      <c r="B13349" s="15" t="s">
        <v>26252</v>
      </c>
      <c r="C13349" s="16">
        <f>884.45/(1+B2)</f>
        <v>884.45</v>
      </c>
      <c r="D13349" s="17" t="s">
        <v>11</v>
      </c>
      <c r="E13349" s="17"/>
      <c r="F13349" s="18"/>
      <c r="G13349" s="36" t="str">
        <f>IF(ISNUMBER(F13349),C13349*F13349,"")</f>
        <v/>
      </c>
    </row>
    <row r="13350" spans="1:7" ht="12" customHeight="1" outlineLevel="3" x14ac:dyDescent="0.2">
      <c r="A13350" s="14" t="s">
        <v>26253</v>
      </c>
      <c r="B13350" s="15" t="s">
        <v>26254</v>
      </c>
      <c r="C13350" s="19">
        <f>1095.82/(1+B2)</f>
        <v>1095.82</v>
      </c>
      <c r="D13350" s="17" t="s">
        <v>11</v>
      </c>
      <c r="E13350" s="17"/>
      <c r="F13350" s="18"/>
      <c r="G13350" s="36" t="str">
        <f>IF(ISNUMBER(F13350),C13350*F13350,"")</f>
        <v/>
      </c>
    </row>
    <row r="13351" spans="1:7" ht="12" customHeight="1" outlineLevel="3" x14ac:dyDescent="0.2">
      <c r="A13351" s="14" t="s">
        <v>26255</v>
      </c>
      <c r="B13351" s="15" t="s">
        <v>26256</v>
      </c>
      <c r="C13351" s="16">
        <f>513.67/(1+B2)</f>
        <v>513.66999999999996</v>
      </c>
      <c r="D13351" s="17" t="s">
        <v>11</v>
      </c>
      <c r="E13351" s="17"/>
      <c r="F13351" s="18"/>
      <c r="G13351" s="36" t="str">
        <f>IF(ISNUMBER(F13351),C13351*F13351,"")</f>
        <v/>
      </c>
    </row>
    <row r="13352" spans="1:7" ht="24" customHeight="1" outlineLevel="3" x14ac:dyDescent="0.2">
      <c r="A13352" s="14" t="s">
        <v>26257</v>
      </c>
      <c r="B13352" s="15" t="s">
        <v>26258</v>
      </c>
      <c r="C13352" s="16">
        <f>972.27/(1+B2)</f>
        <v>972.27</v>
      </c>
      <c r="D13352" s="17" t="s">
        <v>11</v>
      </c>
      <c r="E13352" s="17" t="s">
        <v>11</v>
      </c>
      <c r="F13352" s="18"/>
      <c r="G13352" s="36" t="str">
        <f>IF(ISNUMBER(F13352),C13352*F13352,"")</f>
        <v/>
      </c>
    </row>
    <row r="13353" spans="1:7" ht="12" customHeight="1" outlineLevel="3" x14ac:dyDescent="0.2">
      <c r="A13353" s="14" t="s">
        <v>26259</v>
      </c>
      <c r="B13353" s="15" t="s">
        <v>26260</v>
      </c>
      <c r="C13353" s="16">
        <f>544.57/(1+B2)</f>
        <v>544.57000000000005</v>
      </c>
      <c r="D13353" s="17" t="s">
        <v>11</v>
      </c>
      <c r="E13353" s="17"/>
      <c r="F13353" s="18"/>
      <c r="G13353" s="36" t="str">
        <f>IF(ISNUMBER(F13353),C13353*F13353,"")</f>
        <v/>
      </c>
    </row>
    <row r="13354" spans="1:7" ht="12" customHeight="1" outlineLevel="3" x14ac:dyDescent="0.2">
      <c r="A13354" s="14" t="s">
        <v>26261</v>
      </c>
      <c r="B13354" s="15" t="s">
        <v>26262</v>
      </c>
      <c r="C13354" s="16">
        <f>547.24/(1+B2)</f>
        <v>547.24</v>
      </c>
      <c r="D13354" s="17" t="s">
        <v>11</v>
      </c>
      <c r="E13354" s="17"/>
      <c r="F13354" s="18"/>
      <c r="G13354" s="36" t="str">
        <f>IF(ISNUMBER(F13354),C13354*F13354,"")</f>
        <v/>
      </c>
    </row>
    <row r="13355" spans="1:7" ht="12" customHeight="1" outlineLevel="3" x14ac:dyDescent="0.2">
      <c r="A13355" s="14" t="s">
        <v>26263</v>
      </c>
      <c r="B13355" s="15" t="s">
        <v>26264</v>
      </c>
      <c r="C13355" s="19">
        <f>2206.74/(1+B2)</f>
        <v>2206.7399999999998</v>
      </c>
      <c r="D13355" s="17" t="s">
        <v>11</v>
      </c>
      <c r="E13355" s="17"/>
      <c r="F13355" s="18"/>
      <c r="G13355" s="36" t="str">
        <f>IF(ISNUMBER(F13355),C13355*F13355,"")</f>
        <v/>
      </c>
    </row>
    <row r="13356" spans="1:7" ht="12" customHeight="1" outlineLevel="3" x14ac:dyDescent="0.2">
      <c r="A13356" s="14" t="s">
        <v>26265</v>
      </c>
      <c r="B13356" s="15" t="s">
        <v>26266</v>
      </c>
      <c r="C13356" s="16">
        <f>478.81/(1+B2)</f>
        <v>478.81</v>
      </c>
      <c r="D13356" s="17" t="s">
        <v>11</v>
      </c>
      <c r="E13356" s="17"/>
      <c r="F13356" s="18"/>
      <c r="G13356" s="36" t="str">
        <f>IF(ISNUMBER(F13356),C13356*F13356,"")</f>
        <v/>
      </c>
    </row>
    <row r="13357" spans="1:7" ht="12" customHeight="1" outlineLevel="3" x14ac:dyDescent="0.2">
      <c r="A13357" s="14" t="s">
        <v>26267</v>
      </c>
      <c r="B13357" s="15" t="s">
        <v>26268</v>
      </c>
      <c r="C13357" s="19">
        <f>2333.79/(1+B2)</f>
        <v>2333.79</v>
      </c>
      <c r="D13357" s="17" t="s">
        <v>11</v>
      </c>
      <c r="E13357" s="17"/>
      <c r="F13357" s="18"/>
      <c r="G13357" s="36" t="str">
        <f>IF(ISNUMBER(F13357),C13357*F13357,"")</f>
        <v/>
      </c>
    </row>
    <row r="13358" spans="1:7" ht="12" customHeight="1" outlineLevel="3" x14ac:dyDescent="0.2">
      <c r="A13358" s="14" t="s">
        <v>26269</v>
      </c>
      <c r="B13358" s="15" t="s">
        <v>26270</v>
      </c>
      <c r="C13358" s="16">
        <f>550.45/(1+B2)</f>
        <v>550.45000000000005</v>
      </c>
      <c r="D13358" s="17" t="s">
        <v>11</v>
      </c>
      <c r="E13358" s="17"/>
      <c r="F13358" s="18"/>
      <c r="G13358" s="36" t="str">
        <f>IF(ISNUMBER(F13358),C13358*F13358,"")</f>
        <v/>
      </c>
    </row>
    <row r="13359" spans="1:7" ht="12" customHeight="1" outlineLevel="3" x14ac:dyDescent="0.2">
      <c r="A13359" s="14" t="s">
        <v>26271</v>
      </c>
      <c r="B13359" s="15" t="s">
        <v>26272</v>
      </c>
      <c r="C13359" s="16">
        <f>627.63/(1+B2)</f>
        <v>627.63</v>
      </c>
      <c r="D13359" s="17" t="s">
        <v>11</v>
      </c>
      <c r="E13359" s="17"/>
      <c r="F13359" s="18"/>
      <c r="G13359" s="36" t="str">
        <f>IF(ISNUMBER(F13359),C13359*F13359,"")</f>
        <v/>
      </c>
    </row>
    <row r="13360" spans="1:7" ht="12" customHeight="1" outlineLevel="3" x14ac:dyDescent="0.2">
      <c r="A13360" s="14" t="s">
        <v>26273</v>
      </c>
      <c r="B13360" s="15" t="s">
        <v>26274</v>
      </c>
      <c r="C13360" s="16">
        <f>597.86/(1+B2)</f>
        <v>597.86</v>
      </c>
      <c r="D13360" s="17" t="s">
        <v>11</v>
      </c>
      <c r="E13360" s="17"/>
      <c r="F13360" s="18"/>
      <c r="G13360" s="36" t="str">
        <f>IF(ISNUMBER(F13360),C13360*F13360,"")</f>
        <v/>
      </c>
    </row>
    <row r="13361" spans="1:7" ht="24" customHeight="1" outlineLevel="3" x14ac:dyDescent="0.2">
      <c r="A13361" s="14" t="s">
        <v>26275</v>
      </c>
      <c r="B13361" s="15" t="s">
        <v>26276</v>
      </c>
      <c r="C13361" s="16">
        <f>173.8/(1+B2)</f>
        <v>173.8</v>
      </c>
      <c r="D13361" s="17" t="s">
        <v>11</v>
      </c>
      <c r="E13361" s="17"/>
      <c r="F13361" s="18"/>
      <c r="G13361" s="36" t="str">
        <f>IF(ISNUMBER(F13361),C13361*F13361,"")</f>
        <v/>
      </c>
    </row>
    <row r="13362" spans="1:7" ht="12" customHeight="1" outlineLevel="3" x14ac:dyDescent="0.2">
      <c r="A13362" s="14" t="s">
        <v>26277</v>
      </c>
      <c r="B13362" s="15" t="s">
        <v>26278</v>
      </c>
      <c r="C13362" s="16">
        <f>659.24/(1+B2)</f>
        <v>659.24</v>
      </c>
      <c r="D13362" s="17" t="s">
        <v>11</v>
      </c>
      <c r="E13362" s="17"/>
      <c r="F13362" s="18"/>
      <c r="G13362" s="36" t="str">
        <f>IF(ISNUMBER(F13362),C13362*F13362,"")</f>
        <v/>
      </c>
    </row>
    <row r="13363" spans="1:7" ht="12" customHeight="1" outlineLevel="3" x14ac:dyDescent="0.2">
      <c r="A13363" s="14" t="s">
        <v>26279</v>
      </c>
      <c r="B13363" s="15" t="s">
        <v>26280</v>
      </c>
      <c r="C13363" s="19">
        <f>2220.24/(1+B2)</f>
        <v>2220.2399999999998</v>
      </c>
      <c r="D13363" s="17" t="s">
        <v>11</v>
      </c>
      <c r="E13363" s="17"/>
      <c r="F13363" s="18"/>
      <c r="G13363" s="36" t="str">
        <f>IF(ISNUMBER(F13363),C13363*F13363,"")</f>
        <v/>
      </c>
    </row>
    <row r="13364" spans="1:7" ht="12" customHeight="1" outlineLevel="3" x14ac:dyDescent="0.2">
      <c r="A13364" s="14" t="s">
        <v>26281</v>
      </c>
      <c r="B13364" s="15" t="s">
        <v>26282</v>
      </c>
      <c r="C13364" s="16">
        <f>139.07/(1+B2)</f>
        <v>139.07</v>
      </c>
      <c r="D13364" s="17" t="s">
        <v>11</v>
      </c>
      <c r="E13364" s="17"/>
      <c r="F13364" s="18"/>
      <c r="G13364" s="36" t="str">
        <f>IF(ISNUMBER(F13364),C13364*F13364,"")</f>
        <v/>
      </c>
    </row>
    <row r="13365" spans="1:7" ht="12" customHeight="1" outlineLevel="3" x14ac:dyDescent="0.2">
      <c r="A13365" s="14" t="s">
        <v>26283</v>
      </c>
      <c r="B13365" s="15" t="s">
        <v>26284</v>
      </c>
      <c r="C13365" s="16">
        <f>122.58/(1+B2)</f>
        <v>122.58</v>
      </c>
      <c r="D13365" s="17" t="s">
        <v>11</v>
      </c>
      <c r="E13365" s="17"/>
      <c r="F13365" s="18"/>
      <c r="G13365" s="36" t="str">
        <f>IF(ISNUMBER(F13365),C13365*F13365,"")</f>
        <v/>
      </c>
    </row>
    <row r="13366" spans="1:7" ht="12" customHeight="1" outlineLevel="3" x14ac:dyDescent="0.2">
      <c r="A13366" s="14" t="s">
        <v>26285</v>
      </c>
      <c r="B13366" s="15" t="s">
        <v>26286</v>
      </c>
      <c r="C13366" s="16">
        <f>773.26/(1+B2)</f>
        <v>773.26</v>
      </c>
      <c r="D13366" s="17" t="s">
        <v>11</v>
      </c>
      <c r="E13366" s="17"/>
      <c r="F13366" s="18"/>
      <c r="G13366" s="36" t="str">
        <f>IF(ISNUMBER(F13366),C13366*F13366,"")</f>
        <v/>
      </c>
    </row>
    <row r="13367" spans="1:7" ht="12" customHeight="1" outlineLevel="3" x14ac:dyDescent="0.2">
      <c r="A13367" s="14" t="s">
        <v>26287</v>
      </c>
      <c r="B13367" s="15" t="s">
        <v>26288</v>
      </c>
      <c r="C13367" s="16">
        <f>459.4/(1+B2)</f>
        <v>459.4</v>
      </c>
      <c r="D13367" s="17" t="s">
        <v>11</v>
      </c>
      <c r="E13367" s="17"/>
      <c r="F13367" s="18"/>
      <c r="G13367" s="36" t="str">
        <f>IF(ISNUMBER(F13367),C13367*F13367,"")</f>
        <v/>
      </c>
    </row>
    <row r="13368" spans="1:7" ht="12" customHeight="1" outlineLevel="3" x14ac:dyDescent="0.2">
      <c r="A13368" s="14" t="s">
        <v>26289</v>
      </c>
      <c r="B13368" s="15" t="s">
        <v>26290</v>
      </c>
      <c r="C13368" s="16">
        <f>471.73/(1+B2)</f>
        <v>471.73</v>
      </c>
      <c r="D13368" s="17" t="s">
        <v>11</v>
      </c>
      <c r="E13368" s="17"/>
      <c r="F13368" s="18"/>
      <c r="G13368" s="36" t="str">
        <f>IF(ISNUMBER(F13368),C13368*F13368,"")</f>
        <v/>
      </c>
    </row>
    <row r="13369" spans="1:7" ht="12" customHeight="1" outlineLevel="3" x14ac:dyDescent="0.2">
      <c r="A13369" s="14" t="s">
        <v>26291</v>
      </c>
      <c r="B13369" s="15" t="s">
        <v>26292</v>
      </c>
      <c r="C13369" s="16">
        <f>865.31/(1+B2)</f>
        <v>865.31</v>
      </c>
      <c r="D13369" s="17" t="s">
        <v>11</v>
      </c>
      <c r="E13369" s="17"/>
      <c r="F13369" s="18"/>
      <c r="G13369" s="36" t="str">
        <f>IF(ISNUMBER(F13369),C13369*F13369,"")</f>
        <v/>
      </c>
    </row>
    <row r="13370" spans="1:7" ht="12" customHeight="1" outlineLevel="3" x14ac:dyDescent="0.2">
      <c r="A13370" s="14" t="s">
        <v>26293</v>
      </c>
      <c r="B13370" s="15" t="s">
        <v>26294</v>
      </c>
      <c r="C13370" s="16">
        <f>886.16/(1+B2)</f>
        <v>886.16</v>
      </c>
      <c r="D13370" s="17" t="s">
        <v>11</v>
      </c>
      <c r="E13370" s="17"/>
      <c r="F13370" s="18"/>
      <c r="G13370" s="36" t="str">
        <f>IF(ISNUMBER(F13370),C13370*F13370,"")</f>
        <v/>
      </c>
    </row>
    <row r="13371" spans="1:7" ht="24" customHeight="1" outlineLevel="3" x14ac:dyDescent="0.2">
      <c r="A13371" s="14" t="s">
        <v>26295</v>
      </c>
      <c r="B13371" s="15" t="s">
        <v>26296</v>
      </c>
      <c r="C13371" s="16">
        <f>568.78/(1+B2)</f>
        <v>568.78</v>
      </c>
      <c r="D13371" s="17" t="s">
        <v>11</v>
      </c>
      <c r="E13371" s="17"/>
      <c r="F13371" s="18"/>
      <c r="G13371" s="36" t="str">
        <f>IF(ISNUMBER(F13371),C13371*F13371,"")</f>
        <v/>
      </c>
    </row>
    <row r="13372" spans="1:7" s="1" customFormat="1" ht="15.95" customHeight="1" outlineLevel="1" x14ac:dyDescent="0.25">
      <c r="A13372" s="11"/>
      <c r="B13372" s="12" t="s">
        <v>26297</v>
      </c>
      <c r="C13372" s="13"/>
      <c r="D13372" s="13"/>
      <c r="E13372" s="13"/>
      <c r="F13372" s="13"/>
      <c r="G13372" s="35"/>
    </row>
    <row r="13373" spans="1:7" ht="12" customHeight="1" outlineLevel="2" x14ac:dyDescent="0.2">
      <c r="A13373" s="14" t="s">
        <v>26298</v>
      </c>
      <c r="B13373" s="15" t="s">
        <v>26299</v>
      </c>
      <c r="C13373" s="16">
        <f>173.26/(1+B2)</f>
        <v>173.26</v>
      </c>
      <c r="D13373" s="17" t="s">
        <v>11</v>
      </c>
      <c r="E13373" s="17"/>
      <c r="F13373" s="18"/>
      <c r="G13373" s="36" t="str">
        <f>IF(ISNUMBER(F13373),C13373*F13373,"")</f>
        <v/>
      </c>
    </row>
    <row r="13374" spans="1:7" ht="12" customHeight="1" outlineLevel="2" x14ac:dyDescent="0.2">
      <c r="A13374" s="14" t="s">
        <v>26300</v>
      </c>
      <c r="B13374" s="15" t="s">
        <v>26301</v>
      </c>
      <c r="C13374" s="16">
        <f>282.06/(1+B2)</f>
        <v>282.06</v>
      </c>
      <c r="D13374" s="17" t="s">
        <v>11</v>
      </c>
      <c r="E13374" s="17"/>
      <c r="F13374" s="18"/>
      <c r="G13374" s="36" t="str">
        <f>IF(ISNUMBER(F13374),C13374*F13374,"")</f>
        <v/>
      </c>
    </row>
    <row r="13375" spans="1:7" ht="12" customHeight="1" outlineLevel="2" x14ac:dyDescent="0.2">
      <c r="A13375" s="14" t="s">
        <v>26302</v>
      </c>
      <c r="B13375" s="15" t="s">
        <v>26303</v>
      </c>
      <c r="C13375" s="16">
        <f>333.65/(1+B2)</f>
        <v>333.65</v>
      </c>
      <c r="D13375" s="17" t="s">
        <v>11</v>
      </c>
      <c r="E13375" s="17"/>
      <c r="F13375" s="18"/>
      <c r="G13375" s="36" t="str">
        <f>IF(ISNUMBER(F13375),C13375*F13375,"")</f>
        <v/>
      </c>
    </row>
    <row r="13376" spans="1:7" ht="12" customHeight="1" outlineLevel="2" x14ac:dyDescent="0.2">
      <c r="A13376" s="14" t="s">
        <v>26304</v>
      </c>
      <c r="B13376" s="15" t="s">
        <v>26305</v>
      </c>
      <c r="C13376" s="16">
        <f>363.68/(1+B2)</f>
        <v>363.68</v>
      </c>
      <c r="D13376" s="17" t="s">
        <v>11</v>
      </c>
      <c r="E13376" s="17"/>
      <c r="F13376" s="18"/>
      <c r="G13376" s="36" t="str">
        <f>IF(ISNUMBER(F13376),C13376*F13376,"")</f>
        <v/>
      </c>
    </row>
    <row r="13377" spans="1:7" ht="24" customHeight="1" outlineLevel="2" x14ac:dyDescent="0.2">
      <c r="A13377" s="14" t="s">
        <v>26306</v>
      </c>
      <c r="B13377" s="15" t="s">
        <v>26307</v>
      </c>
      <c r="C13377" s="16">
        <f>654.4/(1+B2)</f>
        <v>654.4</v>
      </c>
      <c r="D13377" s="17" t="s">
        <v>11</v>
      </c>
      <c r="E13377" s="17"/>
      <c r="F13377" s="18"/>
      <c r="G13377" s="36" t="str">
        <f>IF(ISNUMBER(F13377),C13377*F13377,"")</f>
        <v/>
      </c>
    </row>
    <row r="13378" spans="1:7" ht="24" customHeight="1" outlineLevel="2" x14ac:dyDescent="0.2">
      <c r="A13378" s="14" t="s">
        <v>26308</v>
      </c>
      <c r="B13378" s="15" t="s">
        <v>26309</v>
      </c>
      <c r="C13378" s="16">
        <f>737.78/(1+B2)</f>
        <v>737.78</v>
      </c>
      <c r="D13378" s="17" t="s">
        <v>11</v>
      </c>
      <c r="E13378" s="17"/>
      <c r="F13378" s="18"/>
      <c r="G13378" s="36" t="str">
        <f>IF(ISNUMBER(F13378),C13378*F13378,"")</f>
        <v/>
      </c>
    </row>
    <row r="13379" spans="1:7" ht="12" customHeight="1" outlineLevel="2" x14ac:dyDescent="0.2">
      <c r="A13379" s="14" t="s">
        <v>26310</v>
      </c>
      <c r="B13379" s="15" t="s">
        <v>26311</v>
      </c>
      <c r="C13379" s="16">
        <f>274.25/(1+B2)</f>
        <v>274.25</v>
      </c>
      <c r="D13379" s="17" t="s">
        <v>11</v>
      </c>
      <c r="E13379" s="17"/>
      <c r="F13379" s="18"/>
      <c r="G13379" s="36" t="str">
        <f>IF(ISNUMBER(F13379),C13379*F13379,"")</f>
        <v/>
      </c>
    </row>
    <row r="13380" spans="1:7" ht="12" customHeight="1" outlineLevel="2" x14ac:dyDescent="0.2">
      <c r="A13380" s="14" t="s">
        <v>26312</v>
      </c>
      <c r="B13380" s="15" t="s">
        <v>26313</v>
      </c>
      <c r="C13380" s="16">
        <f>311.33/(1+B2)</f>
        <v>311.33</v>
      </c>
      <c r="D13380" s="17" t="s">
        <v>11</v>
      </c>
      <c r="E13380" s="17"/>
      <c r="F13380" s="18"/>
      <c r="G13380" s="36" t="str">
        <f>IF(ISNUMBER(F13380),C13380*F13380,"")</f>
        <v/>
      </c>
    </row>
    <row r="13381" spans="1:7" ht="12" customHeight="1" outlineLevel="2" x14ac:dyDescent="0.2">
      <c r="A13381" s="14" t="s">
        <v>26314</v>
      </c>
      <c r="B13381" s="15" t="s">
        <v>26315</v>
      </c>
      <c r="C13381" s="16">
        <f>346.4/(1+B2)</f>
        <v>346.4</v>
      </c>
      <c r="D13381" s="17" t="s">
        <v>11</v>
      </c>
      <c r="E13381" s="17"/>
      <c r="F13381" s="18"/>
      <c r="G13381" s="36" t="str">
        <f>IF(ISNUMBER(F13381),C13381*F13381,"")</f>
        <v/>
      </c>
    </row>
    <row r="13382" spans="1:7" ht="12" customHeight="1" outlineLevel="2" x14ac:dyDescent="0.2">
      <c r="A13382" s="14" t="s">
        <v>26316</v>
      </c>
      <c r="B13382" s="15" t="s">
        <v>26317</v>
      </c>
      <c r="C13382" s="16">
        <f>208.53/(1+B2)</f>
        <v>208.53</v>
      </c>
      <c r="D13382" s="17" t="s">
        <v>11</v>
      </c>
      <c r="E13382" s="17"/>
      <c r="F13382" s="18"/>
      <c r="G13382" s="36" t="str">
        <f>IF(ISNUMBER(F13382),C13382*F13382,"")</f>
        <v/>
      </c>
    </row>
    <row r="13383" spans="1:7" ht="12" customHeight="1" outlineLevel="2" x14ac:dyDescent="0.2">
      <c r="A13383" s="14" t="s">
        <v>26318</v>
      </c>
      <c r="B13383" s="15" t="s">
        <v>26319</v>
      </c>
      <c r="C13383" s="16">
        <f>281.74/(1+B2)</f>
        <v>281.74</v>
      </c>
      <c r="D13383" s="17" t="s">
        <v>11</v>
      </c>
      <c r="E13383" s="17"/>
      <c r="F13383" s="18"/>
      <c r="G13383" s="36" t="str">
        <f>IF(ISNUMBER(F13383),C13383*F13383,"")</f>
        <v/>
      </c>
    </row>
    <row r="13384" spans="1:7" ht="12" customHeight="1" outlineLevel="2" x14ac:dyDescent="0.2">
      <c r="A13384" s="14" t="s">
        <v>26320</v>
      </c>
      <c r="B13384" s="15" t="s">
        <v>26321</v>
      </c>
      <c r="C13384" s="16">
        <f>213.85/(1+B2)</f>
        <v>213.85</v>
      </c>
      <c r="D13384" s="17" t="s">
        <v>11</v>
      </c>
      <c r="E13384" s="17"/>
      <c r="F13384" s="18"/>
      <c r="G13384" s="36" t="str">
        <f>IF(ISNUMBER(F13384),C13384*F13384,"")</f>
        <v/>
      </c>
    </row>
    <row r="13385" spans="1:7" ht="12" customHeight="1" outlineLevel="2" x14ac:dyDescent="0.2">
      <c r="A13385" s="14" t="s">
        <v>26322</v>
      </c>
      <c r="B13385" s="15" t="s">
        <v>26323</v>
      </c>
      <c r="C13385" s="16">
        <f>246.48/(1+B2)</f>
        <v>246.48</v>
      </c>
      <c r="D13385" s="17" t="s">
        <v>11</v>
      </c>
      <c r="E13385" s="17"/>
      <c r="F13385" s="18"/>
      <c r="G13385" s="36" t="str">
        <f>IF(ISNUMBER(F13385),C13385*F13385,"")</f>
        <v/>
      </c>
    </row>
    <row r="13386" spans="1:7" ht="12" customHeight="1" outlineLevel="2" x14ac:dyDescent="0.2">
      <c r="A13386" s="14" t="s">
        <v>26324</v>
      </c>
      <c r="B13386" s="15" t="s">
        <v>26325</v>
      </c>
      <c r="C13386" s="16">
        <f>301.6/(1+B2)</f>
        <v>301.60000000000002</v>
      </c>
      <c r="D13386" s="17" t="s">
        <v>11</v>
      </c>
      <c r="E13386" s="17"/>
      <c r="F13386" s="18"/>
      <c r="G13386" s="36" t="str">
        <f>IF(ISNUMBER(F13386),C13386*F13386,"")</f>
        <v/>
      </c>
    </row>
    <row r="13387" spans="1:7" ht="12" customHeight="1" outlineLevel="2" x14ac:dyDescent="0.2">
      <c r="A13387" s="14" t="s">
        <v>26326</v>
      </c>
      <c r="B13387" s="15" t="s">
        <v>26327</v>
      </c>
      <c r="C13387" s="16">
        <f>323.98/(1+B2)</f>
        <v>323.98</v>
      </c>
      <c r="D13387" s="17" t="s">
        <v>11</v>
      </c>
      <c r="E13387" s="17"/>
      <c r="F13387" s="18"/>
      <c r="G13387" s="36" t="str">
        <f>IF(ISNUMBER(F13387),C13387*F13387,"")</f>
        <v/>
      </c>
    </row>
    <row r="13388" spans="1:7" ht="12" customHeight="1" outlineLevel="2" x14ac:dyDescent="0.2">
      <c r="A13388" s="14" t="s">
        <v>26328</v>
      </c>
      <c r="B13388" s="15" t="s">
        <v>26329</v>
      </c>
      <c r="C13388" s="16">
        <f>263.63/(1+B2)</f>
        <v>263.63</v>
      </c>
      <c r="D13388" s="17" t="s">
        <v>11</v>
      </c>
      <c r="E13388" s="17"/>
      <c r="F13388" s="18"/>
      <c r="G13388" s="36" t="str">
        <f>IF(ISNUMBER(F13388),C13388*F13388,"")</f>
        <v/>
      </c>
    </row>
    <row r="13389" spans="1:7" ht="12" customHeight="1" outlineLevel="2" x14ac:dyDescent="0.2">
      <c r="A13389" s="14" t="s">
        <v>26330</v>
      </c>
      <c r="B13389" s="15" t="s">
        <v>26331</v>
      </c>
      <c r="C13389" s="16">
        <f>274.82/(1+B2)</f>
        <v>274.82</v>
      </c>
      <c r="D13389" s="17" t="s">
        <v>11</v>
      </c>
      <c r="E13389" s="17"/>
      <c r="F13389" s="18"/>
      <c r="G13389" s="36" t="str">
        <f>IF(ISNUMBER(F13389),C13389*F13389,"")</f>
        <v/>
      </c>
    </row>
    <row r="13390" spans="1:7" ht="12" customHeight="1" outlineLevel="2" x14ac:dyDescent="0.2">
      <c r="A13390" s="14" t="s">
        <v>26332</v>
      </c>
      <c r="B13390" s="15" t="s">
        <v>26333</v>
      </c>
      <c r="C13390" s="16">
        <f>371.55/(1+B2)</f>
        <v>371.55</v>
      </c>
      <c r="D13390" s="17" t="s">
        <v>11</v>
      </c>
      <c r="E13390" s="17"/>
      <c r="F13390" s="18"/>
      <c r="G13390" s="36" t="str">
        <f>IF(ISNUMBER(F13390),C13390*F13390,"")</f>
        <v/>
      </c>
    </row>
    <row r="13391" spans="1:7" ht="12" customHeight="1" outlineLevel="2" x14ac:dyDescent="0.2">
      <c r="A13391" s="14" t="s">
        <v>26334</v>
      </c>
      <c r="B13391" s="15" t="s">
        <v>26335</v>
      </c>
      <c r="C13391" s="16">
        <f>190.36/(1+B2)</f>
        <v>190.36</v>
      </c>
      <c r="D13391" s="17" t="s">
        <v>11</v>
      </c>
      <c r="E13391" s="17"/>
      <c r="F13391" s="18"/>
      <c r="G13391" s="36" t="str">
        <f>IF(ISNUMBER(F13391),C13391*F13391,"")</f>
        <v/>
      </c>
    </row>
    <row r="13392" spans="1:7" ht="12" customHeight="1" outlineLevel="2" x14ac:dyDescent="0.2">
      <c r="A13392" s="14" t="s">
        <v>26336</v>
      </c>
      <c r="B13392" s="15" t="s">
        <v>26337</v>
      </c>
      <c r="C13392" s="16">
        <f>215.74/(1+B2)</f>
        <v>215.74</v>
      </c>
      <c r="D13392" s="17" t="s">
        <v>11</v>
      </c>
      <c r="E13392" s="17"/>
      <c r="F13392" s="18"/>
      <c r="G13392" s="36" t="str">
        <f>IF(ISNUMBER(F13392),C13392*F13392,"")</f>
        <v/>
      </c>
    </row>
    <row r="13393" spans="1:7" ht="12" customHeight="1" outlineLevel="2" x14ac:dyDescent="0.2">
      <c r="A13393" s="14" t="s">
        <v>26338</v>
      </c>
      <c r="B13393" s="15" t="s">
        <v>26339</v>
      </c>
      <c r="C13393" s="16">
        <f>262.9/(1+B2)</f>
        <v>262.89999999999998</v>
      </c>
      <c r="D13393" s="17" t="s">
        <v>11</v>
      </c>
      <c r="E13393" s="17"/>
      <c r="F13393" s="18"/>
      <c r="G13393" s="36" t="str">
        <f>IF(ISNUMBER(F13393),C13393*F13393,"")</f>
        <v/>
      </c>
    </row>
    <row r="13394" spans="1:7" ht="12" customHeight="1" outlineLevel="2" x14ac:dyDescent="0.2">
      <c r="A13394" s="14" t="s">
        <v>26340</v>
      </c>
      <c r="B13394" s="15" t="s">
        <v>26341</v>
      </c>
      <c r="C13394" s="16">
        <f>195.1/(1+B2)</f>
        <v>195.1</v>
      </c>
      <c r="D13394" s="17" t="s">
        <v>11</v>
      </c>
      <c r="E13394" s="17"/>
      <c r="F13394" s="18"/>
      <c r="G13394" s="36" t="str">
        <f>IF(ISNUMBER(F13394),C13394*F13394,"")</f>
        <v/>
      </c>
    </row>
    <row r="13395" spans="1:7" ht="12" customHeight="1" outlineLevel="2" x14ac:dyDescent="0.2">
      <c r="A13395" s="14" t="s">
        <v>26342</v>
      </c>
      <c r="B13395" s="15" t="s">
        <v>26343</v>
      </c>
      <c r="C13395" s="16">
        <f>324.25/(1+B2)</f>
        <v>324.25</v>
      </c>
      <c r="D13395" s="17" t="s">
        <v>11</v>
      </c>
      <c r="E13395" s="17"/>
      <c r="F13395" s="18"/>
      <c r="G13395" s="36" t="str">
        <f>IF(ISNUMBER(F13395),C13395*F13395,"")</f>
        <v/>
      </c>
    </row>
    <row r="13396" spans="1:7" ht="12" customHeight="1" outlineLevel="2" x14ac:dyDescent="0.2">
      <c r="A13396" s="14" t="s">
        <v>26344</v>
      </c>
      <c r="B13396" s="15" t="s">
        <v>26345</v>
      </c>
      <c r="C13396" s="16">
        <f>245.81/(1+B2)</f>
        <v>245.81</v>
      </c>
      <c r="D13396" s="17" t="s">
        <v>11</v>
      </c>
      <c r="E13396" s="17"/>
      <c r="F13396" s="18"/>
      <c r="G13396" s="36" t="str">
        <f>IF(ISNUMBER(F13396),C13396*F13396,"")</f>
        <v/>
      </c>
    </row>
    <row r="13397" spans="1:7" ht="12" customHeight="1" outlineLevel="2" x14ac:dyDescent="0.2">
      <c r="A13397" s="14" t="s">
        <v>26346</v>
      </c>
      <c r="B13397" s="15" t="s">
        <v>26347</v>
      </c>
      <c r="C13397" s="16">
        <f>157.85/(1+B2)</f>
        <v>157.85</v>
      </c>
      <c r="D13397" s="17" t="s">
        <v>11</v>
      </c>
      <c r="E13397" s="17"/>
      <c r="F13397" s="18"/>
      <c r="G13397" s="36" t="str">
        <f>IF(ISNUMBER(F13397),C13397*F13397,"")</f>
        <v/>
      </c>
    </row>
    <row r="13398" spans="1:7" ht="24" customHeight="1" outlineLevel="2" x14ac:dyDescent="0.2">
      <c r="A13398" s="14" t="s">
        <v>26348</v>
      </c>
      <c r="B13398" s="15" t="s">
        <v>26349</v>
      </c>
      <c r="C13398" s="16">
        <f>381.89/(1+B2)</f>
        <v>381.89</v>
      </c>
      <c r="D13398" s="17" t="s">
        <v>11</v>
      </c>
      <c r="E13398" s="17"/>
      <c r="F13398" s="18"/>
      <c r="G13398" s="36" t="str">
        <f>IF(ISNUMBER(F13398),C13398*F13398,"")</f>
        <v/>
      </c>
    </row>
    <row r="13399" spans="1:7" ht="12" customHeight="1" outlineLevel="2" x14ac:dyDescent="0.2">
      <c r="A13399" s="14" t="s">
        <v>26350</v>
      </c>
      <c r="B13399" s="15" t="s">
        <v>26351</v>
      </c>
      <c r="C13399" s="16">
        <f>242.15/(1+B2)</f>
        <v>242.15</v>
      </c>
      <c r="D13399" s="17" t="s">
        <v>11</v>
      </c>
      <c r="E13399" s="17"/>
      <c r="F13399" s="18"/>
      <c r="G13399" s="36" t="str">
        <f>IF(ISNUMBER(F13399),C13399*F13399,"")</f>
        <v/>
      </c>
    </row>
    <row r="13400" spans="1:7" ht="12" customHeight="1" outlineLevel="2" x14ac:dyDescent="0.2">
      <c r="A13400" s="14" t="s">
        <v>26352</v>
      </c>
      <c r="B13400" s="15" t="s">
        <v>26353</v>
      </c>
      <c r="C13400" s="16">
        <f>287.06/(1+B2)</f>
        <v>287.06</v>
      </c>
      <c r="D13400" s="17" t="s">
        <v>11</v>
      </c>
      <c r="E13400" s="17"/>
      <c r="F13400" s="18"/>
      <c r="G13400" s="36" t="str">
        <f>IF(ISNUMBER(F13400),C13400*F13400,"")</f>
        <v/>
      </c>
    </row>
    <row r="13401" spans="1:7" ht="12" customHeight="1" outlineLevel="2" x14ac:dyDescent="0.2">
      <c r="A13401" s="14" t="s">
        <v>26354</v>
      </c>
      <c r="B13401" s="15" t="s">
        <v>26355</v>
      </c>
      <c r="C13401" s="16">
        <f>306.62/(1+B2)</f>
        <v>306.62</v>
      </c>
      <c r="D13401" s="17" t="s">
        <v>11</v>
      </c>
      <c r="E13401" s="17"/>
      <c r="F13401" s="18"/>
      <c r="G13401" s="36" t="str">
        <f>IF(ISNUMBER(F13401),C13401*F13401,"")</f>
        <v/>
      </c>
    </row>
    <row r="13402" spans="1:7" ht="24" customHeight="1" outlineLevel="2" x14ac:dyDescent="0.2">
      <c r="A13402" s="14" t="s">
        <v>26356</v>
      </c>
      <c r="B13402" s="15" t="s">
        <v>26357</v>
      </c>
      <c r="C13402" s="16">
        <f>243.54/(1+B2)</f>
        <v>243.54</v>
      </c>
      <c r="D13402" s="17" t="s">
        <v>11</v>
      </c>
      <c r="E13402" s="17"/>
      <c r="F13402" s="18"/>
      <c r="G13402" s="36" t="str">
        <f>IF(ISNUMBER(F13402),C13402*F13402,"")</f>
        <v/>
      </c>
    </row>
    <row r="13403" spans="1:7" ht="24" customHeight="1" outlineLevel="2" x14ac:dyDescent="0.2">
      <c r="A13403" s="14" t="s">
        <v>26358</v>
      </c>
      <c r="B13403" s="15" t="s">
        <v>26359</v>
      </c>
      <c r="C13403" s="16">
        <f>263.66/(1+B2)</f>
        <v>263.66000000000003</v>
      </c>
      <c r="D13403" s="17" t="s">
        <v>11</v>
      </c>
      <c r="E13403" s="17"/>
      <c r="F13403" s="18"/>
      <c r="G13403" s="36" t="str">
        <f>IF(ISNUMBER(F13403),C13403*F13403,"")</f>
        <v/>
      </c>
    </row>
    <row r="13404" spans="1:7" ht="12" customHeight="1" outlineLevel="2" x14ac:dyDescent="0.2">
      <c r="A13404" s="14" t="s">
        <v>26360</v>
      </c>
      <c r="B13404" s="15" t="s">
        <v>26361</v>
      </c>
      <c r="C13404" s="16">
        <f>257.98/(1+B2)</f>
        <v>257.98</v>
      </c>
      <c r="D13404" s="17" t="s">
        <v>11</v>
      </c>
      <c r="E13404" s="17"/>
      <c r="F13404" s="18"/>
      <c r="G13404" s="36" t="str">
        <f>IF(ISNUMBER(F13404),C13404*F13404,"")</f>
        <v/>
      </c>
    </row>
    <row r="13405" spans="1:7" ht="12" customHeight="1" outlineLevel="2" x14ac:dyDescent="0.2">
      <c r="A13405" s="14" t="s">
        <v>26362</v>
      </c>
      <c r="B13405" s="15" t="s">
        <v>26363</v>
      </c>
      <c r="C13405" s="16">
        <f>148.38/(1+B2)</f>
        <v>148.38</v>
      </c>
      <c r="D13405" s="17" t="s">
        <v>11</v>
      </c>
      <c r="E13405" s="17"/>
      <c r="F13405" s="18"/>
      <c r="G13405" s="36" t="str">
        <f>IF(ISNUMBER(F13405),C13405*F13405,"")</f>
        <v/>
      </c>
    </row>
    <row r="13406" spans="1:7" ht="12" customHeight="1" outlineLevel="2" x14ac:dyDescent="0.2">
      <c r="A13406" s="14" t="s">
        <v>26364</v>
      </c>
      <c r="B13406" s="15" t="s">
        <v>26365</v>
      </c>
      <c r="C13406" s="16">
        <f>941/(1+B2)</f>
        <v>941</v>
      </c>
      <c r="D13406" s="17" t="s">
        <v>11</v>
      </c>
      <c r="E13406" s="17"/>
      <c r="F13406" s="18"/>
      <c r="G13406" s="36" t="str">
        <f>IF(ISNUMBER(F13406),C13406*F13406,"")</f>
        <v/>
      </c>
    </row>
    <row r="13407" spans="1:7" s="1" customFormat="1" ht="15.95" customHeight="1" outlineLevel="1" x14ac:dyDescent="0.25">
      <c r="A13407" s="11"/>
      <c r="B13407" s="12" t="s">
        <v>26366</v>
      </c>
      <c r="C13407" s="13"/>
      <c r="D13407" s="13"/>
      <c r="E13407" s="13"/>
      <c r="F13407" s="13"/>
      <c r="G13407" s="35"/>
    </row>
    <row r="13408" spans="1:7" ht="12" customHeight="1" outlineLevel="2" x14ac:dyDescent="0.2">
      <c r="A13408" s="14" t="s">
        <v>26367</v>
      </c>
      <c r="B13408" s="15" t="s">
        <v>26368</v>
      </c>
      <c r="C13408" s="16">
        <f>268.02/(1+B2)</f>
        <v>268.02</v>
      </c>
      <c r="D13408" s="17" t="s">
        <v>11</v>
      </c>
      <c r="E13408" s="17"/>
      <c r="F13408" s="18"/>
      <c r="G13408" s="36" t="str">
        <f>IF(ISNUMBER(F13408),C13408*F13408,"")</f>
        <v/>
      </c>
    </row>
    <row r="13409" spans="1:7" ht="12" customHeight="1" outlineLevel="2" x14ac:dyDescent="0.2">
      <c r="A13409" s="14" t="s">
        <v>26369</v>
      </c>
      <c r="B13409" s="15" t="s">
        <v>26370</v>
      </c>
      <c r="C13409" s="16">
        <f>294.32/(1+B2)</f>
        <v>294.32</v>
      </c>
      <c r="D13409" s="17" t="s">
        <v>11</v>
      </c>
      <c r="E13409" s="17"/>
      <c r="F13409" s="18"/>
      <c r="G13409" s="36" t="str">
        <f>IF(ISNUMBER(F13409),C13409*F13409,"")</f>
        <v/>
      </c>
    </row>
    <row r="13410" spans="1:7" ht="12" customHeight="1" outlineLevel="2" x14ac:dyDescent="0.2">
      <c r="A13410" s="14" t="s">
        <v>26371</v>
      </c>
      <c r="B13410" s="15" t="s">
        <v>26372</v>
      </c>
      <c r="C13410" s="16">
        <f>347.96/(1+B2)</f>
        <v>347.96</v>
      </c>
      <c r="D13410" s="17" t="s">
        <v>11</v>
      </c>
      <c r="E13410" s="17"/>
      <c r="F13410" s="18"/>
      <c r="G13410" s="36" t="str">
        <f>IF(ISNUMBER(F13410),C13410*F13410,"")</f>
        <v/>
      </c>
    </row>
    <row r="13411" spans="1:7" ht="12" customHeight="1" outlineLevel="2" x14ac:dyDescent="0.2">
      <c r="A13411" s="14" t="s">
        <v>26373</v>
      </c>
      <c r="B13411" s="15" t="s">
        <v>26374</v>
      </c>
      <c r="C13411" s="16">
        <f>205.82/(1+B2)</f>
        <v>205.82</v>
      </c>
      <c r="D13411" s="17" t="s">
        <v>11</v>
      </c>
      <c r="E13411" s="17"/>
      <c r="F13411" s="18"/>
      <c r="G13411" s="36" t="str">
        <f>IF(ISNUMBER(F13411),C13411*F13411,"")</f>
        <v/>
      </c>
    </row>
    <row r="13412" spans="1:7" ht="12" customHeight="1" outlineLevel="2" x14ac:dyDescent="0.2">
      <c r="A13412" s="14" t="s">
        <v>26375</v>
      </c>
      <c r="B13412" s="15" t="s">
        <v>26376</v>
      </c>
      <c r="C13412" s="16">
        <f>220.21/(1+B2)</f>
        <v>220.21</v>
      </c>
      <c r="D13412" s="17" t="s">
        <v>11</v>
      </c>
      <c r="E13412" s="17"/>
      <c r="F13412" s="18"/>
      <c r="G13412" s="36" t="str">
        <f>IF(ISNUMBER(F13412),C13412*F13412,"")</f>
        <v/>
      </c>
    </row>
    <row r="13413" spans="1:7" ht="12" customHeight="1" outlineLevel="2" x14ac:dyDescent="0.2">
      <c r="A13413" s="14" t="s">
        <v>26377</v>
      </c>
      <c r="B13413" s="15" t="s">
        <v>26378</v>
      </c>
      <c r="C13413" s="16">
        <f>258.21/(1+B2)</f>
        <v>258.20999999999998</v>
      </c>
      <c r="D13413" s="17" t="s">
        <v>11</v>
      </c>
      <c r="E13413" s="17"/>
      <c r="F13413" s="18"/>
      <c r="G13413" s="36" t="str">
        <f>IF(ISNUMBER(F13413),C13413*F13413,"")</f>
        <v/>
      </c>
    </row>
    <row r="13414" spans="1:7" ht="12" customHeight="1" outlineLevel="2" x14ac:dyDescent="0.2">
      <c r="A13414" s="14" t="s">
        <v>26379</v>
      </c>
      <c r="B13414" s="15" t="s">
        <v>26380</v>
      </c>
      <c r="C13414" s="16">
        <f>357.78/(1+B2)</f>
        <v>357.78</v>
      </c>
      <c r="D13414" s="17" t="s">
        <v>11</v>
      </c>
      <c r="E13414" s="17"/>
      <c r="F13414" s="18"/>
      <c r="G13414" s="36" t="str">
        <f>IF(ISNUMBER(F13414),C13414*F13414,"")</f>
        <v/>
      </c>
    </row>
    <row r="13415" spans="1:7" ht="12" customHeight="1" outlineLevel="2" x14ac:dyDescent="0.2">
      <c r="A13415" s="14" t="s">
        <v>26381</v>
      </c>
      <c r="B13415" s="15" t="s">
        <v>26382</v>
      </c>
      <c r="C13415" s="16">
        <f>393.4/(1+B2)</f>
        <v>393.4</v>
      </c>
      <c r="D13415" s="17" t="s">
        <v>11</v>
      </c>
      <c r="E13415" s="17"/>
      <c r="F13415" s="18"/>
      <c r="G13415" s="36" t="str">
        <f>IF(ISNUMBER(F13415),C13415*F13415,"")</f>
        <v/>
      </c>
    </row>
    <row r="13416" spans="1:7" ht="12" customHeight="1" outlineLevel="2" x14ac:dyDescent="0.2">
      <c r="A13416" s="14" t="s">
        <v>26383</v>
      </c>
      <c r="B13416" s="15" t="s">
        <v>26384</v>
      </c>
      <c r="C13416" s="16">
        <f>276.02/(1+B2)</f>
        <v>276.02</v>
      </c>
      <c r="D13416" s="17" t="s">
        <v>11</v>
      </c>
      <c r="E13416" s="17"/>
      <c r="F13416" s="18"/>
      <c r="G13416" s="36" t="str">
        <f>IF(ISNUMBER(F13416),C13416*F13416,"")</f>
        <v/>
      </c>
    </row>
    <row r="13417" spans="1:7" ht="12" customHeight="1" outlineLevel="2" x14ac:dyDescent="0.2">
      <c r="A13417" s="14" t="s">
        <v>26385</v>
      </c>
      <c r="B13417" s="15" t="s">
        <v>26386</v>
      </c>
      <c r="C13417" s="16">
        <f>172.92/(1+B2)</f>
        <v>172.92</v>
      </c>
      <c r="D13417" s="17" t="s">
        <v>11</v>
      </c>
      <c r="E13417" s="17"/>
      <c r="F13417" s="18"/>
      <c r="G13417" s="36" t="str">
        <f>IF(ISNUMBER(F13417),C13417*F13417,"")</f>
        <v/>
      </c>
    </row>
    <row r="13418" spans="1:7" ht="12" customHeight="1" outlineLevel="2" x14ac:dyDescent="0.2">
      <c r="A13418" s="14" t="s">
        <v>26387</v>
      </c>
      <c r="B13418" s="15" t="s">
        <v>26388</v>
      </c>
      <c r="C13418" s="16">
        <f>189.16/(1+B2)</f>
        <v>189.16</v>
      </c>
      <c r="D13418" s="17" t="s">
        <v>11</v>
      </c>
      <c r="E13418" s="17"/>
      <c r="F13418" s="18"/>
      <c r="G13418" s="36" t="str">
        <f>IF(ISNUMBER(F13418),C13418*F13418,"")</f>
        <v/>
      </c>
    </row>
    <row r="13419" spans="1:7" ht="24" customHeight="1" outlineLevel="2" x14ac:dyDescent="0.2">
      <c r="A13419" s="14" t="s">
        <v>26389</v>
      </c>
      <c r="B13419" s="15" t="s">
        <v>26390</v>
      </c>
      <c r="C13419" s="16">
        <f>147.91/(1+B2)</f>
        <v>147.91</v>
      </c>
      <c r="D13419" s="17" t="s">
        <v>11</v>
      </c>
      <c r="E13419" s="17"/>
      <c r="F13419" s="18"/>
      <c r="G13419" s="36" t="str">
        <f>IF(ISNUMBER(F13419),C13419*F13419,"")</f>
        <v/>
      </c>
    </row>
    <row r="13420" spans="1:7" ht="12" customHeight="1" outlineLevel="2" x14ac:dyDescent="0.2">
      <c r="A13420" s="14" t="s">
        <v>26391</v>
      </c>
      <c r="B13420" s="15" t="s">
        <v>26392</v>
      </c>
      <c r="C13420" s="16">
        <f>768.57/(1+B2)</f>
        <v>768.57</v>
      </c>
      <c r="D13420" s="17" t="s">
        <v>11</v>
      </c>
      <c r="E13420" s="17"/>
      <c r="F13420" s="18"/>
      <c r="G13420" s="36" t="str">
        <f>IF(ISNUMBER(F13420),C13420*F13420,"")</f>
        <v/>
      </c>
    </row>
    <row r="13421" spans="1:7" ht="12" customHeight="1" outlineLevel="2" x14ac:dyDescent="0.2">
      <c r="A13421" s="14" t="s">
        <v>26393</v>
      </c>
      <c r="B13421" s="15" t="s">
        <v>26394</v>
      </c>
      <c r="C13421" s="16">
        <f>232.76/(1+B2)</f>
        <v>232.76</v>
      </c>
      <c r="D13421" s="17" t="s">
        <v>11</v>
      </c>
      <c r="E13421" s="17"/>
      <c r="F13421" s="18"/>
      <c r="G13421" s="36" t="str">
        <f>IF(ISNUMBER(F13421),C13421*F13421,"")</f>
        <v/>
      </c>
    </row>
    <row r="13422" spans="1:7" ht="12" customHeight="1" outlineLevel="2" x14ac:dyDescent="0.2">
      <c r="A13422" s="14" t="s">
        <v>26395</v>
      </c>
      <c r="B13422" s="15" t="s">
        <v>26396</v>
      </c>
      <c r="C13422" s="16">
        <f>258.62/(1+B2)</f>
        <v>258.62</v>
      </c>
      <c r="D13422" s="17" t="s">
        <v>11</v>
      </c>
      <c r="E13422" s="17"/>
      <c r="F13422" s="18"/>
      <c r="G13422" s="36" t="str">
        <f>IF(ISNUMBER(F13422),C13422*F13422,"")</f>
        <v/>
      </c>
    </row>
    <row r="13423" spans="1:7" ht="12" customHeight="1" outlineLevel="2" x14ac:dyDescent="0.2">
      <c r="A13423" s="14" t="s">
        <v>26397</v>
      </c>
      <c r="B13423" s="15" t="s">
        <v>26398</v>
      </c>
      <c r="C13423" s="16">
        <f>279.75/(1+B2)</f>
        <v>279.75</v>
      </c>
      <c r="D13423" s="17" t="s">
        <v>11</v>
      </c>
      <c r="E13423" s="17"/>
      <c r="F13423" s="18"/>
      <c r="G13423" s="36" t="str">
        <f>IF(ISNUMBER(F13423),C13423*F13423,"")</f>
        <v/>
      </c>
    </row>
    <row r="13424" spans="1:7" ht="12" customHeight="1" outlineLevel="2" x14ac:dyDescent="0.2">
      <c r="A13424" s="14" t="s">
        <v>26399</v>
      </c>
      <c r="B13424" s="15" t="s">
        <v>26400</v>
      </c>
      <c r="C13424" s="16">
        <f>300.2/(1+B2)</f>
        <v>300.2</v>
      </c>
      <c r="D13424" s="17" t="s">
        <v>11</v>
      </c>
      <c r="E13424" s="17"/>
      <c r="F13424" s="18"/>
      <c r="G13424" s="36" t="str">
        <f>IF(ISNUMBER(F13424),C13424*F13424,"")</f>
        <v/>
      </c>
    </row>
    <row r="13425" spans="1:7" ht="12" customHeight="1" outlineLevel="2" x14ac:dyDescent="0.2">
      <c r="A13425" s="14" t="s">
        <v>26401</v>
      </c>
      <c r="B13425" s="15" t="s">
        <v>26402</v>
      </c>
      <c r="C13425" s="16">
        <f>319.3/(1+B2)</f>
        <v>319.3</v>
      </c>
      <c r="D13425" s="17" t="s">
        <v>11</v>
      </c>
      <c r="E13425" s="17"/>
      <c r="F13425" s="18"/>
      <c r="G13425" s="36" t="str">
        <f>IF(ISNUMBER(F13425),C13425*F13425,"")</f>
        <v/>
      </c>
    </row>
    <row r="13426" spans="1:7" ht="12" customHeight="1" outlineLevel="2" x14ac:dyDescent="0.2">
      <c r="A13426" s="14" t="s">
        <v>26403</v>
      </c>
      <c r="B13426" s="15" t="s">
        <v>26404</v>
      </c>
      <c r="C13426" s="16">
        <f>378.85/(1+B2)</f>
        <v>378.85</v>
      </c>
      <c r="D13426" s="17" t="s">
        <v>11</v>
      </c>
      <c r="E13426" s="17"/>
      <c r="F13426" s="18"/>
      <c r="G13426" s="36" t="str">
        <f>IF(ISNUMBER(F13426),C13426*F13426,"")</f>
        <v/>
      </c>
    </row>
    <row r="13427" spans="1:7" ht="24" customHeight="1" outlineLevel="2" x14ac:dyDescent="0.2">
      <c r="A13427" s="14" t="s">
        <v>26405</v>
      </c>
      <c r="B13427" s="15" t="s">
        <v>26406</v>
      </c>
      <c r="C13427" s="16">
        <f>335.99/(1+B2)</f>
        <v>335.99</v>
      </c>
      <c r="D13427" s="17" t="s">
        <v>11</v>
      </c>
      <c r="E13427" s="17"/>
      <c r="F13427" s="18"/>
      <c r="G13427" s="36" t="str">
        <f>IF(ISNUMBER(F13427),C13427*F13427,"")</f>
        <v/>
      </c>
    </row>
    <row r="13428" spans="1:7" ht="24" customHeight="1" outlineLevel="2" x14ac:dyDescent="0.2">
      <c r="A13428" s="14" t="s">
        <v>26407</v>
      </c>
      <c r="B13428" s="15" t="s">
        <v>26408</v>
      </c>
      <c r="C13428" s="16">
        <f>373.49/(1+B2)</f>
        <v>373.49</v>
      </c>
      <c r="D13428" s="17" t="s">
        <v>11</v>
      </c>
      <c r="E13428" s="17"/>
      <c r="F13428" s="18"/>
      <c r="G13428" s="36" t="str">
        <f>IF(ISNUMBER(F13428),C13428*F13428,"")</f>
        <v/>
      </c>
    </row>
    <row r="13429" spans="1:7" ht="24" customHeight="1" outlineLevel="2" x14ac:dyDescent="0.2">
      <c r="A13429" s="14" t="s">
        <v>26409</v>
      </c>
      <c r="B13429" s="15" t="s">
        <v>26410</v>
      </c>
      <c r="C13429" s="16">
        <f>373.59/(1+B2)</f>
        <v>373.59</v>
      </c>
      <c r="D13429" s="17" t="s">
        <v>11</v>
      </c>
      <c r="E13429" s="17"/>
      <c r="F13429" s="18"/>
      <c r="G13429" s="36" t="str">
        <f>IF(ISNUMBER(F13429),C13429*F13429,"")</f>
        <v/>
      </c>
    </row>
    <row r="13430" spans="1:7" ht="12" customHeight="1" outlineLevel="2" x14ac:dyDescent="0.2">
      <c r="A13430" s="14" t="s">
        <v>26411</v>
      </c>
      <c r="B13430" s="15" t="s">
        <v>26412</v>
      </c>
      <c r="C13430" s="16">
        <f>321.79/(1+B2)</f>
        <v>321.79000000000002</v>
      </c>
      <c r="D13430" s="17" t="s">
        <v>11</v>
      </c>
      <c r="E13430" s="17"/>
      <c r="F13430" s="18"/>
      <c r="G13430" s="36" t="str">
        <f>IF(ISNUMBER(F13430),C13430*F13430,"")</f>
        <v/>
      </c>
    </row>
    <row r="13431" spans="1:7" ht="12" customHeight="1" outlineLevel="2" x14ac:dyDescent="0.2">
      <c r="A13431" s="14" t="s">
        <v>26413</v>
      </c>
      <c r="B13431" s="15" t="s">
        <v>26414</v>
      </c>
      <c r="C13431" s="16">
        <f>510.23/(1+B2)</f>
        <v>510.23</v>
      </c>
      <c r="D13431" s="17" t="s">
        <v>11</v>
      </c>
      <c r="E13431" s="17"/>
      <c r="F13431" s="18"/>
      <c r="G13431" s="36" t="str">
        <f>IF(ISNUMBER(F13431),C13431*F13431,"")</f>
        <v/>
      </c>
    </row>
    <row r="13432" spans="1:7" ht="24" customHeight="1" outlineLevel="2" x14ac:dyDescent="0.2">
      <c r="A13432" s="14" t="s">
        <v>26415</v>
      </c>
      <c r="B13432" s="15" t="s">
        <v>26416</v>
      </c>
      <c r="C13432" s="16">
        <f>815.27/(1+B2)</f>
        <v>815.27</v>
      </c>
      <c r="D13432" s="17" t="s">
        <v>11</v>
      </c>
      <c r="E13432" s="17"/>
      <c r="F13432" s="18"/>
      <c r="G13432" s="36" t="str">
        <f>IF(ISNUMBER(F13432),C13432*F13432,"")</f>
        <v/>
      </c>
    </row>
    <row r="13433" spans="1:7" ht="12" customHeight="1" outlineLevel="2" x14ac:dyDescent="0.2">
      <c r="A13433" s="14" t="s">
        <v>26417</v>
      </c>
      <c r="B13433" s="15" t="s">
        <v>26418</v>
      </c>
      <c r="C13433" s="16">
        <f>173.26/(1+B2)</f>
        <v>173.26</v>
      </c>
      <c r="D13433" s="17" t="s">
        <v>11</v>
      </c>
      <c r="E13433" s="17"/>
      <c r="F13433" s="18"/>
      <c r="G13433" s="36" t="str">
        <f>IF(ISNUMBER(F13433),C13433*F13433,"")</f>
        <v/>
      </c>
    </row>
    <row r="13434" spans="1:7" ht="24" customHeight="1" outlineLevel="2" x14ac:dyDescent="0.2">
      <c r="A13434" s="14" t="s">
        <v>26419</v>
      </c>
      <c r="B13434" s="15" t="s">
        <v>26420</v>
      </c>
      <c r="C13434" s="16">
        <f>173.63/(1+B2)</f>
        <v>173.63</v>
      </c>
      <c r="D13434" s="17" t="s">
        <v>14</v>
      </c>
      <c r="E13434" s="17"/>
      <c r="F13434" s="18"/>
      <c r="G13434" s="36" t="str">
        <f>IF(ISNUMBER(F13434),C13434*F13434,"")</f>
        <v/>
      </c>
    </row>
    <row r="13435" spans="1:7" ht="12" customHeight="1" outlineLevel="2" x14ac:dyDescent="0.2">
      <c r="A13435" s="14" t="s">
        <v>26421</v>
      </c>
      <c r="B13435" s="15" t="s">
        <v>26422</v>
      </c>
      <c r="C13435" s="16">
        <f>172.36/(1+B2)</f>
        <v>172.36</v>
      </c>
      <c r="D13435" s="17" t="s">
        <v>14</v>
      </c>
      <c r="E13435" s="17"/>
      <c r="F13435" s="18"/>
      <c r="G13435" s="36" t="str">
        <f>IF(ISNUMBER(F13435),C13435*F13435,"")</f>
        <v/>
      </c>
    </row>
    <row r="13436" spans="1:7" ht="12" customHeight="1" outlineLevel="2" x14ac:dyDescent="0.2">
      <c r="A13436" s="14" t="s">
        <v>26423</v>
      </c>
      <c r="B13436" s="15" t="s">
        <v>26424</v>
      </c>
      <c r="C13436" s="16">
        <f>232.89/(1+B2)</f>
        <v>232.89</v>
      </c>
      <c r="D13436" s="17" t="s">
        <v>11</v>
      </c>
      <c r="E13436" s="17"/>
      <c r="F13436" s="18"/>
      <c r="G13436" s="36" t="str">
        <f>IF(ISNUMBER(F13436),C13436*F13436,"")</f>
        <v/>
      </c>
    </row>
    <row r="13437" spans="1:7" ht="12" customHeight="1" outlineLevel="2" x14ac:dyDescent="0.2">
      <c r="A13437" s="14" t="s">
        <v>26425</v>
      </c>
      <c r="B13437" s="15" t="s">
        <v>26426</v>
      </c>
      <c r="C13437" s="16">
        <f>272.16/(1+B2)</f>
        <v>272.16000000000003</v>
      </c>
      <c r="D13437" s="17" t="s">
        <v>11</v>
      </c>
      <c r="E13437" s="17"/>
      <c r="F13437" s="18"/>
      <c r="G13437" s="36" t="str">
        <f>IF(ISNUMBER(F13437),C13437*F13437,"")</f>
        <v/>
      </c>
    </row>
    <row r="13438" spans="1:7" ht="12" customHeight="1" outlineLevel="2" x14ac:dyDescent="0.2">
      <c r="A13438" s="14" t="s">
        <v>26427</v>
      </c>
      <c r="B13438" s="15" t="s">
        <v>26428</v>
      </c>
      <c r="C13438" s="16">
        <f>304.53/(1+B2)</f>
        <v>304.52999999999997</v>
      </c>
      <c r="D13438" s="17" t="s">
        <v>11</v>
      </c>
      <c r="E13438" s="17"/>
      <c r="F13438" s="18"/>
      <c r="G13438" s="36" t="str">
        <f>IF(ISNUMBER(F13438),C13438*F13438,"")</f>
        <v/>
      </c>
    </row>
    <row r="13439" spans="1:7" ht="12" customHeight="1" outlineLevel="2" x14ac:dyDescent="0.2">
      <c r="A13439" s="14" t="s">
        <v>26429</v>
      </c>
      <c r="B13439" s="15" t="s">
        <v>26430</v>
      </c>
      <c r="C13439" s="16">
        <f>276.49/(1+B2)</f>
        <v>276.49</v>
      </c>
      <c r="D13439" s="17" t="s">
        <v>11</v>
      </c>
      <c r="E13439" s="17"/>
      <c r="F13439" s="18"/>
      <c r="G13439" s="36" t="str">
        <f>IF(ISNUMBER(F13439),C13439*F13439,"")</f>
        <v/>
      </c>
    </row>
    <row r="13440" spans="1:7" ht="12" customHeight="1" outlineLevel="2" x14ac:dyDescent="0.2">
      <c r="A13440" s="14" t="s">
        <v>26431</v>
      </c>
      <c r="B13440" s="15" t="s">
        <v>26432</v>
      </c>
      <c r="C13440" s="16">
        <f>299.89/(1+B2)</f>
        <v>299.89</v>
      </c>
      <c r="D13440" s="17" t="s">
        <v>11</v>
      </c>
      <c r="E13440" s="17"/>
      <c r="F13440" s="18"/>
      <c r="G13440" s="36" t="str">
        <f>IF(ISNUMBER(F13440),C13440*F13440,"")</f>
        <v/>
      </c>
    </row>
    <row r="13441" spans="1:7" ht="12" customHeight="1" outlineLevel="2" x14ac:dyDescent="0.2">
      <c r="A13441" s="14" t="s">
        <v>26433</v>
      </c>
      <c r="B13441" s="15" t="s">
        <v>26434</v>
      </c>
      <c r="C13441" s="16">
        <f>367.98/(1+B2)</f>
        <v>367.98</v>
      </c>
      <c r="D13441" s="17" t="s">
        <v>11</v>
      </c>
      <c r="E13441" s="17"/>
      <c r="F13441" s="18"/>
      <c r="G13441" s="36" t="str">
        <f>IF(ISNUMBER(F13441),C13441*F13441,"")</f>
        <v/>
      </c>
    </row>
    <row r="13442" spans="1:7" ht="12" customHeight="1" outlineLevel="2" x14ac:dyDescent="0.2">
      <c r="A13442" s="14" t="s">
        <v>26435</v>
      </c>
      <c r="B13442" s="15" t="s">
        <v>26436</v>
      </c>
      <c r="C13442" s="16">
        <f>295.61/(1+B2)</f>
        <v>295.61</v>
      </c>
      <c r="D13442" s="17" t="s">
        <v>11</v>
      </c>
      <c r="E13442" s="17"/>
      <c r="F13442" s="18"/>
      <c r="G13442" s="36" t="str">
        <f>IF(ISNUMBER(F13442),C13442*F13442,"")</f>
        <v/>
      </c>
    </row>
    <row r="13443" spans="1:7" ht="12" customHeight="1" outlineLevel="2" x14ac:dyDescent="0.2">
      <c r="A13443" s="14" t="s">
        <v>26437</v>
      </c>
      <c r="B13443" s="15" t="s">
        <v>26438</v>
      </c>
      <c r="C13443" s="16">
        <f>345.03/(1+B2)</f>
        <v>345.03</v>
      </c>
      <c r="D13443" s="17" t="s">
        <v>11</v>
      </c>
      <c r="E13443" s="17"/>
      <c r="F13443" s="18"/>
      <c r="G13443" s="36" t="str">
        <f>IF(ISNUMBER(F13443),C13443*F13443,"")</f>
        <v/>
      </c>
    </row>
    <row r="13444" spans="1:7" ht="12" customHeight="1" outlineLevel="2" x14ac:dyDescent="0.2">
      <c r="A13444" s="14" t="s">
        <v>26439</v>
      </c>
      <c r="B13444" s="15" t="s">
        <v>26440</v>
      </c>
      <c r="C13444" s="16">
        <f>148.03/(1+B2)</f>
        <v>148.03</v>
      </c>
      <c r="D13444" s="17" t="s">
        <v>11</v>
      </c>
      <c r="E13444" s="17"/>
      <c r="F13444" s="18"/>
      <c r="G13444" s="36" t="str">
        <f>IF(ISNUMBER(F13444),C13444*F13444,"")</f>
        <v/>
      </c>
    </row>
    <row r="13445" spans="1:7" ht="12" customHeight="1" outlineLevel="2" x14ac:dyDescent="0.2">
      <c r="A13445" s="14" t="s">
        <v>26441</v>
      </c>
      <c r="B13445" s="15" t="s">
        <v>26442</v>
      </c>
      <c r="C13445" s="16">
        <f>157.71/(1+B2)</f>
        <v>157.71</v>
      </c>
      <c r="D13445" s="17" t="s">
        <v>11</v>
      </c>
      <c r="E13445" s="17"/>
      <c r="F13445" s="18"/>
      <c r="G13445" s="36" t="str">
        <f>IF(ISNUMBER(F13445),C13445*F13445,"")</f>
        <v/>
      </c>
    </row>
    <row r="13446" spans="1:7" ht="12" customHeight="1" outlineLevel="2" x14ac:dyDescent="0.2">
      <c r="A13446" s="14" t="s">
        <v>26443</v>
      </c>
      <c r="B13446" s="15" t="s">
        <v>26444</v>
      </c>
      <c r="C13446" s="16">
        <f>205.69/(1+B2)</f>
        <v>205.69</v>
      </c>
      <c r="D13446" s="17" t="s">
        <v>11</v>
      </c>
      <c r="E13446" s="17"/>
      <c r="F13446" s="18"/>
      <c r="G13446" s="36" t="str">
        <f>IF(ISNUMBER(F13446),C13446*F13446,"")</f>
        <v/>
      </c>
    </row>
    <row r="13447" spans="1:7" ht="12" customHeight="1" outlineLevel="2" x14ac:dyDescent="0.2">
      <c r="A13447" s="14" t="s">
        <v>26445</v>
      </c>
      <c r="B13447" s="15" t="s">
        <v>26446</v>
      </c>
      <c r="C13447" s="16">
        <f>233.45/(1+B2)</f>
        <v>233.45</v>
      </c>
      <c r="D13447" s="17" t="s">
        <v>11</v>
      </c>
      <c r="E13447" s="17"/>
      <c r="F13447" s="18"/>
      <c r="G13447" s="36" t="str">
        <f>IF(ISNUMBER(F13447),C13447*F13447,"")</f>
        <v/>
      </c>
    </row>
    <row r="13448" spans="1:7" ht="12" customHeight="1" outlineLevel="2" x14ac:dyDescent="0.2">
      <c r="A13448" s="14" t="s">
        <v>26447</v>
      </c>
      <c r="B13448" s="15" t="s">
        <v>26448</v>
      </c>
      <c r="C13448" s="16">
        <f>214.13/(1+B2)</f>
        <v>214.13</v>
      </c>
      <c r="D13448" s="17" t="s">
        <v>11</v>
      </c>
      <c r="E13448" s="17"/>
      <c r="F13448" s="18"/>
      <c r="G13448" s="36" t="str">
        <f>IF(ISNUMBER(F13448),C13448*F13448,"")</f>
        <v/>
      </c>
    </row>
    <row r="13449" spans="1:7" ht="12" customHeight="1" outlineLevel="2" x14ac:dyDescent="0.2">
      <c r="A13449" s="14" t="s">
        <v>26449</v>
      </c>
      <c r="B13449" s="15" t="s">
        <v>26450</v>
      </c>
      <c r="C13449" s="16">
        <f>234.48/(1+B2)</f>
        <v>234.48</v>
      </c>
      <c r="D13449" s="17" t="s">
        <v>11</v>
      </c>
      <c r="E13449" s="17"/>
      <c r="F13449" s="18"/>
      <c r="G13449" s="36" t="str">
        <f>IF(ISNUMBER(F13449),C13449*F13449,"")</f>
        <v/>
      </c>
    </row>
    <row r="13450" spans="1:7" ht="12" customHeight="1" outlineLevel="2" x14ac:dyDescent="0.2">
      <c r="A13450" s="14" t="s">
        <v>26451</v>
      </c>
      <c r="B13450" s="15" t="s">
        <v>26452</v>
      </c>
      <c r="C13450" s="16">
        <f>268.82/(1+B2)</f>
        <v>268.82</v>
      </c>
      <c r="D13450" s="17" t="s">
        <v>11</v>
      </c>
      <c r="E13450" s="17"/>
      <c r="F13450" s="18"/>
      <c r="G13450" s="36" t="str">
        <f>IF(ISNUMBER(F13450),C13450*F13450,"")</f>
        <v/>
      </c>
    </row>
    <row r="13451" spans="1:7" ht="24" customHeight="1" outlineLevel="2" x14ac:dyDescent="0.2">
      <c r="A13451" s="14" t="s">
        <v>26453</v>
      </c>
      <c r="B13451" s="15" t="s">
        <v>26454</v>
      </c>
      <c r="C13451" s="16">
        <f>382.74/(1+B2)</f>
        <v>382.74</v>
      </c>
      <c r="D13451" s="17" t="s">
        <v>11</v>
      </c>
      <c r="E13451" s="17"/>
      <c r="F13451" s="18"/>
      <c r="G13451" s="36" t="str">
        <f>IF(ISNUMBER(F13451),C13451*F13451,"")</f>
        <v/>
      </c>
    </row>
    <row r="13452" spans="1:7" ht="24" customHeight="1" outlineLevel="2" x14ac:dyDescent="0.2">
      <c r="A13452" s="14" t="s">
        <v>26455</v>
      </c>
      <c r="B13452" s="15" t="s">
        <v>26456</v>
      </c>
      <c r="C13452" s="16">
        <f>425.93/(1+B2)</f>
        <v>425.93</v>
      </c>
      <c r="D13452" s="17" t="s">
        <v>11</v>
      </c>
      <c r="E13452" s="17"/>
      <c r="F13452" s="18"/>
      <c r="G13452" s="36" t="str">
        <f>IF(ISNUMBER(F13452),C13452*F13452,"")</f>
        <v/>
      </c>
    </row>
    <row r="13453" spans="1:7" ht="24" customHeight="1" outlineLevel="2" x14ac:dyDescent="0.2">
      <c r="A13453" s="14" t="s">
        <v>26457</v>
      </c>
      <c r="B13453" s="15" t="s">
        <v>26458</v>
      </c>
      <c r="C13453" s="16">
        <f>468.41/(1+B2)</f>
        <v>468.41</v>
      </c>
      <c r="D13453" s="17" t="s">
        <v>11</v>
      </c>
      <c r="E13453" s="17"/>
      <c r="F13453" s="18"/>
      <c r="G13453" s="36" t="str">
        <f>IF(ISNUMBER(F13453),C13453*F13453,"")</f>
        <v/>
      </c>
    </row>
    <row r="13454" spans="1:7" ht="12" customHeight="1" outlineLevel="2" x14ac:dyDescent="0.2">
      <c r="A13454" s="14" t="s">
        <v>26459</v>
      </c>
      <c r="B13454" s="15" t="s">
        <v>26460</v>
      </c>
      <c r="C13454" s="19">
        <f>1162.66/(1+B2)</f>
        <v>1162.6600000000001</v>
      </c>
      <c r="D13454" s="17" t="s">
        <v>11</v>
      </c>
      <c r="E13454" s="17"/>
      <c r="F13454" s="18"/>
      <c r="G13454" s="36" t="str">
        <f>IF(ISNUMBER(F13454),C13454*F13454,"")</f>
        <v/>
      </c>
    </row>
    <row r="13455" spans="1:7" ht="24" customHeight="1" outlineLevel="2" x14ac:dyDescent="0.2">
      <c r="A13455" s="14" t="s">
        <v>26461</v>
      </c>
      <c r="B13455" s="15" t="s">
        <v>26462</v>
      </c>
      <c r="C13455" s="16">
        <f>879.3/(1+B2)</f>
        <v>879.3</v>
      </c>
      <c r="D13455" s="17" t="s">
        <v>11</v>
      </c>
      <c r="E13455" s="17"/>
      <c r="F13455" s="18"/>
      <c r="G13455" s="36" t="str">
        <f>IF(ISNUMBER(F13455),C13455*F13455,"")</f>
        <v/>
      </c>
    </row>
    <row r="13456" spans="1:7" ht="12" customHeight="1" outlineLevel="2" x14ac:dyDescent="0.2">
      <c r="A13456" s="14" t="s">
        <v>26463</v>
      </c>
      <c r="B13456" s="15" t="s">
        <v>26464</v>
      </c>
      <c r="C13456" s="16">
        <f>425.96/(1+B2)</f>
        <v>425.96</v>
      </c>
      <c r="D13456" s="17" t="s">
        <v>11</v>
      </c>
      <c r="E13456" s="17" t="s">
        <v>53</v>
      </c>
      <c r="F13456" s="18"/>
      <c r="G13456" s="36" t="str">
        <f>IF(ISNUMBER(F13456),C13456*F13456,"")</f>
        <v/>
      </c>
    </row>
    <row r="13457" spans="1:7" ht="12" customHeight="1" outlineLevel="2" x14ac:dyDescent="0.2">
      <c r="A13457" s="14" t="s">
        <v>26465</v>
      </c>
      <c r="B13457" s="15" t="s">
        <v>26466</v>
      </c>
      <c r="C13457" s="16">
        <f>130/(1+B2)</f>
        <v>130</v>
      </c>
      <c r="D13457" s="17" t="s">
        <v>11</v>
      </c>
      <c r="E13457" s="17"/>
      <c r="F13457" s="18"/>
      <c r="G13457" s="36" t="str">
        <f>IF(ISNUMBER(F13457),C13457*F13457,"")</f>
        <v/>
      </c>
    </row>
    <row r="13458" spans="1:7" ht="24" customHeight="1" outlineLevel="2" x14ac:dyDescent="0.2">
      <c r="A13458" s="14" t="s">
        <v>26467</v>
      </c>
      <c r="B13458" s="15" t="s">
        <v>26468</v>
      </c>
      <c r="C13458" s="16">
        <f>272.43/(1+B2)</f>
        <v>272.43</v>
      </c>
      <c r="D13458" s="17" t="s">
        <v>11</v>
      </c>
      <c r="E13458" s="17"/>
      <c r="F13458" s="18"/>
      <c r="G13458" s="36" t="str">
        <f>IF(ISNUMBER(F13458),C13458*F13458,"")</f>
        <v/>
      </c>
    </row>
    <row r="13459" spans="1:7" ht="24" customHeight="1" outlineLevel="2" x14ac:dyDescent="0.2">
      <c r="A13459" s="14" t="s">
        <v>26469</v>
      </c>
      <c r="B13459" s="15" t="s">
        <v>26470</v>
      </c>
      <c r="C13459" s="16">
        <f>335.05/(1+B2)</f>
        <v>335.05</v>
      </c>
      <c r="D13459" s="17" t="s">
        <v>11</v>
      </c>
      <c r="E13459" s="17"/>
      <c r="F13459" s="18"/>
      <c r="G13459" s="36" t="str">
        <f>IF(ISNUMBER(F13459),C13459*F13459,"")</f>
        <v/>
      </c>
    </row>
    <row r="13460" spans="1:7" s="1" customFormat="1" ht="15.95" customHeight="1" outlineLevel="1" x14ac:dyDescent="0.25">
      <c r="A13460" s="11"/>
      <c r="B13460" s="12" t="s">
        <v>26471</v>
      </c>
      <c r="C13460" s="13"/>
      <c r="D13460" s="13"/>
      <c r="E13460" s="13"/>
      <c r="F13460" s="13"/>
      <c r="G13460" s="35"/>
    </row>
    <row r="13461" spans="1:7" s="1" customFormat="1" ht="12.95" customHeight="1" outlineLevel="2" x14ac:dyDescent="0.2">
      <c r="A13461" s="20"/>
      <c r="B13461" s="21" t="s">
        <v>26472</v>
      </c>
      <c r="C13461" s="22"/>
      <c r="D13461" s="22"/>
      <c r="E13461" s="22"/>
      <c r="F13461" s="22"/>
      <c r="G13461" s="37"/>
    </row>
    <row r="13462" spans="1:7" ht="12" customHeight="1" outlineLevel="3" x14ac:dyDescent="0.2">
      <c r="A13462" s="14" t="s">
        <v>26473</v>
      </c>
      <c r="B13462" s="15" t="s">
        <v>26474</v>
      </c>
      <c r="C13462" s="16">
        <f>299.98/(1+B2)</f>
        <v>299.98</v>
      </c>
      <c r="D13462" s="17" t="s">
        <v>14</v>
      </c>
      <c r="E13462" s="17"/>
      <c r="F13462" s="18"/>
      <c r="G13462" s="36" t="str">
        <f>IF(ISNUMBER(F13462),C13462*F13462,"")</f>
        <v/>
      </c>
    </row>
    <row r="13463" spans="1:7" ht="12" customHeight="1" outlineLevel="3" x14ac:dyDescent="0.2">
      <c r="A13463" s="14" t="s">
        <v>26475</v>
      </c>
      <c r="B13463" s="15" t="s">
        <v>26476</v>
      </c>
      <c r="C13463" s="16">
        <f>154.7/(1+B2)</f>
        <v>154.69999999999999</v>
      </c>
      <c r="D13463" s="17" t="s">
        <v>53</v>
      </c>
      <c r="E13463" s="17"/>
      <c r="F13463" s="18"/>
      <c r="G13463" s="36" t="str">
        <f>IF(ISNUMBER(F13463),C13463*F13463,"")</f>
        <v/>
      </c>
    </row>
    <row r="13464" spans="1:7" ht="12" customHeight="1" outlineLevel="3" x14ac:dyDescent="0.2">
      <c r="A13464" s="14" t="s">
        <v>26477</v>
      </c>
      <c r="B13464" s="15" t="s">
        <v>26478</v>
      </c>
      <c r="C13464" s="16">
        <f>170.62/(1+B2)</f>
        <v>170.62</v>
      </c>
      <c r="D13464" s="17" t="s">
        <v>11</v>
      </c>
      <c r="E13464" s="17"/>
      <c r="F13464" s="18"/>
      <c r="G13464" s="36" t="str">
        <f>IF(ISNUMBER(F13464),C13464*F13464,"")</f>
        <v/>
      </c>
    </row>
    <row r="13465" spans="1:7" ht="12" customHeight="1" outlineLevel="3" x14ac:dyDescent="0.2">
      <c r="A13465" s="14" t="s">
        <v>26479</v>
      </c>
      <c r="B13465" s="15" t="s">
        <v>26480</v>
      </c>
      <c r="C13465" s="16">
        <f>187.2/(1+B2)</f>
        <v>187.2</v>
      </c>
      <c r="D13465" s="17" t="s">
        <v>53</v>
      </c>
      <c r="E13465" s="17"/>
      <c r="F13465" s="18"/>
      <c r="G13465" s="36" t="str">
        <f>IF(ISNUMBER(F13465),C13465*F13465,"")</f>
        <v/>
      </c>
    </row>
    <row r="13466" spans="1:7" ht="12" customHeight="1" outlineLevel="3" x14ac:dyDescent="0.2">
      <c r="A13466" s="14" t="s">
        <v>26481</v>
      </c>
      <c r="B13466" s="15" t="s">
        <v>26482</v>
      </c>
      <c r="C13466" s="16">
        <f>189.18/(1+B2)</f>
        <v>189.18</v>
      </c>
      <c r="D13466" s="17" t="s">
        <v>11</v>
      </c>
      <c r="E13466" s="17"/>
      <c r="F13466" s="18"/>
      <c r="G13466" s="36" t="str">
        <f>IF(ISNUMBER(F13466),C13466*F13466,"")</f>
        <v/>
      </c>
    </row>
    <row r="13467" spans="1:7" ht="12" customHeight="1" outlineLevel="3" x14ac:dyDescent="0.2">
      <c r="A13467" s="14" t="s">
        <v>26483</v>
      </c>
      <c r="B13467" s="15" t="s">
        <v>26484</v>
      </c>
      <c r="C13467" s="16">
        <f>198.46/(1+B2)</f>
        <v>198.46</v>
      </c>
      <c r="D13467" s="17" t="s">
        <v>11</v>
      </c>
      <c r="E13467" s="17"/>
      <c r="F13467" s="18"/>
      <c r="G13467" s="36" t="str">
        <f>IF(ISNUMBER(F13467),C13467*F13467,"")</f>
        <v/>
      </c>
    </row>
    <row r="13468" spans="1:7" ht="12" customHeight="1" outlineLevel="3" x14ac:dyDescent="0.2">
      <c r="A13468" s="14" t="s">
        <v>26485</v>
      </c>
      <c r="B13468" s="15" t="s">
        <v>26486</v>
      </c>
      <c r="C13468" s="16">
        <f>198.46/(1+B2)</f>
        <v>198.46</v>
      </c>
      <c r="D13468" s="17" t="s">
        <v>11</v>
      </c>
      <c r="E13468" s="17"/>
      <c r="F13468" s="18"/>
      <c r="G13468" s="36" t="str">
        <f>IF(ISNUMBER(F13468),C13468*F13468,"")</f>
        <v/>
      </c>
    </row>
    <row r="13469" spans="1:7" ht="12" customHeight="1" outlineLevel="3" x14ac:dyDescent="0.2">
      <c r="A13469" s="14" t="s">
        <v>26487</v>
      </c>
      <c r="B13469" s="15" t="s">
        <v>26488</v>
      </c>
      <c r="C13469" s="16">
        <f>198.46/(1+B2)</f>
        <v>198.46</v>
      </c>
      <c r="D13469" s="17" t="s">
        <v>11</v>
      </c>
      <c r="E13469" s="17"/>
      <c r="F13469" s="18"/>
      <c r="G13469" s="36" t="str">
        <f>IF(ISNUMBER(F13469),C13469*F13469,"")</f>
        <v/>
      </c>
    </row>
    <row r="13470" spans="1:7" ht="12" customHeight="1" outlineLevel="3" x14ac:dyDescent="0.2">
      <c r="A13470" s="14" t="s">
        <v>26489</v>
      </c>
      <c r="B13470" s="15" t="s">
        <v>26490</v>
      </c>
      <c r="C13470" s="16">
        <f>238.15/(1+B2)</f>
        <v>238.15</v>
      </c>
      <c r="D13470" s="17" t="s">
        <v>11</v>
      </c>
      <c r="E13470" s="17"/>
      <c r="F13470" s="18"/>
      <c r="G13470" s="36" t="str">
        <f>IF(ISNUMBER(F13470),C13470*F13470,"")</f>
        <v/>
      </c>
    </row>
    <row r="13471" spans="1:7" ht="12" customHeight="1" outlineLevel="3" x14ac:dyDescent="0.2">
      <c r="A13471" s="14" t="s">
        <v>26491</v>
      </c>
      <c r="B13471" s="15" t="s">
        <v>26492</v>
      </c>
      <c r="C13471" s="16">
        <f>269.83/(1+B2)</f>
        <v>269.83</v>
      </c>
      <c r="D13471" s="17" t="s">
        <v>11</v>
      </c>
      <c r="E13471" s="17"/>
      <c r="F13471" s="18"/>
      <c r="G13471" s="36" t="str">
        <f>IF(ISNUMBER(F13471),C13471*F13471,"")</f>
        <v/>
      </c>
    </row>
    <row r="13472" spans="1:7" ht="12" customHeight="1" outlineLevel="3" x14ac:dyDescent="0.2">
      <c r="A13472" s="14" t="s">
        <v>26493</v>
      </c>
      <c r="B13472" s="15" t="s">
        <v>26494</v>
      </c>
      <c r="C13472" s="16">
        <f>289.15/(1+B2)</f>
        <v>289.14999999999998</v>
      </c>
      <c r="D13472" s="17" t="s">
        <v>11</v>
      </c>
      <c r="E13472" s="17"/>
      <c r="F13472" s="18"/>
      <c r="G13472" s="36" t="str">
        <f>IF(ISNUMBER(F13472),C13472*F13472,"")</f>
        <v/>
      </c>
    </row>
    <row r="13473" spans="1:7" ht="12" customHeight="1" outlineLevel="3" x14ac:dyDescent="0.2">
      <c r="A13473" s="14" t="s">
        <v>26495</v>
      </c>
      <c r="B13473" s="15" t="s">
        <v>26496</v>
      </c>
      <c r="C13473" s="16">
        <f>338.83/(1+B2)</f>
        <v>338.83</v>
      </c>
      <c r="D13473" s="17" t="s">
        <v>11</v>
      </c>
      <c r="E13473" s="17"/>
      <c r="F13473" s="18"/>
      <c r="G13473" s="36" t="str">
        <f>IF(ISNUMBER(F13473),C13473*F13473,"")</f>
        <v/>
      </c>
    </row>
    <row r="13474" spans="1:7" ht="12" customHeight="1" outlineLevel="3" x14ac:dyDescent="0.2">
      <c r="A13474" s="14" t="s">
        <v>26497</v>
      </c>
      <c r="B13474" s="15" t="s">
        <v>26498</v>
      </c>
      <c r="C13474" s="16">
        <f>338.83/(1+B2)</f>
        <v>338.83</v>
      </c>
      <c r="D13474" s="17" t="s">
        <v>11</v>
      </c>
      <c r="E13474" s="17"/>
      <c r="F13474" s="18"/>
      <c r="G13474" s="36" t="str">
        <f>IF(ISNUMBER(F13474),C13474*F13474,"")</f>
        <v/>
      </c>
    </row>
    <row r="13475" spans="1:7" ht="12" customHeight="1" outlineLevel="3" x14ac:dyDescent="0.2">
      <c r="A13475" s="14" t="s">
        <v>26499</v>
      </c>
      <c r="B13475" s="15" t="s">
        <v>26500</v>
      </c>
      <c r="C13475" s="16">
        <f>371.2/(1+B2)</f>
        <v>371.2</v>
      </c>
      <c r="D13475" s="17" t="s">
        <v>11</v>
      </c>
      <c r="E13475" s="17"/>
      <c r="F13475" s="18"/>
      <c r="G13475" s="36" t="str">
        <f>IF(ISNUMBER(F13475),C13475*F13475,"")</f>
        <v/>
      </c>
    </row>
    <row r="13476" spans="1:7" ht="12" customHeight="1" outlineLevel="3" x14ac:dyDescent="0.2">
      <c r="A13476" s="14" t="s">
        <v>26501</v>
      </c>
      <c r="B13476" s="15" t="s">
        <v>26502</v>
      </c>
      <c r="C13476" s="16">
        <f>387.24/(1+B2)</f>
        <v>387.24</v>
      </c>
      <c r="D13476" s="17" t="s">
        <v>11</v>
      </c>
      <c r="E13476" s="17"/>
      <c r="F13476" s="18"/>
      <c r="G13476" s="36" t="str">
        <f>IF(ISNUMBER(F13476),C13476*F13476,"")</f>
        <v/>
      </c>
    </row>
    <row r="13477" spans="1:7" ht="12" customHeight="1" outlineLevel="3" x14ac:dyDescent="0.2">
      <c r="A13477" s="14" t="s">
        <v>26503</v>
      </c>
      <c r="B13477" s="15" t="s">
        <v>26504</v>
      </c>
      <c r="C13477" s="16">
        <f>387.24/(1+B2)</f>
        <v>387.24</v>
      </c>
      <c r="D13477" s="17" t="s">
        <v>11</v>
      </c>
      <c r="E13477" s="17"/>
      <c r="F13477" s="18"/>
      <c r="G13477" s="36" t="str">
        <f>IF(ISNUMBER(F13477),C13477*F13477,"")</f>
        <v/>
      </c>
    </row>
    <row r="13478" spans="1:7" ht="12" customHeight="1" outlineLevel="3" x14ac:dyDescent="0.2">
      <c r="A13478" s="14" t="s">
        <v>26505</v>
      </c>
      <c r="B13478" s="15" t="s">
        <v>26506</v>
      </c>
      <c r="C13478" s="16">
        <f>507.16/(1+B2)</f>
        <v>507.16</v>
      </c>
      <c r="D13478" s="17" t="s">
        <v>11</v>
      </c>
      <c r="E13478" s="17"/>
      <c r="F13478" s="18"/>
      <c r="G13478" s="36" t="str">
        <f>IF(ISNUMBER(F13478),C13478*F13478,"")</f>
        <v/>
      </c>
    </row>
    <row r="13479" spans="1:7" ht="12" customHeight="1" outlineLevel="3" x14ac:dyDescent="0.2">
      <c r="A13479" s="14" t="s">
        <v>26507</v>
      </c>
      <c r="B13479" s="15" t="s">
        <v>26508</v>
      </c>
      <c r="C13479" s="16">
        <f>646.4/(1+B2)</f>
        <v>646.4</v>
      </c>
      <c r="D13479" s="17" t="s">
        <v>11</v>
      </c>
      <c r="E13479" s="17"/>
      <c r="F13479" s="18"/>
      <c r="G13479" s="36" t="str">
        <f>IF(ISNUMBER(F13479),C13479*F13479,"")</f>
        <v/>
      </c>
    </row>
    <row r="13480" spans="1:7" ht="12" customHeight="1" outlineLevel="3" x14ac:dyDescent="0.2">
      <c r="A13480" s="14" t="s">
        <v>26509</v>
      </c>
      <c r="B13480" s="15" t="s">
        <v>26510</v>
      </c>
      <c r="C13480" s="16">
        <f>654.58/(1+B2)</f>
        <v>654.58000000000004</v>
      </c>
      <c r="D13480" s="17" t="s">
        <v>11</v>
      </c>
      <c r="E13480" s="17"/>
      <c r="F13480" s="18"/>
      <c r="G13480" s="36" t="str">
        <f>IF(ISNUMBER(F13480),C13480*F13480,"")</f>
        <v/>
      </c>
    </row>
    <row r="13481" spans="1:7" ht="12" customHeight="1" outlineLevel="3" x14ac:dyDescent="0.2">
      <c r="A13481" s="14" t="s">
        <v>26511</v>
      </c>
      <c r="B13481" s="15" t="s">
        <v>26512</v>
      </c>
      <c r="C13481" s="16">
        <f>805.51/(1+B2)</f>
        <v>805.51</v>
      </c>
      <c r="D13481" s="17" t="s">
        <v>11</v>
      </c>
      <c r="E13481" s="17"/>
      <c r="F13481" s="18"/>
      <c r="G13481" s="36" t="str">
        <f>IF(ISNUMBER(F13481),C13481*F13481,"")</f>
        <v/>
      </c>
    </row>
    <row r="13482" spans="1:7" ht="12" customHeight="1" outlineLevel="3" x14ac:dyDescent="0.2">
      <c r="A13482" s="14" t="s">
        <v>26513</v>
      </c>
      <c r="B13482" s="15" t="s">
        <v>26514</v>
      </c>
      <c r="C13482" s="16">
        <f>822.87/(1+B2)</f>
        <v>822.87</v>
      </c>
      <c r="D13482" s="17" t="s">
        <v>11</v>
      </c>
      <c r="E13482" s="17"/>
      <c r="F13482" s="18"/>
      <c r="G13482" s="36" t="str">
        <f>IF(ISNUMBER(F13482),C13482*F13482,"")</f>
        <v/>
      </c>
    </row>
    <row r="13483" spans="1:7" ht="12" customHeight="1" outlineLevel="3" x14ac:dyDescent="0.2">
      <c r="A13483" s="14" t="s">
        <v>26515</v>
      </c>
      <c r="B13483" s="15" t="s">
        <v>26516</v>
      </c>
      <c r="C13483" s="16">
        <f>114.23/(1+B2)</f>
        <v>114.23</v>
      </c>
      <c r="D13483" s="17" t="s">
        <v>11</v>
      </c>
      <c r="E13483" s="17"/>
      <c r="F13483" s="18"/>
      <c r="G13483" s="36" t="str">
        <f>IF(ISNUMBER(F13483),C13483*F13483,"")</f>
        <v/>
      </c>
    </row>
    <row r="13484" spans="1:7" ht="12" customHeight="1" outlineLevel="3" x14ac:dyDescent="0.2">
      <c r="A13484" s="14" t="s">
        <v>26517</v>
      </c>
      <c r="B13484" s="15" t="s">
        <v>26518</v>
      </c>
      <c r="C13484" s="16">
        <f>123.37/(1+B2)</f>
        <v>123.37</v>
      </c>
      <c r="D13484" s="17" t="s">
        <v>11</v>
      </c>
      <c r="E13484" s="17"/>
      <c r="F13484" s="18"/>
      <c r="G13484" s="36" t="str">
        <f>IF(ISNUMBER(F13484),C13484*F13484,"")</f>
        <v/>
      </c>
    </row>
    <row r="13485" spans="1:7" ht="12" customHeight="1" outlineLevel="3" x14ac:dyDescent="0.2">
      <c r="A13485" s="14" t="s">
        <v>26519</v>
      </c>
      <c r="B13485" s="15" t="s">
        <v>26520</v>
      </c>
      <c r="C13485" s="16">
        <f>117.14/(1+B2)</f>
        <v>117.14</v>
      </c>
      <c r="D13485" s="17" t="s">
        <v>11</v>
      </c>
      <c r="E13485" s="17"/>
      <c r="F13485" s="18"/>
      <c r="G13485" s="36" t="str">
        <f>IF(ISNUMBER(F13485),C13485*F13485,"")</f>
        <v/>
      </c>
    </row>
    <row r="13486" spans="1:7" ht="12" customHeight="1" outlineLevel="3" x14ac:dyDescent="0.2">
      <c r="A13486" s="14" t="s">
        <v>26521</v>
      </c>
      <c r="B13486" s="15" t="s">
        <v>26522</v>
      </c>
      <c r="C13486" s="16">
        <f>138.44/(1+B2)</f>
        <v>138.44</v>
      </c>
      <c r="D13486" s="17" t="s">
        <v>14</v>
      </c>
      <c r="E13486" s="17"/>
      <c r="F13486" s="18"/>
      <c r="G13486" s="36" t="str">
        <f>IF(ISNUMBER(F13486),C13486*F13486,"")</f>
        <v/>
      </c>
    </row>
    <row r="13487" spans="1:7" ht="12" customHeight="1" outlineLevel="3" x14ac:dyDescent="0.2">
      <c r="A13487" s="14" t="s">
        <v>26523</v>
      </c>
      <c r="B13487" s="15" t="s">
        <v>26524</v>
      </c>
      <c r="C13487" s="16">
        <f>186.66/(1+B2)</f>
        <v>186.66</v>
      </c>
      <c r="D13487" s="17" t="s">
        <v>11</v>
      </c>
      <c r="E13487" s="17"/>
      <c r="F13487" s="18"/>
      <c r="G13487" s="36" t="str">
        <f>IF(ISNUMBER(F13487),C13487*F13487,"")</f>
        <v/>
      </c>
    </row>
    <row r="13488" spans="1:7" ht="12" customHeight="1" outlineLevel="3" x14ac:dyDescent="0.2">
      <c r="A13488" s="14" t="s">
        <v>26525</v>
      </c>
      <c r="B13488" s="15" t="s">
        <v>26526</v>
      </c>
      <c r="C13488" s="16">
        <f>173.29/(1+B2)</f>
        <v>173.29</v>
      </c>
      <c r="D13488" s="17" t="s">
        <v>11</v>
      </c>
      <c r="E13488" s="17"/>
      <c r="F13488" s="18"/>
      <c r="G13488" s="36" t="str">
        <f>IF(ISNUMBER(F13488),C13488*F13488,"")</f>
        <v/>
      </c>
    </row>
    <row r="13489" spans="1:7" ht="12" customHeight="1" outlineLevel="3" x14ac:dyDescent="0.2">
      <c r="A13489" s="14" t="s">
        <v>26527</v>
      </c>
      <c r="B13489" s="15" t="s">
        <v>26528</v>
      </c>
      <c r="C13489" s="16">
        <f>734.4/(1+B2)</f>
        <v>734.4</v>
      </c>
      <c r="D13489" s="17" t="s">
        <v>11</v>
      </c>
      <c r="E13489" s="17"/>
      <c r="F13489" s="18"/>
      <c r="G13489" s="36" t="str">
        <f>IF(ISNUMBER(F13489),C13489*F13489,"")</f>
        <v/>
      </c>
    </row>
    <row r="13490" spans="1:7" ht="12" customHeight="1" outlineLevel="3" x14ac:dyDescent="0.2">
      <c r="A13490" s="14" t="s">
        <v>26529</v>
      </c>
      <c r="B13490" s="15" t="s">
        <v>26530</v>
      </c>
      <c r="C13490" s="19">
        <f>1782.05/(1+B2)</f>
        <v>1782.05</v>
      </c>
      <c r="D13490" s="17" t="s">
        <v>11</v>
      </c>
      <c r="E13490" s="17"/>
      <c r="F13490" s="18"/>
      <c r="G13490" s="36" t="str">
        <f>IF(ISNUMBER(F13490),C13490*F13490,"")</f>
        <v/>
      </c>
    </row>
    <row r="13491" spans="1:7" ht="12" customHeight="1" outlineLevel="3" x14ac:dyDescent="0.2">
      <c r="A13491" s="14" t="s">
        <v>26531</v>
      </c>
      <c r="B13491" s="15" t="s">
        <v>26532</v>
      </c>
      <c r="C13491" s="19">
        <f>2279.54/(1+B2)</f>
        <v>2279.54</v>
      </c>
      <c r="D13491" s="17" t="s">
        <v>11</v>
      </c>
      <c r="E13491" s="17"/>
      <c r="F13491" s="18"/>
      <c r="G13491" s="36" t="str">
        <f>IF(ISNUMBER(F13491),C13491*F13491,"")</f>
        <v/>
      </c>
    </row>
    <row r="13492" spans="1:7" ht="12" customHeight="1" outlineLevel="3" x14ac:dyDescent="0.2">
      <c r="A13492" s="14" t="s">
        <v>26533</v>
      </c>
      <c r="B13492" s="15" t="s">
        <v>26534</v>
      </c>
      <c r="C13492" s="19">
        <f>1265.11/(1+B2)</f>
        <v>1265.1099999999999</v>
      </c>
      <c r="D13492" s="17" t="s">
        <v>11</v>
      </c>
      <c r="E13492" s="17"/>
      <c r="F13492" s="18"/>
      <c r="G13492" s="36" t="str">
        <f>IF(ISNUMBER(F13492),C13492*F13492,"")</f>
        <v/>
      </c>
    </row>
    <row r="13493" spans="1:7" ht="12" customHeight="1" outlineLevel="3" x14ac:dyDescent="0.2">
      <c r="A13493" s="14" t="s">
        <v>26535</v>
      </c>
      <c r="B13493" s="15" t="s">
        <v>26536</v>
      </c>
      <c r="C13493" s="16">
        <f>671.81/(1+B2)</f>
        <v>671.81</v>
      </c>
      <c r="D13493" s="17" t="s">
        <v>11</v>
      </c>
      <c r="E13493" s="17"/>
      <c r="F13493" s="18"/>
      <c r="G13493" s="36" t="str">
        <f>IF(ISNUMBER(F13493),C13493*F13493,"")</f>
        <v/>
      </c>
    </row>
    <row r="13494" spans="1:7" ht="12" customHeight="1" outlineLevel="3" x14ac:dyDescent="0.2">
      <c r="A13494" s="14" t="s">
        <v>26537</v>
      </c>
      <c r="B13494" s="15" t="s">
        <v>26538</v>
      </c>
      <c r="C13494" s="19">
        <f>1863.88/(1+B2)</f>
        <v>1863.88</v>
      </c>
      <c r="D13494" s="17" t="s">
        <v>11</v>
      </c>
      <c r="E13494" s="17" t="s">
        <v>11</v>
      </c>
      <c r="F13494" s="18"/>
      <c r="G13494" s="36" t="str">
        <f>IF(ISNUMBER(F13494),C13494*F13494,"")</f>
        <v/>
      </c>
    </row>
    <row r="13495" spans="1:7" s="1" customFormat="1" ht="12.95" customHeight="1" outlineLevel="2" x14ac:dyDescent="0.2">
      <c r="A13495" s="20"/>
      <c r="B13495" s="21" t="s">
        <v>26539</v>
      </c>
      <c r="C13495" s="22"/>
      <c r="D13495" s="22"/>
      <c r="E13495" s="22"/>
      <c r="F13495" s="22"/>
      <c r="G13495" s="37"/>
    </row>
    <row r="13496" spans="1:7" ht="12" customHeight="1" outlineLevel="3" x14ac:dyDescent="0.2">
      <c r="A13496" s="14" t="s">
        <v>26540</v>
      </c>
      <c r="B13496" s="15" t="s">
        <v>26541</v>
      </c>
      <c r="C13496" s="16">
        <f>734.21/(1+B2)</f>
        <v>734.21</v>
      </c>
      <c r="D13496" s="17" t="s">
        <v>11</v>
      </c>
      <c r="E13496" s="17"/>
      <c r="F13496" s="18"/>
      <c r="G13496" s="36" t="str">
        <f>IF(ISNUMBER(F13496),C13496*F13496,"")</f>
        <v/>
      </c>
    </row>
    <row r="13497" spans="1:7" ht="12" customHeight="1" outlineLevel="3" x14ac:dyDescent="0.2">
      <c r="A13497" s="14" t="s">
        <v>26542</v>
      </c>
      <c r="B13497" s="15" t="s">
        <v>26543</v>
      </c>
      <c r="C13497" s="16">
        <f>929.63/(1+B2)</f>
        <v>929.63</v>
      </c>
      <c r="D13497" s="17" t="s">
        <v>11</v>
      </c>
      <c r="E13497" s="17"/>
      <c r="F13497" s="18"/>
      <c r="G13497" s="36" t="str">
        <f>IF(ISNUMBER(F13497),C13497*F13497,"")</f>
        <v/>
      </c>
    </row>
    <row r="13498" spans="1:7" ht="12" customHeight="1" outlineLevel="3" x14ac:dyDescent="0.2">
      <c r="A13498" s="14" t="s">
        <v>26544</v>
      </c>
      <c r="B13498" s="15" t="s">
        <v>26545</v>
      </c>
      <c r="C13498" s="16">
        <f>276.47/(1+B2)</f>
        <v>276.47000000000003</v>
      </c>
      <c r="D13498" s="17" t="s">
        <v>11</v>
      </c>
      <c r="E13498" s="17"/>
      <c r="F13498" s="18"/>
      <c r="G13498" s="36" t="str">
        <f>IF(ISNUMBER(F13498),C13498*F13498,"")</f>
        <v/>
      </c>
    </row>
    <row r="13499" spans="1:7" ht="12" customHeight="1" outlineLevel="3" x14ac:dyDescent="0.2">
      <c r="A13499" s="14" t="s">
        <v>26546</v>
      </c>
      <c r="B13499" s="15" t="s">
        <v>26547</v>
      </c>
      <c r="C13499" s="16">
        <f>781.06/(1+B2)</f>
        <v>781.06</v>
      </c>
      <c r="D13499" s="17" t="s">
        <v>11</v>
      </c>
      <c r="E13499" s="17"/>
      <c r="F13499" s="18"/>
      <c r="G13499" s="36" t="str">
        <f>IF(ISNUMBER(F13499),C13499*F13499,"")</f>
        <v/>
      </c>
    </row>
    <row r="13500" spans="1:7" ht="12" customHeight="1" outlineLevel="3" x14ac:dyDescent="0.2">
      <c r="A13500" s="14" t="s">
        <v>26548</v>
      </c>
      <c r="B13500" s="15" t="s">
        <v>26549</v>
      </c>
      <c r="C13500" s="19">
        <f>1070.11/(1+B2)</f>
        <v>1070.1099999999999</v>
      </c>
      <c r="D13500" s="17" t="s">
        <v>11</v>
      </c>
      <c r="E13500" s="17"/>
      <c r="F13500" s="18"/>
      <c r="G13500" s="36" t="str">
        <f>IF(ISNUMBER(F13500),C13500*F13500,"")</f>
        <v/>
      </c>
    </row>
    <row r="13501" spans="1:7" ht="12" customHeight="1" outlineLevel="3" x14ac:dyDescent="0.2">
      <c r="A13501" s="14" t="s">
        <v>26550</v>
      </c>
      <c r="B13501" s="15" t="s">
        <v>26551</v>
      </c>
      <c r="C13501" s="16">
        <f>276.4/(1+B2)</f>
        <v>276.39999999999998</v>
      </c>
      <c r="D13501" s="17" t="s">
        <v>11</v>
      </c>
      <c r="E13501" s="17"/>
      <c r="F13501" s="18"/>
      <c r="G13501" s="36" t="str">
        <f>IF(ISNUMBER(F13501),C13501*F13501,"")</f>
        <v/>
      </c>
    </row>
    <row r="13502" spans="1:7" ht="12" customHeight="1" outlineLevel="3" x14ac:dyDescent="0.2">
      <c r="A13502" s="14" t="s">
        <v>26552</v>
      </c>
      <c r="B13502" s="15" t="s">
        <v>26553</v>
      </c>
      <c r="C13502" s="16">
        <f>219.48/(1+B2)</f>
        <v>219.48</v>
      </c>
      <c r="D13502" s="17" t="s">
        <v>11</v>
      </c>
      <c r="E13502" s="17"/>
      <c r="F13502" s="18"/>
      <c r="G13502" s="36" t="str">
        <f>IF(ISNUMBER(F13502),C13502*F13502,"")</f>
        <v/>
      </c>
    </row>
    <row r="13503" spans="1:7" ht="12" customHeight="1" outlineLevel="3" x14ac:dyDescent="0.2">
      <c r="A13503" s="14" t="s">
        <v>26554</v>
      </c>
      <c r="B13503" s="15" t="s">
        <v>26555</v>
      </c>
      <c r="C13503" s="16">
        <f>55/(1+B2)</f>
        <v>55</v>
      </c>
      <c r="D13503" s="17" t="s">
        <v>11</v>
      </c>
      <c r="E13503" s="17"/>
      <c r="F13503" s="18"/>
      <c r="G13503" s="36" t="str">
        <f>IF(ISNUMBER(F13503),C13503*F13503,"")</f>
        <v/>
      </c>
    </row>
    <row r="13504" spans="1:7" ht="12" customHeight="1" outlineLevel="3" x14ac:dyDescent="0.2">
      <c r="A13504" s="14" t="s">
        <v>26556</v>
      </c>
      <c r="B13504" s="15" t="s">
        <v>26557</v>
      </c>
      <c r="C13504" s="16">
        <f>108.96/(1+B2)</f>
        <v>108.96</v>
      </c>
      <c r="D13504" s="17" t="s">
        <v>11</v>
      </c>
      <c r="E13504" s="17"/>
      <c r="F13504" s="18"/>
      <c r="G13504" s="36" t="str">
        <f>IF(ISNUMBER(F13504),C13504*F13504,"")</f>
        <v/>
      </c>
    </row>
    <row r="13505" spans="1:7" ht="12" customHeight="1" outlineLevel="3" x14ac:dyDescent="0.2">
      <c r="A13505" s="14" t="s">
        <v>26558</v>
      </c>
      <c r="B13505" s="15" t="s">
        <v>26559</v>
      </c>
      <c r="C13505" s="16">
        <f>56.66/(1+B2)</f>
        <v>56.66</v>
      </c>
      <c r="D13505" s="17" t="s">
        <v>11</v>
      </c>
      <c r="E13505" s="17"/>
      <c r="F13505" s="18"/>
      <c r="G13505" s="36" t="str">
        <f>IF(ISNUMBER(F13505),C13505*F13505,"")</f>
        <v/>
      </c>
    </row>
    <row r="13506" spans="1:7" ht="12" customHeight="1" outlineLevel="3" x14ac:dyDescent="0.2">
      <c r="A13506" s="14" t="s">
        <v>26560</v>
      </c>
      <c r="B13506" s="15" t="s">
        <v>26561</v>
      </c>
      <c r="C13506" s="16">
        <f>88.57/(1+B2)</f>
        <v>88.57</v>
      </c>
      <c r="D13506" s="17" t="s">
        <v>11</v>
      </c>
      <c r="E13506" s="17"/>
      <c r="F13506" s="18"/>
      <c r="G13506" s="36" t="str">
        <f>IF(ISNUMBER(F13506),C13506*F13506,"")</f>
        <v/>
      </c>
    </row>
    <row r="13507" spans="1:7" ht="12" customHeight="1" outlineLevel="3" x14ac:dyDescent="0.2">
      <c r="A13507" s="14" t="s">
        <v>26562</v>
      </c>
      <c r="B13507" s="15" t="s">
        <v>26563</v>
      </c>
      <c r="C13507" s="16">
        <f>159.84/(1+B2)</f>
        <v>159.84</v>
      </c>
      <c r="D13507" s="17" t="s">
        <v>11</v>
      </c>
      <c r="E13507" s="17"/>
      <c r="F13507" s="18"/>
      <c r="G13507" s="36" t="str">
        <f>IF(ISNUMBER(F13507),C13507*F13507,"")</f>
        <v/>
      </c>
    </row>
    <row r="13508" spans="1:7" ht="12" customHeight="1" outlineLevel="3" x14ac:dyDescent="0.2">
      <c r="A13508" s="14" t="s">
        <v>26564</v>
      </c>
      <c r="B13508" s="15" t="s">
        <v>26565</v>
      </c>
      <c r="C13508" s="16">
        <f>159.84/(1+B2)</f>
        <v>159.84</v>
      </c>
      <c r="D13508" s="17" t="s">
        <v>11</v>
      </c>
      <c r="E13508" s="17"/>
      <c r="F13508" s="18"/>
      <c r="G13508" s="36" t="str">
        <f>IF(ISNUMBER(F13508),C13508*F13508,"")</f>
        <v/>
      </c>
    </row>
    <row r="13509" spans="1:7" ht="12" customHeight="1" outlineLevel="3" x14ac:dyDescent="0.2">
      <c r="A13509" s="14" t="s">
        <v>26566</v>
      </c>
      <c r="B13509" s="15" t="s">
        <v>26567</v>
      </c>
      <c r="C13509" s="16">
        <f>159.82/(1+B2)</f>
        <v>159.82</v>
      </c>
      <c r="D13509" s="17" t="s">
        <v>11</v>
      </c>
      <c r="E13509" s="17"/>
      <c r="F13509" s="18"/>
      <c r="G13509" s="36" t="str">
        <f>IF(ISNUMBER(F13509),C13509*F13509,"")</f>
        <v/>
      </c>
    </row>
    <row r="13510" spans="1:7" ht="12" customHeight="1" outlineLevel="3" x14ac:dyDescent="0.2">
      <c r="A13510" s="14" t="s">
        <v>26568</v>
      </c>
      <c r="B13510" s="15" t="s">
        <v>26569</v>
      </c>
      <c r="C13510" s="16">
        <f>248.82/(1+B2)</f>
        <v>248.82</v>
      </c>
      <c r="D13510" s="17" t="s">
        <v>11</v>
      </c>
      <c r="E13510" s="17"/>
      <c r="F13510" s="18"/>
      <c r="G13510" s="36" t="str">
        <f>IF(ISNUMBER(F13510),C13510*F13510,"")</f>
        <v/>
      </c>
    </row>
    <row r="13511" spans="1:7" ht="12" customHeight="1" outlineLevel="3" x14ac:dyDescent="0.2">
      <c r="A13511" s="14" t="s">
        <v>26570</v>
      </c>
      <c r="B13511" s="15" t="s">
        <v>26571</v>
      </c>
      <c r="C13511" s="16">
        <f>249.41/(1+B2)</f>
        <v>249.41</v>
      </c>
      <c r="D13511" s="17" t="s">
        <v>11</v>
      </c>
      <c r="E13511" s="17"/>
      <c r="F13511" s="18"/>
      <c r="G13511" s="36" t="str">
        <f>IF(ISNUMBER(F13511),C13511*F13511,"")</f>
        <v/>
      </c>
    </row>
    <row r="13512" spans="1:7" ht="12" customHeight="1" outlineLevel="3" x14ac:dyDescent="0.2">
      <c r="A13512" s="14" t="s">
        <v>26572</v>
      </c>
      <c r="B13512" s="15" t="s">
        <v>26573</v>
      </c>
      <c r="C13512" s="16">
        <f>255.09/(1+B2)</f>
        <v>255.09</v>
      </c>
      <c r="D13512" s="17" t="s">
        <v>11</v>
      </c>
      <c r="E13512" s="17"/>
      <c r="F13512" s="18"/>
      <c r="G13512" s="36" t="str">
        <f>IF(ISNUMBER(F13512),C13512*F13512,"")</f>
        <v/>
      </c>
    </row>
    <row r="13513" spans="1:7" ht="12" customHeight="1" outlineLevel="3" x14ac:dyDescent="0.2">
      <c r="A13513" s="14" t="s">
        <v>26574</v>
      </c>
      <c r="B13513" s="15" t="s">
        <v>26575</v>
      </c>
      <c r="C13513" s="16">
        <f>254.51/(1+B2)</f>
        <v>254.51</v>
      </c>
      <c r="D13513" s="17" t="s">
        <v>11</v>
      </c>
      <c r="E13513" s="17"/>
      <c r="F13513" s="18"/>
      <c r="G13513" s="36" t="str">
        <f>IF(ISNUMBER(F13513),C13513*F13513,"")</f>
        <v/>
      </c>
    </row>
    <row r="13514" spans="1:7" ht="12" customHeight="1" outlineLevel="3" x14ac:dyDescent="0.2">
      <c r="A13514" s="14" t="s">
        <v>26576</v>
      </c>
      <c r="B13514" s="15" t="s">
        <v>26577</v>
      </c>
      <c r="C13514" s="16">
        <f>254.51/(1+B2)</f>
        <v>254.51</v>
      </c>
      <c r="D13514" s="17" t="s">
        <v>11</v>
      </c>
      <c r="E13514" s="17"/>
      <c r="F13514" s="18"/>
      <c r="G13514" s="36" t="str">
        <f>IF(ISNUMBER(F13514),C13514*F13514,"")</f>
        <v/>
      </c>
    </row>
    <row r="13515" spans="1:7" ht="12" customHeight="1" outlineLevel="3" x14ac:dyDescent="0.2">
      <c r="A13515" s="14" t="s">
        <v>26578</v>
      </c>
      <c r="B13515" s="15" t="s">
        <v>26579</v>
      </c>
      <c r="C13515" s="16">
        <f>362.69/(1+B2)</f>
        <v>362.69</v>
      </c>
      <c r="D13515" s="17" t="s">
        <v>11</v>
      </c>
      <c r="E13515" s="17"/>
      <c r="F13515" s="18"/>
      <c r="G13515" s="36" t="str">
        <f>IF(ISNUMBER(F13515),C13515*F13515,"")</f>
        <v/>
      </c>
    </row>
    <row r="13516" spans="1:7" ht="12" customHeight="1" outlineLevel="3" x14ac:dyDescent="0.2">
      <c r="A13516" s="14" t="s">
        <v>26580</v>
      </c>
      <c r="B13516" s="15" t="s">
        <v>26581</v>
      </c>
      <c r="C13516" s="16">
        <f>378.83/(1+B2)</f>
        <v>378.83</v>
      </c>
      <c r="D13516" s="17" t="s">
        <v>11</v>
      </c>
      <c r="E13516" s="17"/>
      <c r="F13516" s="18"/>
      <c r="G13516" s="36" t="str">
        <f>IF(ISNUMBER(F13516),C13516*F13516,"")</f>
        <v/>
      </c>
    </row>
    <row r="13517" spans="1:7" ht="12" customHeight="1" outlineLevel="3" x14ac:dyDescent="0.2">
      <c r="A13517" s="14" t="s">
        <v>26582</v>
      </c>
      <c r="B13517" s="15" t="s">
        <v>26583</v>
      </c>
      <c r="C13517" s="16">
        <f>398.36/(1+B2)</f>
        <v>398.36</v>
      </c>
      <c r="D13517" s="17" t="s">
        <v>11</v>
      </c>
      <c r="E13517" s="17"/>
      <c r="F13517" s="18"/>
      <c r="G13517" s="36" t="str">
        <f>IF(ISNUMBER(F13517),C13517*F13517,"")</f>
        <v/>
      </c>
    </row>
    <row r="13518" spans="1:7" ht="12" customHeight="1" outlineLevel="3" x14ac:dyDescent="0.2">
      <c r="A13518" s="14" t="s">
        <v>26584</v>
      </c>
      <c r="B13518" s="15" t="s">
        <v>26585</v>
      </c>
      <c r="C13518" s="16">
        <f>290.53/(1+B2)</f>
        <v>290.52999999999997</v>
      </c>
      <c r="D13518" s="17" t="s">
        <v>11</v>
      </c>
      <c r="E13518" s="17"/>
      <c r="F13518" s="18"/>
      <c r="G13518" s="36" t="str">
        <f>IF(ISNUMBER(F13518),C13518*F13518,"")</f>
        <v/>
      </c>
    </row>
    <row r="13519" spans="1:7" ht="12" customHeight="1" outlineLevel="3" x14ac:dyDescent="0.2">
      <c r="A13519" s="14" t="s">
        <v>26586</v>
      </c>
      <c r="B13519" s="15" t="s">
        <v>26587</v>
      </c>
      <c r="C13519" s="16">
        <f>436.63/(1+B2)</f>
        <v>436.63</v>
      </c>
      <c r="D13519" s="17" t="s">
        <v>11</v>
      </c>
      <c r="E13519" s="17"/>
      <c r="F13519" s="18"/>
      <c r="G13519" s="36" t="str">
        <f>IF(ISNUMBER(F13519),C13519*F13519,"")</f>
        <v/>
      </c>
    </row>
    <row r="13520" spans="1:7" ht="12" customHeight="1" outlineLevel="3" x14ac:dyDescent="0.2">
      <c r="A13520" s="14" t="s">
        <v>26588</v>
      </c>
      <c r="B13520" s="15" t="s">
        <v>26589</v>
      </c>
      <c r="C13520" s="16">
        <f>441.12/(1+B2)</f>
        <v>441.12</v>
      </c>
      <c r="D13520" s="17" t="s">
        <v>11</v>
      </c>
      <c r="E13520" s="17"/>
      <c r="F13520" s="18"/>
      <c r="G13520" s="36" t="str">
        <f>IF(ISNUMBER(F13520),C13520*F13520,"")</f>
        <v/>
      </c>
    </row>
    <row r="13521" spans="1:7" ht="12" customHeight="1" outlineLevel="3" x14ac:dyDescent="0.2">
      <c r="A13521" s="14" t="s">
        <v>26590</v>
      </c>
      <c r="B13521" s="15" t="s">
        <v>26591</v>
      </c>
      <c r="C13521" s="16">
        <f>443.35/(1+B2)</f>
        <v>443.35</v>
      </c>
      <c r="D13521" s="17" t="s">
        <v>11</v>
      </c>
      <c r="E13521" s="17"/>
      <c r="F13521" s="18"/>
      <c r="G13521" s="36" t="str">
        <f>IF(ISNUMBER(F13521),C13521*F13521,"")</f>
        <v/>
      </c>
    </row>
    <row r="13522" spans="1:7" ht="12" customHeight="1" outlineLevel="3" x14ac:dyDescent="0.2">
      <c r="A13522" s="14" t="s">
        <v>26592</v>
      </c>
      <c r="B13522" s="15" t="s">
        <v>26593</v>
      </c>
      <c r="C13522" s="16">
        <f>60.3/(1+B2)</f>
        <v>60.3</v>
      </c>
      <c r="D13522" s="17" t="s">
        <v>11</v>
      </c>
      <c r="E13522" s="17"/>
      <c r="F13522" s="18"/>
      <c r="G13522" s="36" t="str">
        <f>IF(ISNUMBER(F13522),C13522*F13522,"")</f>
        <v/>
      </c>
    </row>
    <row r="13523" spans="1:7" ht="12" customHeight="1" outlineLevel="3" x14ac:dyDescent="0.2">
      <c r="A13523" s="14" t="s">
        <v>26594</v>
      </c>
      <c r="B13523" s="15" t="s">
        <v>26595</v>
      </c>
      <c r="C13523" s="16">
        <f>81.05/(1+B2)</f>
        <v>81.05</v>
      </c>
      <c r="D13523" s="17" t="s">
        <v>11</v>
      </c>
      <c r="E13523" s="17"/>
      <c r="F13523" s="18"/>
      <c r="G13523" s="36" t="str">
        <f>IF(ISNUMBER(F13523),C13523*F13523,"")</f>
        <v/>
      </c>
    </row>
    <row r="13524" spans="1:7" ht="12" customHeight="1" outlineLevel="3" x14ac:dyDescent="0.2">
      <c r="A13524" s="14" t="s">
        <v>26596</v>
      </c>
      <c r="B13524" s="15" t="s">
        <v>26597</v>
      </c>
      <c r="C13524" s="16">
        <f>69.28/(1+B2)</f>
        <v>69.28</v>
      </c>
      <c r="D13524" s="17" t="s">
        <v>14</v>
      </c>
      <c r="E13524" s="17"/>
      <c r="F13524" s="18"/>
      <c r="G13524" s="36" t="str">
        <f>IF(ISNUMBER(F13524),C13524*F13524,"")</f>
        <v/>
      </c>
    </row>
    <row r="13525" spans="1:7" ht="12" customHeight="1" outlineLevel="3" x14ac:dyDescent="0.2">
      <c r="A13525" s="14" t="s">
        <v>26598</v>
      </c>
      <c r="B13525" s="15" t="s">
        <v>26599</v>
      </c>
      <c r="C13525" s="16">
        <f>98.48/(1+B2)</f>
        <v>98.48</v>
      </c>
      <c r="D13525" s="17" t="s">
        <v>11</v>
      </c>
      <c r="E13525" s="17"/>
      <c r="F13525" s="18"/>
      <c r="G13525" s="36" t="str">
        <f>IF(ISNUMBER(F13525),C13525*F13525,"")</f>
        <v/>
      </c>
    </row>
    <row r="13526" spans="1:7" ht="12" customHeight="1" outlineLevel="3" x14ac:dyDescent="0.2">
      <c r="A13526" s="14" t="s">
        <v>26600</v>
      </c>
      <c r="B13526" s="15" t="s">
        <v>26601</v>
      </c>
      <c r="C13526" s="16">
        <f>72.34/(1+B2)</f>
        <v>72.34</v>
      </c>
      <c r="D13526" s="17" t="s">
        <v>11</v>
      </c>
      <c r="E13526" s="17"/>
      <c r="F13526" s="18"/>
      <c r="G13526" s="36" t="str">
        <f>IF(ISNUMBER(F13526),C13526*F13526,"")</f>
        <v/>
      </c>
    </row>
    <row r="13527" spans="1:7" ht="12" customHeight="1" outlineLevel="3" x14ac:dyDescent="0.2">
      <c r="A13527" s="14" t="s">
        <v>26602</v>
      </c>
      <c r="B13527" s="15" t="s">
        <v>26603</v>
      </c>
      <c r="C13527" s="16">
        <f>107.15/(1+B2)</f>
        <v>107.15</v>
      </c>
      <c r="D13527" s="17" t="s">
        <v>11</v>
      </c>
      <c r="E13527" s="17"/>
      <c r="F13527" s="18"/>
      <c r="G13527" s="36" t="str">
        <f>IF(ISNUMBER(F13527),C13527*F13527,"")</f>
        <v/>
      </c>
    </row>
    <row r="13528" spans="1:7" ht="12" customHeight="1" outlineLevel="3" x14ac:dyDescent="0.2">
      <c r="A13528" s="14" t="s">
        <v>26604</v>
      </c>
      <c r="B13528" s="15" t="s">
        <v>26605</v>
      </c>
      <c r="C13528" s="16">
        <f>124.78/(1+B2)</f>
        <v>124.78</v>
      </c>
      <c r="D13528" s="17" t="s">
        <v>11</v>
      </c>
      <c r="E13528" s="17"/>
      <c r="F13528" s="18"/>
      <c r="G13528" s="36" t="str">
        <f>IF(ISNUMBER(F13528),C13528*F13528,"")</f>
        <v/>
      </c>
    </row>
    <row r="13529" spans="1:7" ht="12" customHeight="1" outlineLevel="3" x14ac:dyDescent="0.2">
      <c r="A13529" s="14" t="s">
        <v>26606</v>
      </c>
      <c r="B13529" s="15" t="s">
        <v>26607</v>
      </c>
      <c r="C13529" s="16">
        <f>124.55/(1+B2)</f>
        <v>124.55</v>
      </c>
      <c r="D13529" s="17" t="s">
        <v>11</v>
      </c>
      <c r="E13529" s="17"/>
      <c r="F13529" s="18"/>
      <c r="G13529" s="36" t="str">
        <f>IF(ISNUMBER(F13529),C13529*F13529,"")</f>
        <v/>
      </c>
    </row>
    <row r="13530" spans="1:7" ht="12" customHeight="1" outlineLevel="3" x14ac:dyDescent="0.2">
      <c r="A13530" s="14" t="s">
        <v>26608</v>
      </c>
      <c r="B13530" s="15" t="s">
        <v>26609</v>
      </c>
      <c r="C13530" s="16">
        <f>417.91/(1+B2)</f>
        <v>417.91</v>
      </c>
      <c r="D13530" s="17" t="s">
        <v>11</v>
      </c>
      <c r="E13530" s="17"/>
      <c r="F13530" s="18"/>
      <c r="G13530" s="36" t="str">
        <f>IF(ISNUMBER(F13530),C13530*F13530,"")</f>
        <v/>
      </c>
    </row>
    <row r="13531" spans="1:7" ht="12" customHeight="1" outlineLevel="3" x14ac:dyDescent="0.2">
      <c r="A13531" s="14" t="s">
        <v>26610</v>
      </c>
      <c r="B13531" s="15" t="s">
        <v>26611</v>
      </c>
      <c r="C13531" s="16">
        <f>828.86/(1+B2)</f>
        <v>828.86</v>
      </c>
      <c r="D13531" s="17" t="s">
        <v>11</v>
      </c>
      <c r="E13531" s="17"/>
      <c r="F13531" s="18"/>
      <c r="G13531" s="36" t="str">
        <f>IF(ISNUMBER(F13531),C13531*F13531,"")</f>
        <v/>
      </c>
    </row>
    <row r="13532" spans="1:7" ht="12" customHeight="1" outlineLevel="3" x14ac:dyDescent="0.2">
      <c r="A13532" s="14" t="s">
        <v>26612</v>
      </c>
      <c r="B13532" s="15" t="s">
        <v>26613</v>
      </c>
      <c r="C13532" s="16">
        <f>208.08/(1+B2)</f>
        <v>208.08</v>
      </c>
      <c r="D13532" s="17" t="s">
        <v>11</v>
      </c>
      <c r="E13532" s="17"/>
      <c r="F13532" s="18"/>
      <c r="G13532" s="36" t="str">
        <f>IF(ISNUMBER(F13532),C13532*F13532,"")</f>
        <v/>
      </c>
    </row>
    <row r="13533" spans="1:7" ht="12" customHeight="1" outlineLevel="3" x14ac:dyDescent="0.2">
      <c r="A13533" s="14" t="s">
        <v>26614</v>
      </c>
      <c r="B13533" s="15" t="s">
        <v>26615</v>
      </c>
      <c r="C13533" s="16">
        <f>274.94/(1+B2)</f>
        <v>274.94</v>
      </c>
      <c r="D13533" s="17" t="s">
        <v>11</v>
      </c>
      <c r="E13533" s="17"/>
      <c r="F13533" s="18"/>
      <c r="G13533" s="36" t="str">
        <f>IF(ISNUMBER(F13533),C13533*F13533,"")</f>
        <v/>
      </c>
    </row>
    <row r="13534" spans="1:7" ht="12" customHeight="1" outlineLevel="3" x14ac:dyDescent="0.2">
      <c r="A13534" s="14" t="s">
        <v>26616</v>
      </c>
      <c r="B13534" s="15" t="s">
        <v>26617</v>
      </c>
      <c r="C13534" s="16">
        <f>505.8/(1+B2)</f>
        <v>505.8</v>
      </c>
      <c r="D13534" s="17" t="s">
        <v>11</v>
      </c>
      <c r="E13534" s="17"/>
      <c r="F13534" s="18"/>
      <c r="G13534" s="36" t="str">
        <f>IF(ISNUMBER(F13534),C13534*F13534,"")</f>
        <v/>
      </c>
    </row>
    <row r="13535" spans="1:7" ht="12" customHeight="1" outlineLevel="3" x14ac:dyDescent="0.2">
      <c r="A13535" s="14" t="s">
        <v>26618</v>
      </c>
      <c r="B13535" s="15" t="s">
        <v>26619</v>
      </c>
      <c r="C13535" s="16">
        <f>746.08/(1+B2)</f>
        <v>746.08</v>
      </c>
      <c r="D13535" s="17" t="s">
        <v>11</v>
      </c>
      <c r="E13535" s="17"/>
      <c r="F13535" s="18"/>
      <c r="G13535" s="36" t="str">
        <f>IF(ISNUMBER(F13535),C13535*F13535,"")</f>
        <v/>
      </c>
    </row>
    <row r="13536" spans="1:7" s="1" customFormat="1" ht="15.95" customHeight="1" outlineLevel="1" x14ac:dyDescent="0.25">
      <c r="A13536" s="11"/>
      <c r="B13536" s="12" t="s">
        <v>26620</v>
      </c>
      <c r="C13536" s="13"/>
      <c r="D13536" s="13"/>
      <c r="E13536" s="13"/>
      <c r="F13536" s="13"/>
      <c r="G13536" s="35"/>
    </row>
    <row r="13537" spans="1:7" s="1" customFormat="1" ht="12.95" customHeight="1" outlineLevel="2" x14ac:dyDescent="0.2">
      <c r="A13537" s="20"/>
      <c r="B13537" s="21" t="s">
        <v>26621</v>
      </c>
      <c r="C13537" s="22"/>
      <c r="D13537" s="22"/>
      <c r="E13537" s="22"/>
      <c r="F13537" s="22"/>
      <c r="G13537" s="37"/>
    </row>
    <row r="13538" spans="1:7" ht="12" customHeight="1" outlineLevel="3" x14ac:dyDescent="0.2">
      <c r="A13538" s="14" t="s">
        <v>26622</v>
      </c>
      <c r="B13538" s="15" t="s">
        <v>26623</v>
      </c>
      <c r="C13538" s="16">
        <f>144.6/(1+B2)</f>
        <v>144.6</v>
      </c>
      <c r="D13538" s="17" t="s">
        <v>11</v>
      </c>
      <c r="E13538" s="17"/>
      <c r="F13538" s="18"/>
      <c r="G13538" s="36" t="str">
        <f>IF(ISNUMBER(F13538),C13538*F13538,"")</f>
        <v/>
      </c>
    </row>
    <row r="13539" spans="1:7" ht="12" customHeight="1" outlineLevel="3" x14ac:dyDescent="0.2">
      <c r="A13539" s="14" t="s">
        <v>26624</v>
      </c>
      <c r="B13539" s="15" t="s">
        <v>26625</v>
      </c>
      <c r="C13539" s="16">
        <f>168/(1+B2)</f>
        <v>168</v>
      </c>
      <c r="D13539" s="17" t="s">
        <v>11</v>
      </c>
      <c r="E13539" s="17"/>
      <c r="F13539" s="18"/>
      <c r="G13539" s="36" t="str">
        <f>IF(ISNUMBER(F13539),C13539*F13539,"")</f>
        <v/>
      </c>
    </row>
    <row r="13540" spans="1:7" ht="12" customHeight="1" outlineLevel="3" x14ac:dyDescent="0.2">
      <c r="A13540" s="14" t="s">
        <v>26626</v>
      </c>
      <c r="B13540" s="15" t="s">
        <v>26627</v>
      </c>
      <c r="C13540" s="16">
        <f>135/(1+B2)</f>
        <v>135</v>
      </c>
      <c r="D13540" s="17" t="s">
        <v>11</v>
      </c>
      <c r="E13540" s="17"/>
      <c r="F13540" s="18"/>
      <c r="G13540" s="36" t="str">
        <f>IF(ISNUMBER(F13540),C13540*F13540,"")</f>
        <v/>
      </c>
    </row>
    <row r="13541" spans="1:7" ht="12" customHeight="1" outlineLevel="3" x14ac:dyDescent="0.2">
      <c r="A13541" s="14" t="s">
        <v>26628</v>
      </c>
      <c r="B13541" s="15" t="s">
        <v>26629</v>
      </c>
      <c r="C13541" s="16">
        <f>169.65/(1+B2)</f>
        <v>169.65</v>
      </c>
      <c r="D13541" s="17" t="s">
        <v>11</v>
      </c>
      <c r="E13541" s="17"/>
      <c r="F13541" s="18"/>
      <c r="G13541" s="36" t="str">
        <f>IF(ISNUMBER(F13541),C13541*F13541,"")</f>
        <v/>
      </c>
    </row>
    <row r="13542" spans="1:7" ht="12" customHeight="1" outlineLevel="3" x14ac:dyDescent="0.2">
      <c r="A13542" s="14" t="s">
        <v>26630</v>
      </c>
      <c r="B13542" s="15" t="s">
        <v>26631</v>
      </c>
      <c r="C13542" s="16">
        <f>169/(1+B2)</f>
        <v>169</v>
      </c>
      <c r="D13542" s="17" t="s">
        <v>11</v>
      </c>
      <c r="E13542" s="17"/>
      <c r="F13542" s="18"/>
      <c r="G13542" s="36" t="str">
        <f>IF(ISNUMBER(F13542),C13542*F13542,"")</f>
        <v/>
      </c>
    </row>
    <row r="13543" spans="1:7" ht="12" customHeight="1" outlineLevel="3" x14ac:dyDescent="0.2">
      <c r="A13543" s="14" t="s">
        <v>26632</v>
      </c>
      <c r="B13543" s="15" t="s">
        <v>26633</v>
      </c>
      <c r="C13543" s="16">
        <f>23.4/(1+B2)</f>
        <v>23.4</v>
      </c>
      <c r="D13543" s="17" t="s">
        <v>14</v>
      </c>
      <c r="E13543" s="17"/>
      <c r="F13543" s="18"/>
      <c r="G13543" s="36" t="str">
        <f>IF(ISNUMBER(F13543),C13543*F13543,"")</f>
        <v/>
      </c>
    </row>
    <row r="13544" spans="1:7" ht="12" customHeight="1" outlineLevel="3" x14ac:dyDescent="0.2">
      <c r="A13544" s="14" t="s">
        <v>26634</v>
      </c>
      <c r="B13544" s="15" t="s">
        <v>26635</v>
      </c>
      <c r="C13544" s="16">
        <f>23.4/(1+B2)</f>
        <v>23.4</v>
      </c>
      <c r="D13544" s="17" t="s">
        <v>11</v>
      </c>
      <c r="E13544" s="17"/>
      <c r="F13544" s="18"/>
      <c r="G13544" s="36" t="str">
        <f>IF(ISNUMBER(F13544),C13544*F13544,"")</f>
        <v/>
      </c>
    </row>
    <row r="13545" spans="1:7" ht="12" customHeight="1" outlineLevel="3" x14ac:dyDescent="0.2">
      <c r="A13545" s="14" t="s">
        <v>26636</v>
      </c>
      <c r="B13545" s="15" t="s">
        <v>26637</v>
      </c>
      <c r="C13545" s="16">
        <f>23.4/(1+B2)</f>
        <v>23.4</v>
      </c>
      <c r="D13545" s="17" t="s">
        <v>53</v>
      </c>
      <c r="E13545" s="17"/>
      <c r="F13545" s="18"/>
      <c r="G13545" s="36" t="str">
        <f>IF(ISNUMBER(F13545),C13545*F13545,"")</f>
        <v/>
      </c>
    </row>
    <row r="13546" spans="1:7" ht="12" customHeight="1" outlineLevel="3" x14ac:dyDescent="0.2">
      <c r="A13546" s="14" t="s">
        <v>26638</v>
      </c>
      <c r="B13546" s="15" t="s">
        <v>26639</v>
      </c>
      <c r="C13546" s="16">
        <f>23.4/(1+B2)</f>
        <v>23.4</v>
      </c>
      <c r="D13546" s="17" t="s">
        <v>53</v>
      </c>
      <c r="E13546" s="17"/>
      <c r="F13546" s="18"/>
      <c r="G13546" s="36" t="str">
        <f>IF(ISNUMBER(F13546),C13546*F13546,"")</f>
        <v/>
      </c>
    </row>
    <row r="13547" spans="1:7" ht="12" customHeight="1" outlineLevel="3" x14ac:dyDescent="0.2">
      <c r="A13547" s="14" t="s">
        <v>26640</v>
      </c>
      <c r="B13547" s="15" t="s">
        <v>26641</v>
      </c>
      <c r="C13547" s="16">
        <f>23.4/(1+B2)</f>
        <v>23.4</v>
      </c>
      <c r="D13547" s="17" t="s">
        <v>53</v>
      </c>
      <c r="E13547" s="17"/>
      <c r="F13547" s="18"/>
      <c r="G13547" s="36" t="str">
        <f>IF(ISNUMBER(F13547),C13547*F13547,"")</f>
        <v/>
      </c>
    </row>
    <row r="13548" spans="1:7" ht="12" customHeight="1" outlineLevel="3" x14ac:dyDescent="0.2">
      <c r="A13548" s="14" t="s">
        <v>26642</v>
      </c>
      <c r="B13548" s="15" t="s">
        <v>26643</v>
      </c>
      <c r="C13548" s="16">
        <f>239.08/(1+B2)</f>
        <v>239.08</v>
      </c>
      <c r="D13548" s="17" t="s">
        <v>11</v>
      </c>
      <c r="E13548" s="17"/>
      <c r="F13548" s="18"/>
      <c r="G13548" s="36" t="str">
        <f>IF(ISNUMBER(F13548),C13548*F13548,"")</f>
        <v/>
      </c>
    </row>
    <row r="13549" spans="1:7" ht="12" customHeight="1" outlineLevel="3" x14ac:dyDescent="0.2">
      <c r="A13549" s="14" t="s">
        <v>26644</v>
      </c>
      <c r="B13549" s="15" t="s">
        <v>26645</v>
      </c>
      <c r="C13549" s="16">
        <f>249.45/(1+B2)</f>
        <v>249.45</v>
      </c>
      <c r="D13549" s="17" t="s">
        <v>11</v>
      </c>
      <c r="E13549" s="17"/>
      <c r="F13549" s="18"/>
      <c r="G13549" s="36" t="str">
        <f>IF(ISNUMBER(F13549),C13549*F13549,"")</f>
        <v/>
      </c>
    </row>
    <row r="13550" spans="1:7" ht="12" customHeight="1" outlineLevel="3" x14ac:dyDescent="0.2">
      <c r="A13550" s="14" t="s">
        <v>26646</v>
      </c>
      <c r="B13550" s="15" t="s">
        <v>26647</v>
      </c>
      <c r="C13550" s="16">
        <f>260/(1+B2)</f>
        <v>260</v>
      </c>
      <c r="D13550" s="17" t="s">
        <v>11</v>
      </c>
      <c r="E13550" s="17"/>
      <c r="F13550" s="18"/>
      <c r="G13550" s="36" t="str">
        <f>IF(ISNUMBER(F13550),C13550*F13550,"")</f>
        <v/>
      </c>
    </row>
    <row r="13551" spans="1:7" ht="12" customHeight="1" outlineLevel="3" x14ac:dyDescent="0.2">
      <c r="A13551" s="14" t="s">
        <v>26648</v>
      </c>
      <c r="B13551" s="15" t="s">
        <v>26649</v>
      </c>
      <c r="C13551" s="16">
        <f>33.8/(1+B2)</f>
        <v>33.799999999999997</v>
      </c>
      <c r="D13551" s="17" t="s">
        <v>53</v>
      </c>
      <c r="E13551" s="17"/>
      <c r="F13551" s="18"/>
      <c r="G13551" s="36" t="str">
        <f>IF(ISNUMBER(F13551),C13551*F13551,"")</f>
        <v/>
      </c>
    </row>
    <row r="13552" spans="1:7" ht="12" customHeight="1" outlineLevel="3" x14ac:dyDescent="0.2">
      <c r="A13552" s="14" t="s">
        <v>26650</v>
      </c>
      <c r="B13552" s="15" t="s">
        <v>26651</v>
      </c>
      <c r="C13552" s="16">
        <f>33.8/(1+B2)</f>
        <v>33.799999999999997</v>
      </c>
      <c r="D13552" s="17" t="s">
        <v>14</v>
      </c>
      <c r="E13552" s="17"/>
      <c r="F13552" s="18"/>
      <c r="G13552" s="36" t="str">
        <f>IF(ISNUMBER(F13552),C13552*F13552,"")</f>
        <v/>
      </c>
    </row>
    <row r="13553" spans="1:7" ht="12" customHeight="1" outlineLevel="3" x14ac:dyDescent="0.2">
      <c r="A13553" s="14" t="s">
        <v>26652</v>
      </c>
      <c r="B13553" s="15" t="s">
        <v>26653</v>
      </c>
      <c r="C13553" s="16">
        <f>33.8/(1+B2)</f>
        <v>33.799999999999997</v>
      </c>
      <c r="D13553" s="17" t="s">
        <v>53</v>
      </c>
      <c r="E13553" s="17"/>
      <c r="F13553" s="18"/>
      <c r="G13553" s="36" t="str">
        <f>IF(ISNUMBER(F13553),C13553*F13553,"")</f>
        <v/>
      </c>
    </row>
    <row r="13554" spans="1:7" ht="12" customHeight="1" outlineLevel="3" x14ac:dyDescent="0.2">
      <c r="A13554" s="14" t="s">
        <v>26654</v>
      </c>
      <c r="B13554" s="15" t="s">
        <v>26655</v>
      </c>
      <c r="C13554" s="16">
        <f>43.68/(1+B2)</f>
        <v>43.68</v>
      </c>
      <c r="D13554" s="17" t="s">
        <v>14</v>
      </c>
      <c r="E13554" s="17"/>
      <c r="F13554" s="18"/>
      <c r="G13554" s="36" t="str">
        <f>IF(ISNUMBER(F13554),C13554*F13554,"")</f>
        <v/>
      </c>
    </row>
    <row r="13555" spans="1:7" ht="12" customHeight="1" outlineLevel="3" x14ac:dyDescent="0.2">
      <c r="A13555" s="14" t="s">
        <v>26656</v>
      </c>
      <c r="B13555" s="15" t="s">
        <v>26657</v>
      </c>
      <c r="C13555" s="16">
        <f>36.4/(1+B2)</f>
        <v>36.4</v>
      </c>
      <c r="D13555" s="17" t="s">
        <v>11</v>
      </c>
      <c r="E13555" s="17"/>
      <c r="F13555" s="18"/>
      <c r="G13555" s="36" t="str">
        <f>IF(ISNUMBER(F13555),C13555*F13555,"")</f>
        <v/>
      </c>
    </row>
    <row r="13556" spans="1:7" ht="12" customHeight="1" outlineLevel="3" x14ac:dyDescent="0.2">
      <c r="A13556" s="14" t="s">
        <v>26658</v>
      </c>
      <c r="B13556" s="15" t="s">
        <v>26659</v>
      </c>
      <c r="C13556" s="16">
        <f>33.6/(1+B2)</f>
        <v>33.6</v>
      </c>
      <c r="D13556" s="17" t="s">
        <v>14</v>
      </c>
      <c r="E13556" s="17"/>
      <c r="F13556" s="18"/>
      <c r="G13556" s="36" t="str">
        <f>IF(ISNUMBER(F13556),C13556*F13556,"")</f>
        <v/>
      </c>
    </row>
    <row r="13557" spans="1:7" ht="12" customHeight="1" outlineLevel="3" x14ac:dyDescent="0.2">
      <c r="A13557" s="14" t="s">
        <v>26660</v>
      </c>
      <c r="B13557" s="15" t="s">
        <v>26661</v>
      </c>
      <c r="C13557" s="16">
        <f>36.4/(1+B2)</f>
        <v>36.4</v>
      </c>
      <c r="D13557" s="17" t="s">
        <v>14</v>
      </c>
      <c r="E13557" s="17"/>
      <c r="F13557" s="18"/>
      <c r="G13557" s="36" t="str">
        <f>IF(ISNUMBER(F13557),C13557*F13557,"")</f>
        <v/>
      </c>
    </row>
    <row r="13558" spans="1:7" ht="12" customHeight="1" outlineLevel="3" x14ac:dyDescent="0.2">
      <c r="A13558" s="14" t="s">
        <v>26662</v>
      </c>
      <c r="B13558" s="15" t="s">
        <v>26663</v>
      </c>
      <c r="C13558" s="16">
        <f>43.68/(1+B2)</f>
        <v>43.68</v>
      </c>
      <c r="D13558" s="17" t="s">
        <v>53</v>
      </c>
      <c r="E13558" s="17"/>
      <c r="F13558" s="18"/>
      <c r="G13558" s="36" t="str">
        <f>IF(ISNUMBER(F13558),C13558*F13558,"")</f>
        <v/>
      </c>
    </row>
    <row r="13559" spans="1:7" ht="12" customHeight="1" outlineLevel="3" x14ac:dyDescent="0.2">
      <c r="A13559" s="14" t="s">
        <v>26664</v>
      </c>
      <c r="B13559" s="15" t="s">
        <v>26665</v>
      </c>
      <c r="C13559" s="16">
        <f>36.4/(1+B2)</f>
        <v>36.4</v>
      </c>
      <c r="D13559" s="17" t="s">
        <v>11</v>
      </c>
      <c r="E13559" s="17"/>
      <c r="F13559" s="18"/>
      <c r="G13559" s="36" t="str">
        <f>IF(ISNUMBER(F13559),C13559*F13559,"")</f>
        <v/>
      </c>
    </row>
    <row r="13560" spans="1:7" ht="12" customHeight="1" outlineLevel="3" x14ac:dyDescent="0.2">
      <c r="A13560" s="14" t="s">
        <v>26666</v>
      </c>
      <c r="B13560" s="15" t="s">
        <v>26667</v>
      </c>
      <c r="C13560" s="16">
        <f>36.4/(1+B2)</f>
        <v>36.4</v>
      </c>
      <c r="D13560" s="17" t="s">
        <v>14</v>
      </c>
      <c r="E13560" s="17"/>
      <c r="F13560" s="18"/>
      <c r="G13560" s="36" t="str">
        <f>IF(ISNUMBER(F13560),C13560*F13560,"")</f>
        <v/>
      </c>
    </row>
    <row r="13561" spans="1:7" ht="12" customHeight="1" outlineLevel="3" x14ac:dyDescent="0.2">
      <c r="A13561" s="14" t="s">
        <v>26668</v>
      </c>
      <c r="B13561" s="15" t="s">
        <v>26669</v>
      </c>
      <c r="C13561" s="16">
        <f>49/(1+B2)</f>
        <v>49</v>
      </c>
      <c r="D13561" s="17" t="s">
        <v>11</v>
      </c>
      <c r="E13561" s="17"/>
      <c r="F13561" s="18"/>
      <c r="G13561" s="36" t="str">
        <f>IF(ISNUMBER(F13561),C13561*F13561,"")</f>
        <v/>
      </c>
    </row>
    <row r="13562" spans="1:7" ht="12" customHeight="1" outlineLevel="3" x14ac:dyDescent="0.2">
      <c r="A13562" s="14" t="s">
        <v>26670</v>
      </c>
      <c r="B13562" s="15" t="s">
        <v>26671</v>
      </c>
      <c r="C13562" s="16">
        <f>42/(1+B2)</f>
        <v>42</v>
      </c>
      <c r="D13562" s="17" t="s">
        <v>11</v>
      </c>
      <c r="E13562" s="17"/>
      <c r="F13562" s="18"/>
      <c r="G13562" s="36" t="str">
        <f>IF(ISNUMBER(F13562),C13562*F13562,"")</f>
        <v/>
      </c>
    </row>
    <row r="13563" spans="1:7" ht="12" customHeight="1" outlineLevel="3" x14ac:dyDescent="0.2">
      <c r="A13563" s="14" t="s">
        <v>26672</v>
      </c>
      <c r="B13563" s="15" t="s">
        <v>26673</v>
      </c>
      <c r="C13563" s="16">
        <f>42/(1+B2)</f>
        <v>42</v>
      </c>
      <c r="D13563" s="17" t="s">
        <v>11</v>
      </c>
      <c r="E13563" s="17"/>
      <c r="F13563" s="18"/>
      <c r="G13563" s="36" t="str">
        <f>IF(ISNUMBER(F13563),C13563*F13563,"")</f>
        <v/>
      </c>
    </row>
    <row r="13564" spans="1:7" ht="12" customHeight="1" outlineLevel="3" x14ac:dyDescent="0.2">
      <c r="A13564" s="14" t="s">
        <v>26674</v>
      </c>
      <c r="B13564" s="15" t="s">
        <v>26675</v>
      </c>
      <c r="C13564" s="16">
        <f>42/(1+B2)</f>
        <v>42</v>
      </c>
      <c r="D13564" s="17" t="s">
        <v>11</v>
      </c>
      <c r="E13564" s="17"/>
      <c r="F13564" s="18"/>
      <c r="G13564" s="36" t="str">
        <f>IF(ISNUMBER(F13564),C13564*F13564,"")</f>
        <v/>
      </c>
    </row>
    <row r="13565" spans="1:7" ht="12" customHeight="1" outlineLevel="3" x14ac:dyDescent="0.2">
      <c r="A13565" s="14" t="s">
        <v>26676</v>
      </c>
      <c r="B13565" s="15" t="s">
        <v>26677</v>
      </c>
      <c r="C13565" s="16">
        <f>45.5/(1+B2)</f>
        <v>45.5</v>
      </c>
      <c r="D13565" s="17" t="s">
        <v>11</v>
      </c>
      <c r="E13565" s="17"/>
      <c r="F13565" s="18"/>
      <c r="G13565" s="36" t="str">
        <f>IF(ISNUMBER(F13565),C13565*F13565,"")</f>
        <v/>
      </c>
    </row>
    <row r="13566" spans="1:7" ht="12" customHeight="1" outlineLevel="3" x14ac:dyDescent="0.2">
      <c r="A13566" s="14" t="s">
        <v>26678</v>
      </c>
      <c r="B13566" s="15" t="s">
        <v>26679</v>
      </c>
      <c r="C13566" s="16">
        <f>42/(1+B2)</f>
        <v>42</v>
      </c>
      <c r="D13566" s="17" t="s">
        <v>11</v>
      </c>
      <c r="E13566" s="17"/>
      <c r="F13566" s="18"/>
      <c r="G13566" s="36" t="str">
        <f>IF(ISNUMBER(F13566),C13566*F13566,"")</f>
        <v/>
      </c>
    </row>
    <row r="13567" spans="1:7" ht="12" customHeight="1" outlineLevel="3" x14ac:dyDescent="0.2">
      <c r="A13567" s="14" t="s">
        <v>26680</v>
      </c>
      <c r="B13567" s="15" t="s">
        <v>26681</v>
      </c>
      <c r="C13567" s="16">
        <f>88.92/(1+B2)</f>
        <v>88.92</v>
      </c>
      <c r="D13567" s="17" t="s">
        <v>11</v>
      </c>
      <c r="E13567" s="17"/>
      <c r="F13567" s="18"/>
      <c r="G13567" s="36" t="str">
        <f>IF(ISNUMBER(F13567),C13567*F13567,"")</f>
        <v/>
      </c>
    </row>
    <row r="13568" spans="1:7" ht="12" customHeight="1" outlineLevel="3" x14ac:dyDescent="0.2">
      <c r="A13568" s="14" t="s">
        <v>26682</v>
      </c>
      <c r="B13568" s="15" t="s">
        <v>26683</v>
      </c>
      <c r="C13568" s="19">
        <f>1366.5/(1+B2)</f>
        <v>1366.5</v>
      </c>
      <c r="D13568" s="17" t="s">
        <v>11</v>
      </c>
      <c r="E13568" s="17"/>
      <c r="F13568" s="18"/>
      <c r="G13568" s="36" t="str">
        <f>IF(ISNUMBER(F13568),C13568*F13568,"")</f>
        <v/>
      </c>
    </row>
    <row r="13569" spans="1:7" ht="12" customHeight="1" outlineLevel="3" x14ac:dyDescent="0.2">
      <c r="A13569" s="14" t="s">
        <v>26684</v>
      </c>
      <c r="B13569" s="15" t="s">
        <v>26685</v>
      </c>
      <c r="C13569" s="16">
        <f>347.72/(1+B2)</f>
        <v>347.72</v>
      </c>
      <c r="D13569" s="17" t="s">
        <v>11</v>
      </c>
      <c r="E13569" s="17"/>
      <c r="F13569" s="18"/>
      <c r="G13569" s="36" t="str">
        <f>IF(ISNUMBER(F13569),C13569*F13569,"")</f>
        <v/>
      </c>
    </row>
    <row r="13570" spans="1:7" ht="12" customHeight="1" outlineLevel="3" x14ac:dyDescent="0.2">
      <c r="A13570" s="14" t="s">
        <v>26686</v>
      </c>
      <c r="B13570" s="15" t="s">
        <v>26687</v>
      </c>
      <c r="C13570" s="19">
        <f>1418.2/(1+B2)</f>
        <v>1418.2</v>
      </c>
      <c r="D13570" s="17" t="s">
        <v>11</v>
      </c>
      <c r="E13570" s="17"/>
      <c r="F13570" s="18"/>
      <c r="G13570" s="36" t="str">
        <f>IF(ISNUMBER(F13570),C13570*F13570,"")</f>
        <v/>
      </c>
    </row>
    <row r="13571" spans="1:7" ht="24" customHeight="1" outlineLevel="3" x14ac:dyDescent="0.2">
      <c r="A13571" s="14" t="s">
        <v>26688</v>
      </c>
      <c r="B13571" s="15" t="s">
        <v>26689</v>
      </c>
      <c r="C13571" s="16">
        <f>124.74/(1+B2)</f>
        <v>124.74</v>
      </c>
      <c r="D13571" s="17" t="s">
        <v>11</v>
      </c>
      <c r="E13571" s="17"/>
      <c r="F13571" s="18"/>
      <c r="G13571" s="36" t="str">
        <f>IF(ISNUMBER(F13571),C13571*F13571,"")</f>
        <v/>
      </c>
    </row>
    <row r="13572" spans="1:7" s="1" customFormat="1" ht="12.95" customHeight="1" outlineLevel="2" x14ac:dyDescent="0.2">
      <c r="A13572" s="20"/>
      <c r="B13572" s="21" t="s">
        <v>26690</v>
      </c>
      <c r="C13572" s="22"/>
      <c r="D13572" s="22"/>
      <c r="E13572" s="22"/>
      <c r="F13572" s="22"/>
      <c r="G13572" s="37"/>
    </row>
    <row r="13573" spans="1:7" ht="12" customHeight="1" outlineLevel="3" x14ac:dyDescent="0.2">
      <c r="A13573" s="14" t="s">
        <v>26691</v>
      </c>
      <c r="B13573" s="15" t="s">
        <v>26692</v>
      </c>
      <c r="C13573" s="16">
        <f>13.14/(1+B2)</f>
        <v>13.14</v>
      </c>
      <c r="D13573" s="17" t="s">
        <v>106</v>
      </c>
      <c r="E13573" s="17"/>
      <c r="F13573" s="18"/>
      <c r="G13573" s="36" t="str">
        <f>IF(ISNUMBER(F13573),C13573*F13573,"")</f>
        <v/>
      </c>
    </row>
    <row r="13574" spans="1:7" ht="12" customHeight="1" outlineLevel="3" x14ac:dyDescent="0.2">
      <c r="A13574" s="14" t="s">
        <v>26693</v>
      </c>
      <c r="B13574" s="15" t="s">
        <v>26694</v>
      </c>
      <c r="C13574" s="16">
        <f>13.14/(1+B2)</f>
        <v>13.14</v>
      </c>
      <c r="D13574" s="17" t="s">
        <v>106</v>
      </c>
      <c r="E13574" s="17"/>
      <c r="F13574" s="18"/>
      <c r="G13574" s="36" t="str">
        <f>IF(ISNUMBER(F13574),C13574*F13574,"")</f>
        <v/>
      </c>
    </row>
    <row r="13575" spans="1:7" ht="12" customHeight="1" outlineLevel="3" x14ac:dyDescent="0.2">
      <c r="A13575" s="14" t="s">
        <v>26695</v>
      </c>
      <c r="B13575" s="15" t="s">
        <v>26696</v>
      </c>
      <c r="C13575" s="16">
        <f>13.14/(1+B2)</f>
        <v>13.14</v>
      </c>
      <c r="D13575" s="17" t="s">
        <v>106</v>
      </c>
      <c r="E13575" s="17"/>
      <c r="F13575" s="18"/>
      <c r="G13575" s="36" t="str">
        <f>IF(ISNUMBER(F13575),C13575*F13575,"")</f>
        <v/>
      </c>
    </row>
    <row r="13576" spans="1:7" ht="12" customHeight="1" outlineLevel="3" x14ac:dyDescent="0.2">
      <c r="A13576" s="14" t="s">
        <v>26697</v>
      </c>
      <c r="B13576" s="15" t="s">
        <v>26698</v>
      </c>
      <c r="C13576" s="16">
        <f>13.14/(1+B2)</f>
        <v>13.14</v>
      </c>
      <c r="D13576" s="17" t="s">
        <v>11</v>
      </c>
      <c r="E13576" s="17"/>
      <c r="F13576" s="18"/>
      <c r="G13576" s="36" t="str">
        <f>IF(ISNUMBER(F13576),C13576*F13576,"")</f>
        <v/>
      </c>
    </row>
    <row r="13577" spans="1:7" ht="12" customHeight="1" outlineLevel="3" x14ac:dyDescent="0.2">
      <c r="A13577" s="14" t="s">
        <v>26699</v>
      </c>
      <c r="B13577" s="15" t="s">
        <v>26700</v>
      </c>
      <c r="C13577" s="16">
        <f>12.62/(1+B2)</f>
        <v>12.62</v>
      </c>
      <c r="D13577" s="17" t="s">
        <v>106</v>
      </c>
      <c r="E13577" s="17"/>
      <c r="F13577" s="18"/>
      <c r="G13577" s="36" t="str">
        <f>IF(ISNUMBER(F13577),C13577*F13577,"")</f>
        <v/>
      </c>
    </row>
    <row r="13578" spans="1:7" ht="12" customHeight="1" outlineLevel="3" x14ac:dyDescent="0.2">
      <c r="A13578" s="14" t="s">
        <v>26701</v>
      </c>
      <c r="B13578" s="15" t="s">
        <v>26702</v>
      </c>
      <c r="C13578" s="16">
        <f>11.41/(1+B2)</f>
        <v>11.41</v>
      </c>
      <c r="D13578" s="17" t="s">
        <v>106</v>
      </c>
      <c r="E13578" s="17"/>
      <c r="F13578" s="18"/>
      <c r="G13578" s="36" t="str">
        <f>IF(ISNUMBER(F13578),C13578*F13578,"")</f>
        <v/>
      </c>
    </row>
    <row r="13579" spans="1:7" ht="12" customHeight="1" outlineLevel="3" x14ac:dyDescent="0.2">
      <c r="A13579" s="14" t="s">
        <v>26703</v>
      </c>
      <c r="B13579" s="15" t="s">
        <v>26704</v>
      </c>
      <c r="C13579" s="16">
        <f>13.14/(1+B2)</f>
        <v>13.14</v>
      </c>
      <c r="D13579" s="17" t="s">
        <v>106</v>
      </c>
      <c r="E13579" s="17"/>
      <c r="F13579" s="18"/>
      <c r="G13579" s="36" t="str">
        <f>IF(ISNUMBER(F13579),C13579*F13579,"")</f>
        <v/>
      </c>
    </row>
    <row r="13580" spans="1:7" ht="12" customHeight="1" outlineLevel="3" x14ac:dyDescent="0.2">
      <c r="A13580" s="14" t="s">
        <v>26705</v>
      </c>
      <c r="B13580" s="15" t="s">
        <v>26706</v>
      </c>
      <c r="C13580" s="16">
        <f>13.14/(1+B2)</f>
        <v>13.14</v>
      </c>
      <c r="D13580" s="17" t="s">
        <v>106</v>
      </c>
      <c r="E13580" s="17"/>
      <c r="F13580" s="18"/>
      <c r="G13580" s="36" t="str">
        <f>IF(ISNUMBER(F13580),C13580*F13580,"")</f>
        <v/>
      </c>
    </row>
    <row r="13581" spans="1:7" ht="12" customHeight="1" outlineLevel="3" x14ac:dyDescent="0.2">
      <c r="A13581" s="14" t="s">
        <v>26707</v>
      </c>
      <c r="B13581" s="15" t="s">
        <v>26708</v>
      </c>
      <c r="C13581" s="16">
        <f>11.46/(1+B2)</f>
        <v>11.46</v>
      </c>
      <c r="D13581" s="17" t="s">
        <v>106</v>
      </c>
      <c r="E13581" s="17"/>
      <c r="F13581" s="18"/>
      <c r="G13581" s="36" t="str">
        <f>IF(ISNUMBER(F13581),C13581*F13581,"")</f>
        <v/>
      </c>
    </row>
    <row r="13582" spans="1:7" ht="12" customHeight="1" outlineLevel="3" x14ac:dyDescent="0.2">
      <c r="A13582" s="14" t="s">
        <v>26709</v>
      </c>
      <c r="B13582" s="15" t="s">
        <v>26710</v>
      </c>
      <c r="C13582" s="16">
        <f>10.12/(1+B2)</f>
        <v>10.119999999999999</v>
      </c>
      <c r="D13582" s="17" t="s">
        <v>106</v>
      </c>
      <c r="E13582" s="17"/>
      <c r="F13582" s="18"/>
      <c r="G13582" s="36" t="str">
        <f>IF(ISNUMBER(F13582),C13582*F13582,"")</f>
        <v/>
      </c>
    </row>
    <row r="13583" spans="1:7" ht="12" customHeight="1" outlineLevel="3" x14ac:dyDescent="0.2">
      <c r="A13583" s="14" t="s">
        <v>26711</v>
      </c>
      <c r="B13583" s="15" t="s">
        <v>26712</v>
      </c>
      <c r="C13583" s="16">
        <f>78.5/(1+B2)</f>
        <v>78.5</v>
      </c>
      <c r="D13583" s="17" t="s">
        <v>53</v>
      </c>
      <c r="E13583" s="17"/>
      <c r="F13583" s="18"/>
      <c r="G13583" s="36" t="str">
        <f>IF(ISNUMBER(F13583),C13583*F13583,"")</f>
        <v/>
      </c>
    </row>
    <row r="13584" spans="1:7" ht="12" customHeight="1" outlineLevel="3" x14ac:dyDescent="0.2">
      <c r="A13584" s="14" t="s">
        <v>26713</v>
      </c>
      <c r="B13584" s="15" t="s">
        <v>26714</v>
      </c>
      <c r="C13584" s="16">
        <f>95.95/(1+B2)</f>
        <v>95.95</v>
      </c>
      <c r="D13584" s="17" t="s">
        <v>14</v>
      </c>
      <c r="E13584" s="17"/>
      <c r="F13584" s="18"/>
      <c r="G13584" s="36" t="str">
        <f>IF(ISNUMBER(F13584),C13584*F13584,"")</f>
        <v/>
      </c>
    </row>
    <row r="13585" spans="1:7" ht="12" customHeight="1" outlineLevel="3" x14ac:dyDescent="0.2">
      <c r="A13585" s="14" t="s">
        <v>26715</v>
      </c>
      <c r="B13585" s="15" t="s">
        <v>26716</v>
      </c>
      <c r="C13585" s="16">
        <f>95.95/(1+B2)</f>
        <v>95.95</v>
      </c>
      <c r="D13585" s="17" t="s">
        <v>14</v>
      </c>
      <c r="E13585" s="17"/>
      <c r="F13585" s="18"/>
      <c r="G13585" s="36" t="str">
        <f>IF(ISNUMBER(F13585),C13585*F13585,"")</f>
        <v/>
      </c>
    </row>
    <row r="13586" spans="1:7" ht="12" customHeight="1" outlineLevel="3" x14ac:dyDescent="0.2">
      <c r="A13586" s="14" t="s">
        <v>26717</v>
      </c>
      <c r="B13586" s="15" t="s">
        <v>26718</v>
      </c>
      <c r="C13586" s="16">
        <f>148.33/(1+B2)</f>
        <v>148.33000000000001</v>
      </c>
      <c r="D13586" s="17" t="s">
        <v>14</v>
      </c>
      <c r="E13586" s="17"/>
      <c r="F13586" s="18"/>
      <c r="G13586" s="36" t="str">
        <f>IF(ISNUMBER(F13586),C13586*F13586,"")</f>
        <v/>
      </c>
    </row>
    <row r="13587" spans="1:7" ht="12" customHeight="1" outlineLevel="3" x14ac:dyDescent="0.2">
      <c r="A13587" s="14" t="s">
        <v>26719</v>
      </c>
      <c r="B13587" s="15" t="s">
        <v>26720</v>
      </c>
      <c r="C13587" s="16">
        <f>208.58/(1+B2)</f>
        <v>208.58</v>
      </c>
      <c r="D13587" s="17" t="s">
        <v>11</v>
      </c>
      <c r="E13587" s="17"/>
      <c r="F13587" s="18"/>
      <c r="G13587" s="36" t="str">
        <f>IF(ISNUMBER(F13587),C13587*F13587,"")</f>
        <v/>
      </c>
    </row>
    <row r="13588" spans="1:7" ht="12" customHeight="1" outlineLevel="3" x14ac:dyDescent="0.2">
      <c r="A13588" s="14" t="s">
        <v>26721</v>
      </c>
      <c r="B13588" s="15" t="s">
        <v>26722</v>
      </c>
      <c r="C13588" s="16">
        <f>173.34/(1+B2)</f>
        <v>173.34</v>
      </c>
      <c r="D13588" s="17" t="s">
        <v>11</v>
      </c>
      <c r="E13588" s="17"/>
      <c r="F13588" s="18"/>
      <c r="G13588" s="36" t="str">
        <f>IF(ISNUMBER(F13588),C13588*F13588,"")</f>
        <v/>
      </c>
    </row>
    <row r="13589" spans="1:7" ht="12" customHeight="1" outlineLevel="3" x14ac:dyDescent="0.2">
      <c r="A13589" s="14" t="s">
        <v>26723</v>
      </c>
      <c r="B13589" s="15" t="s">
        <v>26724</v>
      </c>
      <c r="C13589" s="16">
        <f>190.78/(1+B2)</f>
        <v>190.78</v>
      </c>
      <c r="D13589" s="17" t="s">
        <v>11</v>
      </c>
      <c r="E13589" s="17"/>
      <c r="F13589" s="18"/>
      <c r="G13589" s="36" t="str">
        <f>IF(ISNUMBER(F13589),C13589*F13589,"")</f>
        <v/>
      </c>
    </row>
    <row r="13590" spans="1:7" ht="12" customHeight="1" outlineLevel="3" x14ac:dyDescent="0.2">
      <c r="A13590" s="14" t="s">
        <v>26725</v>
      </c>
      <c r="B13590" s="15" t="s">
        <v>26726</v>
      </c>
      <c r="C13590" s="16">
        <f>251.56/(1+B2)</f>
        <v>251.56</v>
      </c>
      <c r="D13590" s="17" t="s">
        <v>11</v>
      </c>
      <c r="E13590" s="17"/>
      <c r="F13590" s="18"/>
      <c r="G13590" s="36" t="str">
        <f>IF(ISNUMBER(F13590),C13590*F13590,"")</f>
        <v/>
      </c>
    </row>
    <row r="13591" spans="1:7" ht="12" customHeight="1" outlineLevel="3" x14ac:dyDescent="0.2">
      <c r="A13591" s="14" t="s">
        <v>26727</v>
      </c>
      <c r="B13591" s="15" t="s">
        <v>26728</v>
      </c>
      <c r="C13591" s="16">
        <f>268.26/(1+B2)</f>
        <v>268.26</v>
      </c>
      <c r="D13591" s="17" t="s">
        <v>14</v>
      </c>
      <c r="E13591" s="17"/>
      <c r="F13591" s="18"/>
      <c r="G13591" s="36" t="str">
        <f>IF(ISNUMBER(F13591),C13591*F13591,"")</f>
        <v/>
      </c>
    </row>
    <row r="13592" spans="1:7" ht="12" customHeight="1" outlineLevel="3" x14ac:dyDescent="0.2">
      <c r="A13592" s="14" t="s">
        <v>26729</v>
      </c>
      <c r="B13592" s="15" t="s">
        <v>26730</v>
      </c>
      <c r="C13592" s="16">
        <f>190.78/(1+B2)</f>
        <v>190.78</v>
      </c>
      <c r="D13592" s="17" t="s">
        <v>11</v>
      </c>
      <c r="E13592" s="17"/>
      <c r="F13592" s="18"/>
      <c r="G13592" s="36" t="str">
        <f>IF(ISNUMBER(F13592),C13592*F13592,"")</f>
        <v/>
      </c>
    </row>
    <row r="13593" spans="1:7" ht="12" customHeight="1" outlineLevel="3" x14ac:dyDescent="0.2">
      <c r="A13593" s="14" t="s">
        <v>26731</v>
      </c>
      <c r="B13593" s="15" t="s">
        <v>26732</v>
      </c>
      <c r="C13593" s="16">
        <f>268.26/(1+B2)</f>
        <v>268.26</v>
      </c>
      <c r="D13593" s="17" t="s">
        <v>106</v>
      </c>
      <c r="E13593" s="17"/>
      <c r="F13593" s="18"/>
      <c r="G13593" s="36" t="str">
        <f>IF(ISNUMBER(F13593),C13593*F13593,"")</f>
        <v/>
      </c>
    </row>
    <row r="13594" spans="1:7" ht="12" customHeight="1" outlineLevel="3" x14ac:dyDescent="0.2">
      <c r="A13594" s="14" t="s">
        <v>26733</v>
      </c>
      <c r="B13594" s="15" t="s">
        <v>26734</v>
      </c>
      <c r="C13594" s="16">
        <f>187.36/(1+B2)</f>
        <v>187.36</v>
      </c>
      <c r="D13594" s="17" t="s">
        <v>11</v>
      </c>
      <c r="E13594" s="17"/>
      <c r="F13594" s="18"/>
      <c r="G13594" s="36" t="str">
        <f>IF(ISNUMBER(F13594),C13594*F13594,"")</f>
        <v/>
      </c>
    </row>
    <row r="13595" spans="1:7" ht="12" customHeight="1" outlineLevel="3" x14ac:dyDescent="0.2">
      <c r="A13595" s="14" t="s">
        <v>26735</v>
      </c>
      <c r="B13595" s="15" t="s">
        <v>26736</v>
      </c>
      <c r="C13595" s="16">
        <f>241.42/(1+B2)</f>
        <v>241.42</v>
      </c>
      <c r="D13595" s="17" t="s">
        <v>53</v>
      </c>
      <c r="E13595" s="17"/>
      <c r="F13595" s="18"/>
      <c r="G13595" s="36" t="str">
        <f>IF(ISNUMBER(F13595),C13595*F13595,"")</f>
        <v/>
      </c>
    </row>
    <row r="13596" spans="1:7" ht="12" customHeight="1" outlineLevel="3" x14ac:dyDescent="0.2">
      <c r="A13596" s="14" t="s">
        <v>26737</v>
      </c>
      <c r="B13596" s="15" t="s">
        <v>26738</v>
      </c>
      <c r="C13596" s="16">
        <f>213.25/(1+B2)</f>
        <v>213.25</v>
      </c>
      <c r="D13596" s="17" t="s">
        <v>14</v>
      </c>
      <c r="E13596" s="17"/>
      <c r="F13596" s="18"/>
      <c r="G13596" s="36" t="str">
        <f>IF(ISNUMBER(F13596),C13596*F13596,"")</f>
        <v/>
      </c>
    </row>
    <row r="13597" spans="1:7" ht="12" customHeight="1" outlineLevel="3" x14ac:dyDescent="0.2">
      <c r="A13597" s="14" t="s">
        <v>26739</v>
      </c>
      <c r="B13597" s="15" t="s">
        <v>26740</v>
      </c>
      <c r="C13597" s="16">
        <f>332.86/(1+B2)</f>
        <v>332.86</v>
      </c>
      <c r="D13597" s="17" t="s">
        <v>11</v>
      </c>
      <c r="E13597" s="17"/>
      <c r="F13597" s="18"/>
      <c r="G13597" s="36" t="str">
        <f>IF(ISNUMBER(F13597),C13597*F13597,"")</f>
        <v/>
      </c>
    </row>
    <row r="13598" spans="1:7" ht="12" customHeight="1" outlineLevel="3" x14ac:dyDescent="0.2">
      <c r="A13598" s="14" t="s">
        <v>26741</v>
      </c>
      <c r="B13598" s="15" t="s">
        <v>26742</v>
      </c>
      <c r="C13598" s="16">
        <f>236.71/(1+B2)</f>
        <v>236.71</v>
      </c>
      <c r="D13598" s="17" t="s">
        <v>11</v>
      </c>
      <c r="E13598" s="17"/>
      <c r="F13598" s="18"/>
      <c r="G13598" s="36" t="str">
        <f>IF(ISNUMBER(F13598),C13598*F13598,"")</f>
        <v/>
      </c>
    </row>
    <row r="13599" spans="1:7" ht="12" customHeight="1" outlineLevel="3" x14ac:dyDescent="0.2">
      <c r="A13599" s="14" t="s">
        <v>26743</v>
      </c>
      <c r="B13599" s="15" t="s">
        <v>26744</v>
      </c>
      <c r="C13599" s="16">
        <f>297.58/(1+B2)</f>
        <v>297.58</v>
      </c>
      <c r="D13599" s="17" t="s">
        <v>14</v>
      </c>
      <c r="E13599" s="17"/>
      <c r="F13599" s="18"/>
      <c r="G13599" s="36" t="str">
        <f>IF(ISNUMBER(F13599),C13599*F13599,"")</f>
        <v/>
      </c>
    </row>
    <row r="13600" spans="1:7" ht="12" customHeight="1" outlineLevel="3" x14ac:dyDescent="0.2">
      <c r="A13600" s="14" t="s">
        <v>26745</v>
      </c>
      <c r="B13600" s="15" t="s">
        <v>26746</v>
      </c>
      <c r="C13600" s="16">
        <f>377/(1+B2)</f>
        <v>377</v>
      </c>
      <c r="D13600" s="17" t="s">
        <v>11</v>
      </c>
      <c r="E13600" s="17"/>
      <c r="F13600" s="18"/>
      <c r="G13600" s="36" t="str">
        <f>IF(ISNUMBER(F13600),C13600*F13600,"")</f>
        <v/>
      </c>
    </row>
    <row r="13601" spans="1:7" ht="12" customHeight="1" outlineLevel="3" x14ac:dyDescent="0.2">
      <c r="A13601" s="14" t="s">
        <v>26747</v>
      </c>
      <c r="B13601" s="15" t="s">
        <v>26748</v>
      </c>
      <c r="C13601" s="16">
        <f>505.3/(1+B2)</f>
        <v>505.3</v>
      </c>
      <c r="D13601" s="17" t="s">
        <v>11</v>
      </c>
      <c r="E13601" s="17"/>
      <c r="F13601" s="18"/>
      <c r="G13601" s="36" t="str">
        <f>IF(ISNUMBER(F13601),C13601*F13601,"")</f>
        <v/>
      </c>
    </row>
    <row r="13602" spans="1:7" ht="12" customHeight="1" outlineLevel="3" x14ac:dyDescent="0.2">
      <c r="A13602" s="14" t="s">
        <v>26749</v>
      </c>
      <c r="B13602" s="15" t="s">
        <v>26750</v>
      </c>
      <c r="C13602" s="16">
        <f>9.24/(1+B2)</f>
        <v>9.24</v>
      </c>
      <c r="D13602" s="17" t="s">
        <v>53</v>
      </c>
      <c r="E13602" s="17"/>
      <c r="F13602" s="18"/>
      <c r="G13602" s="36" t="str">
        <f>IF(ISNUMBER(F13602),C13602*F13602,"")</f>
        <v/>
      </c>
    </row>
    <row r="13603" spans="1:7" ht="12" customHeight="1" outlineLevel="3" x14ac:dyDescent="0.2">
      <c r="A13603" s="14" t="s">
        <v>26751</v>
      </c>
      <c r="B13603" s="15" t="s">
        <v>26752</v>
      </c>
      <c r="C13603" s="16">
        <f>9.24/(1+B2)</f>
        <v>9.24</v>
      </c>
      <c r="D13603" s="17" t="s">
        <v>53</v>
      </c>
      <c r="E13603" s="17"/>
      <c r="F13603" s="18"/>
      <c r="G13603" s="36" t="str">
        <f>IF(ISNUMBER(F13603),C13603*F13603,"")</f>
        <v/>
      </c>
    </row>
    <row r="13604" spans="1:7" ht="12" customHeight="1" outlineLevel="3" x14ac:dyDescent="0.2">
      <c r="A13604" s="14" t="s">
        <v>26753</v>
      </c>
      <c r="B13604" s="15" t="s">
        <v>26754</v>
      </c>
      <c r="C13604" s="16">
        <f>10.38/(1+B2)</f>
        <v>10.38</v>
      </c>
      <c r="D13604" s="17" t="s">
        <v>53</v>
      </c>
      <c r="E13604" s="17"/>
      <c r="F13604" s="18"/>
      <c r="G13604" s="36" t="str">
        <f>IF(ISNUMBER(F13604),C13604*F13604,"")</f>
        <v/>
      </c>
    </row>
    <row r="13605" spans="1:7" ht="12" customHeight="1" outlineLevel="3" x14ac:dyDescent="0.2">
      <c r="A13605" s="14" t="s">
        <v>26755</v>
      </c>
      <c r="B13605" s="15" t="s">
        <v>26756</v>
      </c>
      <c r="C13605" s="16">
        <f>11.4/(1+B2)</f>
        <v>11.4</v>
      </c>
      <c r="D13605" s="17" t="s">
        <v>106</v>
      </c>
      <c r="E13605" s="17"/>
      <c r="F13605" s="18"/>
      <c r="G13605" s="36" t="str">
        <f>IF(ISNUMBER(F13605),C13605*F13605,"")</f>
        <v/>
      </c>
    </row>
    <row r="13606" spans="1:7" ht="12" customHeight="1" outlineLevel="3" x14ac:dyDescent="0.2">
      <c r="A13606" s="14" t="s">
        <v>26757</v>
      </c>
      <c r="B13606" s="15" t="s">
        <v>26758</v>
      </c>
      <c r="C13606" s="16">
        <f>11.4/(1+B2)</f>
        <v>11.4</v>
      </c>
      <c r="D13606" s="17" t="s">
        <v>106</v>
      </c>
      <c r="E13606" s="17"/>
      <c r="F13606" s="18"/>
      <c r="G13606" s="36" t="str">
        <f>IF(ISNUMBER(F13606),C13606*F13606,"")</f>
        <v/>
      </c>
    </row>
    <row r="13607" spans="1:7" ht="12" customHeight="1" outlineLevel="3" x14ac:dyDescent="0.2">
      <c r="A13607" s="14" t="s">
        <v>26759</v>
      </c>
      <c r="B13607" s="15" t="s">
        <v>26760</v>
      </c>
      <c r="C13607" s="16">
        <f>10.93/(1+B2)</f>
        <v>10.93</v>
      </c>
      <c r="D13607" s="17" t="s">
        <v>106</v>
      </c>
      <c r="E13607" s="17"/>
      <c r="F13607" s="18"/>
      <c r="G13607" s="36" t="str">
        <f>IF(ISNUMBER(F13607),C13607*F13607,"")</f>
        <v/>
      </c>
    </row>
    <row r="13608" spans="1:7" ht="12" customHeight="1" outlineLevel="3" x14ac:dyDescent="0.2">
      <c r="A13608" s="14" t="s">
        <v>26761</v>
      </c>
      <c r="B13608" s="15" t="s">
        <v>26762</v>
      </c>
      <c r="C13608" s="16">
        <f>10.93/(1+B2)</f>
        <v>10.93</v>
      </c>
      <c r="D13608" s="17" t="s">
        <v>106</v>
      </c>
      <c r="E13608" s="17"/>
      <c r="F13608" s="18"/>
      <c r="G13608" s="36" t="str">
        <f>IF(ISNUMBER(F13608),C13608*F13608,"")</f>
        <v/>
      </c>
    </row>
    <row r="13609" spans="1:7" ht="12" customHeight="1" outlineLevel="3" x14ac:dyDescent="0.2">
      <c r="A13609" s="14" t="s">
        <v>26763</v>
      </c>
      <c r="B13609" s="15" t="s">
        <v>26764</v>
      </c>
      <c r="C13609" s="16">
        <f>15.6/(1+B2)</f>
        <v>15.6</v>
      </c>
      <c r="D13609" s="17" t="s">
        <v>14</v>
      </c>
      <c r="E13609" s="17"/>
      <c r="F13609" s="18"/>
      <c r="G13609" s="36" t="str">
        <f>IF(ISNUMBER(F13609),C13609*F13609,"")</f>
        <v/>
      </c>
    </row>
    <row r="13610" spans="1:7" ht="12" customHeight="1" outlineLevel="3" x14ac:dyDescent="0.2">
      <c r="A13610" s="14" t="s">
        <v>26765</v>
      </c>
      <c r="B13610" s="15" t="s">
        <v>26766</v>
      </c>
      <c r="C13610" s="16">
        <f>11.63/(1+B2)</f>
        <v>11.63</v>
      </c>
      <c r="D13610" s="17" t="s">
        <v>106</v>
      </c>
      <c r="E13610" s="17"/>
      <c r="F13610" s="18"/>
      <c r="G13610" s="36" t="str">
        <f>IF(ISNUMBER(F13610),C13610*F13610,"")</f>
        <v/>
      </c>
    </row>
    <row r="13611" spans="1:7" ht="12" customHeight="1" outlineLevel="3" x14ac:dyDescent="0.2">
      <c r="A13611" s="14" t="s">
        <v>26767</v>
      </c>
      <c r="B13611" s="15" t="s">
        <v>26768</v>
      </c>
      <c r="C13611" s="16">
        <f>11.63/(1+B2)</f>
        <v>11.63</v>
      </c>
      <c r="D13611" s="17" t="s">
        <v>106</v>
      </c>
      <c r="E13611" s="17"/>
      <c r="F13611" s="18"/>
      <c r="G13611" s="36" t="str">
        <f>IF(ISNUMBER(F13611),C13611*F13611,"")</f>
        <v/>
      </c>
    </row>
    <row r="13612" spans="1:7" ht="12" customHeight="1" outlineLevel="3" x14ac:dyDescent="0.2">
      <c r="A13612" s="14" t="s">
        <v>26769</v>
      </c>
      <c r="B13612" s="15" t="s">
        <v>26770</v>
      </c>
      <c r="C13612" s="16">
        <f>11.63/(1+B2)</f>
        <v>11.63</v>
      </c>
      <c r="D13612" s="17" t="s">
        <v>106</v>
      </c>
      <c r="E13612" s="17"/>
      <c r="F13612" s="18"/>
      <c r="G13612" s="36" t="str">
        <f>IF(ISNUMBER(F13612),C13612*F13612,"")</f>
        <v/>
      </c>
    </row>
    <row r="13613" spans="1:7" ht="12" customHeight="1" outlineLevel="3" x14ac:dyDescent="0.2">
      <c r="A13613" s="14" t="s">
        <v>26771</v>
      </c>
      <c r="B13613" s="15" t="s">
        <v>26772</v>
      </c>
      <c r="C13613" s="16">
        <f>71.32/(1+B2)</f>
        <v>71.319999999999993</v>
      </c>
      <c r="D13613" s="17" t="s">
        <v>11</v>
      </c>
      <c r="E13613" s="17"/>
      <c r="F13613" s="18"/>
      <c r="G13613" s="36" t="str">
        <f>IF(ISNUMBER(F13613),C13613*F13613,"")</f>
        <v/>
      </c>
    </row>
    <row r="13614" spans="1:7" ht="12" customHeight="1" outlineLevel="3" x14ac:dyDescent="0.2">
      <c r="A13614" s="14" t="s">
        <v>26773</v>
      </c>
      <c r="B13614" s="15" t="s">
        <v>26774</v>
      </c>
      <c r="C13614" s="16">
        <f>12.21/(1+B2)</f>
        <v>12.21</v>
      </c>
      <c r="D13614" s="17" t="s">
        <v>106</v>
      </c>
      <c r="E13614" s="17"/>
      <c r="F13614" s="18"/>
      <c r="G13614" s="36" t="str">
        <f>IF(ISNUMBER(F13614),C13614*F13614,"")</f>
        <v/>
      </c>
    </row>
    <row r="13615" spans="1:7" ht="12" customHeight="1" outlineLevel="3" x14ac:dyDescent="0.2">
      <c r="A13615" s="14" t="s">
        <v>26775</v>
      </c>
      <c r="B13615" s="15" t="s">
        <v>26776</v>
      </c>
      <c r="C13615" s="16">
        <f>12.21/(1+B2)</f>
        <v>12.21</v>
      </c>
      <c r="D13615" s="17" t="s">
        <v>106</v>
      </c>
      <c r="E13615" s="17"/>
      <c r="F13615" s="18"/>
      <c r="G13615" s="36" t="str">
        <f>IF(ISNUMBER(F13615),C13615*F13615,"")</f>
        <v/>
      </c>
    </row>
    <row r="13616" spans="1:7" ht="12" customHeight="1" outlineLevel="3" x14ac:dyDescent="0.2">
      <c r="A13616" s="14" t="s">
        <v>26777</v>
      </c>
      <c r="B13616" s="15" t="s">
        <v>26778</v>
      </c>
      <c r="C13616" s="16">
        <f>12.21/(1+B2)</f>
        <v>12.21</v>
      </c>
      <c r="D13616" s="17" t="s">
        <v>106</v>
      </c>
      <c r="E13616" s="17"/>
      <c r="F13616" s="18"/>
      <c r="G13616" s="36" t="str">
        <f>IF(ISNUMBER(F13616),C13616*F13616,"")</f>
        <v/>
      </c>
    </row>
    <row r="13617" spans="1:7" ht="12" customHeight="1" outlineLevel="3" x14ac:dyDescent="0.2">
      <c r="A13617" s="14" t="s">
        <v>26779</v>
      </c>
      <c r="B13617" s="15" t="s">
        <v>26780</v>
      </c>
      <c r="C13617" s="16">
        <f>13.13/(1+B2)</f>
        <v>13.13</v>
      </c>
      <c r="D13617" s="17" t="s">
        <v>11</v>
      </c>
      <c r="E13617" s="17"/>
      <c r="F13617" s="18"/>
      <c r="G13617" s="36" t="str">
        <f>IF(ISNUMBER(F13617),C13617*F13617,"")</f>
        <v/>
      </c>
    </row>
    <row r="13618" spans="1:7" ht="12" customHeight="1" outlineLevel="3" x14ac:dyDescent="0.2">
      <c r="A13618" s="14" t="s">
        <v>26781</v>
      </c>
      <c r="B13618" s="15" t="s">
        <v>26782</v>
      </c>
      <c r="C13618" s="16">
        <f>13.13/(1+B2)</f>
        <v>13.13</v>
      </c>
      <c r="D13618" s="17" t="s">
        <v>106</v>
      </c>
      <c r="E13618" s="17"/>
      <c r="F13618" s="18"/>
      <c r="G13618" s="36" t="str">
        <f>IF(ISNUMBER(F13618),C13618*F13618,"")</f>
        <v/>
      </c>
    </row>
    <row r="13619" spans="1:7" ht="12" customHeight="1" outlineLevel="3" x14ac:dyDescent="0.2">
      <c r="A13619" s="14" t="s">
        <v>26783</v>
      </c>
      <c r="B13619" s="15" t="s">
        <v>26784</v>
      </c>
      <c r="C13619" s="16">
        <f>13.13/(1+B2)</f>
        <v>13.13</v>
      </c>
      <c r="D13619" s="17" t="s">
        <v>53</v>
      </c>
      <c r="E13619" s="17"/>
      <c r="F13619" s="18"/>
      <c r="G13619" s="36" t="str">
        <f>IF(ISNUMBER(F13619),C13619*F13619,"")</f>
        <v/>
      </c>
    </row>
    <row r="13620" spans="1:7" ht="12" customHeight="1" outlineLevel="3" x14ac:dyDescent="0.2">
      <c r="A13620" s="14" t="s">
        <v>26785</v>
      </c>
      <c r="B13620" s="15" t="s">
        <v>26786</v>
      </c>
      <c r="C13620" s="16">
        <f>13.13/(1+B2)</f>
        <v>13.13</v>
      </c>
      <c r="D13620" s="17" t="s">
        <v>106</v>
      </c>
      <c r="E13620" s="17"/>
      <c r="F13620" s="18"/>
      <c r="G13620" s="36" t="str">
        <f>IF(ISNUMBER(F13620),C13620*F13620,"")</f>
        <v/>
      </c>
    </row>
    <row r="13621" spans="1:7" ht="12" customHeight="1" outlineLevel="3" x14ac:dyDescent="0.2">
      <c r="A13621" s="14" t="s">
        <v>26787</v>
      </c>
      <c r="B13621" s="15" t="s">
        <v>26788</v>
      </c>
      <c r="C13621" s="16">
        <f>14.09/(1+B2)</f>
        <v>14.09</v>
      </c>
      <c r="D13621" s="17" t="s">
        <v>53</v>
      </c>
      <c r="E13621" s="17"/>
      <c r="F13621" s="18"/>
      <c r="G13621" s="36" t="str">
        <f>IF(ISNUMBER(F13621),C13621*F13621,"")</f>
        <v/>
      </c>
    </row>
    <row r="13622" spans="1:7" ht="12" customHeight="1" outlineLevel="3" x14ac:dyDescent="0.2">
      <c r="A13622" s="14" t="s">
        <v>26789</v>
      </c>
      <c r="B13622" s="15" t="s">
        <v>26790</v>
      </c>
      <c r="C13622" s="16">
        <f>14.09/(1+B2)</f>
        <v>14.09</v>
      </c>
      <c r="D13622" s="17" t="s">
        <v>11</v>
      </c>
      <c r="E13622" s="17"/>
      <c r="F13622" s="18"/>
      <c r="G13622" s="36" t="str">
        <f>IF(ISNUMBER(F13622),C13622*F13622,"")</f>
        <v/>
      </c>
    </row>
    <row r="13623" spans="1:7" ht="12" customHeight="1" outlineLevel="3" x14ac:dyDescent="0.2">
      <c r="A13623" s="14" t="s">
        <v>26791</v>
      </c>
      <c r="B13623" s="15" t="s">
        <v>26792</v>
      </c>
      <c r="C13623" s="16">
        <f>14.09/(1+B2)</f>
        <v>14.09</v>
      </c>
      <c r="D13623" s="17" t="s">
        <v>106</v>
      </c>
      <c r="E13623" s="17"/>
      <c r="F13623" s="18"/>
      <c r="G13623" s="36" t="str">
        <f>IF(ISNUMBER(F13623),C13623*F13623,"")</f>
        <v/>
      </c>
    </row>
    <row r="13624" spans="1:7" ht="12" customHeight="1" outlineLevel="3" x14ac:dyDescent="0.2">
      <c r="A13624" s="14" t="s">
        <v>26793</v>
      </c>
      <c r="B13624" s="15" t="s">
        <v>26794</v>
      </c>
      <c r="C13624" s="16">
        <f>83.04/(1+B2)</f>
        <v>83.04</v>
      </c>
      <c r="D13624" s="17" t="s">
        <v>14</v>
      </c>
      <c r="E13624" s="17"/>
      <c r="F13624" s="18"/>
      <c r="G13624" s="36" t="str">
        <f>IF(ISNUMBER(F13624),C13624*F13624,"")</f>
        <v/>
      </c>
    </row>
    <row r="13625" spans="1:7" ht="12" customHeight="1" outlineLevel="3" x14ac:dyDescent="0.2">
      <c r="A13625" s="14" t="s">
        <v>26795</v>
      </c>
      <c r="B13625" s="15" t="s">
        <v>26796</v>
      </c>
      <c r="C13625" s="16">
        <f>15.53/(1+B2)</f>
        <v>15.53</v>
      </c>
      <c r="D13625" s="17" t="s">
        <v>53</v>
      </c>
      <c r="E13625" s="17"/>
      <c r="F13625" s="18"/>
      <c r="G13625" s="36" t="str">
        <f>IF(ISNUMBER(F13625),C13625*F13625,"")</f>
        <v/>
      </c>
    </row>
    <row r="13626" spans="1:7" ht="12" customHeight="1" outlineLevel="3" x14ac:dyDescent="0.2">
      <c r="A13626" s="14" t="s">
        <v>26797</v>
      </c>
      <c r="B13626" s="15" t="s">
        <v>26798</v>
      </c>
      <c r="C13626" s="16">
        <f>15.53/(1+B2)</f>
        <v>15.53</v>
      </c>
      <c r="D13626" s="17" t="s">
        <v>106</v>
      </c>
      <c r="E13626" s="17"/>
      <c r="F13626" s="18"/>
      <c r="G13626" s="36" t="str">
        <f>IF(ISNUMBER(F13626),C13626*F13626,"")</f>
        <v/>
      </c>
    </row>
    <row r="13627" spans="1:7" ht="12" customHeight="1" outlineLevel="3" x14ac:dyDescent="0.2">
      <c r="A13627" s="14" t="s">
        <v>26799</v>
      </c>
      <c r="B13627" s="15" t="s">
        <v>26800</v>
      </c>
      <c r="C13627" s="16">
        <f>17.38/(1+B2)</f>
        <v>17.38</v>
      </c>
      <c r="D13627" s="17" t="s">
        <v>14</v>
      </c>
      <c r="E13627" s="17"/>
      <c r="F13627" s="18"/>
      <c r="G13627" s="36" t="str">
        <f>IF(ISNUMBER(F13627),C13627*F13627,"")</f>
        <v/>
      </c>
    </row>
    <row r="13628" spans="1:7" ht="12" customHeight="1" outlineLevel="3" x14ac:dyDescent="0.2">
      <c r="A13628" s="14" t="s">
        <v>26801</v>
      </c>
      <c r="B13628" s="15" t="s">
        <v>26802</v>
      </c>
      <c r="C13628" s="16">
        <f>17.38/(1+B2)</f>
        <v>17.38</v>
      </c>
      <c r="D13628" s="17" t="s">
        <v>53</v>
      </c>
      <c r="E13628" s="17"/>
      <c r="F13628" s="18"/>
      <c r="G13628" s="36" t="str">
        <f>IF(ISNUMBER(F13628),C13628*F13628,"")</f>
        <v/>
      </c>
    </row>
    <row r="13629" spans="1:7" ht="12" customHeight="1" outlineLevel="3" x14ac:dyDescent="0.2">
      <c r="A13629" s="14" t="s">
        <v>26803</v>
      </c>
      <c r="B13629" s="15" t="s">
        <v>26804</v>
      </c>
      <c r="C13629" s="16">
        <f>17.38/(1+B2)</f>
        <v>17.38</v>
      </c>
      <c r="D13629" s="17" t="s">
        <v>106</v>
      </c>
      <c r="E13629" s="17"/>
      <c r="F13629" s="18"/>
      <c r="G13629" s="36" t="str">
        <f>IF(ISNUMBER(F13629),C13629*F13629,"")</f>
        <v/>
      </c>
    </row>
    <row r="13630" spans="1:7" ht="12" customHeight="1" outlineLevel="3" x14ac:dyDescent="0.2">
      <c r="A13630" s="14" t="s">
        <v>26805</v>
      </c>
      <c r="B13630" s="15" t="s">
        <v>26806</v>
      </c>
      <c r="C13630" s="16">
        <f>21.8/(1+B2)</f>
        <v>21.8</v>
      </c>
      <c r="D13630" s="17" t="s">
        <v>106</v>
      </c>
      <c r="E13630" s="17"/>
      <c r="F13630" s="18"/>
      <c r="G13630" s="36" t="str">
        <f>IF(ISNUMBER(F13630),C13630*F13630,"")</f>
        <v/>
      </c>
    </row>
    <row r="13631" spans="1:7" ht="12" customHeight="1" outlineLevel="3" x14ac:dyDescent="0.2">
      <c r="A13631" s="14" t="s">
        <v>26807</v>
      </c>
      <c r="B13631" s="15" t="s">
        <v>26808</v>
      </c>
      <c r="C13631" s="16">
        <f>21.8/(1+B2)</f>
        <v>21.8</v>
      </c>
      <c r="D13631" s="17" t="s">
        <v>106</v>
      </c>
      <c r="E13631" s="17"/>
      <c r="F13631" s="18"/>
      <c r="G13631" s="36" t="str">
        <f>IF(ISNUMBER(F13631),C13631*F13631,"")</f>
        <v/>
      </c>
    </row>
    <row r="13632" spans="1:7" ht="12" customHeight="1" outlineLevel="3" x14ac:dyDescent="0.2">
      <c r="A13632" s="14" t="s">
        <v>26809</v>
      </c>
      <c r="B13632" s="15" t="s">
        <v>26810</v>
      </c>
      <c r="C13632" s="16">
        <f>19.19/(1+B2)</f>
        <v>19.190000000000001</v>
      </c>
      <c r="D13632" s="17" t="s">
        <v>106</v>
      </c>
      <c r="E13632" s="17"/>
      <c r="F13632" s="18"/>
      <c r="G13632" s="36" t="str">
        <f>IF(ISNUMBER(F13632),C13632*F13632,"")</f>
        <v/>
      </c>
    </row>
    <row r="13633" spans="1:7" ht="12" customHeight="1" outlineLevel="3" x14ac:dyDescent="0.2">
      <c r="A13633" s="14" t="s">
        <v>26811</v>
      </c>
      <c r="B13633" s="15" t="s">
        <v>26812</v>
      </c>
      <c r="C13633" s="16">
        <f>19.19/(1+B2)</f>
        <v>19.190000000000001</v>
      </c>
      <c r="D13633" s="17" t="s">
        <v>53</v>
      </c>
      <c r="E13633" s="17"/>
      <c r="F13633" s="18"/>
      <c r="G13633" s="36" t="str">
        <f>IF(ISNUMBER(F13633),C13633*F13633,"")</f>
        <v/>
      </c>
    </row>
    <row r="13634" spans="1:7" ht="12" customHeight="1" outlineLevel="3" x14ac:dyDescent="0.2">
      <c r="A13634" s="14" t="s">
        <v>26813</v>
      </c>
      <c r="B13634" s="15" t="s">
        <v>26814</v>
      </c>
      <c r="C13634" s="16">
        <f>19.19/(1+B2)</f>
        <v>19.190000000000001</v>
      </c>
      <c r="D13634" s="17" t="s">
        <v>106</v>
      </c>
      <c r="E13634" s="17"/>
      <c r="F13634" s="18"/>
      <c r="G13634" s="36" t="str">
        <f>IF(ISNUMBER(F13634),C13634*F13634,"")</f>
        <v/>
      </c>
    </row>
    <row r="13635" spans="1:7" ht="12" customHeight="1" outlineLevel="3" x14ac:dyDescent="0.2">
      <c r="A13635" s="14" t="s">
        <v>26815</v>
      </c>
      <c r="B13635" s="15" t="s">
        <v>26816</v>
      </c>
      <c r="C13635" s="16">
        <f>111.14/(1+B2)</f>
        <v>111.14</v>
      </c>
      <c r="D13635" s="17" t="s">
        <v>106</v>
      </c>
      <c r="E13635" s="17"/>
      <c r="F13635" s="18"/>
      <c r="G13635" s="36" t="str">
        <f>IF(ISNUMBER(F13635),C13635*F13635,"")</f>
        <v/>
      </c>
    </row>
    <row r="13636" spans="1:7" ht="12" customHeight="1" outlineLevel="3" x14ac:dyDescent="0.2">
      <c r="A13636" s="14" t="s">
        <v>26817</v>
      </c>
      <c r="B13636" s="15" t="s">
        <v>26818</v>
      </c>
      <c r="C13636" s="16">
        <f>30.28/(1+B2)</f>
        <v>30.28</v>
      </c>
      <c r="D13636" s="17" t="s">
        <v>53</v>
      </c>
      <c r="E13636" s="17"/>
      <c r="F13636" s="18"/>
      <c r="G13636" s="36" t="str">
        <f>IF(ISNUMBER(F13636),C13636*F13636,"")</f>
        <v/>
      </c>
    </row>
    <row r="13637" spans="1:7" ht="12" customHeight="1" outlineLevel="3" x14ac:dyDescent="0.2">
      <c r="A13637" s="14" t="s">
        <v>26819</v>
      </c>
      <c r="B13637" s="15" t="s">
        <v>26820</v>
      </c>
      <c r="C13637" s="16">
        <f>30.28/(1+B2)</f>
        <v>30.28</v>
      </c>
      <c r="D13637" s="17" t="s">
        <v>11</v>
      </c>
      <c r="E13637" s="17"/>
      <c r="F13637" s="18"/>
      <c r="G13637" s="36" t="str">
        <f>IF(ISNUMBER(F13637),C13637*F13637,"")</f>
        <v/>
      </c>
    </row>
    <row r="13638" spans="1:7" ht="12" customHeight="1" outlineLevel="3" x14ac:dyDescent="0.2">
      <c r="A13638" s="14" t="s">
        <v>26821</v>
      </c>
      <c r="B13638" s="15" t="s">
        <v>26822</v>
      </c>
      <c r="C13638" s="16">
        <f>32.84/(1+B2)</f>
        <v>32.840000000000003</v>
      </c>
      <c r="D13638" s="17" t="s">
        <v>106</v>
      </c>
      <c r="E13638" s="17"/>
      <c r="F13638" s="18"/>
      <c r="G13638" s="36" t="str">
        <f>IF(ISNUMBER(F13638),C13638*F13638,"")</f>
        <v/>
      </c>
    </row>
    <row r="13639" spans="1:7" ht="12" customHeight="1" outlineLevel="3" x14ac:dyDescent="0.2">
      <c r="A13639" s="14" t="s">
        <v>26823</v>
      </c>
      <c r="B13639" s="15" t="s">
        <v>26824</v>
      </c>
      <c r="C13639" s="16">
        <f>32.84/(1+B2)</f>
        <v>32.840000000000003</v>
      </c>
      <c r="D13639" s="17" t="s">
        <v>106</v>
      </c>
      <c r="E13639" s="17"/>
      <c r="F13639" s="18"/>
      <c r="G13639" s="36" t="str">
        <f>IF(ISNUMBER(F13639),C13639*F13639,"")</f>
        <v/>
      </c>
    </row>
    <row r="13640" spans="1:7" ht="12" customHeight="1" outlineLevel="3" x14ac:dyDescent="0.2">
      <c r="A13640" s="14" t="s">
        <v>26825</v>
      </c>
      <c r="B13640" s="15" t="s">
        <v>26826</v>
      </c>
      <c r="C13640" s="16">
        <f>32.84/(1+B2)</f>
        <v>32.840000000000003</v>
      </c>
      <c r="D13640" s="17" t="s">
        <v>106</v>
      </c>
      <c r="E13640" s="17"/>
      <c r="F13640" s="18"/>
      <c r="G13640" s="36" t="str">
        <f>IF(ISNUMBER(F13640),C13640*F13640,"")</f>
        <v/>
      </c>
    </row>
    <row r="13641" spans="1:7" ht="12" customHeight="1" outlineLevel="3" x14ac:dyDescent="0.2">
      <c r="A13641" s="14" t="s">
        <v>26827</v>
      </c>
      <c r="B13641" s="15" t="s">
        <v>26828</v>
      </c>
      <c r="C13641" s="16">
        <f>24.88/(1+B2)</f>
        <v>24.88</v>
      </c>
      <c r="D13641" s="17" t="s">
        <v>106</v>
      </c>
      <c r="E13641" s="17"/>
      <c r="F13641" s="18"/>
      <c r="G13641" s="36" t="str">
        <f>IF(ISNUMBER(F13641),C13641*F13641,"")</f>
        <v/>
      </c>
    </row>
    <row r="13642" spans="1:7" ht="12" customHeight="1" outlineLevel="3" x14ac:dyDescent="0.2">
      <c r="A13642" s="14" t="s">
        <v>26829</v>
      </c>
      <c r="B13642" s="15" t="s">
        <v>26830</v>
      </c>
      <c r="C13642" s="16">
        <f>30.04/(1+B2)</f>
        <v>30.04</v>
      </c>
      <c r="D13642" s="17" t="s">
        <v>11</v>
      </c>
      <c r="E13642" s="17"/>
      <c r="F13642" s="18"/>
      <c r="G13642" s="36" t="str">
        <f>IF(ISNUMBER(F13642),C13642*F13642,"")</f>
        <v/>
      </c>
    </row>
    <row r="13643" spans="1:7" ht="12" customHeight="1" outlineLevel="3" x14ac:dyDescent="0.2">
      <c r="A13643" s="14" t="s">
        <v>26831</v>
      </c>
      <c r="B13643" s="15" t="s">
        <v>26832</v>
      </c>
      <c r="C13643" s="16">
        <f>30.04/(1+B2)</f>
        <v>30.04</v>
      </c>
      <c r="D13643" s="17" t="s">
        <v>106</v>
      </c>
      <c r="E13643" s="17"/>
      <c r="F13643" s="18"/>
      <c r="G13643" s="36" t="str">
        <f>IF(ISNUMBER(F13643),C13643*F13643,"")</f>
        <v/>
      </c>
    </row>
    <row r="13644" spans="1:7" ht="12" customHeight="1" outlineLevel="3" x14ac:dyDescent="0.2">
      <c r="A13644" s="14" t="s">
        <v>26833</v>
      </c>
      <c r="B13644" s="15" t="s">
        <v>26834</v>
      </c>
      <c r="C13644" s="16">
        <f>36.92/(1+B2)</f>
        <v>36.92</v>
      </c>
      <c r="D13644" s="17" t="s">
        <v>14</v>
      </c>
      <c r="E13644" s="17"/>
      <c r="F13644" s="18"/>
      <c r="G13644" s="36" t="str">
        <f>IF(ISNUMBER(F13644),C13644*F13644,"")</f>
        <v/>
      </c>
    </row>
    <row r="13645" spans="1:7" ht="12" customHeight="1" outlineLevel="3" x14ac:dyDescent="0.2">
      <c r="A13645" s="14" t="s">
        <v>26835</v>
      </c>
      <c r="B13645" s="15" t="s">
        <v>26836</v>
      </c>
      <c r="C13645" s="16">
        <f>36.92/(1+B2)</f>
        <v>36.92</v>
      </c>
      <c r="D13645" s="17" t="s">
        <v>11</v>
      </c>
      <c r="E13645" s="17"/>
      <c r="F13645" s="18"/>
      <c r="G13645" s="36" t="str">
        <f>IF(ISNUMBER(F13645),C13645*F13645,"")</f>
        <v/>
      </c>
    </row>
    <row r="13646" spans="1:7" ht="12" customHeight="1" outlineLevel="3" x14ac:dyDescent="0.2">
      <c r="A13646" s="14" t="s">
        <v>26837</v>
      </c>
      <c r="B13646" s="15" t="s">
        <v>26838</v>
      </c>
      <c r="C13646" s="16">
        <f>27.1/(1+B2)</f>
        <v>27.1</v>
      </c>
      <c r="D13646" s="17" t="s">
        <v>14</v>
      </c>
      <c r="E13646" s="17"/>
      <c r="F13646" s="18"/>
      <c r="G13646" s="36" t="str">
        <f>IF(ISNUMBER(F13646),C13646*F13646,"")</f>
        <v/>
      </c>
    </row>
    <row r="13647" spans="1:7" ht="12" customHeight="1" outlineLevel="3" x14ac:dyDescent="0.2">
      <c r="A13647" s="14" t="s">
        <v>26839</v>
      </c>
      <c r="B13647" s="15" t="s">
        <v>26840</v>
      </c>
      <c r="C13647" s="16">
        <f>30.24/(1+B2)</f>
        <v>30.24</v>
      </c>
      <c r="D13647" s="17" t="s">
        <v>106</v>
      </c>
      <c r="E13647" s="17"/>
      <c r="F13647" s="18"/>
      <c r="G13647" s="36" t="str">
        <f>IF(ISNUMBER(F13647),C13647*F13647,"")</f>
        <v/>
      </c>
    </row>
    <row r="13648" spans="1:7" ht="12" customHeight="1" outlineLevel="3" x14ac:dyDescent="0.2">
      <c r="A13648" s="14" t="s">
        <v>26841</v>
      </c>
      <c r="B13648" s="15" t="s">
        <v>26842</v>
      </c>
      <c r="C13648" s="16">
        <f>40.6/(1+B2)</f>
        <v>40.6</v>
      </c>
      <c r="D13648" s="17" t="s">
        <v>14</v>
      </c>
      <c r="E13648" s="17"/>
      <c r="F13648" s="18"/>
      <c r="G13648" s="36" t="str">
        <f>IF(ISNUMBER(F13648),C13648*F13648,"")</f>
        <v/>
      </c>
    </row>
    <row r="13649" spans="1:7" ht="12" customHeight="1" outlineLevel="3" x14ac:dyDescent="0.2">
      <c r="A13649" s="14" t="s">
        <v>26843</v>
      </c>
      <c r="B13649" s="15" t="s">
        <v>26844</v>
      </c>
      <c r="C13649" s="16">
        <f>46.74/(1+B2)</f>
        <v>46.74</v>
      </c>
      <c r="D13649" s="17" t="s">
        <v>106</v>
      </c>
      <c r="E13649" s="17"/>
      <c r="F13649" s="18"/>
      <c r="G13649" s="36" t="str">
        <f>IF(ISNUMBER(F13649),C13649*F13649,"")</f>
        <v/>
      </c>
    </row>
    <row r="13650" spans="1:7" ht="12" customHeight="1" outlineLevel="3" x14ac:dyDescent="0.2">
      <c r="A13650" s="14" t="s">
        <v>26845</v>
      </c>
      <c r="B13650" s="15" t="s">
        <v>26846</v>
      </c>
      <c r="C13650" s="16">
        <f>33.29/(1+B2)</f>
        <v>33.29</v>
      </c>
      <c r="D13650" s="17" t="s">
        <v>11</v>
      </c>
      <c r="E13650" s="17"/>
      <c r="F13650" s="18"/>
      <c r="G13650" s="36" t="str">
        <f>IF(ISNUMBER(F13650),C13650*F13650,"")</f>
        <v/>
      </c>
    </row>
    <row r="13651" spans="1:7" ht="12" customHeight="1" outlineLevel="3" x14ac:dyDescent="0.2">
      <c r="A13651" s="14" t="s">
        <v>26847</v>
      </c>
      <c r="B13651" s="15" t="s">
        <v>26848</v>
      </c>
      <c r="C13651" s="16">
        <f>41.9/(1+B2)</f>
        <v>41.9</v>
      </c>
      <c r="D13651" s="17" t="s">
        <v>11</v>
      </c>
      <c r="E13651" s="17"/>
      <c r="F13651" s="18"/>
      <c r="G13651" s="36" t="str">
        <f>IF(ISNUMBER(F13651),C13651*F13651,"")</f>
        <v/>
      </c>
    </row>
    <row r="13652" spans="1:7" ht="12" customHeight="1" outlineLevel="3" x14ac:dyDescent="0.2">
      <c r="A13652" s="14" t="s">
        <v>26849</v>
      </c>
      <c r="B13652" s="15" t="s">
        <v>26850</v>
      </c>
      <c r="C13652" s="16">
        <f>43.94/(1+B2)</f>
        <v>43.94</v>
      </c>
      <c r="D13652" s="17" t="s">
        <v>53</v>
      </c>
      <c r="E13652" s="17"/>
      <c r="F13652" s="18"/>
      <c r="G13652" s="36" t="str">
        <f>IF(ISNUMBER(F13652),C13652*F13652,"")</f>
        <v/>
      </c>
    </row>
    <row r="13653" spans="1:7" ht="12" customHeight="1" outlineLevel="3" x14ac:dyDescent="0.2">
      <c r="A13653" s="14" t="s">
        <v>26851</v>
      </c>
      <c r="B13653" s="15" t="s">
        <v>26852</v>
      </c>
      <c r="C13653" s="16">
        <f>47.4/(1+B2)</f>
        <v>47.4</v>
      </c>
      <c r="D13653" s="17" t="s">
        <v>106</v>
      </c>
      <c r="E13653" s="17"/>
      <c r="F13653" s="18"/>
      <c r="G13653" s="36" t="str">
        <f>IF(ISNUMBER(F13653),C13653*F13653,"")</f>
        <v/>
      </c>
    </row>
    <row r="13654" spans="1:7" ht="12" customHeight="1" outlineLevel="3" x14ac:dyDescent="0.2">
      <c r="A13654" s="14" t="s">
        <v>26853</v>
      </c>
      <c r="B13654" s="15" t="s">
        <v>26854</v>
      </c>
      <c r="C13654" s="16">
        <f>50.56/(1+B2)</f>
        <v>50.56</v>
      </c>
      <c r="D13654" s="17" t="s">
        <v>106</v>
      </c>
      <c r="E13654" s="17"/>
      <c r="F13654" s="18"/>
      <c r="G13654" s="36" t="str">
        <f>IF(ISNUMBER(F13654),C13654*F13654,"")</f>
        <v/>
      </c>
    </row>
    <row r="13655" spans="1:7" ht="12" customHeight="1" outlineLevel="3" x14ac:dyDescent="0.2">
      <c r="A13655" s="14" t="s">
        <v>26855</v>
      </c>
      <c r="B13655" s="15" t="s">
        <v>26856</v>
      </c>
      <c r="C13655" s="16">
        <f>37.68/(1+B2)</f>
        <v>37.68</v>
      </c>
      <c r="D13655" s="17" t="s">
        <v>11</v>
      </c>
      <c r="E13655" s="17"/>
      <c r="F13655" s="18"/>
      <c r="G13655" s="36" t="str">
        <f>IF(ISNUMBER(F13655),C13655*F13655,"")</f>
        <v/>
      </c>
    </row>
    <row r="13656" spans="1:7" ht="12" customHeight="1" outlineLevel="3" x14ac:dyDescent="0.2">
      <c r="A13656" s="14" t="s">
        <v>26857</v>
      </c>
      <c r="B13656" s="15" t="s">
        <v>26858</v>
      </c>
      <c r="C13656" s="16">
        <f>50.56/(1+B2)</f>
        <v>50.56</v>
      </c>
      <c r="D13656" s="17" t="s">
        <v>106</v>
      </c>
      <c r="E13656" s="17"/>
      <c r="F13656" s="18"/>
      <c r="G13656" s="36" t="str">
        <f>IF(ISNUMBER(F13656),C13656*F13656,"")</f>
        <v/>
      </c>
    </row>
    <row r="13657" spans="1:7" ht="12" customHeight="1" outlineLevel="3" x14ac:dyDescent="0.2">
      <c r="A13657" s="14" t="s">
        <v>26859</v>
      </c>
      <c r="B13657" s="15" t="s">
        <v>26860</v>
      </c>
      <c r="C13657" s="16">
        <f>58.9/(1+B2)</f>
        <v>58.9</v>
      </c>
      <c r="D13657" s="17" t="s">
        <v>14</v>
      </c>
      <c r="E13657" s="17"/>
      <c r="F13657" s="18"/>
      <c r="G13657" s="36" t="str">
        <f>IF(ISNUMBER(F13657),C13657*F13657,"")</f>
        <v/>
      </c>
    </row>
    <row r="13658" spans="1:7" ht="12" customHeight="1" outlineLevel="3" x14ac:dyDescent="0.2">
      <c r="A13658" s="14" t="s">
        <v>26861</v>
      </c>
      <c r="B13658" s="15" t="s">
        <v>26862</v>
      </c>
      <c r="C13658" s="16">
        <f>58.9/(1+B2)</f>
        <v>58.9</v>
      </c>
      <c r="D13658" s="17" t="s">
        <v>14</v>
      </c>
      <c r="E13658" s="17"/>
      <c r="F13658" s="18"/>
      <c r="G13658" s="36" t="str">
        <f>IF(ISNUMBER(F13658),C13658*F13658,"")</f>
        <v/>
      </c>
    </row>
    <row r="13659" spans="1:7" ht="12" customHeight="1" outlineLevel="3" x14ac:dyDescent="0.2">
      <c r="A13659" s="14" t="s">
        <v>26863</v>
      </c>
      <c r="B13659" s="15" t="s">
        <v>26864</v>
      </c>
      <c r="C13659" s="16">
        <f>55.28/(1+B2)</f>
        <v>55.28</v>
      </c>
      <c r="D13659" s="17" t="s">
        <v>14</v>
      </c>
      <c r="E13659" s="17"/>
      <c r="F13659" s="18"/>
      <c r="G13659" s="36" t="str">
        <f>IF(ISNUMBER(F13659),C13659*F13659,"")</f>
        <v/>
      </c>
    </row>
    <row r="13660" spans="1:7" ht="12" customHeight="1" outlineLevel="3" x14ac:dyDescent="0.2">
      <c r="A13660" s="14" t="s">
        <v>26865</v>
      </c>
      <c r="B13660" s="15" t="s">
        <v>26866</v>
      </c>
      <c r="C13660" s="16">
        <f>58.9/(1+B2)</f>
        <v>58.9</v>
      </c>
      <c r="D13660" s="17" t="s">
        <v>106</v>
      </c>
      <c r="E13660" s="17"/>
      <c r="F13660" s="18"/>
      <c r="G13660" s="36" t="str">
        <f>IF(ISNUMBER(F13660),C13660*F13660,"")</f>
        <v/>
      </c>
    </row>
    <row r="13661" spans="1:7" ht="12" customHeight="1" outlineLevel="3" x14ac:dyDescent="0.2">
      <c r="A13661" s="14" t="s">
        <v>26867</v>
      </c>
      <c r="B13661" s="15" t="s">
        <v>26868</v>
      </c>
      <c r="C13661" s="16">
        <f>60.88/(1+B2)</f>
        <v>60.88</v>
      </c>
      <c r="D13661" s="17" t="s">
        <v>106</v>
      </c>
      <c r="E13661" s="17"/>
      <c r="F13661" s="18"/>
      <c r="G13661" s="36" t="str">
        <f>IF(ISNUMBER(F13661),C13661*F13661,"")</f>
        <v/>
      </c>
    </row>
    <row r="13662" spans="1:7" ht="12" customHeight="1" outlineLevel="3" x14ac:dyDescent="0.2">
      <c r="A13662" s="14" t="s">
        <v>26869</v>
      </c>
      <c r="B13662" s="15" t="s">
        <v>26870</v>
      </c>
      <c r="C13662" s="16">
        <f>50.7/(1+B2)</f>
        <v>50.7</v>
      </c>
      <c r="D13662" s="17" t="s">
        <v>106</v>
      </c>
      <c r="E13662" s="17"/>
      <c r="F13662" s="18"/>
      <c r="G13662" s="36" t="str">
        <f>IF(ISNUMBER(F13662),C13662*F13662,"")</f>
        <v/>
      </c>
    </row>
    <row r="13663" spans="1:7" ht="12" customHeight="1" outlineLevel="3" x14ac:dyDescent="0.2">
      <c r="A13663" s="14" t="s">
        <v>26871</v>
      </c>
      <c r="B13663" s="15" t="s">
        <v>26872</v>
      </c>
      <c r="C13663" s="16">
        <f>60.88/(1+B2)</f>
        <v>60.88</v>
      </c>
      <c r="D13663" s="17" t="s">
        <v>53</v>
      </c>
      <c r="E13663" s="17"/>
      <c r="F13663" s="18"/>
      <c r="G13663" s="36" t="str">
        <f>IF(ISNUMBER(F13663),C13663*F13663,"")</f>
        <v/>
      </c>
    </row>
    <row r="13664" spans="1:7" ht="12" customHeight="1" outlineLevel="3" x14ac:dyDescent="0.2">
      <c r="A13664" s="14" t="s">
        <v>26873</v>
      </c>
      <c r="B13664" s="15" t="s">
        <v>26874</v>
      </c>
      <c r="C13664" s="16">
        <f>277.64/(1+B2)</f>
        <v>277.64</v>
      </c>
      <c r="D13664" s="17" t="s">
        <v>53</v>
      </c>
      <c r="E13664" s="17"/>
      <c r="F13664" s="18"/>
      <c r="G13664" s="36" t="str">
        <f>IF(ISNUMBER(F13664),C13664*F13664,"")</f>
        <v/>
      </c>
    </row>
    <row r="13665" spans="1:7" ht="12" customHeight="1" outlineLevel="3" x14ac:dyDescent="0.2">
      <c r="A13665" s="14" t="s">
        <v>26875</v>
      </c>
      <c r="B13665" s="15" t="s">
        <v>26876</v>
      </c>
      <c r="C13665" s="16">
        <f>48.74/(1+B2)</f>
        <v>48.74</v>
      </c>
      <c r="D13665" s="17" t="s">
        <v>53</v>
      </c>
      <c r="E13665" s="17"/>
      <c r="F13665" s="18"/>
      <c r="G13665" s="36" t="str">
        <f>IF(ISNUMBER(F13665),C13665*F13665,"")</f>
        <v/>
      </c>
    </row>
    <row r="13666" spans="1:7" ht="12" customHeight="1" outlineLevel="3" x14ac:dyDescent="0.2">
      <c r="A13666" s="14" t="s">
        <v>26877</v>
      </c>
      <c r="B13666" s="15" t="s">
        <v>26878</v>
      </c>
      <c r="C13666" s="16">
        <f>72.18/(1+B2)</f>
        <v>72.180000000000007</v>
      </c>
      <c r="D13666" s="17" t="s">
        <v>11</v>
      </c>
      <c r="E13666" s="17"/>
      <c r="F13666" s="18"/>
      <c r="G13666" s="36" t="str">
        <f>IF(ISNUMBER(F13666),C13666*F13666,"")</f>
        <v/>
      </c>
    </row>
    <row r="13667" spans="1:7" ht="12" customHeight="1" outlineLevel="3" x14ac:dyDescent="0.2">
      <c r="A13667" s="14" t="s">
        <v>26879</v>
      </c>
      <c r="B13667" s="15" t="s">
        <v>26880</v>
      </c>
      <c r="C13667" s="16">
        <f>72.2/(1+B2)</f>
        <v>72.2</v>
      </c>
      <c r="D13667" s="17" t="s">
        <v>53</v>
      </c>
      <c r="E13667" s="17"/>
      <c r="F13667" s="18"/>
      <c r="G13667" s="36" t="str">
        <f>IF(ISNUMBER(F13667),C13667*F13667,"")</f>
        <v/>
      </c>
    </row>
    <row r="13668" spans="1:7" ht="12" customHeight="1" outlineLevel="3" x14ac:dyDescent="0.2">
      <c r="A13668" s="14" t="s">
        <v>26881</v>
      </c>
      <c r="B13668" s="15" t="s">
        <v>26882</v>
      </c>
      <c r="C13668" s="16">
        <f>79.3/(1+B2)</f>
        <v>79.3</v>
      </c>
      <c r="D13668" s="17" t="s">
        <v>53</v>
      </c>
      <c r="E13668" s="17"/>
      <c r="F13668" s="18"/>
      <c r="G13668" s="36" t="str">
        <f>IF(ISNUMBER(F13668),C13668*F13668,"")</f>
        <v/>
      </c>
    </row>
    <row r="13669" spans="1:7" ht="12" customHeight="1" outlineLevel="3" x14ac:dyDescent="0.2">
      <c r="A13669" s="14" t="s">
        <v>26883</v>
      </c>
      <c r="B13669" s="15" t="s">
        <v>26884</v>
      </c>
      <c r="C13669" s="16">
        <f>79.3/(1+B2)</f>
        <v>79.3</v>
      </c>
      <c r="D13669" s="17" t="s">
        <v>53</v>
      </c>
      <c r="E13669" s="17"/>
      <c r="F13669" s="18"/>
      <c r="G13669" s="36" t="str">
        <f>IF(ISNUMBER(F13669),C13669*F13669,"")</f>
        <v/>
      </c>
    </row>
    <row r="13670" spans="1:7" ht="12" customHeight="1" outlineLevel="3" x14ac:dyDescent="0.2">
      <c r="A13670" s="14" t="s">
        <v>26885</v>
      </c>
      <c r="B13670" s="15" t="s">
        <v>26886</v>
      </c>
      <c r="C13670" s="16">
        <f>72.24/(1+B2)</f>
        <v>72.239999999999995</v>
      </c>
      <c r="D13670" s="17" t="s">
        <v>106</v>
      </c>
      <c r="E13670" s="17"/>
      <c r="F13670" s="18"/>
      <c r="G13670" s="36" t="str">
        <f>IF(ISNUMBER(F13670),C13670*F13670,"")</f>
        <v/>
      </c>
    </row>
    <row r="13671" spans="1:7" ht="12" customHeight="1" outlineLevel="3" x14ac:dyDescent="0.2">
      <c r="A13671" s="14" t="s">
        <v>26887</v>
      </c>
      <c r="B13671" s="15" t="s">
        <v>26888</v>
      </c>
      <c r="C13671" s="16">
        <f>79.3/(1+B2)</f>
        <v>79.3</v>
      </c>
      <c r="D13671" s="17" t="s">
        <v>11</v>
      </c>
      <c r="E13671" s="17"/>
      <c r="F13671" s="18"/>
      <c r="G13671" s="36" t="str">
        <f>IF(ISNUMBER(F13671),C13671*F13671,"")</f>
        <v/>
      </c>
    </row>
    <row r="13672" spans="1:7" ht="12" customHeight="1" outlineLevel="3" x14ac:dyDescent="0.2">
      <c r="A13672" s="14" t="s">
        <v>26889</v>
      </c>
      <c r="B13672" s="15" t="s">
        <v>26890</v>
      </c>
      <c r="C13672" s="16">
        <f>65.73/(1+B2)</f>
        <v>65.73</v>
      </c>
      <c r="D13672" s="17" t="s">
        <v>53</v>
      </c>
      <c r="E13672" s="17"/>
      <c r="F13672" s="18"/>
      <c r="G13672" s="36" t="str">
        <f>IF(ISNUMBER(F13672),C13672*F13672,"")</f>
        <v/>
      </c>
    </row>
    <row r="13673" spans="1:7" ht="12" customHeight="1" outlineLevel="3" x14ac:dyDescent="0.2">
      <c r="A13673" s="14" t="s">
        <v>26891</v>
      </c>
      <c r="B13673" s="15" t="s">
        <v>26892</v>
      </c>
      <c r="C13673" s="16">
        <f>88.26/(1+B2)</f>
        <v>88.26</v>
      </c>
      <c r="D13673" s="17" t="s">
        <v>53</v>
      </c>
      <c r="E13673" s="17"/>
      <c r="F13673" s="18"/>
      <c r="G13673" s="36" t="str">
        <f>IF(ISNUMBER(F13673),C13673*F13673,"")</f>
        <v/>
      </c>
    </row>
    <row r="13674" spans="1:7" ht="12" customHeight="1" outlineLevel="3" x14ac:dyDescent="0.2">
      <c r="A13674" s="14" t="s">
        <v>26893</v>
      </c>
      <c r="B13674" s="15" t="s">
        <v>26894</v>
      </c>
      <c r="C13674" s="16">
        <f>88.26/(1+B2)</f>
        <v>88.26</v>
      </c>
      <c r="D13674" s="17" t="s">
        <v>14</v>
      </c>
      <c r="E13674" s="17"/>
      <c r="F13674" s="18"/>
      <c r="G13674" s="36" t="str">
        <f>IF(ISNUMBER(F13674),C13674*F13674,"")</f>
        <v/>
      </c>
    </row>
    <row r="13675" spans="1:7" ht="12" customHeight="1" outlineLevel="3" x14ac:dyDescent="0.2">
      <c r="A13675" s="14" t="s">
        <v>26895</v>
      </c>
      <c r="B13675" s="15" t="s">
        <v>26896</v>
      </c>
      <c r="C13675" s="16">
        <f>88.26/(1+B2)</f>
        <v>88.26</v>
      </c>
      <c r="D13675" s="17" t="s">
        <v>106</v>
      </c>
      <c r="E13675" s="17"/>
      <c r="F13675" s="18"/>
      <c r="G13675" s="36" t="str">
        <f>IF(ISNUMBER(F13675),C13675*F13675,"")</f>
        <v/>
      </c>
    </row>
    <row r="13676" spans="1:7" ht="12" customHeight="1" outlineLevel="3" x14ac:dyDescent="0.2">
      <c r="A13676" s="14" t="s">
        <v>26897</v>
      </c>
      <c r="B13676" s="15" t="s">
        <v>26898</v>
      </c>
      <c r="C13676" s="16">
        <f>88.3/(1+B2)</f>
        <v>88.3</v>
      </c>
      <c r="D13676" s="17" t="s">
        <v>14</v>
      </c>
      <c r="E13676" s="17"/>
      <c r="F13676" s="18"/>
      <c r="G13676" s="36" t="str">
        <f>IF(ISNUMBER(F13676),C13676*F13676,"")</f>
        <v/>
      </c>
    </row>
    <row r="13677" spans="1:7" ht="12" customHeight="1" outlineLevel="3" x14ac:dyDescent="0.2">
      <c r="A13677" s="14" t="s">
        <v>26899</v>
      </c>
      <c r="B13677" s="15" t="s">
        <v>26900</v>
      </c>
      <c r="C13677" s="16">
        <f>105.8/(1+B2)</f>
        <v>105.8</v>
      </c>
      <c r="D13677" s="17" t="s">
        <v>53</v>
      </c>
      <c r="E13677" s="17"/>
      <c r="F13677" s="18"/>
      <c r="G13677" s="36" t="str">
        <f>IF(ISNUMBER(F13677),C13677*F13677,"")</f>
        <v/>
      </c>
    </row>
    <row r="13678" spans="1:7" ht="12" customHeight="1" outlineLevel="3" x14ac:dyDescent="0.2">
      <c r="A13678" s="14" t="s">
        <v>26901</v>
      </c>
      <c r="B13678" s="15" t="s">
        <v>26902</v>
      </c>
      <c r="C13678" s="16">
        <f>96.14/(1+B2)</f>
        <v>96.14</v>
      </c>
      <c r="D13678" s="17" t="s">
        <v>106</v>
      </c>
      <c r="E13678" s="17"/>
      <c r="F13678" s="18"/>
      <c r="G13678" s="36" t="str">
        <f>IF(ISNUMBER(F13678),C13678*F13678,"")</f>
        <v/>
      </c>
    </row>
    <row r="13679" spans="1:7" ht="12" customHeight="1" outlineLevel="3" x14ac:dyDescent="0.2">
      <c r="A13679" s="14" t="s">
        <v>26903</v>
      </c>
      <c r="B13679" s="15" t="s">
        <v>26904</v>
      </c>
      <c r="C13679" s="16">
        <f>92.88/(1+B2)</f>
        <v>92.88</v>
      </c>
      <c r="D13679" s="17" t="s">
        <v>106</v>
      </c>
      <c r="E13679" s="17"/>
      <c r="F13679" s="18"/>
      <c r="G13679" s="36" t="str">
        <f>IF(ISNUMBER(F13679),C13679*F13679,"")</f>
        <v/>
      </c>
    </row>
    <row r="13680" spans="1:7" ht="12" customHeight="1" outlineLevel="3" x14ac:dyDescent="0.2">
      <c r="A13680" s="14" t="s">
        <v>26905</v>
      </c>
      <c r="B13680" s="15" t="s">
        <v>26906</v>
      </c>
      <c r="C13680" s="16">
        <f>96.14/(1+B2)</f>
        <v>96.14</v>
      </c>
      <c r="D13680" s="17" t="s">
        <v>11</v>
      </c>
      <c r="E13680" s="17"/>
      <c r="F13680" s="18"/>
      <c r="G13680" s="36" t="str">
        <f>IF(ISNUMBER(F13680),C13680*F13680,"")</f>
        <v/>
      </c>
    </row>
    <row r="13681" spans="1:7" ht="12" customHeight="1" outlineLevel="3" x14ac:dyDescent="0.2">
      <c r="A13681" s="14" t="s">
        <v>26907</v>
      </c>
      <c r="B13681" s="15" t="s">
        <v>26908</v>
      </c>
      <c r="C13681" s="16">
        <f>101.78/(1+B2)</f>
        <v>101.78</v>
      </c>
      <c r="D13681" s="17" t="s">
        <v>14</v>
      </c>
      <c r="E13681" s="17"/>
      <c r="F13681" s="18"/>
      <c r="G13681" s="36" t="str">
        <f>IF(ISNUMBER(F13681),C13681*F13681,"")</f>
        <v/>
      </c>
    </row>
    <row r="13682" spans="1:7" ht="12" customHeight="1" outlineLevel="3" x14ac:dyDescent="0.2">
      <c r="A13682" s="14" t="s">
        <v>26909</v>
      </c>
      <c r="B13682" s="15" t="s">
        <v>26910</v>
      </c>
      <c r="C13682" s="16">
        <f>78/(1+B2)</f>
        <v>78</v>
      </c>
      <c r="D13682" s="17" t="s">
        <v>14</v>
      </c>
      <c r="E13682" s="17"/>
      <c r="F13682" s="18"/>
      <c r="G13682" s="36" t="str">
        <f>IF(ISNUMBER(F13682),C13682*F13682,"")</f>
        <v/>
      </c>
    </row>
    <row r="13683" spans="1:7" ht="12" customHeight="1" outlineLevel="3" x14ac:dyDescent="0.2">
      <c r="A13683" s="14" t="s">
        <v>26911</v>
      </c>
      <c r="B13683" s="15" t="s">
        <v>26912</v>
      </c>
      <c r="C13683" s="16">
        <f>78.08/(1+B2)</f>
        <v>78.08</v>
      </c>
      <c r="D13683" s="17" t="s">
        <v>11</v>
      </c>
      <c r="E13683" s="17"/>
      <c r="F13683" s="18"/>
      <c r="G13683" s="36" t="str">
        <f>IF(ISNUMBER(F13683),C13683*F13683,"")</f>
        <v/>
      </c>
    </row>
    <row r="13684" spans="1:7" ht="12" customHeight="1" outlineLevel="3" x14ac:dyDescent="0.2">
      <c r="A13684" s="14" t="s">
        <v>26913</v>
      </c>
      <c r="B13684" s="15" t="s">
        <v>26914</v>
      </c>
      <c r="C13684" s="16">
        <f>110.7/(1+B2)</f>
        <v>110.7</v>
      </c>
      <c r="D13684" s="17" t="s">
        <v>53</v>
      </c>
      <c r="E13684" s="17"/>
      <c r="F13684" s="18"/>
      <c r="G13684" s="36" t="str">
        <f>IF(ISNUMBER(F13684),C13684*F13684,"")</f>
        <v/>
      </c>
    </row>
    <row r="13685" spans="1:7" ht="12" customHeight="1" outlineLevel="3" x14ac:dyDescent="0.2">
      <c r="A13685" s="14" t="s">
        <v>26915</v>
      </c>
      <c r="B13685" s="15" t="s">
        <v>26916</v>
      </c>
      <c r="C13685" s="16">
        <f>273.08/(1+B2)</f>
        <v>273.08</v>
      </c>
      <c r="D13685" s="17" t="s">
        <v>11</v>
      </c>
      <c r="E13685" s="17"/>
      <c r="F13685" s="18"/>
      <c r="G13685" s="36" t="str">
        <f>IF(ISNUMBER(F13685),C13685*F13685,"")</f>
        <v/>
      </c>
    </row>
    <row r="13686" spans="1:7" s="1" customFormat="1" ht="12.95" customHeight="1" outlineLevel="2" x14ac:dyDescent="0.2">
      <c r="A13686" s="20"/>
      <c r="B13686" s="21" t="s">
        <v>26917</v>
      </c>
      <c r="C13686" s="22"/>
      <c r="D13686" s="22"/>
      <c r="E13686" s="22"/>
      <c r="F13686" s="22"/>
      <c r="G13686" s="37"/>
    </row>
    <row r="13687" spans="1:7" ht="12" customHeight="1" outlineLevel="3" x14ac:dyDescent="0.2">
      <c r="A13687" s="14" t="s">
        <v>26918</v>
      </c>
      <c r="B13687" s="15" t="s">
        <v>26919</v>
      </c>
      <c r="C13687" s="16">
        <f>527.31/(1+B2)</f>
        <v>527.30999999999995</v>
      </c>
      <c r="D13687" s="17" t="s">
        <v>11</v>
      </c>
      <c r="E13687" s="17"/>
      <c r="F13687" s="18"/>
      <c r="G13687" s="36" t="str">
        <f>IF(ISNUMBER(F13687),C13687*F13687,"")</f>
        <v/>
      </c>
    </row>
    <row r="13688" spans="1:7" ht="12" customHeight="1" outlineLevel="3" x14ac:dyDescent="0.2">
      <c r="A13688" s="14" t="s">
        <v>26920</v>
      </c>
      <c r="B13688" s="15" t="s">
        <v>26921</v>
      </c>
      <c r="C13688" s="16">
        <f>361.41/(1+B2)</f>
        <v>361.41</v>
      </c>
      <c r="D13688" s="17" t="s">
        <v>11</v>
      </c>
      <c r="E13688" s="17"/>
      <c r="F13688" s="18"/>
      <c r="G13688" s="36" t="str">
        <f>IF(ISNUMBER(F13688),C13688*F13688,"")</f>
        <v/>
      </c>
    </row>
    <row r="13689" spans="1:7" ht="12" customHeight="1" outlineLevel="3" x14ac:dyDescent="0.2">
      <c r="A13689" s="14" t="s">
        <v>26922</v>
      </c>
      <c r="B13689" s="15" t="s">
        <v>26923</v>
      </c>
      <c r="C13689" s="16">
        <f>58.16/(1+B2)</f>
        <v>58.16</v>
      </c>
      <c r="D13689" s="17" t="s">
        <v>11</v>
      </c>
      <c r="E13689" s="17" t="s">
        <v>14</v>
      </c>
      <c r="F13689" s="18"/>
      <c r="G13689" s="36" t="str">
        <f>IF(ISNUMBER(F13689),C13689*F13689,"")</f>
        <v/>
      </c>
    </row>
    <row r="13690" spans="1:7" ht="12" customHeight="1" outlineLevel="3" x14ac:dyDescent="0.2">
      <c r="A13690" s="14" t="s">
        <v>26924</v>
      </c>
      <c r="B13690" s="15" t="s">
        <v>26925</v>
      </c>
      <c r="C13690" s="16">
        <f>43.89/(1+B2)</f>
        <v>43.89</v>
      </c>
      <c r="D13690" s="17" t="s">
        <v>106</v>
      </c>
      <c r="E13690" s="17"/>
      <c r="F13690" s="18"/>
      <c r="G13690" s="36" t="str">
        <f>IF(ISNUMBER(F13690),C13690*F13690,"")</f>
        <v/>
      </c>
    </row>
    <row r="13691" spans="1:7" ht="12" customHeight="1" outlineLevel="3" x14ac:dyDescent="0.2">
      <c r="A13691" s="14" t="s">
        <v>26926</v>
      </c>
      <c r="B13691" s="15" t="s">
        <v>26927</v>
      </c>
      <c r="C13691" s="16">
        <f>112.35/(1+B2)</f>
        <v>112.35</v>
      </c>
      <c r="D13691" s="17" t="s">
        <v>11</v>
      </c>
      <c r="E13691" s="17"/>
      <c r="F13691" s="18"/>
      <c r="G13691" s="36" t="str">
        <f>IF(ISNUMBER(F13691),C13691*F13691,"")</f>
        <v/>
      </c>
    </row>
    <row r="13692" spans="1:7" ht="12" customHeight="1" outlineLevel="3" x14ac:dyDescent="0.2">
      <c r="A13692" s="14" t="s">
        <v>26928</v>
      </c>
      <c r="B13692" s="15" t="s">
        <v>26929</v>
      </c>
      <c r="C13692" s="16">
        <f>112.35/(1+B2)</f>
        <v>112.35</v>
      </c>
      <c r="D13692" s="17" t="s">
        <v>11</v>
      </c>
      <c r="E13692" s="17"/>
      <c r="F13692" s="18"/>
      <c r="G13692" s="36" t="str">
        <f>IF(ISNUMBER(F13692),C13692*F13692,"")</f>
        <v/>
      </c>
    </row>
    <row r="13693" spans="1:7" ht="12" customHeight="1" outlineLevel="3" x14ac:dyDescent="0.2">
      <c r="A13693" s="14" t="s">
        <v>26930</v>
      </c>
      <c r="B13693" s="15" t="s">
        <v>26931</v>
      </c>
      <c r="C13693" s="16">
        <f>132.91/(1+B2)</f>
        <v>132.91</v>
      </c>
      <c r="D13693" s="17" t="s">
        <v>11</v>
      </c>
      <c r="E13693" s="17"/>
      <c r="F13693" s="18"/>
      <c r="G13693" s="36" t="str">
        <f>IF(ISNUMBER(F13693),C13693*F13693,"")</f>
        <v/>
      </c>
    </row>
    <row r="13694" spans="1:7" ht="12" customHeight="1" outlineLevel="3" x14ac:dyDescent="0.2">
      <c r="A13694" s="14" t="s">
        <v>26932</v>
      </c>
      <c r="B13694" s="15" t="s">
        <v>26933</v>
      </c>
      <c r="C13694" s="16">
        <f>188.51/(1+B2)</f>
        <v>188.51</v>
      </c>
      <c r="D13694" s="17" t="s">
        <v>11</v>
      </c>
      <c r="E13694" s="17"/>
      <c r="F13694" s="18"/>
      <c r="G13694" s="36" t="str">
        <f>IF(ISNUMBER(F13694),C13694*F13694,"")</f>
        <v/>
      </c>
    </row>
    <row r="13695" spans="1:7" ht="12" customHeight="1" outlineLevel="3" x14ac:dyDescent="0.2">
      <c r="A13695" s="14" t="s">
        <v>26934</v>
      </c>
      <c r="B13695" s="15" t="s">
        <v>26935</v>
      </c>
      <c r="C13695" s="16">
        <f>391.05/(1+B2)</f>
        <v>391.05</v>
      </c>
      <c r="D13695" s="17" t="s">
        <v>11</v>
      </c>
      <c r="E13695" s="17"/>
      <c r="F13695" s="18"/>
      <c r="G13695" s="36" t="str">
        <f>IF(ISNUMBER(F13695),C13695*F13695,"")</f>
        <v/>
      </c>
    </row>
    <row r="13696" spans="1:7" ht="12" customHeight="1" outlineLevel="3" x14ac:dyDescent="0.2">
      <c r="A13696" s="14" t="s">
        <v>26936</v>
      </c>
      <c r="B13696" s="15" t="s">
        <v>26937</v>
      </c>
      <c r="C13696" s="16">
        <f>225.96/(1+B2)</f>
        <v>225.96</v>
      </c>
      <c r="D13696" s="17" t="s">
        <v>11</v>
      </c>
      <c r="E13696" s="17"/>
      <c r="F13696" s="18"/>
      <c r="G13696" s="36" t="str">
        <f>IF(ISNUMBER(F13696),C13696*F13696,"")</f>
        <v/>
      </c>
    </row>
    <row r="13697" spans="1:7" ht="12" customHeight="1" outlineLevel="3" x14ac:dyDescent="0.2">
      <c r="A13697" s="14" t="s">
        <v>26938</v>
      </c>
      <c r="B13697" s="15" t="s">
        <v>26939</v>
      </c>
      <c r="C13697" s="16">
        <f>225.96/(1+B2)</f>
        <v>225.96</v>
      </c>
      <c r="D13697" s="17" t="s">
        <v>11</v>
      </c>
      <c r="E13697" s="17"/>
      <c r="F13697" s="18"/>
      <c r="G13697" s="36" t="str">
        <f>IF(ISNUMBER(F13697),C13697*F13697,"")</f>
        <v/>
      </c>
    </row>
    <row r="13698" spans="1:7" ht="12" customHeight="1" outlineLevel="3" x14ac:dyDescent="0.2">
      <c r="A13698" s="14" t="s">
        <v>26940</v>
      </c>
      <c r="B13698" s="15" t="s">
        <v>26941</v>
      </c>
      <c r="C13698" s="16">
        <f>225.96/(1+B2)</f>
        <v>225.96</v>
      </c>
      <c r="D13698" s="17" t="s">
        <v>11</v>
      </c>
      <c r="E13698" s="17"/>
      <c r="F13698" s="18"/>
      <c r="G13698" s="36" t="str">
        <f>IF(ISNUMBER(F13698),C13698*F13698,"")</f>
        <v/>
      </c>
    </row>
    <row r="13699" spans="1:7" ht="12" customHeight="1" outlineLevel="3" x14ac:dyDescent="0.2">
      <c r="A13699" s="14" t="s">
        <v>26942</v>
      </c>
      <c r="B13699" s="15" t="s">
        <v>26943</v>
      </c>
      <c r="C13699" s="16">
        <f>365.85/(1+B2)</f>
        <v>365.85</v>
      </c>
      <c r="D13699" s="17" t="s">
        <v>11</v>
      </c>
      <c r="E13699" s="17"/>
      <c r="F13699" s="18"/>
      <c r="G13699" s="36" t="str">
        <f>IF(ISNUMBER(F13699),C13699*F13699,"")</f>
        <v/>
      </c>
    </row>
    <row r="13700" spans="1:7" ht="12" customHeight="1" outlineLevel="3" x14ac:dyDescent="0.2">
      <c r="A13700" s="14" t="s">
        <v>26944</v>
      </c>
      <c r="B13700" s="15" t="s">
        <v>26945</v>
      </c>
      <c r="C13700" s="16">
        <f>248.56/(1+B2)</f>
        <v>248.56</v>
      </c>
      <c r="D13700" s="17" t="s">
        <v>11</v>
      </c>
      <c r="E13700" s="17"/>
      <c r="F13700" s="18"/>
      <c r="G13700" s="36" t="str">
        <f>IF(ISNUMBER(F13700),C13700*F13700,"")</f>
        <v/>
      </c>
    </row>
    <row r="13701" spans="1:7" ht="12" customHeight="1" outlineLevel="3" x14ac:dyDescent="0.2">
      <c r="A13701" s="14" t="s">
        <v>26946</v>
      </c>
      <c r="B13701" s="15" t="s">
        <v>26947</v>
      </c>
      <c r="C13701" s="16">
        <f>255.61/(1+B2)</f>
        <v>255.61</v>
      </c>
      <c r="D13701" s="17" t="s">
        <v>11</v>
      </c>
      <c r="E13701" s="17"/>
      <c r="F13701" s="18"/>
      <c r="G13701" s="36" t="str">
        <f>IF(ISNUMBER(F13701),C13701*F13701,"")</f>
        <v/>
      </c>
    </row>
    <row r="13702" spans="1:7" ht="12" customHeight="1" outlineLevel="3" x14ac:dyDescent="0.2">
      <c r="A13702" s="14" t="s">
        <v>26948</v>
      </c>
      <c r="B13702" s="15" t="s">
        <v>26949</v>
      </c>
      <c r="C13702" s="16">
        <f>255.61/(1+B2)</f>
        <v>255.61</v>
      </c>
      <c r="D13702" s="17" t="s">
        <v>11</v>
      </c>
      <c r="E13702" s="17"/>
      <c r="F13702" s="18"/>
      <c r="G13702" s="36" t="str">
        <f>IF(ISNUMBER(F13702),C13702*F13702,"")</f>
        <v/>
      </c>
    </row>
    <row r="13703" spans="1:7" ht="12" customHeight="1" outlineLevel="3" x14ac:dyDescent="0.2">
      <c r="A13703" s="14" t="s">
        <v>26950</v>
      </c>
      <c r="B13703" s="15" t="s">
        <v>26951</v>
      </c>
      <c r="C13703" s="16">
        <f>255.61/(1+B2)</f>
        <v>255.61</v>
      </c>
      <c r="D13703" s="17" t="s">
        <v>11</v>
      </c>
      <c r="E13703" s="17"/>
      <c r="F13703" s="18"/>
      <c r="G13703" s="36" t="str">
        <f>IF(ISNUMBER(F13703),C13703*F13703,"")</f>
        <v/>
      </c>
    </row>
    <row r="13704" spans="1:7" ht="12" customHeight="1" outlineLevel="3" x14ac:dyDescent="0.2">
      <c r="A13704" s="14" t="s">
        <v>26952</v>
      </c>
      <c r="B13704" s="15" t="s">
        <v>26953</v>
      </c>
      <c r="C13704" s="16">
        <f>121.99/(1+B2)</f>
        <v>121.99</v>
      </c>
      <c r="D13704" s="17" t="s">
        <v>53</v>
      </c>
      <c r="E13704" s="17"/>
      <c r="F13704" s="18"/>
      <c r="G13704" s="36" t="str">
        <f>IF(ISNUMBER(F13704),C13704*F13704,"")</f>
        <v/>
      </c>
    </row>
    <row r="13705" spans="1:7" ht="12" customHeight="1" outlineLevel="3" x14ac:dyDescent="0.2">
      <c r="A13705" s="14" t="s">
        <v>26954</v>
      </c>
      <c r="B13705" s="15" t="s">
        <v>26955</v>
      </c>
      <c r="C13705" s="16">
        <f>157.44/(1+B2)</f>
        <v>157.44</v>
      </c>
      <c r="D13705" s="17" t="s">
        <v>11</v>
      </c>
      <c r="E13705" s="17"/>
      <c r="F13705" s="18"/>
      <c r="G13705" s="36" t="str">
        <f>IF(ISNUMBER(F13705),C13705*F13705,"")</f>
        <v/>
      </c>
    </row>
    <row r="13706" spans="1:7" ht="12" customHeight="1" outlineLevel="3" x14ac:dyDescent="0.2">
      <c r="A13706" s="14" t="s">
        <v>26956</v>
      </c>
      <c r="B13706" s="15" t="s">
        <v>26957</v>
      </c>
      <c r="C13706" s="16">
        <f>157.44/(1+B2)</f>
        <v>157.44</v>
      </c>
      <c r="D13706" s="17" t="s">
        <v>11</v>
      </c>
      <c r="E13706" s="17"/>
      <c r="F13706" s="18"/>
      <c r="G13706" s="36" t="str">
        <f>IF(ISNUMBER(F13706),C13706*F13706,"")</f>
        <v/>
      </c>
    </row>
    <row r="13707" spans="1:7" ht="12" customHeight="1" outlineLevel="3" x14ac:dyDescent="0.2">
      <c r="A13707" s="14" t="s">
        <v>26958</v>
      </c>
      <c r="B13707" s="15" t="s">
        <v>26959</v>
      </c>
      <c r="C13707" s="16">
        <f>322.69/(1+B2)</f>
        <v>322.69</v>
      </c>
      <c r="D13707" s="17" t="s">
        <v>11</v>
      </c>
      <c r="E13707" s="17"/>
      <c r="F13707" s="18"/>
      <c r="G13707" s="36" t="str">
        <f>IF(ISNUMBER(F13707),C13707*F13707,"")</f>
        <v/>
      </c>
    </row>
    <row r="13708" spans="1:7" ht="12" customHeight="1" outlineLevel="3" x14ac:dyDescent="0.2">
      <c r="A13708" s="14" t="s">
        <v>26960</v>
      </c>
      <c r="B13708" s="15" t="s">
        <v>26961</v>
      </c>
      <c r="C13708" s="16">
        <f>157.44/(1+B2)</f>
        <v>157.44</v>
      </c>
      <c r="D13708" s="17" t="s">
        <v>11</v>
      </c>
      <c r="E13708" s="17"/>
      <c r="F13708" s="18"/>
      <c r="G13708" s="36" t="str">
        <f>IF(ISNUMBER(F13708),C13708*F13708,"")</f>
        <v/>
      </c>
    </row>
    <row r="13709" spans="1:7" ht="12" customHeight="1" outlineLevel="3" x14ac:dyDescent="0.2">
      <c r="A13709" s="14" t="s">
        <v>26962</v>
      </c>
      <c r="B13709" s="15" t="s">
        <v>26963</v>
      </c>
      <c r="C13709" s="16">
        <f>172.98/(1+B2)</f>
        <v>172.98</v>
      </c>
      <c r="D13709" s="17" t="s">
        <v>11</v>
      </c>
      <c r="E13709" s="17"/>
      <c r="F13709" s="18"/>
      <c r="G13709" s="36" t="str">
        <f>IF(ISNUMBER(F13709),C13709*F13709,"")</f>
        <v/>
      </c>
    </row>
    <row r="13710" spans="1:7" ht="12" customHeight="1" outlineLevel="3" x14ac:dyDescent="0.2">
      <c r="A13710" s="14" t="s">
        <v>26964</v>
      </c>
      <c r="B13710" s="15" t="s">
        <v>26965</v>
      </c>
      <c r="C13710" s="16">
        <f>172.98/(1+B2)</f>
        <v>172.98</v>
      </c>
      <c r="D13710" s="17" t="s">
        <v>11</v>
      </c>
      <c r="E13710" s="17"/>
      <c r="F13710" s="18"/>
      <c r="G13710" s="36" t="str">
        <f>IF(ISNUMBER(F13710),C13710*F13710,"")</f>
        <v/>
      </c>
    </row>
    <row r="13711" spans="1:7" ht="12" customHeight="1" outlineLevel="3" x14ac:dyDescent="0.2">
      <c r="A13711" s="14" t="s">
        <v>26966</v>
      </c>
      <c r="B13711" s="15" t="s">
        <v>26967</v>
      </c>
      <c r="C13711" s="16">
        <f>172.98/(1+B2)</f>
        <v>172.98</v>
      </c>
      <c r="D13711" s="17" t="s">
        <v>11</v>
      </c>
      <c r="E13711" s="17"/>
      <c r="F13711" s="18"/>
      <c r="G13711" s="36" t="str">
        <f>IF(ISNUMBER(F13711),C13711*F13711,"")</f>
        <v/>
      </c>
    </row>
    <row r="13712" spans="1:7" ht="12" customHeight="1" outlineLevel="3" x14ac:dyDescent="0.2">
      <c r="A13712" s="14" t="s">
        <v>26968</v>
      </c>
      <c r="B13712" s="15" t="s">
        <v>26969</v>
      </c>
      <c r="C13712" s="16">
        <f>172.98/(1+B2)</f>
        <v>172.98</v>
      </c>
      <c r="D13712" s="17" t="s">
        <v>14</v>
      </c>
      <c r="E13712" s="17"/>
      <c r="F13712" s="18"/>
      <c r="G13712" s="36" t="str">
        <f>IF(ISNUMBER(F13712),C13712*F13712,"")</f>
        <v/>
      </c>
    </row>
    <row r="13713" spans="1:7" ht="12" customHeight="1" outlineLevel="3" x14ac:dyDescent="0.2">
      <c r="A13713" s="14" t="s">
        <v>26970</v>
      </c>
      <c r="B13713" s="15" t="s">
        <v>26971</v>
      </c>
      <c r="C13713" s="16">
        <f>197.49/(1+B2)</f>
        <v>197.49</v>
      </c>
      <c r="D13713" s="17" t="s">
        <v>53</v>
      </c>
      <c r="E13713" s="17"/>
      <c r="F13713" s="18"/>
      <c r="G13713" s="36" t="str">
        <f>IF(ISNUMBER(F13713),C13713*F13713,"")</f>
        <v/>
      </c>
    </row>
    <row r="13714" spans="1:7" ht="12" customHeight="1" outlineLevel="3" x14ac:dyDescent="0.2">
      <c r="A13714" s="14" t="s">
        <v>26972</v>
      </c>
      <c r="B13714" s="15" t="s">
        <v>26973</v>
      </c>
      <c r="C13714" s="16">
        <f>554/(1+B2)</f>
        <v>554</v>
      </c>
      <c r="D13714" s="17" t="s">
        <v>11</v>
      </c>
      <c r="E13714" s="17"/>
      <c r="F13714" s="18"/>
      <c r="G13714" s="36" t="str">
        <f>IF(ISNUMBER(F13714),C13714*F13714,"")</f>
        <v/>
      </c>
    </row>
    <row r="13715" spans="1:7" ht="12" customHeight="1" outlineLevel="3" x14ac:dyDescent="0.2">
      <c r="A13715" s="14" t="s">
        <v>26974</v>
      </c>
      <c r="B13715" s="15" t="s">
        <v>26975</v>
      </c>
      <c r="C13715" s="16">
        <f>585/(1+B2)</f>
        <v>585</v>
      </c>
      <c r="D13715" s="17" t="s">
        <v>11</v>
      </c>
      <c r="E13715" s="17"/>
      <c r="F13715" s="18"/>
      <c r="G13715" s="36" t="str">
        <f>IF(ISNUMBER(F13715),C13715*F13715,"")</f>
        <v/>
      </c>
    </row>
    <row r="13716" spans="1:7" ht="12" customHeight="1" outlineLevel="3" x14ac:dyDescent="0.2">
      <c r="A13716" s="14" t="s">
        <v>26976</v>
      </c>
      <c r="B13716" s="15" t="s">
        <v>26977</v>
      </c>
      <c r="C13716" s="16">
        <f>620/(1+B2)</f>
        <v>620</v>
      </c>
      <c r="D13716" s="17" t="s">
        <v>11</v>
      </c>
      <c r="E13716" s="17"/>
      <c r="F13716" s="18"/>
      <c r="G13716" s="36" t="str">
        <f>IF(ISNUMBER(F13716),C13716*F13716,"")</f>
        <v/>
      </c>
    </row>
    <row r="13717" spans="1:7" ht="12" customHeight="1" outlineLevel="3" x14ac:dyDescent="0.2">
      <c r="A13717" s="14" t="s">
        <v>26978</v>
      </c>
      <c r="B13717" s="15" t="s">
        <v>26979</v>
      </c>
      <c r="C13717" s="16">
        <f>640/(1+B2)</f>
        <v>640</v>
      </c>
      <c r="D13717" s="17" t="s">
        <v>11</v>
      </c>
      <c r="E13717" s="17"/>
      <c r="F13717" s="18"/>
      <c r="G13717" s="36" t="str">
        <f>IF(ISNUMBER(F13717),C13717*F13717,"")</f>
        <v/>
      </c>
    </row>
    <row r="13718" spans="1:7" ht="12" customHeight="1" outlineLevel="3" x14ac:dyDescent="0.2">
      <c r="A13718" s="14" t="s">
        <v>26980</v>
      </c>
      <c r="B13718" s="15" t="s">
        <v>26981</v>
      </c>
      <c r="C13718" s="16">
        <f>719/(1+B2)</f>
        <v>719</v>
      </c>
      <c r="D13718" s="17" t="s">
        <v>11</v>
      </c>
      <c r="E13718" s="17"/>
      <c r="F13718" s="18"/>
      <c r="G13718" s="36" t="str">
        <f>IF(ISNUMBER(F13718),C13718*F13718,"")</f>
        <v/>
      </c>
    </row>
    <row r="13719" spans="1:7" ht="12" customHeight="1" outlineLevel="3" x14ac:dyDescent="0.2">
      <c r="A13719" s="14" t="s">
        <v>26982</v>
      </c>
      <c r="B13719" s="15" t="s">
        <v>26983</v>
      </c>
      <c r="C13719" s="16">
        <f>737/(1+B2)</f>
        <v>737</v>
      </c>
      <c r="D13719" s="17" t="s">
        <v>11</v>
      </c>
      <c r="E13719" s="17"/>
      <c r="F13719" s="18"/>
      <c r="G13719" s="36" t="str">
        <f>IF(ISNUMBER(F13719),C13719*F13719,"")</f>
        <v/>
      </c>
    </row>
    <row r="13720" spans="1:7" ht="12" customHeight="1" outlineLevel="3" x14ac:dyDescent="0.2">
      <c r="A13720" s="14" t="s">
        <v>26984</v>
      </c>
      <c r="B13720" s="15" t="s">
        <v>26985</v>
      </c>
      <c r="C13720" s="16">
        <f>805/(1+B2)</f>
        <v>805</v>
      </c>
      <c r="D13720" s="17" t="s">
        <v>11</v>
      </c>
      <c r="E13720" s="17"/>
      <c r="F13720" s="18"/>
      <c r="G13720" s="36" t="str">
        <f>IF(ISNUMBER(F13720),C13720*F13720,"")</f>
        <v/>
      </c>
    </row>
    <row r="13721" spans="1:7" ht="12" customHeight="1" outlineLevel="3" x14ac:dyDescent="0.2">
      <c r="A13721" s="14" t="s">
        <v>26986</v>
      </c>
      <c r="B13721" s="15" t="s">
        <v>26987</v>
      </c>
      <c r="C13721" s="16">
        <f>58/(1+B2)</f>
        <v>58</v>
      </c>
      <c r="D13721" s="17" t="s">
        <v>11</v>
      </c>
      <c r="E13721" s="17"/>
      <c r="F13721" s="18"/>
      <c r="G13721" s="36" t="str">
        <f>IF(ISNUMBER(F13721),C13721*F13721,"")</f>
        <v/>
      </c>
    </row>
    <row r="13722" spans="1:7" ht="12" customHeight="1" outlineLevel="3" x14ac:dyDescent="0.2">
      <c r="A13722" s="14" t="s">
        <v>26988</v>
      </c>
      <c r="B13722" s="15" t="s">
        <v>26989</v>
      </c>
      <c r="C13722" s="16">
        <f>64/(1+B2)</f>
        <v>64</v>
      </c>
      <c r="D13722" s="17" t="s">
        <v>11</v>
      </c>
      <c r="E13722" s="17"/>
      <c r="F13722" s="18"/>
      <c r="G13722" s="36" t="str">
        <f>IF(ISNUMBER(F13722),C13722*F13722,"")</f>
        <v/>
      </c>
    </row>
    <row r="13723" spans="1:7" ht="12" customHeight="1" outlineLevel="3" x14ac:dyDescent="0.2">
      <c r="A13723" s="14" t="s">
        <v>26990</v>
      </c>
      <c r="B13723" s="15" t="s">
        <v>26991</v>
      </c>
      <c r="C13723" s="16">
        <f>70/(1+B2)</f>
        <v>70</v>
      </c>
      <c r="D13723" s="17" t="s">
        <v>11</v>
      </c>
      <c r="E13723" s="17"/>
      <c r="F13723" s="18"/>
      <c r="G13723" s="36" t="str">
        <f>IF(ISNUMBER(F13723),C13723*F13723,"")</f>
        <v/>
      </c>
    </row>
    <row r="13724" spans="1:7" ht="12" customHeight="1" outlineLevel="3" x14ac:dyDescent="0.2">
      <c r="A13724" s="14" t="s">
        <v>26992</v>
      </c>
      <c r="B13724" s="15" t="s">
        <v>26993</v>
      </c>
      <c r="C13724" s="16">
        <f>75/(1+B2)</f>
        <v>75</v>
      </c>
      <c r="D13724" s="17" t="s">
        <v>11</v>
      </c>
      <c r="E13724" s="17"/>
      <c r="F13724" s="18"/>
      <c r="G13724" s="36" t="str">
        <f>IF(ISNUMBER(F13724),C13724*F13724,"")</f>
        <v/>
      </c>
    </row>
    <row r="13725" spans="1:7" ht="12" customHeight="1" outlineLevel="3" x14ac:dyDescent="0.2">
      <c r="A13725" s="14" t="s">
        <v>26994</v>
      </c>
      <c r="B13725" s="15" t="s">
        <v>26995</v>
      </c>
      <c r="C13725" s="16">
        <f>82/(1+B2)</f>
        <v>82</v>
      </c>
      <c r="D13725" s="17" t="s">
        <v>11</v>
      </c>
      <c r="E13725" s="17"/>
      <c r="F13725" s="18"/>
      <c r="G13725" s="36" t="str">
        <f>IF(ISNUMBER(F13725),C13725*F13725,"")</f>
        <v/>
      </c>
    </row>
    <row r="13726" spans="1:7" ht="12" customHeight="1" outlineLevel="3" x14ac:dyDescent="0.2">
      <c r="A13726" s="14" t="s">
        <v>26996</v>
      </c>
      <c r="B13726" s="15" t="s">
        <v>26997</v>
      </c>
      <c r="C13726" s="16">
        <f>118/(1+B2)</f>
        <v>118</v>
      </c>
      <c r="D13726" s="17" t="s">
        <v>11</v>
      </c>
      <c r="E13726" s="17"/>
      <c r="F13726" s="18"/>
      <c r="G13726" s="36" t="str">
        <f>IF(ISNUMBER(F13726),C13726*F13726,"")</f>
        <v/>
      </c>
    </row>
    <row r="13727" spans="1:7" ht="12" customHeight="1" outlineLevel="3" x14ac:dyDescent="0.2">
      <c r="A13727" s="14" t="s">
        <v>26998</v>
      </c>
      <c r="B13727" s="15" t="s">
        <v>26999</v>
      </c>
      <c r="C13727" s="16">
        <f>137/(1+B2)</f>
        <v>137</v>
      </c>
      <c r="D13727" s="17" t="s">
        <v>11</v>
      </c>
      <c r="E13727" s="17"/>
      <c r="F13727" s="18"/>
      <c r="G13727" s="36" t="str">
        <f>IF(ISNUMBER(F13727),C13727*F13727,"")</f>
        <v/>
      </c>
    </row>
    <row r="13728" spans="1:7" ht="12" customHeight="1" outlineLevel="3" x14ac:dyDescent="0.2">
      <c r="A13728" s="14" t="s">
        <v>27000</v>
      </c>
      <c r="B13728" s="15" t="s">
        <v>27001</v>
      </c>
      <c r="C13728" s="16">
        <f>215/(1+B2)</f>
        <v>215</v>
      </c>
      <c r="D13728" s="17" t="s">
        <v>11</v>
      </c>
      <c r="E13728" s="17"/>
      <c r="F13728" s="18"/>
      <c r="G13728" s="36" t="str">
        <f>IF(ISNUMBER(F13728),C13728*F13728,"")</f>
        <v/>
      </c>
    </row>
    <row r="13729" spans="1:7" ht="12" customHeight="1" outlineLevel="3" x14ac:dyDescent="0.2">
      <c r="A13729" s="14" t="s">
        <v>27002</v>
      </c>
      <c r="B13729" s="15" t="s">
        <v>27003</v>
      </c>
      <c r="C13729" s="16">
        <f>262/(1+B2)</f>
        <v>262</v>
      </c>
      <c r="D13729" s="17" t="s">
        <v>11</v>
      </c>
      <c r="E13729" s="17"/>
      <c r="F13729" s="18"/>
      <c r="G13729" s="36" t="str">
        <f>IF(ISNUMBER(F13729),C13729*F13729,"")</f>
        <v/>
      </c>
    </row>
    <row r="13730" spans="1:7" ht="12" customHeight="1" outlineLevel="3" x14ac:dyDescent="0.2">
      <c r="A13730" s="14" t="s">
        <v>27004</v>
      </c>
      <c r="B13730" s="15" t="s">
        <v>27005</v>
      </c>
      <c r="C13730" s="16">
        <f>305/(1+B2)</f>
        <v>305</v>
      </c>
      <c r="D13730" s="17" t="s">
        <v>11</v>
      </c>
      <c r="E13730" s="17"/>
      <c r="F13730" s="18"/>
      <c r="G13730" s="36" t="str">
        <f>IF(ISNUMBER(F13730),C13730*F13730,"")</f>
        <v/>
      </c>
    </row>
    <row r="13731" spans="1:7" ht="12" customHeight="1" outlineLevel="3" x14ac:dyDescent="0.2">
      <c r="A13731" s="14" t="s">
        <v>27006</v>
      </c>
      <c r="B13731" s="15" t="s">
        <v>27007</v>
      </c>
      <c r="C13731" s="16">
        <f>394/(1+B2)</f>
        <v>394</v>
      </c>
      <c r="D13731" s="17" t="s">
        <v>11</v>
      </c>
      <c r="E13731" s="17"/>
      <c r="F13731" s="18"/>
      <c r="G13731" s="36" t="str">
        <f>IF(ISNUMBER(F13731),C13731*F13731,"")</f>
        <v/>
      </c>
    </row>
    <row r="13732" spans="1:7" ht="12" customHeight="1" outlineLevel="3" x14ac:dyDescent="0.2">
      <c r="A13732" s="14" t="s">
        <v>27008</v>
      </c>
      <c r="B13732" s="15" t="s">
        <v>27009</v>
      </c>
      <c r="C13732" s="16">
        <f>35/(1+B2)</f>
        <v>35</v>
      </c>
      <c r="D13732" s="17" t="s">
        <v>11</v>
      </c>
      <c r="E13732" s="17"/>
      <c r="F13732" s="18"/>
      <c r="G13732" s="36" t="str">
        <f>IF(ISNUMBER(F13732),C13732*F13732,"")</f>
        <v/>
      </c>
    </row>
    <row r="13733" spans="1:7" ht="12" customHeight="1" outlineLevel="3" x14ac:dyDescent="0.2">
      <c r="A13733" s="14" t="s">
        <v>27010</v>
      </c>
      <c r="B13733" s="15" t="s">
        <v>27011</v>
      </c>
      <c r="C13733" s="16">
        <f>36/(1+B2)</f>
        <v>36</v>
      </c>
      <c r="D13733" s="17" t="s">
        <v>11</v>
      </c>
      <c r="E13733" s="17"/>
      <c r="F13733" s="18"/>
      <c r="G13733" s="36" t="str">
        <f>IF(ISNUMBER(F13733),C13733*F13733,"")</f>
        <v/>
      </c>
    </row>
    <row r="13734" spans="1:7" ht="12" customHeight="1" outlineLevel="3" x14ac:dyDescent="0.2">
      <c r="A13734" s="14" t="s">
        <v>27012</v>
      </c>
      <c r="B13734" s="15" t="s">
        <v>27013</v>
      </c>
      <c r="C13734" s="16">
        <f>368/(1+B2)</f>
        <v>368</v>
      </c>
      <c r="D13734" s="17" t="s">
        <v>11</v>
      </c>
      <c r="E13734" s="17"/>
      <c r="F13734" s="18"/>
      <c r="G13734" s="36" t="str">
        <f>IF(ISNUMBER(F13734),C13734*F13734,"")</f>
        <v/>
      </c>
    </row>
    <row r="13735" spans="1:7" ht="12" customHeight="1" outlineLevel="3" x14ac:dyDescent="0.2">
      <c r="A13735" s="14" t="s">
        <v>27014</v>
      </c>
      <c r="B13735" s="15" t="s">
        <v>27015</v>
      </c>
      <c r="C13735" s="16">
        <f>399/(1+B2)</f>
        <v>399</v>
      </c>
      <c r="D13735" s="17" t="s">
        <v>14</v>
      </c>
      <c r="E13735" s="17"/>
      <c r="F13735" s="18"/>
      <c r="G13735" s="36" t="str">
        <f>IF(ISNUMBER(F13735),C13735*F13735,"")</f>
        <v/>
      </c>
    </row>
    <row r="13736" spans="1:7" ht="12" customHeight="1" outlineLevel="3" x14ac:dyDescent="0.2">
      <c r="A13736" s="14" t="s">
        <v>27016</v>
      </c>
      <c r="B13736" s="15" t="s">
        <v>27017</v>
      </c>
      <c r="C13736" s="16">
        <f>416/(1+B2)</f>
        <v>416</v>
      </c>
      <c r="D13736" s="17" t="s">
        <v>11</v>
      </c>
      <c r="E13736" s="17"/>
      <c r="F13736" s="18"/>
      <c r="G13736" s="36" t="str">
        <f>IF(ISNUMBER(F13736),C13736*F13736,"")</f>
        <v/>
      </c>
    </row>
    <row r="13737" spans="1:7" ht="12" customHeight="1" outlineLevel="3" x14ac:dyDescent="0.2">
      <c r="A13737" s="14" t="s">
        <v>27018</v>
      </c>
      <c r="B13737" s="15" t="s">
        <v>27019</v>
      </c>
      <c r="C13737" s="16">
        <f>459/(1+B2)</f>
        <v>459</v>
      </c>
      <c r="D13737" s="17" t="s">
        <v>11</v>
      </c>
      <c r="E13737" s="17"/>
      <c r="F13737" s="18"/>
      <c r="G13737" s="36" t="str">
        <f>IF(ISNUMBER(F13737),C13737*F13737,"")</f>
        <v/>
      </c>
    </row>
    <row r="13738" spans="1:7" ht="12" customHeight="1" outlineLevel="3" x14ac:dyDescent="0.2">
      <c r="A13738" s="14" t="s">
        <v>27020</v>
      </c>
      <c r="B13738" s="15" t="s">
        <v>27021</v>
      </c>
      <c r="C13738" s="16">
        <f>497/(1+B2)</f>
        <v>497</v>
      </c>
      <c r="D13738" s="17" t="s">
        <v>11</v>
      </c>
      <c r="E13738" s="17"/>
      <c r="F13738" s="18"/>
      <c r="G13738" s="36" t="str">
        <f>IF(ISNUMBER(F13738),C13738*F13738,"")</f>
        <v/>
      </c>
    </row>
    <row r="13739" spans="1:7" ht="12" customHeight="1" outlineLevel="3" x14ac:dyDescent="0.2">
      <c r="A13739" s="14" t="s">
        <v>27022</v>
      </c>
      <c r="B13739" s="15" t="s">
        <v>27023</v>
      </c>
      <c r="C13739" s="16">
        <f>575/(1+B2)</f>
        <v>575</v>
      </c>
      <c r="D13739" s="17" t="s">
        <v>11</v>
      </c>
      <c r="E13739" s="17"/>
      <c r="F13739" s="18"/>
      <c r="G13739" s="36" t="str">
        <f>IF(ISNUMBER(F13739),C13739*F13739,"")</f>
        <v/>
      </c>
    </row>
    <row r="13740" spans="1:7" ht="12" customHeight="1" outlineLevel="3" x14ac:dyDescent="0.2">
      <c r="A13740" s="14" t="s">
        <v>27024</v>
      </c>
      <c r="B13740" s="15" t="s">
        <v>27025</v>
      </c>
      <c r="C13740" s="16">
        <f>659/(1+B2)</f>
        <v>659</v>
      </c>
      <c r="D13740" s="17" t="s">
        <v>11</v>
      </c>
      <c r="E13740" s="17"/>
      <c r="F13740" s="18"/>
      <c r="G13740" s="36" t="str">
        <f>IF(ISNUMBER(F13740),C13740*F13740,"")</f>
        <v/>
      </c>
    </row>
    <row r="13741" spans="1:7" ht="12" customHeight="1" outlineLevel="3" x14ac:dyDescent="0.2">
      <c r="A13741" s="14" t="s">
        <v>27026</v>
      </c>
      <c r="B13741" s="15" t="s">
        <v>27027</v>
      </c>
      <c r="C13741" s="16">
        <f>37/(1+B2)</f>
        <v>37</v>
      </c>
      <c r="D13741" s="17" t="s">
        <v>11</v>
      </c>
      <c r="E13741" s="17"/>
      <c r="F13741" s="18"/>
      <c r="G13741" s="36" t="str">
        <f>IF(ISNUMBER(F13741),C13741*F13741,"")</f>
        <v/>
      </c>
    </row>
    <row r="13742" spans="1:7" ht="12" customHeight="1" outlineLevel="3" x14ac:dyDescent="0.2">
      <c r="A13742" s="14" t="s">
        <v>27028</v>
      </c>
      <c r="B13742" s="15" t="s">
        <v>27029</v>
      </c>
      <c r="C13742" s="16">
        <f>38/(1+B2)</f>
        <v>38</v>
      </c>
      <c r="D13742" s="17" t="s">
        <v>11</v>
      </c>
      <c r="E13742" s="17"/>
      <c r="F13742" s="18"/>
      <c r="G13742" s="36" t="str">
        <f>IF(ISNUMBER(F13742),C13742*F13742,"")</f>
        <v/>
      </c>
    </row>
    <row r="13743" spans="1:7" ht="12" customHeight="1" outlineLevel="3" x14ac:dyDescent="0.2">
      <c r="A13743" s="14" t="s">
        <v>27030</v>
      </c>
      <c r="B13743" s="15" t="s">
        <v>27031</v>
      </c>
      <c r="C13743" s="16">
        <f>112/(1+B2)</f>
        <v>112</v>
      </c>
      <c r="D13743" s="17" t="s">
        <v>11</v>
      </c>
      <c r="E13743" s="17"/>
      <c r="F13743" s="18"/>
      <c r="G13743" s="36" t="str">
        <f>IF(ISNUMBER(F13743),C13743*F13743,"")</f>
        <v/>
      </c>
    </row>
    <row r="13744" spans="1:7" ht="12" customHeight="1" outlineLevel="3" x14ac:dyDescent="0.2">
      <c r="A13744" s="14" t="s">
        <v>27032</v>
      </c>
      <c r="B13744" s="15" t="s">
        <v>27033</v>
      </c>
      <c r="C13744" s="16">
        <f>53/(1+B2)</f>
        <v>53</v>
      </c>
      <c r="D13744" s="17" t="s">
        <v>53</v>
      </c>
      <c r="E13744" s="17"/>
      <c r="F13744" s="18"/>
      <c r="G13744" s="36" t="str">
        <f>IF(ISNUMBER(F13744),C13744*F13744,"")</f>
        <v/>
      </c>
    </row>
    <row r="13745" spans="1:7" ht="12" customHeight="1" outlineLevel="3" x14ac:dyDescent="0.2">
      <c r="A13745" s="14" t="s">
        <v>27034</v>
      </c>
      <c r="B13745" s="15" t="s">
        <v>27035</v>
      </c>
      <c r="C13745" s="16">
        <f>57/(1+B2)</f>
        <v>57</v>
      </c>
      <c r="D13745" s="17" t="s">
        <v>53</v>
      </c>
      <c r="E13745" s="17" t="s">
        <v>14</v>
      </c>
      <c r="F13745" s="18"/>
      <c r="G13745" s="36" t="str">
        <f>IF(ISNUMBER(F13745),C13745*F13745,"")</f>
        <v/>
      </c>
    </row>
    <row r="13746" spans="1:7" ht="12" customHeight="1" outlineLevel="3" x14ac:dyDescent="0.2">
      <c r="A13746" s="14" t="s">
        <v>27036</v>
      </c>
      <c r="B13746" s="15" t="s">
        <v>27037</v>
      </c>
      <c r="C13746" s="16">
        <f>57/(1+B2)</f>
        <v>57</v>
      </c>
      <c r="D13746" s="17" t="s">
        <v>11</v>
      </c>
      <c r="E13746" s="17"/>
      <c r="F13746" s="18"/>
      <c r="G13746" s="36" t="str">
        <f>IF(ISNUMBER(F13746),C13746*F13746,"")</f>
        <v/>
      </c>
    </row>
    <row r="13747" spans="1:7" ht="12" customHeight="1" outlineLevel="3" x14ac:dyDescent="0.2">
      <c r="A13747" s="14" t="s">
        <v>27038</v>
      </c>
      <c r="B13747" s="15" t="s">
        <v>27039</v>
      </c>
      <c r="C13747" s="16">
        <f>58/(1+B2)</f>
        <v>58</v>
      </c>
      <c r="D13747" s="17" t="s">
        <v>14</v>
      </c>
      <c r="E13747" s="17"/>
      <c r="F13747" s="18"/>
      <c r="G13747" s="36" t="str">
        <f>IF(ISNUMBER(F13747),C13747*F13747,"")</f>
        <v/>
      </c>
    </row>
    <row r="13748" spans="1:7" ht="12" customHeight="1" outlineLevel="3" x14ac:dyDescent="0.2">
      <c r="A13748" s="14" t="s">
        <v>27040</v>
      </c>
      <c r="B13748" s="15" t="s">
        <v>27041</v>
      </c>
      <c r="C13748" s="16">
        <f>129/(1+B2)</f>
        <v>129</v>
      </c>
      <c r="D13748" s="17" t="s">
        <v>11</v>
      </c>
      <c r="E13748" s="17"/>
      <c r="F13748" s="18"/>
      <c r="G13748" s="36" t="str">
        <f>IF(ISNUMBER(F13748),C13748*F13748,"")</f>
        <v/>
      </c>
    </row>
    <row r="13749" spans="1:7" ht="12" customHeight="1" outlineLevel="3" x14ac:dyDescent="0.2">
      <c r="A13749" s="14" t="s">
        <v>27042</v>
      </c>
      <c r="B13749" s="15" t="s">
        <v>27043</v>
      </c>
      <c r="C13749" s="16">
        <f>62/(1+B2)</f>
        <v>62</v>
      </c>
      <c r="D13749" s="17" t="s">
        <v>14</v>
      </c>
      <c r="E13749" s="17"/>
      <c r="F13749" s="18"/>
      <c r="G13749" s="36" t="str">
        <f>IF(ISNUMBER(F13749),C13749*F13749,"")</f>
        <v/>
      </c>
    </row>
    <row r="13750" spans="1:7" ht="12" customHeight="1" outlineLevel="3" x14ac:dyDescent="0.2">
      <c r="A13750" s="14" t="s">
        <v>27044</v>
      </c>
      <c r="B13750" s="15" t="s">
        <v>27045</v>
      </c>
      <c r="C13750" s="16">
        <f>151/(1+B2)</f>
        <v>151</v>
      </c>
      <c r="D13750" s="17" t="s">
        <v>11</v>
      </c>
      <c r="E13750" s="17"/>
      <c r="F13750" s="18"/>
      <c r="G13750" s="36" t="str">
        <f>IF(ISNUMBER(F13750),C13750*F13750,"")</f>
        <v/>
      </c>
    </row>
    <row r="13751" spans="1:7" ht="12" customHeight="1" outlineLevel="3" x14ac:dyDescent="0.2">
      <c r="A13751" s="14" t="s">
        <v>27046</v>
      </c>
      <c r="B13751" s="15" t="s">
        <v>27047</v>
      </c>
      <c r="C13751" s="16">
        <f>64/(1+B2)</f>
        <v>64</v>
      </c>
      <c r="D13751" s="17" t="s">
        <v>53</v>
      </c>
      <c r="E13751" s="17"/>
      <c r="F13751" s="18"/>
      <c r="G13751" s="36" t="str">
        <f>IF(ISNUMBER(F13751),C13751*F13751,"")</f>
        <v/>
      </c>
    </row>
    <row r="13752" spans="1:7" ht="12" customHeight="1" outlineLevel="3" x14ac:dyDescent="0.2">
      <c r="A13752" s="14" t="s">
        <v>27048</v>
      </c>
      <c r="B13752" s="15" t="s">
        <v>27049</v>
      </c>
      <c r="C13752" s="16">
        <f>75/(1+B2)</f>
        <v>75</v>
      </c>
      <c r="D13752" s="17" t="s">
        <v>11</v>
      </c>
      <c r="E13752" s="17"/>
      <c r="F13752" s="18"/>
      <c r="G13752" s="36" t="str">
        <f>IF(ISNUMBER(F13752),C13752*F13752,"")</f>
        <v/>
      </c>
    </row>
    <row r="13753" spans="1:7" ht="12" customHeight="1" outlineLevel="3" x14ac:dyDescent="0.2">
      <c r="A13753" s="14" t="s">
        <v>27050</v>
      </c>
      <c r="B13753" s="15" t="s">
        <v>27051</v>
      </c>
      <c r="C13753" s="16">
        <f>191/(1+B2)</f>
        <v>191</v>
      </c>
      <c r="D13753" s="17" t="s">
        <v>11</v>
      </c>
      <c r="E13753" s="17"/>
      <c r="F13753" s="18"/>
      <c r="G13753" s="36" t="str">
        <f>IF(ISNUMBER(F13753),C13753*F13753,"")</f>
        <v/>
      </c>
    </row>
    <row r="13754" spans="1:7" ht="12" customHeight="1" outlineLevel="3" x14ac:dyDescent="0.2">
      <c r="A13754" s="14" t="s">
        <v>27052</v>
      </c>
      <c r="B13754" s="15" t="s">
        <v>27053</v>
      </c>
      <c r="C13754" s="16">
        <f>91/(1+B2)</f>
        <v>91</v>
      </c>
      <c r="D13754" s="17" t="s">
        <v>53</v>
      </c>
      <c r="E13754" s="17"/>
      <c r="F13754" s="18"/>
      <c r="G13754" s="36" t="str">
        <f>IF(ISNUMBER(F13754),C13754*F13754,"")</f>
        <v/>
      </c>
    </row>
    <row r="13755" spans="1:7" ht="12" customHeight="1" outlineLevel="3" x14ac:dyDescent="0.2">
      <c r="A13755" s="14" t="s">
        <v>27054</v>
      </c>
      <c r="B13755" s="15" t="s">
        <v>27055</v>
      </c>
      <c r="C13755" s="16">
        <f>116/(1+B2)</f>
        <v>116</v>
      </c>
      <c r="D13755" s="17" t="s">
        <v>14</v>
      </c>
      <c r="E13755" s="17"/>
      <c r="F13755" s="18"/>
      <c r="G13755" s="36" t="str">
        <f>IF(ISNUMBER(F13755),C13755*F13755,"")</f>
        <v/>
      </c>
    </row>
    <row r="13756" spans="1:7" ht="12" customHeight="1" outlineLevel="3" x14ac:dyDescent="0.2">
      <c r="A13756" s="14" t="s">
        <v>27056</v>
      </c>
      <c r="B13756" s="15" t="s">
        <v>27057</v>
      </c>
      <c r="C13756" s="16">
        <f>139/(1+B2)</f>
        <v>139</v>
      </c>
      <c r="D13756" s="17" t="s">
        <v>11</v>
      </c>
      <c r="E13756" s="17"/>
      <c r="F13756" s="18"/>
      <c r="G13756" s="36" t="str">
        <f>IF(ISNUMBER(F13756),C13756*F13756,"")</f>
        <v/>
      </c>
    </row>
    <row r="13757" spans="1:7" ht="12" customHeight="1" outlineLevel="3" x14ac:dyDescent="0.2">
      <c r="A13757" s="14" t="s">
        <v>27058</v>
      </c>
      <c r="B13757" s="15" t="s">
        <v>27059</v>
      </c>
      <c r="C13757" s="16">
        <f>252/(1+B2)</f>
        <v>252</v>
      </c>
      <c r="D13757" s="17" t="s">
        <v>11</v>
      </c>
      <c r="E13757" s="17"/>
      <c r="F13757" s="18"/>
      <c r="G13757" s="36" t="str">
        <f>IF(ISNUMBER(F13757),C13757*F13757,"")</f>
        <v/>
      </c>
    </row>
    <row r="13758" spans="1:7" ht="12" customHeight="1" outlineLevel="3" x14ac:dyDescent="0.2">
      <c r="A13758" s="14" t="s">
        <v>27060</v>
      </c>
      <c r="B13758" s="15" t="s">
        <v>27061</v>
      </c>
      <c r="C13758" s="16">
        <f>173/(1+B2)</f>
        <v>173</v>
      </c>
      <c r="D13758" s="17" t="s">
        <v>11</v>
      </c>
      <c r="E13758" s="17"/>
      <c r="F13758" s="18"/>
      <c r="G13758" s="36" t="str">
        <f>IF(ISNUMBER(F13758),C13758*F13758,"")</f>
        <v/>
      </c>
    </row>
    <row r="13759" spans="1:7" ht="12" customHeight="1" outlineLevel="3" x14ac:dyDescent="0.2">
      <c r="A13759" s="14" t="s">
        <v>27062</v>
      </c>
      <c r="B13759" s="15" t="s">
        <v>27063</v>
      </c>
      <c r="C13759" s="16">
        <f>307/(1+B2)</f>
        <v>307</v>
      </c>
      <c r="D13759" s="17" t="s">
        <v>11</v>
      </c>
      <c r="E13759" s="17"/>
      <c r="F13759" s="18"/>
      <c r="G13759" s="36" t="str">
        <f>IF(ISNUMBER(F13759),C13759*F13759,"")</f>
        <v/>
      </c>
    </row>
    <row r="13760" spans="1:7" ht="12" customHeight="1" outlineLevel="3" x14ac:dyDescent="0.2">
      <c r="A13760" s="14" t="s">
        <v>27064</v>
      </c>
      <c r="B13760" s="15" t="s">
        <v>27065</v>
      </c>
      <c r="C13760" s="16">
        <f>344/(1+B2)</f>
        <v>344</v>
      </c>
      <c r="D13760" s="17" t="s">
        <v>11</v>
      </c>
      <c r="E13760" s="17"/>
      <c r="F13760" s="18"/>
      <c r="G13760" s="36" t="str">
        <f>IF(ISNUMBER(F13760),C13760*F13760,"")</f>
        <v/>
      </c>
    </row>
    <row r="13761" spans="1:7" ht="12" customHeight="1" outlineLevel="3" x14ac:dyDescent="0.2">
      <c r="A13761" s="14" t="s">
        <v>27066</v>
      </c>
      <c r="B13761" s="15" t="s">
        <v>27067</v>
      </c>
      <c r="C13761" s="16">
        <f>225/(1+B2)</f>
        <v>225</v>
      </c>
      <c r="D13761" s="17" t="s">
        <v>53</v>
      </c>
      <c r="E13761" s="17"/>
      <c r="F13761" s="18"/>
      <c r="G13761" s="36" t="str">
        <f>IF(ISNUMBER(F13761),C13761*F13761,"")</f>
        <v/>
      </c>
    </row>
    <row r="13762" spans="1:7" ht="12" customHeight="1" outlineLevel="3" x14ac:dyDescent="0.2">
      <c r="A13762" s="14" t="s">
        <v>27068</v>
      </c>
      <c r="B13762" s="15" t="s">
        <v>27069</v>
      </c>
      <c r="C13762" s="16">
        <f>255/(1+B2)</f>
        <v>255</v>
      </c>
      <c r="D13762" s="17" t="s">
        <v>11</v>
      </c>
      <c r="E13762" s="17"/>
      <c r="F13762" s="18"/>
      <c r="G13762" s="36" t="str">
        <f>IF(ISNUMBER(F13762),C13762*F13762,"")</f>
        <v/>
      </c>
    </row>
    <row r="13763" spans="1:7" ht="12" customHeight="1" outlineLevel="3" x14ac:dyDescent="0.2">
      <c r="A13763" s="14" t="s">
        <v>27070</v>
      </c>
      <c r="B13763" s="15" t="s">
        <v>27071</v>
      </c>
      <c r="C13763" s="16">
        <f>292/(1+B2)</f>
        <v>292</v>
      </c>
      <c r="D13763" s="17" t="s">
        <v>11</v>
      </c>
      <c r="E13763" s="17"/>
      <c r="F13763" s="18"/>
      <c r="G13763" s="36" t="str">
        <f>IF(ISNUMBER(F13763),C13763*F13763,"")</f>
        <v/>
      </c>
    </row>
    <row r="13764" spans="1:7" ht="12" customHeight="1" outlineLevel="3" x14ac:dyDescent="0.2">
      <c r="A13764" s="14" t="s">
        <v>27072</v>
      </c>
      <c r="B13764" s="15" t="s">
        <v>27073</v>
      </c>
      <c r="C13764" s="16">
        <f>478/(1+B2)</f>
        <v>478</v>
      </c>
      <c r="D13764" s="17" t="s">
        <v>11</v>
      </c>
      <c r="E13764" s="17"/>
      <c r="F13764" s="18"/>
      <c r="G13764" s="36" t="str">
        <f>IF(ISNUMBER(F13764),C13764*F13764,"")</f>
        <v/>
      </c>
    </row>
    <row r="13765" spans="1:7" ht="12" customHeight="1" outlineLevel="3" x14ac:dyDescent="0.2">
      <c r="A13765" s="14" t="s">
        <v>27074</v>
      </c>
      <c r="B13765" s="15" t="s">
        <v>27075</v>
      </c>
      <c r="C13765" s="16">
        <f>316/(1+B2)</f>
        <v>316</v>
      </c>
      <c r="D13765" s="17" t="s">
        <v>11</v>
      </c>
      <c r="E13765" s="17"/>
      <c r="F13765" s="18"/>
      <c r="G13765" s="36" t="str">
        <f>IF(ISNUMBER(F13765),C13765*F13765,"")</f>
        <v/>
      </c>
    </row>
    <row r="13766" spans="1:7" s="1" customFormat="1" ht="12.95" customHeight="1" outlineLevel="2" x14ac:dyDescent="0.2">
      <c r="A13766" s="20"/>
      <c r="B13766" s="21" t="s">
        <v>27076</v>
      </c>
      <c r="C13766" s="22"/>
      <c r="D13766" s="22"/>
      <c r="E13766" s="22"/>
      <c r="F13766" s="22"/>
      <c r="G13766" s="37"/>
    </row>
    <row r="13767" spans="1:7" ht="12" customHeight="1" outlineLevel="3" x14ac:dyDescent="0.2">
      <c r="A13767" s="14" t="s">
        <v>27077</v>
      </c>
      <c r="B13767" s="15" t="s">
        <v>27078</v>
      </c>
      <c r="C13767" s="16">
        <f>80.68/(1+B2)</f>
        <v>80.680000000000007</v>
      </c>
      <c r="D13767" s="17" t="s">
        <v>11</v>
      </c>
      <c r="E13767" s="17"/>
      <c r="F13767" s="18"/>
      <c r="G13767" s="36" t="str">
        <f>IF(ISNUMBER(F13767),C13767*F13767,"")</f>
        <v/>
      </c>
    </row>
    <row r="13768" spans="1:7" ht="12" customHeight="1" outlineLevel="3" x14ac:dyDescent="0.2">
      <c r="A13768" s="14" t="s">
        <v>27079</v>
      </c>
      <c r="B13768" s="15" t="s">
        <v>27080</v>
      </c>
      <c r="C13768" s="16">
        <f>186/(1+B2)</f>
        <v>186</v>
      </c>
      <c r="D13768" s="17" t="s">
        <v>11</v>
      </c>
      <c r="E13768" s="17"/>
      <c r="F13768" s="18"/>
      <c r="G13768" s="36" t="str">
        <f>IF(ISNUMBER(F13768),C13768*F13768,"")</f>
        <v/>
      </c>
    </row>
    <row r="13769" spans="1:7" ht="12" customHeight="1" outlineLevel="3" x14ac:dyDescent="0.2">
      <c r="A13769" s="14" t="s">
        <v>27081</v>
      </c>
      <c r="B13769" s="15" t="s">
        <v>27082</v>
      </c>
      <c r="C13769" s="16">
        <f>252.99/(1+B2)</f>
        <v>252.99</v>
      </c>
      <c r="D13769" s="17" t="s">
        <v>11</v>
      </c>
      <c r="E13769" s="17"/>
      <c r="F13769" s="18"/>
      <c r="G13769" s="36" t="str">
        <f>IF(ISNUMBER(F13769),C13769*F13769,"")</f>
        <v/>
      </c>
    </row>
    <row r="13770" spans="1:7" ht="12" customHeight="1" outlineLevel="3" x14ac:dyDescent="0.2">
      <c r="A13770" s="14" t="s">
        <v>27083</v>
      </c>
      <c r="B13770" s="15" t="s">
        <v>27084</v>
      </c>
      <c r="C13770" s="16">
        <f>119.41/(1+B2)</f>
        <v>119.41</v>
      </c>
      <c r="D13770" s="17" t="s">
        <v>11</v>
      </c>
      <c r="E13770" s="17"/>
      <c r="F13770" s="18"/>
      <c r="G13770" s="36" t="str">
        <f>IF(ISNUMBER(F13770),C13770*F13770,"")</f>
        <v/>
      </c>
    </row>
    <row r="13771" spans="1:7" ht="12" customHeight="1" outlineLevel="3" x14ac:dyDescent="0.2">
      <c r="A13771" s="14" t="s">
        <v>27085</v>
      </c>
      <c r="B13771" s="15" t="s">
        <v>27086</v>
      </c>
      <c r="C13771" s="16">
        <f>259.44/(1+B2)</f>
        <v>259.44</v>
      </c>
      <c r="D13771" s="17" t="s">
        <v>11</v>
      </c>
      <c r="E13771" s="17" t="s">
        <v>14</v>
      </c>
      <c r="F13771" s="18"/>
      <c r="G13771" s="36" t="str">
        <f>IF(ISNUMBER(F13771),C13771*F13771,"")</f>
        <v/>
      </c>
    </row>
    <row r="13772" spans="1:7" ht="12" customHeight="1" outlineLevel="3" x14ac:dyDescent="0.2">
      <c r="A13772" s="14" t="s">
        <v>27087</v>
      </c>
      <c r="B13772" s="15" t="s">
        <v>27088</v>
      </c>
      <c r="C13772" s="16">
        <f>123.28/(1+B2)</f>
        <v>123.28</v>
      </c>
      <c r="D13772" s="17" t="s">
        <v>11</v>
      </c>
      <c r="E13772" s="17" t="s">
        <v>11</v>
      </c>
      <c r="F13772" s="18"/>
      <c r="G13772" s="36" t="str">
        <f>IF(ISNUMBER(F13772),C13772*F13772,"")</f>
        <v/>
      </c>
    </row>
    <row r="13773" spans="1:7" ht="12" customHeight="1" outlineLevel="3" x14ac:dyDescent="0.2">
      <c r="A13773" s="14" t="s">
        <v>27089</v>
      </c>
      <c r="B13773" s="15" t="s">
        <v>27090</v>
      </c>
      <c r="C13773" s="16">
        <f>202.65/(1+B2)</f>
        <v>202.65</v>
      </c>
      <c r="D13773" s="17" t="s">
        <v>11</v>
      </c>
      <c r="E13773" s="17" t="s">
        <v>11</v>
      </c>
      <c r="F13773" s="18"/>
      <c r="G13773" s="36" t="str">
        <f>IF(ISNUMBER(F13773),C13773*F13773,"")</f>
        <v/>
      </c>
    </row>
    <row r="13774" spans="1:7" ht="12" customHeight="1" outlineLevel="3" x14ac:dyDescent="0.2">
      <c r="A13774" s="14" t="s">
        <v>27091</v>
      </c>
      <c r="B13774" s="15" t="s">
        <v>27092</v>
      </c>
      <c r="C13774" s="16">
        <f>271.07/(1+B2)</f>
        <v>271.07</v>
      </c>
      <c r="D13774" s="17" t="s">
        <v>11</v>
      </c>
      <c r="E13774" s="17" t="s">
        <v>11</v>
      </c>
      <c r="F13774" s="18"/>
      <c r="G13774" s="36" t="str">
        <f>IF(ISNUMBER(F13774),C13774*F13774,"")</f>
        <v/>
      </c>
    </row>
    <row r="13775" spans="1:7" ht="12" customHeight="1" outlineLevel="3" x14ac:dyDescent="0.2">
      <c r="A13775" s="14" t="s">
        <v>27093</v>
      </c>
      <c r="B13775" s="15" t="s">
        <v>27094</v>
      </c>
      <c r="C13775" s="16">
        <f>294.3/(1+B2)</f>
        <v>294.3</v>
      </c>
      <c r="D13775" s="17" t="s">
        <v>11</v>
      </c>
      <c r="E13775" s="17" t="s">
        <v>11</v>
      </c>
      <c r="F13775" s="18"/>
      <c r="G13775" s="36" t="str">
        <f>IF(ISNUMBER(F13775),C13775*F13775,"")</f>
        <v/>
      </c>
    </row>
    <row r="13776" spans="1:7" ht="12" customHeight="1" outlineLevel="3" x14ac:dyDescent="0.2">
      <c r="A13776" s="14" t="s">
        <v>27095</v>
      </c>
      <c r="B13776" s="15" t="s">
        <v>27096</v>
      </c>
      <c r="C13776" s="16">
        <f>358.83/(1+B2)</f>
        <v>358.83</v>
      </c>
      <c r="D13776" s="17" t="s">
        <v>11</v>
      </c>
      <c r="E13776" s="17" t="s">
        <v>14</v>
      </c>
      <c r="F13776" s="18"/>
      <c r="G13776" s="36" t="str">
        <f>IF(ISNUMBER(F13776),C13776*F13776,"")</f>
        <v/>
      </c>
    </row>
    <row r="13777" spans="1:7" ht="12" customHeight="1" outlineLevel="3" x14ac:dyDescent="0.2">
      <c r="A13777" s="14" t="s">
        <v>27097</v>
      </c>
      <c r="B13777" s="15" t="s">
        <v>27098</v>
      </c>
      <c r="C13777" s="16">
        <f>185.87/(1+B2)</f>
        <v>185.87</v>
      </c>
      <c r="D13777" s="17" t="s">
        <v>11</v>
      </c>
      <c r="E13777" s="17"/>
      <c r="F13777" s="18"/>
      <c r="G13777" s="36" t="str">
        <f>IF(ISNUMBER(F13777),C13777*F13777,"")</f>
        <v/>
      </c>
    </row>
    <row r="13778" spans="1:7" ht="12" customHeight="1" outlineLevel="3" x14ac:dyDescent="0.2">
      <c r="A13778" s="14" t="s">
        <v>27099</v>
      </c>
      <c r="B13778" s="15" t="s">
        <v>27100</v>
      </c>
      <c r="C13778" s="16">
        <f>414.34/(1+B2)</f>
        <v>414.34</v>
      </c>
      <c r="D13778" s="17" t="s">
        <v>11</v>
      </c>
      <c r="E13778" s="17"/>
      <c r="F13778" s="18"/>
      <c r="G13778" s="36" t="str">
        <f>IF(ISNUMBER(F13778),C13778*F13778,"")</f>
        <v/>
      </c>
    </row>
    <row r="13779" spans="1:7" ht="12" customHeight="1" outlineLevel="3" x14ac:dyDescent="0.2">
      <c r="A13779" s="14" t="s">
        <v>27101</v>
      </c>
      <c r="B13779" s="15" t="s">
        <v>27102</v>
      </c>
      <c r="C13779" s="16">
        <f>263.32/(1+B2)</f>
        <v>263.32</v>
      </c>
      <c r="D13779" s="17" t="s">
        <v>11</v>
      </c>
      <c r="E13779" s="17"/>
      <c r="F13779" s="18"/>
      <c r="G13779" s="36" t="str">
        <f>IF(ISNUMBER(F13779),C13779*F13779,"")</f>
        <v/>
      </c>
    </row>
    <row r="13780" spans="1:7" ht="12" customHeight="1" outlineLevel="3" x14ac:dyDescent="0.2">
      <c r="A13780" s="14" t="s">
        <v>27103</v>
      </c>
      <c r="B13780" s="15" t="s">
        <v>27104</v>
      </c>
      <c r="C13780" s="16">
        <f>325.27/(1+B2)</f>
        <v>325.27</v>
      </c>
      <c r="D13780" s="17" t="s">
        <v>11</v>
      </c>
      <c r="E13780" s="17" t="s">
        <v>14</v>
      </c>
      <c r="F13780" s="18"/>
      <c r="G13780" s="36" t="str">
        <f>IF(ISNUMBER(F13780),C13780*F13780,"")</f>
        <v/>
      </c>
    </row>
    <row r="13781" spans="1:7" ht="12" customHeight="1" outlineLevel="3" x14ac:dyDescent="0.2">
      <c r="A13781" s="14" t="s">
        <v>27105</v>
      </c>
      <c r="B13781" s="15" t="s">
        <v>27106</v>
      </c>
      <c r="C13781" s="16">
        <f>351.09/(1+B2)</f>
        <v>351.09</v>
      </c>
      <c r="D13781" s="17" t="s">
        <v>11</v>
      </c>
      <c r="E13781" s="17" t="s">
        <v>14</v>
      </c>
      <c r="F13781" s="18"/>
      <c r="G13781" s="36" t="str">
        <f>IF(ISNUMBER(F13781),C13781*F13781,"")</f>
        <v/>
      </c>
    </row>
    <row r="13782" spans="1:7" ht="12" customHeight="1" outlineLevel="3" x14ac:dyDescent="0.2">
      <c r="A13782" s="14" t="s">
        <v>27107</v>
      </c>
      <c r="B13782" s="15" t="s">
        <v>27108</v>
      </c>
      <c r="C13782" s="16">
        <f>819.64/(1+B2)</f>
        <v>819.64</v>
      </c>
      <c r="D13782" s="17" t="s">
        <v>11</v>
      </c>
      <c r="E13782" s="17" t="s">
        <v>14</v>
      </c>
      <c r="F13782" s="18"/>
      <c r="G13782" s="36" t="str">
        <f>IF(ISNUMBER(F13782),C13782*F13782,"")</f>
        <v/>
      </c>
    </row>
    <row r="13783" spans="1:7" ht="12" customHeight="1" outlineLevel="3" x14ac:dyDescent="0.2">
      <c r="A13783" s="14" t="s">
        <v>27109</v>
      </c>
      <c r="B13783" s="15" t="s">
        <v>27110</v>
      </c>
      <c r="C13783" s="16">
        <f>392.39/(1+B2)</f>
        <v>392.39</v>
      </c>
      <c r="D13783" s="17" t="s">
        <v>11</v>
      </c>
      <c r="E13783" s="17" t="s">
        <v>11</v>
      </c>
      <c r="F13783" s="18"/>
      <c r="G13783" s="36" t="str">
        <f>IF(ISNUMBER(F13783),C13783*F13783,"")</f>
        <v/>
      </c>
    </row>
    <row r="13784" spans="1:7" ht="12" customHeight="1" outlineLevel="3" x14ac:dyDescent="0.2">
      <c r="A13784" s="14" t="s">
        <v>27111</v>
      </c>
      <c r="B13784" s="15" t="s">
        <v>27112</v>
      </c>
      <c r="C13784" s="16">
        <f>703.47/(1+B2)</f>
        <v>703.47</v>
      </c>
      <c r="D13784" s="17" t="s">
        <v>11</v>
      </c>
      <c r="E13784" s="17" t="s">
        <v>11</v>
      </c>
      <c r="F13784" s="18"/>
      <c r="G13784" s="36" t="str">
        <f>IF(ISNUMBER(F13784),C13784*F13784,"")</f>
        <v/>
      </c>
    </row>
    <row r="13785" spans="1:7" ht="12" customHeight="1" outlineLevel="3" x14ac:dyDescent="0.2">
      <c r="A13785" s="14" t="s">
        <v>27113</v>
      </c>
      <c r="B13785" s="15" t="s">
        <v>27114</v>
      </c>
      <c r="C13785" s="16">
        <f>909.99/(1+B2)</f>
        <v>909.99</v>
      </c>
      <c r="D13785" s="17" t="s">
        <v>11</v>
      </c>
      <c r="E13785" s="17" t="s">
        <v>53</v>
      </c>
      <c r="F13785" s="18"/>
      <c r="G13785" s="36" t="str">
        <f>IF(ISNUMBER(F13785),C13785*F13785,"")</f>
        <v/>
      </c>
    </row>
    <row r="13786" spans="1:7" ht="12" customHeight="1" outlineLevel="3" x14ac:dyDescent="0.2">
      <c r="A13786" s="14" t="s">
        <v>27115</v>
      </c>
      <c r="B13786" s="15" t="s">
        <v>27116</v>
      </c>
      <c r="C13786" s="16">
        <f>445.31/(1+B2)</f>
        <v>445.31</v>
      </c>
      <c r="D13786" s="17" t="s">
        <v>11</v>
      </c>
      <c r="E13786" s="17"/>
      <c r="F13786" s="18"/>
      <c r="G13786" s="36" t="str">
        <f>IF(ISNUMBER(F13786),C13786*F13786,"")</f>
        <v/>
      </c>
    </row>
    <row r="13787" spans="1:7" ht="12" customHeight="1" outlineLevel="3" x14ac:dyDescent="0.2">
      <c r="A13787" s="14" t="s">
        <v>27117</v>
      </c>
      <c r="B13787" s="15" t="s">
        <v>27118</v>
      </c>
      <c r="C13787" s="16">
        <f>810.61/(1+B2)</f>
        <v>810.61</v>
      </c>
      <c r="D13787" s="17" t="s">
        <v>11</v>
      </c>
      <c r="E13787" s="17" t="s">
        <v>14</v>
      </c>
      <c r="F13787" s="18"/>
      <c r="G13787" s="36" t="str">
        <f>IF(ISNUMBER(F13787),C13787*F13787,"")</f>
        <v/>
      </c>
    </row>
    <row r="13788" spans="1:7" ht="12" customHeight="1" outlineLevel="3" x14ac:dyDescent="0.2">
      <c r="A13788" s="14" t="s">
        <v>27119</v>
      </c>
      <c r="B13788" s="15" t="s">
        <v>27120</v>
      </c>
      <c r="C13788" s="19">
        <f>1081.66/(1+B2)</f>
        <v>1081.6600000000001</v>
      </c>
      <c r="D13788" s="17" t="s">
        <v>11</v>
      </c>
      <c r="E13788" s="17" t="s">
        <v>14</v>
      </c>
      <c r="F13788" s="18"/>
      <c r="G13788" s="36" t="str">
        <f>IF(ISNUMBER(F13788),C13788*F13788,"")</f>
        <v/>
      </c>
    </row>
    <row r="13789" spans="1:7" ht="12" customHeight="1" outlineLevel="3" x14ac:dyDescent="0.2">
      <c r="A13789" s="14" t="s">
        <v>27121</v>
      </c>
      <c r="B13789" s="15" t="s">
        <v>27122</v>
      </c>
      <c r="C13789" s="16">
        <f>538.25/(1+B2)</f>
        <v>538.25</v>
      </c>
      <c r="D13789" s="17" t="s">
        <v>11</v>
      </c>
      <c r="E13789" s="17" t="s">
        <v>11</v>
      </c>
      <c r="F13789" s="18"/>
      <c r="G13789" s="36" t="str">
        <f>IF(ISNUMBER(F13789),C13789*F13789,"")</f>
        <v/>
      </c>
    </row>
    <row r="13790" spans="1:7" ht="12" customHeight="1" outlineLevel="3" x14ac:dyDescent="0.2">
      <c r="A13790" s="14" t="s">
        <v>27123</v>
      </c>
      <c r="B13790" s="15" t="s">
        <v>27124</v>
      </c>
      <c r="C13790" s="16">
        <f>899.67/(1+B2)</f>
        <v>899.67</v>
      </c>
      <c r="D13790" s="17" t="s">
        <v>11</v>
      </c>
      <c r="E13790" s="17" t="s">
        <v>14</v>
      </c>
      <c r="F13790" s="18"/>
      <c r="G13790" s="36" t="str">
        <f>IF(ISNUMBER(F13790),C13790*F13790,"")</f>
        <v/>
      </c>
    </row>
    <row r="13791" spans="1:7" ht="12" customHeight="1" outlineLevel="3" x14ac:dyDescent="0.2">
      <c r="A13791" s="14" t="s">
        <v>27125</v>
      </c>
      <c r="B13791" s="15" t="s">
        <v>27126</v>
      </c>
      <c r="C13791" s="19">
        <f>1263.67/(1+B2)</f>
        <v>1263.67</v>
      </c>
      <c r="D13791" s="17" t="s">
        <v>11</v>
      </c>
      <c r="E13791" s="17" t="s">
        <v>14</v>
      </c>
      <c r="F13791" s="18"/>
      <c r="G13791" s="36" t="str">
        <f>IF(ISNUMBER(F13791),C13791*F13791,"")</f>
        <v/>
      </c>
    </row>
    <row r="13792" spans="1:7" ht="12" customHeight="1" outlineLevel="3" x14ac:dyDescent="0.2">
      <c r="A13792" s="14" t="s">
        <v>27127</v>
      </c>
      <c r="B13792" s="15" t="s">
        <v>27128</v>
      </c>
      <c r="C13792" s="19">
        <f>1079.08/(1+B2)</f>
        <v>1079.08</v>
      </c>
      <c r="D13792" s="17" t="s">
        <v>11</v>
      </c>
      <c r="E13792" s="17" t="s">
        <v>11</v>
      </c>
      <c r="F13792" s="18"/>
      <c r="G13792" s="36" t="str">
        <f>IF(ISNUMBER(F13792),C13792*F13792,"")</f>
        <v/>
      </c>
    </row>
    <row r="13793" spans="1:7" ht="12" customHeight="1" outlineLevel="3" x14ac:dyDescent="0.2">
      <c r="A13793" s="14" t="s">
        <v>27129</v>
      </c>
      <c r="B13793" s="15" t="s">
        <v>27130</v>
      </c>
      <c r="C13793" s="19">
        <f>1471.47/(1+B2)</f>
        <v>1471.47</v>
      </c>
      <c r="D13793" s="17" t="s">
        <v>11</v>
      </c>
      <c r="E13793" s="17" t="s">
        <v>14</v>
      </c>
      <c r="F13793" s="18"/>
      <c r="G13793" s="36" t="str">
        <f>IF(ISNUMBER(F13793),C13793*F13793,"")</f>
        <v/>
      </c>
    </row>
    <row r="13794" spans="1:7" ht="12" customHeight="1" outlineLevel="3" x14ac:dyDescent="0.2">
      <c r="A13794" s="14" t="s">
        <v>27131</v>
      </c>
      <c r="B13794" s="15" t="s">
        <v>27132</v>
      </c>
      <c r="C13794" s="16">
        <f>389.81/(1+B2)</f>
        <v>389.81</v>
      </c>
      <c r="D13794" s="17" t="s">
        <v>11</v>
      </c>
      <c r="E13794" s="17"/>
      <c r="F13794" s="18"/>
      <c r="G13794" s="36" t="str">
        <f>IF(ISNUMBER(F13794),C13794*F13794,"")</f>
        <v/>
      </c>
    </row>
    <row r="13795" spans="1:7" ht="12" customHeight="1" outlineLevel="3" x14ac:dyDescent="0.2">
      <c r="A13795" s="14" t="s">
        <v>27133</v>
      </c>
      <c r="B13795" s="15" t="s">
        <v>27134</v>
      </c>
      <c r="C13795" s="16">
        <f>429.83/(1+B2)</f>
        <v>429.83</v>
      </c>
      <c r="D13795" s="17" t="s">
        <v>11</v>
      </c>
      <c r="E13795" s="17"/>
      <c r="F13795" s="18"/>
      <c r="G13795" s="36" t="str">
        <f>IF(ISNUMBER(F13795),C13795*F13795,"")</f>
        <v/>
      </c>
    </row>
    <row r="13796" spans="1:7" s="1" customFormat="1" ht="12.95" customHeight="1" outlineLevel="2" x14ac:dyDescent="0.2">
      <c r="A13796" s="20"/>
      <c r="B13796" s="21" t="s">
        <v>27135</v>
      </c>
      <c r="C13796" s="22"/>
      <c r="D13796" s="22"/>
      <c r="E13796" s="22"/>
      <c r="F13796" s="22"/>
      <c r="G13796" s="37"/>
    </row>
    <row r="13797" spans="1:7" ht="12" customHeight="1" outlineLevel="3" x14ac:dyDescent="0.2">
      <c r="A13797" s="14" t="s">
        <v>27136</v>
      </c>
      <c r="B13797" s="15" t="s">
        <v>27137</v>
      </c>
      <c r="C13797" s="16">
        <f>210.69/(1+B2)</f>
        <v>210.69</v>
      </c>
      <c r="D13797" s="17" t="s">
        <v>11</v>
      </c>
      <c r="E13797" s="17"/>
      <c r="F13797" s="18"/>
      <c r="G13797" s="36" t="str">
        <f>IF(ISNUMBER(F13797),C13797*F13797,"")</f>
        <v/>
      </c>
    </row>
    <row r="13798" spans="1:7" ht="12" customHeight="1" outlineLevel="3" x14ac:dyDescent="0.2">
      <c r="A13798" s="14" t="s">
        <v>27138</v>
      </c>
      <c r="B13798" s="15" t="s">
        <v>27139</v>
      </c>
      <c r="C13798" s="16">
        <f>424.12/(1+B2)</f>
        <v>424.12</v>
      </c>
      <c r="D13798" s="17" t="s">
        <v>11</v>
      </c>
      <c r="E13798" s="17" t="s">
        <v>11</v>
      </c>
      <c r="F13798" s="18"/>
      <c r="G13798" s="36" t="str">
        <f>IF(ISNUMBER(F13798),C13798*F13798,"")</f>
        <v/>
      </c>
    </row>
    <row r="13799" spans="1:7" ht="12" customHeight="1" outlineLevel="3" x14ac:dyDescent="0.2">
      <c r="A13799" s="14" t="s">
        <v>27140</v>
      </c>
      <c r="B13799" s="15" t="s">
        <v>27141</v>
      </c>
      <c r="C13799" s="16">
        <f>223.32/(1+B2)</f>
        <v>223.32</v>
      </c>
      <c r="D13799" s="17" t="s">
        <v>11</v>
      </c>
      <c r="E13799" s="17"/>
      <c r="F13799" s="18"/>
      <c r="G13799" s="36" t="str">
        <f>IF(ISNUMBER(F13799),C13799*F13799,"")</f>
        <v/>
      </c>
    </row>
    <row r="13800" spans="1:7" ht="12" customHeight="1" outlineLevel="3" x14ac:dyDescent="0.2">
      <c r="A13800" s="14" t="s">
        <v>27142</v>
      </c>
      <c r="B13800" s="15" t="s">
        <v>27143</v>
      </c>
      <c r="C13800" s="16">
        <f>483.94/(1+B2)</f>
        <v>483.94</v>
      </c>
      <c r="D13800" s="17" t="s">
        <v>11</v>
      </c>
      <c r="E13800" s="17"/>
      <c r="F13800" s="18"/>
      <c r="G13800" s="36" t="str">
        <f>IF(ISNUMBER(F13800),C13800*F13800,"")</f>
        <v/>
      </c>
    </row>
    <row r="13801" spans="1:7" ht="24" customHeight="1" outlineLevel="3" x14ac:dyDescent="0.2">
      <c r="A13801" s="14" t="s">
        <v>27144</v>
      </c>
      <c r="B13801" s="15" t="s">
        <v>27145</v>
      </c>
      <c r="C13801" s="19">
        <f>1695.9/(1+B2)</f>
        <v>1695.9</v>
      </c>
      <c r="D13801" s="17" t="s">
        <v>11</v>
      </c>
      <c r="E13801" s="17"/>
      <c r="F13801" s="18"/>
      <c r="G13801" s="36" t="str">
        <f>IF(ISNUMBER(F13801),C13801*F13801,"")</f>
        <v/>
      </c>
    </row>
    <row r="13802" spans="1:7" ht="12" customHeight="1" outlineLevel="3" x14ac:dyDescent="0.2">
      <c r="A13802" s="14" t="s">
        <v>27146</v>
      </c>
      <c r="B13802" s="15" t="s">
        <v>27147</v>
      </c>
      <c r="C13802" s="16">
        <f>321.52/(1+B2)</f>
        <v>321.52</v>
      </c>
      <c r="D13802" s="17" t="s">
        <v>11</v>
      </c>
      <c r="E13802" s="17"/>
      <c r="F13802" s="18"/>
      <c r="G13802" s="36" t="str">
        <f>IF(ISNUMBER(F13802),C13802*F13802,"")</f>
        <v/>
      </c>
    </row>
    <row r="13803" spans="1:7" ht="12" customHeight="1" outlineLevel="3" x14ac:dyDescent="0.2">
      <c r="A13803" s="14" t="s">
        <v>27148</v>
      </c>
      <c r="B13803" s="15" t="s">
        <v>27149</v>
      </c>
      <c r="C13803" s="16">
        <f>178.79/(1+B2)</f>
        <v>178.79</v>
      </c>
      <c r="D13803" s="17" t="s">
        <v>11</v>
      </c>
      <c r="E13803" s="17"/>
      <c r="F13803" s="18"/>
      <c r="G13803" s="36" t="str">
        <f>IF(ISNUMBER(F13803),C13803*F13803,"")</f>
        <v/>
      </c>
    </row>
    <row r="13804" spans="1:7" ht="12" customHeight="1" outlineLevel="3" x14ac:dyDescent="0.2">
      <c r="A13804" s="14" t="s">
        <v>27150</v>
      </c>
      <c r="B13804" s="15" t="s">
        <v>27151</v>
      </c>
      <c r="C13804" s="16">
        <f>120.95/(1+B2)</f>
        <v>120.95</v>
      </c>
      <c r="D13804" s="17" t="s">
        <v>11</v>
      </c>
      <c r="E13804" s="17"/>
      <c r="F13804" s="18"/>
      <c r="G13804" s="36" t="str">
        <f>IF(ISNUMBER(F13804),C13804*F13804,"")</f>
        <v/>
      </c>
    </row>
    <row r="13805" spans="1:7" ht="12" customHeight="1" outlineLevel="3" x14ac:dyDescent="0.2">
      <c r="A13805" s="14" t="s">
        <v>27152</v>
      </c>
      <c r="B13805" s="15" t="s">
        <v>27153</v>
      </c>
      <c r="C13805" s="16">
        <f>237.59/(1+B2)</f>
        <v>237.59</v>
      </c>
      <c r="D13805" s="17" t="s">
        <v>11</v>
      </c>
      <c r="E13805" s="17" t="s">
        <v>11</v>
      </c>
      <c r="F13805" s="18"/>
      <c r="G13805" s="36" t="str">
        <f>IF(ISNUMBER(F13805),C13805*F13805,"")</f>
        <v/>
      </c>
    </row>
    <row r="13806" spans="1:7" ht="12" customHeight="1" outlineLevel="3" x14ac:dyDescent="0.2">
      <c r="A13806" s="14" t="s">
        <v>27154</v>
      </c>
      <c r="B13806" s="15" t="s">
        <v>27155</v>
      </c>
      <c r="C13806" s="19">
        <f>1284.31/(1+B2)</f>
        <v>1284.31</v>
      </c>
      <c r="D13806" s="17" t="s">
        <v>11</v>
      </c>
      <c r="E13806" s="17" t="s">
        <v>11</v>
      </c>
      <c r="F13806" s="18"/>
      <c r="G13806" s="36" t="str">
        <f>IF(ISNUMBER(F13806),C13806*F13806,"")</f>
        <v/>
      </c>
    </row>
    <row r="13807" spans="1:7" ht="12" customHeight="1" outlineLevel="3" x14ac:dyDescent="0.2">
      <c r="A13807" s="14" t="s">
        <v>27156</v>
      </c>
      <c r="B13807" s="15" t="s">
        <v>27157</v>
      </c>
      <c r="C13807" s="19">
        <f>2149.13/(1+B2)</f>
        <v>2149.13</v>
      </c>
      <c r="D13807" s="17" t="s">
        <v>11</v>
      </c>
      <c r="E13807" s="17" t="s">
        <v>11</v>
      </c>
      <c r="F13807" s="18"/>
      <c r="G13807" s="36" t="str">
        <f>IF(ISNUMBER(F13807),C13807*F13807,"")</f>
        <v/>
      </c>
    </row>
    <row r="13808" spans="1:7" ht="12" customHeight="1" outlineLevel="3" x14ac:dyDescent="0.2">
      <c r="A13808" s="14" t="s">
        <v>27158</v>
      </c>
      <c r="B13808" s="15" t="s">
        <v>27159</v>
      </c>
      <c r="C13808" s="16">
        <f>697.81/(1+B2)</f>
        <v>697.81</v>
      </c>
      <c r="D13808" s="17" t="s">
        <v>11</v>
      </c>
      <c r="E13808" s="17"/>
      <c r="F13808" s="18"/>
      <c r="G13808" s="36" t="str">
        <f>IF(ISNUMBER(F13808),C13808*F13808,"")</f>
        <v/>
      </c>
    </row>
    <row r="13809" spans="1:7" ht="12" customHeight="1" outlineLevel="3" x14ac:dyDescent="0.2">
      <c r="A13809" s="14" t="s">
        <v>27160</v>
      </c>
      <c r="B13809" s="15" t="s">
        <v>27161</v>
      </c>
      <c r="C13809" s="16">
        <f>165.2/(1+B2)</f>
        <v>165.2</v>
      </c>
      <c r="D13809" s="17" t="s">
        <v>11</v>
      </c>
      <c r="E13809" s="17"/>
      <c r="F13809" s="18"/>
      <c r="G13809" s="36" t="str">
        <f>IF(ISNUMBER(F13809),C13809*F13809,"")</f>
        <v/>
      </c>
    </row>
    <row r="13810" spans="1:7" ht="12" customHeight="1" outlineLevel="3" x14ac:dyDescent="0.2">
      <c r="A13810" s="14" t="s">
        <v>27162</v>
      </c>
      <c r="B13810" s="15" t="s">
        <v>27163</v>
      </c>
      <c r="C13810" s="16">
        <f>192.65/(1+B2)</f>
        <v>192.65</v>
      </c>
      <c r="D13810" s="17" t="s">
        <v>11</v>
      </c>
      <c r="E13810" s="17"/>
      <c r="F13810" s="18"/>
      <c r="G13810" s="36" t="str">
        <f>IF(ISNUMBER(F13810),C13810*F13810,"")</f>
        <v/>
      </c>
    </row>
    <row r="13811" spans="1:7" ht="12" customHeight="1" outlineLevel="3" x14ac:dyDescent="0.2">
      <c r="A13811" s="14" t="s">
        <v>27164</v>
      </c>
      <c r="B13811" s="15" t="s">
        <v>27165</v>
      </c>
      <c r="C13811" s="16">
        <f>516.59/(1+B2)</f>
        <v>516.59</v>
      </c>
      <c r="D13811" s="17" t="s">
        <v>11</v>
      </c>
      <c r="E13811" s="17"/>
      <c r="F13811" s="18"/>
      <c r="G13811" s="36" t="str">
        <f>IF(ISNUMBER(F13811),C13811*F13811,"")</f>
        <v/>
      </c>
    </row>
    <row r="13812" spans="1:7" ht="12" customHeight="1" outlineLevel="3" x14ac:dyDescent="0.2">
      <c r="A13812" s="14" t="s">
        <v>27166</v>
      </c>
      <c r="B13812" s="15" t="s">
        <v>27167</v>
      </c>
      <c r="C13812" s="16">
        <f>293.43/(1+B2)</f>
        <v>293.43</v>
      </c>
      <c r="D13812" s="17" t="s">
        <v>11</v>
      </c>
      <c r="E13812" s="17"/>
      <c r="F13812" s="18"/>
      <c r="G13812" s="36" t="str">
        <f>IF(ISNUMBER(F13812),C13812*F13812,"")</f>
        <v/>
      </c>
    </row>
    <row r="13813" spans="1:7" ht="24" customHeight="1" outlineLevel="3" x14ac:dyDescent="0.2">
      <c r="A13813" s="14" t="s">
        <v>27168</v>
      </c>
      <c r="B13813" s="15" t="s">
        <v>27169</v>
      </c>
      <c r="C13813" s="16">
        <f>290.97/(1+B2)</f>
        <v>290.97000000000003</v>
      </c>
      <c r="D13813" s="17" t="s">
        <v>11</v>
      </c>
      <c r="E13813" s="17"/>
      <c r="F13813" s="18"/>
      <c r="G13813" s="36" t="str">
        <f>IF(ISNUMBER(F13813),C13813*F13813,"")</f>
        <v/>
      </c>
    </row>
    <row r="13814" spans="1:7" ht="24" customHeight="1" outlineLevel="3" x14ac:dyDescent="0.2">
      <c r="A13814" s="14" t="s">
        <v>27170</v>
      </c>
      <c r="B13814" s="15" t="s">
        <v>27171</v>
      </c>
      <c r="C13814" s="16">
        <f>851.17/(1+B2)</f>
        <v>851.17</v>
      </c>
      <c r="D13814" s="17" t="s">
        <v>11</v>
      </c>
      <c r="E13814" s="17"/>
      <c r="F13814" s="18"/>
      <c r="G13814" s="36" t="str">
        <f>IF(ISNUMBER(F13814),C13814*F13814,"")</f>
        <v/>
      </c>
    </row>
    <row r="13815" spans="1:7" ht="24" customHeight="1" outlineLevel="3" x14ac:dyDescent="0.2">
      <c r="A13815" s="14" t="s">
        <v>27172</v>
      </c>
      <c r="B13815" s="15" t="s">
        <v>27173</v>
      </c>
      <c r="C13815" s="16">
        <f>366.78/(1+B2)</f>
        <v>366.78</v>
      </c>
      <c r="D13815" s="17" t="s">
        <v>11</v>
      </c>
      <c r="E13815" s="17"/>
      <c r="F13815" s="18"/>
      <c r="G13815" s="36" t="str">
        <f>IF(ISNUMBER(F13815),C13815*F13815,"")</f>
        <v/>
      </c>
    </row>
    <row r="13816" spans="1:7" ht="12" customHeight="1" outlineLevel="3" x14ac:dyDescent="0.2">
      <c r="A13816" s="14" t="s">
        <v>27174</v>
      </c>
      <c r="B13816" s="15" t="s">
        <v>27175</v>
      </c>
      <c r="C13816" s="16">
        <f>377.01/(1+B2)</f>
        <v>377.01</v>
      </c>
      <c r="D13816" s="17" t="s">
        <v>11</v>
      </c>
      <c r="E13816" s="17"/>
      <c r="F13816" s="18"/>
      <c r="G13816" s="36" t="str">
        <f>IF(ISNUMBER(F13816),C13816*F13816,"")</f>
        <v/>
      </c>
    </row>
    <row r="13817" spans="1:7" ht="12" customHeight="1" outlineLevel="3" x14ac:dyDescent="0.2">
      <c r="A13817" s="14" t="s">
        <v>27176</v>
      </c>
      <c r="B13817" s="15" t="s">
        <v>27177</v>
      </c>
      <c r="C13817" s="16">
        <f>550.4/(1+B2)</f>
        <v>550.4</v>
      </c>
      <c r="D13817" s="17" t="s">
        <v>11</v>
      </c>
      <c r="E13817" s="17"/>
      <c r="F13817" s="18"/>
      <c r="G13817" s="36" t="str">
        <f>IF(ISNUMBER(F13817),C13817*F13817,"")</f>
        <v/>
      </c>
    </row>
    <row r="13818" spans="1:7" ht="12" customHeight="1" outlineLevel="3" x14ac:dyDescent="0.2">
      <c r="A13818" s="14" t="s">
        <v>27178</v>
      </c>
      <c r="B13818" s="15" t="s">
        <v>27179</v>
      </c>
      <c r="C13818" s="16">
        <f>234.33/(1+B2)</f>
        <v>234.33</v>
      </c>
      <c r="D13818" s="17" t="s">
        <v>11</v>
      </c>
      <c r="E13818" s="17"/>
      <c r="F13818" s="18"/>
      <c r="G13818" s="36" t="str">
        <f>IF(ISNUMBER(F13818),C13818*F13818,"")</f>
        <v/>
      </c>
    </row>
    <row r="13819" spans="1:7" ht="12" customHeight="1" outlineLevel="3" x14ac:dyDescent="0.2">
      <c r="A13819" s="14" t="s">
        <v>27180</v>
      </c>
      <c r="B13819" s="15" t="s">
        <v>27181</v>
      </c>
      <c r="C13819" s="16">
        <f>215.92/(1+B2)</f>
        <v>215.92</v>
      </c>
      <c r="D13819" s="17" t="s">
        <v>11</v>
      </c>
      <c r="E13819" s="17"/>
      <c r="F13819" s="18"/>
      <c r="G13819" s="36" t="str">
        <f>IF(ISNUMBER(F13819),C13819*F13819,"")</f>
        <v/>
      </c>
    </row>
    <row r="13820" spans="1:7" ht="12" customHeight="1" outlineLevel="3" x14ac:dyDescent="0.2">
      <c r="A13820" s="14" t="s">
        <v>27182</v>
      </c>
      <c r="B13820" s="15" t="s">
        <v>27183</v>
      </c>
      <c r="C13820" s="16">
        <f>838/(1+B2)</f>
        <v>838</v>
      </c>
      <c r="D13820" s="17" t="s">
        <v>11</v>
      </c>
      <c r="E13820" s="17"/>
      <c r="F13820" s="18"/>
      <c r="G13820" s="36" t="str">
        <f>IF(ISNUMBER(F13820),C13820*F13820,"")</f>
        <v/>
      </c>
    </row>
    <row r="13821" spans="1:7" ht="12" customHeight="1" outlineLevel="3" x14ac:dyDescent="0.2">
      <c r="A13821" s="14" t="s">
        <v>27184</v>
      </c>
      <c r="B13821" s="15" t="s">
        <v>27185</v>
      </c>
      <c r="C13821" s="19">
        <f>1437/(1+B2)</f>
        <v>1437</v>
      </c>
      <c r="D13821" s="17" t="s">
        <v>11</v>
      </c>
      <c r="E13821" s="17"/>
      <c r="F13821" s="18"/>
      <c r="G13821" s="36" t="str">
        <f>IF(ISNUMBER(F13821),C13821*F13821,"")</f>
        <v/>
      </c>
    </row>
    <row r="13822" spans="1:7" ht="12" customHeight="1" outlineLevel="3" x14ac:dyDescent="0.2">
      <c r="A13822" s="14" t="s">
        <v>27186</v>
      </c>
      <c r="B13822" s="15" t="s">
        <v>27187</v>
      </c>
      <c r="C13822" s="16">
        <f>579/(1+B2)</f>
        <v>579</v>
      </c>
      <c r="D13822" s="17" t="s">
        <v>11</v>
      </c>
      <c r="E13822" s="17"/>
      <c r="F13822" s="18"/>
      <c r="G13822" s="36" t="str">
        <f>IF(ISNUMBER(F13822),C13822*F13822,"")</f>
        <v/>
      </c>
    </row>
    <row r="13823" spans="1:7" ht="12" customHeight="1" outlineLevel="3" x14ac:dyDescent="0.2">
      <c r="A13823" s="14" t="s">
        <v>27188</v>
      </c>
      <c r="B13823" s="15" t="s">
        <v>27189</v>
      </c>
      <c r="C13823" s="16">
        <f>950/(1+B2)</f>
        <v>950</v>
      </c>
      <c r="D13823" s="17" t="s">
        <v>11</v>
      </c>
      <c r="E13823" s="17"/>
      <c r="F13823" s="18"/>
      <c r="G13823" s="36" t="str">
        <f>IF(ISNUMBER(F13823),C13823*F13823,"")</f>
        <v/>
      </c>
    </row>
    <row r="13824" spans="1:7" ht="24" customHeight="1" outlineLevel="3" x14ac:dyDescent="0.2">
      <c r="A13824" s="14" t="s">
        <v>27190</v>
      </c>
      <c r="B13824" s="15" t="s">
        <v>27191</v>
      </c>
      <c r="C13824" s="16">
        <f>295.45/(1+B2)</f>
        <v>295.45</v>
      </c>
      <c r="D13824" s="17" t="s">
        <v>11</v>
      </c>
      <c r="E13824" s="17"/>
      <c r="F13824" s="18"/>
      <c r="G13824" s="36" t="str">
        <f>IF(ISNUMBER(F13824),C13824*F13824,"")</f>
        <v/>
      </c>
    </row>
    <row r="13825" spans="1:7" ht="24" customHeight="1" outlineLevel="3" x14ac:dyDescent="0.2">
      <c r="A13825" s="14" t="s">
        <v>27192</v>
      </c>
      <c r="B13825" s="15" t="s">
        <v>27193</v>
      </c>
      <c r="C13825" s="16">
        <f>851.92/(1+B2)</f>
        <v>851.92</v>
      </c>
      <c r="D13825" s="17" t="s">
        <v>11</v>
      </c>
      <c r="E13825" s="17"/>
      <c r="F13825" s="18"/>
      <c r="G13825" s="36" t="str">
        <f>IF(ISNUMBER(F13825),C13825*F13825,"")</f>
        <v/>
      </c>
    </row>
    <row r="13826" spans="1:7" ht="24" customHeight="1" outlineLevel="3" x14ac:dyDescent="0.2">
      <c r="A13826" s="14" t="s">
        <v>27194</v>
      </c>
      <c r="B13826" s="15" t="s">
        <v>27195</v>
      </c>
      <c r="C13826" s="16">
        <f>478.38/(1+B2)</f>
        <v>478.38</v>
      </c>
      <c r="D13826" s="17" t="s">
        <v>11</v>
      </c>
      <c r="E13826" s="17"/>
      <c r="F13826" s="18"/>
      <c r="G13826" s="36" t="str">
        <f>IF(ISNUMBER(F13826),C13826*F13826,"")</f>
        <v/>
      </c>
    </row>
    <row r="13827" spans="1:7" ht="12" customHeight="1" outlineLevel="3" x14ac:dyDescent="0.2">
      <c r="A13827" s="14" t="s">
        <v>27196</v>
      </c>
      <c r="B13827" s="15" t="s">
        <v>27197</v>
      </c>
      <c r="C13827" s="16">
        <f>648.22/(1+B2)</f>
        <v>648.22</v>
      </c>
      <c r="D13827" s="17" t="s">
        <v>11</v>
      </c>
      <c r="E13827" s="17"/>
      <c r="F13827" s="18"/>
      <c r="G13827" s="36" t="str">
        <f>IF(ISNUMBER(F13827),C13827*F13827,"")</f>
        <v/>
      </c>
    </row>
    <row r="13828" spans="1:7" ht="12" customHeight="1" outlineLevel="3" x14ac:dyDescent="0.2">
      <c r="A13828" s="14" t="s">
        <v>27198</v>
      </c>
      <c r="B13828" s="15" t="s">
        <v>27199</v>
      </c>
      <c r="C13828" s="16">
        <f>87.33/(1+B2)</f>
        <v>87.33</v>
      </c>
      <c r="D13828" s="17" t="s">
        <v>11</v>
      </c>
      <c r="E13828" s="17"/>
      <c r="F13828" s="18"/>
      <c r="G13828" s="36" t="str">
        <f>IF(ISNUMBER(F13828),C13828*F13828,"")</f>
        <v/>
      </c>
    </row>
    <row r="13829" spans="1:7" ht="12" customHeight="1" outlineLevel="3" x14ac:dyDescent="0.2">
      <c r="A13829" s="14" t="s">
        <v>27200</v>
      </c>
      <c r="B13829" s="15" t="s">
        <v>27201</v>
      </c>
      <c r="C13829" s="16">
        <f>365.82/(1+B2)</f>
        <v>365.82</v>
      </c>
      <c r="D13829" s="17" t="s">
        <v>11</v>
      </c>
      <c r="E13829" s="17"/>
      <c r="F13829" s="18"/>
      <c r="G13829" s="36" t="str">
        <f>IF(ISNUMBER(F13829),C13829*F13829,"")</f>
        <v/>
      </c>
    </row>
    <row r="13830" spans="1:7" ht="24" customHeight="1" outlineLevel="3" x14ac:dyDescent="0.2">
      <c r="A13830" s="14" t="s">
        <v>27202</v>
      </c>
      <c r="B13830" s="15" t="s">
        <v>27203</v>
      </c>
      <c r="C13830" s="16">
        <f>850.57/(1+B2)</f>
        <v>850.57</v>
      </c>
      <c r="D13830" s="17" t="s">
        <v>11</v>
      </c>
      <c r="E13830" s="17"/>
      <c r="F13830" s="18"/>
      <c r="G13830" s="36" t="str">
        <f>IF(ISNUMBER(F13830),C13830*F13830,"")</f>
        <v/>
      </c>
    </row>
    <row r="13831" spans="1:7" ht="24" customHeight="1" outlineLevel="3" x14ac:dyDescent="0.2">
      <c r="A13831" s="14" t="s">
        <v>27204</v>
      </c>
      <c r="B13831" s="15" t="s">
        <v>27205</v>
      </c>
      <c r="C13831" s="19">
        <f>1005.16/(1+B2)</f>
        <v>1005.16</v>
      </c>
      <c r="D13831" s="17" t="s">
        <v>11</v>
      </c>
      <c r="E13831" s="17"/>
      <c r="F13831" s="18"/>
      <c r="G13831" s="36" t="str">
        <f>IF(ISNUMBER(F13831),C13831*F13831,"")</f>
        <v/>
      </c>
    </row>
    <row r="13832" spans="1:7" ht="24" customHeight="1" outlineLevel="3" x14ac:dyDescent="0.2">
      <c r="A13832" s="14" t="s">
        <v>27206</v>
      </c>
      <c r="B13832" s="15" t="s">
        <v>27207</v>
      </c>
      <c r="C13832" s="16">
        <f>959.24/(1+B2)</f>
        <v>959.24</v>
      </c>
      <c r="D13832" s="17" t="s">
        <v>11</v>
      </c>
      <c r="E13832" s="17"/>
      <c r="F13832" s="18"/>
      <c r="G13832" s="36" t="str">
        <f>IF(ISNUMBER(F13832),C13832*F13832,"")</f>
        <v/>
      </c>
    </row>
    <row r="13833" spans="1:7" ht="24" customHeight="1" outlineLevel="3" x14ac:dyDescent="0.2">
      <c r="A13833" s="14" t="s">
        <v>27208</v>
      </c>
      <c r="B13833" s="15" t="s">
        <v>27209</v>
      </c>
      <c r="C13833" s="16">
        <f>417.39/(1+B2)</f>
        <v>417.39</v>
      </c>
      <c r="D13833" s="17" t="s">
        <v>11</v>
      </c>
      <c r="E13833" s="17"/>
      <c r="F13833" s="18"/>
      <c r="G13833" s="36" t="str">
        <f>IF(ISNUMBER(F13833),C13833*F13833,"")</f>
        <v/>
      </c>
    </row>
    <row r="13834" spans="1:7" ht="24" customHeight="1" outlineLevel="3" x14ac:dyDescent="0.2">
      <c r="A13834" s="14" t="s">
        <v>27210</v>
      </c>
      <c r="B13834" s="15" t="s">
        <v>27211</v>
      </c>
      <c r="C13834" s="16">
        <f>814.58/(1+B2)</f>
        <v>814.58</v>
      </c>
      <c r="D13834" s="17" t="s">
        <v>11</v>
      </c>
      <c r="E13834" s="17"/>
      <c r="F13834" s="18"/>
      <c r="G13834" s="36" t="str">
        <f>IF(ISNUMBER(F13834),C13834*F13834,"")</f>
        <v/>
      </c>
    </row>
    <row r="13835" spans="1:7" ht="24" customHeight="1" outlineLevel="3" x14ac:dyDescent="0.2">
      <c r="A13835" s="14" t="s">
        <v>27212</v>
      </c>
      <c r="B13835" s="15" t="s">
        <v>27213</v>
      </c>
      <c r="C13835" s="19">
        <f>1606.2/(1+B2)</f>
        <v>1606.2</v>
      </c>
      <c r="D13835" s="17" t="s">
        <v>11</v>
      </c>
      <c r="E13835" s="17"/>
      <c r="F13835" s="18"/>
      <c r="G13835" s="36" t="str">
        <f>IF(ISNUMBER(F13835),C13835*F13835,"")</f>
        <v/>
      </c>
    </row>
    <row r="13836" spans="1:7" ht="24" customHeight="1" outlineLevel="3" x14ac:dyDescent="0.2">
      <c r="A13836" s="14" t="s">
        <v>27214</v>
      </c>
      <c r="B13836" s="15" t="s">
        <v>27215</v>
      </c>
      <c r="C13836" s="16">
        <f>268.16/(1+B2)</f>
        <v>268.16000000000003</v>
      </c>
      <c r="D13836" s="17" t="s">
        <v>11</v>
      </c>
      <c r="E13836" s="17"/>
      <c r="F13836" s="18"/>
      <c r="G13836" s="36" t="str">
        <f>IF(ISNUMBER(F13836),C13836*F13836,"")</f>
        <v/>
      </c>
    </row>
    <row r="13837" spans="1:7" ht="24" customHeight="1" outlineLevel="3" x14ac:dyDescent="0.2">
      <c r="A13837" s="14" t="s">
        <v>27216</v>
      </c>
      <c r="B13837" s="15" t="s">
        <v>27217</v>
      </c>
      <c r="C13837" s="16">
        <f>427.89/(1+B2)</f>
        <v>427.89</v>
      </c>
      <c r="D13837" s="17" t="s">
        <v>11</v>
      </c>
      <c r="E13837" s="17"/>
      <c r="F13837" s="18"/>
      <c r="G13837" s="36" t="str">
        <f>IF(ISNUMBER(F13837),C13837*F13837,"")</f>
        <v/>
      </c>
    </row>
    <row r="13838" spans="1:7" ht="24" customHeight="1" outlineLevel="3" x14ac:dyDescent="0.2">
      <c r="A13838" s="14" t="s">
        <v>27218</v>
      </c>
      <c r="B13838" s="15" t="s">
        <v>27219</v>
      </c>
      <c r="C13838" s="19">
        <f>2104.97/(1+B2)</f>
        <v>2104.9699999999998</v>
      </c>
      <c r="D13838" s="17" t="s">
        <v>11</v>
      </c>
      <c r="E13838" s="17"/>
      <c r="F13838" s="18"/>
      <c r="G13838" s="36" t="str">
        <f>IF(ISNUMBER(F13838),C13838*F13838,"")</f>
        <v/>
      </c>
    </row>
    <row r="13839" spans="1:7" s="1" customFormat="1" ht="12.95" customHeight="1" outlineLevel="2" x14ac:dyDescent="0.2">
      <c r="A13839" s="20"/>
      <c r="B13839" s="21" t="s">
        <v>27220</v>
      </c>
      <c r="C13839" s="22"/>
      <c r="D13839" s="22"/>
      <c r="E13839" s="22"/>
      <c r="F13839" s="22"/>
      <c r="G13839" s="37"/>
    </row>
    <row r="13840" spans="1:7" ht="24" customHeight="1" outlineLevel="3" x14ac:dyDescent="0.2">
      <c r="A13840" s="14" t="s">
        <v>27221</v>
      </c>
      <c r="B13840" s="15" t="s">
        <v>27222</v>
      </c>
      <c r="C13840" s="16">
        <f>54.71/(1+B2)</f>
        <v>54.71</v>
      </c>
      <c r="D13840" s="17" t="s">
        <v>11</v>
      </c>
      <c r="E13840" s="17"/>
      <c r="F13840" s="18"/>
      <c r="G13840" s="36" t="str">
        <f>IF(ISNUMBER(F13840),C13840*F13840,"")</f>
        <v/>
      </c>
    </row>
    <row r="13841" spans="1:7" ht="12" customHeight="1" outlineLevel="3" x14ac:dyDescent="0.2">
      <c r="A13841" s="14" t="s">
        <v>27223</v>
      </c>
      <c r="B13841" s="15" t="s">
        <v>27224</v>
      </c>
      <c r="C13841" s="16">
        <f>77.5/(1+B2)</f>
        <v>77.5</v>
      </c>
      <c r="D13841" s="17" t="s">
        <v>11</v>
      </c>
      <c r="E13841" s="17"/>
      <c r="F13841" s="18"/>
      <c r="G13841" s="36" t="str">
        <f>IF(ISNUMBER(F13841),C13841*F13841,"")</f>
        <v/>
      </c>
    </row>
    <row r="13842" spans="1:7" ht="24" customHeight="1" outlineLevel="3" x14ac:dyDescent="0.2">
      <c r="A13842" s="14" t="s">
        <v>27225</v>
      </c>
      <c r="B13842" s="15" t="s">
        <v>27226</v>
      </c>
      <c r="C13842" s="16">
        <f>608.3/(1+B2)</f>
        <v>608.29999999999995</v>
      </c>
      <c r="D13842" s="17" t="s">
        <v>11</v>
      </c>
      <c r="E13842" s="17"/>
      <c r="F13842" s="18"/>
      <c r="G13842" s="36" t="str">
        <f>IF(ISNUMBER(F13842),C13842*F13842,"")</f>
        <v/>
      </c>
    </row>
    <row r="13843" spans="1:7" ht="24" customHeight="1" outlineLevel="3" x14ac:dyDescent="0.2">
      <c r="A13843" s="14" t="s">
        <v>27227</v>
      </c>
      <c r="B13843" s="15" t="s">
        <v>27228</v>
      </c>
      <c r="C13843" s="16">
        <f>734.97/(1+B2)</f>
        <v>734.97</v>
      </c>
      <c r="D13843" s="17" t="s">
        <v>11</v>
      </c>
      <c r="E13843" s="17"/>
      <c r="F13843" s="18"/>
      <c r="G13843" s="36" t="str">
        <f>IF(ISNUMBER(F13843),C13843*F13843,"")</f>
        <v/>
      </c>
    </row>
    <row r="13844" spans="1:7" ht="24" customHeight="1" outlineLevel="3" x14ac:dyDescent="0.2">
      <c r="A13844" s="14" t="s">
        <v>27229</v>
      </c>
      <c r="B13844" s="15" t="s">
        <v>27230</v>
      </c>
      <c r="C13844" s="16">
        <f>882.63/(1+B2)</f>
        <v>882.63</v>
      </c>
      <c r="D13844" s="17" t="s">
        <v>11</v>
      </c>
      <c r="E13844" s="17"/>
      <c r="F13844" s="18"/>
      <c r="G13844" s="36" t="str">
        <f>IF(ISNUMBER(F13844),C13844*F13844,"")</f>
        <v/>
      </c>
    </row>
    <row r="13845" spans="1:7" ht="24" customHeight="1" outlineLevel="3" x14ac:dyDescent="0.2">
      <c r="A13845" s="14" t="s">
        <v>27231</v>
      </c>
      <c r="B13845" s="15" t="s">
        <v>27232</v>
      </c>
      <c r="C13845" s="19">
        <f>1638.86/(1+B2)</f>
        <v>1638.86</v>
      </c>
      <c r="D13845" s="17" t="s">
        <v>11</v>
      </c>
      <c r="E13845" s="17"/>
      <c r="F13845" s="18"/>
      <c r="G13845" s="36" t="str">
        <f>IF(ISNUMBER(F13845),C13845*F13845,"")</f>
        <v/>
      </c>
    </row>
    <row r="13846" spans="1:7" ht="24" customHeight="1" outlineLevel="3" x14ac:dyDescent="0.2">
      <c r="A13846" s="14" t="s">
        <v>27233</v>
      </c>
      <c r="B13846" s="15" t="s">
        <v>27234</v>
      </c>
      <c r="C13846" s="19">
        <f>1398.19/(1+B2)</f>
        <v>1398.19</v>
      </c>
      <c r="D13846" s="17" t="s">
        <v>11</v>
      </c>
      <c r="E13846" s="17"/>
      <c r="F13846" s="18"/>
      <c r="G13846" s="36" t="str">
        <f>IF(ISNUMBER(F13846),C13846*F13846,"")</f>
        <v/>
      </c>
    </row>
    <row r="13847" spans="1:7" ht="24" customHeight="1" outlineLevel="3" x14ac:dyDescent="0.2">
      <c r="A13847" s="14" t="s">
        <v>27235</v>
      </c>
      <c r="B13847" s="15" t="s">
        <v>27236</v>
      </c>
      <c r="C13847" s="19">
        <f>1260.93/(1+B2)</f>
        <v>1260.93</v>
      </c>
      <c r="D13847" s="17" t="s">
        <v>11</v>
      </c>
      <c r="E13847" s="17"/>
      <c r="F13847" s="18"/>
      <c r="G13847" s="36" t="str">
        <f>IF(ISNUMBER(F13847),C13847*F13847,"")</f>
        <v/>
      </c>
    </row>
    <row r="13848" spans="1:7" ht="24" customHeight="1" outlineLevel="3" x14ac:dyDescent="0.2">
      <c r="A13848" s="14" t="s">
        <v>27237</v>
      </c>
      <c r="B13848" s="15" t="s">
        <v>27238</v>
      </c>
      <c r="C13848" s="19">
        <f>1354.99/(1+B2)</f>
        <v>1354.99</v>
      </c>
      <c r="D13848" s="17" t="s">
        <v>11</v>
      </c>
      <c r="E13848" s="17"/>
      <c r="F13848" s="18"/>
      <c r="G13848" s="36" t="str">
        <f>IF(ISNUMBER(F13848),C13848*F13848,"")</f>
        <v/>
      </c>
    </row>
    <row r="13849" spans="1:7" ht="12" customHeight="1" outlineLevel="3" x14ac:dyDescent="0.2">
      <c r="A13849" s="14" t="s">
        <v>27239</v>
      </c>
      <c r="B13849" s="15" t="s">
        <v>27240</v>
      </c>
      <c r="C13849" s="16">
        <f>211/(1+B2)</f>
        <v>211</v>
      </c>
      <c r="D13849" s="17" t="s">
        <v>11</v>
      </c>
      <c r="E13849" s="17"/>
      <c r="F13849" s="18"/>
      <c r="G13849" s="36" t="str">
        <f>IF(ISNUMBER(F13849),C13849*F13849,"")</f>
        <v/>
      </c>
    </row>
    <row r="13850" spans="1:7" ht="24" customHeight="1" outlineLevel="3" x14ac:dyDescent="0.2">
      <c r="A13850" s="14" t="s">
        <v>27241</v>
      </c>
      <c r="B13850" s="15" t="s">
        <v>27242</v>
      </c>
      <c r="C13850" s="19">
        <f>1612.59/(1+B2)</f>
        <v>1612.59</v>
      </c>
      <c r="D13850" s="17" t="s">
        <v>11</v>
      </c>
      <c r="E13850" s="17"/>
      <c r="F13850" s="18"/>
      <c r="G13850" s="36" t="str">
        <f>IF(ISNUMBER(F13850),C13850*F13850,"")</f>
        <v/>
      </c>
    </row>
    <row r="13851" spans="1:7" ht="24" customHeight="1" outlineLevel="3" x14ac:dyDescent="0.2">
      <c r="A13851" s="14" t="s">
        <v>27243</v>
      </c>
      <c r="B13851" s="15" t="s">
        <v>27244</v>
      </c>
      <c r="C13851" s="19">
        <f>1453.44/(1+B2)</f>
        <v>1453.44</v>
      </c>
      <c r="D13851" s="17" t="s">
        <v>11</v>
      </c>
      <c r="E13851" s="17"/>
      <c r="F13851" s="18"/>
      <c r="G13851" s="36" t="str">
        <f>IF(ISNUMBER(F13851),C13851*F13851,"")</f>
        <v/>
      </c>
    </row>
    <row r="13852" spans="1:7" ht="24" customHeight="1" outlineLevel="3" x14ac:dyDescent="0.2">
      <c r="A13852" s="14" t="s">
        <v>27245</v>
      </c>
      <c r="B13852" s="15" t="s">
        <v>27246</v>
      </c>
      <c r="C13852" s="19">
        <f>1512.55/(1+B2)</f>
        <v>1512.55</v>
      </c>
      <c r="D13852" s="17" t="s">
        <v>11</v>
      </c>
      <c r="E13852" s="17"/>
      <c r="F13852" s="18"/>
      <c r="G13852" s="36" t="str">
        <f>IF(ISNUMBER(F13852),C13852*F13852,"")</f>
        <v/>
      </c>
    </row>
    <row r="13853" spans="1:7" ht="24" customHeight="1" outlineLevel="3" x14ac:dyDescent="0.2">
      <c r="A13853" s="14" t="s">
        <v>27247</v>
      </c>
      <c r="B13853" s="15" t="s">
        <v>27248</v>
      </c>
      <c r="C13853" s="19">
        <f>2230.09/(1+B2)</f>
        <v>2230.09</v>
      </c>
      <c r="D13853" s="17" t="s">
        <v>11</v>
      </c>
      <c r="E13853" s="17"/>
      <c r="F13853" s="18"/>
      <c r="G13853" s="36" t="str">
        <f>IF(ISNUMBER(F13853),C13853*F13853,"")</f>
        <v/>
      </c>
    </row>
    <row r="13854" spans="1:7" ht="24" customHeight="1" outlineLevel="3" x14ac:dyDescent="0.2">
      <c r="A13854" s="14" t="s">
        <v>27249</v>
      </c>
      <c r="B13854" s="15" t="s">
        <v>27250</v>
      </c>
      <c r="C13854" s="19">
        <f>2086.08/(1+B2)</f>
        <v>2086.08</v>
      </c>
      <c r="D13854" s="17" t="s">
        <v>11</v>
      </c>
      <c r="E13854" s="17"/>
      <c r="F13854" s="18"/>
      <c r="G13854" s="36" t="str">
        <f>IF(ISNUMBER(F13854),C13854*F13854,"")</f>
        <v/>
      </c>
    </row>
    <row r="13855" spans="1:7" ht="24" customHeight="1" outlineLevel="3" x14ac:dyDescent="0.2">
      <c r="A13855" s="14" t="s">
        <v>27251</v>
      </c>
      <c r="B13855" s="15" t="s">
        <v>27252</v>
      </c>
      <c r="C13855" s="16">
        <f>96.36/(1+B2)</f>
        <v>96.36</v>
      </c>
      <c r="D13855" s="17" t="s">
        <v>11</v>
      </c>
      <c r="E13855" s="17"/>
      <c r="F13855" s="18"/>
      <c r="G13855" s="36" t="str">
        <f>IF(ISNUMBER(F13855),C13855*F13855,"")</f>
        <v/>
      </c>
    </row>
    <row r="13856" spans="1:7" ht="12" customHeight="1" outlineLevel="3" x14ac:dyDescent="0.2">
      <c r="A13856" s="14" t="s">
        <v>27253</v>
      </c>
      <c r="B13856" s="15" t="s">
        <v>27254</v>
      </c>
      <c r="C13856" s="16">
        <f>8.69/(1+B2)</f>
        <v>8.69</v>
      </c>
      <c r="D13856" s="17" t="s">
        <v>53</v>
      </c>
      <c r="E13856" s="17"/>
      <c r="F13856" s="18"/>
      <c r="G13856" s="36" t="str">
        <f>IF(ISNUMBER(F13856),C13856*F13856,"")</f>
        <v/>
      </c>
    </row>
    <row r="13857" spans="1:7" ht="24" customHeight="1" outlineLevel="3" x14ac:dyDescent="0.2">
      <c r="A13857" s="14" t="s">
        <v>27255</v>
      </c>
      <c r="B13857" s="15" t="s">
        <v>27256</v>
      </c>
      <c r="C13857" s="16">
        <f>177.12/(1+B2)</f>
        <v>177.12</v>
      </c>
      <c r="D13857" s="17" t="s">
        <v>14</v>
      </c>
      <c r="E13857" s="17"/>
      <c r="F13857" s="18"/>
      <c r="G13857" s="36" t="str">
        <f>IF(ISNUMBER(F13857),C13857*F13857,"")</f>
        <v/>
      </c>
    </row>
    <row r="13858" spans="1:7" ht="24" customHeight="1" outlineLevel="3" x14ac:dyDescent="0.2">
      <c r="A13858" s="14" t="s">
        <v>27257</v>
      </c>
      <c r="B13858" s="15" t="s">
        <v>27258</v>
      </c>
      <c r="C13858" s="16">
        <f>154.35/(1+B2)</f>
        <v>154.35</v>
      </c>
      <c r="D13858" s="17" t="s">
        <v>11</v>
      </c>
      <c r="E13858" s="17"/>
      <c r="F13858" s="18"/>
      <c r="G13858" s="36" t="str">
        <f>IF(ISNUMBER(F13858),C13858*F13858,"")</f>
        <v/>
      </c>
    </row>
    <row r="13859" spans="1:7" ht="24" customHeight="1" outlineLevel="3" x14ac:dyDescent="0.2">
      <c r="A13859" s="14" t="s">
        <v>27259</v>
      </c>
      <c r="B13859" s="15" t="s">
        <v>27260</v>
      </c>
      <c r="C13859" s="16">
        <f>202.19/(1+B2)</f>
        <v>202.19</v>
      </c>
      <c r="D13859" s="17" t="s">
        <v>11</v>
      </c>
      <c r="E13859" s="17"/>
      <c r="F13859" s="18"/>
      <c r="G13859" s="36" t="str">
        <f>IF(ISNUMBER(F13859),C13859*F13859,"")</f>
        <v/>
      </c>
    </row>
    <row r="13860" spans="1:7" ht="24" customHeight="1" outlineLevel="3" x14ac:dyDescent="0.2">
      <c r="A13860" s="14" t="s">
        <v>27261</v>
      </c>
      <c r="B13860" s="15" t="s">
        <v>27262</v>
      </c>
      <c r="C13860" s="16">
        <f>271.01/(1+B2)</f>
        <v>271.01</v>
      </c>
      <c r="D13860" s="17" t="s">
        <v>14</v>
      </c>
      <c r="E13860" s="17"/>
      <c r="F13860" s="18"/>
      <c r="G13860" s="36" t="str">
        <f>IF(ISNUMBER(F13860),C13860*F13860,"")</f>
        <v/>
      </c>
    </row>
    <row r="13861" spans="1:7" ht="24" customHeight="1" outlineLevel="3" x14ac:dyDescent="0.2">
      <c r="A13861" s="14" t="s">
        <v>27263</v>
      </c>
      <c r="B13861" s="15" t="s">
        <v>27264</v>
      </c>
      <c r="C13861" s="16">
        <f>322.08/(1+B2)</f>
        <v>322.08</v>
      </c>
      <c r="D13861" s="17" t="s">
        <v>14</v>
      </c>
      <c r="E13861" s="17"/>
      <c r="F13861" s="18"/>
      <c r="G13861" s="36" t="str">
        <f>IF(ISNUMBER(F13861),C13861*F13861,"")</f>
        <v/>
      </c>
    </row>
    <row r="13862" spans="1:7" ht="12" customHeight="1" outlineLevel="3" x14ac:dyDescent="0.2">
      <c r="A13862" s="14" t="s">
        <v>27265</v>
      </c>
      <c r="B13862" s="15" t="s">
        <v>27266</v>
      </c>
      <c r="C13862" s="16">
        <f>34.15/(1+B2)</f>
        <v>34.15</v>
      </c>
      <c r="D13862" s="17" t="s">
        <v>11</v>
      </c>
      <c r="E13862" s="17"/>
      <c r="F13862" s="18"/>
      <c r="G13862" s="36" t="str">
        <f>IF(ISNUMBER(F13862),C13862*F13862,"")</f>
        <v/>
      </c>
    </row>
    <row r="13863" spans="1:7" ht="12" customHeight="1" outlineLevel="3" x14ac:dyDescent="0.2">
      <c r="A13863" s="14" t="s">
        <v>27267</v>
      </c>
      <c r="B13863" s="15" t="s">
        <v>27268</v>
      </c>
      <c r="C13863" s="16">
        <f>595.82/(1+B2)</f>
        <v>595.82000000000005</v>
      </c>
      <c r="D13863" s="17" t="s">
        <v>11</v>
      </c>
      <c r="E13863" s="17"/>
      <c r="F13863" s="18"/>
      <c r="G13863" s="36" t="str">
        <f>IF(ISNUMBER(F13863),C13863*F13863,"")</f>
        <v/>
      </c>
    </row>
    <row r="13864" spans="1:7" ht="12" customHeight="1" outlineLevel="3" x14ac:dyDescent="0.2">
      <c r="A13864" s="14" t="s">
        <v>27269</v>
      </c>
      <c r="B13864" s="15" t="s">
        <v>27270</v>
      </c>
      <c r="C13864" s="16">
        <f>58.57/(1+B2)</f>
        <v>58.57</v>
      </c>
      <c r="D13864" s="17" t="s">
        <v>11</v>
      </c>
      <c r="E13864" s="17"/>
      <c r="F13864" s="18"/>
      <c r="G13864" s="36" t="str">
        <f>IF(ISNUMBER(F13864),C13864*F13864,"")</f>
        <v/>
      </c>
    </row>
    <row r="13865" spans="1:7" ht="12" customHeight="1" outlineLevel="3" x14ac:dyDescent="0.2">
      <c r="A13865" s="14" t="s">
        <v>27271</v>
      </c>
      <c r="B13865" s="15" t="s">
        <v>27272</v>
      </c>
      <c r="C13865" s="16">
        <f>66.01/(1+B2)</f>
        <v>66.010000000000005</v>
      </c>
      <c r="D13865" s="17" t="s">
        <v>11</v>
      </c>
      <c r="E13865" s="17"/>
      <c r="F13865" s="18"/>
      <c r="G13865" s="36" t="str">
        <f>IF(ISNUMBER(F13865),C13865*F13865,"")</f>
        <v/>
      </c>
    </row>
    <row r="13866" spans="1:7" ht="12" customHeight="1" outlineLevel="3" x14ac:dyDescent="0.2">
      <c r="A13866" s="14" t="s">
        <v>27273</v>
      </c>
      <c r="B13866" s="15" t="s">
        <v>27274</v>
      </c>
      <c r="C13866" s="16">
        <f>84.02/(1+B2)</f>
        <v>84.02</v>
      </c>
      <c r="D13866" s="17" t="s">
        <v>11</v>
      </c>
      <c r="E13866" s="17"/>
      <c r="F13866" s="18"/>
      <c r="G13866" s="36" t="str">
        <f>IF(ISNUMBER(F13866),C13866*F13866,"")</f>
        <v/>
      </c>
    </row>
    <row r="13867" spans="1:7" ht="12" customHeight="1" outlineLevel="3" x14ac:dyDescent="0.2">
      <c r="A13867" s="14" t="s">
        <v>27275</v>
      </c>
      <c r="B13867" s="15" t="s">
        <v>27276</v>
      </c>
      <c r="C13867" s="16">
        <f>104.17/(1+B2)</f>
        <v>104.17</v>
      </c>
      <c r="D13867" s="17" t="s">
        <v>11</v>
      </c>
      <c r="E13867" s="17"/>
      <c r="F13867" s="18"/>
      <c r="G13867" s="36" t="str">
        <f>IF(ISNUMBER(F13867),C13867*F13867,"")</f>
        <v/>
      </c>
    </row>
    <row r="13868" spans="1:7" ht="12" customHeight="1" outlineLevel="3" x14ac:dyDescent="0.2">
      <c r="A13868" s="14" t="s">
        <v>27277</v>
      </c>
      <c r="B13868" s="15" t="s">
        <v>27278</v>
      </c>
      <c r="C13868" s="16">
        <f>67.64/(1+B2)</f>
        <v>67.64</v>
      </c>
      <c r="D13868" s="17" t="s">
        <v>11</v>
      </c>
      <c r="E13868" s="17"/>
      <c r="F13868" s="18"/>
      <c r="G13868" s="36" t="str">
        <f>IF(ISNUMBER(F13868),C13868*F13868,"")</f>
        <v/>
      </c>
    </row>
    <row r="13869" spans="1:7" ht="12" customHeight="1" outlineLevel="3" x14ac:dyDescent="0.2">
      <c r="A13869" s="14" t="s">
        <v>27279</v>
      </c>
      <c r="B13869" s="15" t="s">
        <v>27280</v>
      </c>
      <c r="C13869" s="16">
        <f>98.15/(1+B2)</f>
        <v>98.15</v>
      </c>
      <c r="D13869" s="17" t="s">
        <v>106</v>
      </c>
      <c r="E13869" s="17"/>
      <c r="F13869" s="18"/>
      <c r="G13869" s="36" t="str">
        <f>IF(ISNUMBER(F13869),C13869*F13869,"")</f>
        <v/>
      </c>
    </row>
    <row r="13870" spans="1:7" ht="12" customHeight="1" outlineLevel="3" x14ac:dyDescent="0.2">
      <c r="A13870" s="14" t="s">
        <v>27281</v>
      </c>
      <c r="B13870" s="15" t="s">
        <v>27282</v>
      </c>
      <c r="C13870" s="16">
        <f>138.26/(1+B2)</f>
        <v>138.26</v>
      </c>
      <c r="D13870" s="17" t="s">
        <v>14</v>
      </c>
      <c r="E13870" s="17"/>
      <c r="F13870" s="18"/>
      <c r="G13870" s="36" t="str">
        <f>IF(ISNUMBER(F13870),C13870*F13870,"")</f>
        <v/>
      </c>
    </row>
    <row r="13871" spans="1:7" ht="12" customHeight="1" outlineLevel="3" x14ac:dyDescent="0.2">
      <c r="A13871" s="14" t="s">
        <v>27283</v>
      </c>
      <c r="B13871" s="15" t="s">
        <v>27284</v>
      </c>
      <c r="C13871" s="16">
        <f>130.55/(1+B2)</f>
        <v>130.55000000000001</v>
      </c>
      <c r="D13871" s="17" t="s">
        <v>11</v>
      </c>
      <c r="E13871" s="17"/>
      <c r="F13871" s="18"/>
      <c r="G13871" s="36" t="str">
        <f>IF(ISNUMBER(F13871),C13871*F13871,"")</f>
        <v/>
      </c>
    </row>
    <row r="13872" spans="1:7" ht="12" customHeight="1" outlineLevel="3" x14ac:dyDescent="0.2">
      <c r="A13872" s="14" t="s">
        <v>27285</v>
      </c>
      <c r="B13872" s="15" t="s">
        <v>27286</v>
      </c>
      <c r="C13872" s="16">
        <f>231.11/(1+B2)</f>
        <v>231.11</v>
      </c>
      <c r="D13872" s="17" t="s">
        <v>11</v>
      </c>
      <c r="E13872" s="17"/>
      <c r="F13872" s="18"/>
      <c r="G13872" s="36" t="str">
        <f>IF(ISNUMBER(F13872),C13872*F13872,"")</f>
        <v/>
      </c>
    </row>
    <row r="13873" spans="1:7" ht="12" customHeight="1" outlineLevel="3" x14ac:dyDescent="0.2">
      <c r="A13873" s="14" t="s">
        <v>27287</v>
      </c>
      <c r="B13873" s="15" t="s">
        <v>27288</v>
      </c>
      <c r="C13873" s="16">
        <f>375.41/(1+B2)</f>
        <v>375.41</v>
      </c>
      <c r="D13873" s="17" t="s">
        <v>11</v>
      </c>
      <c r="E13873" s="17"/>
      <c r="F13873" s="18"/>
      <c r="G13873" s="36" t="str">
        <f>IF(ISNUMBER(F13873),C13873*F13873,"")</f>
        <v/>
      </c>
    </row>
    <row r="13874" spans="1:7" ht="12" customHeight="1" outlineLevel="3" x14ac:dyDescent="0.2">
      <c r="A13874" s="14" t="s">
        <v>27289</v>
      </c>
      <c r="B13874" s="15" t="s">
        <v>27290</v>
      </c>
      <c r="C13874" s="16">
        <f>140.26/(1+B2)</f>
        <v>140.26</v>
      </c>
      <c r="D13874" s="17" t="s">
        <v>11</v>
      </c>
      <c r="E13874" s="17"/>
      <c r="F13874" s="18"/>
      <c r="G13874" s="36" t="str">
        <f>IF(ISNUMBER(F13874),C13874*F13874,"")</f>
        <v/>
      </c>
    </row>
    <row r="13875" spans="1:7" ht="12" customHeight="1" outlineLevel="3" x14ac:dyDescent="0.2">
      <c r="A13875" s="14" t="s">
        <v>27291</v>
      </c>
      <c r="B13875" s="15" t="s">
        <v>27292</v>
      </c>
      <c r="C13875" s="16">
        <f>196.36/(1+B2)</f>
        <v>196.36</v>
      </c>
      <c r="D13875" s="17" t="s">
        <v>11</v>
      </c>
      <c r="E13875" s="17"/>
      <c r="F13875" s="18"/>
      <c r="G13875" s="36" t="str">
        <f>IF(ISNUMBER(F13875),C13875*F13875,"")</f>
        <v/>
      </c>
    </row>
    <row r="13876" spans="1:7" ht="12" customHeight="1" outlineLevel="3" x14ac:dyDescent="0.2">
      <c r="A13876" s="14" t="s">
        <v>27293</v>
      </c>
      <c r="B13876" s="15" t="s">
        <v>27294</v>
      </c>
      <c r="C13876" s="16">
        <f>22.44/(1+B2)</f>
        <v>22.44</v>
      </c>
      <c r="D13876" s="17" t="s">
        <v>14</v>
      </c>
      <c r="E13876" s="17"/>
      <c r="F13876" s="18"/>
      <c r="G13876" s="36" t="str">
        <f>IF(ISNUMBER(F13876),C13876*F13876,"")</f>
        <v/>
      </c>
    </row>
    <row r="13877" spans="1:7" ht="12" customHeight="1" outlineLevel="3" x14ac:dyDescent="0.2">
      <c r="A13877" s="14" t="s">
        <v>27295</v>
      </c>
      <c r="B13877" s="15" t="s">
        <v>27296</v>
      </c>
      <c r="C13877" s="16">
        <f>23.13/(1+B2)</f>
        <v>23.13</v>
      </c>
      <c r="D13877" s="17" t="s">
        <v>53</v>
      </c>
      <c r="E13877" s="17"/>
      <c r="F13877" s="18"/>
      <c r="G13877" s="36" t="str">
        <f>IF(ISNUMBER(F13877),C13877*F13877,"")</f>
        <v/>
      </c>
    </row>
    <row r="13878" spans="1:7" ht="12" customHeight="1" outlineLevel="3" x14ac:dyDescent="0.2">
      <c r="A13878" s="14" t="s">
        <v>27297</v>
      </c>
      <c r="B13878" s="15" t="s">
        <v>27298</v>
      </c>
      <c r="C13878" s="16">
        <f>25.25/(1+B2)</f>
        <v>25.25</v>
      </c>
      <c r="D13878" s="17" t="s">
        <v>53</v>
      </c>
      <c r="E13878" s="17"/>
      <c r="F13878" s="18"/>
      <c r="G13878" s="36" t="str">
        <f>IF(ISNUMBER(F13878),C13878*F13878,"")</f>
        <v/>
      </c>
    </row>
    <row r="13879" spans="1:7" ht="12" customHeight="1" outlineLevel="3" x14ac:dyDescent="0.2">
      <c r="A13879" s="14" t="s">
        <v>27299</v>
      </c>
      <c r="B13879" s="15" t="s">
        <v>27300</v>
      </c>
      <c r="C13879" s="16">
        <f>25.25/(1+B2)</f>
        <v>25.25</v>
      </c>
      <c r="D13879" s="17" t="s">
        <v>11</v>
      </c>
      <c r="E13879" s="17"/>
      <c r="F13879" s="18"/>
      <c r="G13879" s="36" t="str">
        <f>IF(ISNUMBER(F13879),C13879*F13879,"")</f>
        <v/>
      </c>
    </row>
    <row r="13880" spans="1:7" ht="12" customHeight="1" outlineLevel="3" x14ac:dyDescent="0.2">
      <c r="A13880" s="14" t="s">
        <v>27301</v>
      </c>
      <c r="B13880" s="15" t="s">
        <v>27302</v>
      </c>
      <c r="C13880" s="16">
        <f>29.45/(1+B2)</f>
        <v>29.45</v>
      </c>
      <c r="D13880" s="17" t="s">
        <v>53</v>
      </c>
      <c r="E13880" s="17"/>
      <c r="F13880" s="18"/>
      <c r="G13880" s="36" t="str">
        <f>IF(ISNUMBER(F13880),C13880*F13880,"")</f>
        <v/>
      </c>
    </row>
    <row r="13881" spans="1:7" ht="12" customHeight="1" outlineLevel="3" x14ac:dyDescent="0.2">
      <c r="A13881" s="14" t="s">
        <v>27303</v>
      </c>
      <c r="B13881" s="15" t="s">
        <v>27304</v>
      </c>
      <c r="C13881" s="16">
        <f>30.13/(1+B2)</f>
        <v>30.13</v>
      </c>
      <c r="D13881" s="17" t="s">
        <v>14</v>
      </c>
      <c r="E13881" s="17"/>
      <c r="F13881" s="18"/>
      <c r="G13881" s="36" t="str">
        <f>IF(ISNUMBER(F13881),C13881*F13881,"")</f>
        <v/>
      </c>
    </row>
    <row r="13882" spans="1:7" ht="12" customHeight="1" outlineLevel="3" x14ac:dyDescent="0.2">
      <c r="A13882" s="14" t="s">
        <v>27305</v>
      </c>
      <c r="B13882" s="15" t="s">
        <v>27306</v>
      </c>
      <c r="C13882" s="16">
        <f>31.56/(1+B2)</f>
        <v>31.56</v>
      </c>
      <c r="D13882" s="17" t="s">
        <v>53</v>
      </c>
      <c r="E13882" s="17"/>
      <c r="F13882" s="18"/>
      <c r="G13882" s="36" t="str">
        <f>IF(ISNUMBER(F13882),C13882*F13882,"")</f>
        <v/>
      </c>
    </row>
    <row r="13883" spans="1:7" ht="12" customHeight="1" outlineLevel="3" x14ac:dyDescent="0.2">
      <c r="A13883" s="14" t="s">
        <v>27307</v>
      </c>
      <c r="B13883" s="15" t="s">
        <v>27308</v>
      </c>
      <c r="C13883" s="16">
        <f>33.34/(1+B2)</f>
        <v>33.340000000000003</v>
      </c>
      <c r="D13883" s="17" t="s">
        <v>14</v>
      </c>
      <c r="E13883" s="17"/>
      <c r="F13883" s="18"/>
      <c r="G13883" s="36" t="str">
        <f>IF(ISNUMBER(F13883),C13883*F13883,"")</f>
        <v/>
      </c>
    </row>
    <row r="13884" spans="1:7" ht="12" customHeight="1" outlineLevel="3" x14ac:dyDescent="0.2">
      <c r="A13884" s="14" t="s">
        <v>27309</v>
      </c>
      <c r="B13884" s="15" t="s">
        <v>27310</v>
      </c>
      <c r="C13884" s="16">
        <f>60.37/(1+B2)</f>
        <v>60.37</v>
      </c>
      <c r="D13884" s="17" t="s">
        <v>11</v>
      </c>
      <c r="E13884" s="17"/>
      <c r="F13884" s="18"/>
      <c r="G13884" s="36" t="str">
        <f>IF(ISNUMBER(F13884),C13884*F13884,"")</f>
        <v/>
      </c>
    </row>
    <row r="13885" spans="1:7" ht="12" customHeight="1" outlineLevel="3" x14ac:dyDescent="0.2">
      <c r="A13885" s="14" t="s">
        <v>27311</v>
      </c>
      <c r="B13885" s="15" t="s">
        <v>27312</v>
      </c>
      <c r="C13885" s="16">
        <f>40.67/(1+B2)</f>
        <v>40.67</v>
      </c>
      <c r="D13885" s="17" t="s">
        <v>14</v>
      </c>
      <c r="E13885" s="17"/>
      <c r="F13885" s="18"/>
      <c r="G13885" s="36" t="str">
        <f>IF(ISNUMBER(F13885),C13885*F13885,"")</f>
        <v/>
      </c>
    </row>
    <row r="13886" spans="1:7" ht="12" customHeight="1" outlineLevel="3" x14ac:dyDescent="0.2">
      <c r="A13886" s="14" t="s">
        <v>27313</v>
      </c>
      <c r="B13886" s="15" t="s">
        <v>27314</v>
      </c>
      <c r="C13886" s="16">
        <f>40.67/(1+B2)</f>
        <v>40.67</v>
      </c>
      <c r="D13886" s="17" t="s">
        <v>14</v>
      </c>
      <c r="E13886" s="17"/>
      <c r="F13886" s="18"/>
      <c r="G13886" s="36" t="str">
        <f>IF(ISNUMBER(F13886),C13886*F13886,"")</f>
        <v/>
      </c>
    </row>
    <row r="13887" spans="1:7" ht="12" customHeight="1" outlineLevel="3" x14ac:dyDescent="0.2">
      <c r="A13887" s="14" t="s">
        <v>27315</v>
      </c>
      <c r="B13887" s="15" t="s">
        <v>27316</v>
      </c>
      <c r="C13887" s="16">
        <f>46.29/(1+B2)</f>
        <v>46.29</v>
      </c>
      <c r="D13887" s="17" t="s">
        <v>11</v>
      </c>
      <c r="E13887" s="17"/>
      <c r="F13887" s="18"/>
      <c r="G13887" s="36" t="str">
        <f>IF(ISNUMBER(F13887),C13887*F13887,"")</f>
        <v/>
      </c>
    </row>
    <row r="13888" spans="1:7" ht="12" customHeight="1" outlineLevel="3" x14ac:dyDescent="0.2">
      <c r="A13888" s="14" t="s">
        <v>27317</v>
      </c>
      <c r="B13888" s="15" t="s">
        <v>27318</v>
      </c>
      <c r="C13888" s="16">
        <f>54.7/(1+B2)</f>
        <v>54.7</v>
      </c>
      <c r="D13888" s="17" t="s">
        <v>11</v>
      </c>
      <c r="E13888" s="17"/>
      <c r="F13888" s="18"/>
      <c r="G13888" s="36" t="str">
        <f>IF(ISNUMBER(F13888),C13888*F13888,"")</f>
        <v/>
      </c>
    </row>
    <row r="13889" spans="1:7" ht="12" customHeight="1" outlineLevel="3" x14ac:dyDescent="0.2">
      <c r="A13889" s="14" t="s">
        <v>27319</v>
      </c>
      <c r="B13889" s="15" t="s">
        <v>27320</v>
      </c>
      <c r="C13889" s="16">
        <f>63.12/(1+B2)</f>
        <v>63.12</v>
      </c>
      <c r="D13889" s="17" t="s">
        <v>11</v>
      </c>
      <c r="E13889" s="17"/>
      <c r="F13889" s="18"/>
      <c r="G13889" s="36" t="str">
        <f>IF(ISNUMBER(F13889),C13889*F13889,"")</f>
        <v/>
      </c>
    </row>
    <row r="13890" spans="1:7" ht="12" customHeight="1" outlineLevel="3" x14ac:dyDescent="0.2">
      <c r="A13890" s="14" t="s">
        <v>27321</v>
      </c>
      <c r="B13890" s="15" t="s">
        <v>27322</v>
      </c>
      <c r="C13890" s="16">
        <f>66.62/(1+B2)</f>
        <v>66.62</v>
      </c>
      <c r="D13890" s="17" t="s">
        <v>11</v>
      </c>
      <c r="E13890" s="17"/>
      <c r="F13890" s="18"/>
      <c r="G13890" s="36" t="str">
        <f>IF(ISNUMBER(F13890),C13890*F13890,"")</f>
        <v/>
      </c>
    </row>
    <row r="13891" spans="1:7" ht="12" customHeight="1" outlineLevel="3" x14ac:dyDescent="0.2">
      <c r="A13891" s="14" t="s">
        <v>27323</v>
      </c>
      <c r="B13891" s="15" t="s">
        <v>27324</v>
      </c>
      <c r="C13891" s="16">
        <f>84.16/(1+B2)</f>
        <v>84.16</v>
      </c>
      <c r="D13891" s="17" t="s">
        <v>11</v>
      </c>
      <c r="E13891" s="17"/>
      <c r="F13891" s="18"/>
      <c r="G13891" s="36" t="str">
        <f>IF(ISNUMBER(F13891),C13891*F13891,"")</f>
        <v/>
      </c>
    </row>
    <row r="13892" spans="1:7" ht="12" customHeight="1" outlineLevel="3" x14ac:dyDescent="0.2">
      <c r="A13892" s="14" t="s">
        <v>27325</v>
      </c>
      <c r="B13892" s="15" t="s">
        <v>27326</v>
      </c>
      <c r="C13892" s="16">
        <f>129.98/(1+B2)</f>
        <v>129.97999999999999</v>
      </c>
      <c r="D13892" s="17" t="s">
        <v>11</v>
      </c>
      <c r="E13892" s="17"/>
      <c r="F13892" s="18"/>
      <c r="G13892" s="36" t="str">
        <f>IF(ISNUMBER(F13892),C13892*F13892,"")</f>
        <v/>
      </c>
    </row>
    <row r="13893" spans="1:7" ht="12" customHeight="1" outlineLevel="3" x14ac:dyDescent="0.2">
      <c r="A13893" s="14" t="s">
        <v>27327</v>
      </c>
      <c r="B13893" s="15" t="s">
        <v>27328</v>
      </c>
      <c r="C13893" s="16">
        <f>194.08/(1+B2)</f>
        <v>194.08</v>
      </c>
      <c r="D13893" s="17" t="s">
        <v>11</v>
      </c>
      <c r="E13893" s="17"/>
      <c r="F13893" s="18"/>
      <c r="G13893" s="36" t="str">
        <f>IF(ISNUMBER(F13893),C13893*F13893,"")</f>
        <v/>
      </c>
    </row>
    <row r="13894" spans="1:7" ht="12" customHeight="1" outlineLevel="3" x14ac:dyDescent="0.2">
      <c r="A13894" s="14" t="s">
        <v>27329</v>
      </c>
      <c r="B13894" s="15" t="s">
        <v>27330</v>
      </c>
      <c r="C13894" s="16">
        <f>42.57/(1+B2)</f>
        <v>42.57</v>
      </c>
      <c r="D13894" s="17" t="s">
        <v>11</v>
      </c>
      <c r="E13894" s="17"/>
      <c r="F13894" s="18"/>
      <c r="G13894" s="36" t="str">
        <f>IF(ISNUMBER(F13894),C13894*F13894,"")</f>
        <v/>
      </c>
    </row>
    <row r="13895" spans="1:7" ht="12" customHeight="1" outlineLevel="3" x14ac:dyDescent="0.2">
      <c r="A13895" s="14" t="s">
        <v>27331</v>
      </c>
      <c r="B13895" s="15" t="s">
        <v>27332</v>
      </c>
      <c r="C13895" s="16">
        <f>47.19/(1+B2)</f>
        <v>47.19</v>
      </c>
      <c r="D13895" s="17" t="s">
        <v>14</v>
      </c>
      <c r="E13895" s="17"/>
      <c r="F13895" s="18"/>
      <c r="G13895" s="36" t="str">
        <f>IF(ISNUMBER(F13895),C13895*F13895,"")</f>
        <v/>
      </c>
    </row>
    <row r="13896" spans="1:7" ht="12" customHeight="1" outlineLevel="3" x14ac:dyDescent="0.2">
      <c r="A13896" s="14" t="s">
        <v>27333</v>
      </c>
      <c r="B13896" s="15" t="s">
        <v>27334</v>
      </c>
      <c r="C13896" s="16">
        <f>47.87/(1+B2)</f>
        <v>47.87</v>
      </c>
      <c r="D13896" s="17" t="s">
        <v>14</v>
      </c>
      <c r="E13896" s="17"/>
      <c r="F13896" s="18"/>
      <c r="G13896" s="36" t="str">
        <f>IF(ISNUMBER(F13896),C13896*F13896,"")</f>
        <v/>
      </c>
    </row>
    <row r="13897" spans="1:7" ht="12" customHeight="1" outlineLevel="3" x14ac:dyDescent="0.2">
      <c r="A13897" s="14" t="s">
        <v>27335</v>
      </c>
      <c r="B13897" s="15" t="s">
        <v>27336</v>
      </c>
      <c r="C13897" s="16">
        <f>50.29/(1+B2)</f>
        <v>50.29</v>
      </c>
      <c r="D13897" s="17" t="s">
        <v>11</v>
      </c>
      <c r="E13897" s="17"/>
      <c r="F13897" s="18"/>
      <c r="G13897" s="36" t="str">
        <f>IF(ISNUMBER(F13897),C13897*F13897,"")</f>
        <v/>
      </c>
    </row>
    <row r="13898" spans="1:7" ht="12" customHeight="1" outlineLevel="3" x14ac:dyDescent="0.2">
      <c r="A13898" s="14" t="s">
        <v>27337</v>
      </c>
      <c r="B13898" s="15" t="s">
        <v>27338</v>
      </c>
      <c r="C13898" s="16">
        <f>66.9/(1+B2)</f>
        <v>66.900000000000006</v>
      </c>
      <c r="D13898" s="17" t="s">
        <v>11</v>
      </c>
      <c r="E13898" s="17"/>
      <c r="F13898" s="18"/>
      <c r="G13898" s="36" t="str">
        <f>IF(ISNUMBER(F13898),C13898*F13898,"")</f>
        <v/>
      </c>
    </row>
    <row r="13899" spans="1:7" ht="12" customHeight="1" outlineLevel="3" x14ac:dyDescent="0.2">
      <c r="A13899" s="14" t="s">
        <v>27339</v>
      </c>
      <c r="B13899" s="15" t="s">
        <v>27340</v>
      </c>
      <c r="C13899" s="16">
        <f>54.48/(1+B2)</f>
        <v>54.48</v>
      </c>
      <c r="D13899" s="17" t="s">
        <v>11</v>
      </c>
      <c r="E13899" s="17"/>
      <c r="F13899" s="18"/>
      <c r="G13899" s="36" t="str">
        <f>IF(ISNUMBER(F13899),C13899*F13899,"")</f>
        <v/>
      </c>
    </row>
    <row r="13900" spans="1:7" ht="12" customHeight="1" outlineLevel="3" x14ac:dyDescent="0.2">
      <c r="A13900" s="14" t="s">
        <v>27341</v>
      </c>
      <c r="B13900" s="15" t="s">
        <v>27342</v>
      </c>
      <c r="C13900" s="16">
        <f>85.83/(1+B2)</f>
        <v>85.83</v>
      </c>
      <c r="D13900" s="17" t="s">
        <v>11</v>
      </c>
      <c r="E13900" s="17"/>
      <c r="F13900" s="18"/>
      <c r="G13900" s="36" t="str">
        <f>IF(ISNUMBER(F13900),C13900*F13900,"")</f>
        <v/>
      </c>
    </row>
    <row r="13901" spans="1:7" ht="12" customHeight="1" outlineLevel="3" x14ac:dyDescent="0.2">
      <c r="A13901" s="14" t="s">
        <v>27343</v>
      </c>
      <c r="B13901" s="15" t="s">
        <v>27344</v>
      </c>
      <c r="C13901" s="16">
        <f>53.3/(1+B2)</f>
        <v>53.3</v>
      </c>
      <c r="D13901" s="17" t="s">
        <v>11</v>
      </c>
      <c r="E13901" s="17"/>
      <c r="F13901" s="18"/>
      <c r="G13901" s="36" t="str">
        <f>IF(ISNUMBER(F13901),C13901*F13901,"")</f>
        <v/>
      </c>
    </row>
    <row r="13902" spans="1:7" ht="12" customHeight="1" outlineLevel="3" x14ac:dyDescent="0.2">
      <c r="A13902" s="14" t="s">
        <v>27345</v>
      </c>
      <c r="B13902" s="15" t="s">
        <v>27346</v>
      </c>
      <c r="C13902" s="16">
        <f>72.1/(1+B2)</f>
        <v>72.099999999999994</v>
      </c>
      <c r="D13902" s="17" t="s">
        <v>11</v>
      </c>
      <c r="E13902" s="17"/>
      <c r="F13902" s="18"/>
      <c r="G13902" s="36" t="str">
        <f>IF(ISNUMBER(F13902),C13902*F13902,"")</f>
        <v/>
      </c>
    </row>
    <row r="13903" spans="1:7" ht="12" customHeight="1" outlineLevel="3" x14ac:dyDescent="0.2">
      <c r="A13903" s="14" t="s">
        <v>27347</v>
      </c>
      <c r="B13903" s="15" t="s">
        <v>27348</v>
      </c>
      <c r="C13903" s="16">
        <f>116.99/(1+B2)</f>
        <v>116.99</v>
      </c>
      <c r="D13903" s="17" t="s">
        <v>11</v>
      </c>
      <c r="E13903" s="17"/>
      <c r="F13903" s="18"/>
      <c r="G13903" s="36" t="str">
        <f>IF(ISNUMBER(F13903),C13903*F13903,"")</f>
        <v/>
      </c>
    </row>
    <row r="13904" spans="1:7" ht="12" customHeight="1" outlineLevel="3" x14ac:dyDescent="0.2">
      <c r="A13904" s="14" t="s">
        <v>27349</v>
      </c>
      <c r="B13904" s="15" t="s">
        <v>27350</v>
      </c>
      <c r="C13904" s="16">
        <f>85.98/(1+B2)</f>
        <v>85.98</v>
      </c>
      <c r="D13904" s="17" t="s">
        <v>11</v>
      </c>
      <c r="E13904" s="17"/>
      <c r="F13904" s="18"/>
      <c r="G13904" s="36" t="str">
        <f>IF(ISNUMBER(F13904),C13904*F13904,"")</f>
        <v/>
      </c>
    </row>
    <row r="13905" spans="1:7" ht="12" customHeight="1" outlineLevel="3" x14ac:dyDescent="0.2">
      <c r="A13905" s="14" t="s">
        <v>27351</v>
      </c>
      <c r="B13905" s="15" t="s">
        <v>27352</v>
      </c>
      <c r="C13905" s="16">
        <f>116.95/(1+B2)</f>
        <v>116.95</v>
      </c>
      <c r="D13905" s="17" t="s">
        <v>14</v>
      </c>
      <c r="E13905" s="17"/>
      <c r="F13905" s="18"/>
      <c r="G13905" s="36" t="str">
        <f>IF(ISNUMBER(F13905),C13905*F13905,"")</f>
        <v/>
      </c>
    </row>
    <row r="13906" spans="1:7" s="1" customFormat="1" ht="12.95" customHeight="1" outlineLevel="2" x14ac:dyDescent="0.2">
      <c r="A13906" s="20"/>
      <c r="B13906" s="21" t="s">
        <v>27353</v>
      </c>
      <c r="C13906" s="22"/>
      <c r="D13906" s="22"/>
      <c r="E13906" s="22"/>
      <c r="F13906" s="22"/>
      <c r="G13906" s="37"/>
    </row>
    <row r="13907" spans="1:7" ht="12" customHeight="1" outlineLevel="3" x14ac:dyDescent="0.2">
      <c r="A13907" s="14" t="s">
        <v>27354</v>
      </c>
      <c r="B13907" s="15" t="s">
        <v>27355</v>
      </c>
      <c r="C13907" s="16">
        <f>79.08/(1+B2)</f>
        <v>79.08</v>
      </c>
      <c r="D13907" s="17" t="s">
        <v>11</v>
      </c>
      <c r="E13907" s="17"/>
      <c r="F13907" s="18"/>
      <c r="G13907" s="36" t="str">
        <f>IF(ISNUMBER(F13907),C13907*F13907,"")</f>
        <v/>
      </c>
    </row>
    <row r="13908" spans="1:7" ht="12" customHeight="1" outlineLevel="3" x14ac:dyDescent="0.2">
      <c r="A13908" s="14" t="s">
        <v>27356</v>
      </c>
      <c r="B13908" s="15" t="s">
        <v>27357</v>
      </c>
      <c r="C13908" s="16">
        <f>432.61/(1+B2)</f>
        <v>432.61</v>
      </c>
      <c r="D13908" s="17" t="s">
        <v>11</v>
      </c>
      <c r="E13908" s="17"/>
      <c r="F13908" s="18"/>
      <c r="G13908" s="36" t="str">
        <f>IF(ISNUMBER(F13908),C13908*F13908,"")</f>
        <v/>
      </c>
    </row>
    <row r="13909" spans="1:7" ht="12" customHeight="1" outlineLevel="3" x14ac:dyDescent="0.2">
      <c r="A13909" s="14" t="s">
        <v>27358</v>
      </c>
      <c r="B13909" s="15" t="s">
        <v>27359</v>
      </c>
      <c r="C13909" s="16">
        <f>62.54/(1+B2)</f>
        <v>62.54</v>
      </c>
      <c r="D13909" s="17" t="s">
        <v>11</v>
      </c>
      <c r="E13909" s="17"/>
      <c r="F13909" s="18"/>
      <c r="G13909" s="36" t="str">
        <f>IF(ISNUMBER(F13909),C13909*F13909,"")</f>
        <v/>
      </c>
    </row>
    <row r="13910" spans="1:7" ht="12" customHeight="1" outlineLevel="3" x14ac:dyDescent="0.2">
      <c r="A13910" s="14" t="s">
        <v>27360</v>
      </c>
      <c r="B13910" s="15" t="s">
        <v>27361</v>
      </c>
      <c r="C13910" s="16">
        <f>63.79/(1+B2)</f>
        <v>63.79</v>
      </c>
      <c r="D13910" s="17" t="s">
        <v>11</v>
      </c>
      <c r="E13910" s="17"/>
      <c r="F13910" s="18"/>
      <c r="G13910" s="36" t="str">
        <f>IF(ISNUMBER(F13910),C13910*F13910,"")</f>
        <v/>
      </c>
    </row>
    <row r="13911" spans="1:7" ht="12" customHeight="1" outlineLevel="3" x14ac:dyDescent="0.2">
      <c r="A13911" s="14" t="s">
        <v>27362</v>
      </c>
      <c r="B13911" s="15" t="s">
        <v>27363</v>
      </c>
      <c r="C13911" s="16">
        <f>64.7/(1+B2)</f>
        <v>64.7</v>
      </c>
      <c r="D13911" s="17" t="s">
        <v>11</v>
      </c>
      <c r="E13911" s="17"/>
      <c r="F13911" s="18"/>
      <c r="G13911" s="36" t="str">
        <f>IF(ISNUMBER(F13911),C13911*F13911,"")</f>
        <v/>
      </c>
    </row>
    <row r="13912" spans="1:7" ht="12" customHeight="1" outlineLevel="3" x14ac:dyDescent="0.2">
      <c r="A13912" s="14" t="s">
        <v>27364</v>
      </c>
      <c r="B13912" s="15" t="s">
        <v>27365</v>
      </c>
      <c r="C13912" s="16">
        <f>66.01/(1+B2)</f>
        <v>66.010000000000005</v>
      </c>
      <c r="D13912" s="17" t="s">
        <v>11</v>
      </c>
      <c r="E13912" s="17"/>
      <c r="F13912" s="18"/>
      <c r="G13912" s="36" t="str">
        <f>IF(ISNUMBER(F13912),C13912*F13912,"")</f>
        <v/>
      </c>
    </row>
    <row r="13913" spans="1:7" ht="12" customHeight="1" outlineLevel="3" x14ac:dyDescent="0.2">
      <c r="A13913" s="14" t="s">
        <v>27366</v>
      </c>
      <c r="B13913" s="15" t="s">
        <v>27367</v>
      </c>
      <c r="C13913" s="16">
        <f>68.29/(1+B2)</f>
        <v>68.290000000000006</v>
      </c>
      <c r="D13913" s="17" t="s">
        <v>14</v>
      </c>
      <c r="E13913" s="17"/>
      <c r="F13913" s="18"/>
      <c r="G13913" s="36" t="str">
        <f>IF(ISNUMBER(F13913),C13913*F13913,"")</f>
        <v/>
      </c>
    </row>
    <row r="13914" spans="1:7" ht="12" customHeight="1" outlineLevel="3" x14ac:dyDescent="0.2">
      <c r="A13914" s="14" t="s">
        <v>27368</v>
      </c>
      <c r="B13914" s="15" t="s">
        <v>27369</v>
      </c>
      <c r="C13914" s="16">
        <f>96.43/(1+B2)</f>
        <v>96.43</v>
      </c>
      <c r="D13914" s="17" t="s">
        <v>11</v>
      </c>
      <c r="E13914" s="17"/>
      <c r="F13914" s="18"/>
      <c r="G13914" s="36" t="str">
        <f>IF(ISNUMBER(F13914),C13914*F13914,"")</f>
        <v/>
      </c>
    </row>
    <row r="13915" spans="1:7" ht="12" customHeight="1" outlineLevel="3" x14ac:dyDescent="0.2">
      <c r="A13915" s="14" t="s">
        <v>27370</v>
      </c>
      <c r="B13915" s="15" t="s">
        <v>27371</v>
      </c>
      <c r="C13915" s="16">
        <f>72.43/(1+B2)</f>
        <v>72.430000000000007</v>
      </c>
      <c r="D13915" s="17" t="s">
        <v>11</v>
      </c>
      <c r="E13915" s="17"/>
      <c r="F13915" s="18"/>
      <c r="G13915" s="36" t="str">
        <f>IF(ISNUMBER(F13915),C13915*F13915,"")</f>
        <v/>
      </c>
    </row>
    <row r="13916" spans="1:7" ht="12" customHeight="1" outlineLevel="3" x14ac:dyDescent="0.2">
      <c r="A13916" s="14" t="s">
        <v>27372</v>
      </c>
      <c r="B13916" s="15" t="s">
        <v>27373</v>
      </c>
      <c r="C13916" s="16">
        <f>81.46/(1+B2)</f>
        <v>81.459999999999994</v>
      </c>
      <c r="D13916" s="17" t="s">
        <v>11</v>
      </c>
      <c r="E13916" s="17"/>
      <c r="F13916" s="18"/>
      <c r="G13916" s="36" t="str">
        <f>IF(ISNUMBER(F13916),C13916*F13916,"")</f>
        <v/>
      </c>
    </row>
    <row r="13917" spans="1:7" ht="12" customHeight="1" outlineLevel="3" x14ac:dyDescent="0.2">
      <c r="A13917" s="14" t="s">
        <v>27374</v>
      </c>
      <c r="B13917" s="15" t="s">
        <v>27375</v>
      </c>
      <c r="C13917" s="16">
        <f>83.87/(1+B2)</f>
        <v>83.87</v>
      </c>
      <c r="D13917" s="17" t="s">
        <v>11</v>
      </c>
      <c r="E13917" s="17"/>
      <c r="F13917" s="18"/>
      <c r="G13917" s="36" t="str">
        <f>IF(ISNUMBER(F13917),C13917*F13917,"")</f>
        <v/>
      </c>
    </row>
    <row r="13918" spans="1:7" ht="12" customHeight="1" outlineLevel="3" x14ac:dyDescent="0.2">
      <c r="A13918" s="14" t="s">
        <v>27376</v>
      </c>
      <c r="B13918" s="15" t="s">
        <v>27377</v>
      </c>
      <c r="C13918" s="16">
        <f>89.85/(1+B2)</f>
        <v>89.85</v>
      </c>
      <c r="D13918" s="17" t="s">
        <v>11</v>
      </c>
      <c r="E13918" s="17"/>
      <c r="F13918" s="18"/>
      <c r="G13918" s="36" t="str">
        <f>IF(ISNUMBER(F13918),C13918*F13918,"")</f>
        <v/>
      </c>
    </row>
    <row r="13919" spans="1:7" ht="12" customHeight="1" outlineLevel="3" x14ac:dyDescent="0.2">
      <c r="A13919" s="14" t="s">
        <v>27378</v>
      </c>
      <c r="B13919" s="15" t="s">
        <v>27379</v>
      </c>
      <c r="C13919" s="16">
        <f>105.42/(1+B2)</f>
        <v>105.42</v>
      </c>
      <c r="D13919" s="17" t="s">
        <v>11</v>
      </c>
      <c r="E13919" s="17"/>
      <c r="F13919" s="18"/>
      <c r="G13919" s="36" t="str">
        <f>IF(ISNUMBER(F13919),C13919*F13919,"")</f>
        <v/>
      </c>
    </row>
    <row r="13920" spans="1:7" ht="12" customHeight="1" outlineLevel="3" x14ac:dyDescent="0.2">
      <c r="A13920" s="14" t="s">
        <v>27380</v>
      </c>
      <c r="B13920" s="15" t="s">
        <v>27381</v>
      </c>
      <c r="C13920" s="16">
        <f>107.83/(1+B2)</f>
        <v>107.83</v>
      </c>
      <c r="D13920" s="17" t="s">
        <v>11</v>
      </c>
      <c r="E13920" s="17"/>
      <c r="F13920" s="18"/>
      <c r="G13920" s="36" t="str">
        <f>IF(ISNUMBER(F13920),C13920*F13920,"")</f>
        <v/>
      </c>
    </row>
    <row r="13921" spans="1:7" ht="12" customHeight="1" outlineLevel="3" x14ac:dyDescent="0.2">
      <c r="A13921" s="14" t="s">
        <v>27382</v>
      </c>
      <c r="B13921" s="15" t="s">
        <v>27383</v>
      </c>
      <c r="C13921" s="16">
        <f>135.04/(1+B2)</f>
        <v>135.04</v>
      </c>
      <c r="D13921" s="17" t="s">
        <v>11</v>
      </c>
      <c r="E13921" s="17"/>
      <c r="F13921" s="18"/>
      <c r="G13921" s="36" t="str">
        <f>IF(ISNUMBER(F13921),C13921*F13921,"")</f>
        <v/>
      </c>
    </row>
    <row r="13922" spans="1:7" ht="12" customHeight="1" outlineLevel="3" x14ac:dyDescent="0.2">
      <c r="A13922" s="14" t="s">
        <v>27384</v>
      </c>
      <c r="B13922" s="15" t="s">
        <v>27385</v>
      </c>
      <c r="C13922" s="16">
        <f>122.2/(1+B2)</f>
        <v>122.2</v>
      </c>
      <c r="D13922" s="17" t="s">
        <v>11</v>
      </c>
      <c r="E13922" s="17"/>
      <c r="F13922" s="18"/>
      <c r="G13922" s="36" t="str">
        <f>IF(ISNUMBER(F13922),C13922*F13922,"")</f>
        <v/>
      </c>
    </row>
    <row r="13923" spans="1:7" ht="12" customHeight="1" outlineLevel="3" x14ac:dyDescent="0.2">
      <c r="A13923" s="14" t="s">
        <v>27386</v>
      </c>
      <c r="B13923" s="15" t="s">
        <v>27387</v>
      </c>
      <c r="C13923" s="16">
        <f>154.72/(1+B2)</f>
        <v>154.72</v>
      </c>
      <c r="D13923" s="17" t="s">
        <v>11</v>
      </c>
      <c r="E13923" s="17"/>
      <c r="F13923" s="18"/>
      <c r="G13923" s="36" t="str">
        <f>IF(ISNUMBER(F13923),C13923*F13923,"")</f>
        <v/>
      </c>
    </row>
    <row r="13924" spans="1:7" ht="12" customHeight="1" outlineLevel="3" x14ac:dyDescent="0.2">
      <c r="A13924" s="14" t="s">
        <v>27388</v>
      </c>
      <c r="B13924" s="15" t="s">
        <v>27389</v>
      </c>
      <c r="C13924" s="16">
        <f>189.11/(1+B2)</f>
        <v>189.11</v>
      </c>
      <c r="D13924" s="17" t="s">
        <v>11</v>
      </c>
      <c r="E13924" s="17"/>
      <c r="F13924" s="18"/>
      <c r="G13924" s="36" t="str">
        <f>IF(ISNUMBER(F13924),C13924*F13924,"")</f>
        <v/>
      </c>
    </row>
    <row r="13925" spans="1:7" ht="12" customHeight="1" outlineLevel="3" x14ac:dyDescent="0.2">
      <c r="A13925" s="14" t="s">
        <v>27390</v>
      </c>
      <c r="B13925" s="15" t="s">
        <v>27391</v>
      </c>
      <c r="C13925" s="16">
        <f>211.83/(1+B2)</f>
        <v>211.83</v>
      </c>
      <c r="D13925" s="17" t="s">
        <v>11</v>
      </c>
      <c r="E13925" s="17"/>
      <c r="F13925" s="18"/>
      <c r="G13925" s="36" t="str">
        <f>IF(ISNUMBER(F13925),C13925*F13925,"")</f>
        <v/>
      </c>
    </row>
    <row r="13926" spans="1:7" ht="12" customHeight="1" outlineLevel="3" x14ac:dyDescent="0.2">
      <c r="A13926" s="14" t="s">
        <v>27392</v>
      </c>
      <c r="B13926" s="15" t="s">
        <v>27393</v>
      </c>
      <c r="C13926" s="16">
        <f>492.08/(1+B2)</f>
        <v>492.08</v>
      </c>
      <c r="D13926" s="17" t="s">
        <v>11</v>
      </c>
      <c r="E13926" s="17"/>
      <c r="F13926" s="18"/>
      <c r="G13926" s="36" t="str">
        <f>IF(ISNUMBER(F13926),C13926*F13926,"")</f>
        <v/>
      </c>
    </row>
    <row r="13927" spans="1:7" ht="12" customHeight="1" outlineLevel="3" x14ac:dyDescent="0.2">
      <c r="A13927" s="14" t="s">
        <v>27394</v>
      </c>
      <c r="B13927" s="15" t="s">
        <v>27395</v>
      </c>
      <c r="C13927" s="16">
        <f>728.59/(1+B2)</f>
        <v>728.59</v>
      </c>
      <c r="D13927" s="17" t="s">
        <v>11</v>
      </c>
      <c r="E13927" s="17"/>
      <c r="F13927" s="18"/>
      <c r="G13927" s="36" t="str">
        <f>IF(ISNUMBER(F13927),C13927*F13927,"")</f>
        <v/>
      </c>
    </row>
    <row r="13928" spans="1:7" ht="12" customHeight="1" outlineLevel="3" x14ac:dyDescent="0.2">
      <c r="A13928" s="14" t="s">
        <v>27396</v>
      </c>
      <c r="B13928" s="15" t="s">
        <v>27397</v>
      </c>
      <c r="C13928" s="16">
        <f>264/(1+B2)</f>
        <v>264</v>
      </c>
      <c r="D13928" s="17" t="s">
        <v>11</v>
      </c>
      <c r="E13928" s="17"/>
      <c r="F13928" s="18"/>
      <c r="G13928" s="36" t="str">
        <f>IF(ISNUMBER(F13928),C13928*F13928,"")</f>
        <v/>
      </c>
    </row>
    <row r="13929" spans="1:7" ht="12" customHeight="1" outlineLevel="3" x14ac:dyDescent="0.2">
      <c r="A13929" s="14" t="s">
        <v>27398</v>
      </c>
      <c r="B13929" s="15" t="s">
        <v>27399</v>
      </c>
      <c r="C13929" s="16">
        <f>261.85/(1+B2)</f>
        <v>261.85000000000002</v>
      </c>
      <c r="D13929" s="17" t="s">
        <v>11</v>
      </c>
      <c r="E13929" s="17" t="s">
        <v>11</v>
      </c>
      <c r="F13929" s="18"/>
      <c r="G13929" s="36" t="str">
        <f>IF(ISNUMBER(F13929),C13929*F13929,"")</f>
        <v/>
      </c>
    </row>
    <row r="13930" spans="1:7" ht="12" customHeight="1" outlineLevel="3" x14ac:dyDescent="0.2">
      <c r="A13930" s="14" t="s">
        <v>27400</v>
      </c>
      <c r="B13930" s="15" t="s">
        <v>27401</v>
      </c>
      <c r="C13930" s="16">
        <f>296.07/(1+B2)</f>
        <v>296.07</v>
      </c>
      <c r="D13930" s="17" t="s">
        <v>11</v>
      </c>
      <c r="E13930" s="17" t="s">
        <v>11</v>
      </c>
      <c r="F13930" s="18"/>
      <c r="G13930" s="36" t="str">
        <f>IF(ISNUMBER(F13930),C13930*F13930,"")</f>
        <v/>
      </c>
    </row>
    <row r="13931" spans="1:7" ht="12" customHeight="1" outlineLevel="3" x14ac:dyDescent="0.2">
      <c r="A13931" s="14" t="s">
        <v>27402</v>
      </c>
      <c r="B13931" s="15" t="s">
        <v>27403</v>
      </c>
      <c r="C13931" s="16">
        <f>344.66/(1+B2)</f>
        <v>344.66</v>
      </c>
      <c r="D13931" s="17" t="s">
        <v>11</v>
      </c>
      <c r="E13931" s="17" t="s">
        <v>11</v>
      </c>
      <c r="F13931" s="18"/>
      <c r="G13931" s="36" t="str">
        <f>IF(ISNUMBER(F13931),C13931*F13931,"")</f>
        <v/>
      </c>
    </row>
    <row r="13932" spans="1:7" ht="12" customHeight="1" outlineLevel="3" x14ac:dyDescent="0.2">
      <c r="A13932" s="14" t="s">
        <v>27404</v>
      </c>
      <c r="B13932" s="15" t="s">
        <v>27405</v>
      </c>
      <c r="C13932" s="16">
        <f>204.27/(1+B2)</f>
        <v>204.27</v>
      </c>
      <c r="D13932" s="17" t="s">
        <v>11</v>
      </c>
      <c r="E13932" s="17" t="s">
        <v>11</v>
      </c>
      <c r="F13932" s="18"/>
      <c r="G13932" s="36" t="str">
        <f>IF(ISNUMBER(F13932),C13932*F13932,"")</f>
        <v/>
      </c>
    </row>
    <row r="13933" spans="1:7" ht="12" customHeight="1" outlineLevel="3" x14ac:dyDescent="0.2">
      <c r="A13933" s="14" t="s">
        <v>27406</v>
      </c>
      <c r="B13933" s="15" t="s">
        <v>27407</v>
      </c>
      <c r="C13933" s="16">
        <f>261.21/(1+B2)</f>
        <v>261.20999999999998</v>
      </c>
      <c r="D13933" s="17" t="s">
        <v>11</v>
      </c>
      <c r="E13933" s="17" t="s">
        <v>11</v>
      </c>
      <c r="F13933" s="18"/>
      <c r="G13933" s="36" t="str">
        <f>IF(ISNUMBER(F13933),C13933*F13933,"")</f>
        <v/>
      </c>
    </row>
    <row r="13934" spans="1:7" ht="12" customHeight="1" outlineLevel="3" x14ac:dyDescent="0.2">
      <c r="A13934" s="14" t="s">
        <v>27408</v>
      </c>
      <c r="B13934" s="15" t="s">
        <v>27409</v>
      </c>
      <c r="C13934" s="16">
        <f>286.79/(1+B2)</f>
        <v>286.79000000000002</v>
      </c>
      <c r="D13934" s="17" t="s">
        <v>11</v>
      </c>
      <c r="E13934" s="17" t="s">
        <v>11</v>
      </c>
      <c r="F13934" s="18"/>
      <c r="G13934" s="36" t="str">
        <f>IF(ISNUMBER(F13934),C13934*F13934,"")</f>
        <v/>
      </c>
    </row>
    <row r="13935" spans="1:7" ht="12" customHeight="1" outlineLevel="3" x14ac:dyDescent="0.2">
      <c r="A13935" s="14" t="s">
        <v>27410</v>
      </c>
      <c r="B13935" s="15" t="s">
        <v>27411</v>
      </c>
      <c r="C13935" s="16">
        <f>189.77/(1+B2)</f>
        <v>189.77</v>
      </c>
      <c r="D13935" s="17" t="s">
        <v>11</v>
      </c>
      <c r="E13935" s="17" t="s">
        <v>14</v>
      </c>
      <c r="F13935" s="18"/>
      <c r="G13935" s="36" t="str">
        <f>IF(ISNUMBER(F13935),C13935*F13935,"")</f>
        <v/>
      </c>
    </row>
    <row r="13936" spans="1:7" ht="12" customHeight="1" outlineLevel="3" x14ac:dyDescent="0.2">
      <c r="A13936" s="14" t="s">
        <v>27412</v>
      </c>
      <c r="B13936" s="15" t="s">
        <v>27413</v>
      </c>
      <c r="C13936" s="16">
        <f>486.24/(1+B2)</f>
        <v>486.24</v>
      </c>
      <c r="D13936" s="17" t="s">
        <v>11</v>
      </c>
      <c r="E13936" s="17" t="s">
        <v>11</v>
      </c>
      <c r="F13936" s="18"/>
      <c r="G13936" s="36" t="str">
        <f>IF(ISNUMBER(F13936),C13936*F13936,"")</f>
        <v/>
      </c>
    </row>
    <row r="13937" spans="1:7" ht="12" customHeight="1" outlineLevel="3" x14ac:dyDescent="0.2">
      <c r="A13937" s="14" t="s">
        <v>27414</v>
      </c>
      <c r="B13937" s="15" t="s">
        <v>27415</v>
      </c>
      <c r="C13937" s="16">
        <f>541.47/(1+B2)</f>
        <v>541.47</v>
      </c>
      <c r="D13937" s="17" t="s">
        <v>11</v>
      </c>
      <c r="E13937" s="17" t="s">
        <v>11</v>
      </c>
      <c r="F13937" s="18"/>
      <c r="G13937" s="36" t="str">
        <f>IF(ISNUMBER(F13937),C13937*F13937,"")</f>
        <v/>
      </c>
    </row>
    <row r="13938" spans="1:7" ht="12" customHeight="1" outlineLevel="3" x14ac:dyDescent="0.2">
      <c r="A13938" s="14" t="s">
        <v>27416</v>
      </c>
      <c r="B13938" s="15" t="s">
        <v>27417</v>
      </c>
      <c r="C13938" s="16">
        <f>379.8/(1+B2)</f>
        <v>379.8</v>
      </c>
      <c r="D13938" s="17" t="s">
        <v>11</v>
      </c>
      <c r="E13938" s="17" t="s">
        <v>11</v>
      </c>
      <c r="F13938" s="18"/>
      <c r="G13938" s="36" t="str">
        <f>IF(ISNUMBER(F13938),C13938*F13938,"")</f>
        <v/>
      </c>
    </row>
    <row r="13939" spans="1:7" ht="12" customHeight="1" outlineLevel="3" x14ac:dyDescent="0.2">
      <c r="A13939" s="14" t="s">
        <v>27418</v>
      </c>
      <c r="B13939" s="15" t="s">
        <v>27419</v>
      </c>
      <c r="C13939" s="16">
        <f>410.01/(1+B2)</f>
        <v>410.01</v>
      </c>
      <c r="D13939" s="17" t="s">
        <v>11</v>
      </c>
      <c r="E13939" s="17" t="s">
        <v>11</v>
      </c>
      <c r="F13939" s="18"/>
      <c r="G13939" s="36" t="str">
        <f>IF(ISNUMBER(F13939),C13939*F13939,"")</f>
        <v/>
      </c>
    </row>
    <row r="13940" spans="1:7" ht="12" customHeight="1" outlineLevel="3" x14ac:dyDescent="0.2">
      <c r="A13940" s="14" t="s">
        <v>27420</v>
      </c>
      <c r="B13940" s="15" t="s">
        <v>27421</v>
      </c>
      <c r="C13940" s="16">
        <f>729.03/(1+B2)</f>
        <v>729.03</v>
      </c>
      <c r="D13940" s="17" t="s">
        <v>11</v>
      </c>
      <c r="E13940" s="17"/>
      <c r="F13940" s="18"/>
      <c r="G13940" s="36" t="str">
        <f>IF(ISNUMBER(F13940),C13940*F13940,"")</f>
        <v/>
      </c>
    </row>
    <row r="13941" spans="1:7" ht="12" customHeight="1" outlineLevel="3" x14ac:dyDescent="0.2">
      <c r="A13941" s="14" t="s">
        <v>27422</v>
      </c>
      <c r="B13941" s="15" t="s">
        <v>27423</v>
      </c>
      <c r="C13941" s="16">
        <f>833.11/(1+B2)</f>
        <v>833.11</v>
      </c>
      <c r="D13941" s="17" t="s">
        <v>11</v>
      </c>
      <c r="E13941" s="17" t="s">
        <v>11</v>
      </c>
      <c r="F13941" s="18"/>
      <c r="G13941" s="36" t="str">
        <f>IF(ISNUMBER(F13941),C13941*F13941,"")</f>
        <v/>
      </c>
    </row>
    <row r="13942" spans="1:7" ht="12" customHeight="1" outlineLevel="3" x14ac:dyDescent="0.2">
      <c r="A13942" s="14" t="s">
        <v>27424</v>
      </c>
      <c r="B13942" s="15" t="s">
        <v>27425</v>
      </c>
      <c r="C13942" s="19">
        <f>1002.12/(1+B2)</f>
        <v>1002.12</v>
      </c>
      <c r="D13942" s="17" t="s">
        <v>11</v>
      </c>
      <c r="E13942" s="17" t="s">
        <v>11</v>
      </c>
      <c r="F13942" s="18"/>
      <c r="G13942" s="36" t="str">
        <f>IF(ISNUMBER(F13942),C13942*F13942,"")</f>
        <v/>
      </c>
    </row>
    <row r="13943" spans="1:7" ht="12" customHeight="1" outlineLevel="3" x14ac:dyDescent="0.2">
      <c r="A13943" s="14" t="s">
        <v>27426</v>
      </c>
      <c r="B13943" s="15" t="s">
        <v>27427</v>
      </c>
      <c r="C13943" s="19">
        <f>1085.44/(1+B2)</f>
        <v>1085.44</v>
      </c>
      <c r="D13943" s="17" t="s">
        <v>11</v>
      </c>
      <c r="E13943" s="17" t="s">
        <v>11</v>
      </c>
      <c r="F13943" s="18"/>
      <c r="G13943" s="36" t="str">
        <f>IF(ISNUMBER(F13943),C13943*F13943,"")</f>
        <v/>
      </c>
    </row>
    <row r="13944" spans="1:7" s="1" customFormat="1" ht="12.95" customHeight="1" outlineLevel="2" x14ac:dyDescent="0.2">
      <c r="A13944" s="20"/>
      <c r="B13944" s="21" t="s">
        <v>27428</v>
      </c>
      <c r="C13944" s="22"/>
      <c r="D13944" s="22"/>
      <c r="E13944" s="22"/>
      <c r="F13944" s="22"/>
      <c r="G13944" s="37"/>
    </row>
    <row r="13945" spans="1:7" ht="24" customHeight="1" outlineLevel="3" x14ac:dyDescent="0.2">
      <c r="A13945" s="14" t="s">
        <v>27429</v>
      </c>
      <c r="B13945" s="15" t="s">
        <v>27430</v>
      </c>
      <c r="C13945" s="16">
        <f>338.42/(1+B2)</f>
        <v>338.42</v>
      </c>
      <c r="D13945" s="17" t="s">
        <v>11</v>
      </c>
      <c r="E13945" s="17"/>
      <c r="F13945" s="18"/>
      <c r="G13945" s="36" t="str">
        <f>IF(ISNUMBER(F13945),C13945*F13945,"")</f>
        <v/>
      </c>
    </row>
    <row r="13946" spans="1:7" ht="24" customHeight="1" outlineLevel="3" x14ac:dyDescent="0.2">
      <c r="A13946" s="14" t="s">
        <v>27431</v>
      </c>
      <c r="B13946" s="15" t="s">
        <v>27432</v>
      </c>
      <c r="C13946" s="16">
        <f>362.79/(1+B2)</f>
        <v>362.79</v>
      </c>
      <c r="D13946" s="17" t="s">
        <v>11</v>
      </c>
      <c r="E13946" s="17"/>
      <c r="F13946" s="18"/>
      <c r="G13946" s="36" t="str">
        <f>IF(ISNUMBER(F13946),C13946*F13946,"")</f>
        <v/>
      </c>
    </row>
    <row r="13947" spans="1:7" ht="24" customHeight="1" outlineLevel="3" x14ac:dyDescent="0.2">
      <c r="A13947" s="14" t="s">
        <v>27433</v>
      </c>
      <c r="B13947" s="15" t="s">
        <v>27434</v>
      </c>
      <c r="C13947" s="16">
        <f>463.94/(1+B2)</f>
        <v>463.94</v>
      </c>
      <c r="D13947" s="17" t="s">
        <v>11</v>
      </c>
      <c r="E13947" s="17"/>
      <c r="F13947" s="18"/>
      <c r="G13947" s="36" t="str">
        <f>IF(ISNUMBER(F13947),C13947*F13947,"")</f>
        <v/>
      </c>
    </row>
    <row r="13948" spans="1:7" ht="24" customHeight="1" outlineLevel="3" x14ac:dyDescent="0.2">
      <c r="A13948" s="14" t="s">
        <v>27435</v>
      </c>
      <c r="B13948" s="15" t="s">
        <v>27436</v>
      </c>
      <c r="C13948" s="16">
        <f>426.38/(1+B2)</f>
        <v>426.38</v>
      </c>
      <c r="D13948" s="17" t="s">
        <v>11</v>
      </c>
      <c r="E13948" s="17"/>
      <c r="F13948" s="18"/>
      <c r="G13948" s="36" t="str">
        <f>IF(ISNUMBER(F13948),C13948*F13948,"")</f>
        <v/>
      </c>
    </row>
    <row r="13949" spans="1:7" ht="24" customHeight="1" outlineLevel="3" x14ac:dyDescent="0.2">
      <c r="A13949" s="14" t="s">
        <v>27437</v>
      </c>
      <c r="B13949" s="15" t="s">
        <v>27438</v>
      </c>
      <c r="C13949" s="16">
        <f>564.65/(1+B2)</f>
        <v>564.65</v>
      </c>
      <c r="D13949" s="17" t="s">
        <v>11</v>
      </c>
      <c r="E13949" s="17"/>
      <c r="F13949" s="18"/>
      <c r="G13949" s="36" t="str">
        <f>IF(ISNUMBER(F13949),C13949*F13949,"")</f>
        <v/>
      </c>
    </row>
    <row r="13950" spans="1:7" ht="24" customHeight="1" outlineLevel="3" x14ac:dyDescent="0.2">
      <c r="A13950" s="14" t="s">
        <v>27439</v>
      </c>
      <c r="B13950" s="15" t="s">
        <v>27440</v>
      </c>
      <c r="C13950" s="16">
        <f>412.19/(1+B2)</f>
        <v>412.19</v>
      </c>
      <c r="D13950" s="17" t="s">
        <v>11</v>
      </c>
      <c r="E13950" s="17"/>
      <c r="F13950" s="18"/>
      <c r="G13950" s="36" t="str">
        <f>IF(ISNUMBER(F13950),C13950*F13950,"")</f>
        <v/>
      </c>
    </row>
    <row r="13951" spans="1:7" ht="24" customHeight="1" outlineLevel="3" x14ac:dyDescent="0.2">
      <c r="A13951" s="14" t="s">
        <v>27441</v>
      </c>
      <c r="B13951" s="15" t="s">
        <v>27442</v>
      </c>
      <c r="C13951" s="16">
        <f>439.24/(1+B2)</f>
        <v>439.24</v>
      </c>
      <c r="D13951" s="17" t="s">
        <v>11</v>
      </c>
      <c r="E13951" s="17"/>
      <c r="F13951" s="18"/>
      <c r="G13951" s="36" t="str">
        <f>IF(ISNUMBER(F13951),C13951*F13951,"")</f>
        <v/>
      </c>
    </row>
    <row r="13952" spans="1:7" ht="24" customHeight="1" outlineLevel="3" x14ac:dyDescent="0.2">
      <c r="A13952" s="14" t="s">
        <v>27443</v>
      </c>
      <c r="B13952" s="15" t="s">
        <v>27444</v>
      </c>
      <c r="C13952" s="16">
        <f>623.41/(1+B2)</f>
        <v>623.41</v>
      </c>
      <c r="D13952" s="17" t="s">
        <v>11</v>
      </c>
      <c r="E13952" s="17"/>
      <c r="F13952" s="18"/>
      <c r="G13952" s="36" t="str">
        <f>IF(ISNUMBER(F13952),C13952*F13952,"")</f>
        <v/>
      </c>
    </row>
    <row r="13953" spans="1:7" ht="24" customHeight="1" outlineLevel="3" x14ac:dyDescent="0.2">
      <c r="A13953" s="14" t="s">
        <v>27445</v>
      </c>
      <c r="B13953" s="15" t="s">
        <v>27446</v>
      </c>
      <c r="C13953" s="16">
        <f>751.66/(1+B2)</f>
        <v>751.66</v>
      </c>
      <c r="D13953" s="17" t="s">
        <v>11</v>
      </c>
      <c r="E13953" s="17"/>
      <c r="F13953" s="18"/>
      <c r="G13953" s="36" t="str">
        <f>IF(ISNUMBER(F13953),C13953*F13953,"")</f>
        <v/>
      </c>
    </row>
    <row r="13954" spans="1:7" ht="24" customHeight="1" outlineLevel="3" x14ac:dyDescent="0.2">
      <c r="A13954" s="14" t="s">
        <v>27447</v>
      </c>
      <c r="B13954" s="15" t="s">
        <v>27448</v>
      </c>
      <c r="C13954" s="19">
        <f>1339.76/(1+B2)</f>
        <v>1339.76</v>
      </c>
      <c r="D13954" s="17" t="s">
        <v>11</v>
      </c>
      <c r="E13954" s="17"/>
      <c r="F13954" s="18"/>
      <c r="G13954" s="36" t="str">
        <f>IF(ISNUMBER(F13954),C13954*F13954,"")</f>
        <v/>
      </c>
    </row>
    <row r="13955" spans="1:7" ht="24" customHeight="1" outlineLevel="3" x14ac:dyDescent="0.2">
      <c r="A13955" s="14" t="s">
        <v>27449</v>
      </c>
      <c r="B13955" s="15" t="s">
        <v>27450</v>
      </c>
      <c r="C13955" s="16">
        <f>201.32/(1+B2)</f>
        <v>201.32</v>
      </c>
      <c r="D13955" s="17" t="s">
        <v>11</v>
      </c>
      <c r="E13955" s="17"/>
      <c r="F13955" s="18"/>
      <c r="G13955" s="36" t="str">
        <f>IF(ISNUMBER(F13955),C13955*F13955,"")</f>
        <v/>
      </c>
    </row>
    <row r="13956" spans="1:7" ht="24" customHeight="1" outlineLevel="3" x14ac:dyDescent="0.2">
      <c r="A13956" s="14" t="s">
        <v>27451</v>
      </c>
      <c r="B13956" s="15" t="s">
        <v>27452</v>
      </c>
      <c r="C13956" s="16">
        <f>854.03/(1+B2)</f>
        <v>854.03</v>
      </c>
      <c r="D13956" s="17" t="s">
        <v>11</v>
      </c>
      <c r="E13956" s="17"/>
      <c r="F13956" s="18"/>
      <c r="G13956" s="36" t="str">
        <f>IF(ISNUMBER(F13956),C13956*F13956,"")</f>
        <v/>
      </c>
    </row>
    <row r="13957" spans="1:7" ht="24" customHeight="1" outlineLevel="3" x14ac:dyDescent="0.2">
      <c r="A13957" s="14" t="s">
        <v>27453</v>
      </c>
      <c r="B13957" s="15" t="s">
        <v>27454</v>
      </c>
      <c r="C13957" s="16">
        <f>909.82/(1+B2)</f>
        <v>909.82</v>
      </c>
      <c r="D13957" s="17" t="s">
        <v>11</v>
      </c>
      <c r="E13957" s="17"/>
      <c r="F13957" s="18"/>
      <c r="G13957" s="36" t="str">
        <f>IF(ISNUMBER(F13957),C13957*F13957,"")</f>
        <v/>
      </c>
    </row>
    <row r="13958" spans="1:7" ht="24" customHeight="1" outlineLevel="3" x14ac:dyDescent="0.2">
      <c r="A13958" s="14" t="s">
        <v>27455</v>
      </c>
      <c r="B13958" s="15" t="s">
        <v>27456</v>
      </c>
      <c r="C13958" s="16">
        <f>839.35/(1+B2)</f>
        <v>839.35</v>
      </c>
      <c r="D13958" s="17" t="s">
        <v>11</v>
      </c>
      <c r="E13958" s="17"/>
      <c r="F13958" s="18"/>
      <c r="G13958" s="36" t="str">
        <f>IF(ISNUMBER(F13958),C13958*F13958,"")</f>
        <v/>
      </c>
    </row>
    <row r="13959" spans="1:7" ht="24" customHeight="1" outlineLevel="3" x14ac:dyDescent="0.2">
      <c r="A13959" s="14" t="s">
        <v>27457</v>
      </c>
      <c r="B13959" s="15" t="s">
        <v>27458</v>
      </c>
      <c r="C13959" s="16">
        <f>266.47/(1+B2)</f>
        <v>266.47000000000003</v>
      </c>
      <c r="D13959" s="17" t="s">
        <v>11</v>
      </c>
      <c r="E13959" s="17"/>
      <c r="F13959" s="18"/>
      <c r="G13959" s="36" t="str">
        <f>IF(ISNUMBER(F13959),C13959*F13959,"")</f>
        <v/>
      </c>
    </row>
    <row r="13960" spans="1:7" ht="24" customHeight="1" outlineLevel="3" x14ac:dyDescent="0.2">
      <c r="A13960" s="14" t="s">
        <v>27459</v>
      </c>
      <c r="B13960" s="15" t="s">
        <v>27460</v>
      </c>
      <c r="C13960" s="16">
        <f>622.69/(1+B2)</f>
        <v>622.69000000000005</v>
      </c>
      <c r="D13960" s="17" t="s">
        <v>11</v>
      </c>
      <c r="E13960" s="17"/>
      <c r="F13960" s="18"/>
      <c r="G13960" s="36" t="str">
        <f>IF(ISNUMBER(F13960),C13960*F13960,"")</f>
        <v/>
      </c>
    </row>
    <row r="13961" spans="1:7" ht="24" customHeight="1" outlineLevel="3" x14ac:dyDescent="0.2">
      <c r="A13961" s="14" t="s">
        <v>27461</v>
      </c>
      <c r="B13961" s="15" t="s">
        <v>27462</v>
      </c>
      <c r="C13961" s="16">
        <f>678.34/(1+B2)</f>
        <v>678.34</v>
      </c>
      <c r="D13961" s="17" t="s">
        <v>11</v>
      </c>
      <c r="E13961" s="17"/>
      <c r="F13961" s="18"/>
      <c r="G13961" s="36" t="str">
        <f>IF(ISNUMBER(F13961),C13961*F13961,"")</f>
        <v/>
      </c>
    </row>
    <row r="13962" spans="1:7" ht="24" customHeight="1" outlineLevel="3" x14ac:dyDescent="0.2">
      <c r="A13962" s="14" t="s">
        <v>27463</v>
      </c>
      <c r="B13962" s="15" t="s">
        <v>27464</v>
      </c>
      <c r="C13962" s="16">
        <f>284.92/(1+B2)</f>
        <v>284.92</v>
      </c>
      <c r="D13962" s="17" t="s">
        <v>11</v>
      </c>
      <c r="E13962" s="17"/>
      <c r="F13962" s="18"/>
      <c r="G13962" s="36" t="str">
        <f>IF(ISNUMBER(F13962),C13962*F13962,"")</f>
        <v/>
      </c>
    </row>
    <row r="13963" spans="1:7" ht="24" customHeight="1" outlineLevel="3" x14ac:dyDescent="0.2">
      <c r="A13963" s="14" t="s">
        <v>27465</v>
      </c>
      <c r="B13963" s="15" t="s">
        <v>27466</v>
      </c>
      <c r="C13963" s="16">
        <f>363.19/(1+B2)</f>
        <v>363.19</v>
      </c>
      <c r="D13963" s="17" t="s">
        <v>11</v>
      </c>
      <c r="E13963" s="17"/>
      <c r="F13963" s="18"/>
      <c r="G13963" s="36" t="str">
        <f>IF(ISNUMBER(F13963),C13963*F13963,"")</f>
        <v/>
      </c>
    </row>
    <row r="13964" spans="1:7" ht="24" customHeight="1" outlineLevel="3" x14ac:dyDescent="0.2">
      <c r="A13964" s="14" t="s">
        <v>27467</v>
      </c>
      <c r="B13964" s="15" t="s">
        <v>27468</v>
      </c>
      <c r="C13964" s="16">
        <f>152.18/(1+B2)</f>
        <v>152.18</v>
      </c>
      <c r="D13964" s="17" t="s">
        <v>11</v>
      </c>
      <c r="E13964" s="17"/>
      <c r="F13964" s="18"/>
      <c r="G13964" s="36" t="str">
        <f>IF(ISNUMBER(F13964),C13964*F13964,"")</f>
        <v/>
      </c>
    </row>
    <row r="13965" spans="1:7" ht="24" customHeight="1" outlineLevel="3" x14ac:dyDescent="0.2">
      <c r="A13965" s="14" t="s">
        <v>27469</v>
      </c>
      <c r="B13965" s="15" t="s">
        <v>27470</v>
      </c>
      <c r="C13965" s="16">
        <f>219.81/(1+B2)</f>
        <v>219.81</v>
      </c>
      <c r="D13965" s="17" t="s">
        <v>11</v>
      </c>
      <c r="E13965" s="17"/>
      <c r="F13965" s="18"/>
      <c r="G13965" s="36" t="str">
        <f>IF(ISNUMBER(F13965),C13965*F13965,"")</f>
        <v/>
      </c>
    </row>
    <row r="13966" spans="1:7" ht="12" customHeight="1" outlineLevel="3" x14ac:dyDescent="0.2">
      <c r="A13966" s="14" t="s">
        <v>27471</v>
      </c>
      <c r="B13966" s="15" t="s">
        <v>27472</v>
      </c>
      <c r="C13966" s="16">
        <f>220/(1+B2)</f>
        <v>220</v>
      </c>
      <c r="D13966" s="17" t="s">
        <v>11</v>
      </c>
      <c r="E13966" s="17" t="s">
        <v>11</v>
      </c>
      <c r="F13966" s="18"/>
      <c r="G13966" s="36" t="str">
        <f>IF(ISNUMBER(F13966),C13966*F13966,"")</f>
        <v/>
      </c>
    </row>
    <row r="13967" spans="1:7" ht="12" customHeight="1" outlineLevel="3" x14ac:dyDescent="0.2">
      <c r="A13967" s="14" t="s">
        <v>27473</v>
      </c>
      <c r="B13967" s="15" t="s">
        <v>27474</v>
      </c>
      <c r="C13967" s="16">
        <f>327/(1+B2)</f>
        <v>327</v>
      </c>
      <c r="D13967" s="17" t="s">
        <v>11</v>
      </c>
      <c r="E13967" s="17"/>
      <c r="F13967" s="18"/>
      <c r="G13967" s="36" t="str">
        <f>IF(ISNUMBER(F13967),C13967*F13967,"")</f>
        <v/>
      </c>
    </row>
    <row r="13968" spans="1:7" ht="12" customHeight="1" outlineLevel="3" x14ac:dyDescent="0.2">
      <c r="A13968" s="14" t="s">
        <v>27475</v>
      </c>
      <c r="B13968" s="15" t="s">
        <v>27476</v>
      </c>
      <c r="C13968" s="16">
        <f>127/(1+B2)</f>
        <v>127</v>
      </c>
      <c r="D13968" s="17" t="s">
        <v>11</v>
      </c>
      <c r="E13968" s="17"/>
      <c r="F13968" s="18"/>
      <c r="G13968" s="36" t="str">
        <f>IF(ISNUMBER(F13968),C13968*F13968,"")</f>
        <v/>
      </c>
    </row>
    <row r="13969" spans="1:7" ht="12" customHeight="1" outlineLevel="3" x14ac:dyDescent="0.2">
      <c r="A13969" s="14" t="s">
        <v>27477</v>
      </c>
      <c r="B13969" s="15" t="s">
        <v>27478</v>
      </c>
      <c r="C13969" s="16">
        <f>132/(1+B2)</f>
        <v>132</v>
      </c>
      <c r="D13969" s="17" t="s">
        <v>11</v>
      </c>
      <c r="E13969" s="17"/>
      <c r="F13969" s="18"/>
      <c r="G13969" s="36" t="str">
        <f>IF(ISNUMBER(F13969),C13969*F13969,"")</f>
        <v/>
      </c>
    </row>
    <row r="13970" spans="1:7" ht="12" customHeight="1" outlineLevel="3" x14ac:dyDescent="0.2">
      <c r="A13970" s="14" t="s">
        <v>27479</v>
      </c>
      <c r="B13970" s="15" t="s">
        <v>27480</v>
      </c>
      <c r="C13970" s="16">
        <f>138/(1+B2)</f>
        <v>138</v>
      </c>
      <c r="D13970" s="17" t="s">
        <v>14</v>
      </c>
      <c r="E13970" s="17"/>
      <c r="F13970" s="18"/>
      <c r="G13970" s="36" t="str">
        <f>IF(ISNUMBER(F13970),C13970*F13970,"")</f>
        <v/>
      </c>
    </row>
    <row r="13971" spans="1:7" ht="12" customHeight="1" outlineLevel="3" x14ac:dyDescent="0.2">
      <c r="A13971" s="14" t="s">
        <v>27481</v>
      </c>
      <c r="B13971" s="15" t="s">
        <v>27482</v>
      </c>
      <c r="C13971" s="16">
        <f>146/(1+B2)</f>
        <v>146</v>
      </c>
      <c r="D13971" s="17" t="s">
        <v>11</v>
      </c>
      <c r="E13971" s="17" t="s">
        <v>14</v>
      </c>
      <c r="F13971" s="18"/>
      <c r="G13971" s="36" t="str">
        <f>IF(ISNUMBER(F13971),C13971*F13971,"")</f>
        <v/>
      </c>
    </row>
    <row r="13972" spans="1:7" ht="12" customHeight="1" outlineLevel="3" x14ac:dyDescent="0.2">
      <c r="A13972" s="14" t="s">
        <v>27483</v>
      </c>
      <c r="B13972" s="15" t="s">
        <v>27484</v>
      </c>
      <c r="C13972" s="16">
        <f>193/(1+B2)</f>
        <v>193</v>
      </c>
      <c r="D13972" s="17" t="s">
        <v>11</v>
      </c>
      <c r="E13972" s="17" t="s">
        <v>14</v>
      </c>
      <c r="F13972" s="18"/>
      <c r="G13972" s="36" t="str">
        <f>IF(ISNUMBER(F13972),C13972*F13972,"")</f>
        <v/>
      </c>
    </row>
    <row r="13973" spans="1:7" ht="12" customHeight="1" outlineLevel="3" x14ac:dyDescent="0.2">
      <c r="A13973" s="14" t="s">
        <v>27485</v>
      </c>
      <c r="B13973" s="15" t="s">
        <v>27486</v>
      </c>
      <c r="C13973" s="16">
        <f>128.35/(1+B2)</f>
        <v>128.35</v>
      </c>
      <c r="D13973" s="17" t="s">
        <v>11</v>
      </c>
      <c r="E13973" s="17" t="s">
        <v>106</v>
      </c>
      <c r="F13973" s="18"/>
      <c r="G13973" s="36" t="str">
        <f>IF(ISNUMBER(F13973),C13973*F13973,"")</f>
        <v/>
      </c>
    </row>
    <row r="13974" spans="1:7" ht="12" customHeight="1" outlineLevel="3" x14ac:dyDescent="0.2">
      <c r="A13974" s="14" t="s">
        <v>27487</v>
      </c>
      <c r="B13974" s="15" t="s">
        <v>27488</v>
      </c>
      <c r="C13974" s="16">
        <f>63.97/(1+B2)</f>
        <v>63.97</v>
      </c>
      <c r="D13974" s="17" t="s">
        <v>11</v>
      </c>
      <c r="E13974" s="17"/>
      <c r="F13974" s="18"/>
      <c r="G13974" s="36" t="str">
        <f>IF(ISNUMBER(F13974),C13974*F13974,"")</f>
        <v/>
      </c>
    </row>
    <row r="13975" spans="1:7" ht="12" customHeight="1" outlineLevel="3" x14ac:dyDescent="0.2">
      <c r="A13975" s="14" t="s">
        <v>27489</v>
      </c>
      <c r="B13975" s="15" t="s">
        <v>27490</v>
      </c>
      <c r="C13975" s="16">
        <f>70.89/(1+B2)</f>
        <v>70.89</v>
      </c>
      <c r="D13975" s="17" t="s">
        <v>11</v>
      </c>
      <c r="E13975" s="17"/>
      <c r="F13975" s="18"/>
      <c r="G13975" s="36" t="str">
        <f>IF(ISNUMBER(F13975),C13975*F13975,"")</f>
        <v/>
      </c>
    </row>
    <row r="13976" spans="1:7" ht="12" customHeight="1" outlineLevel="3" x14ac:dyDescent="0.2">
      <c r="A13976" s="14" t="s">
        <v>27491</v>
      </c>
      <c r="B13976" s="15" t="s">
        <v>27492</v>
      </c>
      <c r="C13976" s="16">
        <f>77.57/(1+B2)</f>
        <v>77.569999999999993</v>
      </c>
      <c r="D13976" s="17" t="s">
        <v>11</v>
      </c>
      <c r="E13976" s="17"/>
      <c r="F13976" s="18"/>
      <c r="G13976" s="36" t="str">
        <f>IF(ISNUMBER(F13976),C13976*F13976,"")</f>
        <v/>
      </c>
    </row>
    <row r="13977" spans="1:7" ht="12" customHeight="1" outlineLevel="3" x14ac:dyDescent="0.2">
      <c r="A13977" s="14" t="s">
        <v>27493</v>
      </c>
      <c r="B13977" s="15" t="s">
        <v>27494</v>
      </c>
      <c r="C13977" s="16">
        <f>309.01/(1+B2)</f>
        <v>309.01</v>
      </c>
      <c r="D13977" s="17" t="s">
        <v>11</v>
      </c>
      <c r="E13977" s="17"/>
      <c r="F13977" s="18"/>
      <c r="G13977" s="36" t="str">
        <f>IF(ISNUMBER(F13977),C13977*F13977,"")</f>
        <v/>
      </c>
    </row>
    <row r="13978" spans="1:7" ht="12" customHeight="1" outlineLevel="3" x14ac:dyDescent="0.2">
      <c r="A13978" s="14" t="s">
        <v>27495</v>
      </c>
      <c r="B13978" s="15" t="s">
        <v>27496</v>
      </c>
      <c r="C13978" s="16">
        <f>561.61/(1+B2)</f>
        <v>561.61</v>
      </c>
      <c r="D13978" s="17" t="s">
        <v>11</v>
      </c>
      <c r="E13978" s="17"/>
      <c r="F13978" s="18"/>
      <c r="G13978" s="36" t="str">
        <f>IF(ISNUMBER(F13978),C13978*F13978,"")</f>
        <v/>
      </c>
    </row>
    <row r="13979" spans="1:7" ht="12" customHeight="1" outlineLevel="3" x14ac:dyDescent="0.2">
      <c r="A13979" s="14" t="s">
        <v>27497</v>
      </c>
      <c r="B13979" s="15" t="s">
        <v>27498</v>
      </c>
      <c r="C13979" s="16">
        <f>815.33/(1+B2)</f>
        <v>815.33</v>
      </c>
      <c r="D13979" s="17" t="s">
        <v>11</v>
      </c>
      <c r="E13979" s="17"/>
      <c r="F13979" s="18"/>
      <c r="G13979" s="36" t="str">
        <f>IF(ISNUMBER(F13979),C13979*F13979,"")</f>
        <v/>
      </c>
    </row>
    <row r="13980" spans="1:7" ht="12" customHeight="1" outlineLevel="3" x14ac:dyDescent="0.2">
      <c r="A13980" s="14" t="s">
        <v>27499</v>
      </c>
      <c r="B13980" s="15" t="s">
        <v>27500</v>
      </c>
      <c r="C13980" s="16">
        <f>892.29/(1+B2)</f>
        <v>892.29</v>
      </c>
      <c r="D13980" s="17" t="s">
        <v>11</v>
      </c>
      <c r="E13980" s="17"/>
      <c r="F13980" s="18"/>
      <c r="G13980" s="36" t="str">
        <f>IF(ISNUMBER(F13980),C13980*F13980,"")</f>
        <v/>
      </c>
    </row>
    <row r="13981" spans="1:7" ht="12" customHeight="1" outlineLevel="3" x14ac:dyDescent="0.2">
      <c r="A13981" s="14" t="s">
        <v>27501</v>
      </c>
      <c r="B13981" s="15" t="s">
        <v>27502</v>
      </c>
      <c r="C13981" s="16">
        <f>123.9/(1+B2)</f>
        <v>123.9</v>
      </c>
      <c r="D13981" s="17" t="s">
        <v>11</v>
      </c>
      <c r="E13981" s="17"/>
      <c r="F13981" s="18"/>
      <c r="G13981" s="36" t="str">
        <f>IF(ISNUMBER(F13981),C13981*F13981,"")</f>
        <v/>
      </c>
    </row>
    <row r="13982" spans="1:7" ht="12" customHeight="1" outlineLevel="3" x14ac:dyDescent="0.2">
      <c r="A13982" s="14" t="s">
        <v>27503</v>
      </c>
      <c r="B13982" s="15" t="s">
        <v>27504</v>
      </c>
      <c r="C13982" s="16">
        <f>144.16/(1+B2)</f>
        <v>144.16</v>
      </c>
      <c r="D13982" s="17" t="s">
        <v>11</v>
      </c>
      <c r="E13982" s="17"/>
      <c r="F13982" s="18"/>
      <c r="G13982" s="36" t="str">
        <f>IF(ISNUMBER(F13982),C13982*F13982,"")</f>
        <v/>
      </c>
    </row>
    <row r="13983" spans="1:7" ht="12" customHeight="1" outlineLevel="3" x14ac:dyDescent="0.2">
      <c r="A13983" s="14" t="s">
        <v>27505</v>
      </c>
      <c r="B13983" s="15" t="s">
        <v>27506</v>
      </c>
      <c r="C13983" s="16">
        <f>67.61/(1+B2)</f>
        <v>67.61</v>
      </c>
      <c r="D13983" s="17" t="s">
        <v>11</v>
      </c>
      <c r="E13983" s="17"/>
      <c r="F13983" s="18"/>
      <c r="G13983" s="36" t="str">
        <f>IF(ISNUMBER(F13983),C13983*F13983,"")</f>
        <v/>
      </c>
    </row>
    <row r="13984" spans="1:7" ht="12" customHeight="1" outlineLevel="3" x14ac:dyDescent="0.2">
      <c r="A13984" s="14" t="s">
        <v>27507</v>
      </c>
      <c r="B13984" s="15" t="s">
        <v>27508</v>
      </c>
      <c r="C13984" s="16">
        <f>69.63/(1+B2)</f>
        <v>69.63</v>
      </c>
      <c r="D13984" s="17" t="s">
        <v>11</v>
      </c>
      <c r="E13984" s="17"/>
      <c r="F13984" s="18"/>
      <c r="G13984" s="36" t="str">
        <f>IF(ISNUMBER(F13984),C13984*F13984,"")</f>
        <v/>
      </c>
    </row>
    <row r="13985" spans="1:7" ht="12" customHeight="1" outlineLevel="3" x14ac:dyDescent="0.2">
      <c r="A13985" s="14" t="s">
        <v>27509</v>
      </c>
      <c r="B13985" s="15" t="s">
        <v>27510</v>
      </c>
      <c r="C13985" s="16">
        <f>86.3/(1+B2)</f>
        <v>86.3</v>
      </c>
      <c r="D13985" s="17" t="s">
        <v>14</v>
      </c>
      <c r="E13985" s="17"/>
      <c r="F13985" s="18"/>
      <c r="G13985" s="36" t="str">
        <f>IF(ISNUMBER(F13985),C13985*F13985,"")</f>
        <v/>
      </c>
    </row>
    <row r="13986" spans="1:7" ht="12" customHeight="1" outlineLevel="3" x14ac:dyDescent="0.2">
      <c r="A13986" s="14" t="s">
        <v>27511</v>
      </c>
      <c r="B13986" s="15" t="s">
        <v>27512</v>
      </c>
      <c r="C13986" s="16">
        <f>90.92/(1+B2)</f>
        <v>90.92</v>
      </c>
      <c r="D13986" s="17" t="s">
        <v>11</v>
      </c>
      <c r="E13986" s="17"/>
      <c r="F13986" s="18"/>
      <c r="G13986" s="36" t="str">
        <f>IF(ISNUMBER(F13986),C13986*F13986,"")</f>
        <v/>
      </c>
    </row>
    <row r="13987" spans="1:7" ht="12" customHeight="1" outlineLevel="3" x14ac:dyDescent="0.2">
      <c r="A13987" s="14" t="s">
        <v>27513</v>
      </c>
      <c r="B13987" s="15" t="s">
        <v>27514</v>
      </c>
      <c r="C13987" s="16">
        <f>122.02/(1+B2)</f>
        <v>122.02</v>
      </c>
      <c r="D13987" s="17" t="s">
        <v>11</v>
      </c>
      <c r="E13987" s="17"/>
      <c r="F13987" s="18"/>
      <c r="G13987" s="36" t="str">
        <f>IF(ISNUMBER(F13987),C13987*F13987,"")</f>
        <v/>
      </c>
    </row>
    <row r="13988" spans="1:7" ht="12" customHeight="1" outlineLevel="3" x14ac:dyDescent="0.2">
      <c r="A13988" s="14" t="s">
        <v>27515</v>
      </c>
      <c r="B13988" s="15" t="s">
        <v>27516</v>
      </c>
      <c r="C13988" s="16">
        <f>149.73/(1+B2)</f>
        <v>149.72999999999999</v>
      </c>
      <c r="D13988" s="17" t="s">
        <v>11</v>
      </c>
      <c r="E13988" s="17" t="s">
        <v>106</v>
      </c>
      <c r="F13988" s="18"/>
      <c r="G13988" s="36" t="str">
        <f>IF(ISNUMBER(F13988),C13988*F13988,"")</f>
        <v/>
      </c>
    </row>
    <row r="13989" spans="1:7" ht="12" customHeight="1" outlineLevel="3" x14ac:dyDescent="0.2">
      <c r="A13989" s="14" t="s">
        <v>27517</v>
      </c>
      <c r="B13989" s="15" t="s">
        <v>27518</v>
      </c>
      <c r="C13989" s="16">
        <f>97.46/(1+B2)</f>
        <v>97.46</v>
      </c>
      <c r="D13989" s="17" t="s">
        <v>11</v>
      </c>
      <c r="E13989" s="17"/>
      <c r="F13989" s="18"/>
      <c r="G13989" s="36" t="str">
        <f>IF(ISNUMBER(F13989),C13989*F13989,"")</f>
        <v/>
      </c>
    </row>
    <row r="13990" spans="1:7" s="1" customFormat="1" ht="15.95" customHeight="1" outlineLevel="1" x14ac:dyDescent="0.25">
      <c r="A13990" s="11"/>
      <c r="B13990" s="12" t="s">
        <v>27519</v>
      </c>
      <c r="C13990" s="13"/>
      <c r="D13990" s="13"/>
      <c r="E13990" s="13"/>
      <c r="F13990" s="13"/>
      <c r="G13990" s="35"/>
    </row>
    <row r="13991" spans="1:7" ht="12" customHeight="1" outlineLevel="2" x14ac:dyDescent="0.2">
      <c r="A13991" s="14" t="s">
        <v>27520</v>
      </c>
      <c r="B13991" s="15" t="s">
        <v>27521</v>
      </c>
      <c r="C13991" s="16">
        <f>230/(1+B2)</f>
        <v>230</v>
      </c>
      <c r="D13991" s="17" t="s">
        <v>11</v>
      </c>
      <c r="E13991" s="17"/>
      <c r="F13991" s="18"/>
      <c r="G13991" s="36" t="str">
        <f>IF(ISNUMBER(F13991),C13991*F13991,"")</f>
        <v/>
      </c>
    </row>
    <row r="13992" spans="1:7" ht="12" customHeight="1" outlineLevel="2" x14ac:dyDescent="0.2">
      <c r="A13992" s="14" t="s">
        <v>27522</v>
      </c>
      <c r="B13992" s="15" t="s">
        <v>27523</v>
      </c>
      <c r="C13992" s="16">
        <f>433.08/(1+B2)</f>
        <v>433.08</v>
      </c>
      <c r="D13992" s="17" t="s">
        <v>11</v>
      </c>
      <c r="E13992" s="17"/>
      <c r="F13992" s="18"/>
      <c r="G13992" s="36" t="str">
        <f>IF(ISNUMBER(F13992),C13992*F13992,"")</f>
        <v/>
      </c>
    </row>
    <row r="13993" spans="1:7" ht="12" customHeight="1" outlineLevel="2" x14ac:dyDescent="0.2">
      <c r="A13993" s="14" t="s">
        <v>27524</v>
      </c>
      <c r="B13993" s="15" t="s">
        <v>27525</v>
      </c>
      <c r="C13993" s="16">
        <f>22.34/(1+B2)</f>
        <v>22.34</v>
      </c>
      <c r="D13993" s="17" t="s">
        <v>106</v>
      </c>
      <c r="E13993" s="17"/>
      <c r="F13993" s="18"/>
      <c r="G13993" s="36" t="str">
        <f>IF(ISNUMBER(F13993),C13993*F13993,"")</f>
        <v/>
      </c>
    </row>
    <row r="13994" spans="1:7" ht="12" customHeight="1" outlineLevel="2" x14ac:dyDescent="0.2">
      <c r="A13994" s="14" t="s">
        <v>27526</v>
      </c>
      <c r="B13994" s="15" t="s">
        <v>27527</v>
      </c>
      <c r="C13994" s="16">
        <f>33.04/(1+B2)</f>
        <v>33.04</v>
      </c>
      <c r="D13994" s="17" t="s">
        <v>106</v>
      </c>
      <c r="E13994" s="17"/>
      <c r="F13994" s="18"/>
      <c r="G13994" s="36" t="str">
        <f>IF(ISNUMBER(F13994),C13994*F13994,"")</f>
        <v/>
      </c>
    </row>
    <row r="13995" spans="1:7" ht="12" customHeight="1" outlineLevel="2" x14ac:dyDescent="0.2">
      <c r="A13995" s="14" t="s">
        <v>27528</v>
      </c>
      <c r="B13995" s="15" t="s">
        <v>27529</v>
      </c>
      <c r="C13995" s="16">
        <f>43.87/(1+B2)</f>
        <v>43.87</v>
      </c>
      <c r="D13995" s="17" t="s">
        <v>106</v>
      </c>
      <c r="E13995" s="17"/>
      <c r="F13995" s="18"/>
      <c r="G13995" s="36" t="str">
        <f>IF(ISNUMBER(F13995),C13995*F13995,"")</f>
        <v/>
      </c>
    </row>
    <row r="13996" spans="1:7" ht="12" customHeight="1" outlineLevel="2" x14ac:dyDescent="0.2">
      <c r="A13996" s="14" t="s">
        <v>27530</v>
      </c>
      <c r="B13996" s="15" t="s">
        <v>27531</v>
      </c>
      <c r="C13996" s="16">
        <f>193.07/(1+B2)</f>
        <v>193.07</v>
      </c>
      <c r="D13996" s="17" t="s">
        <v>11</v>
      </c>
      <c r="E13996" s="17"/>
      <c r="F13996" s="18"/>
      <c r="G13996" s="36" t="str">
        <f>IF(ISNUMBER(F13996),C13996*F13996,"")</f>
        <v/>
      </c>
    </row>
    <row r="13997" spans="1:7" ht="12" customHeight="1" outlineLevel="2" x14ac:dyDescent="0.2">
      <c r="A13997" s="14" t="s">
        <v>27532</v>
      </c>
      <c r="B13997" s="15" t="s">
        <v>27533</v>
      </c>
      <c r="C13997" s="16">
        <f>202.11/(1+B2)</f>
        <v>202.11</v>
      </c>
      <c r="D13997" s="17" t="s">
        <v>11</v>
      </c>
      <c r="E13997" s="17"/>
      <c r="F13997" s="18"/>
      <c r="G13997" s="36" t="str">
        <f>IF(ISNUMBER(F13997),C13997*F13997,"")</f>
        <v/>
      </c>
    </row>
    <row r="13998" spans="1:7" ht="12" customHeight="1" outlineLevel="2" x14ac:dyDescent="0.2">
      <c r="A13998" s="14" t="s">
        <v>27534</v>
      </c>
      <c r="B13998" s="15" t="s">
        <v>27535</v>
      </c>
      <c r="C13998" s="16">
        <f>59.04/(1+B2)</f>
        <v>59.04</v>
      </c>
      <c r="D13998" s="17" t="s">
        <v>11</v>
      </c>
      <c r="E13998" s="17" t="s">
        <v>11</v>
      </c>
      <c r="F13998" s="18"/>
      <c r="G13998" s="36" t="str">
        <f>IF(ISNUMBER(F13998),C13998*F13998,"")</f>
        <v/>
      </c>
    </row>
    <row r="13999" spans="1:7" ht="12" customHeight="1" outlineLevel="2" x14ac:dyDescent="0.2">
      <c r="A13999" s="14" t="s">
        <v>27536</v>
      </c>
      <c r="B13999" s="15" t="s">
        <v>27537</v>
      </c>
      <c r="C13999" s="16">
        <f>103.45/(1+B2)</f>
        <v>103.45</v>
      </c>
      <c r="D13999" s="17" t="s">
        <v>11</v>
      </c>
      <c r="E13999" s="17" t="s">
        <v>11</v>
      </c>
      <c r="F13999" s="18"/>
      <c r="G13999" s="36" t="str">
        <f>IF(ISNUMBER(F13999),C13999*F13999,"")</f>
        <v/>
      </c>
    </row>
    <row r="14000" spans="1:7" ht="12" customHeight="1" outlineLevel="2" x14ac:dyDescent="0.2">
      <c r="A14000" s="14" t="s">
        <v>27538</v>
      </c>
      <c r="B14000" s="15" t="s">
        <v>27539</v>
      </c>
      <c r="C14000" s="16">
        <f>80.96/(1+B2)</f>
        <v>80.959999999999994</v>
      </c>
      <c r="D14000" s="17" t="s">
        <v>11</v>
      </c>
      <c r="E14000" s="17"/>
      <c r="F14000" s="18"/>
      <c r="G14000" s="36" t="str">
        <f>IF(ISNUMBER(F14000),C14000*F14000,"")</f>
        <v/>
      </c>
    </row>
    <row r="14001" spans="1:7" ht="12" customHeight="1" outlineLevel="2" x14ac:dyDescent="0.2">
      <c r="A14001" s="14" t="s">
        <v>27540</v>
      </c>
      <c r="B14001" s="15" t="s">
        <v>27541</v>
      </c>
      <c r="C14001" s="16">
        <f>253.22/(1+B2)</f>
        <v>253.22</v>
      </c>
      <c r="D14001" s="17" t="s">
        <v>11</v>
      </c>
      <c r="E14001" s="17"/>
      <c r="F14001" s="18"/>
      <c r="G14001" s="36" t="str">
        <f>IF(ISNUMBER(F14001),C14001*F14001,"")</f>
        <v/>
      </c>
    </row>
    <row r="14002" spans="1:7" ht="12" customHeight="1" outlineLevel="2" x14ac:dyDescent="0.2">
      <c r="A14002" s="14" t="s">
        <v>27542</v>
      </c>
      <c r="B14002" s="15" t="s">
        <v>27543</v>
      </c>
      <c r="C14002" s="16">
        <f>93.6/(1+B2)</f>
        <v>93.6</v>
      </c>
      <c r="D14002" s="17" t="s">
        <v>11</v>
      </c>
      <c r="E14002" s="17"/>
      <c r="F14002" s="18"/>
      <c r="G14002" s="36" t="str">
        <f>IF(ISNUMBER(F14002),C14002*F14002,"")</f>
        <v/>
      </c>
    </row>
    <row r="14003" spans="1:7" ht="12" customHeight="1" outlineLevel="2" x14ac:dyDescent="0.2">
      <c r="A14003" s="14" t="s">
        <v>27544</v>
      </c>
      <c r="B14003" s="15" t="s">
        <v>27545</v>
      </c>
      <c r="C14003" s="16">
        <f>384.61/(1+B2)</f>
        <v>384.61</v>
      </c>
      <c r="D14003" s="17" t="s">
        <v>11</v>
      </c>
      <c r="E14003" s="17"/>
      <c r="F14003" s="18"/>
      <c r="G14003" s="36" t="str">
        <f>IF(ISNUMBER(F14003),C14003*F14003,"")</f>
        <v/>
      </c>
    </row>
    <row r="14004" spans="1:7" s="1" customFormat="1" ht="15.95" customHeight="1" outlineLevel="1" x14ac:dyDescent="0.25">
      <c r="A14004" s="11"/>
      <c r="B14004" s="12" t="s">
        <v>27546</v>
      </c>
      <c r="C14004" s="13"/>
      <c r="D14004" s="13"/>
      <c r="E14004" s="13"/>
      <c r="F14004" s="13"/>
      <c r="G14004" s="35"/>
    </row>
    <row r="14005" spans="1:7" s="1" customFormat="1" ht="12.95" customHeight="1" outlineLevel="2" x14ac:dyDescent="0.2">
      <c r="A14005" s="20"/>
      <c r="B14005" s="21" t="s">
        <v>27547</v>
      </c>
      <c r="C14005" s="22"/>
      <c r="D14005" s="22"/>
      <c r="E14005" s="22"/>
      <c r="F14005" s="22"/>
      <c r="G14005" s="37"/>
    </row>
    <row r="14006" spans="1:7" ht="12" customHeight="1" outlineLevel="3" x14ac:dyDescent="0.2">
      <c r="A14006" s="14" t="s">
        <v>27548</v>
      </c>
      <c r="B14006" s="15" t="s">
        <v>27549</v>
      </c>
      <c r="C14006" s="16">
        <f>144.6/(1+B2)</f>
        <v>144.6</v>
      </c>
      <c r="D14006" s="17" t="s">
        <v>11</v>
      </c>
      <c r="E14006" s="17"/>
      <c r="F14006" s="18"/>
      <c r="G14006" s="36" t="str">
        <f>IF(ISNUMBER(F14006),C14006*F14006,"")</f>
        <v/>
      </c>
    </row>
    <row r="14007" spans="1:7" ht="12" customHeight="1" outlineLevel="3" x14ac:dyDescent="0.2">
      <c r="A14007" s="14" t="s">
        <v>27550</v>
      </c>
      <c r="B14007" s="15" t="s">
        <v>27551</v>
      </c>
      <c r="C14007" s="16">
        <f>427.87/(1+B2)</f>
        <v>427.87</v>
      </c>
      <c r="D14007" s="17" t="s">
        <v>11</v>
      </c>
      <c r="E14007" s="17"/>
      <c r="F14007" s="18"/>
      <c r="G14007" s="36" t="str">
        <f>IF(ISNUMBER(F14007),C14007*F14007,"")</f>
        <v/>
      </c>
    </row>
    <row r="14008" spans="1:7" ht="12" customHeight="1" outlineLevel="3" x14ac:dyDescent="0.2">
      <c r="A14008" s="14" t="s">
        <v>27552</v>
      </c>
      <c r="B14008" s="15" t="s">
        <v>27553</v>
      </c>
      <c r="C14008" s="16">
        <f>464.12/(1+B2)</f>
        <v>464.12</v>
      </c>
      <c r="D14008" s="17" t="s">
        <v>11</v>
      </c>
      <c r="E14008" s="17"/>
      <c r="F14008" s="18"/>
      <c r="G14008" s="36" t="str">
        <f>IF(ISNUMBER(F14008),C14008*F14008,"")</f>
        <v/>
      </c>
    </row>
    <row r="14009" spans="1:7" ht="12" customHeight="1" outlineLevel="3" x14ac:dyDescent="0.2">
      <c r="A14009" s="14" t="s">
        <v>27554</v>
      </c>
      <c r="B14009" s="15" t="s">
        <v>27555</v>
      </c>
      <c r="C14009" s="16">
        <f>134.26/(1+B2)</f>
        <v>134.26</v>
      </c>
      <c r="D14009" s="17" t="s">
        <v>11</v>
      </c>
      <c r="E14009" s="17"/>
      <c r="F14009" s="18"/>
      <c r="G14009" s="36" t="str">
        <f>IF(ISNUMBER(F14009),C14009*F14009,"")</f>
        <v/>
      </c>
    </row>
    <row r="14010" spans="1:7" ht="12" customHeight="1" outlineLevel="3" x14ac:dyDescent="0.2">
      <c r="A14010" s="14" t="s">
        <v>27556</v>
      </c>
      <c r="B14010" s="15" t="s">
        <v>27557</v>
      </c>
      <c r="C14010" s="16">
        <f>597.42/(1+B2)</f>
        <v>597.41999999999996</v>
      </c>
      <c r="D14010" s="17" t="s">
        <v>11</v>
      </c>
      <c r="E14010" s="17"/>
      <c r="F14010" s="18"/>
      <c r="G14010" s="36" t="str">
        <f>IF(ISNUMBER(F14010),C14010*F14010,"")</f>
        <v/>
      </c>
    </row>
    <row r="14011" spans="1:7" ht="12" customHeight="1" outlineLevel="3" x14ac:dyDescent="0.2">
      <c r="A14011" s="14" t="s">
        <v>27558</v>
      </c>
      <c r="B14011" s="15" t="s">
        <v>27559</v>
      </c>
      <c r="C14011" s="19">
        <f>1142.93/(1+B2)</f>
        <v>1142.93</v>
      </c>
      <c r="D14011" s="17" t="s">
        <v>11</v>
      </c>
      <c r="E14011" s="17"/>
      <c r="F14011" s="18"/>
      <c r="G14011" s="36" t="str">
        <f>IF(ISNUMBER(F14011),C14011*F14011,"")</f>
        <v/>
      </c>
    </row>
    <row r="14012" spans="1:7" ht="12" customHeight="1" outlineLevel="3" x14ac:dyDescent="0.2">
      <c r="A14012" s="14" t="s">
        <v>27560</v>
      </c>
      <c r="B14012" s="15" t="s">
        <v>27561</v>
      </c>
      <c r="C14012" s="19">
        <f>1628.96/(1+B2)</f>
        <v>1628.96</v>
      </c>
      <c r="D14012" s="17" t="s">
        <v>11</v>
      </c>
      <c r="E14012" s="17"/>
      <c r="F14012" s="18"/>
      <c r="G14012" s="36" t="str">
        <f>IF(ISNUMBER(F14012),C14012*F14012,"")</f>
        <v/>
      </c>
    </row>
    <row r="14013" spans="1:7" ht="12" customHeight="1" outlineLevel="3" x14ac:dyDescent="0.2">
      <c r="A14013" s="14" t="s">
        <v>27562</v>
      </c>
      <c r="B14013" s="15" t="s">
        <v>27563</v>
      </c>
      <c r="C14013" s="16">
        <f>889.2/(1+B2)</f>
        <v>889.2</v>
      </c>
      <c r="D14013" s="17" t="s">
        <v>11</v>
      </c>
      <c r="E14013" s="17"/>
      <c r="F14013" s="18"/>
      <c r="G14013" s="36" t="str">
        <f>IF(ISNUMBER(F14013),C14013*F14013,"")</f>
        <v/>
      </c>
    </row>
    <row r="14014" spans="1:7" ht="12" customHeight="1" outlineLevel="3" x14ac:dyDescent="0.2">
      <c r="A14014" s="14" t="s">
        <v>27564</v>
      </c>
      <c r="B14014" s="15" t="s">
        <v>27565</v>
      </c>
      <c r="C14014" s="16">
        <f>591.48/(1+B2)</f>
        <v>591.48</v>
      </c>
      <c r="D14014" s="17" t="s">
        <v>11</v>
      </c>
      <c r="E14014" s="17"/>
      <c r="F14014" s="18"/>
      <c r="G14014" s="36" t="str">
        <f>IF(ISNUMBER(F14014),C14014*F14014,"")</f>
        <v/>
      </c>
    </row>
    <row r="14015" spans="1:7" ht="12" customHeight="1" outlineLevel="3" x14ac:dyDescent="0.2">
      <c r="A14015" s="14" t="s">
        <v>27566</v>
      </c>
      <c r="B14015" s="15" t="s">
        <v>27567</v>
      </c>
      <c r="C14015" s="16">
        <f>977.31/(1+B2)</f>
        <v>977.31</v>
      </c>
      <c r="D14015" s="17" t="s">
        <v>11</v>
      </c>
      <c r="E14015" s="17" t="s">
        <v>11</v>
      </c>
      <c r="F14015" s="18"/>
      <c r="G14015" s="36" t="str">
        <f>IF(ISNUMBER(F14015),C14015*F14015,"")</f>
        <v/>
      </c>
    </row>
    <row r="14016" spans="1:7" ht="12" customHeight="1" outlineLevel="3" x14ac:dyDescent="0.2">
      <c r="A14016" s="14" t="s">
        <v>27568</v>
      </c>
      <c r="B14016" s="15" t="s">
        <v>27569</v>
      </c>
      <c r="C14016" s="19">
        <f>1382.58/(1+B2)</f>
        <v>1382.58</v>
      </c>
      <c r="D14016" s="17" t="s">
        <v>11</v>
      </c>
      <c r="E14016" s="17"/>
      <c r="F14016" s="18"/>
      <c r="G14016" s="36" t="str">
        <f>IF(ISNUMBER(F14016),C14016*F14016,"")</f>
        <v/>
      </c>
    </row>
    <row r="14017" spans="1:7" ht="12" customHeight="1" outlineLevel="3" x14ac:dyDescent="0.2">
      <c r="A14017" s="14" t="s">
        <v>27570</v>
      </c>
      <c r="B14017" s="15" t="s">
        <v>27571</v>
      </c>
      <c r="C14017" s="16">
        <f>488.58/(1+B2)</f>
        <v>488.58</v>
      </c>
      <c r="D14017" s="17" t="s">
        <v>11</v>
      </c>
      <c r="E14017" s="17"/>
      <c r="F14017" s="18"/>
      <c r="G14017" s="36" t="str">
        <f>IF(ISNUMBER(F14017),C14017*F14017,"")</f>
        <v/>
      </c>
    </row>
    <row r="14018" spans="1:7" ht="12" customHeight="1" outlineLevel="3" x14ac:dyDescent="0.2">
      <c r="A14018" s="14" t="s">
        <v>27572</v>
      </c>
      <c r="B14018" s="15" t="s">
        <v>27573</v>
      </c>
      <c r="C14018" s="16">
        <f>644.96/(1+B2)</f>
        <v>644.96</v>
      </c>
      <c r="D14018" s="17" t="s">
        <v>11</v>
      </c>
      <c r="E14018" s="17"/>
      <c r="F14018" s="18"/>
      <c r="G14018" s="36" t="str">
        <f>IF(ISNUMBER(F14018),C14018*F14018,"")</f>
        <v/>
      </c>
    </row>
    <row r="14019" spans="1:7" ht="12" customHeight="1" outlineLevel="3" x14ac:dyDescent="0.2">
      <c r="A14019" s="14" t="s">
        <v>27574</v>
      </c>
      <c r="B14019" s="15" t="s">
        <v>27575</v>
      </c>
      <c r="C14019" s="16">
        <f>982.05/(1+B2)</f>
        <v>982.05</v>
      </c>
      <c r="D14019" s="17" t="s">
        <v>11</v>
      </c>
      <c r="E14019" s="17"/>
      <c r="F14019" s="18"/>
      <c r="G14019" s="36" t="str">
        <f>IF(ISNUMBER(F14019),C14019*F14019,"")</f>
        <v/>
      </c>
    </row>
    <row r="14020" spans="1:7" ht="12" customHeight="1" outlineLevel="3" x14ac:dyDescent="0.2">
      <c r="A14020" s="14" t="s">
        <v>27576</v>
      </c>
      <c r="B14020" s="15" t="s">
        <v>27577</v>
      </c>
      <c r="C14020" s="16">
        <f>698.72/(1+B2)</f>
        <v>698.72</v>
      </c>
      <c r="D14020" s="17" t="s">
        <v>11</v>
      </c>
      <c r="E14020" s="17"/>
      <c r="F14020" s="18"/>
      <c r="G14020" s="36" t="str">
        <f>IF(ISNUMBER(F14020),C14020*F14020,"")</f>
        <v/>
      </c>
    </row>
    <row r="14021" spans="1:7" s="1" customFormat="1" ht="12.95" customHeight="1" outlineLevel="2" x14ac:dyDescent="0.2">
      <c r="A14021" s="20"/>
      <c r="B14021" s="21" t="s">
        <v>27578</v>
      </c>
      <c r="C14021" s="22"/>
      <c r="D14021" s="22"/>
      <c r="E14021" s="22"/>
      <c r="F14021" s="22"/>
      <c r="G14021" s="37"/>
    </row>
    <row r="14022" spans="1:7" ht="12" customHeight="1" outlineLevel="3" x14ac:dyDescent="0.2">
      <c r="A14022" s="14" t="s">
        <v>27579</v>
      </c>
      <c r="B14022" s="15" t="s">
        <v>27580</v>
      </c>
      <c r="C14022" s="16">
        <f>717.38/(1+B2)</f>
        <v>717.38</v>
      </c>
      <c r="D14022" s="17" t="s">
        <v>11</v>
      </c>
      <c r="E14022" s="17"/>
      <c r="F14022" s="18"/>
      <c r="G14022" s="36" t="str">
        <f>IF(ISNUMBER(F14022),C14022*F14022,"")</f>
        <v/>
      </c>
    </row>
    <row r="14023" spans="1:7" ht="12" customHeight="1" outlineLevel="3" x14ac:dyDescent="0.2">
      <c r="A14023" s="14" t="s">
        <v>27581</v>
      </c>
      <c r="B14023" s="15" t="s">
        <v>27582</v>
      </c>
      <c r="C14023" s="16">
        <f>867.87/(1+B2)</f>
        <v>867.87</v>
      </c>
      <c r="D14023" s="17" t="s">
        <v>11</v>
      </c>
      <c r="E14023" s="17"/>
      <c r="F14023" s="18"/>
      <c r="G14023" s="36" t="str">
        <f>IF(ISNUMBER(F14023),C14023*F14023,"")</f>
        <v/>
      </c>
    </row>
    <row r="14024" spans="1:7" ht="12" customHeight="1" outlineLevel="3" x14ac:dyDescent="0.2">
      <c r="A14024" s="14" t="s">
        <v>27583</v>
      </c>
      <c r="B14024" s="15" t="s">
        <v>27584</v>
      </c>
      <c r="C14024" s="19">
        <f>1119.14/(1+B2)</f>
        <v>1119.1400000000001</v>
      </c>
      <c r="D14024" s="17" t="s">
        <v>11</v>
      </c>
      <c r="E14024" s="17"/>
      <c r="F14024" s="18"/>
      <c r="G14024" s="36" t="str">
        <f>IF(ISNUMBER(F14024),C14024*F14024,"")</f>
        <v/>
      </c>
    </row>
    <row r="14025" spans="1:7" ht="12" customHeight="1" outlineLevel="3" x14ac:dyDescent="0.2">
      <c r="A14025" s="14" t="s">
        <v>27585</v>
      </c>
      <c r="B14025" s="15" t="s">
        <v>27586</v>
      </c>
      <c r="C14025" s="19">
        <f>1975.99/(1+B2)</f>
        <v>1975.99</v>
      </c>
      <c r="D14025" s="17" t="s">
        <v>11</v>
      </c>
      <c r="E14025" s="17"/>
      <c r="F14025" s="18"/>
      <c r="G14025" s="36" t="str">
        <f>IF(ISNUMBER(F14025),C14025*F14025,"")</f>
        <v/>
      </c>
    </row>
    <row r="14026" spans="1:7" ht="12" customHeight="1" outlineLevel="3" x14ac:dyDescent="0.2">
      <c r="A14026" s="14" t="s">
        <v>27587</v>
      </c>
      <c r="B14026" s="15" t="s">
        <v>27588</v>
      </c>
      <c r="C14026" s="19">
        <f>1983.2/(1+B2)</f>
        <v>1983.2</v>
      </c>
      <c r="D14026" s="17" t="s">
        <v>11</v>
      </c>
      <c r="E14026" s="17"/>
      <c r="F14026" s="18"/>
      <c r="G14026" s="36" t="str">
        <f>IF(ISNUMBER(F14026),C14026*F14026,"")</f>
        <v/>
      </c>
    </row>
    <row r="14027" spans="1:7" ht="12" customHeight="1" outlineLevel="3" x14ac:dyDescent="0.2">
      <c r="A14027" s="14" t="s">
        <v>27589</v>
      </c>
      <c r="B14027" s="15" t="s">
        <v>27590</v>
      </c>
      <c r="C14027" s="19">
        <f>2205.85/(1+B2)</f>
        <v>2205.85</v>
      </c>
      <c r="D14027" s="17" t="s">
        <v>11</v>
      </c>
      <c r="E14027" s="17"/>
      <c r="F14027" s="18"/>
      <c r="G14027" s="36" t="str">
        <f>IF(ISNUMBER(F14027),C14027*F14027,"")</f>
        <v/>
      </c>
    </row>
    <row r="14028" spans="1:7" ht="12" customHeight="1" outlineLevel="3" x14ac:dyDescent="0.2">
      <c r="A14028" s="14" t="s">
        <v>27591</v>
      </c>
      <c r="B14028" s="15" t="s">
        <v>27592</v>
      </c>
      <c r="C14028" s="19">
        <f>2084.24/(1+B2)</f>
        <v>2084.2399999999998</v>
      </c>
      <c r="D14028" s="17" t="s">
        <v>11</v>
      </c>
      <c r="E14028" s="17"/>
      <c r="F14028" s="18"/>
      <c r="G14028" s="36" t="str">
        <f>IF(ISNUMBER(F14028),C14028*F14028,"")</f>
        <v/>
      </c>
    </row>
    <row r="14029" spans="1:7" ht="12" customHeight="1" outlineLevel="3" x14ac:dyDescent="0.2">
      <c r="A14029" s="14" t="s">
        <v>27593</v>
      </c>
      <c r="B14029" s="15" t="s">
        <v>27594</v>
      </c>
      <c r="C14029" s="19">
        <f>2904.81/(1+B2)</f>
        <v>2904.81</v>
      </c>
      <c r="D14029" s="17" t="s">
        <v>11</v>
      </c>
      <c r="E14029" s="17"/>
      <c r="F14029" s="18"/>
      <c r="G14029" s="36" t="str">
        <f>IF(ISNUMBER(F14029),C14029*F14029,"")</f>
        <v/>
      </c>
    </row>
    <row r="14030" spans="1:7" ht="12" customHeight="1" outlineLevel="3" x14ac:dyDescent="0.2">
      <c r="A14030" s="14" t="s">
        <v>27595</v>
      </c>
      <c r="B14030" s="15" t="s">
        <v>27596</v>
      </c>
      <c r="C14030" s="16">
        <f>634.08/(1+B2)</f>
        <v>634.08000000000004</v>
      </c>
      <c r="D14030" s="17" t="s">
        <v>11</v>
      </c>
      <c r="E14030" s="17"/>
      <c r="F14030" s="18"/>
      <c r="G14030" s="36" t="str">
        <f>IF(ISNUMBER(F14030),C14030*F14030,"")</f>
        <v/>
      </c>
    </row>
    <row r="14031" spans="1:7" ht="12" customHeight="1" outlineLevel="3" x14ac:dyDescent="0.2">
      <c r="A14031" s="14" t="s">
        <v>27597</v>
      </c>
      <c r="B14031" s="15" t="s">
        <v>27598</v>
      </c>
      <c r="C14031" s="16">
        <f>822.66/(1+B2)</f>
        <v>822.66</v>
      </c>
      <c r="D14031" s="17" t="s">
        <v>11</v>
      </c>
      <c r="E14031" s="17"/>
      <c r="F14031" s="18"/>
      <c r="G14031" s="36" t="str">
        <f>IF(ISNUMBER(F14031),C14031*F14031,"")</f>
        <v/>
      </c>
    </row>
    <row r="14032" spans="1:7" ht="12" customHeight="1" outlineLevel="3" x14ac:dyDescent="0.2">
      <c r="A14032" s="14" t="s">
        <v>27599</v>
      </c>
      <c r="B14032" s="15" t="s">
        <v>27600</v>
      </c>
      <c r="C14032" s="16">
        <f>588.38/(1+B2)</f>
        <v>588.38</v>
      </c>
      <c r="D14032" s="17" t="s">
        <v>11</v>
      </c>
      <c r="E14032" s="17"/>
      <c r="F14032" s="18"/>
      <c r="G14032" s="36" t="str">
        <f>IF(ISNUMBER(F14032),C14032*F14032,"")</f>
        <v/>
      </c>
    </row>
    <row r="14033" spans="1:7" ht="12" customHeight="1" outlineLevel="3" x14ac:dyDescent="0.2">
      <c r="A14033" s="14" t="s">
        <v>27601</v>
      </c>
      <c r="B14033" s="15" t="s">
        <v>27602</v>
      </c>
      <c r="C14033" s="19">
        <f>2015.62/(1+B2)</f>
        <v>2015.62</v>
      </c>
      <c r="D14033" s="17" t="s">
        <v>11</v>
      </c>
      <c r="E14033" s="17"/>
      <c r="F14033" s="18"/>
      <c r="G14033" s="36" t="str">
        <f>IF(ISNUMBER(F14033),C14033*F14033,"")</f>
        <v/>
      </c>
    </row>
    <row r="14034" spans="1:7" ht="12" customHeight="1" outlineLevel="3" x14ac:dyDescent="0.2">
      <c r="A14034" s="14" t="s">
        <v>27603</v>
      </c>
      <c r="B14034" s="15" t="s">
        <v>27604</v>
      </c>
      <c r="C14034" s="19">
        <f>4140.79/(1+B2)</f>
        <v>4140.79</v>
      </c>
      <c r="D14034" s="17" t="s">
        <v>11</v>
      </c>
      <c r="E14034" s="17"/>
      <c r="F14034" s="18"/>
      <c r="G14034" s="36" t="str">
        <f>IF(ISNUMBER(F14034),C14034*F14034,"")</f>
        <v/>
      </c>
    </row>
    <row r="14035" spans="1:7" ht="12" customHeight="1" outlineLevel="3" x14ac:dyDescent="0.2">
      <c r="A14035" s="14" t="s">
        <v>27605</v>
      </c>
      <c r="B14035" s="15" t="s">
        <v>27606</v>
      </c>
      <c r="C14035" s="19">
        <f>4701.77/(1+B2)</f>
        <v>4701.7700000000004</v>
      </c>
      <c r="D14035" s="17" t="s">
        <v>11</v>
      </c>
      <c r="E14035" s="17"/>
      <c r="F14035" s="18"/>
      <c r="G14035" s="36" t="str">
        <f>IF(ISNUMBER(F14035),C14035*F14035,"")</f>
        <v/>
      </c>
    </row>
    <row r="14036" spans="1:7" ht="12" customHeight="1" outlineLevel="3" x14ac:dyDescent="0.2">
      <c r="A14036" s="14" t="s">
        <v>27607</v>
      </c>
      <c r="B14036" s="15" t="s">
        <v>27608</v>
      </c>
      <c r="C14036" s="16">
        <f>131.25/(1+B2)</f>
        <v>131.25</v>
      </c>
      <c r="D14036" s="17"/>
      <c r="E14036" s="17" t="s">
        <v>106</v>
      </c>
      <c r="F14036" s="18"/>
      <c r="G14036" s="36" t="str">
        <f>IF(ISNUMBER(F14036),C14036*F14036,"")</f>
        <v/>
      </c>
    </row>
    <row r="14037" spans="1:7" ht="12" customHeight="1" outlineLevel="3" x14ac:dyDescent="0.2">
      <c r="A14037" s="14" t="s">
        <v>27609</v>
      </c>
      <c r="B14037" s="15" t="s">
        <v>27610</v>
      </c>
      <c r="C14037" s="16">
        <f>188.78/(1+B2)</f>
        <v>188.78</v>
      </c>
      <c r="D14037" s="17" t="s">
        <v>11</v>
      </c>
      <c r="E14037" s="17" t="s">
        <v>53</v>
      </c>
      <c r="F14037" s="18"/>
      <c r="G14037" s="36" t="str">
        <f>IF(ISNUMBER(F14037),C14037*F14037,"")</f>
        <v/>
      </c>
    </row>
    <row r="14038" spans="1:7" ht="12" customHeight="1" outlineLevel="3" x14ac:dyDescent="0.2">
      <c r="A14038" s="14" t="s">
        <v>27611</v>
      </c>
      <c r="B14038" s="15" t="s">
        <v>27612</v>
      </c>
      <c r="C14038" s="16">
        <f>212.01/(1+B2)</f>
        <v>212.01</v>
      </c>
      <c r="D14038" s="17" t="s">
        <v>11</v>
      </c>
      <c r="E14038" s="17" t="s">
        <v>106</v>
      </c>
      <c r="F14038" s="18"/>
      <c r="G14038" s="36" t="str">
        <f>IF(ISNUMBER(F14038),C14038*F14038,"")</f>
        <v/>
      </c>
    </row>
    <row r="14039" spans="1:7" ht="12" customHeight="1" outlineLevel="3" x14ac:dyDescent="0.2">
      <c r="A14039" s="14" t="s">
        <v>27613</v>
      </c>
      <c r="B14039" s="15" t="s">
        <v>27614</v>
      </c>
      <c r="C14039" s="16">
        <f>131.25/(1+B2)</f>
        <v>131.25</v>
      </c>
      <c r="D14039" s="17" t="s">
        <v>11</v>
      </c>
      <c r="E14039" s="17" t="s">
        <v>53</v>
      </c>
      <c r="F14039" s="18"/>
      <c r="G14039" s="36" t="str">
        <f>IF(ISNUMBER(F14039),C14039*F14039,"")</f>
        <v/>
      </c>
    </row>
    <row r="14040" spans="1:7" ht="12" customHeight="1" outlineLevel="3" x14ac:dyDescent="0.2">
      <c r="A14040" s="14" t="s">
        <v>27615</v>
      </c>
      <c r="B14040" s="15" t="s">
        <v>27616</v>
      </c>
      <c r="C14040" s="16">
        <f>162.64/(1+B2)</f>
        <v>162.63999999999999</v>
      </c>
      <c r="D14040" s="17" t="s">
        <v>11</v>
      </c>
      <c r="E14040" s="17"/>
      <c r="F14040" s="18"/>
      <c r="G14040" s="36" t="str">
        <f>IF(ISNUMBER(F14040),C14040*F14040,"")</f>
        <v/>
      </c>
    </row>
    <row r="14041" spans="1:7" ht="12" customHeight="1" outlineLevel="3" x14ac:dyDescent="0.2">
      <c r="A14041" s="14" t="s">
        <v>27617</v>
      </c>
      <c r="B14041" s="15" t="s">
        <v>27618</v>
      </c>
      <c r="C14041" s="16">
        <f>160.56/(1+B2)</f>
        <v>160.56</v>
      </c>
      <c r="D14041" s="17" t="s">
        <v>11</v>
      </c>
      <c r="E14041" s="17" t="s">
        <v>11</v>
      </c>
      <c r="F14041" s="18"/>
      <c r="G14041" s="36" t="str">
        <f>IF(ISNUMBER(F14041),C14041*F14041,"")</f>
        <v/>
      </c>
    </row>
    <row r="14042" spans="1:7" ht="12" customHeight="1" outlineLevel="3" x14ac:dyDescent="0.2">
      <c r="A14042" s="14" t="s">
        <v>27619</v>
      </c>
      <c r="B14042" s="15" t="s">
        <v>27620</v>
      </c>
      <c r="C14042" s="16">
        <f>182.27/(1+B2)</f>
        <v>182.27</v>
      </c>
      <c r="D14042" s="17" t="s">
        <v>11</v>
      </c>
      <c r="E14042" s="17" t="s">
        <v>11</v>
      </c>
      <c r="F14042" s="18"/>
      <c r="G14042" s="36" t="str">
        <f>IF(ISNUMBER(F14042),C14042*F14042,"")</f>
        <v/>
      </c>
    </row>
    <row r="14043" spans="1:7" ht="12" customHeight="1" outlineLevel="3" x14ac:dyDescent="0.2">
      <c r="A14043" s="14" t="s">
        <v>27621</v>
      </c>
      <c r="B14043" s="15" t="s">
        <v>27622</v>
      </c>
      <c r="C14043" s="16">
        <f>203.96/(1+B2)</f>
        <v>203.96</v>
      </c>
      <c r="D14043" s="17" t="s">
        <v>11</v>
      </c>
      <c r="E14043" s="17"/>
      <c r="F14043" s="18"/>
      <c r="G14043" s="36" t="str">
        <f>IF(ISNUMBER(F14043),C14043*F14043,"")</f>
        <v/>
      </c>
    </row>
    <row r="14044" spans="1:7" ht="12" customHeight="1" outlineLevel="3" x14ac:dyDescent="0.2">
      <c r="A14044" s="14" t="s">
        <v>27623</v>
      </c>
      <c r="B14044" s="15" t="s">
        <v>27624</v>
      </c>
      <c r="C14044" s="16">
        <f>38.89/(1+B2)</f>
        <v>38.89</v>
      </c>
      <c r="D14044" s="17" t="s">
        <v>11</v>
      </c>
      <c r="E14044" s="17"/>
      <c r="F14044" s="18"/>
      <c r="G14044" s="36" t="str">
        <f>IF(ISNUMBER(F14044),C14044*F14044,"")</f>
        <v/>
      </c>
    </row>
    <row r="14045" spans="1:7" ht="12" customHeight="1" outlineLevel="3" x14ac:dyDescent="0.2">
      <c r="A14045" s="14" t="s">
        <v>27625</v>
      </c>
      <c r="B14045" s="15" t="s">
        <v>27626</v>
      </c>
      <c r="C14045" s="16">
        <f>42.89/(1+B2)</f>
        <v>42.89</v>
      </c>
      <c r="D14045" s="17" t="s">
        <v>11</v>
      </c>
      <c r="E14045" s="17" t="s">
        <v>14</v>
      </c>
      <c r="F14045" s="18"/>
      <c r="G14045" s="36" t="str">
        <f>IF(ISNUMBER(F14045),C14045*F14045,"")</f>
        <v/>
      </c>
    </row>
    <row r="14046" spans="1:7" s="1" customFormat="1" ht="12.95" customHeight="1" outlineLevel="2" x14ac:dyDescent="0.2">
      <c r="A14046" s="20"/>
      <c r="B14046" s="21" t="s">
        <v>27627</v>
      </c>
      <c r="C14046" s="22"/>
      <c r="D14046" s="22"/>
      <c r="E14046" s="22"/>
      <c r="F14046" s="22"/>
      <c r="G14046" s="37"/>
    </row>
    <row r="14047" spans="1:7" ht="12" customHeight="1" outlineLevel="3" x14ac:dyDescent="0.2">
      <c r="A14047" s="14" t="s">
        <v>27628</v>
      </c>
      <c r="B14047" s="15" t="s">
        <v>27629</v>
      </c>
      <c r="C14047" s="19">
        <f>1216.08/(1+B2)</f>
        <v>1216.08</v>
      </c>
      <c r="D14047" s="17" t="s">
        <v>11</v>
      </c>
      <c r="E14047" s="17"/>
      <c r="F14047" s="18"/>
      <c r="G14047" s="36" t="str">
        <f>IF(ISNUMBER(F14047),C14047*F14047,"")</f>
        <v/>
      </c>
    </row>
    <row r="14048" spans="1:7" ht="12" customHeight="1" outlineLevel="3" x14ac:dyDescent="0.2">
      <c r="A14048" s="14" t="s">
        <v>27630</v>
      </c>
      <c r="B14048" s="15" t="s">
        <v>27631</v>
      </c>
      <c r="C14048" s="16">
        <f>153.15/(1+B2)</f>
        <v>153.15</v>
      </c>
      <c r="D14048" s="17" t="s">
        <v>11</v>
      </c>
      <c r="E14048" s="17"/>
      <c r="F14048" s="18"/>
      <c r="G14048" s="36" t="str">
        <f>IF(ISNUMBER(F14048),C14048*F14048,"")</f>
        <v/>
      </c>
    </row>
    <row r="14049" spans="1:7" ht="12" customHeight="1" outlineLevel="3" x14ac:dyDescent="0.2">
      <c r="A14049" s="14" t="s">
        <v>27632</v>
      </c>
      <c r="B14049" s="15" t="s">
        <v>27633</v>
      </c>
      <c r="C14049" s="16">
        <f>247.74/(1+B2)</f>
        <v>247.74</v>
      </c>
      <c r="D14049" s="17" t="s">
        <v>11</v>
      </c>
      <c r="E14049" s="17"/>
      <c r="F14049" s="18"/>
      <c r="G14049" s="36" t="str">
        <f>IF(ISNUMBER(F14049),C14049*F14049,"")</f>
        <v/>
      </c>
    </row>
    <row r="14050" spans="1:7" ht="12" customHeight="1" outlineLevel="3" x14ac:dyDescent="0.2">
      <c r="A14050" s="14" t="s">
        <v>27634</v>
      </c>
      <c r="B14050" s="15" t="s">
        <v>27635</v>
      </c>
      <c r="C14050" s="16">
        <f>187.45/(1+B2)</f>
        <v>187.45</v>
      </c>
      <c r="D14050" s="17" t="s">
        <v>11</v>
      </c>
      <c r="E14050" s="17"/>
      <c r="F14050" s="18"/>
      <c r="G14050" s="36" t="str">
        <f>IF(ISNUMBER(F14050),C14050*F14050,"")</f>
        <v/>
      </c>
    </row>
    <row r="14051" spans="1:7" ht="12" customHeight="1" outlineLevel="3" x14ac:dyDescent="0.2">
      <c r="A14051" s="14" t="s">
        <v>27636</v>
      </c>
      <c r="B14051" s="15" t="s">
        <v>27637</v>
      </c>
      <c r="C14051" s="16">
        <f>441.24/(1+B2)</f>
        <v>441.24</v>
      </c>
      <c r="D14051" s="17" t="s">
        <v>11</v>
      </c>
      <c r="E14051" s="17"/>
      <c r="F14051" s="18"/>
      <c r="G14051" s="36" t="str">
        <f>IF(ISNUMBER(F14051),C14051*F14051,"")</f>
        <v/>
      </c>
    </row>
    <row r="14052" spans="1:7" ht="12" customHeight="1" outlineLevel="3" x14ac:dyDescent="0.2">
      <c r="A14052" s="14" t="s">
        <v>27638</v>
      </c>
      <c r="B14052" s="15" t="s">
        <v>27639</v>
      </c>
      <c r="C14052" s="16">
        <f>230.99/(1+B2)</f>
        <v>230.99</v>
      </c>
      <c r="D14052" s="17" t="s">
        <v>11</v>
      </c>
      <c r="E14052" s="17"/>
      <c r="F14052" s="18"/>
      <c r="G14052" s="36" t="str">
        <f>IF(ISNUMBER(F14052),C14052*F14052,"")</f>
        <v/>
      </c>
    </row>
    <row r="14053" spans="1:7" ht="12" customHeight="1" outlineLevel="3" x14ac:dyDescent="0.2">
      <c r="A14053" s="14" t="s">
        <v>27640</v>
      </c>
      <c r="B14053" s="15" t="s">
        <v>27641</v>
      </c>
      <c r="C14053" s="16">
        <f>372.45/(1+B2)</f>
        <v>372.45</v>
      </c>
      <c r="D14053" s="17" t="s">
        <v>11</v>
      </c>
      <c r="E14053" s="17"/>
      <c r="F14053" s="18"/>
      <c r="G14053" s="36" t="str">
        <f>IF(ISNUMBER(F14053),C14053*F14053,"")</f>
        <v/>
      </c>
    </row>
    <row r="14054" spans="1:7" ht="12" customHeight="1" outlineLevel="3" x14ac:dyDescent="0.2">
      <c r="A14054" s="14" t="s">
        <v>27642</v>
      </c>
      <c r="B14054" s="15" t="s">
        <v>27643</v>
      </c>
      <c r="C14054" s="16">
        <f>281.14/(1+B2)</f>
        <v>281.14</v>
      </c>
      <c r="D14054" s="17" t="s">
        <v>11</v>
      </c>
      <c r="E14054" s="17"/>
      <c r="F14054" s="18"/>
      <c r="G14054" s="36" t="str">
        <f>IF(ISNUMBER(F14054),C14054*F14054,"")</f>
        <v/>
      </c>
    </row>
    <row r="14055" spans="1:7" ht="12" customHeight="1" outlineLevel="3" x14ac:dyDescent="0.2">
      <c r="A14055" s="14" t="s">
        <v>27644</v>
      </c>
      <c r="B14055" s="15" t="s">
        <v>27645</v>
      </c>
      <c r="C14055" s="16">
        <f>432.29/(1+B2)</f>
        <v>432.29</v>
      </c>
      <c r="D14055" s="17" t="s">
        <v>11</v>
      </c>
      <c r="E14055" s="17"/>
      <c r="F14055" s="18"/>
      <c r="G14055" s="36" t="str">
        <f>IF(ISNUMBER(F14055),C14055*F14055,"")</f>
        <v/>
      </c>
    </row>
    <row r="14056" spans="1:7" ht="12" customHeight="1" outlineLevel="3" x14ac:dyDescent="0.2">
      <c r="A14056" s="14" t="s">
        <v>27646</v>
      </c>
      <c r="B14056" s="15" t="s">
        <v>27647</v>
      </c>
      <c r="C14056" s="16">
        <f>318.88/(1+B2)</f>
        <v>318.88</v>
      </c>
      <c r="D14056" s="17" t="s">
        <v>11</v>
      </c>
      <c r="E14056" s="17"/>
      <c r="F14056" s="18"/>
      <c r="G14056" s="36" t="str">
        <f>IF(ISNUMBER(F14056),C14056*F14056,"")</f>
        <v/>
      </c>
    </row>
    <row r="14057" spans="1:7" ht="12" customHeight="1" outlineLevel="3" x14ac:dyDescent="0.2">
      <c r="A14057" s="14" t="s">
        <v>27648</v>
      </c>
      <c r="B14057" s="15" t="s">
        <v>27649</v>
      </c>
      <c r="C14057" s="16">
        <f>472.67/(1+B2)</f>
        <v>472.67</v>
      </c>
      <c r="D14057" s="17" t="s">
        <v>11</v>
      </c>
      <c r="E14057" s="17"/>
      <c r="F14057" s="18"/>
      <c r="G14057" s="36" t="str">
        <f>IF(ISNUMBER(F14057),C14057*F14057,"")</f>
        <v/>
      </c>
    </row>
    <row r="14058" spans="1:7" ht="12" customHeight="1" outlineLevel="3" x14ac:dyDescent="0.2">
      <c r="A14058" s="14" t="s">
        <v>27650</v>
      </c>
      <c r="B14058" s="15" t="s">
        <v>27651</v>
      </c>
      <c r="C14058" s="16">
        <f>376.03/(1+B2)</f>
        <v>376.03</v>
      </c>
      <c r="D14058" s="17" t="s">
        <v>11</v>
      </c>
      <c r="E14058" s="17"/>
      <c r="F14058" s="18"/>
      <c r="G14058" s="36" t="str">
        <f>IF(ISNUMBER(F14058),C14058*F14058,"")</f>
        <v/>
      </c>
    </row>
    <row r="14059" spans="1:7" ht="12" customHeight="1" outlineLevel="3" x14ac:dyDescent="0.2">
      <c r="A14059" s="14" t="s">
        <v>27652</v>
      </c>
      <c r="B14059" s="15" t="s">
        <v>27653</v>
      </c>
      <c r="C14059" s="16">
        <f>559.54/(1+B2)</f>
        <v>559.54</v>
      </c>
      <c r="D14059" s="17" t="s">
        <v>11</v>
      </c>
      <c r="E14059" s="17"/>
      <c r="F14059" s="18"/>
      <c r="G14059" s="36" t="str">
        <f>IF(ISNUMBER(F14059),C14059*F14059,"")</f>
        <v/>
      </c>
    </row>
    <row r="14060" spans="1:7" ht="12" customHeight="1" outlineLevel="3" x14ac:dyDescent="0.2">
      <c r="A14060" s="14" t="s">
        <v>27654</v>
      </c>
      <c r="B14060" s="15" t="s">
        <v>27655</v>
      </c>
      <c r="C14060" s="16">
        <f>495.64/(1+B2)</f>
        <v>495.64</v>
      </c>
      <c r="D14060" s="17" t="s">
        <v>11</v>
      </c>
      <c r="E14060" s="17"/>
      <c r="F14060" s="18"/>
      <c r="G14060" s="36" t="str">
        <f>IF(ISNUMBER(F14060),C14060*F14060,"")</f>
        <v/>
      </c>
    </row>
    <row r="14061" spans="1:7" ht="12" customHeight="1" outlineLevel="3" x14ac:dyDescent="0.2">
      <c r="A14061" s="14" t="s">
        <v>27656</v>
      </c>
      <c r="B14061" s="15" t="s">
        <v>27657</v>
      </c>
      <c r="C14061" s="16">
        <f>613.07/(1+B2)</f>
        <v>613.07000000000005</v>
      </c>
      <c r="D14061" s="17" t="s">
        <v>11</v>
      </c>
      <c r="E14061" s="17"/>
      <c r="F14061" s="18"/>
      <c r="G14061" s="36" t="str">
        <f>IF(ISNUMBER(F14061),C14061*F14061,"")</f>
        <v/>
      </c>
    </row>
    <row r="14062" spans="1:7" ht="12" customHeight="1" outlineLevel="3" x14ac:dyDescent="0.2">
      <c r="A14062" s="14" t="s">
        <v>27658</v>
      </c>
      <c r="B14062" s="15" t="s">
        <v>27659</v>
      </c>
      <c r="C14062" s="16">
        <f>741.28/(1+B2)</f>
        <v>741.28</v>
      </c>
      <c r="D14062" s="17" t="s">
        <v>11</v>
      </c>
      <c r="E14062" s="17"/>
      <c r="F14062" s="18"/>
      <c r="G14062" s="36" t="str">
        <f>IF(ISNUMBER(F14062),C14062*F14062,"")</f>
        <v/>
      </c>
    </row>
    <row r="14063" spans="1:7" ht="12" customHeight="1" outlineLevel="3" x14ac:dyDescent="0.2">
      <c r="A14063" s="14" t="s">
        <v>27660</v>
      </c>
      <c r="B14063" s="15" t="s">
        <v>27661</v>
      </c>
      <c r="C14063" s="16">
        <f>798.6/(1+B2)</f>
        <v>798.6</v>
      </c>
      <c r="D14063" s="17" t="s">
        <v>11</v>
      </c>
      <c r="E14063" s="17"/>
      <c r="F14063" s="18"/>
      <c r="G14063" s="36" t="str">
        <f>IF(ISNUMBER(F14063),C14063*F14063,"")</f>
        <v/>
      </c>
    </row>
    <row r="14064" spans="1:7" ht="12" customHeight="1" outlineLevel="3" x14ac:dyDescent="0.2">
      <c r="A14064" s="14" t="s">
        <v>27662</v>
      </c>
      <c r="B14064" s="15" t="s">
        <v>27663</v>
      </c>
      <c r="C14064" s="16">
        <f>921.06/(1+B2)</f>
        <v>921.06</v>
      </c>
      <c r="D14064" s="17" t="s">
        <v>11</v>
      </c>
      <c r="E14064" s="17"/>
      <c r="F14064" s="18"/>
      <c r="G14064" s="36" t="str">
        <f>IF(ISNUMBER(F14064),C14064*F14064,"")</f>
        <v/>
      </c>
    </row>
    <row r="14065" spans="1:7" ht="12" customHeight="1" outlineLevel="3" x14ac:dyDescent="0.2">
      <c r="A14065" s="14" t="s">
        <v>27664</v>
      </c>
      <c r="B14065" s="15" t="s">
        <v>27665</v>
      </c>
      <c r="C14065" s="16">
        <f>298.22/(1+B2)</f>
        <v>298.22000000000003</v>
      </c>
      <c r="D14065" s="17" t="s">
        <v>11</v>
      </c>
      <c r="E14065" s="17"/>
      <c r="F14065" s="18"/>
      <c r="G14065" s="36" t="str">
        <f>IF(ISNUMBER(F14065),C14065*F14065,"")</f>
        <v/>
      </c>
    </row>
    <row r="14066" spans="1:7" ht="24" customHeight="1" outlineLevel="3" x14ac:dyDescent="0.2">
      <c r="A14066" s="14" t="s">
        <v>27666</v>
      </c>
      <c r="B14066" s="15" t="s">
        <v>27667</v>
      </c>
      <c r="C14066" s="16">
        <f>372.13/(1+B2)</f>
        <v>372.13</v>
      </c>
      <c r="D14066" s="17" t="s">
        <v>11</v>
      </c>
      <c r="E14066" s="17"/>
      <c r="F14066" s="18"/>
      <c r="G14066" s="36" t="str">
        <f>IF(ISNUMBER(F14066),C14066*F14066,"")</f>
        <v/>
      </c>
    </row>
    <row r="14067" spans="1:7" ht="24" customHeight="1" outlineLevel="3" x14ac:dyDescent="0.2">
      <c r="A14067" s="14" t="s">
        <v>27668</v>
      </c>
      <c r="B14067" s="15" t="s">
        <v>27669</v>
      </c>
      <c r="C14067" s="19">
        <f>3208.19/(1+B2)</f>
        <v>3208.19</v>
      </c>
      <c r="D14067" s="17" t="s">
        <v>11</v>
      </c>
      <c r="E14067" s="17"/>
      <c r="F14067" s="18"/>
      <c r="G14067" s="36" t="str">
        <f>IF(ISNUMBER(F14067),C14067*F14067,"")</f>
        <v/>
      </c>
    </row>
    <row r="14068" spans="1:7" ht="24" customHeight="1" outlineLevel="3" x14ac:dyDescent="0.2">
      <c r="A14068" s="14" t="s">
        <v>27670</v>
      </c>
      <c r="B14068" s="15" t="s">
        <v>27671</v>
      </c>
      <c r="C14068" s="19">
        <f>3582.99/(1+B2)</f>
        <v>3582.99</v>
      </c>
      <c r="D14068" s="17" t="s">
        <v>11</v>
      </c>
      <c r="E14068" s="17"/>
      <c r="F14068" s="18"/>
      <c r="G14068" s="36" t="str">
        <f>IF(ISNUMBER(F14068),C14068*F14068,"")</f>
        <v/>
      </c>
    </row>
    <row r="14069" spans="1:7" ht="24" customHeight="1" outlineLevel="3" x14ac:dyDescent="0.2">
      <c r="A14069" s="14" t="s">
        <v>27672</v>
      </c>
      <c r="B14069" s="15" t="s">
        <v>27673</v>
      </c>
      <c r="C14069" s="16">
        <f>548.54/(1+B2)</f>
        <v>548.54</v>
      </c>
      <c r="D14069" s="17" t="s">
        <v>11</v>
      </c>
      <c r="E14069" s="17"/>
      <c r="F14069" s="18"/>
      <c r="G14069" s="36" t="str">
        <f>IF(ISNUMBER(F14069),C14069*F14069,"")</f>
        <v/>
      </c>
    </row>
    <row r="14070" spans="1:7" ht="12" customHeight="1" outlineLevel="3" x14ac:dyDescent="0.2">
      <c r="A14070" s="14" t="s">
        <v>27674</v>
      </c>
      <c r="B14070" s="15" t="s">
        <v>27675</v>
      </c>
      <c r="C14070" s="16">
        <f>629.49/(1+B2)</f>
        <v>629.49</v>
      </c>
      <c r="D14070" s="17" t="s">
        <v>11</v>
      </c>
      <c r="E14070" s="17"/>
      <c r="F14070" s="18"/>
      <c r="G14070" s="36" t="str">
        <f>IF(ISNUMBER(F14070),C14070*F14070,"")</f>
        <v/>
      </c>
    </row>
    <row r="14071" spans="1:7" ht="24" customHeight="1" outlineLevel="3" x14ac:dyDescent="0.2">
      <c r="A14071" s="14" t="s">
        <v>27676</v>
      </c>
      <c r="B14071" s="15" t="s">
        <v>27677</v>
      </c>
      <c r="C14071" s="16">
        <f>329.7/(1+B2)</f>
        <v>329.7</v>
      </c>
      <c r="D14071" s="17" t="s">
        <v>11</v>
      </c>
      <c r="E14071" s="17"/>
      <c r="F14071" s="18"/>
      <c r="G14071" s="36" t="str">
        <f>IF(ISNUMBER(F14071),C14071*F14071,"")</f>
        <v/>
      </c>
    </row>
    <row r="14072" spans="1:7" ht="12" customHeight="1" outlineLevel="3" x14ac:dyDescent="0.2">
      <c r="A14072" s="14" t="s">
        <v>27678</v>
      </c>
      <c r="B14072" s="15" t="s">
        <v>27679</v>
      </c>
      <c r="C14072" s="16">
        <f>310.13/(1+B2)</f>
        <v>310.13</v>
      </c>
      <c r="D14072" s="17" t="s">
        <v>11</v>
      </c>
      <c r="E14072" s="17"/>
      <c r="F14072" s="18"/>
      <c r="G14072" s="36" t="str">
        <f>IF(ISNUMBER(F14072),C14072*F14072,"")</f>
        <v/>
      </c>
    </row>
    <row r="14073" spans="1:7" s="1" customFormat="1" ht="12.95" customHeight="1" outlineLevel="2" x14ac:dyDescent="0.2">
      <c r="A14073" s="20"/>
      <c r="B14073" s="21" t="s">
        <v>27680</v>
      </c>
      <c r="C14073" s="22"/>
      <c r="D14073" s="22"/>
      <c r="E14073" s="22"/>
      <c r="F14073" s="22"/>
      <c r="G14073" s="37"/>
    </row>
    <row r="14074" spans="1:7" ht="12" customHeight="1" outlineLevel="3" x14ac:dyDescent="0.2">
      <c r="A14074" s="14" t="s">
        <v>27681</v>
      </c>
      <c r="B14074" s="15" t="s">
        <v>27682</v>
      </c>
      <c r="C14074" s="19">
        <f>1256.91/(1+B2)</f>
        <v>1256.9100000000001</v>
      </c>
      <c r="D14074" s="17" t="s">
        <v>11</v>
      </c>
      <c r="E14074" s="17"/>
      <c r="F14074" s="18"/>
      <c r="G14074" s="36" t="str">
        <f>IF(ISNUMBER(F14074),C14074*F14074,"")</f>
        <v/>
      </c>
    </row>
    <row r="14075" spans="1:7" ht="12" customHeight="1" outlineLevel="3" x14ac:dyDescent="0.2">
      <c r="A14075" s="14" t="s">
        <v>27683</v>
      </c>
      <c r="B14075" s="15" t="s">
        <v>27684</v>
      </c>
      <c r="C14075" s="19">
        <f>1391.3/(1+B2)</f>
        <v>1391.3</v>
      </c>
      <c r="D14075" s="17" t="s">
        <v>11</v>
      </c>
      <c r="E14075" s="17"/>
      <c r="F14075" s="18"/>
      <c r="G14075" s="36" t="str">
        <f>IF(ISNUMBER(F14075),C14075*F14075,"")</f>
        <v/>
      </c>
    </row>
    <row r="14076" spans="1:7" ht="12" customHeight="1" outlineLevel="3" x14ac:dyDescent="0.2">
      <c r="A14076" s="14" t="s">
        <v>27685</v>
      </c>
      <c r="B14076" s="15" t="s">
        <v>27686</v>
      </c>
      <c r="C14076" s="16">
        <f>575.39/(1+B2)</f>
        <v>575.39</v>
      </c>
      <c r="D14076" s="17" t="s">
        <v>11</v>
      </c>
      <c r="E14076" s="17"/>
      <c r="F14076" s="18"/>
      <c r="G14076" s="36" t="str">
        <f>IF(ISNUMBER(F14076),C14076*F14076,"")</f>
        <v/>
      </c>
    </row>
    <row r="14077" spans="1:7" ht="12" customHeight="1" outlineLevel="3" x14ac:dyDescent="0.2">
      <c r="A14077" s="14" t="s">
        <v>27687</v>
      </c>
      <c r="B14077" s="15" t="s">
        <v>27688</v>
      </c>
      <c r="C14077" s="16">
        <f>659.06/(1+B2)</f>
        <v>659.06</v>
      </c>
      <c r="D14077" s="17" t="s">
        <v>11</v>
      </c>
      <c r="E14077" s="17"/>
      <c r="F14077" s="18"/>
      <c r="G14077" s="36" t="str">
        <f>IF(ISNUMBER(F14077),C14077*F14077,"")</f>
        <v/>
      </c>
    </row>
    <row r="14078" spans="1:7" ht="24" customHeight="1" outlineLevel="3" x14ac:dyDescent="0.2">
      <c r="A14078" s="14" t="s">
        <v>27689</v>
      </c>
      <c r="B14078" s="15" t="s">
        <v>27690</v>
      </c>
      <c r="C14078" s="19">
        <f>1183.92/(1+B2)</f>
        <v>1183.92</v>
      </c>
      <c r="D14078" s="17" t="s">
        <v>11</v>
      </c>
      <c r="E14078" s="17" t="s">
        <v>11</v>
      </c>
      <c r="F14078" s="18"/>
      <c r="G14078" s="36" t="str">
        <f>IF(ISNUMBER(F14078),C14078*F14078,"")</f>
        <v/>
      </c>
    </row>
    <row r="14079" spans="1:7" ht="12" customHeight="1" outlineLevel="3" x14ac:dyDescent="0.2">
      <c r="A14079" s="14" t="s">
        <v>27691</v>
      </c>
      <c r="B14079" s="15" t="s">
        <v>27692</v>
      </c>
      <c r="C14079" s="16">
        <f>924.8/(1+B2)</f>
        <v>924.8</v>
      </c>
      <c r="D14079" s="17" t="s">
        <v>11</v>
      </c>
      <c r="E14079" s="17"/>
      <c r="F14079" s="18"/>
      <c r="G14079" s="36" t="str">
        <f>IF(ISNUMBER(F14079),C14079*F14079,"")</f>
        <v/>
      </c>
    </row>
    <row r="14080" spans="1:7" ht="24" customHeight="1" outlineLevel="3" x14ac:dyDescent="0.2">
      <c r="A14080" s="14" t="s">
        <v>27693</v>
      </c>
      <c r="B14080" s="15" t="s">
        <v>27694</v>
      </c>
      <c r="C14080" s="19">
        <f>1490.8/(1+B2)</f>
        <v>1490.8</v>
      </c>
      <c r="D14080" s="17" t="s">
        <v>11</v>
      </c>
      <c r="E14080" s="17"/>
      <c r="F14080" s="18"/>
      <c r="G14080" s="36" t="str">
        <f>IF(ISNUMBER(F14080),C14080*F14080,"")</f>
        <v/>
      </c>
    </row>
    <row r="14081" spans="1:7" ht="12" customHeight="1" outlineLevel="3" x14ac:dyDescent="0.2">
      <c r="A14081" s="14" t="s">
        <v>27695</v>
      </c>
      <c r="B14081" s="15" t="s">
        <v>27696</v>
      </c>
      <c r="C14081" s="19">
        <f>1732.65/(1+B2)</f>
        <v>1732.65</v>
      </c>
      <c r="D14081" s="17" t="s">
        <v>11</v>
      </c>
      <c r="E14081" s="17"/>
      <c r="F14081" s="18"/>
      <c r="G14081" s="36" t="str">
        <f>IF(ISNUMBER(F14081),C14081*F14081,"")</f>
        <v/>
      </c>
    </row>
    <row r="14082" spans="1:7" ht="12" customHeight="1" outlineLevel="3" x14ac:dyDescent="0.2">
      <c r="A14082" s="14" t="s">
        <v>27697</v>
      </c>
      <c r="B14082" s="15" t="s">
        <v>27698</v>
      </c>
      <c r="C14082" s="19">
        <f>1842.49/(1+B2)</f>
        <v>1842.49</v>
      </c>
      <c r="D14082" s="17" t="s">
        <v>11</v>
      </c>
      <c r="E14082" s="17"/>
      <c r="F14082" s="18"/>
      <c r="G14082" s="36" t="str">
        <f>IF(ISNUMBER(F14082),C14082*F14082,"")</f>
        <v/>
      </c>
    </row>
    <row r="14083" spans="1:7" ht="24" customHeight="1" outlineLevel="3" x14ac:dyDescent="0.2">
      <c r="A14083" s="14" t="s">
        <v>27699</v>
      </c>
      <c r="B14083" s="15" t="s">
        <v>27700</v>
      </c>
      <c r="C14083" s="16">
        <f>710.79/(1+B2)</f>
        <v>710.79</v>
      </c>
      <c r="D14083" s="17" t="s">
        <v>14</v>
      </c>
      <c r="E14083" s="17" t="s">
        <v>14</v>
      </c>
      <c r="F14083" s="18"/>
      <c r="G14083" s="36" t="str">
        <f>IF(ISNUMBER(F14083),C14083*F14083,"")</f>
        <v/>
      </c>
    </row>
    <row r="14084" spans="1:7" ht="12" customHeight="1" outlineLevel="3" x14ac:dyDescent="0.2">
      <c r="A14084" s="14" t="s">
        <v>27701</v>
      </c>
      <c r="B14084" s="15" t="s">
        <v>27702</v>
      </c>
      <c r="C14084" s="19">
        <f>1134/(1+B2)</f>
        <v>1134</v>
      </c>
      <c r="D14084" s="17" t="s">
        <v>11</v>
      </c>
      <c r="E14084" s="17"/>
      <c r="F14084" s="18"/>
      <c r="G14084" s="36" t="str">
        <f>IF(ISNUMBER(F14084),C14084*F14084,"")</f>
        <v/>
      </c>
    </row>
    <row r="14085" spans="1:7" ht="24" customHeight="1" outlineLevel="3" x14ac:dyDescent="0.2">
      <c r="A14085" s="14" t="s">
        <v>27703</v>
      </c>
      <c r="B14085" s="15" t="s">
        <v>27704</v>
      </c>
      <c r="C14085" s="16">
        <f>670/(1+B2)</f>
        <v>670</v>
      </c>
      <c r="D14085" s="17" t="s">
        <v>14</v>
      </c>
      <c r="E14085" s="17" t="s">
        <v>53</v>
      </c>
      <c r="F14085" s="18"/>
      <c r="G14085" s="36" t="str">
        <f>IF(ISNUMBER(F14085),C14085*F14085,"")</f>
        <v/>
      </c>
    </row>
    <row r="14086" spans="1:7" ht="24" customHeight="1" outlineLevel="3" x14ac:dyDescent="0.2">
      <c r="A14086" s="14" t="s">
        <v>27705</v>
      </c>
      <c r="B14086" s="15" t="s">
        <v>27706</v>
      </c>
      <c r="C14086" s="16">
        <f>802.33/(1+B2)</f>
        <v>802.33</v>
      </c>
      <c r="D14086" s="17" t="s">
        <v>14</v>
      </c>
      <c r="E14086" s="17" t="s">
        <v>11</v>
      </c>
      <c r="F14086" s="18"/>
      <c r="G14086" s="36" t="str">
        <f>IF(ISNUMBER(F14086),C14086*F14086,"")</f>
        <v/>
      </c>
    </row>
    <row r="14087" spans="1:7" ht="12" customHeight="1" outlineLevel="3" x14ac:dyDescent="0.2">
      <c r="A14087" s="14" t="s">
        <v>27707</v>
      </c>
      <c r="B14087" s="15" t="s">
        <v>27708</v>
      </c>
      <c r="C14087" s="16">
        <f>573.29/(1+B2)</f>
        <v>573.29</v>
      </c>
      <c r="D14087" s="17" t="s">
        <v>11</v>
      </c>
      <c r="E14087" s="17"/>
      <c r="F14087" s="18"/>
      <c r="G14087" s="36" t="str">
        <f>IF(ISNUMBER(F14087),C14087*F14087,"")</f>
        <v/>
      </c>
    </row>
    <row r="14088" spans="1:7" ht="24" customHeight="1" outlineLevel="3" x14ac:dyDescent="0.2">
      <c r="A14088" s="14" t="s">
        <v>27709</v>
      </c>
      <c r="B14088" s="15" t="s">
        <v>27710</v>
      </c>
      <c r="C14088" s="16">
        <f>560.75/(1+B2)</f>
        <v>560.75</v>
      </c>
      <c r="D14088" s="17" t="s">
        <v>11</v>
      </c>
      <c r="E14088" s="17" t="s">
        <v>106</v>
      </c>
      <c r="F14088" s="18"/>
      <c r="G14088" s="36" t="str">
        <f>IF(ISNUMBER(F14088),C14088*F14088,"")</f>
        <v/>
      </c>
    </row>
    <row r="14089" spans="1:7" ht="24" customHeight="1" outlineLevel="3" x14ac:dyDescent="0.2">
      <c r="A14089" s="14" t="s">
        <v>27711</v>
      </c>
      <c r="B14089" s="15" t="s">
        <v>27712</v>
      </c>
      <c r="C14089" s="16">
        <f>641.08/(1+B2)</f>
        <v>641.08000000000004</v>
      </c>
      <c r="D14089" s="17" t="s">
        <v>11</v>
      </c>
      <c r="E14089" s="17" t="s">
        <v>106</v>
      </c>
      <c r="F14089" s="18"/>
      <c r="G14089" s="36" t="str">
        <f>IF(ISNUMBER(F14089),C14089*F14089,"")</f>
        <v/>
      </c>
    </row>
    <row r="14090" spans="1:7" ht="12" customHeight="1" outlineLevel="3" x14ac:dyDescent="0.2">
      <c r="A14090" s="14" t="s">
        <v>27713</v>
      </c>
      <c r="B14090" s="15" t="s">
        <v>27714</v>
      </c>
      <c r="C14090" s="16">
        <f>699.47/(1+B2)</f>
        <v>699.47</v>
      </c>
      <c r="D14090" s="17" t="s">
        <v>11</v>
      </c>
      <c r="E14090" s="17"/>
      <c r="F14090" s="18"/>
      <c r="G14090" s="36" t="str">
        <f>IF(ISNUMBER(F14090),C14090*F14090,"")</f>
        <v/>
      </c>
    </row>
    <row r="14091" spans="1:7" ht="12" customHeight="1" outlineLevel="3" x14ac:dyDescent="0.2">
      <c r="A14091" s="14" t="s">
        <v>27715</v>
      </c>
      <c r="B14091" s="15" t="s">
        <v>27716</v>
      </c>
      <c r="C14091" s="16">
        <f>790.67/(1+B2)</f>
        <v>790.67</v>
      </c>
      <c r="D14091" s="17" t="s">
        <v>11</v>
      </c>
      <c r="E14091" s="17"/>
      <c r="F14091" s="18"/>
      <c r="G14091" s="36" t="str">
        <f>IF(ISNUMBER(F14091),C14091*F14091,"")</f>
        <v/>
      </c>
    </row>
    <row r="14092" spans="1:7" ht="12" customHeight="1" outlineLevel="3" x14ac:dyDescent="0.2">
      <c r="A14092" s="14" t="s">
        <v>27717</v>
      </c>
      <c r="B14092" s="15" t="s">
        <v>27718</v>
      </c>
      <c r="C14092" s="16">
        <f>744.79/(1+B2)</f>
        <v>744.79</v>
      </c>
      <c r="D14092" s="17" t="s">
        <v>11</v>
      </c>
      <c r="E14092" s="17"/>
      <c r="F14092" s="18"/>
      <c r="G14092" s="36" t="str">
        <f>IF(ISNUMBER(F14092),C14092*F14092,"")</f>
        <v/>
      </c>
    </row>
    <row r="14093" spans="1:7" ht="12" customHeight="1" outlineLevel="3" x14ac:dyDescent="0.2">
      <c r="A14093" s="14" t="s">
        <v>27719</v>
      </c>
      <c r="B14093" s="15" t="s">
        <v>27720</v>
      </c>
      <c r="C14093" s="16">
        <f>523.29/(1+B2)</f>
        <v>523.29</v>
      </c>
      <c r="D14093" s="17" t="s">
        <v>11</v>
      </c>
      <c r="E14093" s="17"/>
      <c r="F14093" s="18"/>
      <c r="G14093" s="36" t="str">
        <f>IF(ISNUMBER(F14093),C14093*F14093,"")</f>
        <v/>
      </c>
    </row>
    <row r="14094" spans="1:7" ht="12" customHeight="1" outlineLevel="3" x14ac:dyDescent="0.2">
      <c r="A14094" s="14" t="s">
        <v>27721</v>
      </c>
      <c r="B14094" s="15" t="s">
        <v>27722</v>
      </c>
      <c r="C14094" s="19">
        <f>1273.5/(1+B2)</f>
        <v>1273.5</v>
      </c>
      <c r="D14094" s="17" t="s">
        <v>11</v>
      </c>
      <c r="E14094" s="17"/>
      <c r="F14094" s="18"/>
      <c r="G14094" s="36" t="str">
        <f>IF(ISNUMBER(F14094),C14094*F14094,"")</f>
        <v/>
      </c>
    </row>
    <row r="14095" spans="1:7" ht="24" customHeight="1" outlineLevel="3" x14ac:dyDescent="0.2">
      <c r="A14095" s="14" t="s">
        <v>27723</v>
      </c>
      <c r="B14095" s="15" t="s">
        <v>27724</v>
      </c>
      <c r="C14095" s="19">
        <f>1719.3/(1+B2)</f>
        <v>1719.3</v>
      </c>
      <c r="D14095" s="17" t="s">
        <v>11</v>
      </c>
      <c r="E14095" s="17" t="s">
        <v>11</v>
      </c>
      <c r="F14095" s="18"/>
      <c r="G14095" s="36" t="str">
        <f>IF(ISNUMBER(F14095),C14095*F14095,"")</f>
        <v/>
      </c>
    </row>
    <row r="14096" spans="1:7" ht="12" customHeight="1" outlineLevel="3" x14ac:dyDescent="0.2">
      <c r="A14096" s="14" t="s">
        <v>27725</v>
      </c>
      <c r="B14096" s="15" t="s">
        <v>27726</v>
      </c>
      <c r="C14096" s="16">
        <f>751/(1+B2)</f>
        <v>751</v>
      </c>
      <c r="D14096" s="17" t="s">
        <v>11</v>
      </c>
      <c r="E14096" s="17"/>
      <c r="F14096" s="18"/>
      <c r="G14096" s="36" t="str">
        <f>IF(ISNUMBER(F14096),C14096*F14096,"")</f>
        <v/>
      </c>
    </row>
    <row r="14097" spans="1:7" ht="12" customHeight="1" outlineLevel="3" x14ac:dyDescent="0.2">
      <c r="A14097" s="14" t="s">
        <v>27727</v>
      </c>
      <c r="B14097" s="15" t="s">
        <v>27728</v>
      </c>
      <c r="C14097" s="16">
        <f>749/(1+B2)</f>
        <v>749</v>
      </c>
      <c r="D14097" s="17" t="s">
        <v>11</v>
      </c>
      <c r="E14097" s="17" t="s">
        <v>14</v>
      </c>
      <c r="F14097" s="18"/>
      <c r="G14097" s="36" t="str">
        <f>IF(ISNUMBER(F14097),C14097*F14097,"")</f>
        <v/>
      </c>
    </row>
    <row r="14098" spans="1:7" ht="12" customHeight="1" outlineLevel="3" x14ac:dyDescent="0.2">
      <c r="A14098" s="14" t="s">
        <v>27729</v>
      </c>
      <c r="B14098" s="15" t="s">
        <v>27730</v>
      </c>
      <c r="C14098" s="16">
        <f>788.85/(1+B2)</f>
        <v>788.85</v>
      </c>
      <c r="D14098" s="17" t="s">
        <v>11</v>
      </c>
      <c r="E14098" s="17" t="s">
        <v>11</v>
      </c>
      <c r="F14098" s="18"/>
      <c r="G14098" s="36" t="str">
        <f>IF(ISNUMBER(F14098),C14098*F14098,"")</f>
        <v/>
      </c>
    </row>
    <row r="14099" spans="1:7" ht="12" customHeight="1" outlineLevel="3" x14ac:dyDescent="0.2">
      <c r="A14099" s="14" t="s">
        <v>27731</v>
      </c>
      <c r="B14099" s="15" t="s">
        <v>27732</v>
      </c>
      <c r="C14099" s="16">
        <f>639/(1+B2)</f>
        <v>639</v>
      </c>
      <c r="D14099" s="17" t="s">
        <v>11</v>
      </c>
      <c r="E14099" s="17"/>
      <c r="F14099" s="18"/>
      <c r="G14099" s="36" t="str">
        <f>IF(ISNUMBER(F14099),C14099*F14099,"")</f>
        <v/>
      </c>
    </row>
    <row r="14100" spans="1:7" ht="12" customHeight="1" outlineLevel="3" x14ac:dyDescent="0.2">
      <c r="A14100" s="14" t="s">
        <v>27733</v>
      </c>
      <c r="B14100" s="15" t="s">
        <v>27734</v>
      </c>
      <c r="C14100" s="16">
        <f>727/(1+B2)</f>
        <v>727</v>
      </c>
      <c r="D14100" s="17" t="s">
        <v>11</v>
      </c>
      <c r="E14100" s="17" t="s">
        <v>11</v>
      </c>
      <c r="F14100" s="18"/>
      <c r="G14100" s="36" t="str">
        <f>IF(ISNUMBER(F14100),C14100*F14100,"")</f>
        <v/>
      </c>
    </row>
    <row r="14101" spans="1:7" ht="12" customHeight="1" outlineLevel="3" x14ac:dyDescent="0.2">
      <c r="A14101" s="14" t="s">
        <v>27735</v>
      </c>
      <c r="B14101" s="15" t="s">
        <v>27736</v>
      </c>
      <c r="C14101" s="16">
        <f>796/(1+B2)</f>
        <v>796</v>
      </c>
      <c r="D14101" s="17" t="s">
        <v>11</v>
      </c>
      <c r="E14101" s="17" t="s">
        <v>11</v>
      </c>
      <c r="F14101" s="18"/>
      <c r="G14101" s="36" t="str">
        <f>IF(ISNUMBER(F14101),C14101*F14101,"")</f>
        <v/>
      </c>
    </row>
    <row r="14102" spans="1:7" ht="12" customHeight="1" outlineLevel="3" x14ac:dyDescent="0.2">
      <c r="A14102" s="14" t="s">
        <v>27737</v>
      </c>
      <c r="B14102" s="15" t="s">
        <v>27738</v>
      </c>
      <c r="C14102" s="19">
        <f>1725/(1+B2)</f>
        <v>1725</v>
      </c>
      <c r="D14102" s="17" t="s">
        <v>11</v>
      </c>
      <c r="E14102" s="17"/>
      <c r="F14102" s="18"/>
      <c r="G14102" s="36" t="str">
        <f>IF(ISNUMBER(F14102),C14102*F14102,"")</f>
        <v/>
      </c>
    </row>
    <row r="14103" spans="1:7" ht="12" customHeight="1" outlineLevel="3" x14ac:dyDescent="0.2">
      <c r="A14103" s="14" t="s">
        <v>27739</v>
      </c>
      <c r="B14103" s="15" t="s">
        <v>27740</v>
      </c>
      <c r="C14103" s="19">
        <f>1725/(1+B2)</f>
        <v>1725</v>
      </c>
      <c r="D14103" s="17" t="s">
        <v>11</v>
      </c>
      <c r="E14103" s="17"/>
      <c r="F14103" s="18"/>
      <c r="G14103" s="36" t="str">
        <f>IF(ISNUMBER(F14103),C14103*F14103,"")</f>
        <v/>
      </c>
    </row>
    <row r="14104" spans="1:7" ht="12" customHeight="1" outlineLevel="3" x14ac:dyDescent="0.2">
      <c r="A14104" s="14" t="s">
        <v>27741</v>
      </c>
      <c r="B14104" s="15" t="s">
        <v>27742</v>
      </c>
      <c r="C14104" s="16">
        <f>530.5/(1+B2)</f>
        <v>530.5</v>
      </c>
      <c r="D14104" s="17" t="s">
        <v>11</v>
      </c>
      <c r="E14104" s="17"/>
      <c r="F14104" s="18"/>
      <c r="G14104" s="36" t="str">
        <f>IF(ISNUMBER(F14104),C14104*F14104,"")</f>
        <v/>
      </c>
    </row>
    <row r="14105" spans="1:7" ht="12" customHeight="1" outlineLevel="3" x14ac:dyDescent="0.2">
      <c r="A14105" s="14" t="s">
        <v>27743</v>
      </c>
      <c r="B14105" s="15" t="s">
        <v>27744</v>
      </c>
      <c r="C14105" s="16">
        <f>551.87/(1+B2)</f>
        <v>551.87</v>
      </c>
      <c r="D14105" s="17" t="s">
        <v>11</v>
      </c>
      <c r="E14105" s="17"/>
      <c r="F14105" s="18"/>
      <c r="G14105" s="36" t="str">
        <f>IF(ISNUMBER(F14105),C14105*F14105,"")</f>
        <v/>
      </c>
    </row>
    <row r="14106" spans="1:7" ht="12" customHeight="1" outlineLevel="3" x14ac:dyDescent="0.2">
      <c r="A14106" s="14" t="s">
        <v>27745</v>
      </c>
      <c r="B14106" s="15" t="s">
        <v>27746</v>
      </c>
      <c r="C14106" s="16">
        <f>664.02/(1+B2)</f>
        <v>664.02</v>
      </c>
      <c r="D14106" s="17" t="s">
        <v>11</v>
      </c>
      <c r="E14106" s="17"/>
      <c r="F14106" s="18"/>
      <c r="G14106" s="36" t="str">
        <f>IF(ISNUMBER(F14106),C14106*F14106,"")</f>
        <v/>
      </c>
    </row>
    <row r="14107" spans="1:7" ht="24" customHeight="1" outlineLevel="3" x14ac:dyDescent="0.2">
      <c r="A14107" s="14" t="s">
        <v>27747</v>
      </c>
      <c r="B14107" s="15" t="s">
        <v>27748</v>
      </c>
      <c r="C14107" s="16">
        <f>829.73/(1+B2)</f>
        <v>829.73</v>
      </c>
      <c r="D14107" s="17" t="s">
        <v>11</v>
      </c>
      <c r="E14107" s="17"/>
      <c r="F14107" s="18"/>
      <c r="G14107" s="36" t="str">
        <f>IF(ISNUMBER(F14107),C14107*F14107,"")</f>
        <v/>
      </c>
    </row>
    <row r="14108" spans="1:7" ht="12" customHeight="1" outlineLevel="3" x14ac:dyDescent="0.2">
      <c r="A14108" s="14" t="s">
        <v>27749</v>
      </c>
      <c r="B14108" s="15" t="s">
        <v>27750</v>
      </c>
      <c r="C14108" s="16">
        <f>733.29/(1+B2)</f>
        <v>733.29</v>
      </c>
      <c r="D14108" s="17" t="s">
        <v>11</v>
      </c>
      <c r="E14108" s="17" t="s">
        <v>53</v>
      </c>
      <c r="F14108" s="18"/>
      <c r="G14108" s="36" t="str">
        <f>IF(ISNUMBER(F14108),C14108*F14108,"")</f>
        <v/>
      </c>
    </row>
    <row r="14109" spans="1:7" ht="12" customHeight="1" outlineLevel="3" x14ac:dyDescent="0.2">
      <c r="A14109" s="14" t="s">
        <v>27751</v>
      </c>
      <c r="B14109" s="15" t="s">
        <v>27752</v>
      </c>
      <c r="C14109" s="16">
        <f>161.67/(1+B2)</f>
        <v>161.66999999999999</v>
      </c>
      <c r="D14109" s="17" t="s">
        <v>11</v>
      </c>
      <c r="E14109" s="17" t="s">
        <v>14</v>
      </c>
      <c r="F14109" s="18"/>
      <c r="G14109" s="36" t="str">
        <f>IF(ISNUMBER(F14109),C14109*F14109,"")</f>
        <v/>
      </c>
    </row>
    <row r="14110" spans="1:7" ht="12" customHeight="1" outlineLevel="3" x14ac:dyDescent="0.2">
      <c r="A14110" s="14" t="s">
        <v>27753</v>
      </c>
      <c r="B14110" s="15" t="s">
        <v>27754</v>
      </c>
      <c r="C14110" s="16">
        <f>166.51/(1+B2)</f>
        <v>166.51</v>
      </c>
      <c r="D14110" s="17" t="s">
        <v>11</v>
      </c>
      <c r="E14110" s="17" t="s">
        <v>14</v>
      </c>
      <c r="F14110" s="18"/>
      <c r="G14110" s="36" t="str">
        <f>IF(ISNUMBER(F14110),C14110*F14110,"")</f>
        <v/>
      </c>
    </row>
    <row r="14111" spans="1:7" ht="12" customHeight="1" outlineLevel="3" x14ac:dyDescent="0.2">
      <c r="A14111" s="14" t="s">
        <v>27755</v>
      </c>
      <c r="B14111" s="15" t="s">
        <v>27756</v>
      </c>
      <c r="C14111" s="16">
        <f>93.75/(1+B2)</f>
        <v>93.75</v>
      </c>
      <c r="D14111" s="17" t="s">
        <v>11</v>
      </c>
      <c r="E14111" s="17" t="s">
        <v>106</v>
      </c>
      <c r="F14111" s="18"/>
      <c r="G14111" s="36" t="str">
        <f>IF(ISNUMBER(F14111),C14111*F14111,"")</f>
        <v/>
      </c>
    </row>
    <row r="14112" spans="1:7" ht="12" customHeight="1" outlineLevel="3" x14ac:dyDescent="0.2">
      <c r="A14112" s="14" t="s">
        <v>27757</v>
      </c>
      <c r="B14112" s="15" t="s">
        <v>27758</v>
      </c>
      <c r="C14112" s="16">
        <f>106.25/(1+B2)</f>
        <v>106.25</v>
      </c>
      <c r="D14112" s="17" t="s">
        <v>11</v>
      </c>
      <c r="E14112" s="17" t="s">
        <v>106</v>
      </c>
      <c r="F14112" s="18"/>
      <c r="G14112" s="36" t="str">
        <f>IF(ISNUMBER(F14112),C14112*F14112,"")</f>
        <v/>
      </c>
    </row>
    <row r="14113" spans="1:7" s="1" customFormat="1" ht="12.95" customHeight="1" outlineLevel="2" x14ac:dyDescent="0.2">
      <c r="A14113" s="20"/>
      <c r="B14113" s="21" t="s">
        <v>27759</v>
      </c>
      <c r="C14113" s="22"/>
      <c r="D14113" s="22"/>
      <c r="E14113" s="22"/>
      <c r="F14113" s="22"/>
      <c r="G14113" s="37"/>
    </row>
    <row r="14114" spans="1:7" ht="12" customHeight="1" outlineLevel="3" x14ac:dyDescent="0.2">
      <c r="A14114" s="14" t="s">
        <v>27760</v>
      </c>
      <c r="B14114" s="15" t="s">
        <v>27761</v>
      </c>
      <c r="C14114" s="16">
        <f>170.17/(1+B2)</f>
        <v>170.17</v>
      </c>
      <c r="D14114" s="17" t="s">
        <v>11</v>
      </c>
      <c r="E14114" s="17"/>
      <c r="F14114" s="18"/>
      <c r="G14114" s="36" t="str">
        <f>IF(ISNUMBER(F14114),C14114*F14114,"")</f>
        <v/>
      </c>
    </row>
    <row r="14115" spans="1:7" ht="24" customHeight="1" outlineLevel="3" x14ac:dyDescent="0.2">
      <c r="A14115" s="14" t="s">
        <v>27762</v>
      </c>
      <c r="B14115" s="15" t="s">
        <v>27763</v>
      </c>
      <c r="C14115" s="16">
        <f>377.54/(1+B2)</f>
        <v>377.54</v>
      </c>
      <c r="D14115" s="17" t="s">
        <v>11</v>
      </c>
      <c r="E14115" s="17"/>
      <c r="F14115" s="18"/>
      <c r="G14115" s="36" t="str">
        <f>IF(ISNUMBER(F14115),C14115*F14115,"")</f>
        <v/>
      </c>
    </row>
    <row r="14116" spans="1:7" ht="24" customHeight="1" outlineLevel="3" x14ac:dyDescent="0.2">
      <c r="A14116" s="14" t="s">
        <v>27764</v>
      </c>
      <c r="B14116" s="15" t="s">
        <v>27765</v>
      </c>
      <c r="C14116" s="16">
        <f>206.39/(1+B2)</f>
        <v>206.39</v>
      </c>
      <c r="D14116" s="17" t="s">
        <v>53</v>
      </c>
      <c r="E14116" s="17"/>
      <c r="F14116" s="18"/>
      <c r="G14116" s="36" t="str">
        <f>IF(ISNUMBER(F14116),C14116*F14116,"")</f>
        <v/>
      </c>
    </row>
    <row r="14117" spans="1:7" ht="12" customHeight="1" outlineLevel="3" x14ac:dyDescent="0.2">
      <c r="A14117" s="14" t="s">
        <v>27766</v>
      </c>
      <c r="B14117" s="15" t="s">
        <v>27767</v>
      </c>
      <c r="C14117" s="16">
        <f>737.44/(1+B2)</f>
        <v>737.44</v>
      </c>
      <c r="D14117" s="17" t="s">
        <v>11</v>
      </c>
      <c r="E14117" s="17" t="s">
        <v>11</v>
      </c>
      <c r="F14117" s="18"/>
      <c r="G14117" s="36" t="str">
        <f>IF(ISNUMBER(F14117),C14117*F14117,"")</f>
        <v/>
      </c>
    </row>
    <row r="14118" spans="1:7" ht="12" customHeight="1" outlineLevel="3" x14ac:dyDescent="0.2">
      <c r="A14118" s="14" t="s">
        <v>27768</v>
      </c>
      <c r="B14118" s="15" t="s">
        <v>27769</v>
      </c>
      <c r="C14118" s="16">
        <f>425.96/(1+B2)</f>
        <v>425.96</v>
      </c>
      <c r="D14118" s="17" t="s">
        <v>11</v>
      </c>
      <c r="E14118" s="17"/>
      <c r="F14118" s="18"/>
      <c r="G14118" s="36" t="str">
        <f>IF(ISNUMBER(F14118),C14118*F14118,"")</f>
        <v/>
      </c>
    </row>
    <row r="14119" spans="1:7" ht="12" customHeight="1" outlineLevel="3" x14ac:dyDescent="0.2">
      <c r="A14119" s="14" t="s">
        <v>27770</v>
      </c>
      <c r="B14119" s="15" t="s">
        <v>27771</v>
      </c>
      <c r="C14119" s="16">
        <f>365.76/(1+B2)</f>
        <v>365.76</v>
      </c>
      <c r="D14119" s="17" t="s">
        <v>11</v>
      </c>
      <c r="E14119" s="17" t="s">
        <v>53</v>
      </c>
      <c r="F14119" s="18"/>
      <c r="G14119" s="36" t="str">
        <f>IF(ISNUMBER(F14119),C14119*F14119,"")</f>
        <v/>
      </c>
    </row>
    <row r="14120" spans="1:7" ht="12" customHeight="1" outlineLevel="3" x14ac:dyDescent="0.2">
      <c r="A14120" s="14" t="s">
        <v>27772</v>
      </c>
      <c r="B14120" s="15" t="s">
        <v>27773</v>
      </c>
      <c r="C14120" s="19">
        <f>1236.31/(1+B2)</f>
        <v>1236.31</v>
      </c>
      <c r="D14120" s="17" t="s">
        <v>11</v>
      </c>
      <c r="E14120" s="17" t="s">
        <v>53</v>
      </c>
      <c r="F14120" s="18"/>
      <c r="G14120" s="36" t="str">
        <f>IF(ISNUMBER(F14120),C14120*F14120,"")</f>
        <v/>
      </c>
    </row>
    <row r="14121" spans="1:7" ht="12" customHeight="1" outlineLevel="3" x14ac:dyDescent="0.2">
      <c r="A14121" s="14" t="s">
        <v>27774</v>
      </c>
      <c r="B14121" s="15" t="s">
        <v>27775</v>
      </c>
      <c r="C14121" s="19">
        <f>1868.94/(1+B2)</f>
        <v>1868.94</v>
      </c>
      <c r="D14121" s="17" t="s">
        <v>11</v>
      </c>
      <c r="E14121" s="17" t="s">
        <v>11</v>
      </c>
      <c r="F14121" s="18"/>
      <c r="G14121" s="36" t="str">
        <f>IF(ISNUMBER(F14121),C14121*F14121,"")</f>
        <v/>
      </c>
    </row>
    <row r="14122" spans="1:7" ht="12" customHeight="1" outlineLevel="3" x14ac:dyDescent="0.2">
      <c r="A14122" s="14" t="s">
        <v>27776</v>
      </c>
      <c r="B14122" s="15" t="s">
        <v>27777</v>
      </c>
      <c r="C14122" s="16">
        <f>820.28/(1+B2)</f>
        <v>820.28</v>
      </c>
      <c r="D14122" s="17" t="s">
        <v>11</v>
      </c>
      <c r="E14122" s="17" t="s">
        <v>11</v>
      </c>
      <c r="F14122" s="18"/>
      <c r="G14122" s="36" t="str">
        <f>IF(ISNUMBER(F14122),C14122*F14122,"")</f>
        <v/>
      </c>
    </row>
    <row r="14123" spans="1:7" ht="12" customHeight="1" outlineLevel="3" x14ac:dyDescent="0.2">
      <c r="A14123" s="14" t="s">
        <v>27778</v>
      </c>
      <c r="B14123" s="15" t="s">
        <v>27779</v>
      </c>
      <c r="C14123" s="19">
        <f>1875/(1+B2)</f>
        <v>1875</v>
      </c>
      <c r="D14123" s="17" t="s">
        <v>11</v>
      </c>
      <c r="E14123" s="17" t="s">
        <v>14</v>
      </c>
      <c r="F14123" s="18"/>
      <c r="G14123" s="36" t="str">
        <f>IF(ISNUMBER(F14123),C14123*F14123,"")</f>
        <v/>
      </c>
    </row>
    <row r="14124" spans="1:7" ht="12" customHeight="1" outlineLevel="3" x14ac:dyDescent="0.2">
      <c r="A14124" s="14" t="s">
        <v>27780</v>
      </c>
      <c r="B14124" s="15" t="s">
        <v>27781</v>
      </c>
      <c r="C14124" s="19">
        <f>1085.12/(1+B2)</f>
        <v>1085.1199999999999</v>
      </c>
      <c r="D14124" s="17" t="s">
        <v>11</v>
      </c>
      <c r="E14124" s="17" t="s">
        <v>11</v>
      </c>
      <c r="F14124" s="18"/>
      <c r="G14124" s="36" t="str">
        <f>IF(ISNUMBER(F14124),C14124*F14124,"")</f>
        <v/>
      </c>
    </row>
    <row r="14125" spans="1:7" ht="12" customHeight="1" outlineLevel="3" x14ac:dyDescent="0.2">
      <c r="A14125" s="14" t="s">
        <v>27782</v>
      </c>
      <c r="B14125" s="15" t="s">
        <v>27783</v>
      </c>
      <c r="C14125" s="19">
        <f>1031/(1+B2)</f>
        <v>1031</v>
      </c>
      <c r="D14125" s="17" t="s">
        <v>11</v>
      </c>
      <c r="E14125" s="17" t="s">
        <v>14</v>
      </c>
      <c r="F14125" s="18"/>
      <c r="G14125" s="36" t="str">
        <f>IF(ISNUMBER(F14125),C14125*F14125,"")</f>
        <v/>
      </c>
    </row>
    <row r="14126" spans="1:7" ht="12" customHeight="1" outlineLevel="3" x14ac:dyDescent="0.2">
      <c r="A14126" s="14" t="s">
        <v>27784</v>
      </c>
      <c r="B14126" s="15" t="s">
        <v>27785</v>
      </c>
      <c r="C14126" s="16">
        <f>556.63/(1+B2)</f>
        <v>556.63</v>
      </c>
      <c r="D14126" s="17" t="s">
        <v>11</v>
      </c>
      <c r="E14126" s="17" t="s">
        <v>53</v>
      </c>
      <c r="F14126" s="18"/>
      <c r="G14126" s="36" t="str">
        <f>IF(ISNUMBER(F14126),C14126*F14126,"")</f>
        <v/>
      </c>
    </row>
    <row r="14127" spans="1:7" ht="12" customHeight="1" outlineLevel="3" x14ac:dyDescent="0.2">
      <c r="A14127" s="14" t="s">
        <v>27786</v>
      </c>
      <c r="B14127" s="15" t="s">
        <v>27787</v>
      </c>
      <c r="C14127" s="19">
        <f>1999/(1+B2)</f>
        <v>1999</v>
      </c>
      <c r="D14127" s="17" t="s">
        <v>11</v>
      </c>
      <c r="E14127" s="17" t="s">
        <v>11</v>
      </c>
      <c r="F14127" s="18"/>
      <c r="G14127" s="36" t="str">
        <f>IF(ISNUMBER(F14127),C14127*F14127,"")</f>
        <v/>
      </c>
    </row>
    <row r="14128" spans="1:7" ht="12" customHeight="1" outlineLevel="3" x14ac:dyDescent="0.2">
      <c r="A14128" s="14" t="s">
        <v>27788</v>
      </c>
      <c r="B14128" s="15" t="s">
        <v>27789</v>
      </c>
      <c r="C14128" s="16">
        <f>763.35/(1+B2)</f>
        <v>763.35</v>
      </c>
      <c r="D14128" s="17" t="s">
        <v>11</v>
      </c>
      <c r="E14128" s="17" t="s">
        <v>53</v>
      </c>
      <c r="F14128" s="18"/>
      <c r="G14128" s="36" t="str">
        <f>IF(ISNUMBER(F14128),C14128*F14128,"")</f>
        <v/>
      </c>
    </row>
    <row r="14129" spans="1:7" ht="12" customHeight="1" outlineLevel="3" x14ac:dyDescent="0.2">
      <c r="A14129" s="14" t="s">
        <v>27790</v>
      </c>
      <c r="B14129" s="15" t="s">
        <v>27791</v>
      </c>
      <c r="C14129" s="16">
        <f>132.91/(1+B2)</f>
        <v>132.91</v>
      </c>
      <c r="D14129" s="17" t="s">
        <v>11</v>
      </c>
      <c r="E14129" s="17"/>
      <c r="F14129" s="18"/>
      <c r="G14129" s="36" t="str">
        <f>IF(ISNUMBER(F14129),C14129*F14129,"")</f>
        <v/>
      </c>
    </row>
    <row r="14130" spans="1:7" ht="12" customHeight="1" outlineLevel="3" x14ac:dyDescent="0.2">
      <c r="A14130" s="14" t="s">
        <v>27792</v>
      </c>
      <c r="B14130" s="15" t="s">
        <v>27793</v>
      </c>
      <c r="C14130" s="16">
        <f>303.98/(1+B2)</f>
        <v>303.98</v>
      </c>
      <c r="D14130" s="17" t="s">
        <v>11</v>
      </c>
      <c r="E14130" s="17"/>
      <c r="F14130" s="18"/>
      <c r="G14130" s="36" t="str">
        <f>IF(ISNUMBER(F14130),C14130*F14130,"")</f>
        <v/>
      </c>
    </row>
    <row r="14131" spans="1:7" ht="12" customHeight="1" outlineLevel="3" x14ac:dyDescent="0.2">
      <c r="A14131" s="14" t="s">
        <v>27794</v>
      </c>
      <c r="B14131" s="15" t="s">
        <v>27795</v>
      </c>
      <c r="C14131" s="16">
        <f>849.34/(1+B2)</f>
        <v>849.34</v>
      </c>
      <c r="D14131" s="17" t="s">
        <v>11</v>
      </c>
      <c r="E14131" s="17"/>
      <c r="F14131" s="18"/>
      <c r="G14131" s="36" t="str">
        <f>IF(ISNUMBER(F14131),C14131*F14131,"")</f>
        <v/>
      </c>
    </row>
    <row r="14132" spans="1:7" ht="24" customHeight="1" outlineLevel="3" x14ac:dyDescent="0.2">
      <c r="A14132" s="14" t="s">
        <v>27796</v>
      </c>
      <c r="B14132" s="15" t="s">
        <v>27797</v>
      </c>
      <c r="C14132" s="16">
        <f>156.25/(1+B2)</f>
        <v>156.25</v>
      </c>
      <c r="D14132" s="17" t="s">
        <v>11</v>
      </c>
      <c r="E14132" s="17" t="s">
        <v>11</v>
      </c>
      <c r="F14132" s="18"/>
      <c r="G14132" s="36" t="str">
        <f>IF(ISNUMBER(F14132),C14132*F14132,"")</f>
        <v/>
      </c>
    </row>
    <row r="14133" spans="1:7" s="1" customFormat="1" ht="15.95" customHeight="1" outlineLevel="1" x14ac:dyDescent="0.25">
      <c r="A14133" s="11"/>
      <c r="B14133" s="12" t="s">
        <v>27798</v>
      </c>
      <c r="C14133" s="13"/>
      <c r="D14133" s="13"/>
      <c r="E14133" s="13"/>
      <c r="F14133" s="13"/>
      <c r="G14133" s="35"/>
    </row>
    <row r="14134" spans="1:7" ht="24" customHeight="1" outlineLevel="2" x14ac:dyDescent="0.2">
      <c r="A14134" s="14" t="s">
        <v>27799</v>
      </c>
      <c r="B14134" s="15" t="s">
        <v>27800</v>
      </c>
      <c r="C14134" s="16">
        <f>203.02/(1+B2)</f>
        <v>203.02</v>
      </c>
      <c r="D14134" s="17" t="s">
        <v>11</v>
      </c>
      <c r="E14134" s="17" t="s">
        <v>11</v>
      </c>
      <c r="F14134" s="18"/>
      <c r="G14134" s="36" t="str">
        <f>IF(ISNUMBER(F14134),C14134*F14134,"")</f>
        <v/>
      </c>
    </row>
    <row r="14135" spans="1:7" ht="12" customHeight="1" outlineLevel="2" x14ac:dyDescent="0.2">
      <c r="A14135" s="14" t="s">
        <v>27801</v>
      </c>
      <c r="B14135" s="15" t="s">
        <v>27802</v>
      </c>
      <c r="C14135" s="16">
        <f>97.35/(1+B2)</f>
        <v>97.35</v>
      </c>
      <c r="D14135" s="17" t="s">
        <v>11</v>
      </c>
      <c r="E14135" s="17"/>
      <c r="F14135" s="18"/>
      <c r="G14135" s="36" t="str">
        <f>IF(ISNUMBER(F14135),C14135*F14135,"")</f>
        <v/>
      </c>
    </row>
    <row r="14136" spans="1:7" ht="12" customHeight="1" outlineLevel="2" x14ac:dyDescent="0.2">
      <c r="A14136" s="14" t="s">
        <v>27803</v>
      </c>
      <c r="B14136" s="15" t="s">
        <v>27804</v>
      </c>
      <c r="C14136" s="16">
        <f>203.02/(1+B2)</f>
        <v>203.02</v>
      </c>
      <c r="D14136" s="17" t="s">
        <v>11</v>
      </c>
      <c r="E14136" s="17"/>
      <c r="F14136" s="18"/>
      <c r="G14136" s="36" t="str">
        <f>IF(ISNUMBER(F14136),C14136*F14136,"")</f>
        <v/>
      </c>
    </row>
    <row r="14137" spans="1:7" ht="12" customHeight="1" outlineLevel="2" x14ac:dyDescent="0.2">
      <c r="A14137" s="14" t="s">
        <v>27805</v>
      </c>
      <c r="B14137" s="15" t="s">
        <v>27806</v>
      </c>
      <c r="C14137" s="16">
        <f>103.88/(1+B2)</f>
        <v>103.88</v>
      </c>
      <c r="D14137" s="17" t="s">
        <v>11</v>
      </c>
      <c r="E14137" s="17" t="s">
        <v>11</v>
      </c>
      <c r="F14137" s="18"/>
      <c r="G14137" s="36" t="str">
        <f>IF(ISNUMBER(F14137),C14137*F14137,"")</f>
        <v/>
      </c>
    </row>
    <row r="14138" spans="1:7" ht="12" customHeight="1" outlineLevel="2" x14ac:dyDescent="0.2">
      <c r="A14138" s="14" t="s">
        <v>27807</v>
      </c>
      <c r="B14138" s="15" t="s">
        <v>27808</v>
      </c>
      <c r="C14138" s="16">
        <f>239.48/(1+B2)</f>
        <v>239.48</v>
      </c>
      <c r="D14138" s="17" t="s">
        <v>11</v>
      </c>
      <c r="E14138" s="17" t="s">
        <v>11</v>
      </c>
      <c r="F14138" s="18"/>
      <c r="G14138" s="36" t="str">
        <f>IF(ISNUMBER(F14138),C14138*F14138,"")</f>
        <v/>
      </c>
    </row>
    <row r="14139" spans="1:7" ht="12" customHeight="1" outlineLevel="2" x14ac:dyDescent="0.2">
      <c r="A14139" s="14" t="s">
        <v>27809</v>
      </c>
      <c r="B14139" s="15" t="s">
        <v>27810</v>
      </c>
      <c r="C14139" s="16">
        <f>96.13/(1+B2)</f>
        <v>96.13</v>
      </c>
      <c r="D14139" s="17" t="s">
        <v>11</v>
      </c>
      <c r="E14139" s="17" t="s">
        <v>11</v>
      </c>
      <c r="F14139" s="18"/>
      <c r="G14139" s="36" t="str">
        <f>IF(ISNUMBER(F14139),C14139*F14139,"")</f>
        <v/>
      </c>
    </row>
    <row r="14140" spans="1:7" ht="12" customHeight="1" outlineLevel="2" x14ac:dyDescent="0.2">
      <c r="A14140" s="14" t="s">
        <v>27811</v>
      </c>
      <c r="B14140" s="15" t="s">
        <v>27812</v>
      </c>
      <c r="C14140" s="16">
        <f>166.9/(1+B2)</f>
        <v>166.9</v>
      </c>
      <c r="D14140" s="17" t="s">
        <v>11</v>
      </c>
      <c r="E14140" s="17"/>
      <c r="F14140" s="18"/>
      <c r="G14140" s="36" t="str">
        <f>IF(ISNUMBER(F14140),C14140*F14140,"")</f>
        <v/>
      </c>
    </row>
    <row r="14141" spans="1:7" ht="12" customHeight="1" outlineLevel="2" x14ac:dyDescent="0.2">
      <c r="A14141" s="14" t="s">
        <v>27813</v>
      </c>
      <c r="B14141" s="15" t="s">
        <v>27814</v>
      </c>
      <c r="C14141" s="19">
        <f>1333.95/(1+B2)</f>
        <v>1333.95</v>
      </c>
      <c r="D14141" s="17" t="s">
        <v>11</v>
      </c>
      <c r="E14141" s="17"/>
      <c r="F14141" s="18"/>
      <c r="G14141" s="36" t="str">
        <f>IF(ISNUMBER(F14141),C14141*F14141,"")</f>
        <v/>
      </c>
    </row>
    <row r="14142" spans="1:7" ht="12" customHeight="1" outlineLevel="2" x14ac:dyDescent="0.2">
      <c r="A14142" s="14" t="s">
        <v>27815</v>
      </c>
      <c r="B14142" s="15" t="s">
        <v>27816</v>
      </c>
      <c r="C14142" s="16">
        <f>56.45/(1+B2)</f>
        <v>56.45</v>
      </c>
      <c r="D14142" s="17" t="s">
        <v>11</v>
      </c>
      <c r="E14142" s="17"/>
      <c r="F14142" s="18"/>
      <c r="G14142" s="36" t="str">
        <f>IF(ISNUMBER(F14142),C14142*F14142,"")</f>
        <v/>
      </c>
    </row>
    <row r="14143" spans="1:7" ht="12" customHeight="1" outlineLevel="2" x14ac:dyDescent="0.2">
      <c r="A14143" s="14" t="s">
        <v>27817</v>
      </c>
      <c r="B14143" s="15" t="s">
        <v>27818</v>
      </c>
      <c r="C14143" s="16">
        <f>105.29/(1+B2)</f>
        <v>105.29</v>
      </c>
      <c r="D14143" s="17" t="s">
        <v>11</v>
      </c>
      <c r="E14143" s="17"/>
      <c r="F14143" s="18"/>
      <c r="G14143" s="36" t="str">
        <f>IF(ISNUMBER(F14143),C14143*F14143,"")</f>
        <v/>
      </c>
    </row>
    <row r="14144" spans="1:7" ht="12" customHeight="1" outlineLevel="2" x14ac:dyDescent="0.2">
      <c r="A14144" s="14" t="s">
        <v>27819</v>
      </c>
      <c r="B14144" s="15" t="s">
        <v>27820</v>
      </c>
      <c r="C14144" s="16">
        <f>155.23/(1+B2)</f>
        <v>155.22999999999999</v>
      </c>
      <c r="D14144" s="17" t="s">
        <v>11</v>
      </c>
      <c r="E14144" s="17"/>
      <c r="F14144" s="18"/>
      <c r="G14144" s="36" t="str">
        <f>IF(ISNUMBER(F14144),C14144*F14144,"")</f>
        <v/>
      </c>
    </row>
    <row r="14145" spans="1:7" ht="24" customHeight="1" outlineLevel="2" x14ac:dyDescent="0.2">
      <c r="A14145" s="14" t="s">
        <v>27821</v>
      </c>
      <c r="B14145" s="15" t="s">
        <v>27822</v>
      </c>
      <c r="C14145" s="16">
        <f>253.02/(1+B2)</f>
        <v>253.02</v>
      </c>
      <c r="D14145" s="17" t="s">
        <v>11</v>
      </c>
      <c r="E14145" s="17" t="s">
        <v>11</v>
      </c>
      <c r="F14145" s="18"/>
      <c r="G14145" s="36" t="str">
        <f>IF(ISNUMBER(F14145),C14145*F14145,"")</f>
        <v/>
      </c>
    </row>
    <row r="14146" spans="1:7" s="1" customFormat="1" ht="15.95" customHeight="1" outlineLevel="1" x14ac:dyDescent="0.25">
      <c r="A14146" s="11"/>
      <c r="B14146" s="12" t="s">
        <v>27823</v>
      </c>
      <c r="C14146" s="13"/>
      <c r="D14146" s="13"/>
      <c r="E14146" s="13"/>
      <c r="F14146" s="13"/>
      <c r="G14146" s="35"/>
    </row>
    <row r="14147" spans="1:7" ht="12" customHeight="1" outlineLevel="2" x14ac:dyDescent="0.2">
      <c r="A14147" s="14" t="s">
        <v>27824</v>
      </c>
      <c r="B14147" s="15" t="s">
        <v>27825</v>
      </c>
      <c r="C14147" s="16">
        <f>220.85/(1+B2)</f>
        <v>220.85</v>
      </c>
      <c r="D14147" s="17" t="s">
        <v>11</v>
      </c>
      <c r="E14147" s="17"/>
      <c r="F14147" s="18"/>
      <c r="G14147" s="36" t="str">
        <f>IF(ISNUMBER(F14147),C14147*F14147,"")</f>
        <v/>
      </c>
    </row>
    <row r="14148" spans="1:7" ht="12" customHeight="1" outlineLevel="2" x14ac:dyDescent="0.2">
      <c r="A14148" s="14" t="s">
        <v>27826</v>
      </c>
      <c r="B14148" s="15" t="s">
        <v>27827</v>
      </c>
      <c r="C14148" s="16">
        <f>90.41/(1+B2)</f>
        <v>90.41</v>
      </c>
      <c r="D14148" s="17" t="s">
        <v>11</v>
      </c>
      <c r="E14148" s="17"/>
      <c r="F14148" s="18"/>
      <c r="G14148" s="36" t="str">
        <f>IF(ISNUMBER(F14148),C14148*F14148,"")</f>
        <v/>
      </c>
    </row>
    <row r="14149" spans="1:7" ht="12" customHeight="1" outlineLevel="2" x14ac:dyDescent="0.2">
      <c r="A14149" s="14" t="s">
        <v>27828</v>
      </c>
      <c r="B14149" s="15" t="s">
        <v>27829</v>
      </c>
      <c r="C14149" s="16">
        <f>199.01/(1+B2)</f>
        <v>199.01</v>
      </c>
      <c r="D14149" s="17" t="s">
        <v>11</v>
      </c>
      <c r="E14149" s="17"/>
      <c r="F14149" s="18"/>
      <c r="G14149" s="36" t="str">
        <f>IF(ISNUMBER(F14149),C14149*F14149,"")</f>
        <v/>
      </c>
    </row>
    <row r="14150" spans="1:7" ht="12" customHeight="1" outlineLevel="2" x14ac:dyDescent="0.2">
      <c r="A14150" s="14" t="s">
        <v>27830</v>
      </c>
      <c r="B14150" s="15" t="s">
        <v>27831</v>
      </c>
      <c r="C14150" s="16">
        <f>213.95/(1+B2)</f>
        <v>213.95</v>
      </c>
      <c r="D14150" s="17" t="s">
        <v>11</v>
      </c>
      <c r="E14150" s="17"/>
      <c r="F14150" s="18"/>
      <c r="G14150" s="36" t="str">
        <f>IF(ISNUMBER(F14150),C14150*F14150,"")</f>
        <v/>
      </c>
    </row>
    <row r="14151" spans="1:7" ht="12" customHeight="1" outlineLevel="2" x14ac:dyDescent="0.2">
      <c r="A14151" s="14" t="s">
        <v>27832</v>
      </c>
      <c r="B14151" s="15" t="s">
        <v>27833</v>
      </c>
      <c r="C14151" s="16">
        <f>280.21/(1+B2)</f>
        <v>280.20999999999998</v>
      </c>
      <c r="D14151" s="17" t="s">
        <v>11</v>
      </c>
      <c r="E14151" s="17"/>
      <c r="F14151" s="18"/>
      <c r="G14151" s="36" t="str">
        <f>IF(ISNUMBER(F14151),C14151*F14151,"")</f>
        <v/>
      </c>
    </row>
    <row r="14152" spans="1:7" ht="12" customHeight="1" outlineLevel="2" x14ac:dyDescent="0.2">
      <c r="A14152" s="14" t="s">
        <v>27834</v>
      </c>
      <c r="B14152" s="15" t="s">
        <v>27835</v>
      </c>
      <c r="C14152" s="16">
        <f>678.21/(1+B2)</f>
        <v>678.21</v>
      </c>
      <c r="D14152" s="17" t="s">
        <v>11</v>
      </c>
      <c r="E14152" s="17"/>
      <c r="F14152" s="18"/>
      <c r="G14152" s="36" t="str">
        <f>IF(ISNUMBER(F14152),C14152*F14152,"")</f>
        <v/>
      </c>
    </row>
    <row r="14153" spans="1:7" ht="12" customHeight="1" outlineLevel="2" x14ac:dyDescent="0.2">
      <c r="A14153" s="14" t="s">
        <v>27836</v>
      </c>
      <c r="B14153" s="15" t="s">
        <v>27837</v>
      </c>
      <c r="C14153" s="16">
        <f>510.54/(1+B2)</f>
        <v>510.54</v>
      </c>
      <c r="D14153" s="17" t="s">
        <v>11</v>
      </c>
      <c r="E14153" s="17"/>
      <c r="F14153" s="18"/>
      <c r="G14153" s="36" t="str">
        <f>IF(ISNUMBER(F14153),C14153*F14153,"")</f>
        <v/>
      </c>
    </row>
    <row r="14154" spans="1:7" ht="12" customHeight="1" outlineLevel="2" x14ac:dyDescent="0.2">
      <c r="A14154" s="14" t="s">
        <v>27838</v>
      </c>
      <c r="B14154" s="15" t="s">
        <v>27839</v>
      </c>
      <c r="C14154" s="16">
        <f>847.92/(1+B2)</f>
        <v>847.92</v>
      </c>
      <c r="D14154" s="17" t="s">
        <v>11</v>
      </c>
      <c r="E14154" s="17"/>
      <c r="F14154" s="18"/>
      <c r="G14154" s="36" t="str">
        <f>IF(ISNUMBER(F14154),C14154*F14154,"")</f>
        <v/>
      </c>
    </row>
    <row r="14155" spans="1:7" ht="12" customHeight="1" outlineLevel="2" x14ac:dyDescent="0.2">
      <c r="A14155" s="14" t="s">
        <v>27840</v>
      </c>
      <c r="B14155" s="15" t="s">
        <v>27841</v>
      </c>
      <c r="C14155" s="19">
        <f>1885.84/(1+B2)</f>
        <v>1885.84</v>
      </c>
      <c r="D14155" s="17" t="s">
        <v>11</v>
      </c>
      <c r="E14155" s="17"/>
      <c r="F14155" s="18"/>
      <c r="G14155" s="36" t="str">
        <f>IF(ISNUMBER(F14155),C14155*F14155,"")</f>
        <v/>
      </c>
    </row>
    <row r="14156" spans="1:7" ht="12" customHeight="1" outlineLevel="2" x14ac:dyDescent="0.2">
      <c r="A14156" s="14" t="s">
        <v>27842</v>
      </c>
      <c r="B14156" s="15" t="s">
        <v>27843</v>
      </c>
      <c r="C14156" s="19">
        <f>2770.67/(1+B2)</f>
        <v>2770.67</v>
      </c>
      <c r="D14156" s="17" t="s">
        <v>11</v>
      </c>
      <c r="E14156" s="17" t="s">
        <v>11</v>
      </c>
      <c r="F14156" s="18"/>
      <c r="G14156" s="36" t="str">
        <f>IF(ISNUMBER(F14156),C14156*F14156,"")</f>
        <v/>
      </c>
    </row>
    <row r="14157" spans="1:7" ht="12" customHeight="1" outlineLevel="2" x14ac:dyDescent="0.2">
      <c r="A14157" s="14" t="s">
        <v>27844</v>
      </c>
      <c r="B14157" s="15" t="s">
        <v>27845</v>
      </c>
      <c r="C14157" s="16">
        <f>258.66/(1+B2)</f>
        <v>258.66000000000003</v>
      </c>
      <c r="D14157" s="17" t="s">
        <v>11</v>
      </c>
      <c r="E14157" s="17"/>
      <c r="F14157" s="18"/>
      <c r="G14157" s="36" t="str">
        <f>IF(ISNUMBER(F14157),C14157*F14157,"")</f>
        <v/>
      </c>
    </row>
    <row r="14158" spans="1:7" ht="12" customHeight="1" outlineLevel="2" x14ac:dyDescent="0.2">
      <c r="A14158" s="14" t="s">
        <v>27846</v>
      </c>
      <c r="B14158" s="15" t="s">
        <v>27847</v>
      </c>
      <c r="C14158" s="16">
        <f>288.97/(1+B2)</f>
        <v>288.97000000000003</v>
      </c>
      <c r="D14158" s="17" t="s">
        <v>11</v>
      </c>
      <c r="E14158" s="17"/>
      <c r="F14158" s="18"/>
      <c r="G14158" s="36" t="str">
        <f>IF(ISNUMBER(F14158),C14158*F14158,"")</f>
        <v/>
      </c>
    </row>
    <row r="14159" spans="1:7" ht="12" customHeight="1" outlineLevel="2" x14ac:dyDescent="0.2">
      <c r="A14159" s="14" t="s">
        <v>27848</v>
      </c>
      <c r="B14159" s="15" t="s">
        <v>27849</v>
      </c>
      <c r="C14159" s="16">
        <f>313.48/(1+B2)</f>
        <v>313.48</v>
      </c>
      <c r="D14159" s="17" t="s">
        <v>11</v>
      </c>
      <c r="E14159" s="17"/>
      <c r="F14159" s="18"/>
      <c r="G14159" s="36" t="str">
        <f>IF(ISNUMBER(F14159),C14159*F14159,"")</f>
        <v/>
      </c>
    </row>
    <row r="14160" spans="1:7" ht="12" customHeight="1" outlineLevel="2" x14ac:dyDescent="0.2">
      <c r="A14160" s="14" t="s">
        <v>27850</v>
      </c>
      <c r="B14160" s="15" t="s">
        <v>27851</v>
      </c>
      <c r="C14160" s="16">
        <f>342.66/(1+B2)</f>
        <v>342.66</v>
      </c>
      <c r="D14160" s="17" t="s">
        <v>11</v>
      </c>
      <c r="E14160" s="17"/>
      <c r="F14160" s="18"/>
      <c r="G14160" s="36" t="str">
        <f>IF(ISNUMBER(F14160),C14160*F14160,"")</f>
        <v/>
      </c>
    </row>
    <row r="14161" spans="1:7" ht="12" customHeight="1" outlineLevel="2" x14ac:dyDescent="0.2">
      <c r="A14161" s="14" t="s">
        <v>27852</v>
      </c>
      <c r="B14161" s="15" t="s">
        <v>27853</v>
      </c>
      <c r="C14161" s="19">
        <f>1175.14/(1+B2)</f>
        <v>1175.1400000000001</v>
      </c>
      <c r="D14161" s="17" t="s">
        <v>11</v>
      </c>
      <c r="E14161" s="17"/>
      <c r="F14161" s="18"/>
      <c r="G14161" s="36" t="str">
        <f>IF(ISNUMBER(F14161),C14161*F14161,"")</f>
        <v/>
      </c>
    </row>
    <row r="14162" spans="1:7" ht="24" customHeight="1" outlineLevel="2" x14ac:dyDescent="0.2">
      <c r="A14162" s="14" t="s">
        <v>27854</v>
      </c>
      <c r="B14162" s="15" t="s">
        <v>27855</v>
      </c>
      <c r="C14162" s="16">
        <f>549.25/(1+B2)</f>
        <v>549.25</v>
      </c>
      <c r="D14162" s="17" t="s">
        <v>11</v>
      </c>
      <c r="E14162" s="17"/>
      <c r="F14162" s="18"/>
      <c r="G14162" s="36" t="str">
        <f>IF(ISNUMBER(F14162),C14162*F14162,"")</f>
        <v/>
      </c>
    </row>
    <row r="14163" spans="1:7" ht="24" customHeight="1" outlineLevel="2" x14ac:dyDescent="0.2">
      <c r="A14163" s="14" t="s">
        <v>27856</v>
      </c>
      <c r="B14163" s="15" t="s">
        <v>27857</v>
      </c>
      <c r="C14163" s="16">
        <f>925.66/(1+B2)</f>
        <v>925.66</v>
      </c>
      <c r="D14163" s="17" t="s">
        <v>11</v>
      </c>
      <c r="E14163" s="17"/>
      <c r="F14163" s="18"/>
      <c r="G14163" s="36" t="str">
        <f>IF(ISNUMBER(F14163),C14163*F14163,"")</f>
        <v/>
      </c>
    </row>
    <row r="14164" spans="1:7" ht="12" customHeight="1" outlineLevel="2" x14ac:dyDescent="0.2">
      <c r="A14164" s="14" t="s">
        <v>27858</v>
      </c>
      <c r="B14164" s="15" t="s">
        <v>27859</v>
      </c>
      <c r="C14164" s="16">
        <f>792.24/(1+B2)</f>
        <v>792.24</v>
      </c>
      <c r="D14164" s="17" t="s">
        <v>11</v>
      </c>
      <c r="E14164" s="17"/>
      <c r="F14164" s="18"/>
      <c r="G14164" s="36" t="str">
        <f>IF(ISNUMBER(F14164),C14164*F14164,"")</f>
        <v/>
      </c>
    </row>
    <row r="14165" spans="1:7" ht="12" customHeight="1" outlineLevel="2" x14ac:dyDescent="0.2">
      <c r="A14165" s="14" t="s">
        <v>27860</v>
      </c>
      <c r="B14165" s="15" t="s">
        <v>27861</v>
      </c>
      <c r="C14165" s="16">
        <f>177.02/(1+B2)</f>
        <v>177.02</v>
      </c>
      <c r="D14165" s="17" t="s">
        <v>11</v>
      </c>
      <c r="E14165" s="17"/>
      <c r="F14165" s="18"/>
      <c r="G14165" s="36" t="str">
        <f>IF(ISNUMBER(F14165),C14165*F14165,"")</f>
        <v/>
      </c>
    </row>
    <row r="14166" spans="1:7" ht="12" customHeight="1" outlineLevel="2" x14ac:dyDescent="0.2">
      <c r="A14166" s="14" t="s">
        <v>27862</v>
      </c>
      <c r="B14166" s="15" t="s">
        <v>27863</v>
      </c>
      <c r="C14166" s="16">
        <f>186.33/(1+B2)</f>
        <v>186.33</v>
      </c>
      <c r="D14166" s="17" t="s">
        <v>11</v>
      </c>
      <c r="E14166" s="17"/>
      <c r="F14166" s="18"/>
      <c r="G14166" s="36" t="str">
        <f>IF(ISNUMBER(F14166),C14166*F14166,"")</f>
        <v/>
      </c>
    </row>
    <row r="14167" spans="1:7" ht="12" customHeight="1" outlineLevel="2" x14ac:dyDescent="0.2">
      <c r="A14167" s="14" t="s">
        <v>27864</v>
      </c>
      <c r="B14167" s="15" t="s">
        <v>27865</v>
      </c>
      <c r="C14167" s="16">
        <f>628.02/(1+B2)</f>
        <v>628.02</v>
      </c>
      <c r="D14167" s="17" t="s">
        <v>11</v>
      </c>
      <c r="E14167" s="17"/>
      <c r="F14167" s="18"/>
      <c r="G14167" s="36" t="str">
        <f>IF(ISNUMBER(F14167),C14167*F14167,"")</f>
        <v/>
      </c>
    </row>
    <row r="14168" spans="1:7" ht="12" customHeight="1" outlineLevel="2" x14ac:dyDescent="0.2">
      <c r="A14168" s="14" t="s">
        <v>27866</v>
      </c>
      <c r="B14168" s="15" t="s">
        <v>27867</v>
      </c>
      <c r="C14168" s="16">
        <f>772.39/(1+B2)</f>
        <v>772.39</v>
      </c>
      <c r="D14168" s="17" t="s">
        <v>11</v>
      </c>
      <c r="E14168" s="17"/>
      <c r="F14168" s="18"/>
      <c r="G14168" s="36" t="str">
        <f>IF(ISNUMBER(F14168),C14168*F14168,"")</f>
        <v/>
      </c>
    </row>
    <row r="14169" spans="1:7" ht="12" customHeight="1" outlineLevel="2" x14ac:dyDescent="0.2">
      <c r="A14169" s="14" t="s">
        <v>27868</v>
      </c>
      <c r="B14169" s="15" t="s">
        <v>27869</v>
      </c>
      <c r="C14169" s="16">
        <f>906.45/(1+B2)</f>
        <v>906.45</v>
      </c>
      <c r="D14169" s="17" t="s">
        <v>11</v>
      </c>
      <c r="E14169" s="17"/>
      <c r="F14169" s="18"/>
      <c r="G14169" s="36" t="str">
        <f>IF(ISNUMBER(F14169),C14169*F14169,"")</f>
        <v/>
      </c>
    </row>
    <row r="14170" spans="1:7" ht="12" customHeight="1" outlineLevel="2" x14ac:dyDescent="0.2">
      <c r="A14170" s="14" t="s">
        <v>27870</v>
      </c>
      <c r="B14170" s="15" t="s">
        <v>27871</v>
      </c>
      <c r="C14170" s="16">
        <f>473.33/(1+B2)</f>
        <v>473.33</v>
      </c>
      <c r="D14170" s="17" t="s">
        <v>11</v>
      </c>
      <c r="E14170" s="17"/>
      <c r="F14170" s="18"/>
      <c r="G14170" s="36" t="str">
        <f>IF(ISNUMBER(F14170),C14170*F14170,"")</f>
        <v/>
      </c>
    </row>
    <row r="14171" spans="1:7" ht="24" customHeight="1" outlineLevel="2" x14ac:dyDescent="0.2">
      <c r="A14171" s="14" t="s">
        <v>27872</v>
      </c>
      <c r="B14171" s="15" t="s">
        <v>27873</v>
      </c>
      <c r="C14171" s="19">
        <f>1497.6/(1+B2)</f>
        <v>1497.6</v>
      </c>
      <c r="D14171" s="17" t="s">
        <v>11</v>
      </c>
      <c r="E14171" s="17"/>
      <c r="F14171" s="18"/>
      <c r="G14171" s="36" t="str">
        <f>IF(ISNUMBER(F14171),C14171*F14171,"")</f>
        <v/>
      </c>
    </row>
    <row r="14172" spans="1:7" ht="12" customHeight="1" outlineLevel="2" x14ac:dyDescent="0.2">
      <c r="A14172" s="14" t="s">
        <v>27874</v>
      </c>
      <c r="B14172" s="15" t="s">
        <v>27875</v>
      </c>
      <c r="C14172" s="16">
        <f>425.03/(1+B2)</f>
        <v>425.03</v>
      </c>
      <c r="D14172" s="17" t="s">
        <v>11</v>
      </c>
      <c r="E14172" s="17"/>
      <c r="F14172" s="18"/>
      <c r="G14172" s="36" t="str">
        <f>IF(ISNUMBER(F14172),C14172*F14172,"")</f>
        <v/>
      </c>
    </row>
    <row r="14173" spans="1:7" ht="12" customHeight="1" outlineLevel="2" x14ac:dyDescent="0.2">
      <c r="A14173" s="14" t="s">
        <v>27876</v>
      </c>
      <c r="B14173" s="15" t="s">
        <v>27877</v>
      </c>
      <c r="C14173" s="19">
        <f>1015.41/(1+B2)</f>
        <v>1015.41</v>
      </c>
      <c r="D14173" s="17" t="s">
        <v>11</v>
      </c>
      <c r="E14173" s="17"/>
      <c r="F14173" s="18"/>
      <c r="G14173" s="36" t="str">
        <f>IF(ISNUMBER(F14173),C14173*F14173,"")</f>
        <v/>
      </c>
    </row>
    <row r="14174" spans="1:7" ht="12" customHeight="1" outlineLevel="2" x14ac:dyDescent="0.2">
      <c r="A14174" s="14" t="s">
        <v>27878</v>
      </c>
      <c r="B14174" s="15" t="s">
        <v>27879</v>
      </c>
      <c r="C14174" s="16">
        <f>180.89/(1+B2)</f>
        <v>180.89</v>
      </c>
      <c r="D14174" s="17" t="s">
        <v>11</v>
      </c>
      <c r="E14174" s="17"/>
      <c r="F14174" s="18"/>
      <c r="G14174" s="36" t="str">
        <f>IF(ISNUMBER(F14174),C14174*F14174,"")</f>
        <v/>
      </c>
    </row>
    <row r="14175" spans="1:7" ht="12" customHeight="1" outlineLevel="2" x14ac:dyDescent="0.2">
      <c r="A14175" s="14" t="s">
        <v>27880</v>
      </c>
      <c r="B14175" s="15" t="s">
        <v>27881</v>
      </c>
      <c r="C14175" s="16">
        <f>302.63/(1+B2)</f>
        <v>302.63</v>
      </c>
      <c r="D14175" s="17" t="s">
        <v>11</v>
      </c>
      <c r="E14175" s="17"/>
      <c r="F14175" s="18"/>
      <c r="G14175" s="36" t="str">
        <f>IF(ISNUMBER(F14175),C14175*F14175,"")</f>
        <v/>
      </c>
    </row>
    <row r="14176" spans="1:7" ht="12" customHeight="1" outlineLevel="2" x14ac:dyDescent="0.2">
      <c r="A14176" s="14" t="s">
        <v>27882</v>
      </c>
      <c r="B14176" s="15" t="s">
        <v>27883</v>
      </c>
      <c r="C14176" s="16">
        <f>254.07/(1+B2)</f>
        <v>254.07</v>
      </c>
      <c r="D14176" s="17" t="s">
        <v>11</v>
      </c>
      <c r="E14176" s="17"/>
      <c r="F14176" s="18"/>
      <c r="G14176" s="36" t="str">
        <f>IF(ISNUMBER(F14176),C14176*F14176,"")</f>
        <v/>
      </c>
    </row>
    <row r="14177" spans="1:7" ht="12" customHeight="1" outlineLevel="2" x14ac:dyDescent="0.2">
      <c r="A14177" s="14" t="s">
        <v>27884</v>
      </c>
      <c r="B14177" s="15" t="s">
        <v>27885</v>
      </c>
      <c r="C14177" s="16">
        <f>459.5/(1+B2)</f>
        <v>459.5</v>
      </c>
      <c r="D14177" s="17" t="s">
        <v>11</v>
      </c>
      <c r="E14177" s="17"/>
      <c r="F14177" s="18"/>
      <c r="G14177" s="36" t="str">
        <f>IF(ISNUMBER(F14177),C14177*F14177,"")</f>
        <v/>
      </c>
    </row>
    <row r="14178" spans="1:7" ht="12" customHeight="1" outlineLevel="2" x14ac:dyDescent="0.2">
      <c r="A14178" s="14" t="s">
        <v>27886</v>
      </c>
      <c r="B14178" s="15" t="s">
        <v>27887</v>
      </c>
      <c r="C14178" s="16">
        <f>672.94/(1+B2)</f>
        <v>672.94</v>
      </c>
      <c r="D14178" s="17" t="s">
        <v>11</v>
      </c>
      <c r="E14178" s="17"/>
      <c r="F14178" s="18"/>
      <c r="G14178" s="36" t="str">
        <f>IF(ISNUMBER(F14178),C14178*F14178,"")</f>
        <v/>
      </c>
    </row>
    <row r="14179" spans="1:7" ht="12" customHeight="1" outlineLevel="2" x14ac:dyDescent="0.2">
      <c r="A14179" s="14" t="s">
        <v>27888</v>
      </c>
      <c r="B14179" s="15" t="s">
        <v>27889</v>
      </c>
      <c r="C14179" s="19">
        <f>1467.48/(1+B2)</f>
        <v>1467.48</v>
      </c>
      <c r="D14179" s="17" t="s">
        <v>11</v>
      </c>
      <c r="E14179" s="17"/>
      <c r="F14179" s="18"/>
      <c r="G14179" s="36" t="str">
        <f>IF(ISNUMBER(F14179),C14179*F14179,"")</f>
        <v/>
      </c>
    </row>
    <row r="14180" spans="1:7" ht="12" customHeight="1" outlineLevel="2" x14ac:dyDescent="0.2">
      <c r="A14180" s="14" t="s">
        <v>27890</v>
      </c>
      <c r="B14180" s="15" t="s">
        <v>27891</v>
      </c>
      <c r="C14180" s="19">
        <f>1811.88/(1+B2)</f>
        <v>1811.88</v>
      </c>
      <c r="D14180" s="17" t="s">
        <v>11</v>
      </c>
      <c r="E14180" s="17"/>
      <c r="F14180" s="18"/>
      <c r="G14180" s="36" t="str">
        <f>IF(ISNUMBER(F14180),C14180*F14180,"")</f>
        <v/>
      </c>
    </row>
    <row r="14181" spans="1:7" ht="12" customHeight="1" outlineLevel="2" x14ac:dyDescent="0.2">
      <c r="A14181" s="14" t="s">
        <v>27892</v>
      </c>
      <c r="B14181" s="15" t="s">
        <v>27893</v>
      </c>
      <c r="C14181" s="16">
        <f>341.24/(1+B2)</f>
        <v>341.24</v>
      </c>
      <c r="D14181" s="17" t="s">
        <v>11</v>
      </c>
      <c r="E14181" s="17"/>
      <c r="F14181" s="18"/>
      <c r="G14181" s="36" t="str">
        <f>IF(ISNUMBER(F14181),C14181*F14181,"")</f>
        <v/>
      </c>
    </row>
    <row r="14182" spans="1:7" ht="12" customHeight="1" outlineLevel="2" x14ac:dyDescent="0.2">
      <c r="A14182" s="14" t="s">
        <v>27894</v>
      </c>
      <c r="B14182" s="15" t="s">
        <v>27895</v>
      </c>
      <c r="C14182" s="16">
        <f>124.32/(1+B2)</f>
        <v>124.32</v>
      </c>
      <c r="D14182" s="17" t="s">
        <v>11</v>
      </c>
      <c r="E14182" s="17"/>
      <c r="F14182" s="18"/>
      <c r="G14182" s="36" t="str">
        <f>IF(ISNUMBER(F14182),C14182*F14182,"")</f>
        <v/>
      </c>
    </row>
    <row r="14183" spans="1:7" ht="12" customHeight="1" outlineLevel="2" x14ac:dyDescent="0.2">
      <c r="A14183" s="14" t="s">
        <v>27896</v>
      </c>
      <c r="B14183" s="15" t="s">
        <v>27897</v>
      </c>
      <c r="C14183" s="16">
        <f>182.6/(1+B2)</f>
        <v>182.6</v>
      </c>
      <c r="D14183" s="17" t="s">
        <v>11</v>
      </c>
      <c r="E14183" s="17"/>
      <c r="F14183" s="18"/>
      <c r="G14183" s="36" t="str">
        <f>IF(ISNUMBER(F14183),C14183*F14183,"")</f>
        <v/>
      </c>
    </row>
    <row r="14184" spans="1:7" ht="12" customHeight="1" outlineLevel="2" x14ac:dyDescent="0.2">
      <c r="A14184" s="14" t="s">
        <v>27898</v>
      </c>
      <c r="B14184" s="15" t="s">
        <v>27899</v>
      </c>
      <c r="C14184" s="19">
        <f>1045.52/(1+B2)</f>
        <v>1045.52</v>
      </c>
      <c r="D14184" s="17" t="s">
        <v>11</v>
      </c>
      <c r="E14184" s="17"/>
      <c r="F14184" s="18"/>
      <c r="G14184" s="36" t="str">
        <f>IF(ISNUMBER(F14184),C14184*F14184,"")</f>
        <v/>
      </c>
    </row>
    <row r="14185" spans="1:7" ht="24" customHeight="1" outlineLevel="2" x14ac:dyDescent="0.2">
      <c r="A14185" s="14" t="s">
        <v>27900</v>
      </c>
      <c r="B14185" s="15" t="s">
        <v>27901</v>
      </c>
      <c r="C14185" s="16">
        <f>103.61/(1+B2)</f>
        <v>103.61</v>
      </c>
      <c r="D14185" s="17" t="s">
        <v>53</v>
      </c>
      <c r="E14185" s="17"/>
      <c r="F14185" s="18"/>
      <c r="G14185" s="36" t="str">
        <f>IF(ISNUMBER(F14185),C14185*F14185,"")</f>
        <v/>
      </c>
    </row>
    <row r="14186" spans="1:7" ht="24" customHeight="1" outlineLevel="2" x14ac:dyDescent="0.2">
      <c r="A14186" s="14" t="s">
        <v>27902</v>
      </c>
      <c r="B14186" s="15" t="s">
        <v>27903</v>
      </c>
      <c r="C14186" s="16">
        <f>213.74/(1+B2)</f>
        <v>213.74</v>
      </c>
      <c r="D14186" s="17" t="s">
        <v>11</v>
      </c>
      <c r="E14186" s="17"/>
      <c r="F14186" s="18"/>
      <c r="G14186" s="36" t="str">
        <f>IF(ISNUMBER(F14186),C14186*F14186,"")</f>
        <v/>
      </c>
    </row>
    <row r="14187" spans="1:7" ht="24" customHeight="1" outlineLevel="2" x14ac:dyDescent="0.2">
      <c r="A14187" s="14" t="s">
        <v>27904</v>
      </c>
      <c r="B14187" s="15" t="s">
        <v>27905</v>
      </c>
      <c r="C14187" s="16">
        <f>58.09/(1+B2)</f>
        <v>58.09</v>
      </c>
      <c r="D14187" s="17" t="s">
        <v>11</v>
      </c>
      <c r="E14187" s="17"/>
      <c r="F14187" s="18"/>
      <c r="G14187" s="36" t="str">
        <f>IF(ISNUMBER(F14187),C14187*F14187,"")</f>
        <v/>
      </c>
    </row>
    <row r="14188" spans="1:7" ht="24" customHeight="1" outlineLevel="2" x14ac:dyDescent="0.2">
      <c r="A14188" s="14" t="s">
        <v>27906</v>
      </c>
      <c r="B14188" s="15" t="s">
        <v>27907</v>
      </c>
      <c r="C14188" s="16">
        <f>95.09/(1+B2)</f>
        <v>95.09</v>
      </c>
      <c r="D14188" s="17" t="s">
        <v>11</v>
      </c>
      <c r="E14188" s="17"/>
      <c r="F14188" s="18"/>
      <c r="G14188" s="36" t="str">
        <f>IF(ISNUMBER(F14188),C14188*F14188,"")</f>
        <v/>
      </c>
    </row>
    <row r="14189" spans="1:7" ht="24" customHeight="1" outlineLevel="2" x14ac:dyDescent="0.2">
      <c r="A14189" s="14" t="s">
        <v>27908</v>
      </c>
      <c r="B14189" s="15" t="s">
        <v>27909</v>
      </c>
      <c r="C14189" s="16">
        <f>174.36/(1+B2)</f>
        <v>174.36</v>
      </c>
      <c r="D14189" s="17" t="s">
        <v>11</v>
      </c>
      <c r="E14189" s="17"/>
      <c r="F14189" s="18"/>
      <c r="G14189" s="36" t="str">
        <f>IF(ISNUMBER(F14189),C14189*F14189,"")</f>
        <v/>
      </c>
    </row>
    <row r="14190" spans="1:7" ht="24" customHeight="1" outlineLevel="2" x14ac:dyDescent="0.2">
      <c r="A14190" s="14" t="s">
        <v>27910</v>
      </c>
      <c r="B14190" s="15" t="s">
        <v>27911</v>
      </c>
      <c r="C14190" s="16">
        <f>255.65/(1+B2)</f>
        <v>255.65</v>
      </c>
      <c r="D14190" s="17" t="s">
        <v>11</v>
      </c>
      <c r="E14190" s="17"/>
      <c r="F14190" s="18"/>
      <c r="G14190" s="36" t="str">
        <f>IF(ISNUMBER(F14190),C14190*F14190,"")</f>
        <v/>
      </c>
    </row>
    <row r="14191" spans="1:7" ht="12" customHeight="1" outlineLevel="2" x14ac:dyDescent="0.2">
      <c r="A14191" s="14" t="s">
        <v>27912</v>
      </c>
      <c r="B14191" s="15" t="s">
        <v>27913</v>
      </c>
      <c r="C14191" s="16">
        <f>245.55/(1+B2)</f>
        <v>245.55</v>
      </c>
      <c r="D14191" s="17" t="s">
        <v>11</v>
      </c>
      <c r="E14191" s="17"/>
      <c r="F14191" s="18"/>
      <c r="G14191" s="36" t="str">
        <f>IF(ISNUMBER(F14191),C14191*F14191,"")</f>
        <v/>
      </c>
    </row>
    <row r="14192" spans="1:7" ht="12" customHeight="1" outlineLevel="2" x14ac:dyDescent="0.2">
      <c r="A14192" s="14" t="s">
        <v>27914</v>
      </c>
      <c r="B14192" s="15" t="s">
        <v>27915</v>
      </c>
      <c r="C14192" s="16">
        <f>401.69/(1+B2)</f>
        <v>401.69</v>
      </c>
      <c r="D14192" s="17" t="s">
        <v>11</v>
      </c>
      <c r="E14192" s="17"/>
      <c r="F14192" s="18"/>
      <c r="G14192" s="36" t="str">
        <f>IF(ISNUMBER(F14192),C14192*F14192,"")</f>
        <v/>
      </c>
    </row>
    <row r="14193" spans="1:7" ht="12" customHeight="1" outlineLevel="2" x14ac:dyDescent="0.2">
      <c r="A14193" s="14" t="s">
        <v>27916</v>
      </c>
      <c r="B14193" s="15" t="s">
        <v>27917</v>
      </c>
      <c r="C14193" s="16">
        <f>160.28/(1+B2)</f>
        <v>160.28</v>
      </c>
      <c r="D14193" s="17" t="s">
        <v>11</v>
      </c>
      <c r="E14193" s="17"/>
      <c r="F14193" s="18"/>
      <c r="G14193" s="36" t="str">
        <f>IF(ISNUMBER(F14193),C14193*F14193,"")</f>
        <v/>
      </c>
    </row>
    <row r="14194" spans="1:7" ht="12" customHeight="1" outlineLevel="2" x14ac:dyDescent="0.2">
      <c r="A14194" s="14" t="s">
        <v>27918</v>
      </c>
      <c r="B14194" s="15" t="s">
        <v>27919</v>
      </c>
      <c r="C14194" s="16">
        <f>353.52/(1+B2)</f>
        <v>353.52</v>
      </c>
      <c r="D14194" s="17" t="s">
        <v>11</v>
      </c>
      <c r="E14194" s="17"/>
      <c r="F14194" s="18"/>
      <c r="G14194" s="36" t="str">
        <f>IF(ISNUMBER(F14194),C14194*F14194,"")</f>
        <v/>
      </c>
    </row>
    <row r="14195" spans="1:7" ht="12" customHeight="1" outlineLevel="2" x14ac:dyDescent="0.2">
      <c r="A14195" s="14" t="s">
        <v>27920</v>
      </c>
      <c r="B14195" s="15" t="s">
        <v>27921</v>
      </c>
      <c r="C14195" s="16">
        <f>183.59/(1+B2)</f>
        <v>183.59</v>
      </c>
      <c r="D14195" s="17" t="s">
        <v>11</v>
      </c>
      <c r="E14195" s="17"/>
      <c r="F14195" s="18"/>
      <c r="G14195" s="36" t="str">
        <f>IF(ISNUMBER(F14195),C14195*F14195,"")</f>
        <v/>
      </c>
    </row>
    <row r="14196" spans="1:7" ht="12" customHeight="1" outlineLevel="2" x14ac:dyDescent="0.2">
      <c r="A14196" s="14" t="s">
        <v>27922</v>
      </c>
      <c r="B14196" s="15" t="s">
        <v>27923</v>
      </c>
      <c r="C14196" s="16">
        <f>233.76/(1+B2)</f>
        <v>233.76</v>
      </c>
      <c r="D14196" s="17" t="s">
        <v>11</v>
      </c>
      <c r="E14196" s="17"/>
      <c r="F14196" s="18"/>
      <c r="G14196" s="36" t="str">
        <f>IF(ISNUMBER(F14196),C14196*F14196,"")</f>
        <v/>
      </c>
    </row>
    <row r="14197" spans="1:7" ht="12" customHeight="1" outlineLevel="2" x14ac:dyDescent="0.2">
      <c r="A14197" s="14" t="s">
        <v>27924</v>
      </c>
      <c r="B14197" s="15" t="s">
        <v>27925</v>
      </c>
      <c r="C14197" s="16">
        <f>135.19/(1+B2)</f>
        <v>135.19</v>
      </c>
      <c r="D14197" s="17" t="s">
        <v>11</v>
      </c>
      <c r="E14197" s="17"/>
      <c r="F14197" s="18"/>
      <c r="G14197" s="36" t="str">
        <f>IF(ISNUMBER(F14197),C14197*F14197,"")</f>
        <v/>
      </c>
    </row>
    <row r="14198" spans="1:7" ht="12" customHeight="1" outlineLevel="2" x14ac:dyDescent="0.2">
      <c r="A14198" s="14" t="s">
        <v>27926</v>
      </c>
      <c r="B14198" s="15" t="s">
        <v>27927</v>
      </c>
      <c r="C14198" s="16">
        <f>222.44/(1+B2)</f>
        <v>222.44</v>
      </c>
      <c r="D14198" s="17" t="s">
        <v>11</v>
      </c>
      <c r="E14198" s="17"/>
      <c r="F14198" s="18"/>
      <c r="G14198" s="36" t="str">
        <f>IF(ISNUMBER(F14198),C14198*F14198,"")</f>
        <v/>
      </c>
    </row>
    <row r="14199" spans="1:7" ht="12" customHeight="1" outlineLevel="2" x14ac:dyDescent="0.2">
      <c r="A14199" s="14" t="s">
        <v>27928</v>
      </c>
      <c r="B14199" s="15" t="s">
        <v>27929</v>
      </c>
      <c r="C14199" s="16">
        <f>404.34/(1+B2)</f>
        <v>404.34</v>
      </c>
      <c r="D14199" s="17" t="s">
        <v>11</v>
      </c>
      <c r="E14199" s="17"/>
      <c r="F14199" s="18"/>
      <c r="G14199" s="36" t="str">
        <f>IF(ISNUMBER(F14199),C14199*F14199,"")</f>
        <v/>
      </c>
    </row>
    <row r="14200" spans="1:7" ht="12" customHeight="1" outlineLevel="2" x14ac:dyDescent="0.2">
      <c r="A14200" s="14" t="s">
        <v>27930</v>
      </c>
      <c r="B14200" s="15" t="s">
        <v>27931</v>
      </c>
      <c r="C14200" s="16">
        <f>77.03/(1+B2)</f>
        <v>77.03</v>
      </c>
      <c r="D14200" s="17" t="s">
        <v>11</v>
      </c>
      <c r="E14200" s="17"/>
      <c r="F14200" s="18"/>
      <c r="G14200" s="36" t="str">
        <f>IF(ISNUMBER(F14200),C14200*F14200,"")</f>
        <v/>
      </c>
    </row>
    <row r="14201" spans="1:7" ht="12" customHeight="1" outlineLevel="2" x14ac:dyDescent="0.2">
      <c r="A14201" s="14" t="s">
        <v>27932</v>
      </c>
      <c r="B14201" s="15" t="s">
        <v>27933</v>
      </c>
      <c r="C14201" s="16">
        <f>118.95/(1+B2)</f>
        <v>118.95</v>
      </c>
      <c r="D14201" s="17" t="s">
        <v>11</v>
      </c>
      <c r="E14201" s="17"/>
      <c r="F14201" s="18"/>
      <c r="G14201" s="36" t="str">
        <f>IF(ISNUMBER(F14201),C14201*F14201,"")</f>
        <v/>
      </c>
    </row>
    <row r="14202" spans="1:7" ht="12" customHeight="1" outlineLevel="2" x14ac:dyDescent="0.2">
      <c r="A14202" s="14" t="s">
        <v>27934</v>
      </c>
      <c r="B14202" s="15" t="s">
        <v>27935</v>
      </c>
      <c r="C14202" s="16">
        <f>364.68/(1+B2)</f>
        <v>364.68</v>
      </c>
      <c r="D14202" s="17" t="s">
        <v>11</v>
      </c>
      <c r="E14202" s="17"/>
      <c r="F14202" s="18"/>
      <c r="G14202" s="36" t="str">
        <f>IF(ISNUMBER(F14202),C14202*F14202,"")</f>
        <v/>
      </c>
    </row>
    <row r="14203" spans="1:7" ht="24" customHeight="1" outlineLevel="2" x14ac:dyDescent="0.2">
      <c r="A14203" s="14" t="s">
        <v>27936</v>
      </c>
      <c r="B14203" s="15" t="s">
        <v>27937</v>
      </c>
      <c r="C14203" s="16">
        <f>219.62/(1+B2)</f>
        <v>219.62</v>
      </c>
      <c r="D14203" s="17" t="s">
        <v>11</v>
      </c>
      <c r="E14203" s="17"/>
      <c r="F14203" s="18"/>
      <c r="G14203" s="36" t="str">
        <f>IF(ISNUMBER(F14203),C14203*F14203,"")</f>
        <v/>
      </c>
    </row>
    <row r="14204" spans="1:7" ht="12" customHeight="1" outlineLevel="2" x14ac:dyDescent="0.2">
      <c r="A14204" s="14" t="s">
        <v>27938</v>
      </c>
      <c r="B14204" s="15" t="s">
        <v>27939</v>
      </c>
      <c r="C14204" s="16">
        <f>67.95/(1+B2)</f>
        <v>67.95</v>
      </c>
      <c r="D14204" s="17" t="s">
        <v>11</v>
      </c>
      <c r="E14204" s="17"/>
      <c r="F14204" s="18"/>
      <c r="G14204" s="36" t="str">
        <f>IF(ISNUMBER(F14204),C14204*F14204,"")</f>
        <v/>
      </c>
    </row>
    <row r="14205" spans="1:7" ht="12" customHeight="1" outlineLevel="2" x14ac:dyDescent="0.2">
      <c r="A14205" s="14" t="s">
        <v>27940</v>
      </c>
      <c r="B14205" s="15" t="s">
        <v>27941</v>
      </c>
      <c r="C14205" s="16">
        <f>95.15/(1+B2)</f>
        <v>95.15</v>
      </c>
      <c r="D14205" s="17" t="s">
        <v>11</v>
      </c>
      <c r="E14205" s="17"/>
      <c r="F14205" s="18"/>
      <c r="G14205" s="36" t="str">
        <f>IF(ISNUMBER(F14205),C14205*F14205,"")</f>
        <v/>
      </c>
    </row>
    <row r="14206" spans="1:7" s="1" customFormat="1" ht="15.95" customHeight="1" outlineLevel="1" x14ac:dyDescent="0.25">
      <c r="A14206" s="11"/>
      <c r="B14206" s="12" t="s">
        <v>27942</v>
      </c>
      <c r="C14206" s="13"/>
      <c r="D14206" s="13"/>
      <c r="E14206" s="13"/>
      <c r="F14206" s="13"/>
      <c r="G14206" s="35"/>
    </row>
    <row r="14207" spans="1:7" ht="12" customHeight="1" outlineLevel="2" x14ac:dyDescent="0.2">
      <c r="A14207" s="14" t="s">
        <v>27943</v>
      </c>
      <c r="B14207" s="15" t="s">
        <v>27944</v>
      </c>
      <c r="C14207" s="16">
        <f>371.42/(1+B2)</f>
        <v>371.42</v>
      </c>
      <c r="D14207" s="17" t="s">
        <v>11</v>
      </c>
      <c r="E14207" s="17"/>
      <c r="F14207" s="18"/>
      <c r="G14207" s="36" t="str">
        <f>IF(ISNUMBER(F14207),C14207*F14207,"")</f>
        <v/>
      </c>
    </row>
    <row r="14208" spans="1:7" ht="12" customHeight="1" outlineLevel="2" x14ac:dyDescent="0.2">
      <c r="A14208" s="14" t="s">
        <v>27945</v>
      </c>
      <c r="B14208" s="15" t="s">
        <v>27946</v>
      </c>
      <c r="C14208" s="16">
        <f>691.53/(1+B2)</f>
        <v>691.53</v>
      </c>
      <c r="D14208" s="17" t="s">
        <v>11</v>
      </c>
      <c r="E14208" s="17" t="s">
        <v>14</v>
      </c>
      <c r="F14208" s="18"/>
      <c r="G14208" s="36" t="str">
        <f>IF(ISNUMBER(F14208),C14208*F14208,"")</f>
        <v/>
      </c>
    </row>
    <row r="14209" spans="1:7" ht="12" customHeight="1" outlineLevel="2" x14ac:dyDescent="0.2">
      <c r="A14209" s="14" t="s">
        <v>27947</v>
      </c>
      <c r="B14209" s="15" t="s">
        <v>27948</v>
      </c>
      <c r="C14209" s="16">
        <f>625.55/(1+B2)</f>
        <v>625.54999999999995</v>
      </c>
      <c r="D14209" s="17" t="s">
        <v>11</v>
      </c>
      <c r="E14209" s="17"/>
      <c r="F14209" s="18"/>
      <c r="G14209" s="36" t="str">
        <f>IF(ISNUMBER(F14209),C14209*F14209,"")</f>
        <v/>
      </c>
    </row>
    <row r="14210" spans="1:7" ht="12" customHeight="1" outlineLevel="2" x14ac:dyDescent="0.2">
      <c r="A14210" s="14" t="s">
        <v>27949</v>
      </c>
      <c r="B14210" s="15" t="s">
        <v>27950</v>
      </c>
      <c r="C14210" s="19">
        <f>1926.28/(1+B2)</f>
        <v>1926.28</v>
      </c>
      <c r="D14210" s="17" t="s">
        <v>11</v>
      </c>
      <c r="E14210" s="17"/>
      <c r="F14210" s="18"/>
      <c r="G14210" s="36" t="str">
        <f>IF(ISNUMBER(F14210),C14210*F14210,"")</f>
        <v/>
      </c>
    </row>
    <row r="14211" spans="1:7" ht="12" customHeight="1" outlineLevel="2" x14ac:dyDescent="0.2">
      <c r="A14211" s="14" t="s">
        <v>27951</v>
      </c>
      <c r="B14211" s="15" t="s">
        <v>27952</v>
      </c>
      <c r="C14211" s="16">
        <f>661.3/(1+B2)</f>
        <v>661.3</v>
      </c>
      <c r="D14211" s="17" t="s">
        <v>11</v>
      </c>
      <c r="E14211" s="17"/>
      <c r="F14211" s="18"/>
      <c r="G14211" s="36" t="str">
        <f>IF(ISNUMBER(F14211),C14211*F14211,"")</f>
        <v/>
      </c>
    </row>
    <row r="14212" spans="1:7" ht="12" customHeight="1" outlineLevel="2" x14ac:dyDescent="0.2">
      <c r="A14212" s="14" t="s">
        <v>27953</v>
      </c>
      <c r="B14212" s="15" t="s">
        <v>27954</v>
      </c>
      <c r="C14212" s="19">
        <f>4270.73/(1+B2)</f>
        <v>4270.7299999999996</v>
      </c>
      <c r="D14212" s="17" t="s">
        <v>11</v>
      </c>
      <c r="E14212" s="17"/>
      <c r="F14212" s="18"/>
      <c r="G14212" s="36" t="str">
        <f>IF(ISNUMBER(F14212),C14212*F14212,"")</f>
        <v/>
      </c>
    </row>
    <row r="14213" spans="1:7" ht="12" customHeight="1" outlineLevel="2" x14ac:dyDescent="0.2">
      <c r="A14213" s="14" t="s">
        <v>27955</v>
      </c>
      <c r="B14213" s="15" t="s">
        <v>27956</v>
      </c>
      <c r="C14213" s="19">
        <f>3519.38/(1+B2)</f>
        <v>3519.38</v>
      </c>
      <c r="D14213" s="17" t="s">
        <v>11</v>
      </c>
      <c r="E14213" s="17"/>
      <c r="F14213" s="18"/>
      <c r="G14213" s="36" t="str">
        <f>IF(ISNUMBER(F14213),C14213*F14213,"")</f>
        <v/>
      </c>
    </row>
    <row r="14214" spans="1:7" ht="12" customHeight="1" outlineLevel="2" x14ac:dyDescent="0.2">
      <c r="A14214" s="14" t="s">
        <v>27957</v>
      </c>
      <c r="B14214" s="15" t="s">
        <v>27958</v>
      </c>
      <c r="C14214" s="16">
        <f>212.98/(1+B2)</f>
        <v>212.98</v>
      </c>
      <c r="D14214" s="17" t="s">
        <v>11</v>
      </c>
      <c r="E14214" s="17"/>
      <c r="F14214" s="18"/>
      <c r="G14214" s="36" t="str">
        <f>IF(ISNUMBER(F14214),C14214*F14214,"")</f>
        <v/>
      </c>
    </row>
    <row r="14215" spans="1:7" ht="12" customHeight="1" outlineLevel="2" x14ac:dyDescent="0.2">
      <c r="A14215" s="14" t="s">
        <v>27959</v>
      </c>
      <c r="B14215" s="15" t="s">
        <v>27960</v>
      </c>
      <c r="C14215" s="16">
        <f>303.5/(1+B2)</f>
        <v>303.5</v>
      </c>
      <c r="D14215" s="17" t="s">
        <v>11</v>
      </c>
      <c r="E14215" s="17"/>
      <c r="F14215" s="18"/>
      <c r="G14215" s="36" t="str">
        <f>IF(ISNUMBER(F14215),C14215*F14215,"")</f>
        <v/>
      </c>
    </row>
    <row r="14216" spans="1:7" ht="12" customHeight="1" outlineLevel="2" x14ac:dyDescent="0.2">
      <c r="A14216" s="14" t="s">
        <v>27961</v>
      </c>
      <c r="B14216" s="15" t="s">
        <v>27962</v>
      </c>
      <c r="C14216" s="16">
        <f>201.36/(1+B2)</f>
        <v>201.36</v>
      </c>
      <c r="D14216" s="17" t="s">
        <v>11</v>
      </c>
      <c r="E14216" s="17"/>
      <c r="F14216" s="18"/>
      <c r="G14216" s="36" t="str">
        <f>IF(ISNUMBER(F14216),C14216*F14216,"")</f>
        <v/>
      </c>
    </row>
    <row r="14217" spans="1:7" ht="12" customHeight="1" outlineLevel="2" x14ac:dyDescent="0.2">
      <c r="A14217" s="14" t="s">
        <v>27963</v>
      </c>
      <c r="B14217" s="15" t="s">
        <v>27964</v>
      </c>
      <c r="C14217" s="16">
        <f>579.88/(1+B2)</f>
        <v>579.88</v>
      </c>
      <c r="D14217" s="17" t="s">
        <v>11</v>
      </c>
      <c r="E14217" s="17"/>
      <c r="F14217" s="18"/>
      <c r="G14217" s="36" t="str">
        <f>IF(ISNUMBER(F14217),C14217*F14217,"")</f>
        <v/>
      </c>
    </row>
    <row r="14218" spans="1:7" s="1" customFormat="1" ht="15.95" customHeight="1" outlineLevel="1" x14ac:dyDescent="0.25">
      <c r="A14218" s="11"/>
      <c r="B14218" s="12" t="s">
        <v>27965</v>
      </c>
      <c r="C14218" s="13"/>
      <c r="D14218" s="13"/>
      <c r="E14218" s="13"/>
      <c r="F14218" s="13"/>
      <c r="G14218" s="35"/>
    </row>
    <row r="14219" spans="1:7" s="1" customFormat="1" ht="12.95" customHeight="1" outlineLevel="2" x14ac:dyDescent="0.2">
      <c r="A14219" s="20"/>
      <c r="B14219" s="21" t="s">
        <v>27966</v>
      </c>
      <c r="C14219" s="22"/>
      <c r="D14219" s="22"/>
      <c r="E14219" s="22"/>
      <c r="F14219" s="22"/>
      <c r="G14219" s="37"/>
    </row>
    <row r="14220" spans="1:7" ht="12" customHeight="1" outlineLevel="3" x14ac:dyDescent="0.2">
      <c r="A14220" s="14" t="s">
        <v>27967</v>
      </c>
      <c r="B14220" s="15" t="s">
        <v>27968</v>
      </c>
      <c r="C14220" s="16">
        <f>133.77/(1+B2)</f>
        <v>133.77000000000001</v>
      </c>
      <c r="D14220" s="17" t="s">
        <v>11</v>
      </c>
      <c r="E14220" s="17"/>
      <c r="F14220" s="18"/>
      <c r="G14220" s="36" t="str">
        <f>IF(ISNUMBER(F14220),C14220*F14220,"")</f>
        <v/>
      </c>
    </row>
    <row r="14221" spans="1:7" ht="12" customHeight="1" outlineLevel="3" x14ac:dyDescent="0.2">
      <c r="A14221" s="14" t="s">
        <v>27969</v>
      </c>
      <c r="B14221" s="15" t="s">
        <v>27970</v>
      </c>
      <c r="C14221" s="16">
        <f>162.05/(1+B2)</f>
        <v>162.05000000000001</v>
      </c>
      <c r="D14221" s="17" t="s">
        <v>11</v>
      </c>
      <c r="E14221" s="17"/>
      <c r="F14221" s="18"/>
      <c r="G14221" s="36" t="str">
        <f>IF(ISNUMBER(F14221),C14221*F14221,"")</f>
        <v/>
      </c>
    </row>
    <row r="14222" spans="1:7" ht="12" customHeight="1" outlineLevel="3" x14ac:dyDescent="0.2">
      <c r="A14222" s="14" t="s">
        <v>27971</v>
      </c>
      <c r="B14222" s="15" t="s">
        <v>27972</v>
      </c>
      <c r="C14222" s="16">
        <f>122.82/(1+B2)</f>
        <v>122.82</v>
      </c>
      <c r="D14222" s="17" t="s">
        <v>11</v>
      </c>
      <c r="E14222" s="17"/>
      <c r="F14222" s="18"/>
      <c r="G14222" s="36" t="str">
        <f>IF(ISNUMBER(F14222),C14222*F14222,"")</f>
        <v/>
      </c>
    </row>
    <row r="14223" spans="1:7" ht="12" customHeight="1" outlineLevel="3" x14ac:dyDescent="0.2">
      <c r="A14223" s="14" t="s">
        <v>27973</v>
      </c>
      <c r="B14223" s="15" t="s">
        <v>27974</v>
      </c>
      <c r="C14223" s="16">
        <f>153.38/(1+B2)</f>
        <v>153.38</v>
      </c>
      <c r="D14223" s="17" t="s">
        <v>11</v>
      </c>
      <c r="E14223" s="17"/>
      <c r="F14223" s="18"/>
      <c r="G14223" s="36" t="str">
        <f>IF(ISNUMBER(F14223),C14223*F14223,"")</f>
        <v/>
      </c>
    </row>
    <row r="14224" spans="1:7" ht="12" customHeight="1" outlineLevel="3" x14ac:dyDescent="0.2">
      <c r="A14224" s="14" t="s">
        <v>27975</v>
      </c>
      <c r="B14224" s="15" t="s">
        <v>27976</v>
      </c>
      <c r="C14224" s="16">
        <f>167.1/(1+B2)</f>
        <v>167.1</v>
      </c>
      <c r="D14224" s="17" t="s">
        <v>11</v>
      </c>
      <c r="E14224" s="17"/>
      <c r="F14224" s="18"/>
      <c r="G14224" s="36" t="str">
        <f>IF(ISNUMBER(F14224),C14224*F14224,"")</f>
        <v/>
      </c>
    </row>
    <row r="14225" spans="1:7" ht="12" customHeight="1" outlineLevel="3" x14ac:dyDescent="0.2">
      <c r="A14225" s="14" t="s">
        <v>27977</v>
      </c>
      <c r="B14225" s="15" t="s">
        <v>27978</v>
      </c>
      <c r="C14225" s="16">
        <f>122.82/(1+B2)</f>
        <v>122.82</v>
      </c>
      <c r="D14225" s="17" t="s">
        <v>11</v>
      </c>
      <c r="E14225" s="17"/>
      <c r="F14225" s="18"/>
      <c r="G14225" s="36" t="str">
        <f>IF(ISNUMBER(F14225),C14225*F14225,"")</f>
        <v/>
      </c>
    </row>
    <row r="14226" spans="1:7" ht="12" customHeight="1" outlineLevel="3" x14ac:dyDescent="0.2">
      <c r="A14226" s="14" t="s">
        <v>27979</v>
      </c>
      <c r="B14226" s="15" t="s">
        <v>27980</v>
      </c>
      <c r="C14226" s="16">
        <f>153.38/(1+B2)</f>
        <v>153.38</v>
      </c>
      <c r="D14226" s="17" t="s">
        <v>11</v>
      </c>
      <c r="E14226" s="17"/>
      <c r="F14226" s="18"/>
      <c r="G14226" s="36" t="str">
        <f>IF(ISNUMBER(F14226),C14226*F14226,"")</f>
        <v/>
      </c>
    </row>
    <row r="14227" spans="1:7" ht="12" customHeight="1" outlineLevel="3" x14ac:dyDescent="0.2">
      <c r="A14227" s="14" t="s">
        <v>27981</v>
      </c>
      <c r="B14227" s="15" t="s">
        <v>27982</v>
      </c>
      <c r="C14227" s="16">
        <f>162.05/(1+B2)</f>
        <v>162.05000000000001</v>
      </c>
      <c r="D14227" s="17" t="s">
        <v>11</v>
      </c>
      <c r="E14227" s="17"/>
      <c r="F14227" s="18"/>
      <c r="G14227" s="36" t="str">
        <f>IF(ISNUMBER(F14227),C14227*F14227,"")</f>
        <v/>
      </c>
    </row>
    <row r="14228" spans="1:7" s="1" customFormat="1" ht="12.95" customHeight="1" outlineLevel="2" x14ac:dyDescent="0.2">
      <c r="A14228" s="20"/>
      <c r="B14228" s="21" t="s">
        <v>27983</v>
      </c>
      <c r="C14228" s="22"/>
      <c r="D14228" s="22"/>
      <c r="E14228" s="22"/>
      <c r="F14228" s="22"/>
      <c r="G14228" s="37"/>
    </row>
    <row r="14229" spans="1:7" ht="12" customHeight="1" outlineLevel="3" x14ac:dyDescent="0.2">
      <c r="A14229" s="14" t="s">
        <v>27984</v>
      </c>
      <c r="B14229" s="15" t="s">
        <v>27985</v>
      </c>
      <c r="C14229" s="16">
        <f>419.5/(1+B2)</f>
        <v>419.5</v>
      </c>
      <c r="D14229" s="17" t="s">
        <v>11</v>
      </c>
      <c r="E14229" s="17"/>
      <c r="F14229" s="18"/>
      <c r="G14229" s="36" t="str">
        <f>IF(ISNUMBER(F14229),C14229*F14229,"")</f>
        <v/>
      </c>
    </row>
    <row r="14230" spans="1:7" ht="24" customHeight="1" outlineLevel="3" x14ac:dyDescent="0.2">
      <c r="A14230" s="14" t="s">
        <v>27986</v>
      </c>
      <c r="B14230" s="15" t="s">
        <v>27987</v>
      </c>
      <c r="C14230" s="16">
        <f>278.89/(1+B2)</f>
        <v>278.89</v>
      </c>
      <c r="D14230" s="17" t="s">
        <v>11</v>
      </c>
      <c r="E14230" s="17"/>
      <c r="F14230" s="18"/>
      <c r="G14230" s="36" t="str">
        <f>IF(ISNUMBER(F14230),C14230*F14230,"")</f>
        <v/>
      </c>
    </row>
    <row r="14231" spans="1:7" ht="24" customHeight="1" outlineLevel="3" x14ac:dyDescent="0.2">
      <c r="A14231" s="14" t="s">
        <v>27988</v>
      </c>
      <c r="B14231" s="15" t="s">
        <v>27989</v>
      </c>
      <c r="C14231" s="16">
        <f>329.95/(1+B2)</f>
        <v>329.95</v>
      </c>
      <c r="D14231" s="17" t="s">
        <v>11</v>
      </c>
      <c r="E14231" s="17"/>
      <c r="F14231" s="18"/>
      <c r="G14231" s="36" t="str">
        <f>IF(ISNUMBER(F14231),C14231*F14231,"")</f>
        <v/>
      </c>
    </row>
    <row r="14232" spans="1:7" ht="24" customHeight="1" outlineLevel="3" x14ac:dyDescent="0.2">
      <c r="A14232" s="14" t="s">
        <v>27990</v>
      </c>
      <c r="B14232" s="15" t="s">
        <v>27991</v>
      </c>
      <c r="C14232" s="16">
        <f>238.75/(1+B2)</f>
        <v>238.75</v>
      </c>
      <c r="D14232" s="17" t="s">
        <v>11</v>
      </c>
      <c r="E14232" s="17"/>
      <c r="F14232" s="18"/>
      <c r="G14232" s="36" t="str">
        <f>IF(ISNUMBER(F14232),C14232*F14232,"")</f>
        <v/>
      </c>
    </row>
    <row r="14233" spans="1:7" ht="12" customHeight="1" outlineLevel="3" x14ac:dyDescent="0.2">
      <c r="A14233" s="14" t="s">
        <v>27992</v>
      </c>
      <c r="B14233" s="15" t="s">
        <v>27993</v>
      </c>
      <c r="C14233" s="16">
        <f>237.2/(1+B2)</f>
        <v>237.2</v>
      </c>
      <c r="D14233" s="17" t="s">
        <v>11</v>
      </c>
      <c r="E14233" s="17" t="s">
        <v>11</v>
      </c>
      <c r="F14233" s="18"/>
      <c r="G14233" s="36" t="str">
        <f>IF(ISNUMBER(F14233),C14233*F14233,"")</f>
        <v/>
      </c>
    </row>
    <row r="14234" spans="1:7" ht="12" customHeight="1" outlineLevel="3" x14ac:dyDescent="0.2">
      <c r="A14234" s="14" t="s">
        <v>27994</v>
      </c>
      <c r="B14234" s="15" t="s">
        <v>27995</v>
      </c>
      <c r="C14234" s="16">
        <f>365.8/(1+B2)</f>
        <v>365.8</v>
      </c>
      <c r="D14234" s="17" t="s">
        <v>11</v>
      </c>
      <c r="E14234" s="17"/>
      <c r="F14234" s="18"/>
      <c r="G14234" s="36" t="str">
        <f>IF(ISNUMBER(F14234),C14234*F14234,"")</f>
        <v/>
      </c>
    </row>
    <row r="14235" spans="1:7" ht="12" customHeight="1" outlineLevel="3" x14ac:dyDescent="0.2">
      <c r="A14235" s="14" t="s">
        <v>27996</v>
      </c>
      <c r="B14235" s="15" t="s">
        <v>27997</v>
      </c>
      <c r="C14235" s="16">
        <f>75.97/(1+B2)</f>
        <v>75.97</v>
      </c>
      <c r="D14235" s="17" t="s">
        <v>11</v>
      </c>
      <c r="E14235" s="17"/>
      <c r="F14235" s="18"/>
      <c r="G14235" s="36" t="str">
        <f>IF(ISNUMBER(F14235),C14235*F14235,"")</f>
        <v/>
      </c>
    </row>
    <row r="14236" spans="1:7" ht="12" customHeight="1" outlineLevel="3" x14ac:dyDescent="0.2">
      <c r="A14236" s="14" t="s">
        <v>27998</v>
      </c>
      <c r="B14236" s="15" t="s">
        <v>27999</v>
      </c>
      <c r="C14236" s="16">
        <f>101.81/(1+B2)</f>
        <v>101.81</v>
      </c>
      <c r="D14236" s="17" t="s">
        <v>11</v>
      </c>
      <c r="E14236" s="17"/>
      <c r="F14236" s="18"/>
      <c r="G14236" s="36" t="str">
        <f>IF(ISNUMBER(F14236),C14236*F14236,"")</f>
        <v/>
      </c>
    </row>
    <row r="14237" spans="1:7" ht="12" customHeight="1" outlineLevel="3" x14ac:dyDescent="0.2">
      <c r="A14237" s="14" t="s">
        <v>28000</v>
      </c>
      <c r="B14237" s="15" t="s">
        <v>28001</v>
      </c>
      <c r="C14237" s="16">
        <f>336.37/(1+B2)</f>
        <v>336.37</v>
      </c>
      <c r="D14237" s="17" t="s">
        <v>11</v>
      </c>
      <c r="E14237" s="17"/>
      <c r="F14237" s="18"/>
      <c r="G14237" s="36" t="str">
        <f>IF(ISNUMBER(F14237),C14237*F14237,"")</f>
        <v/>
      </c>
    </row>
    <row r="14238" spans="1:7" ht="12" customHeight="1" outlineLevel="3" x14ac:dyDescent="0.2">
      <c r="A14238" s="14" t="s">
        <v>28002</v>
      </c>
      <c r="B14238" s="15" t="s">
        <v>28003</v>
      </c>
      <c r="C14238" s="16">
        <f>108.21/(1+B2)</f>
        <v>108.21</v>
      </c>
      <c r="D14238" s="17" t="s">
        <v>11</v>
      </c>
      <c r="E14238" s="17"/>
      <c r="F14238" s="18"/>
      <c r="G14238" s="36" t="str">
        <f>IF(ISNUMBER(F14238),C14238*F14238,"")</f>
        <v/>
      </c>
    </row>
    <row r="14239" spans="1:7" ht="12" customHeight="1" outlineLevel="3" x14ac:dyDescent="0.2">
      <c r="A14239" s="14" t="s">
        <v>28004</v>
      </c>
      <c r="B14239" s="15" t="s">
        <v>28005</v>
      </c>
      <c r="C14239" s="16">
        <f>127.52/(1+B2)</f>
        <v>127.52</v>
      </c>
      <c r="D14239" s="17" t="s">
        <v>11</v>
      </c>
      <c r="E14239" s="17"/>
      <c r="F14239" s="18"/>
      <c r="G14239" s="36" t="str">
        <f>IF(ISNUMBER(F14239),C14239*F14239,"")</f>
        <v/>
      </c>
    </row>
    <row r="14240" spans="1:7" ht="12" customHeight="1" outlineLevel="3" x14ac:dyDescent="0.2">
      <c r="A14240" s="14" t="s">
        <v>28006</v>
      </c>
      <c r="B14240" s="15" t="s">
        <v>28007</v>
      </c>
      <c r="C14240" s="16">
        <f>168.09/(1+B2)</f>
        <v>168.09</v>
      </c>
      <c r="D14240" s="17" t="s">
        <v>11</v>
      </c>
      <c r="E14240" s="17"/>
      <c r="F14240" s="18"/>
      <c r="G14240" s="36" t="str">
        <f>IF(ISNUMBER(F14240),C14240*F14240,"")</f>
        <v/>
      </c>
    </row>
    <row r="14241" spans="1:7" ht="12" customHeight="1" outlineLevel="3" x14ac:dyDescent="0.2">
      <c r="A14241" s="14" t="s">
        <v>28008</v>
      </c>
      <c r="B14241" s="15" t="s">
        <v>28009</v>
      </c>
      <c r="C14241" s="16">
        <f>211.35/(1+B2)</f>
        <v>211.35</v>
      </c>
      <c r="D14241" s="17" t="s">
        <v>11</v>
      </c>
      <c r="E14241" s="17"/>
      <c r="F14241" s="18"/>
      <c r="G14241" s="36" t="str">
        <f>IF(ISNUMBER(F14241),C14241*F14241,"")</f>
        <v/>
      </c>
    </row>
    <row r="14242" spans="1:7" s="1" customFormat="1" ht="12.95" customHeight="1" outlineLevel="2" x14ac:dyDescent="0.2">
      <c r="A14242" s="20"/>
      <c r="B14242" s="21" t="s">
        <v>28010</v>
      </c>
      <c r="C14242" s="22"/>
      <c r="D14242" s="22"/>
      <c r="E14242" s="22"/>
      <c r="F14242" s="22"/>
      <c r="G14242" s="37"/>
    </row>
    <row r="14243" spans="1:7" ht="12" customHeight="1" outlineLevel="3" x14ac:dyDescent="0.2">
      <c r="A14243" s="14" t="s">
        <v>28011</v>
      </c>
      <c r="B14243" s="15" t="s">
        <v>28012</v>
      </c>
      <c r="C14243" s="16">
        <f>213.26/(1+B2)</f>
        <v>213.26</v>
      </c>
      <c r="D14243" s="17" t="s">
        <v>11</v>
      </c>
      <c r="E14243" s="17" t="s">
        <v>11</v>
      </c>
      <c r="F14243" s="18"/>
      <c r="G14243" s="36" t="str">
        <f>IF(ISNUMBER(F14243),C14243*F14243,"")</f>
        <v/>
      </c>
    </row>
    <row r="14244" spans="1:7" ht="12" customHeight="1" outlineLevel="3" x14ac:dyDescent="0.2">
      <c r="A14244" s="14" t="s">
        <v>28013</v>
      </c>
      <c r="B14244" s="15" t="s">
        <v>28014</v>
      </c>
      <c r="C14244" s="16">
        <f>257.03/(1+B2)</f>
        <v>257.02999999999997</v>
      </c>
      <c r="D14244" s="17" t="s">
        <v>14</v>
      </c>
      <c r="E14244" s="17"/>
      <c r="F14244" s="18"/>
      <c r="G14244" s="36" t="str">
        <f>IF(ISNUMBER(F14244),C14244*F14244,"")</f>
        <v/>
      </c>
    </row>
    <row r="14245" spans="1:7" ht="12" customHeight="1" outlineLevel="3" x14ac:dyDescent="0.2">
      <c r="A14245" s="14" t="s">
        <v>28015</v>
      </c>
      <c r="B14245" s="15" t="s">
        <v>28016</v>
      </c>
      <c r="C14245" s="16">
        <f>153.22/(1+B2)</f>
        <v>153.22</v>
      </c>
      <c r="D14245" s="17" t="s">
        <v>11</v>
      </c>
      <c r="E14245" s="17"/>
      <c r="F14245" s="18"/>
      <c r="G14245" s="36" t="str">
        <f>IF(ISNUMBER(F14245),C14245*F14245,"")</f>
        <v/>
      </c>
    </row>
    <row r="14246" spans="1:7" ht="12" customHeight="1" outlineLevel="3" x14ac:dyDescent="0.2">
      <c r="A14246" s="14" t="s">
        <v>28017</v>
      </c>
      <c r="B14246" s="15" t="s">
        <v>28018</v>
      </c>
      <c r="C14246" s="16">
        <f>46.19/(1+B2)</f>
        <v>46.19</v>
      </c>
      <c r="D14246" s="17" t="s">
        <v>106</v>
      </c>
      <c r="E14246" s="17"/>
      <c r="F14246" s="18"/>
      <c r="G14246" s="36" t="str">
        <f>IF(ISNUMBER(F14246),C14246*F14246,"")</f>
        <v/>
      </c>
    </row>
    <row r="14247" spans="1:7" ht="24" customHeight="1" outlineLevel="3" x14ac:dyDescent="0.2">
      <c r="A14247" s="14" t="s">
        <v>28019</v>
      </c>
      <c r="B14247" s="15" t="s">
        <v>28020</v>
      </c>
      <c r="C14247" s="16">
        <f>50.72/(1+B2)</f>
        <v>50.72</v>
      </c>
      <c r="D14247" s="17" t="s">
        <v>106</v>
      </c>
      <c r="E14247" s="17"/>
      <c r="F14247" s="18"/>
      <c r="G14247" s="36" t="str">
        <f>IF(ISNUMBER(F14247),C14247*F14247,"")</f>
        <v/>
      </c>
    </row>
    <row r="14248" spans="1:7" ht="12" customHeight="1" outlineLevel="3" x14ac:dyDescent="0.2">
      <c r="A14248" s="14" t="s">
        <v>28021</v>
      </c>
      <c r="B14248" s="15" t="s">
        <v>28022</v>
      </c>
      <c r="C14248" s="16">
        <f>34.34/(1+B2)</f>
        <v>34.340000000000003</v>
      </c>
      <c r="D14248" s="17" t="s">
        <v>53</v>
      </c>
      <c r="E14248" s="17"/>
      <c r="F14248" s="18"/>
      <c r="G14248" s="36" t="str">
        <f>IF(ISNUMBER(F14248),C14248*F14248,"")</f>
        <v/>
      </c>
    </row>
    <row r="14249" spans="1:7" ht="24" customHeight="1" outlineLevel="3" x14ac:dyDescent="0.2">
      <c r="A14249" s="14" t="s">
        <v>28023</v>
      </c>
      <c r="B14249" s="15" t="s">
        <v>28024</v>
      </c>
      <c r="C14249" s="16">
        <f>38.76/(1+B2)</f>
        <v>38.76</v>
      </c>
      <c r="D14249" s="17" t="s">
        <v>106</v>
      </c>
      <c r="E14249" s="17"/>
      <c r="F14249" s="18"/>
      <c r="G14249" s="36" t="str">
        <f>IF(ISNUMBER(F14249),C14249*F14249,"")</f>
        <v/>
      </c>
    </row>
    <row r="14250" spans="1:7" ht="12" customHeight="1" outlineLevel="3" x14ac:dyDescent="0.2">
      <c r="A14250" s="14" t="s">
        <v>28025</v>
      </c>
      <c r="B14250" s="15" t="s">
        <v>28026</v>
      </c>
      <c r="C14250" s="16">
        <f>87.47/(1+B2)</f>
        <v>87.47</v>
      </c>
      <c r="D14250" s="17" t="s">
        <v>106</v>
      </c>
      <c r="E14250" s="17"/>
      <c r="F14250" s="18"/>
      <c r="G14250" s="36" t="str">
        <f>IF(ISNUMBER(F14250),C14250*F14250,"")</f>
        <v/>
      </c>
    </row>
    <row r="14251" spans="1:7" ht="24" customHeight="1" outlineLevel="3" x14ac:dyDescent="0.2">
      <c r="A14251" s="14" t="s">
        <v>28027</v>
      </c>
      <c r="B14251" s="15" t="s">
        <v>28028</v>
      </c>
      <c r="C14251" s="16">
        <f>120.62/(1+B2)</f>
        <v>120.62</v>
      </c>
      <c r="D14251" s="17" t="s">
        <v>53</v>
      </c>
      <c r="E14251" s="17" t="s">
        <v>53</v>
      </c>
      <c r="F14251" s="18"/>
      <c r="G14251" s="36" t="str">
        <f>IF(ISNUMBER(F14251),C14251*F14251,"")</f>
        <v/>
      </c>
    </row>
    <row r="14252" spans="1:7" ht="12" customHeight="1" outlineLevel="3" x14ac:dyDescent="0.2">
      <c r="A14252" s="14" t="s">
        <v>28029</v>
      </c>
      <c r="B14252" s="15" t="s">
        <v>28030</v>
      </c>
      <c r="C14252" s="16">
        <f>65.52/(1+B2)</f>
        <v>65.52</v>
      </c>
      <c r="D14252" s="17" t="s">
        <v>106</v>
      </c>
      <c r="E14252" s="17"/>
      <c r="F14252" s="18"/>
      <c r="G14252" s="36" t="str">
        <f>IF(ISNUMBER(F14252),C14252*F14252,"")</f>
        <v/>
      </c>
    </row>
    <row r="14253" spans="1:7" ht="24" customHeight="1" outlineLevel="3" x14ac:dyDescent="0.2">
      <c r="A14253" s="14" t="s">
        <v>28031</v>
      </c>
      <c r="B14253" s="15" t="s">
        <v>28032</v>
      </c>
      <c r="C14253" s="16">
        <f>66.98/(1+B2)</f>
        <v>66.98</v>
      </c>
      <c r="D14253" s="17" t="s">
        <v>106</v>
      </c>
      <c r="E14253" s="17" t="s">
        <v>53</v>
      </c>
      <c r="F14253" s="18"/>
      <c r="G14253" s="36" t="str">
        <f>IF(ISNUMBER(F14253),C14253*F14253,"")</f>
        <v/>
      </c>
    </row>
    <row r="14254" spans="1:7" ht="12" customHeight="1" outlineLevel="3" x14ac:dyDescent="0.2">
      <c r="A14254" s="14" t="s">
        <v>28033</v>
      </c>
      <c r="B14254" s="15" t="s">
        <v>28034</v>
      </c>
      <c r="C14254" s="16">
        <f>123.61/(1+B2)</f>
        <v>123.61</v>
      </c>
      <c r="D14254" s="17" t="s">
        <v>11</v>
      </c>
      <c r="E14254" s="17" t="s">
        <v>106</v>
      </c>
      <c r="F14254" s="18"/>
      <c r="G14254" s="36" t="str">
        <f>IF(ISNUMBER(F14254),C14254*F14254,"")</f>
        <v/>
      </c>
    </row>
    <row r="14255" spans="1:7" ht="24" customHeight="1" outlineLevel="3" x14ac:dyDescent="0.2">
      <c r="A14255" s="14" t="s">
        <v>28035</v>
      </c>
      <c r="B14255" s="15" t="s">
        <v>28036</v>
      </c>
      <c r="C14255" s="16">
        <f>150.84/(1+B2)</f>
        <v>150.84</v>
      </c>
      <c r="D14255" s="17" t="s">
        <v>53</v>
      </c>
      <c r="E14255" s="17" t="s">
        <v>106</v>
      </c>
      <c r="F14255" s="18"/>
      <c r="G14255" s="36" t="str">
        <f>IF(ISNUMBER(F14255),C14255*F14255,"")</f>
        <v/>
      </c>
    </row>
    <row r="14256" spans="1:7" ht="12" customHeight="1" outlineLevel="3" x14ac:dyDescent="0.2">
      <c r="A14256" s="14" t="s">
        <v>28037</v>
      </c>
      <c r="B14256" s="15" t="s">
        <v>28038</v>
      </c>
      <c r="C14256" s="16">
        <f>161.86/(1+B2)</f>
        <v>161.86000000000001</v>
      </c>
      <c r="D14256" s="17" t="s">
        <v>53</v>
      </c>
      <c r="E14256" s="17"/>
      <c r="F14256" s="18"/>
      <c r="G14256" s="36" t="str">
        <f>IF(ISNUMBER(F14256),C14256*F14256,"")</f>
        <v/>
      </c>
    </row>
    <row r="14257" spans="1:7" ht="24" customHeight="1" outlineLevel="3" x14ac:dyDescent="0.2">
      <c r="A14257" s="14" t="s">
        <v>28039</v>
      </c>
      <c r="B14257" s="15" t="s">
        <v>28040</v>
      </c>
      <c r="C14257" s="16">
        <f>200.79/(1+B2)</f>
        <v>200.79</v>
      </c>
      <c r="D14257" s="17" t="s">
        <v>14</v>
      </c>
      <c r="E14257" s="17" t="s">
        <v>53</v>
      </c>
      <c r="F14257" s="18"/>
      <c r="G14257" s="36" t="str">
        <f>IF(ISNUMBER(F14257),C14257*F14257,"")</f>
        <v/>
      </c>
    </row>
    <row r="14258" spans="1:7" ht="24" customHeight="1" outlineLevel="3" x14ac:dyDescent="0.2">
      <c r="A14258" s="14" t="s">
        <v>28041</v>
      </c>
      <c r="B14258" s="15" t="s">
        <v>28042</v>
      </c>
      <c r="C14258" s="16">
        <f>71.42/(1+B2)</f>
        <v>71.42</v>
      </c>
      <c r="D14258" s="17" t="s">
        <v>11</v>
      </c>
      <c r="E14258" s="17"/>
      <c r="F14258" s="18"/>
      <c r="G14258" s="36" t="str">
        <f>IF(ISNUMBER(F14258),C14258*F14258,"")</f>
        <v/>
      </c>
    </row>
    <row r="14259" spans="1:7" ht="24" customHeight="1" outlineLevel="3" x14ac:dyDescent="0.2">
      <c r="A14259" s="14" t="s">
        <v>28043</v>
      </c>
      <c r="B14259" s="15" t="s">
        <v>28044</v>
      </c>
      <c r="C14259" s="16">
        <f>42.89/(1+B2)</f>
        <v>42.89</v>
      </c>
      <c r="D14259" s="17" t="s">
        <v>106</v>
      </c>
      <c r="E14259" s="17"/>
      <c r="F14259" s="18"/>
      <c r="G14259" s="36" t="str">
        <f>IF(ISNUMBER(F14259),C14259*F14259,"")</f>
        <v/>
      </c>
    </row>
    <row r="14260" spans="1:7" ht="12" customHeight="1" outlineLevel="3" x14ac:dyDescent="0.2">
      <c r="A14260" s="14" t="s">
        <v>28045</v>
      </c>
      <c r="B14260" s="15" t="s">
        <v>28046</v>
      </c>
      <c r="C14260" s="16">
        <f>39.59/(1+B2)</f>
        <v>39.590000000000003</v>
      </c>
      <c r="D14260" s="17" t="s">
        <v>53</v>
      </c>
      <c r="E14260" s="17"/>
      <c r="F14260" s="18"/>
      <c r="G14260" s="36" t="str">
        <f>IF(ISNUMBER(F14260),C14260*F14260,"")</f>
        <v/>
      </c>
    </row>
    <row r="14261" spans="1:7" ht="12" customHeight="1" outlineLevel="3" x14ac:dyDescent="0.2">
      <c r="A14261" s="14" t="s">
        <v>28047</v>
      </c>
      <c r="B14261" s="15" t="s">
        <v>28048</v>
      </c>
      <c r="C14261" s="16">
        <f>27.82/(1+B2)</f>
        <v>27.82</v>
      </c>
      <c r="D14261" s="17" t="s">
        <v>106</v>
      </c>
      <c r="E14261" s="17"/>
      <c r="F14261" s="18"/>
      <c r="G14261" s="36" t="str">
        <f>IF(ISNUMBER(F14261),C14261*F14261,"")</f>
        <v/>
      </c>
    </row>
    <row r="14262" spans="1:7" ht="12" customHeight="1" outlineLevel="3" x14ac:dyDescent="0.2">
      <c r="A14262" s="14" t="s">
        <v>28049</v>
      </c>
      <c r="B14262" s="15" t="s">
        <v>28050</v>
      </c>
      <c r="C14262" s="16">
        <f>29.77/(1+B2)</f>
        <v>29.77</v>
      </c>
      <c r="D14262" s="17" t="s">
        <v>53</v>
      </c>
      <c r="E14262" s="17"/>
      <c r="F14262" s="18"/>
      <c r="G14262" s="36" t="str">
        <f>IF(ISNUMBER(F14262),C14262*F14262,"")</f>
        <v/>
      </c>
    </row>
    <row r="14263" spans="1:7" ht="24" customHeight="1" outlineLevel="3" x14ac:dyDescent="0.2">
      <c r="A14263" s="14" t="s">
        <v>28051</v>
      </c>
      <c r="B14263" s="15" t="s">
        <v>28052</v>
      </c>
      <c r="C14263" s="16">
        <f>73.85/(1+B2)</f>
        <v>73.849999999999994</v>
      </c>
      <c r="D14263" s="17" t="s">
        <v>106</v>
      </c>
      <c r="E14263" s="17"/>
      <c r="F14263" s="18"/>
      <c r="G14263" s="36" t="str">
        <f>IF(ISNUMBER(F14263),C14263*F14263,"")</f>
        <v/>
      </c>
    </row>
    <row r="14264" spans="1:7" ht="12" customHeight="1" outlineLevel="3" x14ac:dyDescent="0.2">
      <c r="A14264" s="14" t="s">
        <v>28053</v>
      </c>
      <c r="B14264" s="15" t="s">
        <v>28054</v>
      </c>
      <c r="C14264" s="16">
        <f>72.61/(1+B2)</f>
        <v>72.61</v>
      </c>
      <c r="D14264" s="17" t="s">
        <v>53</v>
      </c>
      <c r="E14264" s="17"/>
      <c r="F14264" s="18"/>
      <c r="G14264" s="36" t="str">
        <f>IF(ISNUMBER(F14264),C14264*F14264,"")</f>
        <v/>
      </c>
    </row>
    <row r="14265" spans="1:7" ht="12" customHeight="1" outlineLevel="3" x14ac:dyDescent="0.2">
      <c r="A14265" s="14" t="s">
        <v>28055</v>
      </c>
      <c r="B14265" s="15" t="s">
        <v>28056</v>
      </c>
      <c r="C14265" s="16">
        <f>54.62/(1+B2)</f>
        <v>54.62</v>
      </c>
      <c r="D14265" s="17" t="s">
        <v>106</v>
      </c>
      <c r="E14265" s="17"/>
      <c r="F14265" s="18"/>
      <c r="G14265" s="36" t="str">
        <f>IF(ISNUMBER(F14265),C14265*F14265,"")</f>
        <v/>
      </c>
    </row>
    <row r="14266" spans="1:7" ht="12" customHeight="1" outlineLevel="3" x14ac:dyDescent="0.2">
      <c r="A14266" s="14" t="s">
        <v>28057</v>
      </c>
      <c r="B14266" s="15" t="s">
        <v>28058</v>
      </c>
      <c r="C14266" s="16">
        <f>54.29/(1+B2)</f>
        <v>54.29</v>
      </c>
      <c r="D14266" s="17" t="s">
        <v>106</v>
      </c>
      <c r="E14266" s="17"/>
      <c r="F14266" s="18"/>
      <c r="G14266" s="36" t="str">
        <f>IF(ISNUMBER(F14266),C14266*F14266,"")</f>
        <v/>
      </c>
    </row>
    <row r="14267" spans="1:7" ht="12" customHeight="1" outlineLevel="3" x14ac:dyDescent="0.2">
      <c r="A14267" s="14" t="s">
        <v>28059</v>
      </c>
      <c r="B14267" s="15" t="s">
        <v>28060</v>
      </c>
      <c r="C14267" s="16">
        <f>108.76/(1+B2)</f>
        <v>108.76</v>
      </c>
      <c r="D14267" s="17" t="s">
        <v>106</v>
      </c>
      <c r="E14267" s="17"/>
      <c r="F14267" s="18"/>
      <c r="G14267" s="36" t="str">
        <f>IF(ISNUMBER(F14267),C14267*F14267,"")</f>
        <v/>
      </c>
    </row>
    <row r="14268" spans="1:7" ht="12" customHeight="1" outlineLevel="3" x14ac:dyDescent="0.2">
      <c r="A14268" s="14" t="s">
        <v>28061</v>
      </c>
      <c r="B14268" s="15" t="s">
        <v>28062</v>
      </c>
      <c r="C14268" s="16">
        <f>86.5/(1+B2)</f>
        <v>86.5</v>
      </c>
      <c r="D14268" s="17" t="s">
        <v>11</v>
      </c>
      <c r="E14268" s="17"/>
      <c r="F14268" s="18"/>
      <c r="G14268" s="36" t="str">
        <f>IF(ISNUMBER(F14268),C14268*F14268,"")</f>
        <v/>
      </c>
    </row>
    <row r="14269" spans="1:7" ht="24" customHeight="1" outlineLevel="3" x14ac:dyDescent="0.2">
      <c r="A14269" s="14" t="s">
        <v>28063</v>
      </c>
      <c r="B14269" s="15" t="s">
        <v>28064</v>
      </c>
      <c r="C14269" s="16">
        <f>26.89/(1+B2)</f>
        <v>26.89</v>
      </c>
      <c r="D14269" s="17" t="s">
        <v>53</v>
      </c>
      <c r="E14269" s="17"/>
      <c r="F14269" s="18"/>
      <c r="G14269" s="36" t="str">
        <f>IF(ISNUMBER(F14269),C14269*F14269,"")</f>
        <v/>
      </c>
    </row>
    <row r="14270" spans="1:7" ht="12" customHeight="1" outlineLevel="3" x14ac:dyDescent="0.2">
      <c r="A14270" s="14" t="s">
        <v>28065</v>
      </c>
      <c r="B14270" s="15" t="s">
        <v>28066</v>
      </c>
      <c r="C14270" s="16">
        <f>23.12/(1+B2)</f>
        <v>23.12</v>
      </c>
      <c r="D14270" s="17" t="s">
        <v>53</v>
      </c>
      <c r="E14270" s="17"/>
      <c r="F14270" s="18"/>
      <c r="G14270" s="36" t="str">
        <f>IF(ISNUMBER(F14270),C14270*F14270,"")</f>
        <v/>
      </c>
    </row>
    <row r="14271" spans="1:7" ht="12" customHeight="1" outlineLevel="3" x14ac:dyDescent="0.2">
      <c r="A14271" s="14" t="s">
        <v>28067</v>
      </c>
      <c r="B14271" s="15" t="s">
        <v>28068</v>
      </c>
      <c r="C14271" s="16">
        <f>150.32/(1+B2)</f>
        <v>150.32</v>
      </c>
      <c r="D14271" s="17" t="s">
        <v>106</v>
      </c>
      <c r="E14271" s="17"/>
      <c r="F14271" s="18"/>
      <c r="G14271" s="36" t="str">
        <f>IF(ISNUMBER(F14271),C14271*F14271,"")</f>
        <v/>
      </c>
    </row>
    <row r="14272" spans="1:7" ht="12" customHeight="1" outlineLevel="3" x14ac:dyDescent="0.2">
      <c r="A14272" s="14" t="s">
        <v>28069</v>
      </c>
      <c r="B14272" s="15" t="s">
        <v>28070</v>
      </c>
      <c r="C14272" s="16">
        <f>114.36/(1+B2)</f>
        <v>114.36</v>
      </c>
      <c r="D14272" s="17" t="s">
        <v>106</v>
      </c>
      <c r="E14272" s="17"/>
      <c r="F14272" s="18"/>
      <c r="G14272" s="36" t="str">
        <f>IF(ISNUMBER(F14272),C14272*F14272,"")</f>
        <v/>
      </c>
    </row>
    <row r="14273" spans="1:7" ht="12" customHeight="1" outlineLevel="3" x14ac:dyDescent="0.2">
      <c r="A14273" s="14" t="s">
        <v>28071</v>
      </c>
      <c r="B14273" s="15" t="s">
        <v>28072</v>
      </c>
      <c r="C14273" s="16">
        <f>123/(1+B2)</f>
        <v>123</v>
      </c>
      <c r="D14273" s="17" t="s">
        <v>11</v>
      </c>
      <c r="E14273" s="17"/>
      <c r="F14273" s="18"/>
      <c r="G14273" s="36" t="str">
        <f>IF(ISNUMBER(F14273),C14273*F14273,"")</f>
        <v/>
      </c>
    </row>
    <row r="14274" spans="1:7" ht="12" customHeight="1" outlineLevel="3" x14ac:dyDescent="0.2">
      <c r="A14274" s="14" t="s">
        <v>28073</v>
      </c>
      <c r="B14274" s="15" t="s">
        <v>28074</v>
      </c>
      <c r="C14274" s="16">
        <f>30.38/(1+B2)</f>
        <v>30.38</v>
      </c>
      <c r="D14274" s="17" t="s">
        <v>106</v>
      </c>
      <c r="E14274" s="17"/>
      <c r="F14274" s="18"/>
      <c r="G14274" s="36" t="str">
        <f>IF(ISNUMBER(F14274),C14274*F14274,"")</f>
        <v/>
      </c>
    </row>
    <row r="14275" spans="1:7" ht="12" customHeight="1" outlineLevel="3" x14ac:dyDescent="0.2">
      <c r="A14275" s="14" t="s">
        <v>28075</v>
      </c>
      <c r="B14275" s="15" t="s">
        <v>28076</v>
      </c>
      <c r="C14275" s="16">
        <f>20.85/(1+B2)</f>
        <v>20.85</v>
      </c>
      <c r="D14275" s="17" t="s">
        <v>106</v>
      </c>
      <c r="E14275" s="17"/>
      <c r="F14275" s="18"/>
      <c r="G14275" s="36" t="str">
        <f>IF(ISNUMBER(F14275),C14275*F14275,"")</f>
        <v/>
      </c>
    </row>
    <row r="14276" spans="1:7" ht="12" customHeight="1" outlineLevel="3" x14ac:dyDescent="0.2">
      <c r="A14276" s="14" t="s">
        <v>28077</v>
      </c>
      <c r="B14276" s="15" t="s">
        <v>28078</v>
      </c>
      <c r="C14276" s="16">
        <f>46.72/(1+B2)</f>
        <v>46.72</v>
      </c>
      <c r="D14276" s="17" t="s">
        <v>106</v>
      </c>
      <c r="E14276" s="17"/>
      <c r="F14276" s="18"/>
      <c r="G14276" s="36" t="str">
        <f>IF(ISNUMBER(F14276),C14276*F14276,"")</f>
        <v/>
      </c>
    </row>
    <row r="14277" spans="1:7" ht="12" customHeight="1" outlineLevel="3" x14ac:dyDescent="0.2">
      <c r="A14277" s="14" t="s">
        <v>28079</v>
      </c>
      <c r="B14277" s="15" t="s">
        <v>28080</v>
      </c>
      <c r="C14277" s="16">
        <f>39.98/(1+B2)</f>
        <v>39.979999999999997</v>
      </c>
      <c r="D14277" s="17" t="s">
        <v>53</v>
      </c>
      <c r="E14277" s="17"/>
      <c r="F14277" s="18"/>
      <c r="G14277" s="36" t="str">
        <f>IF(ISNUMBER(F14277),C14277*F14277,"")</f>
        <v/>
      </c>
    </row>
    <row r="14278" spans="1:7" ht="12" customHeight="1" outlineLevel="3" x14ac:dyDescent="0.2">
      <c r="A14278" s="14" t="s">
        <v>28081</v>
      </c>
      <c r="B14278" s="15" t="s">
        <v>28082</v>
      </c>
      <c r="C14278" s="16">
        <f>61.18/(1+B2)</f>
        <v>61.18</v>
      </c>
      <c r="D14278" s="17" t="s">
        <v>11</v>
      </c>
      <c r="E14278" s="17"/>
      <c r="F14278" s="18"/>
      <c r="G14278" s="36" t="str">
        <f>IF(ISNUMBER(F14278),C14278*F14278,"")</f>
        <v/>
      </c>
    </row>
    <row r="14279" spans="1:7" ht="12" customHeight="1" outlineLevel="3" x14ac:dyDescent="0.2">
      <c r="A14279" s="14" t="s">
        <v>28083</v>
      </c>
      <c r="B14279" s="15" t="s">
        <v>28084</v>
      </c>
      <c r="C14279" s="16">
        <f>19.23/(1+B2)</f>
        <v>19.23</v>
      </c>
      <c r="D14279" s="17" t="s">
        <v>53</v>
      </c>
      <c r="E14279" s="17"/>
      <c r="F14279" s="18"/>
      <c r="G14279" s="36" t="str">
        <f>IF(ISNUMBER(F14279),C14279*F14279,"")</f>
        <v/>
      </c>
    </row>
    <row r="14280" spans="1:7" ht="12" customHeight="1" outlineLevel="3" x14ac:dyDescent="0.2">
      <c r="A14280" s="14" t="s">
        <v>28085</v>
      </c>
      <c r="B14280" s="15" t="s">
        <v>28086</v>
      </c>
      <c r="C14280" s="16">
        <f>88.78/(1+B2)</f>
        <v>88.78</v>
      </c>
      <c r="D14280" s="17" t="s">
        <v>11</v>
      </c>
      <c r="E14280" s="17"/>
      <c r="F14280" s="18"/>
      <c r="G14280" s="36" t="str">
        <f>IF(ISNUMBER(F14280),C14280*F14280,"")</f>
        <v/>
      </c>
    </row>
    <row r="14281" spans="1:7" ht="12" customHeight="1" outlineLevel="3" x14ac:dyDescent="0.2">
      <c r="A14281" s="14" t="s">
        <v>28087</v>
      </c>
      <c r="B14281" s="15" t="s">
        <v>28088</v>
      </c>
      <c r="C14281" s="16">
        <f>17.74/(1+B2)</f>
        <v>17.739999999999998</v>
      </c>
      <c r="D14281" s="17" t="s">
        <v>53</v>
      </c>
      <c r="E14281" s="17" t="s">
        <v>106</v>
      </c>
      <c r="F14281" s="18"/>
      <c r="G14281" s="36" t="str">
        <f>IF(ISNUMBER(F14281),C14281*F14281,"")</f>
        <v/>
      </c>
    </row>
    <row r="14282" spans="1:7" ht="12" customHeight="1" outlineLevel="3" x14ac:dyDescent="0.2">
      <c r="A14282" s="14" t="s">
        <v>28089</v>
      </c>
      <c r="B14282" s="15" t="s">
        <v>28090</v>
      </c>
      <c r="C14282" s="16">
        <f>21.73/(1+B2)</f>
        <v>21.73</v>
      </c>
      <c r="D14282" s="17" t="s">
        <v>106</v>
      </c>
      <c r="E14282" s="17"/>
      <c r="F14282" s="18"/>
      <c r="G14282" s="36" t="str">
        <f>IF(ISNUMBER(F14282),C14282*F14282,"")</f>
        <v/>
      </c>
    </row>
    <row r="14283" spans="1:7" ht="12" customHeight="1" outlineLevel="3" x14ac:dyDescent="0.2">
      <c r="A14283" s="14" t="s">
        <v>28091</v>
      </c>
      <c r="B14283" s="15" t="s">
        <v>28092</v>
      </c>
      <c r="C14283" s="16">
        <f>15.54/(1+B2)</f>
        <v>15.54</v>
      </c>
      <c r="D14283" s="17" t="s">
        <v>106</v>
      </c>
      <c r="E14283" s="17"/>
      <c r="F14283" s="18"/>
      <c r="G14283" s="36" t="str">
        <f>IF(ISNUMBER(F14283),C14283*F14283,"")</f>
        <v/>
      </c>
    </row>
    <row r="14284" spans="1:7" ht="12" customHeight="1" outlineLevel="3" x14ac:dyDescent="0.2">
      <c r="A14284" s="14" t="s">
        <v>28093</v>
      </c>
      <c r="B14284" s="15" t="s">
        <v>28094</v>
      </c>
      <c r="C14284" s="16">
        <f>32.57/(1+B2)</f>
        <v>32.57</v>
      </c>
      <c r="D14284" s="17" t="s">
        <v>11</v>
      </c>
      <c r="E14284" s="17"/>
      <c r="F14284" s="18"/>
      <c r="G14284" s="36" t="str">
        <f>IF(ISNUMBER(F14284),C14284*F14284,"")</f>
        <v/>
      </c>
    </row>
    <row r="14285" spans="1:7" ht="12" customHeight="1" outlineLevel="3" x14ac:dyDescent="0.2">
      <c r="A14285" s="14" t="s">
        <v>28095</v>
      </c>
      <c r="B14285" s="15" t="s">
        <v>28096</v>
      </c>
      <c r="C14285" s="16">
        <f>25.86/(1+B2)</f>
        <v>25.86</v>
      </c>
      <c r="D14285" s="17" t="s">
        <v>106</v>
      </c>
      <c r="E14285" s="17"/>
      <c r="F14285" s="18"/>
      <c r="G14285" s="36" t="str">
        <f>IF(ISNUMBER(F14285),C14285*F14285,"")</f>
        <v/>
      </c>
    </row>
    <row r="14286" spans="1:7" ht="12" customHeight="1" outlineLevel="3" x14ac:dyDescent="0.2">
      <c r="A14286" s="14" t="s">
        <v>28097</v>
      </c>
      <c r="B14286" s="15" t="s">
        <v>28098</v>
      </c>
      <c r="C14286" s="16">
        <f>42.42/(1+B2)</f>
        <v>42.42</v>
      </c>
      <c r="D14286" s="17" t="s">
        <v>106</v>
      </c>
      <c r="E14286" s="17"/>
      <c r="F14286" s="18"/>
      <c r="G14286" s="36" t="str">
        <f>IF(ISNUMBER(F14286),C14286*F14286,"")</f>
        <v/>
      </c>
    </row>
    <row r="14287" spans="1:7" ht="12" customHeight="1" outlineLevel="3" x14ac:dyDescent="0.2">
      <c r="A14287" s="14" t="s">
        <v>28099</v>
      </c>
      <c r="B14287" s="15" t="s">
        <v>28100</v>
      </c>
      <c r="C14287" s="16">
        <f>13.12/(1+B2)</f>
        <v>13.12</v>
      </c>
      <c r="D14287" s="17" t="s">
        <v>53</v>
      </c>
      <c r="E14287" s="17"/>
      <c r="F14287" s="18"/>
      <c r="G14287" s="36" t="str">
        <f>IF(ISNUMBER(F14287),C14287*F14287,"")</f>
        <v/>
      </c>
    </row>
    <row r="14288" spans="1:7" ht="12" customHeight="1" outlineLevel="3" x14ac:dyDescent="0.2">
      <c r="A14288" s="14" t="s">
        <v>28101</v>
      </c>
      <c r="B14288" s="15" t="s">
        <v>28102</v>
      </c>
      <c r="C14288" s="16">
        <f>54.09/(1+B2)</f>
        <v>54.09</v>
      </c>
      <c r="D14288" s="17" t="s">
        <v>106</v>
      </c>
      <c r="E14288" s="17"/>
      <c r="F14288" s="18"/>
      <c r="G14288" s="36" t="str">
        <f>IF(ISNUMBER(F14288),C14288*F14288,"")</f>
        <v/>
      </c>
    </row>
    <row r="14289" spans="1:7" ht="12" customHeight="1" outlineLevel="3" x14ac:dyDescent="0.2">
      <c r="A14289" s="14" t="s">
        <v>28103</v>
      </c>
      <c r="B14289" s="15" t="s">
        <v>28104</v>
      </c>
      <c r="C14289" s="16">
        <f>189.78/(1+B2)</f>
        <v>189.78</v>
      </c>
      <c r="D14289" s="17" t="s">
        <v>11</v>
      </c>
      <c r="E14289" s="17"/>
      <c r="F14289" s="18"/>
      <c r="G14289" s="36" t="str">
        <f>IF(ISNUMBER(F14289),C14289*F14289,"")</f>
        <v/>
      </c>
    </row>
    <row r="14290" spans="1:7" ht="12" customHeight="1" outlineLevel="3" x14ac:dyDescent="0.2">
      <c r="A14290" s="14" t="s">
        <v>28105</v>
      </c>
      <c r="B14290" s="15" t="s">
        <v>28106</v>
      </c>
      <c r="C14290" s="16">
        <f>205.08/(1+B2)</f>
        <v>205.08</v>
      </c>
      <c r="D14290" s="17" t="s">
        <v>11</v>
      </c>
      <c r="E14290" s="17"/>
      <c r="F14290" s="18"/>
      <c r="G14290" s="36" t="str">
        <f>IF(ISNUMBER(F14290),C14290*F14290,"")</f>
        <v/>
      </c>
    </row>
    <row r="14291" spans="1:7" ht="12" customHeight="1" outlineLevel="3" x14ac:dyDescent="0.2">
      <c r="A14291" s="14" t="s">
        <v>28107</v>
      </c>
      <c r="B14291" s="15" t="s">
        <v>28108</v>
      </c>
      <c r="C14291" s="16">
        <f>222.82/(1+B2)</f>
        <v>222.82</v>
      </c>
      <c r="D14291" s="17" t="s">
        <v>11</v>
      </c>
      <c r="E14291" s="17"/>
      <c r="F14291" s="18"/>
      <c r="G14291" s="36" t="str">
        <f>IF(ISNUMBER(F14291),C14291*F14291,"")</f>
        <v/>
      </c>
    </row>
    <row r="14292" spans="1:7" ht="12" customHeight="1" outlineLevel="3" x14ac:dyDescent="0.2">
      <c r="A14292" s="14" t="s">
        <v>28109</v>
      </c>
      <c r="B14292" s="15" t="s">
        <v>28110</v>
      </c>
      <c r="C14292" s="16">
        <f>215.69/(1+B2)</f>
        <v>215.69</v>
      </c>
      <c r="D14292" s="17" t="s">
        <v>11</v>
      </c>
      <c r="E14292" s="17"/>
      <c r="F14292" s="18"/>
      <c r="G14292" s="36" t="str">
        <f>IF(ISNUMBER(F14292),C14292*F14292,"")</f>
        <v/>
      </c>
    </row>
    <row r="14293" spans="1:7" ht="12" customHeight="1" outlineLevel="3" x14ac:dyDescent="0.2">
      <c r="A14293" s="14" t="s">
        <v>28111</v>
      </c>
      <c r="B14293" s="15" t="s">
        <v>28112</v>
      </c>
      <c r="C14293" s="16">
        <f>43.77/(1+B2)</f>
        <v>43.77</v>
      </c>
      <c r="D14293" s="17" t="s">
        <v>53</v>
      </c>
      <c r="E14293" s="17"/>
      <c r="F14293" s="18"/>
      <c r="G14293" s="36" t="str">
        <f>IF(ISNUMBER(F14293),C14293*F14293,"")</f>
        <v/>
      </c>
    </row>
    <row r="14294" spans="1:7" ht="12" customHeight="1" outlineLevel="3" x14ac:dyDescent="0.2">
      <c r="A14294" s="14" t="s">
        <v>28113</v>
      </c>
      <c r="B14294" s="15" t="s">
        <v>28114</v>
      </c>
      <c r="C14294" s="16">
        <f>32.8/(1+B2)</f>
        <v>32.799999999999997</v>
      </c>
      <c r="D14294" s="17" t="s">
        <v>14</v>
      </c>
      <c r="E14294" s="17"/>
      <c r="F14294" s="18"/>
      <c r="G14294" s="36" t="str">
        <f>IF(ISNUMBER(F14294),C14294*F14294,"")</f>
        <v/>
      </c>
    </row>
    <row r="14295" spans="1:7" ht="12" customHeight="1" outlineLevel="3" x14ac:dyDescent="0.2">
      <c r="A14295" s="14" t="s">
        <v>28115</v>
      </c>
      <c r="B14295" s="15" t="s">
        <v>28116</v>
      </c>
      <c r="C14295" s="16">
        <f>71.13/(1+B2)</f>
        <v>71.13</v>
      </c>
      <c r="D14295" s="17" t="s">
        <v>14</v>
      </c>
      <c r="E14295" s="17"/>
      <c r="F14295" s="18"/>
      <c r="G14295" s="36" t="str">
        <f>IF(ISNUMBER(F14295),C14295*F14295,"")</f>
        <v/>
      </c>
    </row>
    <row r="14296" spans="1:7" ht="12" customHeight="1" outlineLevel="3" x14ac:dyDescent="0.2">
      <c r="A14296" s="14" t="s">
        <v>28117</v>
      </c>
      <c r="B14296" s="15" t="s">
        <v>28118</v>
      </c>
      <c r="C14296" s="16">
        <f>58.91/(1+B2)</f>
        <v>58.91</v>
      </c>
      <c r="D14296" s="17" t="s">
        <v>14</v>
      </c>
      <c r="E14296" s="17"/>
      <c r="F14296" s="18"/>
      <c r="G14296" s="36" t="str">
        <f>IF(ISNUMBER(F14296),C14296*F14296,"")</f>
        <v/>
      </c>
    </row>
    <row r="14297" spans="1:7" ht="12" customHeight="1" outlineLevel="3" x14ac:dyDescent="0.2">
      <c r="A14297" s="14" t="s">
        <v>28119</v>
      </c>
      <c r="B14297" s="15" t="s">
        <v>28120</v>
      </c>
      <c r="C14297" s="16">
        <f>90.1/(1+B2)</f>
        <v>90.1</v>
      </c>
      <c r="D14297" s="17" t="s">
        <v>14</v>
      </c>
      <c r="E14297" s="17"/>
      <c r="F14297" s="18"/>
      <c r="G14297" s="36" t="str">
        <f>IF(ISNUMBER(F14297),C14297*F14297,"")</f>
        <v/>
      </c>
    </row>
    <row r="14298" spans="1:7" s="1" customFormat="1" ht="12.95" customHeight="1" outlineLevel="2" x14ac:dyDescent="0.2">
      <c r="A14298" s="20"/>
      <c r="B14298" s="21" t="s">
        <v>28121</v>
      </c>
      <c r="C14298" s="22"/>
      <c r="D14298" s="22"/>
      <c r="E14298" s="22"/>
      <c r="F14298" s="22"/>
      <c r="G14298" s="37"/>
    </row>
    <row r="14299" spans="1:7" ht="12" customHeight="1" outlineLevel="3" x14ac:dyDescent="0.2">
      <c r="A14299" s="14" t="s">
        <v>28122</v>
      </c>
      <c r="B14299" s="15" t="s">
        <v>28123</v>
      </c>
      <c r="C14299" s="16">
        <f>243/(1+B2)</f>
        <v>243</v>
      </c>
      <c r="D14299" s="17" t="s">
        <v>11</v>
      </c>
      <c r="E14299" s="17" t="s">
        <v>53</v>
      </c>
      <c r="F14299" s="18"/>
      <c r="G14299" s="36" t="str">
        <f>IF(ISNUMBER(F14299),C14299*F14299,"")</f>
        <v/>
      </c>
    </row>
    <row r="14300" spans="1:7" ht="12" customHeight="1" outlineLevel="3" x14ac:dyDescent="0.2">
      <c r="A14300" s="14" t="s">
        <v>28124</v>
      </c>
      <c r="B14300" s="15" t="s">
        <v>28125</v>
      </c>
      <c r="C14300" s="16">
        <f>186.56/(1+B2)</f>
        <v>186.56</v>
      </c>
      <c r="D14300" s="17" t="s">
        <v>53</v>
      </c>
      <c r="E14300" s="17"/>
      <c r="F14300" s="18"/>
      <c r="G14300" s="36" t="str">
        <f>IF(ISNUMBER(F14300),C14300*F14300,"")</f>
        <v/>
      </c>
    </row>
    <row r="14301" spans="1:7" ht="12" customHeight="1" outlineLevel="3" x14ac:dyDescent="0.2">
      <c r="A14301" s="14" t="s">
        <v>28126</v>
      </c>
      <c r="B14301" s="15" t="s">
        <v>28127</v>
      </c>
      <c r="C14301" s="16">
        <f>24.43/(1+B2)</f>
        <v>24.43</v>
      </c>
      <c r="D14301" s="17" t="s">
        <v>14</v>
      </c>
      <c r="E14301" s="17"/>
      <c r="F14301" s="18"/>
      <c r="G14301" s="36" t="str">
        <f>IF(ISNUMBER(F14301),C14301*F14301,"")</f>
        <v/>
      </c>
    </row>
    <row r="14302" spans="1:7" ht="12" customHeight="1" outlineLevel="3" x14ac:dyDescent="0.2">
      <c r="A14302" s="14" t="s">
        <v>28128</v>
      </c>
      <c r="B14302" s="15" t="s">
        <v>28129</v>
      </c>
      <c r="C14302" s="16">
        <f>26.81/(1+B2)</f>
        <v>26.81</v>
      </c>
      <c r="D14302" s="17" t="s">
        <v>14</v>
      </c>
      <c r="E14302" s="17"/>
      <c r="F14302" s="18"/>
      <c r="G14302" s="36" t="str">
        <f>IF(ISNUMBER(F14302),C14302*F14302,"")</f>
        <v/>
      </c>
    </row>
    <row r="14303" spans="1:7" ht="12" customHeight="1" outlineLevel="3" x14ac:dyDescent="0.2">
      <c r="A14303" s="14" t="s">
        <v>28130</v>
      </c>
      <c r="B14303" s="15" t="s">
        <v>28131</v>
      </c>
      <c r="C14303" s="16">
        <f>35.07/(1+B2)</f>
        <v>35.07</v>
      </c>
      <c r="D14303" s="17" t="s">
        <v>14</v>
      </c>
      <c r="E14303" s="17"/>
      <c r="F14303" s="18"/>
      <c r="G14303" s="36" t="str">
        <f>IF(ISNUMBER(F14303),C14303*F14303,"")</f>
        <v/>
      </c>
    </row>
    <row r="14304" spans="1:7" ht="12" customHeight="1" outlineLevel="3" x14ac:dyDescent="0.2">
      <c r="A14304" s="14" t="s">
        <v>28132</v>
      </c>
      <c r="B14304" s="15" t="s">
        <v>28133</v>
      </c>
      <c r="C14304" s="16">
        <f>43.76/(1+B2)</f>
        <v>43.76</v>
      </c>
      <c r="D14304" s="17" t="s">
        <v>11</v>
      </c>
      <c r="E14304" s="17"/>
      <c r="F14304" s="18"/>
      <c r="G14304" s="36" t="str">
        <f>IF(ISNUMBER(F14304),C14304*F14304,"")</f>
        <v/>
      </c>
    </row>
    <row r="14305" spans="1:7" ht="12" customHeight="1" outlineLevel="3" x14ac:dyDescent="0.2">
      <c r="A14305" s="14" t="s">
        <v>28134</v>
      </c>
      <c r="B14305" s="15" t="s">
        <v>28135</v>
      </c>
      <c r="C14305" s="16">
        <f>56.1/(1+B2)</f>
        <v>56.1</v>
      </c>
      <c r="D14305" s="17" t="s">
        <v>11</v>
      </c>
      <c r="E14305" s="17"/>
      <c r="F14305" s="18"/>
      <c r="G14305" s="36" t="str">
        <f>IF(ISNUMBER(F14305),C14305*F14305,"")</f>
        <v/>
      </c>
    </row>
    <row r="14306" spans="1:7" ht="12" customHeight="1" outlineLevel="3" x14ac:dyDescent="0.2">
      <c r="A14306" s="14" t="s">
        <v>28136</v>
      </c>
      <c r="B14306" s="15" t="s">
        <v>28137</v>
      </c>
      <c r="C14306" s="16">
        <f>81.83/(1+B2)</f>
        <v>81.83</v>
      </c>
      <c r="D14306" s="17" t="s">
        <v>11</v>
      </c>
      <c r="E14306" s="17"/>
      <c r="F14306" s="18"/>
      <c r="G14306" s="36" t="str">
        <f>IF(ISNUMBER(F14306),C14306*F14306,"")</f>
        <v/>
      </c>
    </row>
    <row r="14307" spans="1:7" ht="12" customHeight="1" outlineLevel="3" x14ac:dyDescent="0.2">
      <c r="A14307" s="14" t="s">
        <v>28138</v>
      </c>
      <c r="B14307" s="15" t="s">
        <v>28139</v>
      </c>
      <c r="C14307" s="16">
        <f>94.26/(1+B2)</f>
        <v>94.26</v>
      </c>
      <c r="D14307" s="17" t="s">
        <v>53</v>
      </c>
      <c r="E14307" s="17"/>
      <c r="F14307" s="18"/>
      <c r="G14307" s="36" t="str">
        <f>IF(ISNUMBER(F14307),C14307*F14307,"")</f>
        <v/>
      </c>
    </row>
    <row r="14308" spans="1:7" ht="12" customHeight="1" outlineLevel="3" x14ac:dyDescent="0.2">
      <c r="A14308" s="14" t="s">
        <v>28140</v>
      </c>
      <c r="B14308" s="15" t="s">
        <v>28141</v>
      </c>
      <c r="C14308" s="16">
        <f>118.21/(1+B2)</f>
        <v>118.21</v>
      </c>
      <c r="D14308" s="17" t="s">
        <v>14</v>
      </c>
      <c r="E14308" s="17"/>
      <c r="F14308" s="18"/>
      <c r="G14308" s="36" t="str">
        <f>IF(ISNUMBER(F14308),C14308*F14308,"")</f>
        <v/>
      </c>
    </row>
    <row r="14309" spans="1:7" ht="12" customHeight="1" outlineLevel="3" x14ac:dyDescent="0.2">
      <c r="A14309" s="14" t="s">
        <v>28142</v>
      </c>
      <c r="B14309" s="15" t="s">
        <v>28143</v>
      </c>
      <c r="C14309" s="16">
        <f>150.33/(1+B2)</f>
        <v>150.33000000000001</v>
      </c>
      <c r="D14309" s="17" t="s">
        <v>14</v>
      </c>
      <c r="E14309" s="17"/>
      <c r="F14309" s="18"/>
      <c r="G14309" s="36" t="str">
        <f>IF(ISNUMBER(F14309),C14309*F14309,"")</f>
        <v/>
      </c>
    </row>
    <row r="14310" spans="1:7" ht="12" customHeight="1" outlineLevel="3" x14ac:dyDescent="0.2">
      <c r="A14310" s="14" t="s">
        <v>28144</v>
      </c>
      <c r="B14310" s="15" t="s">
        <v>28145</v>
      </c>
      <c r="C14310" s="16">
        <f>161.34/(1+B2)</f>
        <v>161.34</v>
      </c>
      <c r="D14310" s="17" t="s">
        <v>11</v>
      </c>
      <c r="E14310" s="17"/>
      <c r="F14310" s="18"/>
      <c r="G14310" s="36" t="str">
        <f>IF(ISNUMBER(F14310),C14310*F14310,"")</f>
        <v/>
      </c>
    </row>
    <row r="14311" spans="1:7" ht="24" customHeight="1" outlineLevel="3" x14ac:dyDescent="0.2">
      <c r="A14311" s="14" t="s">
        <v>28146</v>
      </c>
      <c r="B14311" s="15" t="s">
        <v>28147</v>
      </c>
      <c r="C14311" s="16">
        <f>9.01/(1+B2)</f>
        <v>9.01</v>
      </c>
      <c r="D14311" s="17" t="s">
        <v>11</v>
      </c>
      <c r="E14311" s="17"/>
      <c r="F14311" s="18"/>
      <c r="G14311" s="36" t="str">
        <f>IF(ISNUMBER(F14311),C14311*F14311,"")</f>
        <v/>
      </c>
    </row>
    <row r="14312" spans="1:7" ht="12" customHeight="1" outlineLevel="3" x14ac:dyDescent="0.2">
      <c r="A14312" s="14" t="s">
        <v>28148</v>
      </c>
      <c r="B14312" s="15" t="s">
        <v>28149</v>
      </c>
      <c r="C14312" s="16">
        <f>20/(1+B2)</f>
        <v>20</v>
      </c>
      <c r="D14312" s="17" t="s">
        <v>11</v>
      </c>
      <c r="E14312" s="17"/>
      <c r="F14312" s="18"/>
      <c r="G14312" s="36" t="str">
        <f>IF(ISNUMBER(F14312),C14312*F14312,"")</f>
        <v/>
      </c>
    </row>
    <row r="14313" spans="1:7" ht="12" customHeight="1" outlineLevel="3" x14ac:dyDescent="0.2">
      <c r="A14313" s="14" t="s">
        <v>28150</v>
      </c>
      <c r="B14313" s="15" t="s">
        <v>28151</v>
      </c>
      <c r="C14313" s="16">
        <f>31.45/(1+B2)</f>
        <v>31.45</v>
      </c>
      <c r="D14313" s="17" t="s">
        <v>11</v>
      </c>
      <c r="E14313" s="17" t="s">
        <v>53</v>
      </c>
      <c r="F14313" s="18"/>
      <c r="G14313" s="36" t="str">
        <f>IF(ISNUMBER(F14313),C14313*F14313,"")</f>
        <v/>
      </c>
    </row>
    <row r="14314" spans="1:7" ht="12" customHeight="1" outlineLevel="3" x14ac:dyDescent="0.2">
      <c r="A14314" s="14" t="s">
        <v>28152</v>
      </c>
      <c r="B14314" s="15" t="s">
        <v>28153</v>
      </c>
      <c r="C14314" s="16">
        <f>305.09/(1+B2)</f>
        <v>305.08999999999997</v>
      </c>
      <c r="D14314" s="17" t="s">
        <v>11</v>
      </c>
      <c r="E14314" s="17"/>
      <c r="F14314" s="18"/>
      <c r="G14314" s="36" t="str">
        <f>IF(ISNUMBER(F14314),C14314*F14314,"")</f>
        <v/>
      </c>
    </row>
    <row r="14315" spans="1:7" ht="12" customHeight="1" outlineLevel="3" x14ac:dyDescent="0.2">
      <c r="A14315" s="14" t="s">
        <v>28154</v>
      </c>
      <c r="B14315" s="15" t="s">
        <v>28155</v>
      </c>
      <c r="C14315" s="16">
        <f>478.54/(1+B2)</f>
        <v>478.54</v>
      </c>
      <c r="D14315" s="17" t="s">
        <v>11</v>
      </c>
      <c r="E14315" s="17"/>
      <c r="F14315" s="18"/>
      <c r="G14315" s="36" t="str">
        <f>IF(ISNUMBER(F14315),C14315*F14315,"")</f>
        <v/>
      </c>
    </row>
    <row r="14316" spans="1:7" ht="12" customHeight="1" outlineLevel="3" x14ac:dyDescent="0.2">
      <c r="A14316" s="14" t="s">
        <v>28156</v>
      </c>
      <c r="B14316" s="15" t="s">
        <v>28157</v>
      </c>
      <c r="C14316" s="16">
        <f>34.58/(1+B2)</f>
        <v>34.58</v>
      </c>
      <c r="D14316" s="17" t="s">
        <v>11</v>
      </c>
      <c r="E14316" s="17"/>
      <c r="F14316" s="18"/>
      <c r="G14316" s="36" t="str">
        <f>IF(ISNUMBER(F14316),C14316*F14316,"")</f>
        <v/>
      </c>
    </row>
    <row r="14317" spans="1:7" ht="12" customHeight="1" outlineLevel="3" x14ac:dyDescent="0.2">
      <c r="A14317" s="14" t="s">
        <v>28158</v>
      </c>
      <c r="B14317" s="15" t="s">
        <v>28159</v>
      </c>
      <c r="C14317" s="16">
        <f>95.55/(1+B2)</f>
        <v>95.55</v>
      </c>
      <c r="D14317" s="17" t="s">
        <v>14</v>
      </c>
      <c r="E14317" s="17"/>
      <c r="F14317" s="18"/>
      <c r="G14317" s="36" t="str">
        <f>IF(ISNUMBER(F14317),C14317*F14317,"")</f>
        <v/>
      </c>
    </row>
    <row r="14318" spans="1:7" ht="12" customHeight="1" outlineLevel="3" x14ac:dyDescent="0.2">
      <c r="A14318" s="14" t="s">
        <v>28160</v>
      </c>
      <c r="B14318" s="15" t="s">
        <v>28161</v>
      </c>
      <c r="C14318" s="16">
        <f>127/(1+B2)</f>
        <v>127</v>
      </c>
      <c r="D14318" s="17" t="s">
        <v>11</v>
      </c>
      <c r="E14318" s="17"/>
      <c r="F14318" s="18"/>
      <c r="G14318" s="36" t="str">
        <f>IF(ISNUMBER(F14318),C14318*F14318,"")</f>
        <v/>
      </c>
    </row>
    <row r="14319" spans="1:7" ht="12" customHeight="1" outlineLevel="3" x14ac:dyDescent="0.2">
      <c r="A14319" s="14" t="s">
        <v>28162</v>
      </c>
      <c r="B14319" s="15" t="s">
        <v>28163</v>
      </c>
      <c r="C14319" s="16">
        <f>144.04/(1+B2)</f>
        <v>144.04</v>
      </c>
      <c r="D14319" s="17" t="s">
        <v>11</v>
      </c>
      <c r="E14319" s="17"/>
      <c r="F14319" s="18"/>
      <c r="G14319" s="36" t="str">
        <f>IF(ISNUMBER(F14319),C14319*F14319,"")</f>
        <v/>
      </c>
    </row>
    <row r="14320" spans="1:7" ht="24" customHeight="1" outlineLevel="3" x14ac:dyDescent="0.2">
      <c r="A14320" s="14" t="s">
        <v>28164</v>
      </c>
      <c r="B14320" s="15" t="s">
        <v>28165</v>
      </c>
      <c r="C14320" s="16">
        <f>174.73/(1+B2)</f>
        <v>174.73</v>
      </c>
      <c r="D14320" s="17" t="s">
        <v>53</v>
      </c>
      <c r="E14320" s="17"/>
      <c r="F14320" s="18"/>
      <c r="G14320" s="36" t="str">
        <f>IF(ISNUMBER(F14320),C14320*F14320,"")</f>
        <v/>
      </c>
    </row>
    <row r="14321" spans="1:7" ht="24" customHeight="1" outlineLevel="3" x14ac:dyDescent="0.2">
      <c r="A14321" s="14" t="s">
        <v>28166</v>
      </c>
      <c r="B14321" s="15" t="s">
        <v>28167</v>
      </c>
      <c r="C14321" s="16">
        <f>249.52/(1+B2)</f>
        <v>249.52</v>
      </c>
      <c r="D14321" s="17" t="s">
        <v>14</v>
      </c>
      <c r="E14321" s="17"/>
      <c r="F14321" s="18"/>
      <c r="G14321" s="36" t="str">
        <f>IF(ISNUMBER(F14321),C14321*F14321,"")</f>
        <v/>
      </c>
    </row>
    <row r="14322" spans="1:7" ht="12" customHeight="1" outlineLevel="3" x14ac:dyDescent="0.2">
      <c r="A14322" s="14" t="s">
        <v>28168</v>
      </c>
      <c r="B14322" s="15" t="s">
        <v>28169</v>
      </c>
      <c r="C14322" s="16">
        <f>315.78/(1+B2)</f>
        <v>315.77999999999997</v>
      </c>
      <c r="D14322" s="17" t="s">
        <v>11</v>
      </c>
      <c r="E14322" s="17"/>
      <c r="F14322" s="18"/>
      <c r="G14322" s="36" t="str">
        <f>IF(ISNUMBER(F14322),C14322*F14322,"")</f>
        <v/>
      </c>
    </row>
    <row r="14323" spans="1:7" ht="24" customHeight="1" outlineLevel="3" x14ac:dyDescent="0.2">
      <c r="A14323" s="14" t="s">
        <v>28170</v>
      </c>
      <c r="B14323" s="15" t="s">
        <v>28171</v>
      </c>
      <c r="C14323" s="16">
        <f>156.83/(1+B2)</f>
        <v>156.83000000000001</v>
      </c>
      <c r="D14323" s="17" t="s">
        <v>11</v>
      </c>
      <c r="E14323" s="17"/>
      <c r="F14323" s="18"/>
      <c r="G14323" s="36" t="str">
        <f>IF(ISNUMBER(F14323),C14323*F14323,"")</f>
        <v/>
      </c>
    </row>
    <row r="14324" spans="1:7" ht="12" customHeight="1" outlineLevel="3" x14ac:dyDescent="0.2">
      <c r="A14324" s="14" t="s">
        <v>28172</v>
      </c>
      <c r="B14324" s="15" t="s">
        <v>28173</v>
      </c>
      <c r="C14324" s="16">
        <f>105.94/(1+B2)</f>
        <v>105.94</v>
      </c>
      <c r="D14324" s="17" t="s">
        <v>11</v>
      </c>
      <c r="E14324" s="17"/>
      <c r="F14324" s="18"/>
      <c r="G14324" s="36" t="str">
        <f>IF(ISNUMBER(F14324),C14324*F14324,"")</f>
        <v/>
      </c>
    </row>
    <row r="14325" spans="1:7" ht="12" customHeight="1" outlineLevel="3" x14ac:dyDescent="0.2">
      <c r="A14325" s="14" t="s">
        <v>28174</v>
      </c>
      <c r="B14325" s="15" t="s">
        <v>28175</v>
      </c>
      <c r="C14325" s="16">
        <f>119.95/(1+B2)</f>
        <v>119.95</v>
      </c>
      <c r="D14325" s="17" t="s">
        <v>53</v>
      </c>
      <c r="E14325" s="17"/>
      <c r="F14325" s="18"/>
      <c r="G14325" s="36" t="str">
        <f>IF(ISNUMBER(F14325),C14325*F14325,"")</f>
        <v/>
      </c>
    </row>
    <row r="14326" spans="1:7" ht="12" customHeight="1" outlineLevel="3" x14ac:dyDescent="0.2">
      <c r="A14326" s="14" t="s">
        <v>28176</v>
      </c>
      <c r="B14326" s="15" t="s">
        <v>28177</v>
      </c>
      <c r="C14326" s="16">
        <f>93.96/(1+B2)</f>
        <v>93.96</v>
      </c>
      <c r="D14326" s="17" t="s">
        <v>11</v>
      </c>
      <c r="E14326" s="17"/>
      <c r="F14326" s="18"/>
      <c r="G14326" s="36" t="str">
        <f>IF(ISNUMBER(F14326),C14326*F14326,"")</f>
        <v/>
      </c>
    </row>
    <row r="14327" spans="1:7" ht="12" customHeight="1" outlineLevel="3" x14ac:dyDescent="0.2">
      <c r="A14327" s="14" t="s">
        <v>28178</v>
      </c>
      <c r="B14327" s="15" t="s">
        <v>28179</v>
      </c>
      <c r="C14327" s="16">
        <f>169.91/(1+B2)</f>
        <v>169.91</v>
      </c>
      <c r="D14327" s="17" t="s">
        <v>53</v>
      </c>
      <c r="E14327" s="17"/>
      <c r="F14327" s="18"/>
      <c r="G14327" s="36" t="str">
        <f>IF(ISNUMBER(F14327),C14327*F14327,"")</f>
        <v/>
      </c>
    </row>
    <row r="14328" spans="1:7" ht="12" customHeight="1" outlineLevel="3" x14ac:dyDescent="0.2">
      <c r="A14328" s="14" t="s">
        <v>28180</v>
      </c>
      <c r="B14328" s="15" t="s">
        <v>28181</v>
      </c>
      <c r="C14328" s="16">
        <f>189.92/(1+B2)</f>
        <v>189.92</v>
      </c>
      <c r="D14328" s="17" t="s">
        <v>11</v>
      </c>
      <c r="E14328" s="17"/>
      <c r="F14328" s="18"/>
      <c r="G14328" s="36" t="str">
        <f>IF(ISNUMBER(F14328),C14328*F14328,"")</f>
        <v/>
      </c>
    </row>
    <row r="14329" spans="1:7" ht="12" customHeight="1" outlineLevel="3" x14ac:dyDescent="0.2">
      <c r="A14329" s="14" t="s">
        <v>28182</v>
      </c>
      <c r="B14329" s="15" t="s">
        <v>28183</v>
      </c>
      <c r="C14329" s="16">
        <f>194.9/(1+B2)</f>
        <v>194.9</v>
      </c>
      <c r="D14329" s="17" t="s">
        <v>14</v>
      </c>
      <c r="E14329" s="17"/>
      <c r="F14329" s="18"/>
      <c r="G14329" s="36" t="str">
        <f>IF(ISNUMBER(F14329),C14329*F14329,"")</f>
        <v/>
      </c>
    </row>
    <row r="14330" spans="1:7" ht="12" customHeight="1" outlineLevel="3" x14ac:dyDescent="0.2">
      <c r="A14330" s="14" t="s">
        <v>28184</v>
      </c>
      <c r="B14330" s="15" t="s">
        <v>28185</v>
      </c>
      <c r="C14330" s="16">
        <f>164.45/(1+B2)</f>
        <v>164.45</v>
      </c>
      <c r="D14330" s="17" t="s">
        <v>11</v>
      </c>
      <c r="E14330" s="17" t="s">
        <v>11</v>
      </c>
      <c r="F14330" s="18"/>
      <c r="G14330" s="36" t="str">
        <f>IF(ISNUMBER(F14330),C14330*F14330,"")</f>
        <v/>
      </c>
    </row>
    <row r="14331" spans="1:7" s="1" customFormat="1" ht="12.95" customHeight="1" outlineLevel="2" x14ac:dyDescent="0.2">
      <c r="A14331" s="20"/>
      <c r="B14331" s="21" t="s">
        <v>28186</v>
      </c>
      <c r="C14331" s="22"/>
      <c r="D14331" s="22"/>
      <c r="E14331" s="22"/>
      <c r="F14331" s="22"/>
      <c r="G14331" s="37"/>
    </row>
    <row r="14332" spans="1:7" ht="12" customHeight="1" outlineLevel="3" x14ac:dyDescent="0.2">
      <c r="A14332" s="14" t="s">
        <v>28187</v>
      </c>
      <c r="B14332" s="15" t="s">
        <v>28188</v>
      </c>
      <c r="C14332" s="16">
        <f>86.1/(1+B2)</f>
        <v>86.1</v>
      </c>
      <c r="D14332" s="17" t="s">
        <v>11</v>
      </c>
      <c r="E14332" s="17"/>
      <c r="F14332" s="18"/>
      <c r="G14332" s="36" t="str">
        <f>IF(ISNUMBER(F14332),C14332*F14332,"")</f>
        <v/>
      </c>
    </row>
    <row r="14333" spans="1:7" ht="12" customHeight="1" outlineLevel="3" x14ac:dyDescent="0.2">
      <c r="A14333" s="14" t="s">
        <v>28189</v>
      </c>
      <c r="B14333" s="15" t="s">
        <v>28190</v>
      </c>
      <c r="C14333" s="16">
        <f>32.9/(1+B2)</f>
        <v>32.9</v>
      </c>
      <c r="D14333" s="17" t="s">
        <v>11</v>
      </c>
      <c r="E14333" s="17"/>
      <c r="F14333" s="18"/>
      <c r="G14333" s="36" t="str">
        <f>IF(ISNUMBER(F14333),C14333*F14333,"")</f>
        <v/>
      </c>
    </row>
    <row r="14334" spans="1:7" ht="24" customHeight="1" outlineLevel="3" x14ac:dyDescent="0.2">
      <c r="A14334" s="14" t="s">
        <v>28191</v>
      </c>
      <c r="B14334" s="15" t="s">
        <v>28192</v>
      </c>
      <c r="C14334" s="16">
        <f>140.46/(1+B2)</f>
        <v>140.46</v>
      </c>
      <c r="D14334" s="17" t="s">
        <v>11</v>
      </c>
      <c r="E14334" s="17"/>
      <c r="F14334" s="18"/>
      <c r="G14334" s="36" t="str">
        <f>IF(ISNUMBER(F14334),C14334*F14334,"")</f>
        <v/>
      </c>
    </row>
    <row r="14335" spans="1:7" ht="24" customHeight="1" outlineLevel="3" x14ac:dyDescent="0.2">
      <c r="A14335" s="14" t="s">
        <v>28193</v>
      </c>
      <c r="B14335" s="15" t="s">
        <v>28194</v>
      </c>
      <c r="C14335" s="16">
        <f>99.73/(1+B2)</f>
        <v>99.73</v>
      </c>
      <c r="D14335" s="17" t="s">
        <v>11</v>
      </c>
      <c r="E14335" s="17" t="s">
        <v>11</v>
      </c>
      <c r="F14335" s="18"/>
      <c r="G14335" s="36" t="str">
        <f>IF(ISNUMBER(F14335),C14335*F14335,"")</f>
        <v/>
      </c>
    </row>
    <row r="14336" spans="1:7" ht="24" customHeight="1" outlineLevel="3" x14ac:dyDescent="0.2">
      <c r="A14336" s="14" t="s">
        <v>28195</v>
      </c>
      <c r="B14336" s="15" t="s">
        <v>28196</v>
      </c>
      <c r="C14336" s="16">
        <f>104.6/(1+B2)</f>
        <v>104.6</v>
      </c>
      <c r="D14336" s="17" t="s">
        <v>11</v>
      </c>
      <c r="E14336" s="17"/>
      <c r="F14336" s="18"/>
      <c r="G14336" s="36" t="str">
        <f>IF(ISNUMBER(F14336),C14336*F14336,"")</f>
        <v/>
      </c>
    </row>
    <row r="14337" spans="1:7" ht="24" customHeight="1" outlineLevel="3" x14ac:dyDescent="0.2">
      <c r="A14337" s="14" t="s">
        <v>28197</v>
      </c>
      <c r="B14337" s="15" t="s">
        <v>28198</v>
      </c>
      <c r="C14337" s="16">
        <f>137.71/(1+B2)</f>
        <v>137.71</v>
      </c>
      <c r="D14337" s="17" t="s">
        <v>11</v>
      </c>
      <c r="E14337" s="17"/>
      <c r="F14337" s="18"/>
      <c r="G14337" s="36" t="str">
        <f>IF(ISNUMBER(F14337),C14337*F14337,"")</f>
        <v/>
      </c>
    </row>
    <row r="14338" spans="1:7" ht="24" customHeight="1" outlineLevel="3" x14ac:dyDescent="0.2">
      <c r="A14338" s="14" t="s">
        <v>28199</v>
      </c>
      <c r="B14338" s="15" t="s">
        <v>28200</v>
      </c>
      <c r="C14338" s="16">
        <f>134.92/(1+B2)</f>
        <v>134.91999999999999</v>
      </c>
      <c r="D14338" s="17" t="s">
        <v>11</v>
      </c>
      <c r="E14338" s="17"/>
      <c r="F14338" s="18"/>
      <c r="G14338" s="36" t="str">
        <f>IF(ISNUMBER(F14338),C14338*F14338,"")</f>
        <v/>
      </c>
    </row>
    <row r="14339" spans="1:7" ht="24" customHeight="1" outlineLevel="3" x14ac:dyDescent="0.2">
      <c r="A14339" s="14" t="s">
        <v>28201</v>
      </c>
      <c r="B14339" s="15" t="s">
        <v>28202</v>
      </c>
      <c r="C14339" s="16">
        <f>169.2/(1+B2)</f>
        <v>169.2</v>
      </c>
      <c r="D14339" s="17" t="s">
        <v>11</v>
      </c>
      <c r="E14339" s="17"/>
      <c r="F14339" s="18"/>
      <c r="G14339" s="36" t="str">
        <f>IF(ISNUMBER(F14339),C14339*F14339,"")</f>
        <v/>
      </c>
    </row>
    <row r="14340" spans="1:7" ht="24" customHeight="1" outlineLevel="3" x14ac:dyDescent="0.2">
      <c r="A14340" s="14" t="s">
        <v>28203</v>
      </c>
      <c r="B14340" s="15" t="s">
        <v>28204</v>
      </c>
      <c r="C14340" s="16">
        <f>197.67/(1+B2)</f>
        <v>197.67</v>
      </c>
      <c r="D14340" s="17" t="s">
        <v>11</v>
      </c>
      <c r="E14340" s="17"/>
      <c r="F14340" s="18"/>
      <c r="G14340" s="36" t="str">
        <f>IF(ISNUMBER(F14340),C14340*F14340,"")</f>
        <v/>
      </c>
    </row>
    <row r="14341" spans="1:7" ht="24" customHeight="1" outlineLevel="3" x14ac:dyDescent="0.2">
      <c r="A14341" s="14" t="s">
        <v>28205</v>
      </c>
      <c r="B14341" s="15" t="s">
        <v>28206</v>
      </c>
      <c r="C14341" s="16">
        <f>237.11/(1+B2)</f>
        <v>237.11</v>
      </c>
      <c r="D14341" s="17" t="s">
        <v>14</v>
      </c>
      <c r="E14341" s="17"/>
      <c r="F14341" s="18"/>
      <c r="G14341" s="36" t="str">
        <f>IF(ISNUMBER(F14341),C14341*F14341,"")</f>
        <v/>
      </c>
    </row>
    <row r="14342" spans="1:7" ht="24" customHeight="1" outlineLevel="3" x14ac:dyDescent="0.2">
      <c r="A14342" s="14" t="s">
        <v>28207</v>
      </c>
      <c r="B14342" s="15" t="s">
        <v>28208</v>
      </c>
      <c r="C14342" s="16">
        <f>139.09/(1+B2)</f>
        <v>139.09</v>
      </c>
      <c r="D14342" s="17" t="s">
        <v>14</v>
      </c>
      <c r="E14342" s="17"/>
      <c r="F14342" s="18"/>
      <c r="G14342" s="36" t="str">
        <f>IF(ISNUMBER(F14342),C14342*F14342,"")</f>
        <v/>
      </c>
    </row>
    <row r="14343" spans="1:7" ht="24" customHeight="1" outlineLevel="3" x14ac:dyDescent="0.2">
      <c r="A14343" s="14" t="s">
        <v>28209</v>
      </c>
      <c r="B14343" s="15" t="s">
        <v>28210</v>
      </c>
      <c r="C14343" s="16">
        <f>168.13/(1+B2)</f>
        <v>168.13</v>
      </c>
      <c r="D14343" s="17" t="s">
        <v>14</v>
      </c>
      <c r="E14343" s="17"/>
      <c r="F14343" s="18"/>
      <c r="G14343" s="36" t="str">
        <f>IF(ISNUMBER(F14343),C14343*F14343,"")</f>
        <v/>
      </c>
    </row>
    <row r="14344" spans="1:7" ht="24" customHeight="1" outlineLevel="3" x14ac:dyDescent="0.2">
      <c r="A14344" s="14" t="s">
        <v>28211</v>
      </c>
      <c r="B14344" s="15" t="s">
        <v>28212</v>
      </c>
      <c r="C14344" s="16">
        <f>225.96/(1+B2)</f>
        <v>225.96</v>
      </c>
      <c r="D14344" s="17" t="s">
        <v>53</v>
      </c>
      <c r="E14344" s="17"/>
      <c r="F14344" s="18"/>
      <c r="G14344" s="36" t="str">
        <f>IF(ISNUMBER(F14344),C14344*F14344,"")</f>
        <v/>
      </c>
    </row>
    <row r="14345" spans="1:7" ht="24" customHeight="1" outlineLevel="3" x14ac:dyDescent="0.2">
      <c r="A14345" s="14" t="s">
        <v>28213</v>
      </c>
      <c r="B14345" s="15" t="s">
        <v>28214</v>
      </c>
      <c r="C14345" s="16">
        <f>182.24/(1+B2)</f>
        <v>182.24</v>
      </c>
      <c r="D14345" s="17" t="s">
        <v>11</v>
      </c>
      <c r="E14345" s="17"/>
      <c r="F14345" s="18"/>
      <c r="G14345" s="36" t="str">
        <f>IF(ISNUMBER(F14345),C14345*F14345,"")</f>
        <v/>
      </c>
    </row>
    <row r="14346" spans="1:7" ht="12" customHeight="1" outlineLevel="3" x14ac:dyDescent="0.2">
      <c r="A14346" s="14" t="s">
        <v>28215</v>
      </c>
      <c r="B14346" s="15" t="s">
        <v>28216</v>
      </c>
      <c r="C14346" s="16">
        <f>433.55/(1+B2)</f>
        <v>433.55</v>
      </c>
      <c r="D14346" s="17" t="s">
        <v>11</v>
      </c>
      <c r="E14346" s="17"/>
      <c r="F14346" s="18"/>
      <c r="G14346" s="36" t="str">
        <f>IF(ISNUMBER(F14346),C14346*F14346,"")</f>
        <v/>
      </c>
    </row>
    <row r="14347" spans="1:7" ht="12" customHeight="1" outlineLevel="3" x14ac:dyDescent="0.2">
      <c r="A14347" s="14" t="s">
        <v>28217</v>
      </c>
      <c r="B14347" s="15" t="s">
        <v>28218</v>
      </c>
      <c r="C14347" s="16">
        <f>64.01/(1+B2)</f>
        <v>64.010000000000005</v>
      </c>
      <c r="D14347" s="17" t="s">
        <v>11</v>
      </c>
      <c r="E14347" s="17"/>
      <c r="F14347" s="18"/>
      <c r="G14347" s="36" t="str">
        <f>IF(ISNUMBER(F14347),C14347*F14347,"")</f>
        <v/>
      </c>
    </row>
    <row r="14348" spans="1:7" ht="12" customHeight="1" outlineLevel="3" x14ac:dyDescent="0.2">
      <c r="A14348" s="14" t="s">
        <v>28219</v>
      </c>
      <c r="B14348" s="15" t="s">
        <v>28220</v>
      </c>
      <c r="C14348" s="16">
        <f>69.24/(1+B2)</f>
        <v>69.239999999999995</v>
      </c>
      <c r="D14348" s="17" t="s">
        <v>11</v>
      </c>
      <c r="E14348" s="17"/>
      <c r="F14348" s="18"/>
      <c r="G14348" s="36" t="str">
        <f>IF(ISNUMBER(F14348),C14348*F14348,"")</f>
        <v/>
      </c>
    </row>
    <row r="14349" spans="1:7" ht="12" customHeight="1" outlineLevel="3" x14ac:dyDescent="0.2">
      <c r="A14349" s="14" t="s">
        <v>28221</v>
      </c>
      <c r="B14349" s="15" t="s">
        <v>28222</v>
      </c>
      <c r="C14349" s="16">
        <f>81.66/(1+B2)</f>
        <v>81.66</v>
      </c>
      <c r="D14349" s="17" t="s">
        <v>11</v>
      </c>
      <c r="E14349" s="17"/>
      <c r="F14349" s="18"/>
      <c r="G14349" s="36" t="str">
        <f>IF(ISNUMBER(F14349),C14349*F14349,"")</f>
        <v/>
      </c>
    </row>
    <row r="14350" spans="1:7" ht="12" customHeight="1" outlineLevel="3" x14ac:dyDescent="0.2">
      <c r="A14350" s="14" t="s">
        <v>28223</v>
      </c>
      <c r="B14350" s="15" t="s">
        <v>28224</v>
      </c>
      <c r="C14350" s="16">
        <f>86.81/(1+B2)</f>
        <v>86.81</v>
      </c>
      <c r="D14350" s="17" t="s">
        <v>14</v>
      </c>
      <c r="E14350" s="17"/>
      <c r="F14350" s="18"/>
      <c r="G14350" s="36" t="str">
        <f>IF(ISNUMBER(F14350),C14350*F14350,"")</f>
        <v/>
      </c>
    </row>
    <row r="14351" spans="1:7" ht="12" customHeight="1" outlineLevel="3" x14ac:dyDescent="0.2">
      <c r="A14351" s="14" t="s">
        <v>28225</v>
      </c>
      <c r="B14351" s="15" t="s">
        <v>28226</v>
      </c>
      <c r="C14351" s="16">
        <f>96.29/(1+B2)</f>
        <v>96.29</v>
      </c>
      <c r="D14351" s="17" t="s">
        <v>53</v>
      </c>
      <c r="E14351" s="17"/>
      <c r="F14351" s="18"/>
      <c r="G14351" s="36" t="str">
        <f>IF(ISNUMBER(F14351),C14351*F14351,"")</f>
        <v/>
      </c>
    </row>
    <row r="14352" spans="1:7" ht="12" customHeight="1" outlineLevel="3" x14ac:dyDescent="0.2">
      <c r="A14352" s="14" t="s">
        <v>28227</v>
      </c>
      <c r="B14352" s="15" t="s">
        <v>28228</v>
      </c>
      <c r="C14352" s="16">
        <f>74.31/(1+B2)</f>
        <v>74.31</v>
      </c>
      <c r="D14352" s="17" t="s">
        <v>11</v>
      </c>
      <c r="E14352" s="17"/>
      <c r="F14352" s="18"/>
      <c r="G14352" s="36" t="str">
        <f>IF(ISNUMBER(F14352),C14352*F14352,"")</f>
        <v/>
      </c>
    </row>
    <row r="14353" spans="1:7" ht="12" customHeight="1" outlineLevel="3" x14ac:dyDescent="0.2">
      <c r="A14353" s="14" t="s">
        <v>28229</v>
      </c>
      <c r="B14353" s="15" t="s">
        <v>28230</v>
      </c>
      <c r="C14353" s="16">
        <f>103.59/(1+B2)</f>
        <v>103.59</v>
      </c>
      <c r="D14353" s="17" t="s">
        <v>14</v>
      </c>
      <c r="E14353" s="17"/>
      <c r="F14353" s="18"/>
      <c r="G14353" s="36" t="str">
        <f>IF(ISNUMBER(F14353),C14353*F14353,"")</f>
        <v/>
      </c>
    </row>
    <row r="14354" spans="1:7" ht="12" customHeight="1" outlineLevel="3" x14ac:dyDescent="0.2">
      <c r="A14354" s="14" t="s">
        <v>28231</v>
      </c>
      <c r="B14354" s="15" t="s">
        <v>28232</v>
      </c>
      <c r="C14354" s="16">
        <f>89.57/(1+B2)</f>
        <v>89.57</v>
      </c>
      <c r="D14354" s="17" t="s">
        <v>11</v>
      </c>
      <c r="E14354" s="17"/>
      <c r="F14354" s="18"/>
      <c r="G14354" s="36" t="str">
        <f>IF(ISNUMBER(F14354),C14354*F14354,"")</f>
        <v/>
      </c>
    </row>
    <row r="14355" spans="1:7" ht="12" customHeight="1" outlineLevel="3" x14ac:dyDescent="0.2">
      <c r="A14355" s="14" t="s">
        <v>28233</v>
      </c>
      <c r="B14355" s="15" t="s">
        <v>28234</v>
      </c>
      <c r="C14355" s="16">
        <f>94.26/(1+B2)</f>
        <v>94.26</v>
      </c>
      <c r="D14355" s="17" t="s">
        <v>14</v>
      </c>
      <c r="E14355" s="17"/>
      <c r="F14355" s="18"/>
      <c r="G14355" s="36" t="str">
        <f>IF(ISNUMBER(F14355),C14355*F14355,"")</f>
        <v/>
      </c>
    </row>
    <row r="14356" spans="1:7" ht="12" customHeight="1" outlineLevel="3" x14ac:dyDescent="0.2">
      <c r="A14356" s="14" t="s">
        <v>28235</v>
      </c>
      <c r="B14356" s="15" t="s">
        <v>28236</v>
      </c>
      <c r="C14356" s="16">
        <f>74.85/(1+B2)</f>
        <v>74.849999999999994</v>
      </c>
      <c r="D14356" s="17" t="s">
        <v>11</v>
      </c>
      <c r="E14356" s="17"/>
      <c r="F14356" s="18"/>
      <c r="G14356" s="36" t="str">
        <f>IF(ISNUMBER(F14356),C14356*F14356,"")</f>
        <v/>
      </c>
    </row>
    <row r="14357" spans="1:7" ht="12" customHeight="1" outlineLevel="3" x14ac:dyDescent="0.2">
      <c r="A14357" s="14" t="s">
        <v>28237</v>
      </c>
      <c r="B14357" s="15" t="s">
        <v>28238</v>
      </c>
      <c r="C14357" s="16">
        <f>87.83/(1+B2)</f>
        <v>87.83</v>
      </c>
      <c r="D14357" s="17" t="s">
        <v>11</v>
      </c>
      <c r="E14357" s="17"/>
      <c r="F14357" s="18"/>
      <c r="G14357" s="36" t="str">
        <f>IF(ISNUMBER(F14357),C14357*F14357,"")</f>
        <v/>
      </c>
    </row>
    <row r="14358" spans="1:7" ht="12" customHeight="1" outlineLevel="3" x14ac:dyDescent="0.2">
      <c r="A14358" s="14" t="s">
        <v>28239</v>
      </c>
      <c r="B14358" s="15" t="s">
        <v>28240</v>
      </c>
      <c r="C14358" s="16">
        <f>97.37/(1+B2)</f>
        <v>97.37</v>
      </c>
      <c r="D14358" s="17" t="s">
        <v>14</v>
      </c>
      <c r="E14358" s="17"/>
      <c r="F14358" s="18"/>
      <c r="G14358" s="36" t="str">
        <f>IF(ISNUMBER(F14358),C14358*F14358,"")</f>
        <v/>
      </c>
    </row>
    <row r="14359" spans="1:7" ht="12" customHeight="1" outlineLevel="3" x14ac:dyDescent="0.2">
      <c r="A14359" s="14" t="s">
        <v>28241</v>
      </c>
      <c r="B14359" s="15" t="s">
        <v>28242</v>
      </c>
      <c r="C14359" s="16">
        <f>115.24/(1+B2)</f>
        <v>115.24</v>
      </c>
      <c r="D14359" s="17" t="s">
        <v>11</v>
      </c>
      <c r="E14359" s="17"/>
      <c r="F14359" s="18"/>
      <c r="G14359" s="36" t="str">
        <f>IF(ISNUMBER(F14359),C14359*F14359,"")</f>
        <v/>
      </c>
    </row>
    <row r="14360" spans="1:7" ht="12" customHeight="1" outlineLevel="3" x14ac:dyDescent="0.2">
      <c r="A14360" s="14" t="s">
        <v>28243</v>
      </c>
      <c r="B14360" s="15" t="s">
        <v>28244</v>
      </c>
      <c r="C14360" s="16">
        <f>384.59/(1+B2)</f>
        <v>384.59</v>
      </c>
      <c r="D14360" s="17" t="s">
        <v>11</v>
      </c>
      <c r="E14360" s="17"/>
      <c r="F14360" s="18"/>
      <c r="G14360" s="36" t="str">
        <f>IF(ISNUMBER(F14360),C14360*F14360,"")</f>
        <v/>
      </c>
    </row>
    <row r="14361" spans="1:7" ht="12" customHeight="1" outlineLevel="3" x14ac:dyDescent="0.2">
      <c r="A14361" s="14" t="s">
        <v>28245</v>
      </c>
      <c r="B14361" s="15" t="s">
        <v>28246</v>
      </c>
      <c r="C14361" s="16">
        <f>208.51/(1+B2)</f>
        <v>208.51</v>
      </c>
      <c r="D14361" s="17" t="s">
        <v>11</v>
      </c>
      <c r="E14361" s="17" t="s">
        <v>53</v>
      </c>
      <c r="F14361" s="18"/>
      <c r="G14361" s="36" t="str">
        <f>IF(ISNUMBER(F14361),C14361*F14361,"")</f>
        <v/>
      </c>
    </row>
    <row r="14362" spans="1:7" ht="24" customHeight="1" outlineLevel="3" x14ac:dyDescent="0.2">
      <c r="A14362" s="14" t="s">
        <v>28247</v>
      </c>
      <c r="B14362" s="15" t="s">
        <v>28248</v>
      </c>
      <c r="C14362" s="16">
        <f>233.37/(1+B2)</f>
        <v>233.37</v>
      </c>
      <c r="D14362" s="17" t="s">
        <v>11</v>
      </c>
      <c r="E14362" s="17"/>
      <c r="F14362" s="18"/>
      <c r="G14362" s="36" t="str">
        <f>IF(ISNUMBER(F14362),C14362*F14362,"")</f>
        <v/>
      </c>
    </row>
    <row r="14363" spans="1:7" ht="24" customHeight="1" outlineLevel="3" x14ac:dyDescent="0.2">
      <c r="A14363" s="14" t="s">
        <v>28249</v>
      </c>
      <c r="B14363" s="15" t="s">
        <v>28250</v>
      </c>
      <c r="C14363" s="16">
        <f>301.42/(1+B2)</f>
        <v>301.42</v>
      </c>
      <c r="D14363" s="17" t="s">
        <v>11</v>
      </c>
      <c r="E14363" s="17"/>
      <c r="F14363" s="18"/>
      <c r="G14363" s="36" t="str">
        <f>IF(ISNUMBER(F14363),C14363*F14363,"")</f>
        <v/>
      </c>
    </row>
    <row r="14364" spans="1:7" ht="12" customHeight="1" outlineLevel="3" x14ac:dyDescent="0.2">
      <c r="A14364" s="14" t="s">
        <v>28251</v>
      </c>
      <c r="B14364" s="15" t="s">
        <v>28252</v>
      </c>
      <c r="C14364" s="16">
        <f>28.64/(1+B2)</f>
        <v>28.64</v>
      </c>
      <c r="D14364" s="17" t="s">
        <v>11</v>
      </c>
      <c r="E14364" s="17"/>
      <c r="F14364" s="18"/>
      <c r="G14364" s="36" t="str">
        <f>IF(ISNUMBER(F14364),C14364*F14364,"")</f>
        <v/>
      </c>
    </row>
    <row r="14365" spans="1:7" ht="12" customHeight="1" outlineLevel="3" x14ac:dyDescent="0.2">
      <c r="A14365" s="14" t="s">
        <v>28253</v>
      </c>
      <c r="B14365" s="15" t="s">
        <v>28254</v>
      </c>
      <c r="C14365" s="16">
        <f>19.92/(1+B2)</f>
        <v>19.920000000000002</v>
      </c>
      <c r="D14365" s="17" t="s">
        <v>53</v>
      </c>
      <c r="E14365" s="17" t="s">
        <v>53</v>
      </c>
      <c r="F14365" s="18"/>
      <c r="G14365" s="36" t="str">
        <f>IF(ISNUMBER(F14365),C14365*F14365,"")</f>
        <v/>
      </c>
    </row>
    <row r="14366" spans="1:7" ht="12" customHeight="1" outlineLevel="3" x14ac:dyDescent="0.2">
      <c r="A14366" s="14" t="s">
        <v>28255</v>
      </c>
      <c r="B14366" s="15" t="s">
        <v>28256</v>
      </c>
      <c r="C14366" s="16">
        <f>248.77/(1+B2)</f>
        <v>248.77</v>
      </c>
      <c r="D14366" s="17" t="s">
        <v>11</v>
      </c>
      <c r="E14366" s="17"/>
      <c r="F14366" s="18"/>
      <c r="G14366" s="36" t="str">
        <f>IF(ISNUMBER(F14366),C14366*F14366,"")</f>
        <v/>
      </c>
    </row>
    <row r="14367" spans="1:7" s="1" customFormat="1" ht="12.95" customHeight="1" outlineLevel="2" x14ac:dyDescent="0.2">
      <c r="A14367" s="20"/>
      <c r="B14367" s="21" t="s">
        <v>28257</v>
      </c>
      <c r="C14367" s="22"/>
      <c r="D14367" s="22"/>
      <c r="E14367" s="22"/>
      <c r="F14367" s="22"/>
      <c r="G14367" s="37"/>
    </row>
    <row r="14368" spans="1:7" ht="12" customHeight="1" outlineLevel="3" x14ac:dyDescent="0.2">
      <c r="A14368" s="14" t="s">
        <v>28258</v>
      </c>
      <c r="B14368" s="15" t="s">
        <v>28259</v>
      </c>
      <c r="C14368" s="16">
        <f>45.6/(1+B2)</f>
        <v>45.6</v>
      </c>
      <c r="D14368" s="17" t="s">
        <v>14</v>
      </c>
      <c r="E14368" s="17"/>
      <c r="F14368" s="18"/>
      <c r="G14368" s="36" t="str">
        <f>IF(ISNUMBER(F14368),C14368*F14368,"")</f>
        <v/>
      </c>
    </row>
    <row r="14369" spans="1:7" ht="12" customHeight="1" outlineLevel="3" x14ac:dyDescent="0.2">
      <c r="A14369" s="14" t="s">
        <v>28260</v>
      </c>
      <c r="B14369" s="15" t="s">
        <v>28261</v>
      </c>
      <c r="C14369" s="16">
        <f>144.29/(1+B2)</f>
        <v>144.29</v>
      </c>
      <c r="D14369" s="17" t="s">
        <v>11</v>
      </c>
      <c r="E14369" s="17" t="s">
        <v>11</v>
      </c>
      <c r="F14369" s="18"/>
      <c r="G14369" s="36" t="str">
        <f>IF(ISNUMBER(F14369),C14369*F14369,"")</f>
        <v/>
      </c>
    </row>
    <row r="14370" spans="1:7" ht="12" customHeight="1" outlineLevel="3" x14ac:dyDescent="0.2">
      <c r="A14370" s="14" t="s">
        <v>28262</v>
      </c>
      <c r="B14370" s="15" t="s">
        <v>28263</v>
      </c>
      <c r="C14370" s="16">
        <f>69.36/(1+B2)</f>
        <v>69.36</v>
      </c>
      <c r="D14370" s="17" t="s">
        <v>14</v>
      </c>
      <c r="E14370" s="17"/>
      <c r="F14370" s="18"/>
      <c r="G14370" s="36" t="str">
        <f>IF(ISNUMBER(F14370),C14370*F14370,"")</f>
        <v/>
      </c>
    </row>
    <row r="14371" spans="1:7" ht="12" customHeight="1" outlineLevel="3" x14ac:dyDescent="0.2">
      <c r="A14371" s="14" t="s">
        <v>28264</v>
      </c>
      <c r="B14371" s="15" t="s">
        <v>28265</v>
      </c>
      <c r="C14371" s="16">
        <f>121.01/(1+B2)</f>
        <v>121.01</v>
      </c>
      <c r="D14371" s="17" t="s">
        <v>53</v>
      </c>
      <c r="E14371" s="17"/>
      <c r="F14371" s="18"/>
      <c r="G14371" s="36" t="str">
        <f>IF(ISNUMBER(F14371),C14371*F14371,"")</f>
        <v/>
      </c>
    </row>
    <row r="14372" spans="1:7" ht="12" customHeight="1" outlineLevel="3" x14ac:dyDescent="0.2">
      <c r="A14372" s="14" t="s">
        <v>28266</v>
      </c>
      <c r="B14372" s="15" t="s">
        <v>28267</v>
      </c>
      <c r="C14372" s="16">
        <f>24.14/(1+B2)</f>
        <v>24.14</v>
      </c>
      <c r="D14372" s="17" t="s">
        <v>11</v>
      </c>
      <c r="E14372" s="17"/>
      <c r="F14372" s="18"/>
      <c r="G14372" s="36" t="str">
        <f>IF(ISNUMBER(F14372),C14372*F14372,"")</f>
        <v/>
      </c>
    </row>
    <row r="14373" spans="1:7" ht="12" customHeight="1" outlineLevel="3" x14ac:dyDescent="0.2">
      <c r="A14373" s="14" t="s">
        <v>28268</v>
      </c>
      <c r="B14373" s="15" t="s">
        <v>28269</v>
      </c>
      <c r="C14373" s="16">
        <f>26.16/(1+B2)</f>
        <v>26.16</v>
      </c>
      <c r="D14373" s="17" t="s">
        <v>11</v>
      </c>
      <c r="E14373" s="17"/>
      <c r="F14373" s="18"/>
      <c r="G14373" s="36" t="str">
        <f>IF(ISNUMBER(F14373),C14373*F14373,"")</f>
        <v/>
      </c>
    </row>
    <row r="14374" spans="1:7" ht="12" customHeight="1" outlineLevel="3" x14ac:dyDescent="0.2">
      <c r="A14374" s="14" t="s">
        <v>28270</v>
      </c>
      <c r="B14374" s="15" t="s">
        <v>28271</v>
      </c>
      <c r="C14374" s="16">
        <f>149.49/(1+B2)</f>
        <v>149.49</v>
      </c>
      <c r="D14374" s="17" t="s">
        <v>53</v>
      </c>
      <c r="E14374" s="17"/>
      <c r="F14374" s="18"/>
      <c r="G14374" s="36" t="str">
        <f>IF(ISNUMBER(F14374),C14374*F14374,"")</f>
        <v/>
      </c>
    </row>
    <row r="14375" spans="1:7" ht="12" customHeight="1" outlineLevel="3" x14ac:dyDescent="0.2">
      <c r="A14375" s="14" t="s">
        <v>28272</v>
      </c>
      <c r="B14375" s="15" t="s">
        <v>28273</v>
      </c>
      <c r="C14375" s="16">
        <f>172.42/(1+B2)</f>
        <v>172.42</v>
      </c>
      <c r="D14375" s="17" t="s">
        <v>14</v>
      </c>
      <c r="E14375" s="17"/>
      <c r="F14375" s="18"/>
      <c r="G14375" s="36" t="str">
        <f>IF(ISNUMBER(F14375),C14375*F14375,"")</f>
        <v/>
      </c>
    </row>
    <row r="14376" spans="1:7" ht="12" customHeight="1" outlineLevel="3" x14ac:dyDescent="0.2">
      <c r="A14376" s="14" t="s">
        <v>28274</v>
      </c>
      <c r="B14376" s="15" t="s">
        <v>28275</v>
      </c>
      <c r="C14376" s="16">
        <f>187.81/(1+B2)</f>
        <v>187.81</v>
      </c>
      <c r="D14376" s="17" t="s">
        <v>14</v>
      </c>
      <c r="E14376" s="17"/>
      <c r="F14376" s="18"/>
      <c r="G14376" s="36" t="str">
        <f>IF(ISNUMBER(F14376),C14376*F14376,"")</f>
        <v/>
      </c>
    </row>
    <row r="14377" spans="1:7" ht="12" customHeight="1" outlineLevel="3" x14ac:dyDescent="0.2">
      <c r="A14377" s="14" t="s">
        <v>28276</v>
      </c>
      <c r="B14377" s="15" t="s">
        <v>28277</v>
      </c>
      <c r="C14377" s="16">
        <f>106.4/(1+B2)</f>
        <v>106.4</v>
      </c>
      <c r="D14377" s="17" t="s">
        <v>14</v>
      </c>
      <c r="E14377" s="17"/>
      <c r="F14377" s="18"/>
      <c r="G14377" s="36" t="str">
        <f>IF(ISNUMBER(F14377),C14377*F14377,"")</f>
        <v/>
      </c>
    </row>
    <row r="14378" spans="1:7" ht="12" customHeight="1" outlineLevel="3" x14ac:dyDescent="0.2">
      <c r="A14378" s="14" t="s">
        <v>28278</v>
      </c>
      <c r="B14378" s="15" t="s">
        <v>28279</v>
      </c>
      <c r="C14378" s="16">
        <f>115.56/(1+B2)</f>
        <v>115.56</v>
      </c>
      <c r="D14378" s="17" t="s">
        <v>53</v>
      </c>
      <c r="E14378" s="17"/>
      <c r="F14378" s="18"/>
      <c r="G14378" s="36" t="str">
        <f>IF(ISNUMBER(F14378),C14378*F14378,"")</f>
        <v/>
      </c>
    </row>
    <row r="14379" spans="1:7" ht="12" customHeight="1" outlineLevel="3" x14ac:dyDescent="0.2">
      <c r="A14379" s="14" t="s">
        <v>28280</v>
      </c>
      <c r="B14379" s="15" t="s">
        <v>28281</v>
      </c>
      <c r="C14379" s="16">
        <f>125.85/(1+B2)</f>
        <v>125.85</v>
      </c>
      <c r="D14379" s="17" t="s">
        <v>53</v>
      </c>
      <c r="E14379" s="17"/>
      <c r="F14379" s="18"/>
      <c r="G14379" s="36" t="str">
        <f>IF(ISNUMBER(F14379),C14379*F14379,"")</f>
        <v/>
      </c>
    </row>
    <row r="14380" spans="1:7" ht="12" customHeight="1" outlineLevel="3" x14ac:dyDescent="0.2">
      <c r="A14380" s="14" t="s">
        <v>28282</v>
      </c>
      <c r="B14380" s="15" t="s">
        <v>28283</v>
      </c>
      <c r="C14380" s="16">
        <f>140.37/(1+B2)</f>
        <v>140.37</v>
      </c>
      <c r="D14380" s="17" t="s">
        <v>53</v>
      </c>
      <c r="E14380" s="17"/>
      <c r="F14380" s="18"/>
      <c r="G14380" s="36" t="str">
        <f>IF(ISNUMBER(F14380),C14380*F14380,"")</f>
        <v/>
      </c>
    </row>
    <row r="14381" spans="1:7" ht="12" customHeight="1" outlineLevel="3" x14ac:dyDescent="0.2">
      <c r="A14381" s="14" t="s">
        <v>28284</v>
      </c>
      <c r="B14381" s="15" t="s">
        <v>28285</v>
      </c>
      <c r="C14381" s="16">
        <f>438.35/(1+B2)</f>
        <v>438.35</v>
      </c>
      <c r="D14381" s="17" t="s">
        <v>11</v>
      </c>
      <c r="E14381" s="17"/>
      <c r="F14381" s="18"/>
      <c r="G14381" s="36" t="str">
        <f>IF(ISNUMBER(F14381),C14381*F14381,"")</f>
        <v/>
      </c>
    </row>
    <row r="14382" spans="1:7" ht="24" customHeight="1" outlineLevel="3" x14ac:dyDescent="0.2">
      <c r="A14382" s="14" t="s">
        <v>28286</v>
      </c>
      <c r="B14382" s="15" t="s">
        <v>28287</v>
      </c>
      <c r="C14382" s="16">
        <f>479.31/(1+B2)</f>
        <v>479.31</v>
      </c>
      <c r="D14382" s="17" t="s">
        <v>11</v>
      </c>
      <c r="E14382" s="17"/>
      <c r="F14382" s="18"/>
      <c r="G14382" s="36" t="str">
        <f>IF(ISNUMBER(F14382),C14382*F14382,"")</f>
        <v/>
      </c>
    </row>
    <row r="14383" spans="1:7" ht="12" customHeight="1" outlineLevel="3" x14ac:dyDescent="0.2">
      <c r="A14383" s="14" t="s">
        <v>28288</v>
      </c>
      <c r="B14383" s="15" t="s">
        <v>28289</v>
      </c>
      <c r="C14383" s="16">
        <f>494.72/(1+B2)</f>
        <v>494.72</v>
      </c>
      <c r="D14383" s="17" t="s">
        <v>11</v>
      </c>
      <c r="E14383" s="17"/>
      <c r="F14383" s="18"/>
      <c r="G14383" s="36" t="str">
        <f>IF(ISNUMBER(F14383),C14383*F14383,"")</f>
        <v/>
      </c>
    </row>
    <row r="14384" spans="1:7" ht="12" customHeight="1" outlineLevel="3" x14ac:dyDescent="0.2">
      <c r="A14384" s="14" t="s">
        <v>28290</v>
      </c>
      <c r="B14384" s="15" t="s">
        <v>28291</v>
      </c>
      <c r="C14384" s="16">
        <f>606.19/(1+B2)</f>
        <v>606.19000000000005</v>
      </c>
      <c r="D14384" s="17" t="s">
        <v>11</v>
      </c>
      <c r="E14384" s="17"/>
      <c r="F14384" s="18"/>
      <c r="G14384" s="36" t="str">
        <f>IF(ISNUMBER(F14384),C14384*F14384,"")</f>
        <v/>
      </c>
    </row>
    <row r="14385" spans="1:7" ht="12" customHeight="1" outlineLevel="3" x14ac:dyDescent="0.2">
      <c r="A14385" s="14" t="s">
        <v>28292</v>
      </c>
      <c r="B14385" s="15" t="s">
        <v>28293</v>
      </c>
      <c r="C14385" s="16">
        <f>894.36/(1+B2)</f>
        <v>894.36</v>
      </c>
      <c r="D14385" s="17" t="s">
        <v>11</v>
      </c>
      <c r="E14385" s="17"/>
      <c r="F14385" s="18"/>
      <c r="G14385" s="36" t="str">
        <f>IF(ISNUMBER(F14385),C14385*F14385,"")</f>
        <v/>
      </c>
    </row>
    <row r="14386" spans="1:7" ht="12" customHeight="1" outlineLevel="3" x14ac:dyDescent="0.2">
      <c r="A14386" s="14" t="s">
        <v>28294</v>
      </c>
      <c r="B14386" s="15" t="s">
        <v>28295</v>
      </c>
      <c r="C14386" s="19">
        <f>1047.05/(1+B2)</f>
        <v>1047.05</v>
      </c>
      <c r="D14386" s="17" t="s">
        <v>11</v>
      </c>
      <c r="E14386" s="17" t="s">
        <v>11</v>
      </c>
      <c r="F14386" s="18"/>
      <c r="G14386" s="36" t="str">
        <f>IF(ISNUMBER(F14386),C14386*F14386,"")</f>
        <v/>
      </c>
    </row>
    <row r="14387" spans="1:7" ht="12" customHeight="1" outlineLevel="3" x14ac:dyDescent="0.2">
      <c r="A14387" s="14" t="s">
        <v>28296</v>
      </c>
      <c r="B14387" s="15" t="s">
        <v>28297</v>
      </c>
      <c r="C14387" s="16">
        <f>49.03/(1+B2)</f>
        <v>49.03</v>
      </c>
      <c r="D14387" s="17" t="s">
        <v>14</v>
      </c>
      <c r="E14387" s="17"/>
      <c r="F14387" s="18"/>
      <c r="G14387" s="36" t="str">
        <f>IF(ISNUMBER(F14387),C14387*F14387,"")</f>
        <v/>
      </c>
    </row>
    <row r="14388" spans="1:7" ht="12" customHeight="1" outlineLevel="3" x14ac:dyDescent="0.2">
      <c r="A14388" s="14" t="s">
        <v>28298</v>
      </c>
      <c r="B14388" s="15" t="s">
        <v>28299</v>
      </c>
      <c r="C14388" s="16">
        <f>6.92/(1+B2)</f>
        <v>6.92</v>
      </c>
      <c r="D14388" s="17" t="s">
        <v>53</v>
      </c>
      <c r="E14388" s="17"/>
      <c r="F14388" s="18"/>
      <c r="G14388" s="36" t="str">
        <f>IF(ISNUMBER(F14388),C14388*F14388,"")</f>
        <v/>
      </c>
    </row>
    <row r="14389" spans="1:7" ht="12" customHeight="1" outlineLevel="3" x14ac:dyDescent="0.2">
      <c r="A14389" s="14" t="s">
        <v>28300</v>
      </c>
      <c r="B14389" s="15" t="s">
        <v>28301</v>
      </c>
      <c r="C14389" s="16">
        <f>6/(1+B2)</f>
        <v>6</v>
      </c>
      <c r="D14389" s="17" t="s">
        <v>106</v>
      </c>
      <c r="E14389" s="17" t="s">
        <v>106</v>
      </c>
      <c r="F14389" s="18"/>
      <c r="G14389" s="36" t="str">
        <f>IF(ISNUMBER(F14389),C14389*F14389,"")</f>
        <v/>
      </c>
    </row>
    <row r="14390" spans="1:7" ht="12" customHeight="1" outlineLevel="3" x14ac:dyDescent="0.2">
      <c r="A14390" s="14" t="s">
        <v>28302</v>
      </c>
      <c r="B14390" s="15" t="s">
        <v>28303</v>
      </c>
      <c r="C14390" s="16">
        <f>30.49/(1+B2)</f>
        <v>30.49</v>
      </c>
      <c r="D14390" s="17" t="s">
        <v>11</v>
      </c>
      <c r="E14390" s="17"/>
      <c r="F14390" s="18"/>
      <c r="G14390" s="36" t="str">
        <f>IF(ISNUMBER(F14390),C14390*F14390,"")</f>
        <v/>
      </c>
    </row>
    <row r="14391" spans="1:7" ht="12" customHeight="1" outlineLevel="3" x14ac:dyDescent="0.2">
      <c r="A14391" s="14" t="s">
        <v>28304</v>
      </c>
      <c r="B14391" s="15" t="s">
        <v>28305</v>
      </c>
      <c r="C14391" s="16">
        <f>39.64/(1+B2)</f>
        <v>39.64</v>
      </c>
      <c r="D14391" s="17" t="s">
        <v>11</v>
      </c>
      <c r="E14391" s="17"/>
      <c r="F14391" s="18"/>
      <c r="G14391" s="36" t="str">
        <f>IF(ISNUMBER(F14391),C14391*F14391,"")</f>
        <v/>
      </c>
    </row>
    <row r="14392" spans="1:7" ht="24" customHeight="1" outlineLevel="3" x14ac:dyDescent="0.2">
      <c r="A14392" s="14" t="s">
        <v>28306</v>
      </c>
      <c r="B14392" s="15" t="s">
        <v>28307</v>
      </c>
      <c r="C14392" s="16">
        <f>65.24/(1+B2)</f>
        <v>65.239999999999995</v>
      </c>
      <c r="D14392" s="17" t="s">
        <v>11</v>
      </c>
      <c r="E14392" s="17"/>
      <c r="F14392" s="18"/>
      <c r="G14392" s="36" t="str">
        <f>IF(ISNUMBER(F14392),C14392*F14392,"")</f>
        <v/>
      </c>
    </row>
    <row r="14393" spans="1:7" ht="24" customHeight="1" outlineLevel="3" x14ac:dyDescent="0.2">
      <c r="A14393" s="14" t="s">
        <v>28308</v>
      </c>
      <c r="B14393" s="15" t="s">
        <v>28309</v>
      </c>
      <c r="C14393" s="16">
        <f>84.07/(1+B2)</f>
        <v>84.07</v>
      </c>
      <c r="D14393" s="17" t="s">
        <v>11</v>
      </c>
      <c r="E14393" s="17"/>
      <c r="F14393" s="18"/>
      <c r="G14393" s="36" t="str">
        <f>IF(ISNUMBER(F14393),C14393*F14393,"")</f>
        <v/>
      </c>
    </row>
    <row r="14394" spans="1:7" ht="24" customHeight="1" outlineLevel="3" x14ac:dyDescent="0.2">
      <c r="A14394" s="14" t="s">
        <v>28310</v>
      </c>
      <c r="B14394" s="15" t="s">
        <v>28311</v>
      </c>
      <c r="C14394" s="16">
        <f>86.68/(1+B2)</f>
        <v>86.68</v>
      </c>
      <c r="D14394" s="17" t="s">
        <v>11</v>
      </c>
      <c r="E14394" s="17"/>
      <c r="F14394" s="18"/>
      <c r="G14394" s="36" t="str">
        <f>IF(ISNUMBER(F14394),C14394*F14394,"")</f>
        <v/>
      </c>
    </row>
    <row r="14395" spans="1:7" ht="12" customHeight="1" outlineLevel="3" x14ac:dyDescent="0.2">
      <c r="A14395" s="14" t="s">
        <v>28312</v>
      </c>
      <c r="B14395" s="15" t="s">
        <v>28313</v>
      </c>
      <c r="C14395" s="16">
        <f>41.73/(1+B2)</f>
        <v>41.73</v>
      </c>
      <c r="D14395" s="17" t="s">
        <v>53</v>
      </c>
      <c r="E14395" s="17"/>
      <c r="F14395" s="18"/>
      <c r="G14395" s="36" t="str">
        <f>IF(ISNUMBER(F14395),C14395*F14395,"")</f>
        <v/>
      </c>
    </row>
    <row r="14396" spans="1:7" ht="12" customHeight="1" outlineLevel="3" x14ac:dyDescent="0.2">
      <c r="A14396" s="14" t="s">
        <v>28314</v>
      </c>
      <c r="B14396" s="15" t="s">
        <v>28315</v>
      </c>
      <c r="C14396" s="16">
        <f>31.3/(1+B2)</f>
        <v>31.3</v>
      </c>
      <c r="D14396" s="17" t="s">
        <v>14</v>
      </c>
      <c r="E14396" s="17"/>
      <c r="F14396" s="18"/>
      <c r="G14396" s="36" t="str">
        <f>IF(ISNUMBER(F14396),C14396*F14396,"")</f>
        <v/>
      </c>
    </row>
    <row r="14397" spans="1:7" ht="12" customHeight="1" outlineLevel="3" x14ac:dyDescent="0.2">
      <c r="A14397" s="14" t="s">
        <v>28316</v>
      </c>
      <c r="B14397" s="15" t="s">
        <v>28317</v>
      </c>
      <c r="C14397" s="16">
        <f>37.49/(1+B2)</f>
        <v>37.49</v>
      </c>
      <c r="D14397" s="17" t="s">
        <v>14</v>
      </c>
      <c r="E14397" s="17"/>
      <c r="F14397" s="18"/>
      <c r="G14397" s="36" t="str">
        <f>IF(ISNUMBER(F14397),C14397*F14397,"")</f>
        <v/>
      </c>
    </row>
    <row r="14398" spans="1:7" ht="12" customHeight="1" outlineLevel="3" x14ac:dyDescent="0.2">
      <c r="A14398" s="14" t="s">
        <v>28318</v>
      </c>
      <c r="B14398" s="15" t="s">
        <v>28319</v>
      </c>
      <c r="C14398" s="16">
        <f>54.88/(1+B2)</f>
        <v>54.88</v>
      </c>
      <c r="D14398" s="17" t="s">
        <v>14</v>
      </c>
      <c r="E14398" s="17"/>
      <c r="F14398" s="18"/>
      <c r="G14398" s="36" t="str">
        <f>IF(ISNUMBER(F14398),C14398*F14398,"")</f>
        <v/>
      </c>
    </row>
    <row r="14399" spans="1:7" ht="12" customHeight="1" outlineLevel="3" x14ac:dyDescent="0.2">
      <c r="A14399" s="14" t="s">
        <v>28320</v>
      </c>
      <c r="B14399" s="15" t="s">
        <v>28321</v>
      </c>
      <c r="C14399" s="16">
        <f>67.91/(1+B2)</f>
        <v>67.91</v>
      </c>
      <c r="D14399" s="17" t="s">
        <v>14</v>
      </c>
      <c r="E14399" s="17"/>
      <c r="F14399" s="18"/>
      <c r="G14399" s="36" t="str">
        <f>IF(ISNUMBER(F14399),C14399*F14399,"")</f>
        <v/>
      </c>
    </row>
    <row r="14400" spans="1:7" ht="12" customHeight="1" outlineLevel="3" x14ac:dyDescent="0.2">
      <c r="A14400" s="14" t="s">
        <v>28322</v>
      </c>
      <c r="B14400" s="15" t="s">
        <v>28323</v>
      </c>
      <c r="C14400" s="16">
        <f>77.37/(1+B2)</f>
        <v>77.37</v>
      </c>
      <c r="D14400" s="17" t="s">
        <v>14</v>
      </c>
      <c r="E14400" s="17"/>
      <c r="F14400" s="18"/>
      <c r="G14400" s="36" t="str">
        <f>IF(ISNUMBER(F14400),C14400*F14400,"")</f>
        <v/>
      </c>
    </row>
    <row r="14401" spans="1:7" ht="12" customHeight="1" outlineLevel="3" x14ac:dyDescent="0.2">
      <c r="A14401" s="14" t="s">
        <v>28324</v>
      </c>
      <c r="B14401" s="15" t="s">
        <v>28325</v>
      </c>
      <c r="C14401" s="16">
        <f>88.07/(1+B2)</f>
        <v>88.07</v>
      </c>
      <c r="D14401" s="17" t="s">
        <v>11</v>
      </c>
      <c r="E14401" s="17"/>
      <c r="F14401" s="18"/>
      <c r="G14401" s="36" t="str">
        <f>IF(ISNUMBER(F14401),C14401*F14401,"")</f>
        <v/>
      </c>
    </row>
    <row r="14402" spans="1:7" ht="12" customHeight="1" outlineLevel="3" x14ac:dyDescent="0.2">
      <c r="A14402" s="14" t="s">
        <v>28326</v>
      </c>
      <c r="B14402" s="15" t="s">
        <v>28327</v>
      </c>
      <c r="C14402" s="16">
        <f>103.85/(1+B2)</f>
        <v>103.85</v>
      </c>
      <c r="D14402" s="17" t="s">
        <v>14</v>
      </c>
      <c r="E14402" s="17"/>
      <c r="F14402" s="18"/>
      <c r="G14402" s="36" t="str">
        <f>IF(ISNUMBER(F14402),C14402*F14402,"")</f>
        <v/>
      </c>
    </row>
    <row r="14403" spans="1:7" ht="12" customHeight="1" outlineLevel="3" x14ac:dyDescent="0.2">
      <c r="A14403" s="14" t="s">
        <v>28328</v>
      </c>
      <c r="B14403" s="15" t="s">
        <v>28329</v>
      </c>
      <c r="C14403" s="16">
        <f>133.99/(1+B2)</f>
        <v>133.99</v>
      </c>
      <c r="D14403" s="17" t="s">
        <v>11</v>
      </c>
      <c r="E14403" s="17"/>
      <c r="F14403" s="18"/>
      <c r="G14403" s="36" t="str">
        <f>IF(ISNUMBER(F14403),C14403*F14403,"")</f>
        <v/>
      </c>
    </row>
    <row r="14404" spans="1:7" ht="12" customHeight="1" outlineLevel="3" x14ac:dyDescent="0.2">
      <c r="A14404" s="14" t="s">
        <v>28330</v>
      </c>
      <c r="B14404" s="15" t="s">
        <v>28331</v>
      </c>
      <c r="C14404" s="16">
        <f>163.75/(1+B2)</f>
        <v>163.75</v>
      </c>
      <c r="D14404" s="17" t="s">
        <v>11</v>
      </c>
      <c r="E14404" s="17"/>
      <c r="F14404" s="18"/>
      <c r="G14404" s="36" t="str">
        <f>IF(ISNUMBER(F14404),C14404*F14404,"")</f>
        <v/>
      </c>
    </row>
    <row r="14405" spans="1:7" s="1" customFormat="1" ht="12.95" customHeight="1" outlineLevel="2" x14ac:dyDescent="0.2">
      <c r="A14405" s="20"/>
      <c r="B14405" s="21" t="s">
        <v>28332</v>
      </c>
      <c r="C14405" s="22"/>
      <c r="D14405" s="22"/>
      <c r="E14405" s="22"/>
      <c r="F14405" s="22"/>
      <c r="G14405" s="37"/>
    </row>
    <row r="14406" spans="1:7" ht="12" customHeight="1" outlineLevel="3" x14ac:dyDescent="0.2">
      <c r="A14406" s="14" t="s">
        <v>28333</v>
      </c>
      <c r="B14406" s="15" t="s">
        <v>28334</v>
      </c>
      <c r="C14406" s="16">
        <f>66.4/(1+B2)</f>
        <v>66.400000000000006</v>
      </c>
      <c r="D14406" s="17" t="s">
        <v>53</v>
      </c>
      <c r="E14406" s="17"/>
      <c r="F14406" s="18"/>
      <c r="G14406" s="36" t="str">
        <f>IF(ISNUMBER(F14406),C14406*F14406,"")</f>
        <v/>
      </c>
    </row>
    <row r="14407" spans="1:7" ht="12" customHeight="1" outlineLevel="3" x14ac:dyDescent="0.2">
      <c r="A14407" s="14" t="s">
        <v>28335</v>
      </c>
      <c r="B14407" s="15" t="s">
        <v>28336</v>
      </c>
      <c r="C14407" s="16">
        <f>121.01/(1+B2)</f>
        <v>121.01</v>
      </c>
      <c r="D14407" s="17" t="s">
        <v>11</v>
      </c>
      <c r="E14407" s="17"/>
      <c r="F14407" s="18"/>
      <c r="G14407" s="36" t="str">
        <f>IF(ISNUMBER(F14407),C14407*F14407,"")</f>
        <v/>
      </c>
    </row>
    <row r="14408" spans="1:7" ht="12" customHeight="1" outlineLevel="3" x14ac:dyDescent="0.2">
      <c r="A14408" s="14" t="s">
        <v>28337</v>
      </c>
      <c r="B14408" s="15" t="s">
        <v>28338</v>
      </c>
      <c r="C14408" s="16">
        <f>272.41/(1+B2)</f>
        <v>272.41000000000003</v>
      </c>
      <c r="D14408" s="17" t="s">
        <v>11</v>
      </c>
      <c r="E14408" s="17"/>
      <c r="F14408" s="18"/>
      <c r="G14408" s="36" t="str">
        <f>IF(ISNUMBER(F14408),C14408*F14408,"")</f>
        <v/>
      </c>
    </row>
    <row r="14409" spans="1:7" ht="12" customHeight="1" outlineLevel="3" x14ac:dyDescent="0.2">
      <c r="A14409" s="14" t="s">
        <v>28339</v>
      </c>
      <c r="B14409" s="15" t="s">
        <v>28340</v>
      </c>
      <c r="C14409" s="16">
        <f>13.53/(1+B2)</f>
        <v>13.53</v>
      </c>
      <c r="D14409" s="17" t="s">
        <v>14</v>
      </c>
      <c r="E14409" s="17"/>
      <c r="F14409" s="18"/>
      <c r="G14409" s="36" t="str">
        <f>IF(ISNUMBER(F14409),C14409*F14409,"")</f>
        <v/>
      </c>
    </row>
    <row r="14410" spans="1:7" ht="12" customHeight="1" outlineLevel="3" x14ac:dyDescent="0.2">
      <c r="A14410" s="14" t="s">
        <v>28341</v>
      </c>
      <c r="B14410" s="15" t="s">
        <v>28342</v>
      </c>
      <c r="C14410" s="16">
        <f>92.02/(1+B2)</f>
        <v>92.02</v>
      </c>
      <c r="D14410" s="17" t="s">
        <v>11</v>
      </c>
      <c r="E14410" s="17"/>
      <c r="F14410" s="18"/>
      <c r="G14410" s="36" t="str">
        <f>IF(ISNUMBER(F14410),C14410*F14410,"")</f>
        <v/>
      </c>
    </row>
    <row r="14411" spans="1:7" ht="24" customHeight="1" outlineLevel="3" x14ac:dyDescent="0.2">
      <c r="A14411" s="14" t="s">
        <v>28343</v>
      </c>
      <c r="B14411" s="15" t="s">
        <v>28344</v>
      </c>
      <c r="C14411" s="16">
        <f>161.89/(1+B2)</f>
        <v>161.88999999999999</v>
      </c>
      <c r="D14411" s="17" t="s">
        <v>14</v>
      </c>
      <c r="E14411" s="17"/>
      <c r="F14411" s="18"/>
      <c r="G14411" s="36" t="str">
        <f>IF(ISNUMBER(F14411),C14411*F14411,"")</f>
        <v/>
      </c>
    </row>
    <row r="14412" spans="1:7" ht="12" customHeight="1" outlineLevel="3" x14ac:dyDescent="0.2">
      <c r="A14412" s="14" t="s">
        <v>28345</v>
      </c>
      <c r="B14412" s="15" t="s">
        <v>28346</v>
      </c>
      <c r="C14412" s="16">
        <f>188.78/(1+B2)</f>
        <v>188.78</v>
      </c>
      <c r="D14412" s="17" t="s">
        <v>11</v>
      </c>
      <c r="E14412" s="17"/>
      <c r="F14412" s="18"/>
      <c r="G14412" s="36" t="str">
        <f>IF(ISNUMBER(F14412),C14412*F14412,"")</f>
        <v/>
      </c>
    </row>
    <row r="14413" spans="1:7" ht="24" customHeight="1" outlineLevel="3" x14ac:dyDescent="0.2">
      <c r="A14413" s="14" t="s">
        <v>28347</v>
      </c>
      <c r="B14413" s="15" t="s">
        <v>28348</v>
      </c>
      <c r="C14413" s="16">
        <f>409.04/(1+B2)</f>
        <v>409.04</v>
      </c>
      <c r="D14413" s="17" t="s">
        <v>11</v>
      </c>
      <c r="E14413" s="17"/>
      <c r="F14413" s="18"/>
      <c r="G14413" s="36" t="str">
        <f>IF(ISNUMBER(F14413),C14413*F14413,"")</f>
        <v/>
      </c>
    </row>
    <row r="14414" spans="1:7" ht="24" customHeight="1" outlineLevel="3" x14ac:dyDescent="0.2">
      <c r="A14414" s="14" t="s">
        <v>28349</v>
      </c>
      <c r="B14414" s="15" t="s">
        <v>28350</v>
      </c>
      <c r="C14414" s="16">
        <f>242.7/(1+B2)</f>
        <v>242.7</v>
      </c>
      <c r="D14414" s="17" t="s">
        <v>11</v>
      </c>
      <c r="E14414" s="17"/>
      <c r="F14414" s="18"/>
      <c r="G14414" s="36" t="str">
        <f>IF(ISNUMBER(F14414),C14414*F14414,"")</f>
        <v/>
      </c>
    </row>
    <row r="14415" spans="1:7" ht="12" customHeight="1" outlineLevel="3" x14ac:dyDescent="0.2">
      <c r="A14415" s="14" t="s">
        <v>28351</v>
      </c>
      <c r="B14415" s="15" t="s">
        <v>28352</v>
      </c>
      <c r="C14415" s="16">
        <f>406.26/(1+B2)</f>
        <v>406.26</v>
      </c>
      <c r="D14415" s="17" t="s">
        <v>11</v>
      </c>
      <c r="E14415" s="17"/>
      <c r="F14415" s="18"/>
      <c r="G14415" s="36" t="str">
        <f>IF(ISNUMBER(F14415),C14415*F14415,"")</f>
        <v/>
      </c>
    </row>
    <row r="14416" spans="1:7" ht="24" customHeight="1" outlineLevel="3" x14ac:dyDescent="0.2">
      <c r="A14416" s="14" t="s">
        <v>28353</v>
      </c>
      <c r="B14416" s="15" t="s">
        <v>28354</v>
      </c>
      <c r="C14416" s="16">
        <f>345.65/(1+B2)</f>
        <v>345.65</v>
      </c>
      <c r="D14416" s="17" t="s">
        <v>11</v>
      </c>
      <c r="E14416" s="17"/>
      <c r="F14416" s="18"/>
      <c r="G14416" s="36" t="str">
        <f>IF(ISNUMBER(F14416),C14416*F14416,"")</f>
        <v/>
      </c>
    </row>
    <row r="14417" spans="1:7" ht="12" customHeight="1" outlineLevel="3" x14ac:dyDescent="0.2">
      <c r="A14417" s="14" t="s">
        <v>28355</v>
      </c>
      <c r="B14417" s="15" t="s">
        <v>28356</v>
      </c>
      <c r="C14417" s="16">
        <f>197.01/(1+B2)</f>
        <v>197.01</v>
      </c>
      <c r="D14417" s="17" t="s">
        <v>11</v>
      </c>
      <c r="E14417" s="17"/>
      <c r="F14417" s="18"/>
      <c r="G14417" s="36" t="str">
        <f>IF(ISNUMBER(F14417),C14417*F14417,"")</f>
        <v/>
      </c>
    </row>
    <row r="14418" spans="1:7" ht="12" customHeight="1" outlineLevel="3" x14ac:dyDescent="0.2">
      <c r="A14418" s="14" t="s">
        <v>28357</v>
      </c>
      <c r="B14418" s="15" t="s">
        <v>28358</v>
      </c>
      <c r="C14418" s="16">
        <f>347.91/(1+B2)</f>
        <v>347.91</v>
      </c>
      <c r="D14418" s="17" t="s">
        <v>11</v>
      </c>
      <c r="E14418" s="17"/>
      <c r="F14418" s="18"/>
      <c r="G14418" s="36" t="str">
        <f>IF(ISNUMBER(F14418),C14418*F14418,"")</f>
        <v/>
      </c>
    </row>
    <row r="14419" spans="1:7" ht="12" customHeight="1" outlineLevel="3" x14ac:dyDescent="0.2">
      <c r="A14419" s="14" t="s">
        <v>28359</v>
      </c>
      <c r="B14419" s="15" t="s">
        <v>28360</v>
      </c>
      <c r="C14419" s="16">
        <f>145.89/(1+B2)</f>
        <v>145.88999999999999</v>
      </c>
      <c r="D14419" s="17" t="s">
        <v>11</v>
      </c>
      <c r="E14419" s="17"/>
      <c r="F14419" s="18"/>
      <c r="G14419" s="36" t="str">
        <f>IF(ISNUMBER(F14419),C14419*F14419,"")</f>
        <v/>
      </c>
    </row>
    <row r="14420" spans="1:7" ht="12" customHeight="1" outlineLevel="3" x14ac:dyDescent="0.2">
      <c r="A14420" s="14" t="s">
        <v>28361</v>
      </c>
      <c r="B14420" s="15" t="s">
        <v>28362</v>
      </c>
      <c r="C14420" s="16">
        <f>163.99/(1+B2)</f>
        <v>163.99</v>
      </c>
      <c r="D14420" s="17" t="s">
        <v>11</v>
      </c>
      <c r="E14420" s="17"/>
      <c r="F14420" s="18"/>
      <c r="G14420" s="36" t="str">
        <f>IF(ISNUMBER(F14420),C14420*F14420,"")</f>
        <v/>
      </c>
    </row>
    <row r="14421" spans="1:7" ht="12" customHeight="1" outlineLevel="3" x14ac:dyDescent="0.2">
      <c r="A14421" s="14" t="s">
        <v>28363</v>
      </c>
      <c r="B14421" s="15" t="s">
        <v>28364</v>
      </c>
      <c r="C14421" s="16">
        <f>116.17/(1+B2)</f>
        <v>116.17</v>
      </c>
      <c r="D14421" s="17" t="s">
        <v>11</v>
      </c>
      <c r="E14421" s="17"/>
      <c r="F14421" s="18"/>
      <c r="G14421" s="36" t="str">
        <f>IF(ISNUMBER(F14421),C14421*F14421,"")</f>
        <v/>
      </c>
    </row>
    <row r="14422" spans="1:7" ht="12" customHeight="1" outlineLevel="3" x14ac:dyDescent="0.2">
      <c r="A14422" s="14" t="s">
        <v>28365</v>
      </c>
      <c r="B14422" s="15" t="s">
        <v>28366</v>
      </c>
      <c r="C14422" s="16">
        <f>156.83/(1+B2)</f>
        <v>156.83000000000001</v>
      </c>
      <c r="D14422" s="17" t="s">
        <v>11</v>
      </c>
      <c r="E14422" s="17"/>
      <c r="F14422" s="18"/>
      <c r="G14422" s="36" t="str">
        <f>IF(ISNUMBER(F14422),C14422*F14422,"")</f>
        <v/>
      </c>
    </row>
    <row r="14423" spans="1:7" ht="12" customHeight="1" outlineLevel="3" x14ac:dyDescent="0.2">
      <c r="A14423" s="14" t="s">
        <v>28367</v>
      </c>
      <c r="B14423" s="15" t="s">
        <v>28368</v>
      </c>
      <c r="C14423" s="16">
        <f>233.45/(1+B2)</f>
        <v>233.45</v>
      </c>
      <c r="D14423" s="17" t="s">
        <v>11</v>
      </c>
      <c r="E14423" s="17"/>
      <c r="F14423" s="18"/>
      <c r="G14423" s="36" t="str">
        <f>IF(ISNUMBER(F14423),C14423*F14423,"")</f>
        <v/>
      </c>
    </row>
    <row r="14424" spans="1:7" ht="12" customHeight="1" outlineLevel="3" x14ac:dyDescent="0.2">
      <c r="A14424" s="14" t="s">
        <v>28369</v>
      </c>
      <c r="B14424" s="15" t="s">
        <v>28370</v>
      </c>
      <c r="C14424" s="16">
        <f>182.88/(1+B2)</f>
        <v>182.88</v>
      </c>
      <c r="D14424" s="17" t="s">
        <v>11</v>
      </c>
      <c r="E14424" s="17"/>
      <c r="F14424" s="18"/>
      <c r="G14424" s="36" t="str">
        <f>IF(ISNUMBER(F14424),C14424*F14424,"")</f>
        <v/>
      </c>
    </row>
    <row r="14425" spans="1:7" ht="12" customHeight="1" outlineLevel="3" x14ac:dyDescent="0.2">
      <c r="A14425" s="14" t="s">
        <v>28371</v>
      </c>
      <c r="B14425" s="15" t="s">
        <v>28372</v>
      </c>
      <c r="C14425" s="16">
        <f>149.06/(1+B2)</f>
        <v>149.06</v>
      </c>
      <c r="D14425" s="17" t="s">
        <v>11</v>
      </c>
      <c r="E14425" s="17"/>
      <c r="F14425" s="18"/>
      <c r="G14425" s="36" t="str">
        <f>IF(ISNUMBER(F14425),C14425*F14425,"")</f>
        <v/>
      </c>
    </row>
    <row r="14426" spans="1:7" ht="12" customHeight="1" outlineLevel="3" x14ac:dyDescent="0.2">
      <c r="A14426" s="14" t="s">
        <v>28373</v>
      </c>
      <c r="B14426" s="15" t="s">
        <v>28374</v>
      </c>
      <c r="C14426" s="16">
        <f>445.47/(1+B2)</f>
        <v>445.47</v>
      </c>
      <c r="D14426" s="17" t="s">
        <v>11</v>
      </c>
      <c r="E14426" s="17"/>
      <c r="F14426" s="18"/>
      <c r="G14426" s="36" t="str">
        <f>IF(ISNUMBER(F14426),C14426*F14426,"")</f>
        <v/>
      </c>
    </row>
    <row r="14427" spans="1:7" ht="24" customHeight="1" outlineLevel="3" x14ac:dyDescent="0.2">
      <c r="A14427" s="14" t="s">
        <v>28375</v>
      </c>
      <c r="B14427" s="15" t="s">
        <v>28376</v>
      </c>
      <c r="C14427" s="16">
        <f>196.32/(1+B2)</f>
        <v>196.32</v>
      </c>
      <c r="D14427" s="17" t="s">
        <v>14</v>
      </c>
      <c r="E14427" s="17" t="s">
        <v>106</v>
      </c>
      <c r="F14427" s="18"/>
      <c r="G14427" s="36" t="str">
        <f>IF(ISNUMBER(F14427),C14427*F14427,"")</f>
        <v/>
      </c>
    </row>
    <row r="14428" spans="1:7" ht="12" customHeight="1" outlineLevel="3" x14ac:dyDescent="0.2">
      <c r="A14428" s="14" t="s">
        <v>28377</v>
      </c>
      <c r="B14428" s="15" t="s">
        <v>28378</v>
      </c>
      <c r="C14428" s="16">
        <f>105.99/(1+B2)</f>
        <v>105.99</v>
      </c>
      <c r="D14428" s="17" t="s">
        <v>11</v>
      </c>
      <c r="E14428" s="17" t="s">
        <v>11</v>
      </c>
      <c r="F14428" s="18"/>
      <c r="G14428" s="36" t="str">
        <f>IF(ISNUMBER(F14428),C14428*F14428,"")</f>
        <v/>
      </c>
    </row>
    <row r="14429" spans="1:7" ht="12" customHeight="1" outlineLevel="3" x14ac:dyDescent="0.2">
      <c r="A14429" s="14" t="s">
        <v>28379</v>
      </c>
      <c r="B14429" s="15" t="s">
        <v>28380</v>
      </c>
      <c r="C14429" s="16">
        <f>40.08/(1+B2)</f>
        <v>40.08</v>
      </c>
      <c r="D14429" s="17" t="s">
        <v>11</v>
      </c>
      <c r="E14429" s="17" t="s">
        <v>53</v>
      </c>
      <c r="F14429" s="18"/>
      <c r="G14429" s="36" t="str">
        <f>IF(ISNUMBER(F14429),C14429*F14429,"")</f>
        <v/>
      </c>
    </row>
    <row r="14430" spans="1:7" ht="24" customHeight="1" outlineLevel="3" x14ac:dyDescent="0.2">
      <c r="A14430" s="14" t="s">
        <v>28381</v>
      </c>
      <c r="B14430" s="15" t="s">
        <v>28382</v>
      </c>
      <c r="C14430" s="16">
        <f>122.82/(1+B2)</f>
        <v>122.82</v>
      </c>
      <c r="D14430" s="17" t="s">
        <v>14</v>
      </c>
      <c r="E14430" s="17" t="s">
        <v>106</v>
      </c>
      <c r="F14430" s="18"/>
      <c r="G14430" s="36" t="str">
        <f>IF(ISNUMBER(F14430),C14430*F14430,"")</f>
        <v/>
      </c>
    </row>
    <row r="14431" spans="1:7" ht="24" customHeight="1" outlineLevel="3" x14ac:dyDescent="0.2">
      <c r="A14431" s="14" t="s">
        <v>28383</v>
      </c>
      <c r="B14431" s="15" t="s">
        <v>28384</v>
      </c>
      <c r="C14431" s="16">
        <f>194.27/(1+B2)</f>
        <v>194.27</v>
      </c>
      <c r="D14431" s="17" t="s">
        <v>11</v>
      </c>
      <c r="E14431" s="17" t="s">
        <v>11</v>
      </c>
      <c r="F14431" s="18"/>
      <c r="G14431" s="36" t="str">
        <f>IF(ISNUMBER(F14431),C14431*F14431,"")</f>
        <v/>
      </c>
    </row>
    <row r="14432" spans="1:7" ht="12" customHeight="1" outlineLevel="3" x14ac:dyDescent="0.2">
      <c r="A14432" s="14" t="s">
        <v>28385</v>
      </c>
      <c r="B14432" s="15" t="s">
        <v>28386</v>
      </c>
      <c r="C14432" s="16">
        <f>78.42/(1+B2)</f>
        <v>78.42</v>
      </c>
      <c r="D14432" s="17" t="s">
        <v>11</v>
      </c>
      <c r="E14432" s="17"/>
      <c r="F14432" s="18"/>
      <c r="G14432" s="36" t="str">
        <f>IF(ISNUMBER(F14432),C14432*F14432,"")</f>
        <v/>
      </c>
    </row>
    <row r="14433" spans="1:7" ht="12" customHeight="1" outlineLevel="3" x14ac:dyDescent="0.2">
      <c r="A14433" s="14" t="s">
        <v>28387</v>
      </c>
      <c r="B14433" s="15" t="s">
        <v>28388</v>
      </c>
      <c r="C14433" s="16">
        <f>78.42/(1+B2)</f>
        <v>78.42</v>
      </c>
      <c r="D14433" s="17" t="s">
        <v>11</v>
      </c>
      <c r="E14433" s="17"/>
      <c r="F14433" s="18"/>
      <c r="G14433" s="36" t="str">
        <f>IF(ISNUMBER(F14433),C14433*F14433,"")</f>
        <v/>
      </c>
    </row>
    <row r="14434" spans="1:7" ht="12" customHeight="1" outlineLevel="3" x14ac:dyDescent="0.2">
      <c r="A14434" s="14" t="s">
        <v>28389</v>
      </c>
      <c r="B14434" s="15" t="s">
        <v>28390</v>
      </c>
      <c r="C14434" s="16">
        <f>49.77/(1+B2)</f>
        <v>49.77</v>
      </c>
      <c r="D14434" s="17" t="s">
        <v>11</v>
      </c>
      <c r="E14434" s="17"/>
      <c r="F14434" s="18"/>
      <c r="G14434" s="36" t="str">
        <f>IF(ISNUMBER(F14434),C14434*F14434,"")</f>
        <v/>
      </c>
    </row>
    <row r="14435" spans="1:7" ht="12" customHeight="1" outlineLevel="3" x14ac:dyDescent="0.2">
      <c r="A14435" s="14" t="s">
        <v>28391</v>
      </c>
      <c r="B14435" s="15" t="s">
        <v>28392</v>
      </c>
      <c r="C14435" s="16">
        <f>49.77/(1+B2)</f>
        <v>49.77</v>
      </c>
      <c r="D14435" s="17" t="s">
        <v>11</v>
      </c>
      <c r="E14435" s="17"/>
      <c r="F14435" s="18"/>
      <c r="G14435" s="36" t="str">
        <f>IF(ISNUMBER(F14435),C14435*F14435,"")</f>
        <v/>
      </c>
    </row>
    <row r="14436" spans="1:7" ht="12" customHeight="1" outlineLevel="3" x14ac:dyDescent="0.2">
      <c r="A14436" s="14" t="s">
        <v>28393</v>
      </c>
      <c r="B14436" s="15" t="s">
        <v>28394</v>
      </c>
      <c r="C14436" s="16">
        <f>181.8/(1+B2)</f>
        <v>181.8</v>
      </c>
      <c r="D14436" s="17" t="s">
        <v>11</v>
      </c>
      <c r="E14436" s="17"/>
      <c r="F14436" s="18"/>
      <c r="G14436" s="36" t="str">
        <f>IF(ISNUMBER(F14436),C14436*F14436,"")</f>
        <v/>
      </c>
    </row>
    <row r="14437" spans="1:7" ht="12" customHeight="1" outlineLevel="3" x14ac:dyDescent="0.2">
      <c r="A14437" s="14" t="s">
        <v>28395</v>
      </c>
      <c r="B14437" s="15" t="s">
        <v>28396</v>
      </c>
      <c r="C14437" s="16">
        <f>238.16/(1+B2)</f>
        <v>238.16</v>
      </c>
      <c r="D14437" s="17" t="s">
        <v>11</v>
      </c>
      <c r="E14437" s="17"/>
      <c r="F14437" s="18"/>
      <c r="G14437" s="36" t="str">
        <f>IF(ISNUMBER(F14437),C14437*F14437,"")</f>
        <v/>
      </c>
    </row>
    <row r="14438" spans="1:7" ht="12" customHeight="1" outlineLevel="3" x14ac:dyDescent="0.2">
      <c r="A14438" s="14" t="s">
        <v>28397</v>
      </c>
      <c r="B14438" s="15" t="s">
        <v>28398</v>
      </c>
      <c r="C14438" s="16">
        <f>296.5/(1+B2)</f>
        <v>296.5</v>
      </c>
      <c r="D14438" s="17" t="s">
        <v>11</v>
      </c>
      <c r="E14438" s="17"/>
      <c r="F14438" s="18"/>
      <c r="G14438" s="36" t="str">
        <f>IF(ISNUMBER(F14438),C14438*F14438,"")</f>
        <v/>
      </c>
    </row>
    <row r="14439" spans="1:7" ht="24" customHeight="1" outlineLevel="3" x14ac:dyDescent="0.2">
      <c r="A14439" s="14" t="s">
        <v>28399</v>
      </c>
      <c r="B14439" s="15" t="s">
        <v>28400</v>
      </c>
      <c r="C14439" s="16">
        <f>323.28/(1+B2)</f>
        <v>323.27999999999997</v>
      </c>
      <c r="D14439" s="17" t="s">
        <v>11</v>
      </c>
      <c r="E14439" s="17"/>
      <c r="F14439" s="18"/>
      <c r="G14439" s="36" t="str">
        <f>IF(ISNUMBER(F14439),C14439*F14439,"")</f>
        <v/>
      </c>
    </row>
    <row r="14440" spans="1:7" ht="24" customHeight="1" outlineLevel="3" x14ac:dyDescent="0.2">
      <c r="A14440" s="14" t="s">
        <v>28401</v>
      </c>
      <c r="B14440" s="15" t="s">
        <v>28402</v>
      </c>
      <c r="C14440" s="16">
        <f>179.77/(1+B2)</f>
        <v>179.77</v>
      </c>
      <c r="D14440" s="17" t="s">
        <v>11</v>
      </c>
      <c r="E14440" s="17"/>
      <c r="F14440" s="18"/>
      <c r="G14440" s="36" t="str">
        <f>IF(ISNUMBER(F14440),C14440*F14440,"")</f>
        <v/>
      </c>
    </row>
    <row r="14441" spans="1:7" ht="24" customHeight="1" outlineLevel="3" x14ac:dyDescent="0.2">
      <c r="A14441" s="14" t="s">
        <v>28403</v>
      </c>
      <c r="B14441" s="15" t="s">
        <v>28404</v>
      </c>
      <c r="C14441" s="16">
        <f>98.4/(1+B2)</f>
        <v>98.4</v>
      </c>
      <c r="D14441" s="17" t="s">
        <v>11</v>
      </c>
      <c r="E14441" s="17"/>
      <c r="F14441" s="18"/>
      <c r="G14441" s="36" t="str">
        <f>IF(ISNUMBER(F14441),C14441*F14441,"")</f>
        <v/>
      </c>
    </row>
    <row r="14442" spans="1:7" ht="24" customHeight="1" outlineLevel="3" x14ac:dyDescent="0.2">
      <c r="A14442" s="14" t="s">
        <v>28405</v>
      </c>
      <c r="B14442" s="15" t="s">
        <v>28406</v>
      </c>
      <c r="C14442" s="16">
        <f>115.29/(1+B2)</f>
        <v>115.29</v>
      </c>
      <c r="D14442" s="17" t="s">
        <v>11</v>
      </c>
      <c r="E14442" s="17"/>
      <c r="F14442" s="18"/>
      <c r="G14442" s="36" t="str">
        <f>IF(ISNUMBER(F14442),C14442*F14442,"")</f>
        <v/>
      </c>
    </row>
    <row r="14443" spans="1:7" ht="12" customHeight="1" outlineLevel="3" x14ac:dyDescent="0.2">
      <c r="A14443" s="14" t="s">
        <v>28407</v>
      </c>
      <c r="B14443" s="15" t="s">
        <v>28408</v>
      </c>
      <c r="C14443" s="16">
        <f>123.92/(1+B2)</f>
        <v>123.92</v>
      </c>
      <c r="D14443" s="17" t="s">
        <v>11</v>
      </c>
      <c r="E14443" s="17"/>
      <c r="F14443" s="18"/>
      <c r="G14443" s="36" t="str">
        <f>IF(ISNUMBER(F14443),C14443*F14443,"")</f>
        <v/>
      </c>
    </row>
    <row r="14444" spans="1:7" s="1" customFormat="1" ht="15.95" customHeight="1" outlineLevel="1" x14ac:dyDescent="0.25">
      <c r="A14444" s="11"/>
      <c r="B14444" s="12" t="s">
        <v>28409</v>
      </c>
      <c r="C14444" s="13"/>
      <c r="D14444" s="13"/>
      <c r="E14444" s="13"/>
      <c r="F14444" s="13"/>
      <c r="G14444" s="35"/>
    </row>
    <row r="14445" spans="1:7" ht="12" customHeight="1" outlineLevel="2" x14ac:dyDescent="0.2">
      <c r="A14445" s="14" t="s">
        <v>28410</v>
      </c>
      <c r="B14445" s="15" t="s">
        <v>28411</v>
      </c>
      <c r="C14445" s="19">
        <f>16232.76/(1+B2)</f>
        <v>16232.76</v>
      </c>
      <c r="D14445" s="17" t="s">
        <v>11</v>
      </c>
      <c r="E14445" s="17"/>
      <c r="F14445" s="18"/>
      <c r="G14445" s="36" t="str">
        <f>IF(ISNUMBER(F14445),C14445*F14445,"")</f>
        <v/>
      </c>
    </row>
    <row r="14446" spans="1:7" ht="12" customHeight="1" outlineLevel="2" x14ac:dyDescent="0.2">
      <c r="A14446" s="14" t="s">
        <v>28412</v>
      </c>
      <c r="B14446" s="15" t="s">
        <v>28413</v>
      </c>
      <c r="C14446" s="19">
        <f>26357.72/(1+B2)</f>
        <v>26357.72</v>
      </c>
      <c r="D14446" s="17" t="s">
        <v>11</v>
      </c>
      <c r="E14446" s="17"/>
      <c r="F14446" s="18"/>
      <c r="G14446" s="36" t="str">
        <f>IF(ISNUMBER(F14446),C14446*F14446,"")</f>
        <v/>
      </c>
    </row>
    <row r="14447" spans="1:7" ht="12" customHeight="1" outlineLevel="2" x14ac:dyDescent="0.2">
      <c r="A14447" s="14" t="s">
        <v>28414</v>
      </c>
      <c r="B14447" s="15" t="s">
        <v>28415</v>
      </c>
      <c r="C14447" s="19">
        <f>19168.14/(1+B2)</f>
        <v>19168.14</v>
      </c>
      <c r="D14447" s="17" t="s">
        <v>11</v>
      </c>
      <c r="E14447" s="17"/>
      <c r="F14447" s="18"/>
      <c r="G14447" s="36" t="str">
        <f>IF(ISNUMBER(F14447),C14447*F14447,"")</f>
        <v/>
      </c>
    </row>
    <row r="14448" spans="1:7" s="1" customFormat="1" ht="15.95" customHeight="1" outlineLevel="1" x14ac:dyDescent="0.25">
      <c r="A14448" s="11"/>
      <c r="B14448" s="12" t="s">
        <v>28416</v>
      </c>
      <c r="C14448" s="13"/>
      <c r="D14448" s="13"/>
      <c r="E14448" s="13"/>
      <c r="F14448" s="13"/>
      <c r="G14448" s="35"/>
    </row>
    <row r="14449" spans="1:7" ht="12" customHeight="1" outlineLevel="2" x14ac:dyDescent="0.2">
      <c r="A14449" s="14" t="s">
        <v>28417</v>
      </c>
      <c r="B14449" s="15" t="s">
        <v>28418</v>
      </c>
      <c r="C14449" s="16">
        <f>35.05/(1+B2)</f>
        <v>35.049999999999997</v>
      </c>
      <c r="D14449" s="17" t="s">
        <v>11</v>
      </c>
      <c r="E14449" s="17"/>
      <c r="F14449" s="18"/>
      <c r="G14449" s="36" t="str">
        <f>IF(ISNUMBER(F14449),C14449*F14449,"")</f>
        <v/>
      </c>
    </row>
    <row r="14450" spans="1:7" ht="12" customHeight="1" outlineLevel="2" x14ac:dyDescent="0.2">
      <c r="A14450" s="14" t="s">
        <v>28419</v>
      </c>
      <c r="B14450" s="15" t="s">
        <v>28420</v>
      </c>
      <c r="C14450" s="16">
        <f>42.56/(1+B2)</f>
        <v>42.56</v>
      </c>
      <c r="D14450" s="17" t="s">
        <v>14</v>
      </c>
      <c r="E14450" s="17"/>
      <c r="F14450" s="18"/>
      <c r="G14450" s="36" t="str">
        <f>IF(ISNUMBER(F14450),C14450*F14450,"")</f>
        <v/>
      </c>
    </row>
    <row r="14451" spans="1:7" ht="12" customHeight="1" outlineLevel="2" x14ac:dyDescent="0.2">
      <c r="A14451" s="14" t="s">
        <v>28421</v>
      </c>
      <c r="B14451" s="15" t="s">
        <v>28422</v>
      </c>
      <c r="C14451" s="16">
        <f>45.04/(1+B2)</f>
        <v>45.04</v>
      </c>
      <c r="D14451" s="17" t="s">
        <v>11</v>
      </c>
      <c r="E14451" s="17"/>
      <c r="F14451" s="18"/>
      <c r="G14451" s="36" t="str">
        <f>IF(ISNUMBER(F14451),C14451*F14451,"")</f>
        <v/>
      </c>
    </row>
    <row r="14452" spans="1:7" ht="12" customHeight="1" outlineLevel="2" x14ac:dyDescent="0.2">
      <c r="A14452" s="14" t="s">
        <v>28423</v>
      </c>
      <c r="B14452" s="15" t="s">
        <v>28424</v>
      </c>
      <c r="C14452" s="16">
        <f>56.66/(1+B2)</f>
        <v>56.66</v>
      </c>
      <c r="D14452" s="17" t="s">
        <v>11</v>
      </c>
      <c r="E14452" s="17"/>
      <c r="F14452" s="18"/>
      <c r="G14452" s="36" t="str">
        <f>IF(ISNUMBER(F14452),C14452*F14452,"")</f>
        <v/>
      </c>
    </row>
    <row r="14453" spans="1:7" ht="12" customHeight="1" outlineLevel="2" x14ac:dyDescent="0.2">
      <c r="A14453" s="14" t="s">
        <v>28425</v>
      </c>
      <c r="B14453" s="15" t="s">
        <v>28426</v>
      </c>
      <c r="C14453" s="16">
        <f>11.12/(1+B2)</f>
        <v>11.12</v>
      </c>
      <c r="D14453" s="17" t="s">
        <v>106</v>
      </c>
      <c r="E14453" s="17"/>
      <c r="F14453" s="18"/>
      <c r="G14453" s="36" t="str">
        <f>IF(ISNUMBER(F14453),C14453*F14453,"")</f>
        <v/>
      </c>
    </row>
    <row r="14454" spans="1:7" ht="24" customHeight="1" outlineLevel="2" x14ac:dyDescent="0.2">
      <c r="A14454" s="14" t="s">
        <v>28427</v>
      </c>
      <c r="B14454" s="15" t="s">
        <v>28428</v>
      </c>
      <c r="C14454" s="16">
        <f>927.62/(1+B2)</f>
        <v>927.62</v>
      </c>
      <c r="D14454" s="17" t="s">
        <v>53</v>
      </c>
      <c r="E14454" s="17"/>
      <c r="F14454" s="18"/>
      <c r="G14454" s="36" t="str">
        <f>IF(ISNUMBER(F14454),C14454*F14454,"")</f>
        <v/>
      </c>
    </row>
    <row r="14455" spans="1:7" ht="24" customHeight="1" outlineLevel="2" x14ac:dyDescent="0.2">
      <c r="A14455" s="14" t="s">
        <v>28429</v>
      </c>
      <c r="B14455" s="15" t="s">
        <v>28430</v>
      </c>
      <c r="C14455" s="16">
        <f>428.66/(1+B2)</f>
        <v>428.66</v>
      </c>
      <c r="D14455" s="17" t="s">
        <v>11</v>
      </c>
      <c r="E14455" s="17"/>
      <c r="F14455" s="18"/>
      <c r="G14455" s="36" t="str">
        <f>IF(ISNUMBER(F14455),C14455*F14455,"")</f>
        <v/>
      </c>
    </row>
    <row r="14456" spans="1:7" ht="12" customHeight="1" outlineLevel="2" x14ac:dyDescent="0.2">
      <c r="A14456" s="14" t="s">
        <v>28431</v>
      </c>
      <c r="B14456" s="15" t="s">
        <v>28432</v>
      </c>
      <c r="C14456" s="19">
        <f>1202.66/(1+B2)</f>
        <v>1202.6600000000001</v>
      </c>
      <c r="D14456" s="17" t="s">
        <v>11</v>
      </c>
      <c r="E14456" s="17"/>
      <c r="F14456" s="18"/>
      <c r="G14456" s="36" t="str">
        <f>IF(ISNUMBER(F14456),C14456*F14456,"")</f>
        <v/>
      </c>
    </row>
    <row r="14457" spans="1:7" ht="12" customHeight="1" outlineLevel="2" x14ac:dyDescent="0.2">
      <c r="A14457" s="14" t="s">
        <v>28433</v>
      </c>
      <c r="B14457" s="15" t="s">
        <v>28434</v>
      </c>
      <c r="C14457" s="19">
        <f>1225.38/(1+B2)</f>
        <v>1225.3800000000001</v>
      </c>
      <c r="D14457" s="17" t="s">
        <v>11</v>
      </c>
      <c r="E14457" s="17"/>
      <c r="F14457" s="18"/>
      <c r="G14457" s="36" t="str">
        <f>IF(ISNUMBER(F14457),C14457*F14457,"")</f>
        <v/>
      </c>
    </row>
    <row r="14458" spans="1:7" ht="12" customHeight="1" outlineLevel="2" x14ac:dyDescent="0.2">
      <c r="A14458" s="14" t="s">
        <v>28435</v>
      </c>
      <c r="B14458" s="15" t="s">
        <v>28436</v>
      </c>
      <c r="C14458" s="19">
        <f>1282.7/(1+B2)</f>
        <v>1282.7</v>
      </c>
      <c r="D14458" s="17" t="s">
        <v>11</v>
      </c>
      <c r="E14458" s="17"/>
      <c r="F14458" s="18"/>
      <c r="G14458" s="36" t="str">
        <f>IF(ISNUMBER(F14458),C14458*F14458,"")</f>
        <v/>
      </c>
    </row>
    <row r="14459" spans="1:7" ht="12" customHeight="1" outlineLevel="2" x14ac:dyDescent="0.2">
      <c r="A14459" s="14" t="s">
        <v>28437</v>
      </c>
      <c r="B14459" s="15" t="s">
        <v>28438</v>
      </c>
      <c r="C14459" s="19">
        <f>5486.69/(1+B2)</f>
        <v>5486.69</v>
      </c>
      <c r="D14459" s="17" t="s">
        <v>11</v>
      </c>
      <c r="E14459" s="17"/>
      <c r="F14459" s="18"/>
      <c r="G14459" s="36" t="str">
        <f>IF(ISNUMBER(F14459),C14459*F14459,"")</f>
        <v/>
      </c>
    </row>
    <row r="14460" spans="1:7" ht="12" customHeight="1" outlineLevel="2" x14ac:dyDescent="0.2">
      <c r="A14460" s="14" t="s">
        <v>28439</v>
      </c>
      <c r="B14460" s="15" t="s">
        <v>28440</v>
      </c>
      <c r="C14460" s="19">
        <f>3562.32/(1+B2)</f>
        <v>3562.32</v>
      </c>
      <c r="D14460" s="17" t="s">
        <v>11</v>
      </c>
      <c r="E14460" s="17"/>
      <c r="F14460" s="18"/>
      <c r="G14460" s="36" t="str">
        <f>IF(ISNUMBER(F14460),C14460*F14460,"")</f>
        <v/>
      </c>
    </row>
    <row r="14461" spans="1:7" ht="12" customHeight="1" outlineLevel="2" x14ac:dyDescent="0.2">
      <c r="A14461" s="14" t="s">
        <v>28441</v>
      </c>
      <c r="B14461" s="15" t="s">
        <v>28442</v>
      </c>
      <c r="C14461" s="19">
        <f>3223.27/(1+B2)</f>
        <v>3223.27</v>
      </c>
      <c r="D14461" s="17" t="s">
        <v>11</v>
      </c>
      <c r="E14461" s="17"/>
      <c r="F14461" s="18"/>
      <c r="G14461" s="36" t="str">
        <f>IF(ISNUMBER(F14461),C14461*F14461,"")</f>
        <v/>
      </c>
    </row>
    <row r="14462" spans="1:7" ht="12" customHeight="1" outlineLevel="2" x14ac:dyDescent="0.2">
      <c r="A14462" s="14" t="s">
        <v>28443</v>
      </c>
      <c r="B14462" s="15" t="s">
        <v>28444</v>
      </c>
      <c r="C14462" s="19">
        <f>2797.9/(1+B2)</f>
        <v>2797.9</v>
      </c>
      <c r="D14462" s="17" t="s">
        <v>11</v>
      </c>
      <c r="E14462" s="17"/>
      <c r="F14462" s="18"/>
      <c r="G14462" s="36" t="str">
        <f>IF(ISNUMBER(F14462),C14462*F14462,"")</f>
        <v/>
      </c>
    </row>
    <row r="14463" spans="1:7" ht="12" customHeight="1" outlineLevel="2" x14ac:dyDescent="0.2">
      <c r="A14463" s="14" t="s">
        <v>28445</v>
      </c>
      <c r="B14463" s="15" t="s">
        <v>28446</v>
      </c>
      <c r="C14463" s="16">
        <f>405.42/(1+B2)</f>
        <v>405.42</v>
      </c>
      <c r="D14463" s="17" t="s">
        <v>11</v>
      </c>
      <c r="E14463" s="17"/>
      <c r="F14463" s="18"/>
      <c r="G14463" s="36" t="str">
        <f>IF(ISNUMBER(F14463),C14463*F14463,"")</f>
        <v/>
      </c>
    </row>
    <row r="14464" spans="1:7" ht="12" customHeight="1" outlineLevel="2" x14ac:dyDescent="0.2">
      <c r="A14464" s="14" t="s">
        <v>28447</v>
      </c>
      <c r="B14464" s="15" t="s">
        <v>28448</v>
      </c>
      <c r="C14464" s="16">
        <f>364.47/(1+B2)</f>
        <v>364.47</v>
      </c>
      <c r="D14464" s="17" t="s">
        <v>11</v>
      </c>
      <c r="E14464" s="17"/>
      <c r="F14464" s="18"/>
      <c r="G14464" s="36" t="str">
        <f>IF(ISNUMBER(F14464),C14464*F14464,"")</f>
        <v/>
      </c>
    </row>
    <row r="14465" spans="1:7" ht="12" customHeight="1" outlineLevel="2" x14ac:dyDescent="0.2">
      <c r="A14465" s="14" t="s">
        <v>28449</v>
      </c>
      <c r="B14465" s="15" t="s">
        <v>28450</v>
      </c>
      <c r="C14465" s="16">
        <f>104.78/(1+B2)</f>
        <v>104.78</v>
      </c>
      <c r="D14465" s="17" t="s">
        <v>11</v>
      </c>
      <c r="E14465" s="17"/>
      <c r="F14465" s="18"/>
      <c r="G14465" s="36" t="str">
        <f>IF(ISNUMBER(F14465),C14465*F14465,"")</f>
        <v/>
      </c>
    </row>
    <row r="14466" spans="1:7" ht="12" customHeight="1" outlineLevel="2" x14ac:dyDescent="0.2">
      <c r="A14466" s="14" t="s">
        <v>28451</v>
      </c>
      <c r="B14466" s="15" t="s">
        <v>28452</v>
      </c>
      <c r="C14466" s="16">
        <f>444/(1+B2)</f>
        <v>444</v>
      </c>
      <c r="D14466" s="17" t="s">
        <v>11</v>
      </c>
      <c r="E14466" s="17"/>
      <c r="F14466" s="18"/>
      <c r="G14466" s="36" t="str">
        <f>IF(ISNUMBER(F14466),C14466*F14466,"")</f>
        <v/>
      </c>
    </row>
    <row r="14467" spans="1:7" ht="12" customHeight="1" outlineLevel="2" x14ac:dyDescent="0.2">
      <c r="A14467" s="14" t="s">
        <v>28453</v>
      </c>
      <c r="B14467" s="15" t="s">
        <v>28454</v>
      </c>
      <c r="C14467" s="16">
        <f>50.97/(1+B2)</f>
        <v>50.97</v>
      </c>
      <c r="D14467" s="17" t="s">
        <v>11</v>
      </c>
      <c r="E14467" s="17" t="s">
        <v>11</v>
      </c>
      <c r="F14467" s="18"/>
      <c r="G14467" s="36" t="str">
        <f>IF(ISNUMBER(F14467),C14467*F14467,"")</f>
        <v/>
      </c>
    </row>
    <row r="14468" spans="1:7" ht="12" customHeight="1" outlineLevel="2" x14ac:dyDescent="0.2">
      <c r="A14468" s="14" t="s">
        <v>28455</v>
      </c>
      <c r="B14468" s="15" t="s">
        <v>28456</v>
      </c>
      <c r="C14468" s="16">
        <f>150/(1+B2)</f>
        <v>150</v>
      </c>
      <c r="D14468" s="17" t="s">
        <v>11</v>
      </c>
      <c r="E14468" s="17"/>
      <c r="F14468" s="18"/>
      <c r="G14468" s="36" t="str">
        <f>IF(ISNUMBER(F14468),C14468*F14468,"")</f>
        <v/>
      </c>
    </row>
    <row r="14469" spans="1:7" s="1" customFormat="1" ht="15.95" customHeight="1" outlineLevel="1" x14ac:dyDescent="0.25">
      <c r="A14469" s="11"/>
      <c r="B14469" s="12" t="s">
        <v>28457</v>
      </c>
      <c r="C14469" s="13"/>
      <c r="D14469" s="13"/>
      <c r="E14469" s="13"/>
      <c r="F14469" s="13"/>
      <c r="G14469" s="35"/>
    </row>
    <row r="14470" spans="1:7" ht="24" customHeight="1" outlineLevel="2" x14ac:dyDescent="0.2">
      <c r="A14470" s="14" t="s">
        <v>28458</v>
      </c>
      <c r="B14470" s="15" t="s">
        <v>28459</v>
      </c>
      <c r="C14470" s="16">
        <f>407.94/(1+B2)</f>
        <v>407.94</v>
      </c>
      <c r="D14470" s="17" t="s">
        <v>11</v>
      </c>
      <c r="E14470" s="17"/>
      <c r="F14470" s="18"/>
      <c r="G14470" s="36" t="str">
        <f>IF(ISNUMBER(F14470),C14470*F14470,"")</f>
        <v/>
      </c>
    </row>
    <row r="14471" spans="1:7" ht="24" customHeight="1" outlineLevel="2" x14ac:dyDescent="0.2">
      <c r="A14471" s="14" t="s">
        <v>28460</v>
      </c>
      <c r="B14471" s="15" t="s">
        <v>28461</v>
      </c>
      <c r="C14471" s="16">
        <f>268.42/(1+B2)</f>
        <v>268.42</v>
      </c>
      <c r="D14471" s="17" t="s">
        <v>11</v>
      </c>
      <c r="E14471" s="17"/>
      <c r="F14471" s="18"/>
      <c r="G14471" s="36" t="str">
        <f>IF(ISNUMBER(F14471),C14471*F14471,"")</f>
        <v/>
      </c>
    </row>
    <row r="14472" spans="1:7" ht="24" customHeight="1" outlineLevel="2" x14ac:dyDescent="0.2">
      <c r="A14472" s="14" t="s">
        <v>28462</v>
      </c>
      <c r="B14472" s="15" t="s">
        <v>28463</v>
      </c>
      <c r="C14472" s="16">
        <f>311.14/(1+B2)</f>
        <v>311.14</v>
      </c>
      <c r="D14472" s="17" t="s">
        <v>11</v>
      </c>
      <c r="E14472" s="17"/>
      <c r="F14472" s="18"/>
      <c r="G14472" s="36" t="str">
        <f>IF(ISNUMBER(F14472),C14472*F14472,"")</f>
        <v/>
      </c>
    </row>
    <row r="14473" spans="1:7" ht="12" customHeight="1" outlineLevel="2" x14ac:dyDescent="0.2">
      <c r="A14473" s="14" t="s">
        <v>28464</v>
      </c>
      <c r="B14473" s="15" t="s">
        <v>28465</v>
      </c>
      <c r="C14473" s="16">
        <f>518.05/(1+B2)</f>
        <v>518.04999999999995</v>
      </c>
      <c r="D14473" s="17" t="s">
        <v>11</v>
      </c>
      <c r="E14473" s="17"/>
      <c r="F14473" s="18"/>
      <c r="G14473" s="36" t="str">
        <f>IF(ISNUMBER(F14473),C14473*F14473,"")</f>
        <v/>
      </c>
    </row>
    <row r="14474" spans="1:7" ht="24" customHeight="1" outlineLevel="2" x14ac:dyDescent="0.2">
      <c r="A14474" s="14" t="s">
        <v>28466</v>
      </c>
      <c r="B14474" s="15" t="s">
        <v>28467</v>
      </c>
      <c r="C14474" s="16">
        <f>482.12/(1+B2)</f>
        <v>482.12</v>
      </c>
      <c r="D14474" s="17" t="s">
        <v>11</v>
      </c>
      <c r="E14474" s="17"/>
      <c r="F14474" s="18"/>
      <c r="G14474" s="36" t="str">
        <f>IF(ISNUMBER(F14474),C14474*F14474,"")</f>
        <v/>
      </c>
    </row>
    <row r="14475" spans="1:7" ht="24" customHeight="1" outlineLevel="2" x14ac:dyDescent="0.2">
      <c r="A14475" s="14" t="s">
        <v>28468</v>
      </c>
      <c r="B14475" s="15" t="s">
        <v>28469</v>
      </c>
      <c r="C14475" s="16">
        <f>164.58/(1+B2)</f>
        <v>164.58</v>
      </c>
      <c r="D14475" s="17" t="s">
        <v>11</v>
      </c>
      <c r="E14475" s="17"/>
      <c r="F14475" s="18"/>
      <c r="G14475" s="36" t="str">
        <f>IF(ISNUMBER(F14475),C14475*F14475,"")</f>
        <v/>
      </c>
    </row>
    <row r="14476" spans="1:7" ht="12" customHeight="1" outlineLevel="2" x14ac:dyDescent="0.2">
      <c r="A14476" s="14" t="s">
        <v>28470</v>
      </c>
      <c r="B14476" s="15" t="s">
        <v>28471</v>
      </c>
      <c r="C14476" s="16">
        <f>123.51/(1+B2)</f>
        <v>123.51</v>
      </c>
      <c r="D14476" s="17" t="s">
        <v>11</v>
      </c>
      <c r="E14476" s="17"/>
      <c r="F14476" s="18"/>
      <c r="G14476" s="36" t="str">
        <f>IF(ISNUMBER(F14476),C14476*F14476,"")</f>
        <v/>
      </c>
    </row>
    <row r="14477" spans="1:7" ht="12" customHeight="1" outlineLevel="2" x14ac:dyDescent="0.2">
      <c r="A14477" s="14" t="s">
        <v>28472</v>
      </c>
      <c r="B14477" s="15" t="s">
        <v>28473</v>
      </c>
      <c r="C14477" s="16">
        <f>226.97/(1+B2)</f>
        <v>226.97</v>
      </c>
      <c r="D14477" s="17" t="s">
        <v>14</v>
      </c>
      <c r="E14477" s="17" t="s">
        <v>11</v>
      </c>
      <c r="F14477" s="18"/>
      <c r="G14477" s="36" t="str">
        <f>IF(ISNUMBER(F14477),C14477*F14477,"")</f>
        <v/>
      </c>
    </row>
    <row r="14478" spans="1:7" ht="24" customHeight="1" outlineLevel="2" x14ac:dyDescent="0.2">
      <c r="A14478" s="14" t="s">
        <v>28474</v>
      </c>
      <c r="B14478" s="15" t="s">
        <v>28475</v>
      </c>
      <c r="C14478" s="16">
        <f>204.47/(1+B2)</f>
        <v>204.47</v>
      </c>
      <c r="D14478" s="17" t="s">
        <v>11</v>
      </c>
      <c r="E14478" s="17"/>
      <c r="F14478" s="18"/>
      <c r="G14478" s="36" t="str">
        <f>IF(ISNUMBER(F14478),C14478*F14478,"")</f>
        <v/>
      </c>
    </row>
    <row r="14479" spans="1:7" ht="24" customHeight="1" outlineLevel="2" x14ac:dyDescent="0.2">
      <c r="A14479" s="14" t="s">
        <v>28476</v>
      </c>
      <c r="B14479" s="15" t="s">
        <v>28477</v>
      </c>
      <c r="C14479" s="16">
        <f>186.73/(1+B2)</f>
        <v>186.73</v>
      </c>
      <c r="D14479" s="17" t="s">
        <v>11</v>
      </c>
      <c r="E14479" s="17"/>
      <c r="F14479" s="18"/>
      <c r="G14479" s="36" t="str">
        <f>IF(ISNUMBER(F14479),C14479*F14479,"")</f>
        <v/>
      </c>
    </row>
    <row r="14480" spans="1:7" ht="24" customHeight="1" outlineLevel="2" x14ac:dyDescent="0.2">
      <c r="A14480" s="14" t="s">
        <v>28478</v>
      </c>
      <c r="B14480" s="15" t="s">
        <v>28479</v>
      </c>
      <c r="C14480" s="16">
        <f>125.24/(1+B2)</f>
        <v>125.24</v>
      </c>
      <c r="D14480" s="17" t="s">
        <v>11</v>
      </c>
      <c r="E14480" s="17"/>
      <c r="F14480" s="18"/>
      <c r="G14480" s="36" t="str">
        <f>IF(ISNUMBER(F14480),C14480*F14480,"")</f>
        <v/>
      </c>
    </row>
    <row r="14481" spans="1:7" ht="12" customHeight="1" outlineLevel="2" x14ac:dyDescent="0.2">
      <c r="A14481" s="14" t="s">
        <v>28480</v>
      </c>
      <c r="B14481" s="15" t="s">
        <v>28481</v>
      </c>
      <c r="C14481" s="16">
        <f>32.5/(1+B2)</f>
        <v>32.5</v>
      </c>
      <c r="D14481" s="17" t="s">
        <v>11</v>
      </c>
      <c r="E14481" s="17"/>
      <c r="F14481" s="18"/>
      <c r="G14481" s="36" t="str">
        <f>IF(ISNUMBER(F14481),C14481*F14481,"")</f>
        <v/>
      </c>
    </row>
    <row r="14482" spans="1:7" ht="24" customHeight="1" outlineLevel="2" x14ac:dyDescent="0.2">
      <c r="A14482" s="14" t="s">
        <v>28482</v>
      </c>
      <c r="B14482" s="15" t="s">
        <v>28483</v>
      </c>
      <c r="C14482" s="16">
        <f>122.88/(1+B2)</f>
        <v>122.88</v>
      </c>
      <c r="D14482" s="17" t="s">
        <v>11</v>
      </c>
      <c r="E14482" s="17"/>
      <c r="F14482" s="18"/>
      <c r="G14482" s="36" t="str">
        <f>IF(ISNUMBER(F14482),C14482*F14482,"")</f>
        <v/>
      </c>
    </row>
    <row r="14483" spans="1:7" ht="24" customHeight="1" outlineLevel="2" x14ac:dyDescent="0.2">
      <c r="A14483" s="14" t="s">
        <v>28484</v>
      </c>
      <c r="B14483" s="15" t="s">
        <v>28485</v>
      </c>
      <c r="C14483" s="16">
        <f>171.14/(1+B2)</f>
        <v>171.14</v>
      </c>
      <c r="D14483" s="17" t="s">
        <v>11</v>
      </c>
      <c r="E14483" s="17"/>
      <c r="F14483" s="18"/>
      <c r="G14483" s="36" t="str">
        <f>IF(ISNUMBER(F14483),C14483*F14483,"")</f>
        <v/>
      </c>
    </row>
    <row r="14484" spans="1:7" ht="12" customHeight="1" outlineLevel="2" x14ac:dyDescent="0.2">
      <c r="A14484" s="14" t="s">
        <v>28486</v>
      </c>
      <c r="B14484" s="15" t="s">
        <v>28487</v>
      </c>
      <c r="C14484" s="16">
        <f>72.73/(1+B2)</f>
        <v>72.73</v>
      </c>
      <c r="D14484" s="17" t="s">
        <v>11</v>
      </c>
      <c r="E14484" s="17"/>
      <c r="F14484" s="18"/>
      <c r="G14484" s="36" t="str">
        <f>IF(ISNUMBER(F14484),C14484*F14484,"")</f>
        <v/>
      </c>
    </row>
    <row r="14485" spans="1:7" ht="12" customHeight="1" outlineLevel="2" x14ac:dyDescent="0.2">
      <c r="A14485" s="14" t="s">
        <v>28488</v>
      </c>
      <c r="B14485" s="15" t="s">
        <v>28489</v>
      </c>
      <c r="C14485" s="16">
        <f>84.01/(1+B2)</f>
        <v>84.01</v>
      </c>
      <c r="D14485" s="17" t="s">
        <v>11</v>
      </c>
      <c r="E14485" s="17"/>
      <c r="F14485" s="18"/>
      <c r="G14485" s="36" t="str">
        <f>IF(ISNUMBER(F14485),C14485*F14485,"")</f>
        <v/>
      </c>
    </row>
    <row r="14486" spans="1:7" ht="12" customHeight="1" outlineLevel="2" x14ac:dyDescent="0.2">
      <c r="A14486" s="14" t="s">
        <v>28490</v>
      </c>
      <c r="B14486" s="15" t="s">
        <v>28491</v>
      </c>
      <c r="C14486" s="16">
        <f>103.42/(1+B2)</f>
        <v>103.42</v>
      </c>
      <c r="D14486" s="17" t="s">
        <v>11</v>
      </c>
      <c r="E14486" s="17"/>
      <c r="F14486" s="18"/>
      <c r="G14486" s="36" t="str">
        <f>IF(ISNUMBER(F14486),C14486*F14486,"")</f>
        <v/>
      </c>
    </row>
    <row r="14487" spans="1:7" ht="12" customHeight="1" outlineLevel="2" x14ac:dyDescent="0.2">
      <c r="A14487" s="14" t="s">
        <v>28492</v>
      </c>
      <c r="B14487" s="15" t="s">
        <v>28493</v>
      </c>
      <c r="C14487" s="16">
        <f>151.54/(1+B2)</f>
        <v>151.54</v>
      </c>
      <c r="D14487" s="17" t="s">
        <v>11</v>
      </c>
      <c r="E14487" s="17"/>
      <c r="F14487" s="18"/>
      <c r="G14487" s="36" t="str">
        <f>IF(ISNUMBER(F14487),C14487*F14487,"")</f>
        <v/>
      </c>
    </row>
    <row r="14488" spans="1:7" ht="12" customHeight="1" outlineLevel="2" x14ac:dyDescent="0.2">
      <c r="A14488" s="14" t="s">
        <v>28494</v>
      </c>
      <c r="B14488" s="15" t="s">
        <v>28495</v>
      </c>
      <c r="C14488" s="16">
        <f>207.92/(1+B2)</f>
        <v>207.92</v>
      </c>
      <c r="D14488" s="17" t="s">
        <v>11</v>
      </c>
      <c r="E14488" s="17"/>
      <c r="F14488" s="18"/>
      <c r="G14488" s="36" t="str">
        <f>IF(ISNUMBER(F14488),C14488*F14488,"")</f>
        <v/>
      </c>
    </row>
    <row r="14489" spans="1:7" ht="12" customHeight="1" outlineLevel="2" x14ac:dyDescent="0.2">
      <c r="A14489" s="14" t="s">
        <v>28496</v>
      </c>
      <c r="B14489" s="15" t="s">
        <v>28497</v>
      </c>
      <c r="C14489" s="16">
        <f>318.51/(1+B2)</f>
        <v>318.51</v>
      </c>
      <c r="D14489" s="17" t="s">
        <v>14</v>
      </c>
      <c r="E14489" s="17"/>
      <c r="F14489" s="18"/>
      <c r="G14489" s="36" t="str">
        <f>IF(ISNUMBER(F14489),C14489*F14489,"")</f>
        <v/>
      </c>
    </row>
    <row r="14490" spans="1:7" ht="12" customHeight="1" outlineLevel="2" x14ac:dyDescent="0.2">
      <c r="A14490" s="14" t="s">
        <v>28498</v>
      </c>
      <c r="B14490" s="15" t="s">
        <v>28499</v>
      </c>
      <c r="C14490" s="16">
        <f>119.9/(1+B2)</f>
        <v>119.9</v>
      </c>
      <c r="D14490" s="17" t="s">
        <v>11</v>
      </c>
      <c r="E14490" s="17"/>
      <c r="F14490" s="18"/>
      <c r="G14490" s="36" t="str">
        <f>IF(ISNUMBER(F14490),C14490*F14490,"")</f>
        <v/>
      </c>
    </row>
    <row r="14491" spans="1:7" ht="12" customHeight="1" outlineLevel="2" x14ac:dyDescent="0.2">
      <c r="A14491" s="14" t="s">
        <v>28500</v>
      </c>
      <c r="B14491" s="15" t="s">
        <v>28501</v>
      </c>
      <c r="C14491" s="16">
        <f>153.91/(1+B2)</f>
        <v>153.91</v>
      </c>
      <c r="D14491" s="17" t="s">
        <v>11</v>
      </c>
      <c r="E14491" s="17"/>
      <c r="F14491" s="18"/>
      <c r="G14491" s="36" t="str">
        <f>IF(ISNUMBER(F14491),C14491*F14491,"")</f>
        <v/>
      </c>
    </row>
    <row r="14492" spans="1:7" ht="12" customHeight="1" outlineLevel="2" x14ac:dyDescent="0.2">
      <c r="A14492" s="14" t="s">
        <v>28502</v>
      </c>
      <c r="B14492" s="15" t="s">
        <v>28503</v>
      </c>
      <c r="C14492" s="16">
        <f>155.72/(1+B2)</f>
        <v>155.72</v>
      </c>
      <c r="D14492" s="17" t="s">
        <v>11</v>
      </c>
      <c r="E14492" s="17"/>
      <c r="F14492" s="18"/>
      <c r="G14492" s="36" t="str">
        <f>IF(ISNUMBER(F14492),C14492*F14492,"")</f>
        <v/>
      </c>
    </row>
    <row r="14493" spans="1:7" ht="12" customHeight="1" outlineLevel="2" x14ac:dyDescent="0.2">
      <c r="A14493" s="14" t="s">
        <v>28504</v>
      </c>
      <c r="B14493" s="15" t="s">
        <v>28505</v>
      </c>
      <c r="C14493" s="16">
        <f>182.14/(1+B2)</f>
        <v>182.14</v>
      </c>
      <c r="D14493" s="17" t="s">
        <v>11</v>
      </c>
      <c r="E14493" s="17"/>
      <c r="F14493" s="18"/>
      <c r="G14493" s="36" t="str">
        <f>IF(ISNUMBER(F14493),C14493*F14493,"")</f>
        <v/>
      </c>
    </row>
    <row r="14494" spans="1:7" ht="12" customHeight="1" outlineLevel="2" x14ac:dyDescent="0.2">
      <c r="A14494" s="14" t="s">
        <v>28506</v>
      </c>
      <c r="B14494" s="15" t="s">
        <v>28507</v>
      </c>
      <c r="C14494" s="16">
        <f>283.7/(1+B2)</f>
        <v>283.7</v>
      </c>
      <c r="D14494" s="17" t="s">
        <v>11</v>
      </c>
      <c r="E14494" s="17" t="s">
        <v>14</v>
      </c>
      <c r="F14494" s="18"/>
      <c r="G14494" s="36" t="str">
        <f>IF(ISNUMBER(F14494),C14494*F14494,"")</f>
        <v/>
      </c>
    </row>
    <row r="14495" spans="1:7" ht="12" customHeight="1" outlineLevel="2" x14ac:dyDescent="0.2">
      <c r="A14495" s="14" t="s">
        <v>28508</v>
      </c>
      <c r="B14495" s="15" t="s">
        <v>28509</v>
      </c>
      <c r="C14495" s="16">
        <f>259.51/(1+B2)</f>
        <v>259.51</v>
      </c>
      <c r="D14495" s="17" t="s">
        <v>11</v>
      </c>
      <c r="E14495" s="17"/>
      <c r="F14495" s="18"/>
      <c r="G14495" s="36" t="str">
        <f>IF(ISNUMBER(F14495),C14495*F14495,"")</f>
        <v/>
      </c>
    </row>
    <row r="14496" spans="1:7" ht="12" customHeight="1" outlineLevel="2" x14ac:dyDescent="0.2">
      <c r="A14496" s="14" t="s">
        <v>28510</v>
      </c>
      <c r="B14496" s="15" t="s">
        <v>28511</v>
      </c>
      <c r="C14496" s="16">
        <f>362.77/(1+B2)</f>
        <v>362.77</v>
      </c>
      <c r="D14496" s="17" t="s">
        <v>11</v>
      </c>
      <c r="E14496" s="17"/>
      <c r="F14496" s="18"/>
      <c r="G14496" s="36" t="str">
        <f>IF(ISNUMBER(F14496),C14496*F14496,"")</f>
        <v/>
      </c>
    </row>
    <row r="14497" spans="1:7" ht="12" customHeight="1" outlineLevel="2" x14ac:dyDescent="0.2">
      <c r="A14497" s="14" t="s">
        <v>28512</v>
      </c>
      <c r="B14497" s="15" t="s">
        <v>28513</v>
      </c>
      <c r="C14497" s="16">
        <f>621.14/(1+B2)</f>
        <v>621.14</v>
      </c>
      <c r="D14497" s="17" t="s">
        <v>11</v>
      </c>
      <c r="E14497" s="17" t="s">
        <v>14</v>
      </c>
      <c r="F14497" s="18"/>
      <c r="G14497" s="36" t="str">
        <f>IF(ISNUMBER(F14497),C14497*F14497,"")</f>
        <v/>
      </c>
    </row>
    <row r="14498" spans="1:7" ht="24" customHeight="1" outlineLevel="2" x14ac:dyDescent="0.2">
      <c r="A14498" s="14" t="s">
        <v>28514</v>
      </c>
      <c r="B14498" s="15" t="s">
        <v>28515</v>
      </c>
      <c r="C14498" s="16">
        <f>233.17/(1+B2)</f>
        <v>233.17</v>
      </c>
      <c r="D14498" s="17" t="s">
        <v>11</v>
      </c>
      <c r="E14498" s="17"/>
      <c r="F14498" s="18"/>
      <c r="G14498" s="36" t="str">
        <f>IF(ISNUMBER(F14498),C14498*F14498,"")</f>
        <v/>
      </c>
    </row>
    <row r="14499" spans="1:7" ht="24" customHeight="1" outlineLevel="2" x14ac:dyDescent="0.2">
      <c r="A14499" s="14" t="s">
        <v>28516</v>
      </c>
      <c r="B14499" s="15" t="s">
        <v>28517</v>
      </c>
      <c r="C14499" s="16">
        <f>469.18/(1+B2)</f>
        <v>469.18</v>
      </c>
      <c r="D14499" s="17" t="s">
        <v>11</v>
      </c>
      <c r="E14499" s="17"/>
      <c r="F14499" s="18"/>
      <c r="G14499" s="36" t="str">
        <f>IF(ISNUMBER(F14499),C14499*F14499,"")</f>
        <v/>
      </c>
    </row>
    <row r="14500" spans="1:7" ht="24" customHeight="1" outlineLevel="2" x14ac:dyDescent="0.2">
      <c r="A14500" s="14" t="s">
        <v>28518</v>
      </c>
      <c r="B14500" s="15" t="s">
        <v>28519</v>
      </c>
      <c r="C14500" s="16">
        <f>180.43/(1+B2)</f>
        <v>180.43</v>
      </c>
      <c r="D14500" s="17" t="s">
        <v>11</v>
      </c>
      <c r="E14500" s="17"/>
      <c r="F14500" s="18"/>
      <c r="G14500" s="36" t="str">
        <f>IF(ISNUMBER(F14500),C14500*F14500,"")</f>
        <v/>
      </c>
    </row>
    <row r="14501" spans="1:7" ht="24" customHeight="1" outlineLevel="2" x14ac:dyDescent="0.2">
      <c r="A14501" s="14" t="s">
        <v>28520</v>
      </c>
      <c r="B14501" s="15" t="s">
        <v>28521</v>
      </c>
      <c r="C14501" s="16">
        <f>280.1/(1+B2)</f>
        <v>280.10000000000002</v>
      </c>
      <c r="D14501" s="17" t="s">
        <v>11</v>
      </c>
      <c r="E14501" s="17"/>
      <c r="F14501" s="18"/>
      <c r="G14501" s="36" t="str">
        <f>IF(ISNUMBER(F14501),C14501*F14501,"")</f>
        <v/>
      </c>
    </row>
    <row r="14502" spans="1:7" ht="24" customHeight="1" outlineLevel="2" x14ac:dyDescent="0.2">
      <c r="A14502" s="14" t="s">
        <v>28522</v>
      </c>
      <c r="B14502" s="15" t="s">
        <v>28523</v>
      </c>
      <c r="C14502" s="16">
        <f>310.9/(1+B2)</f>
        <v>310.89999999999998</v>
      </c>
      <c r="D14502" s="17" t="s">
        <v>11</v>
      </c>
      <c r="E14502" s="17"/>
      <c r="F14502" s="18"/>
      <c r="G14502" s="36" t="str">
        <f>IF(ISNUMBER(F14502),C14502*F14502,"")</f>
        <v/>
      </c>
    </row>
    <row r="14503" spans="1:7" ht="24" customHeight="1" outlineLevel="2" x14ac:dyDescent="0.2">
      <c r="A14503" s="14" t="s">
        <v>28524</v>
      </c>
      <c r="B14503" s="15" t="s">
        <v>28525</v>
      </c>
      <c r="C14503" s="16">
        <f>518.49/(1+B2)</f>
        <v>518.49</v>
      </c>
      <c r="D14503" s="17" t="s">
        <v>11</v>
      </c>
      <c r="E14503" s="17"/>
      <c r="F14503" s="18"/>
      <c r="G14503" s="36" t="str">
        <f>IF(ISNUMBER(F14503),C14503*F14503,"")</f>
        <v/>
      </c>
    </row>
    <row r="14504" spans="1:7" ht="12" customHeight="1" outlineLevel="2" x14ac:dyDescent="0.2">
      <c r="A14504" s="14" t="s">
        <v>28526</v>
      </c>
      <c r="B14504" s="15" t="s">
        <v>28527</v>
      </c>
      <c r="C14504" s="16">
        <f>281.08/(1+B2)</f>
        <v>281.08</v>
      </c>
      <c r="D14504" s="17" t="s">
        <v>11</v>
      </c>
      <c r="E14504" s="17"/>
      <c r="F14504" s="18"/>
      <c r="G14504" s="36" t="str">
        <f>IF(ISNUMBER(F14504),C14504*F14504,"")</f>
        <v/>
      </c>
    </row>
    <row r="14505" spans="1:7" ht="12" customHeight="1" outlineLevel="2" x14ac:dyDescent="0.2">
      <c r="A14505" s="14" t="s">
        <v>28528</v>
      </c>
      <c r="B14505" s="15" t="s">
        <v>28529</v>
      </c>
      <c r="C14505" s="16">
        <f>299.78/(1+B2)</f>
        <v>299.77999999999997</v>
      </c>
      <c r="D14505" s="17" t="s">
        <v>11</v>
      </c>
      <c r="E14505" s="17"/>
      <c r="F14505" s="18"/>
      <c r="G14505" s="36" t="str">
        <f>IF(ISNUMBER(F14505),C14505*F14505,"")</f>
        <v/>
      </c>
    </row>
    <row r="14506" spans="1:7" ht="12" customHeight="1" outlineLevel="2" x14ac:dyDescent="0.2">
      <c r="A14506" s="14" t="s">
        <v>28530</v>
      </c>
      <c r="B14506" s="15" t="s">
        <v>28531</v>
      </c>
      <c r="C14506" s="16">
        <f>342.23/(1+B2)</f>
        <v>342.23</v>
      </c>
      <c r="D14506" s="17" t="s">
        <v>11</v>
      </c>
      <c r="E14506" s="17"/>
      <c r="F14506" s="18"/>
      <c r="G14506" s="36" t="str">
        <f>IF(ISNUMBER(F14506),C14506*F14506,"")</f>
        <v/>
      </c>
    </row>
    <row r="14507" spans="1:7" ht="24" customHeight="1" outlineLevel="2" x14ac:dyDescent="0.2">
      <c r="A14507" s="14" t="s">
        <v>28532</v>
      </c>
      <c r="B14507" s="15" t="s">
        <v>28533</v>
      </c>
      <c r="C14507" s="16">
        <f>356.52/(1+B2)</f>
        <v>356.52</v>
      </c>
      <c r="D14507" s="17" t="s">
        <v>11</v>
      </c>
      <c r="E14507" s="17"/>
      <c r="F14507" s="18"/>
      <c r="G14507" s="36" t="str">
        <f>IF(ISNUMBER(F14507),C14507*F14507,"")</f>
        <v/>
      </c>
    </row>
    <row r="14508" spans="1:7" ht="24" customHeight="1" outlineLevel="2" x14ac:dyDescent="0.2">
      <c r="A14508" s="14" t="s">
        <v>28534</v>
      </c>
      <c r="B14508" s="15" t="s">
        <v>28535</v>
      </c>
      <c r="C14508" s="19">
        <f>1131.26/(1+B2)</f>
        <v>1131.26</v>
      </c>
      <c r="D14508" s="17" t="s">
        <v>11</v>
      </c>
      <c r="E14508" s="17"/>
      <c r="F14508" s="18"/>
      <c r="G14508" s="36" t="str">
        <f>IF(ISNUMBER(F14508),C14508*F14508,"")</f>
        <v/>
      </c>
    </row>
    <row r="14509" spans="1:7" ht="12" customHeight="1" outlineLevel="2" x14ac:dyDescent="0.2">
      <c r="A14509" s="14" t="s">
        <v>28536</v>
      </c>
      <c r="B14509" s="15" t="s">
        <v>28537</v>
      </c>
      <c r="C14509" s="16">
        <f>668.57/(1+B2)</f>
        <v>668.57</v>
      </c>
      <c r="D14509" s="17" t="s">
        <v>11</v>
      </c>
      <c r="E14509" s="17"/>
      <c r="F14509" s="18"/>
      <c r="G14509" s="36" t="str">
        <f>IF(ISNUMBER(F14509),C14509*F14509,"")</f>
        <v/>
      </c>
    </row>
    <row r="14510" spans="1:7" ht="12" customHeight="1" outlineLevel="2" x14ac:dyDescent="0.2">
      <c r="A14510" s="14" t="s">
        <v>28538</v>
      </c>
      <c r="B14510" s="15" t="s">
        <v>28539</v>
      </c>
      <c r="C14510" s="19">
        <f>1295.77/(1+B2)</f>
        <v>1295.77</v>
      </c>
      <c r="D14510" s="17" t="s">
        <v>11</v>
      </c>
      <c r="E14510" s="17" t="s">
        <v>11</v>
      </c>
      <c r="F14510" s="18"/>
      <c r="G14510" s="36" t="str">
        <f>IF(ISNUMBER(F14510),C14510*F14510,"")</f>
        <v/>
      </c>
    </row>
    <row r="14511" spans="1:7" ht="12" customHeight="1" outlineLevel="2" x14ac:dyDescent="0.2">
      <c r="A14511" s="14" t="s">
        <v>28540</v>
      </c>
      <c r="B14511" s="15" t="s">
        <v>28541</v>
      </c>
      <c r="C14511" s="16">
        <f>368.91/(1+B2)</f>
        <v>368.91</v>
      </c>
      <c r="D14511" s="17" t="s">
        <v>11</v>
      </c>
      <c r="E14511" s="17"/>
      <c r="F14511" s="18"/>
      <c r="G14511" s="36" t="str">
        <f>IF(ISNUMBER(F14511),C14511*F14511,"")</f>
        <v/>
      </c>
    </row>
    <row r="14512" spans="1:7" ht="12" customHeight="1" outlineLevel="2" x14ac:dyDescent="0.2">
      <c r="A14512" s="14" t="s">
        <v>28542</v>
      </c>
      <c r="B14512" s="15" t="s">
        <v>28543</v>
      </c>
      <c r="C14512" s="16">
        <f>465.64/(1+B2)</f>
        <v>465.64</v>
      </c>
      <c r="D14512" s="17" t="s">
        <v>11</v>
      </c>
      <c r="E14512" s="17"/>
      <c r="F14512" s="18"/>
      <c r="G14512" s="36" t="str">
        <f>IF(ISNUMBER(F14512),C14512*F14512,"")</f>
        <v/>
      </c>
    </row>
    <row r="14513" spans="1:7" ht="12" customHeight="1" outlineLevel="2" x14ac:dyDescent="0.2">
      <c r="A14513" s="14" t="s">
        <v>28544</v>
      </c>
      <c r="B14513" s="15" t="s">
        <v>28545</v>
      </c>
      <c r="C14513" s="16">
        <f>544.14/(1+B2)</f>
        <v>544.14</v>
      </c>
      <c r="D14513" s="17" t="s">
        <v>11</v>
      </c>
      <c r="E14513" s="17"/>
      <c r="F14513" s="18"/>
      <c r="G14513" s="36" t="str">
        <f>IF(ISNUMBER(F14513),C14513*F14513,"")</f>
        <v/>
      </c>
    </row>
    <row r="14514" spans="1:7" ht="12" customHeight="1" outlineLevel="2" x14ac:dyDescent="0.2">
      <c r="A14514" s="14" t="s">
        <v>28546</v>
      </c>
      <c r="B14514" s="15" t="s">
        <v>28547</v>
      </c>
      <c r="C14514" s="16">
        <f>487.76/(1+B2)</f>
        <v>487.76</v>
      </c>
      <c r="D14514" s="17" t="s">
        <v>11</v>
      </c>
      <c r="E14514" s="17"/>
      <c r="F14514" s="18"/>
      <c r="G14514" s="36" t="str">
        <f>IF(ISNUMBER(F14514),C14514*F14514,"")</f>
        <v/>
      </c>
    </row>
    <row r="14515" spans="1:7" ht="12" customHeight="1" outlineLevel="2" x14ac:dyDescent="0.2">
      <c r="A14515" s="14" t="s">
        <v>28548</v>
      </c>
      <c r="B14515" s="15" t="s">
        <v>28549</v>
      </c>
      <c r="C14515" s="16">
        <f>639.23/(1+B2)</f>
        <v>639.23</v>
      </c>
      <c r="D14515" s="17" t="s">
        <v>11</v>
      </c>
      <c r="E14515" s="17"/>
      <c r="F14515" s="18"/>
      <c r="G14515" s="36" t="str">
        <f>IF(ISNUMBER(F14515),C14515*F14515,"")</f>
        <v/>
      </c>
    </row>
    <row r="14516" spans="1:7" ht="12" customHeight="1" outlineLevel="2" x14ac:dyDescent="0.2">
      <c r="A14516" s="14" t="s">
        <v>28550</v>
      </c>
      <c r="B14516" s="15" t="s">
        <v>28551</v>
      </c>
      <c r="C14516" s="16">
        <f>711.14/(1+B2)</f>
        <v>711.14</v>
      </c>
      <c r="D14516" s="17" t="s">
        <v>11</v>
      </c>
      <c r="E14516" s="17" t="s">
        <v>14</v>
      </c>
      <c r="F14516" s="18"/>
      <c r="G14516" s="36" t="str">
        <f>IF(ISNUMBER(F14516),C14516*F14516,"")</f>
        <v/>
      </c>
    </row>
    <row r="14517" spans="1:7" ht="12" customHeight="1" outlineLevel="2" x14ac:dyDescent="0.2">
      <c r="A14517" s="14" t="s">
        <v>28552</v>
      </c>
      <c r="B14517" s="15" t="s">
        <v>28553</v>
      </c>
      <c r="C14517" s="16">
        <f>247.21/(1+B2)</f>
        <v>247.21</v>
      </c>
      <c r="D14517" s="17" t="s">
        <v>14</v>
      </c>
      <c r="E14517" s="17"/>
      <c r="F14517" s="18"/>
      <c r="G14517" s="36" t="str">
        <f>IF(ISNUMBER(F14517),C14517*F14517,"")</f>
        <v/>
      </c>
    </row>
    <row r="14518" spans="1:7" ht="12" customHeight="1" outlineLevel="2" x14ac:dyDescent="0.2">
      <c r="A14518" s="14" t="s">
        <v>28554</v>
      </c>
      <c r="B14518" s="15" t="s">
        <v>28555</v>
      </c>
      <c r="C14518" s="16">
        <f>342.6/(1+B2)</f>
        <v>342.6</v>
      </c>
      <c r="D14518" s="17" t="s">
        <v>11</v>
      </c>
      <c r="E14518" s="17"/>
      <c r="F14518" s="18"/>
      <c r="G14518" s="36" t="str">
        <f>IF(ISNUMBER(F14518),C14518*F14518,"")</f>
        <v/>
      </c>
    </row>
    <row r="14519" spans="1:7" ht="12" customHeight="1" outlineLevel="2" x14ac:dyDescent="0.2">
      <c r="A14519" s="14" t="s">
        <v>28556</v>
      </c>
      <c r="B14519" s="15" t="s">
        <v>28557</v>
      </c>
      <c r="C14519" s="16">
        <f>368.46/(1+B2)</f>
        <v>368.46</v>
      </c>
      <c r="D14519" s="17" t="s">
        <v>11</v>
      </c>
      <c r="E14519" s="17"/>
      <c r="F14519" s="18"/>
      <c r="G14519" s="36" t="str">
        <f>IF(ISNUMBER(F14519),C14519*F14519,"")</f>
        <v/>
      </c>
    </row>
    <row r="14520" spans="1:7" ht="12" customHeight="1" outlineLevel="2" x14ac:dyDescent="0.2">
      <c r="A14520" s="14" t="s">
        <v>28558</v>
      </c>
      <c r="B14520" s="15" t="s">
        <v>28559</v>
      </c>
      <c r="C14520" s="16">
        <f>365.8/(1+B2)</f>
        <v>365.8</v>
      </c>
      <c r="D14520" s="17" t="s">
        <v>11</v>
      </c>
      <c r="E14520" s="17"/>
      <c r="F14520" s="18"/>
      <c r="G14520" s="36" t="str">
        <f>IF(ISNUMBER(F14520),C14520*F14520,"")</f>
        <v/>
      </c>
    </row>
    <row r="14521" spans="1:7" ht="12" customHeight="1" outlineLevel="2" x14ac:dyDescent="0.2">
      <c r="A14521" s="14" t="s">
        <v>28560</v>
      </c>
      <c r="B14521" s="15" t="s">
        <v>28561</v>
      </c>
      <c r="C14521" s="16">
        <f>503.05/(1+B2)</f>
        <v>503.05</v>
      </c>
      <c r="D14521" s="17" t="s">
        <v>11</v>
      </c>
      <c r="E14521" s="17"/>
      <c r="F14521" s="18"/>
      <c r="G14521" s="36" t="str">
        <f>IF(ISNUMBER(F14521),C14521*F14521,"")</f>
        <v/>
      </c>
    </row>
    <row r="14522" spans="1:7" ht="12" customHeight="1" outlineLevel="2" x14ac:dyDescent="0.2">
      <c r="A14522" s="14" t="s">
        <v>28562</v>
      </c>
      <c r="B14522" s="15" t="s">
        <v>28563</v>
      </c>
      <c r="C14522" s="16">
        <f>179.82/(1+B2)</f>
        <v>179.82</v>
      </c>
      <c r="D14522" s="17" t="s">
        <v>11</v>
      </c>
      <c r="E14522" s="17"/>
      <c r="F14522" s="18"/>
      <c r="G14522" s="36" t="str">
        <f>IF(ISNUMBER(F14522),C14522*F14522,"")</f>
        <v/>
      </c>
    </row>
    <row r="14523" spans="1:7" ht="12" customHeight="1" outlineLevel="2" x14ac:dyDescent="0.2">
      <c r="A14523" s="14" t="s">
        <v>28564</v>
      </c>
      <c r="B14523" s="15" t="s">
        <v>28565</v>
      </c>
      <c r="C14523" s="16">
        <f>217.68/(1+B2)</f>
        <v>217.68</v>
      </c>
      <c r="D14523" s="17" t="s">
        <v>14</v>
      </c>
      <c r="E14523" s="17"/>
      <c r="F14523" s="18"/>
      <c r="G14523" s="36" t="str">
        <f>IF(ISNUMBER(F14523),C14523*F14523,"")</f>
        <v/>
      </c>
    </row>
    <row r="14524" spans="1:7" ht="12" customHeight="1" outlineLevel="2" x14ac:dyDescent="0.2">
      <c r="A14524" s="14" t="s">
        <v>28566</v>
      </c>
      <c r="B14524" s="15" t="s">
        <v>28567</v>
      </c>
      <c r="C14524" s="16">
        <f>296.62/(1+B2)</f>
        <v>296.62</v>
      </c>
      <c r="D14524" s="17" t="s">
        <v>11</v>
      </c>
      <c r="E14524" s="17" t="s">
        <v>106</v>
      </c>
      <c r="F14524" s="18"/>
      <c r="G14524" s="36" t="str">
        <f>IF(ISNUMBER(F14524),C14524*F14524,"")</f>
        <v/>
      </c>
    </row>
    <row r="14525" spans="1:7" ht="24" customHeight="1" outlineLevel="2" x14ac:dyDescent="0.2">
      <c r="A14525" s="14" t="s">
        <v>28568</v>
      </c>
      <c r="B14525" s="15" t="s">
        <v>28569</v>
      </c>
      <c r="C14525" s="16">
        <f>230.57/(1+B2)</f>
        <v>230.57</v>
      </c>
      <c r="D14525" s="17" t="s">
        <v>11</v>
      </c>
      <c r="E14525" s="17"/>
      <c r="F14525" s="18"/>
      <c r="G14525" s="36" t="str">
        <f>IF(ISNUMBER(F14525),C14525*F14525,"")</f>
        <v/>
      </c>
    </row>
    <row r="14526" spans="1:7" ht="24" customHeight="1" outlineLevel="2" x14ac:dyDescent="0.2">
      <c r="A14526" s="14" t="s">
        <v>28570</v>
      </c>
      <c r="B14526" s="15" t="s">
        <v>28571</v>
      </c>
      <c r="C14526" s="16">
        <f>310.86/(1+B2)</f>
        <v>310.86</v>
      </c>
      <c r="D14526" s="17" t="s">
        <v>11</v>
      </c>
      <c r="E14526" s="17"/>
      <c r="F14526" s="18"/>
      <c r="G14526" s="36" t="str">
        <f>IF(ISNUMBER(F14526),C14526*F14526,"")</f>
        <v/>
      </c>
    </row>
    <row r="14527" spans="1:7" ht="24" customHeight="1" outlineLevel="2" x14ac:dyDescent="0.2">
      <c r="A14527" s="14" t="s">
        <v>28572</v>
      </c>
      <c r="B14527" s="15" t="s">
        <v>28573</v>
      </c>
      <c r="C14527" s="16">
        <f>390.6/(1+B2)</f>
        <v>390.6</v>
      </c>
      <c r="D14527" s="17" t="s">
        <v>11</v>
      </c>
      <c r="E14527" s="17"/>
      <c r="F14527" s="18"/>
      <c r="G14527" s="36" t="str">
        <f>IF(ISNUMBER(F14527),C14527*F14527,"")</f>
        <v/>
      </c>
    </row>
    <row r="14528" spans="1:7" ht="12" customHeight="1" outlineLevel="2" x14ac:dyDescent="0.2">
      <c r="A14528" s="14" t="s">
        <v>28574</v>
      </c>
      <c r="B14528" s="15" t="s">
        <v>28575</v>
      </c>
      <c r="C14528" s="16">
        <f>195.47/(1+B2)</f>
        <v>195.47</v>
      </c>
      <c r="D14528" s="17" t="s">
        <v>11</v>
      </c>
      <c r="E14528" s="17"/>
      <c r="F14528" s="18"/>
      <c r="G14528" s="36" t="str">
        <f>IF(ISNUMBER(F14528),C14528*F14528,"")</f>
        <v/>
      </c>
    </row>
    <row r="14529" spans="1:7" ht="12" customHeight="1" outlineLevel="2" x14ac:dyDescent="0.2">
      <c r="A14529" s="14" t="s">
        <v>28576</v>
      </c>
      <c r="B14529" s="15" t="s">
        <v>28577</v>
      </c>
      <c r="C14529" s="16">
        <f>103.19/(1+B2)</f>
        <v>103.19</v>
      </c>
      <c r="D14529" s="17" t="s">
        <v>11</v>
      </c>
      <c r="E14529" s="17"/>
      <c r="F14529" s="18"/>
      <c r="G14529" s="36" t="str">
        <f>IF(ISNUMBER(F14529),C14529*F14529,"")</f>
        <v/>
      </c>
    </row>
    <row r="14530" spans="1:7" ht="12" customHeight="1" outlineLevel="2" x14ac:dyDescent="0.2">
      <c r="A14530" s="14" t="s">
        <v>28578</v>
      </c>
      <c r="B14530" s="15" t="s">
        <v>28579</v>
      </c>
      <c r="C14530" s="16">
        <f>54.23/(1+B2)</f>
        <v>54.23</v>
      </c>
      <c r="D14530" s="17" t="s">
        <v>11</v>
      </c>
      <c r="E14530" s="17"/>
      <c r="F14530" s="18"/>
      <c r="G14530" s="36" t="str">
        <f>IF(ISNUMBER(F14530),C14530*F14530,"")</f>
        <v/>
      </c>
    </row>
    <row r="14531" spans="1:7" ht="12" customHeight="1" outlineLevel="2" x14ac:dyDescent="0.2">
      <c r="A14531" s="14" t="s">
        <v>28580</v>
      </c>
      <c r="B14531" s="15" t="s">
        <v>28581</v>
      </c>
      <c r="C14531" s="16">
        <f>132.41/(1+B2)</f>
        <v>132.41</v>
      </c>
      <c r="D14531" s="17" t="s">
        <v>11</v>
      </c>
      <c r="E14531" s="17"/>
      <c r="F14531" s="18"/>
      <c r="G14531" s="36" t="str">
        <f>IF(ISNUMBER(F14531),C14531*F14531,"")</f>
        <v/>
      </c>
    </row>
    <row r="14532" spans="1:7" ht="12" customHeight="1" outlineLevel="2" x14ac:dyDescent="0.2">
      <c r="A14532" s="14" t="s">
        <v>28582</v>
      </c>
      <c r="B14532" s="15" t="s">
        <v>28583</v>
      </c>
      <c r="C14532" s="16">
        <f>63.55/(1+B2)</f>
        <v>63.55</v>
      </c>
      <c r="D14532" s="17" t="s">
        <v>53</v>
      </c>
      <c r="E14532" s="17"/>
      <c r="F14532" s="18"/>
      <c r="G14532" s="36" t="str">
        <f>IF(ISNUMBER(F14532),C14532*F14532,"")</f>
        <v/>
      </c>
    </row>
    <row r="14533" spans="1:7" ht="12" customHeight="1" outlineLevel="2" x14ac:dyDescent="0.2">
      <c r="A14533" s="14" t="s">
        <v>28584</v>
      </c>
      <c r="B14533" s="15" t="s">
        <v>28585</v>
      </c>
      <c r="C14533" s="16">
        <f>74.17/(1+B2)</f>
        <v>74.17</v>
      </c>
      <c r="D14533" s="17" t="s">
        <v>53</v>
      </c>
      <c r="E14533" s="17"/>
      <c r="F14533" s="18"/>
      <c r="G14533" s="36" t="str">
        <f>IF(ISNUMBER(F14533),C14533*F14533,"")</f>
        <v/>
      </c>
    </row>
    <row r="14534" spans="1:7" ht="12" customHeight="1" outlineLevel="2" x14ac:dyDescent="0.2">
      <c r="A14534" s="14" t="s">
        <v>28586</v>
      </c>
      <c r="B14534" s="15" t="s">
        <v>28587</v>
      </c>
      <c r="C14534" s="16">
        <f>151.91/(1+B2)</f>
        <v>151.91</v>
      </c>
      <c r="D14534" s="17" t="s">
        <v>11</v>
      </c>
      <c r="E14534" s="17"/>
      <c r="F14534" s="18"/>
      <c r="G14534" s="36" t="str">
        <f>IF(ISNUMBER(F14534),C14534*F14534,"")</f>
        <v/>
      </c>
    </row>
    <row r="14535" spans="1:7" ht="12" customHeight="1" outlineLevel="2" x14ac:dyDescent="0.2">
      <c r="A14535" s="14" t="s">
        <v>28588</v>
      </c>
      <c r="B14535" s="15" t="s">
        <v>28589</v>
      </c>
      <c r="C14535" s="16">
        <f>83.06/(1+B2)</f>
        <v>83.06</v>
      </c>
      <c r="D14535" s="17" t="s">
        <v>53</v>
      </c>
      <c r="E14535" s="17" t="s">
        <v>53</v>
      </c>
      <c r="F14535" s="18"/>
      <c r="G14535" s="36" t="str">
        <f>IF(ISNUMBER(F14535),C14535*F14535,"")</f>
        <v/>
      </c>
    </row>
    <row r="14536" spans="1:7" ht="12" customHeight="1" outlineLevel="2" x14ac:dyDescent="0.2">
      <c r="A14536" s="14" t="s">
        <v>28590</v>
      </c>
      <c r="B14536" s="15" t="s">
        <v>28591</v>
      </c>
      <c r="C14536" s="16">
        <f>146.55/(1+B2)</f>
        <v>146.55000000000001</v>
      </c>
      <c r="D14536" s="17" t="s">
        <v>53</v>
      </c>
      <c r="E14536" s="17"/>
      <c r="F14536" s="18"/>
      <c r="G14536" s="36" t="str">
        <f>IF(ISNUMBER(F14536),C14536*F14536,"")</f>
        <v/>
      </c>
    </row>
    <row r="14537" spans="1:7" ht="12" customHeight="1" outlineLevel="2" x14ac:dyDescent="0.2">
      <c r="A14537" s="14" t="s">
        <v>28592</v>
      </c>
      <c r="B14537" s="15" t="s">
        <v>28593</v>
      </c>
      <c r="C14537" s="16">
        <f>69.97/(1+B2)</f>
        <v>69.97</v>
      </c>
      <c r="D14537" s="17" t="s">
        <v>106</v>
      </c>
      <c r="E14537" s="17"/>
      <c r="F14537" s="18"/>
      <c r="G14537" s="36" t="str">
        <f>IF(ISNUMBER(F14537),C14537*F14537,"")</f>
        <v/>
      </c>
    </row>
    <row r="14538" spans="1:7" ht="12" customHeight="1" outlineLevel="2" x14ac:dyDescent="0.2">
      <c r="A14538" s="14" t="s">
        <v>28594</v>
      </c>
      <c r="B14538" s="15" t="s">
        <v>28595</v>
      </c>
      <c r="C14538" s="16">
        <f>391.41/(1+B2)</f>
        <v>391.41</v>
      </c>
      <c r="D14538" s="17" t="s">
        <v>11</v>
      </c>
      <c r="E14538" s="17"/>
      <c r="F14538" s="18"/>
      <c r="G14538" s="36" t="str">
        <f>IF(ISNUMBER(F14538),C14538*F14538,"")</f>
        <v/>
      </c>
    </row>
    <row r="14539" spans="1:7" ht="12" customHeight="1" outlineLevel="2" x14ac:dyDescent="0.2">
      <c r="A14539" s="14" t="s">
        <v>28596</v>
      </c>
      <c r="B14539" s="15" t="s">
        <v>28597</v>
      </c>
      <c r="C14539" s="16">
        <f>272.78/(1+B2)</f>
        <v>272.77999999999997</v>
      </c>
      <c r="D14539" s="17" t="s">
        <v>11</v>
      </c>
      <c r="E14539" s="17"/>
      <c r="F14539" s="18"/>
      <c r="G14539" s="36" t="str">
        <f>IF(ISNUMBER(F14539),C14539*F14539,"")</f>
        <v/>
      </c>
    </row>
    <row r="14540" spans="1:7" ht="12" customHeight="1" outlineLevel="2" x14ac:dyDescent="0.2">
      <c r="A14540" s="14" t="s">
        <v>28598</v>
      </c>
      <c r="B14540" s="15" t="s">
        <v>28599</v>
      </c>
      <c r="C14540" s="16">
        <f>511.34/(1+B2)</f>
        <v>511.34</v>
      </c>
      <c r="D14540" s="17" t="s">
        <v>11</v>
      </c>
      <c r="E14540" s="17"/>
      <c r="F14540" s="18"/>
      <c r="G14540" s="36" t="str">
        <f>IF(ISNUMBER(F14540),C14540*F14540,"")</f>
        <v/>
      </c>
    </row>
    <row r="14541" spans="1:7" ht="12" customHeight="1" outlineLevel="2" x14ac:dyDescent="0.2">
      <c r="A14541" s="14" t="s">
        <v>28600</v>
      </c>
      <c r="B14541" s="15" t="s">
        <v>28601</v>
      </c>
      <c r="C14541" s="16">
        <f>265.42/(1+B2)</f>
        <v>265.42</v>
      </c>
      <c r="D14541" s="17" t="s">
        <v>11</v>
      </c>
      <c r="E14541" s="17"/>
      <c r="F14541" s="18"/>
      <c r="G14541" s="36" t="str">
        <f>IF(ISNUMBER(F14541),C14541*F14541,"")</f>
        <v/>
      </c>
    </row>
    <row r="14542" spans="1:7" ht="24" customHeight="1" outlineLevel="2" x14ac:dyDescent="0.2">
      <c r="A14542" s="14" t="s">
        <v>28602</v>
      </c>
      <c r="B14542" s="15" t="s">
        <v>28603</v>
      </c>
      <c r="C14542" s="16">
        <f>299.46/(1+B2)</f>
        <v>299.45999999999998</v>
      </c>
      <c r="D14542" s="17" t="s">
        <v>11</v>
      </c>
      <c r="E14542" s="17"/>
      <c r="F14542" s="18"/>
      <c r="G14542" s="36" t="str">
        <f>IF(ISNUMBER(F14542),C14542*F14542,"")</f>
        <v/>
      </c>
    </row>
    <row r="14543" spans="1:7" ht="12" customHeight="1" outlineLevel="2" x14ac:dyDescent="0.2">
      <c r="A14543" s="14" t="s">
        <v>28604</v>
      </c>
      <c r="B14543" s="15" t="s">
        <v>28605</v>
      </c>
      <c r="C14543" s="16">
        <f>198.69/(1+B2)</f>
        <v>198.69</v>
      </c>
      <c r="D14543" s="17" t="s">
        <v>11</v>
      </c>
      <c r="E14543" s="17"/>
      <c r="F14543" s="18"/>
      <c r="G14543" s="36" t="str">
        <f>IF(ISNUMBER(F14543),C14543*F14543,"")</f>
        <v/>
      </c>
    </row>
    <row r="14544" spans="1:7" ht="12" customHeight="1" outlineLevel="2" x14ac:dyDescent="0.2">
      <c r="A14544" s="14" t="s">
        <v>28606</v>
      </c>
      <c r="B14544" s="15" t="s">
        <v>28607</v>
      </c>
      <c r="C14544" s="16">
        <f>290.6/(1+B2)</f>
        <v>290.60000000000002</v>
      </c>
      <c r="D14544" s="17" t="s">
        <v>11</v>
      </c>
      <c r="E14544" s="17"/>
      <c r="F14544" s="18"/>
      <c r="G14544" s="36" t="str">
        <f>IF(ISNUMBER(F14544),C14544*F14544,"")</f>
        <v/>
      </c>
    </row>
    <row r="14545" spans="1:7" s="1" customFormat="1" ht="15.95" customHeight="1" outlineLevel="1" x14ac:dyDescent="0.25">
      <c r="A14545" s="11"/>
      <c r="B14545" s="12" t="s">
        <v>28608</v>
      </c>
      <c r="C14545" s="13"/>
      <c r="D14545" s="13"/>
      <c r="E14545" s="13"/>
      <c r="F14545" s="13"/>
      <c r="G14545" s="35"/>
    </row>
    <row r="14546" spans="1:7" ht="12" customHeight="1" outlineLevel="2" x14ac:dyDescent="0.2">
      <c r="A14546" s="14" t="s">
        <v>28609</v>
      </c>
      <c r="B14546" s="15" t="s">
        <v>28610</v>
      </c>
      <c r="C14546" s="16">
        <f>102.01/(1+B2)</f>
        <v>102.01</v>
      </c>
      <c r="D14546" s="17" t="s">
        <v>11</v>
      </c>
      <c r="E14546" s="17"/>
      <c r="F14546" s="18"/>
      <c r="G14546" s="36" t="str">
        <f>IF(ISNUMBER(F14546),C14546*F14546,"")</f>
        <v/>
      </c>
    </row>
    <row r="14547" spans="1:7" ht="12" customHeight="1" outlineLevel="2" x14ac:dyDescent="0.2">
      <c r="A14547" s="14" t="s">
        <v>28611</v>
      </c>
      <c r="B14547" s="15" t="s">
        <v>28612</v>
      </c>
      <c r="C14547" s="16">
        <f>47.3/(1+B2)</f>
        <v>47.3</v>
      </c>
      <c r="D14547" s="17" t="s">
        <v>106</v>
      </c>
      <c r="E14547" s="17"/>
      <c r="F14547" s="18"/>
      <c r="G14547" s="36" t="str">
        <f>IF(ISNUMBER(F14547),C14547*F14547,"")</f>
        <v/>
      </c>
    </row>
    <row r="14548" spans="1:7" ht="12" customHeight="1" outlineLevel="2" x14ac:dyDescent="0.2">
      <c r="A14548" s="14" t="s">
        <v>28613</v>
      </c>
      <c r="B14548" s="15" t="s">
        <v>28614</v>
      </c>
      <c r="C14548" s="16">
        <f>29.34/(1+B2)</f>
        <v>29.34</v>
      </c>
      <c r="D14548" s="17" t="s">
        <v>53</v>
      </c>
      <c r="E14548" s="17"/>
      <c r="F14548" s="18"/>
      <c r="G14548" s="36" t="str">
        <f>IF(ISNUMBER(F14548),C14548*F14548,"")</f>
        <v/>
      </c>
    </row>
    <row r="14549" spans="1:7" ht="12" customHeight="1" outlineLevel="2" x14ac:dyDescent="0.2">
      <c r="A14549" s="14" t="s">
        <v>28615</v>
      </c>
      <c r="B14549" s="15" t="s">
        <v>28616</v>
      </c>
      <c r="C14549" s="16">
        <f>53.67/(1+B2)</f>
        <v>53.67</v>
      </c>
      <c r="D14549" s="17" t="s">
        <v>11</v>
      </c>
      <c r="E14549" s="17"/>
      <c r="F14549" s="18"/>
      <c r="G14549" s="36" t="str">
        <f>IF(ISNUMBER(F14549),C14549*F14549,"")</f>
        <v/>
      </c>
    </row>
    <row r="14550" spans="1:7" ht="12" customHeight="1" outlineLevel="2" x14ac:dyDescent="0.2">
      <c r="A14550" s="14" t="s">
        <v>28617</v>
      </c>
      <c r="B14550" s="15" t="s">
        <v>28618</v>
      </c>
      <c r="C14550" s="16">
        <f>34.2/(1+B2)</f>
        <v>34.200000000000003</v>
      </c>
      <c r="D14550" s="17" t="s">
        <v>11</v>
      </c>
      <c r="E14550" s="17"/>
      <c r="F14550" s="18"/>
      <c r="G14550" s="36" t="str">
        <f>IF(ISNUMBER(F14550),C14550*F14550,"")</f>
        <v/>
      </c>
    </row>
    <row r="14551" spans="1:7" ht="12" customHeight="1" outlineLevel="2" x14ac:dyDescent="0.2">
      <c r="A14551" s="14" t="s">
        <v>28619</v>
      </c>
      <c r="B14551" s="15" t="s">
        <v>28620</v>
      </c>
      <c r="C14551" s="16">
        <f>24.24/(1+B2)</f>
        <v>24.24</v>
      </c>
      <c r="D14551" s="17" t="s">
        <v>53</v>
      </c>
      <c r="E14551" s="17"/>
      <c r="F14551" s="18"/>
      <c r="G14551" s="36" t="str">
        <f>IF(ISNUMBER(F14551),C14551*F14551,"")</f>
        <v/>
      </c>
    </row>
    <row r="14552" spans="1:7" ht="12" customHeight="1" outlineLevel="2" x14ac:dyDescent="0.2">
      <c r="A14552" s="14" t="s">
        <v>28621</v>
      </c>
      <c r="B14552" s="15" t="s">
        <v>28622</v>
      </c>
      <c r="C14552" s="16">
        <f>998.36/(1+B2)</f>
        <v>998.36</v>
      </c>
      <c r="D14552" s="17" t="s">
        <v>11</v>
      </c>
      <c r="E14552" s="17"/>
      <c r="F14552" s="18"/>
      <c r="G14552" s="36" t="str">
        <f>IF(ISNUMBER(F14552),C14552*F14552,"")</f>
        <v/>
      </c>
    </row>
    <row r="14553" spans="1:7" ht="24" customHeight="1" outlineLevel="2" x14ac:dyDescent="0.2">
      <c r="A14553" s="14" t="s">
        <v>28623</v>
      </c>
      <c r="B14553" s="15" t="s">
        <v>28624</v>
      </c>
      <c r="C14553" s="16">
        <f>95.06/(1+B2)</f>
        <v>95.06</v>
      </c>
      <c r="D14553" s="17" t="s">
        <v>11</v>
      </c>
      <c r="E14553" s="17"/>
      <c r="F14553" s="18"/>
      <c r="G14553" s="36" t="str">
        <f>IF(ISNUMBER(F14553),C14553*F14553,"")</f>
        <v/>
      </c>
    </row>
    <row r="14554" spans="1:7" ht="12" customHeight="1" outlineLevel="2" x14ac:dyDescent="0.2">
      <c r="A14554" s="14" t="s">
        <v>28625</v>
      </c>
      <c r="B14554" s="15" t="s">
        <v>28626</v>
      </c>
      <c r="C14554" s="16">
        <f>373.17/(1+B2)</f>
        <v>373.17</v>
      </c>
      <c r="D14554" s="17" t="s">
        <v>11</v>
      </c>
      <c r="E14554" s="17"/>
      <c r="F14554" s="18"/>
      <c r="G14554" s="36" t="str">
        <f>IF(ISNUMBER(F14554),C14554*F14554,"")</f>
        <v/>
      </c>
    </row>
    <row r="14555" spans="1:7" ht="24" customHeight="1" outlineLevel="2" x14ac:dyDescent="0.2">
      <c r="A14555" s="14" t="s">
        <v>28627</v>
      </c>
      <c r="B14555" s="15" t="s">
        <v>28628</v>
      </c>
      <c r="C14555" s="16">
        <f>219.81/(1+B2)</f>
        <v>219.81</v>
      </c>
      <c r="D14555" s="17" t="s">
        <v>11</v>
      </c>
      <c r="E14555" s="17"/>
      <c r="F14555" s="18"/>
      <c r="G14555" s="36" t="str">
        <f>IF(ISNUMBER(F14555),C14555*F14555,"")</f>
        <v/>
      </c>
    </row>
    <row r="14556" spans="1:7" ht="12" customHeight="1" outlineLevel="2" x14ac:dyDescent="0.2">
      <c r="A14556" s="14" t="s">
        <v>28629</v>
      </c>
      <c r="B14556" s="15" t="s">
        <v>28630</v>
      </c>
      <c r="C14556" s="16">
        <f>338.47/(1+B2)</f>
        <v>338.47</v>
      </c>
      <c r="D14556" s="17" t="s">
        <v>14</v>
      </c>
      <c r="E14556" s="17"/>
      <c r="F14556" s="18"/>
      <c r="G14556" s="36" t="str">
        <f>IF(ISNUMBER(F14556),C14556*F14556,"")</f>
        <v/>
      </c>
    </row>
    <row r="14557" spans="1:7" ht="12" customHeight="1" outlineLevel="2" x14ac:dyDescent="0.2">
      <c r="A14557" s="14" t="s">
        <v>28631</v>
      </c>
      <c r="B14557" s="15" t="s">
        <v>28632</v>
      </c>
      <c r="C14557" s="16">
        <f>26.74/(1+B2)</f>
        <v>26.74</v>
      </c>
      <c r="D14557" s="17" t="s">
        <v>106</v>
      </c>
      <c r="E14557" s="17"/>
      <c r="F14557" s="18"/>
      <c r="G14557" s="36" t="str">
        <f>IF(ISNUMBER(F14557),C14557*F14557,"")</f>
        <v/>
      </c>
    </row>
    <row r="14558" spans="1:7" ht="12" customHeight="1" outlineLevel="2" x14ac:dyDescent="0.2">
      <c r="A14558" s="14" t="s">
        <v>28633</v>
      </c>
      <c r="B14558" s="15" t="s">
        <v>28634</v>
      </c>
      <c r="C14558" s="16">
        <f>57.79/(1+B2)</f>
        <v>57.79</v>
      </c>
      <c r="D14558" s="17" t="s">
        <v>106</v>
      </c>
      <c r="E14558" s="17"/>
      <c r="F14558" s="18"/>
      <c r="G14558" s="36" t="str">
        <f>IF(ISNUMBER(F14558),C14558*F14558,"")</f>
        <v/>
      </c>
    </row>
    <row r="14559" spans="1:7" ht="12" customHeight="1" outlineLevel="2" x14ac:dyDescent="0.2">
      <c r="A14559" s="14" t="s">
        <v>28635</v>
      </c>
      <c r="B14559" s="15" t="s">
        <v>28636</v>
      </c>
      <c r="C14559" s="16">
        <f>54/(1+B2)</f>
        <v>54</v>
      </c>
      <c r="D14559" s="17" t="s">
        <v>53</v>
      </c>
      <c r="E14559" s="17"/>
      <c r="F14559" s="18"/>
      <c r="G14559" s="36" t="str">
        <f>IF(ISNUMBER(F14559),C14559*F14559,"")</f>
        <v/>
      </c>
    </row>
    <row r="14560" spans="1:7" ht="24" customHeight="1" outlineLevel="2" x14ac:dyDescent="0.2">
      <c r="A14560" s="14" t="s">
        <v>28637</v>
      </c>
      <c r="B14560" s="15" t="s">
        <v>28638</v>
      </c>
      <c r="C14560" s="16">
        <f>144.91/(1+B2)</f>
        <v>144.91</v>
      </c>
      <c r="D14560" s="17" t="s">
        <v>14</v>
      </c>
      <c r="E14560" s="17"/>
      <c r="F14560" s="18"/>
      <c r="G14560" s="36" t="str">
        <f>IF(ISNUMBER(F14560),C14560*F14560,"")</f>
        <v/>
      </c>
    </row>
    <row r="14561" spans="1:7" ht="24" customHeight="1" outlineLevel="2" x14ac:dyDescent="0.2">
      <c r="A14561" s="14" t="s">
        <v>28639</v>
      </c>
      <c r="B14561" s="15" t="s">
        <v>28640</v>
      </c>
      <c r="C14561" s="16">
        <f>188.9/(1+B2)</f>
        <v>188.9</v>
      </c>
      <c r="D14561" s="17" t="s">
        <v>11</v>
      </c>
      <c r="E14561" s="17"/>
      <c r="F14561" s="18"/>
      <c r="G14561" s="36" t="str">
        <f>IF(ISNUMBER(F14561),C14561*F14561,"")</f>
        <v/>
      </c>
    </row>
    <row r="14562" spans="1:7" ht="24" customHeight="1" outlineLevel="2" x14ac:dyDescent="0.2">
      <c r="A14562" s="14" t="s">
        <v>28641</v>
      </c>
      <c r="B14562" s="15" t="s">
        <v>28642</v>
      </c>
      <c r="C14562" s="16">
        <f>200.37/(1+B2)</f>
        <v>200.37</v>
      </c>
      <c r="D14562" s="17" t="s">
        <v>11</v>
      </c>
      <c r="E14562" s="17"/>
      <c r="F14562" s="18"/>
      <c r="G14562" s="36" t="str">
        <f>IF(ISNUMBER(F14562),C14562*F14562,"")</f>
        <v/>
      </c>
    </row>
    <row r="14563" spans="1:7" ht="24" customHeight="1" outlineLevel="2" x14ac:dyDescent="0.2">
      <c r="A14563" s="14" t="s">
        <v>28643</v>
      </c>
      <c r="B14563" s="15" t="s">
        <v>28644</v>
      </c>
      <c r="C14563" s="16">
        <f>268.22/(1+B2)</f>
        <v>268.22000000000003</v>
      </c>
      <c r="D14563" s="17" t="s">
        <v>11</v>
      </c>
      <c r="E14563" s="17"/>
      <c r="F14563" s="18"/>
      <c r="G14563" s="36" t="str">
        <f>IF(ISNUMBER(F14563),C14563*F14563,"")</f>
        <v/>
      </c>
    </row>
    <row r="14564" spans="1:7" ht="12" customHeight="1" outlineLevel="2" x14ac:dyDescent="0.2">
      <c r="A14564" s="14" t="s">
        <v>28645</v>
      </c>
      <c r="B14564" s="15" t="s">
        <v>28646</v>
      </c>
      <c r="C14564" s="16">
        <f>251.45/(1+B2)</f>
        <v>251.45</v>
      </c>
      <c r="D14564" s="17" t="s">
        <v>11</v>
      </c>
      <c r="E14564" s="17"/>
      <c r="F14564" s="18"/>
      <c r="G14564" s="36" t="str">
        <f>IF(ISNUMBER(F14564),C14564*F14564,"")</f>
        <v/>
      </c>
    </row>
    <row r="14565" spans="1:7" ht="24" customHeight="1" outlineLevel="2" x14ac:dyDescent="0.2">
      <c r="A14565" s="14" t="s">
        <v>28647</v>
      </c>
      <c r="B14565" s="15" t="s">
        <v>28648</v>
      </c>
      <c r="C14565" s="16">
        <f>586.36/(1+B2)</f>
        <v>586.36</v>
      </c>
      <c r="D14565" s="17" t="s">
        <v>11</v>
      </c>
      <c r="E14565" s="17" t="s">
        <v>53</v>
      </c>
      <c r="F14565" s="18"/>
      <c r="G14565" s="36" t="str">
        <f>IF(ISNUMBER(F14565),C14565*F14565,"")</f>
        <v/>
      </c>
    </row>
    <row r="14566" spans="1:7" ht="12" customHeight="1" outlineLevel="2" x14ac:dyDescent="0.2">
      <c r="A14566" s="14" t="s">
        <v>28649</v>
      </c>
      <c r="B14566" s="15" t="s">
        <v>28650</v>
      </c>
      <c r="C14566" s="16">
        <f>423.65/(1+B2)</f>
        <v>423.65</v>
      </c>
      <c r="D14566" s="17" t="s">
        <v>11</v>
      </c>
      <c r="E14566" s="17"/>
      <c r="F14566" s="18"/>
      <c r="G14566" s="36" t="str">
        <f>IF(ISNUMBER(F14566),C14566*F14566,"")</f>
        <v/>
      </c>
    </row>
    <row r="14567" spans="1:7" ht="12" customHeight="1" outlineLevel="2" x14ac:dyDescent="0.2">
      <c r="A14567" s="14" t="s">
        <v>28651</v>
      </c>
      <c r="B14567" s="15" t="s">
        <v>28652</v>
      </c>
      <c r="C14567" s="16">
        <f>20.39/(1+B2)</f>
        <v>20.39</v>
      </c>
      <c r="D14567" s="17" t="s">
        <v>14</v>
      </c>
      <c r="E14567" s="17"/>
      <c r="F14567" s="18"/>
      <c r="G14567" s="36" t="str">
        <f>IF(ISNUMBER(F14567),C14567*F14567,"")</f>
        <v/>
      </c>
    </row>
    <row r="14568" spans="1:7" ht="12" customHeight="1" outlineLevel="2" x14ac:dyDescent="0.2">
      <c r="A14568" s="14" t="s">
        <v>28653</v>
      </c>
      <c r="B14568" s="15" t="s">
        <v>28654</v>
      </c>
      <c r="C14568" s="16">
        <f>33.45/(1+B2)</f>
        <v>33.450000000000003</v>
      </c>
      <c r="D14568" s="17" t="s">
        <v>11</v>
      </c>
      <c r="E14568" s="17"/>
      <c r="F14568" s="18"/>
      <c r="G14568" s="36" t="str">
        <f>IF(ISNUMBER(F14568),C14568*F14568,"")</f>
        <v/>
      </c>
    </row>
    <row r="14569" spans="1:7" ht="24" customHeight="1" outlineLevel="2" x14ac:dyDescent="0.2">
      <c r="A14569" s="14" t="s">
        <v>28655</v>
      </c>
      <c r="B14569" s="15" t="s">
        <v>28656</v>
      </c>
      <c r="C14569" s="16">
        <f>160.31/(1+B2)</f>
        <v>160.31</v>
      </c>
      <c r="D14569" s="17" t="s">
        <v>11</v>
      </c>
      <c r="E14569" s="17"/>
      <c r="F14569" s="18"/>
      <c r="G14569" s="36" t="str">
        <f>IF(ISNUMBER(F14569),C14569*F14569,"")</f>
        <v/>
      </c>
    </row>
    <row r="14570" spans="1:7" ht="12" customHeight="1" outlineLevel="2" x14ac:dyDescent="0.2">
      <c r="A14570" s="14" t="s">
        <v>28657</v>
      </c>
      <c r="B14570" s="15" t="s">
        <v>28658</v>
      </c>
      <c r="C14570" s="16">
        <f>36.37/(1+B2)</f>
        <v>36.369999999999997</v>
      </c>
      <c r="D14570" s="17" t="s">
        <v>14</v>
      </c>
      <c r="E14570" s="17"/>
      <c r="F14570" s="18"/>
      <c r="G14570" s="36" t="str">
        <f>IF(ISNUMBER(F14570),C14570*F14570,"")</f>
        <v/>
      </c>
    </row>
    <row r="14571" spans="1:7" ht="12" customHeight="1" outlineLevel="2" x14ac:dyDescent="0.2">
      <c r="A14571" s="14" t="s">
        <v>28659</v>
      </c>
      <c r="B14571" s="15" t="s">
        <v>28660</v>
      </c>
      <c r="C14571" s="19">
        <f>1080.53/(1+B2)</f>
        <v>1080.53</v>
      </c>
      <c r="D14571" s="17" t="s">
        <v>11</v>
      </c>
      <c r="E14571" s="17"/>
      <c r="F14571" s="18"/>
      <c r="G14571" s="36" t="str">
        <f>IF(ISNUMBER(F14571),C14571*F14571,"")</f>
        <v/>
      </c>
    </row>
    <row r="14572" spans="1:7" ht="24" customHeight="1" outlineLevel="2" x14ac:dyDescent="0.2">
      <c r="A14572" s="14" t="s">
        <v>28661</v>
      </c>
      <c r="B14572" s="15" t="s">
        <v>28662</v>
      </c>
      <c r="C14572" s="16">
        <f>330.41/(1+B2)</f>
        <v>330.41</v>
      </c>
      <c r="D14572" s="17" t="s">
        <v>11</v>
      </c>
      <c r="E14572" s="17"/>
      <c r="F14572" s="18"/>
      <c r="G14572" s="36" t="str">
        <f>IF(ISNUMBER(F14572),C14572*F14572,"")</f>
        <v/>
      </c>
    </row>
    <row r="14573" spans="1:7" ht="12" customHeight="1" outlineLevel="2" x14ac:dyDescent="0.2">
      <c r="A14573" s="14" t="s">
        <v>28663</v>
      </c>
      <c r="B14573" s="15" t="s">
        <v>28664</v>
      </c>
      <c r="C14573" s="16">
        <f>20.9/(1+B2)</f>
        <v>20.9</v>
      </c>
      <c r="D14573" s="17" t="s">
        <v>106</v>
      </c>
      <c r="E14573" s="17"/>
      <c r="F14573" s="18"/>
      <c r="G14573" s="36" t="str">
        <f>IF(ISNUMBER(F14573),C14573*F14573,"")</f>
        <v/>
      </c>
    </row>
    <row r="14574" spans="1:7" ht="12" customHeight="1" outlineLevel="2" x14ac:dyDescent="0.2">
      <c r="A14574" s="14" t="s">
        <v>28665</v>
      </c>
      <c r="B14574" s="15" t="s">
        <v>28666</v>
      </c>
      <c r="C14574" s="16">
        <f>46.29/(1+B2)</f>
        <v>46.29</v>
      </c>
      <c r="D14574" s="17" t="s">
        <v>11</v>
      </c>
      <c r="E14574" s="17"/>
      <c r="F14574" s="18"/>
      <c r="G14574" s="36" t="str">
        <f>IF(ISNUMBER(F14574),C14574*F14574,"")</f>
        <v/>
      </c>
    </row>
    <row r="14575" spans="1:7" ht="24" customHeight="1" outlineLevel="2" x14ac:dyDescent="0.2">
      <c r="A14575" s="14" t="s">
        <v>28667</v>
      </c>
      <c r="B14575" s="15" t="s">
        <v>28668</v>
      </c>
      <c r="C14575" s="16">
        <f>34.24/(1+B2)</f>
        <v>34.24</v>
      </c>
      <c r="D14575" s="17" t="s">
        <v>11</v>
      </c>
      <c r="E14575" s="17"/>
      <c r="F14575" s="18"/>
      <c r="G14575" s="36" t="str">
        <f>IF(ISNUMBER(F14575),C14575*F14575,"")</f>
        <v/>
      </c>
    </row>
    <row r="14576" spans="1:7" ht="12" customHeight="1" outlineLevel="2" x14ac:dyDescent="0.2">
      <c r="A14576" s="14" t="s">
        <v>28669</v>
      </c>
      <c r="B14576" s="15" t="s">
        <v>28670</v>
      </c>
      <c r="C14576" s="16">
        <f>24.52/(1+B2)</f>
        <v>24.52</v>
      </c>
      <c r="D14576" s="17" t="s">
        <v>11</v>
      </c>
      <c r="E14576" s="17"/>
      <c r="F14576" s="18"/>
      <c r="G14576" s="36" t="str">
        <f>IF(ISNUMBER(F14576),C14576*F14576,"")</f>
        <v/>
      </c>
    </row>
    <row r="14577" spans="1:7" ht="12" customHeight="1" outlineLevel="2" x14ac:dyDescent="0.2">
      <c r="A14577" s="14" t="s">
        <v>28671</v>
      </c>
      <c r="B14577" s="15" t="s">
        <v>28672</v>
      </c>
      <c r="C14577" s="16">
        <f>35.03/(1+B2)</f>
        <v>35.03</v>
      </c>
      <c r="D14577" s="17" t="s">
        <v>11</v>
      </c>
      <c r="E14577" s="17"/>
      <c r="F14577" s="18"/>
      <c r="G14577" s="36" t="str">
        <f>IF(ISNUMBER(F14577),C14577*F14577,"")</f>
        <v/>
      </c>
    </row>
    <row r="14578" spans="1:7" ht="12" customHeight="1" outlineLevel="2" x14ac:dyDescent="0.2">
      <c r="A14578" s="14" t="s">
        <v>28673</v>
      </c>
      <c r="B14578" s="15" t="s">
        <v>28674</v>
      </c>
      <c r="C14578" s="16">
        <f>60/(1+B2)</f>
        <v>60</v>
      </c>
      <c r="D14578" s="17" t="s">
        <v>14</v>
      </c>
      <c r="E14578" s="17"/>
      <c r="F14578" s="18"/>
      <c r="G14578" s="36" t="str">
        <f>IF(ISNUMBER(F14578),C14578*F14578,"")</f>
        <v/>
      </c>
    </row>
    <row r="14579" spans="1:7" ht="12" customHeight="1" outlineLevel="2" x14ac:dyDescent="0.2">
      <c r="A14579" s="14" t="s">
        <v>28675</v>
      </c>
      <c r="B14579" s="15" t="s">
        <v>28676</v>
      </c>
      <c r="C14579" s="16">
        <f>60/(1+B2)</f>
        <v>60</v>
      </c>
      <c r="D14579" s="17" t="s">
        <v>14</v>
      </c>
      <c r="E14579" s="17" t="s">
        <v>53</v>
      </c>
      <c r="F14579" s="18"/>
      <c r="G14579" s="36" t="str">
        <f>IF(ISNUMBER(F14579),C14579*F14579,"")</f>
        <v/>
      </c>
    </row>
    <row r="14580" spans="1:7" ht="12" customHeight="1" outlineLevel="2" x14ac:dyDescent="0.2">
      <c r="A14580" s="14" t="s">
        <v>28677</v>
      </c>
      <c r="B14580" s="15" t="s">
        <v>28678</v>
      </c>
      <c r="C14580" s="16">
        <f>194.41/(1+B2)</f>
        <v>194.41</v>
      </c>
      <c r="D14580" s="17" t="s">
        <v>11</v>
      </c>
      <c r="E14580" s="17"/>
      <c r="F14580" s="18"/>
      <c r="G14580" s="36" t="str">
        <f>IF(ISNUMBER(F14580),C14580*F14580,"")</f>
        <v/>
      </c>
    </row>
    <row r="14581" spans="1:7" ht="12" customHeight="1" outlineLevel="2" x14ac:dyDescent="0.2">
      <c r="A14581" s="14" t="s">
        <v>28679</v>
      </c>
      <c r="B14581" s="15" t="s">
        <v>28680</v>
      </c>
      <c r="C14581" s="16">
        <f>81.41/(1+B2)</f>
        <v>81.41</v>
      </c>
      <c r="D14581" s="17" t="s">
        <v>11</v>
      </c>
      <c r="E14581" s="17"/>
      <c r="F14581" s="18"/>
      <c r="G14581" s="36" t="str">
        <f>IF(ISNUMBER(F14581),C14581*F14581,"")</f>
        <v/>
      </c>
    </row>
    <row r="14582" spans="1:7" ht="24" customHeight="1" outlineLevel="2" x14ac:dyDescent="0.2">
      <c r="A14582" s="14" t="s">
        <v>28681</v>
      </c>
      <c r="B14582" s="15" t="s">
        <v>28682</v>
      </c>
      <c r="C14582" s="16">
        <f>192.29/(1+B2)</f>
        <v>192.29</v>
      </c>
      <c r="D14582" s="17" t="s">
        <v>11</v>
      </c>
      <c r="E14582" s="17"/>
      <c r="F14582" s="18"/>
      <c r="G14582" s="36" t="str">
        <f>IF(ISNUMBER(F14582),C14582*F14582,"")</f>
        <v/>
      </c>
    </row>
    <row r="14583" spans="1:7" ht="24" customHeight="1" outlineLevel="2" x14ac:dyDescent="0.2">
      <c r="A14583" s="14" t="s">
        <v>28683</v>
      </c>
      <c r="B14583" s="15" t="s">
        <v>28684</v>
      </c>
      <c r="C14583" s="16">
        <f>299.14/(1+B2)</f>
        <v>299.14</v>
      </c>
      <c r="D14583" s="17" t="s">
        <v>11</v>
      </c>
      <c r="E14583" s="17"/>
      <c r="F14583" s="18"/>
      <c r="G14583" s="36" t="str">
        <f>IF(ISNUMBER(F14583),C14583*F14583,"")</f>
        <v/>
      </c>
    </row>
    <row r="14584" spans="1:7" ht="24" customHeight="1" outlineLevel="2" x14ac:dyDescent="0.2">
      <c r="A14584" s="14" t="s">
        <v>28685</v>
      </c>
      <c r="B14584" s="15" t="s">
        <v>28686</v>
      </c>
      <c r="C14584" s="16">
        <f>142.28/(1+B2)</f>
        <v>142.28</v>
      </c>
      <c r="D14584" s="17" t="s">
        <v>11</v>
      </c>
      <c r="E14584" s="17"/>
      <c r="F14584" s="18"/>
      <c r="G14584" s="36" t="str">
        <f>IF(ISNUMBER(F14584),C14584*F14584,"")</f>
        <v/>
      </c>
    </row>
    <row r="14585" spans="1:7" ht="24" customHeight="1" outlineLevel="2" x14ac:dyDescent="0.2">
      <c r="A14585" s="14" t="s">
        <v>28687</v>
      </c>
      <c r="B14585" s="15" t="s">
        <v>28688</v>
      </c>
      <c r="C14585" s="16">
        <f>164.14/(1+B2)</f>
        <v>164.14</v>
      </c>
      <c r="D14585" s="17" t="s">
        <v>11</v>
      </c>
      <c r="E14585" s="17"/>
      <c r="F14585" s="18"/>
      <c r="G14585" s="36" t="str">
        <f>IF(ISNUMBER(F14585),C14585*F14585,"")</f>
        <v/>
      </c>
    </row>
    <row r="14586" spans="1:7" ht="24" customHeight="1" outlineLevel="2" x14ac:dyDescent="0.2">
      <c r="A14586" s="14" t="s">
        <v>28689</v>
      </c>
      <c r="B14586" s="15" t="s">
        <v>28690</v>
      </c>
      <c r="C14586" s="16">
        <f>194.59/(1+B2)</f>
        <v>194.59</v>
      </c>
      <c r="D14586" s="17" t="s">
        <v>11</v>
      </c>
      <c r="E14586" s="17"/>
      <c r="F14586" s="18"/>
      <c r="G14586" s="36" t="str">
        <f>IF(ISNUMBER(F14586),C14586*F14586,"")</f>
        <v/>
      </c>
    </row>
    <row r="14587" spans="1:7" ht="24" customHeight="1" outlineLevel="2" x14ac:dyDescent="0.2">
      <c r="A14587" s="14" t="s">
        <v>28691</v>
      </c>
      <c r="B14587" s="15" t="s">
        <v>28692</v>
      </c>
      <c r="C14587" s="16">
        <f>436.26/(1+B2)</f>
        <v>436.26</v>
      </c>
      <c r="D14587" s="17" t="s">
        <v>11</v>
      </c>
      <c r="E14587" s="17"/>
      <c r="F14587" s="18"/>
      <c r="G14587" s="36" t="str">
        <f>IF(ISNUMBER(F14587),C14587*F14587,"")</f>
        <v/>
      </c>
    </row>
    <row r="14588" spans="1:7" ht="12" customHeight="1" outlineLevel="2" x14ac:dyDescent="0.2">
      <c r="A14588" s="14" t="s">
        <v>28693</v>
      </c>
      <c r="B14588" s="15" t="s">
        <v>28694</v>
      </c>
      <c r="C14588" s="16">
        <f>49.53/(1+B2)</f>
        <v>49.53</v>
      </c>
      <c r="D14588" s="17" t="s">
        <v>11</v>
      </c>
      <c r="E14588" s="17"/>
      <c r="F14588" s="18"/>
      <c r="G14588" s="36" t="str">
        <f>IF(ISNUMBER(F14588),C14588*F14588,"")</f>
        <v/>
      </c>
    </row>
    <row r="14589" spans="1:7" ht="12" customHeight="1" outlineLevel="2" x14ac:dyDescent="0.2">
      <c r="A14589" s="14" t="s">
        <v>28695</v>
      </c>
      <c r="B14589" s="15" t="s">
        <v>28696</v>
      </c>
      <c r="C14589" s="16">
        <f>8.38/(1+B2)</f>
        <v>8.3800000000000008</v>
      </c>
      <c r="D14589" s="17" t="s">
        <v>11</v>
      </c>
      <c r="E14589" s="17"/>
      <c r="F14589" s="18"/>
      <c r="G14589" s="36" t="str">
        <f>IF(ISNUMBER(F14589),C14589*F14589,"")</f>
        <v/>
      </c>
    </row>
    <row r="14590" spans="1:7" ht="12" customHeight="1" outlineLevel="2" x14ac:dyDescent="0.2">
      <c r="A14590" s="14" t="s">
        <v>28697</v>
      </c>
      <c r="B14590" s="15" t="s">
        <v>28698</v>
      </c>
      <c r="C14590" s="16">
        <f>8.38/(1+B2)</f>
        <v>8.3800000000000008</v>
      </c>
      <c r="D14590" s="17" t="s">
        <v>14</v>
      </c>
      <c r="E14590" s="17"/>
      <c r="F14590" s="18"/>
      <c r="G14590" s="36" t="str">
        <f>IF(ISNUMBER(F14590),C14590*F14590,"")</f>
        <v/>
      </c>
    </row>
    <row r="14591" spans="1:7" ht="12" customHeight="1" outlineLevel="2" x14ac:dyDescent="0.2">
      <c r="A14591" s="14" t="s">
        <v>28699</v>
      </c>
      <c r="B14591" s="15" t="s">
        <v>28700</v>
      </c>
      <c r="C14591" s="16">
        <f>9.33/(1+B2)</f>
        <v>9.33</v>
      </c>
      <c r="D14591" s="17" t="s">
        <v>11</v>
      </c>
      <c r="E14591" s="17" t="s">
        <v>14</v>
      </c>
      <c r="F14591" s="18"/>
      <c r="G14591" s="36" t="str">
        <f>IF(ISNUMBER(F14591),C14591*F14591,"")</f>
        <v/>
      </c>
    </row>
    <row r="14592" spans="1:7" ht="12" customHeight="1" outlineLevel="2" x14ac:dyDescent="0.2">
      <c r="A14592" s="14" t="s">
        <v>28701</v>
      </c>
      <c r="B14592" s="15" t="s">
        <v>28702</v>
      </c>
      <c r="C14592" s="16">
        <f>117.22/(1+B2)</f>
        <v>117.22</v>
      </c>
      <c r="D14592" s="17" t="s">
        <v>11</v>
      </c>
      <c r="E14592" s="17"/>
      <c r="F14592" s="18"/>
      <c r="G14592" s="36" t="str">
        <f>IF(ISNUMBER(F14592),C14592*F14592,"")</f>
        <v/>
      </c>
    </row>
    <row r="14593" spans="1:7" s="1" customFormat="1" ht="15.95" customHeight="1" outlineLevel="1" x14ac:dyDescent="0.25">
      <c r="A14593" s="11"/>
      <c r="B14593" s="12" t="s">
        <v>28703</v>
      </c>
      <c r="C14593" s="13"/>
      <c r="D14593" s="13"/>
      <c r="E14593" s="13"/>
      <c r="F14593" s="13"/>
      <c r="G14593" s="35"/>
    </row>
    <row r="14594" spans="1:7" ht="12" customHeight="1" outlineLevel="2" x14ac:dyDescent="0.2">
      <c r="A14594" s="14" t="s">
        <v>28704</v>
      </c>
      <c r="B14594" s="15" t="s">
        <v>28705</v>
      </c>
      <c r="C14594" s="16">
        <f>92.21/(1+B2)</f>
        <v>92.21</v>
      </c>
      <c r="D14594" s="17" t="s">
        <v>53</v>
      </c>
      <c r="E14594" s="17"/>
      <c r="F14594" s="18"/>
      <c r="G14594" s="36" t="str">
        <f>IF(ISNUMBER(F14594),C14594*F14594,"")</f>
        <v/>
      </c>
    </row>
    <row r="14595" spans="1:7" ht="12" customHeight="1" outlineLevel="2" x14ac:dyDescent="0.2">
      <c r="A14595" s="14" t="s">
        <v>28706</v>
      </c>
      <c r="B14595" s="15" t="s">
        <v>28707</v>
      </c>
      <c r="C14595" s="16">
        <f>122.14/(1+B2)</f>
        <v>122.14</v>
      </c>
      <c r="D14595" s="17" t="s">
        <v>14</v>
      </c>
      <c r="E14595" s="17" t="s">
        <v>106</v>
      </c>
      <c r="F14595" s="18"/>
      <c r="G14595" s="36" t="str">
        <f>IF(ISNUMBER(F14595),C14595*F14595,"")</f>
        <v/>
      </c>
    </row>
    <row r="14596" spans="1:7" ht="12" customHeight="1" outlineLevel="2" x14ac:dyDescent="0.2">
      <c r="A14596" s="14" t="s">
        <v>28708</v>
      </c>
      <c r="B14596" s="15" t="s">
        <v>28709</v>
      </c>
      <c r="C14596" s="16">
        <f>185.66/(1+B2)</f>
        <v>185.66</v>
      </c>
      <c r="D14596" s="17" t="s">
        <v>11</v>
      </c>
      <c r="E14596" s="17"/>
      <c r="F14596" s="18"/>
      <c r="G14596" s="36" t="str">
        <f>IF(ISNUMBER(F14596),C14596*F14596,"")</f>
        <v/>
      </c>
    </row>
    <row r="14597" spans="1:7" ht="12" customHeight="1" outlineLevel="2" x14ac:dyDescent="0.2">
      <c r="A14597" s="14" t="s">
        <v>28710</v>
      </c>
      <c r="B14597" s="15" t="s">
        <v>28711</v>
      </c>
      <c r="C14597" s="16">
        <f>251.96/(1+B2)</f>
        <v>251.96</v>
      </c>
      <c r="D14597" s="17" t="s">
        <v>11</v>
      </c>
      <c r="E14597" s="17" t="s">
        <v>53</v>
      </c>
      <c r="F14597" s="18"/>
      <c r="G14597" s="36" t="str">
        <f>IF(ISNUMBER(F14597),C14597*F14597,"")</f>
        <v/>
      </c>
    </row>
    <row r="14598" spans="1:7" ht="24" customHeight="1" outlineLevel="2" x14ac:dyDescent="0.2">
      <c r="A14598" s="14" t="s">
        <v>28712</v>
      </c>
      <c r="B14598" s="15" t="s">
        <v>28713</v>
      </c>
      <c r="C14598" s="16">
        <f>359.03/(1+B2)</f>
        <v>359.03</v>
      </c>
      <c r="D14598" s="17" t="s">
        <v>11</v>
      </c>
      <c r="E14598" s="17"/>
      <c r="F14598" s="18"/>
      <c r="G14598" s="36" t="str">
        <f>IF(ISNUMBER(F14598),C14598*F14598,"")</f>
        <v/>
      </c>
    </row>
    <row r="14599" spans="1:7" ht="24" customHeight="1" outlineLevel="2" x14ac:dyDescent="0.2">
      <c r="A14599" s="14" t="s">
        <v>28714</v>
      </c>
      <c r="B14599" s="15" t="s">
        <v>28715</v>
      </c>
      <c r="C14599" s="16">
        <f>468.75/(1+B2)</f>
        <v>468.75</v>
      </c>
      <c r="D14599" s="17" t="s">
        <v>11</v>
      </c>
      <c r="E14599" s="17"/>
      <c r="F14599" s="18"/>
      <c r="G14599" s="36" t="str">
        <f>IF(ISNUMBER(F14599),C14599*F14599,"")</f>
        <v/>
      </c>
    </row>
    <row r="14600" spans="1:7" ht="24" customHeight="1" outlineLevel="2" x14ac:dyDescent="0.2">
      <c r="A14600" s="14" t="s">
        <v>28716</v>
      </c>
      <c r="B14600" s="15" t="s">
        <v>28717</v>
      </c>
      <c r="C14600" s="16">
        <f>405.92/(1+B2)</f>
        <v>405.92</v>
      </c>
      <c r="D14600" s="17" t="s">
        <v>11</v>
      </c>
      <c r="E14600" s="17"/>
      <c r="F14600" s="18"/>
      <c r="G14600" s="36" t="str">
        <f>IF(ISNUMBER(F14600),C14600*F14600,"")</f>
        <v/>
      </c>
    </row>
    <row r="14601" spans="1:7" ht="12" customHeight="1" outlineLevel="2" x14ac:dyDescent="0.2">
      <c r="A14601" s="14" t="s">
        <v>28718</v>
      </c>
      <c r="B14601" s="15" t="s">
        <v>28719</v>
      </c>
      <c r="C14601" s="16">
        <f>104.12/(1+B2)</f>
        <v>104.12</v>
      </c>
      <c r="D14601" s="17" t="s">
        <v>106</v>
      </c>
      <c r="E14601" s="17"/>
      <c r="F14601" s="18"/>
      <c r="G14601" s="36" t="str">
        <f>IF(ISNUMBER(F14601),C14601*F14601,"")</f>
        <v/>
      </c>
    </row>
    <row r="14602" spans="1:7" ht="12" customHeight="1" outlineLevel="2" x14ac:dyDescent="0.2">
      <c r="A14602" s="14" t="s">
        <v>28720</v>
      </c>
      <c r="B14602" s="15" t="s">
        <v>28721</v>
      </c>
      <c r="C14602" s="16">
        <f>107.3/(1+B2)</f>
        <v>107.3</v>
      </c>
      <c r="D14602" s="17" t="s">
        <v>14</v>
      </c>
      <c r="E14602" s="17" t="s">
        <v>106</v>
      </c>
      <c r="F14602" s="18"/>
      <c r="G14602" s="36" t="str">
        <f>IF(ISNUMBER(F14602),C14602*F14602,"")</f>
        <v/>
      </c>
    </row>
    <row r="14603" spans="1:7" ht="12" customHeight="1" outlineLevel="2" x14ac:dyDescent="0.2">
      <c r="A14603" s="14" t="s">
        <v>28722</v>
      </c>
      <c r="B14603" s="15" t="s">
        <v>28723</v>
      </c>
      <c r="C14603" s="16">
        <f>180/(1+B2)</f>
        <v>180</v>
      </c>
      <c r="D14603" s="17" t="s">
        <v>53</v>
      </c>
      <c r="E14603" s="17" t="s">
        <v>14</v>
      </c>
      <c r="F14603" s="18"/>
      <c r="G14603" s="36" t="str">
        <f>IF(ISNUMBER(F14603),C14603*F14603,"")</f>
        <v/>
      </c>
    </row>
    <row r="14604" spans="1:7" ht="12" customHeight="1" outlineLevel="2" x14ac:dyDescent="0.2">
      <c r="A14604" s="14" t="s">
        <v>28724</v>
      </c>
      <c r="B14604" s="15" t="s">
        <v>28725</v>
      </c>
      <c r="C14604" s="16">
        <f>298.8/(1+B2)</f>
        <v>298.8</v>
      </c>
      <c r="D14604" s="17" t="s">
        <v>14</v>
      </c>
      <c r="E14604" s="17" t="s">
        <v>106</v>
      </c>
      <c r="F14604" s="18"/>
      <c r="G14604" s="36" t="str">
        <f>IF(ISNUMBER(F14604),C14604*F14604,"")</f>
        <v/>
      </c>
    </row>
    <row r="14605" spans="1:7" ht="12" customHeight="1" outlineLevel="2" x14ac:dyDescent="0.2">
      <c r="A14605" s="14" t="s">
        <v>28726</v>
      </c>
      <c r="B14605" s="15" t="s">
        <v>28727</v>
      </c>
      <c r="C14605" s="16">
        <f>358.56/(1+B2)</f>
        <v>358.56</v>
      </c>
      <c r="D14605" s="17" t="s">
        <v>14</v>
      </c>
      <c r="E14605" s="17" t="s">
        <v>106</v>
      </c>
      <c r="F14605" s="18"/>
      <c r="G14605" s="36" t="str">
        <f>IF(ISNUMBER(F14605),C14605*F14605,"")</f>
        <v/>
      </c>
    </row>
    <row r="14606" spans="1:7" ht="12" customHeight="1" outlineLevel="2" x14ac:dyDescent="0.2">
      <c r="A14606" s="14" t="s">
        <v>28728</v>
      </c>
      <c r="B14606" s="15" t="s">
        <v>28729</v>
      </c>
      <c r="C14606" s="16">
        <f>358.56/(1+B2)</f>
        <v>358.56</v>
      </c>
      <c r="D14606" s="17" t="s">
        <v>53</v>
      </c>
      <c r="E14606" s="17" t="s">
        <v>14</v>
      </c>
      <c r="F14606" s="18"/>
      <c r="G14606" s="36" t="str">
        <f>IF(ISNUMBER(F14606),C14606*F14606,"")</f>
        <v/>
      </c>
    </row>
    <row r="14607" spans="1:7" ht="12" customHeight="1" outlineLevel="2" x14ac:dyDescent="0.2">
      <c r="A14607" s="14" t="s">
        <v>28730</v>
      </c>
      <c r="B14607" s="15" t="s">
        <v>28731</v>
      </c>
      <c r="C14607" s="16">
        <f>358.56/(1+B2)</f>
        <v>358.56</v>
      </c>
      <c r="D14607" s="17" t="s">
        <v>14</v>
      </c>
      <c r="E14607" s="17" t="s">
        <v>106</v>
      </c>
      <c r="F14607" s="18"/>
      <c r="G14607" s="36" t="str">
        <f>IF(ISNUMBER(F14607),C14607*F14607,"")</f>
        <v/>
      </c>
    </row>
    <row r="14608" spans="1:7" ht="12" customHeight="1" outlineLevel="2" x14ac:dyDescent="0.2">
      <c r="A14608" s="14" t="s">
        <v>28732</v>
      </c>
      <c r="B14608" s="15" t="s">
        <v>28733</v>
      </c>
      <c r="C14608" s="16">
        <f>79.49/(1+B2)</f>
        <v>79.489999999999995</v>
      </c>
      <c r="D14608" s="17" t="s">
        <v>11</v>
      </c>
      <c r="E14608" s="17"/>
      <c r="F14608" s="18"/>
      <c r="G14608" s="36" t="str">
        <f>IF(ISNUMBER(F14608),C14608*F14608,"")</f>
        <v/>
      </c>
    </row>
    <row r="14609" spans="1:7" ht="12" customHeight="1" outlineLevel="2" x14ac:dyDescent="0.2">
      <c r="A14609" s="14" t="s">
        <v>28734</v>
      </c>
      <c r="B14609" s="15" t="s">
        <v>28735</v>
      </c>
      <c r="C14609" s="16">
        <f>87.87/(1+B2)</f>
        <v>87.87</v>
      </c>
      <c r="D14609" s="17" t="s">
        <v>11</v>
      </c>
      <c r="E14609" s="17"/>
      <c r="F14609" s="18"/>
      <c r="G14609" s="36" t="str">
        <f>IF(ISNUMBER(F14609),C14609*F14609,"")</f>
        <v/>
      </c>
    </row>
    <row r="14610" spans="1:7" ht="12" customHeight="1" outlineLevel="2" x14ac:dyDescent="0.2">
      <c r="A14610" s="14" t="s">
        <v>28736</v>
      </c>
      <c r="B14610" s="15" t="s">
        <v>28737</v>
      </c>
      <c r="C14610" s="16">
        <f>160.08/(1+B2)</f>
        <v>160.08000000000001</v>
      </c>
      <c r="D14610" s="17" t="s">
        <v>11</v>
      </c>
      <c r="E14610" s="17"/>
      <c r="F14610" s="18"/>
      <c r="G14610" s="36" t="str">
        <f>IF(ISNUMBER(F14610),C14610*F14610,"")</f>
        <v/>
      </c>
    </row>
    <row r="14611" spans="1:7" ht="12" customHeight="1" outlineLevel="2" x14ac:dyDescent="0.2">
      <c r="A14611" s="14" t="s">
        <v>28738</v>
      </c>
      <c r="B14611" s="15" t="s">
        <v>28739</v>
      </c>
      <c r="C14611" s="16">
        <f>212.08/(1+B2)</f>
        <v>212.08</v>
      </c>
      <c r="D14611" s="17" t="s">
        <v>14</v>
      </c>
      <c r="E14611" s="17" t="s">
        <v>14</v>
      </c>
      <c r="F14611" s="18"/>
      <c r="G14611" s="36" t="str">
        <f>IF(ISNUMBER(F14611),C14611*F14611,"")</f>
        <v/>
      </c>
    </row>
    <row r="14612" spans="1:7" ht="12" customHeight="1" outlineLevel="2" x14ac:dyDescent="0.2">
      <c r="A14612" s="14" t="s">
        <v>28740</v>
      </c>
      <c r="B14612" s="15" t="s">
        <v>28741</v>
      </c>
      <c r="C14612" s="16">
        <f>78.96/(1+B2)</f>
        <v>78.959999999999994</v>
      </c>
      <c r="D14612" s="17" t="s">
        <v>14</v>
      </c>
      <c r="E14612" s="17"/>
      <c r="F14612" s="18"/>
      <c r="G14612" s="36" t="str">
        <f>IF(ISNUMBER(F14612),C14612*F14612,"")</f>
        <v/>
      </c>
    </row>
    <row r="14613" spans="1:7" ht="12" customHeight="1" outlineLevel="2" x14ac:dyDescent="0.2">
      <c r="A14613" s="14" t="s">
        <v>28742</v>
      </c>
      <c r="B14613" s="15" t="s">
        <v>28743</v>
      </c>
      <c r="C14613" s="16">
        <f>104.12/(1+B2)</f>
        <v>104.12</v>
      </c>
      <c r="D14613" s="17" t="s">
        <v>14</v>
      </c>
      <c r="E14613" s="17" t="s">
        <v>106</v>
      </c>
      <c r="F14613" s="18"/>
      <c r="G14613" s="36" t="str">
        <f>IF(ISNUMBER(F14613),C14613*F14613,"")</f>
        <v/>
      </c>
    </row>
    <row r="14614" spans="1:7" ht="12" customHeight="1" outlineLevel="2" x14ac:dyDescent="0.2">
      <c r="A14614" s="14" t="s">
        <v>28744</v>
      </c>
      <c r="B14614" s="15" t="s">
        <v>28745</v>
      </c>
      <c r="C14614" s="16">
        <f>107.3/(1+B2)</f>
        <v>107.3</v>
      </c>
      <c r="D14614" s="17" t="s">
        <v>11</v>
      </c>
      <c r="E14614" s="17" t="s">
        <v>106</v>
      </c>
      <c r="F14614" s="18"/>
      <c r="G14614" s="36" t="str">
        <f>IF(ISNUMBER(F14614),C14614*F14614,"")</f>
        <v/>
      </c>
    </row>
    <row r="14615" spans="1:7" ht="12" customHeight="1" outlineLevel="2" x14ac:dyDescent="0.2">
      <c r="A14615" s="14" t="s">
        <v>28746</v>
      </c>
      <c r="B14615" s="15" t="s">
        <v>28747</v>
      </c>
      <c r="C14615" s="16">
        <f>107.3/(1+B2)</f>
        <v>107.3</v>
      </c>
      <c r="D14615" s="17" t="s">
        <v>14</v>
      </c>
      <c r="E14615" s="17" t="s">
        <v>106</v>
      </c>
      <c r="F14615" s="18"/>
      <c r="G14615" s="36" t="str">
        <f>IF(ISNUMBER(F14615),C14615*F14615,"")</f>
        <v/>
      </c>
    </row>
    <row r="14616" spans="1:7" ht="12" customHeight="1" outlineLevel="2" x14ac:dyDescent="0.2">
      <c r="A14616" s="14" t="s">
        <v>28748</v>
      </c>
      <c r="B14616" s="15" t="s">
        <v>28749</v>
      </c>
      <c r="C14616" s="16">
        <f>136.31/(1+B2)</f>
        <v>136.31</v>
      </c>
      <c r="D14616" s="17" t="s">
        <v>11</v>
      </c>
      <c r="E14616" s="17"/>
      <c r="F14616" s="18"/>
      <c r="G14616" s="36" t="str">
        <f>IF(ISNUMBER(F14616),C14616*F14616,"")</f>
        <v/>
      </c>
    </row>
    <row r="14617" spans="1:7" ht="12" customHeight="1" outlineLevel="2" x14ac:dyDescent="0.2">
      <c r="A14617" s="14" t="s">
        <v>28750</v>
      </c>
      <c r="B14617" s="15" t="s">
        <v>28751</v>
      </c>
      <c r="C14617" s="16">
        <f>136.16/(1+B2)</f>
        <v>136.16</v>
      </c>
      <c r="D14617" s="17" t="s">
        <v>11</v>
      </c>
      <c r="E14617" s="17"/>
      <c r="F14617" s="18"/>
      <c r="G14617" s="36" t="str">
        <f>IF(ISNUMBER(F14617),C14617*F14617,"")</f>
        <v/>
      </c>
    </row>
    <row r="14618" spans="1:7" ht="12" customHeight="1" outlineLevel="2" x14ac:dyDescent="0.2">
      <c r="A14618" s="14" t="s">
        <v>28752</v>
      </c>
      <c r="B14618" s="15" t="s">
        <v>28753</v>
      </c>
      <c r="C14618" s="16">
        <f>136.16/(1+B2)</f>
        <v>136.16</v>
      </c>
      <c r="D14618" s="17" t="s">
        <v>11</v>
      </c>
      <c r="E14618" s="17"/>
      <c r="F14618" s="18"/>
      <c r="G14618" s="36" t="str">
        <f>IF(ISNUMBER(F14618),C14618*F14618,"")</f>
        <v/>
      </c>
    </row>
    <row r="14619" spans="1:7" ht="12" customHeight="1" outlineLevel="2" x14ac:dyDescent="0.2">
      <c r="A14619" s="14" t="s">
        <v>28754</v>
      </c>
      <c r="B14619" s="15" t="s">
        <v>28755</v>
      </c>
      <c r="C14619" s="16">
        <f>184.17/(1+B2)</f>
        <v>184.17</v>
      </c>
      <c r="D14619" s="17" t="s">
        <v>14</v>
      </c>
      <c r="E14619" s="17"/>
      <c r="F14619" s="18"/>
      <c r="G14619" s="36" t="str">
        <f>IF(ISNUMBER(F14619),C14619*F14619,"")</f>
        <v/>
      </c>
    </row>
    <row r="14620" spans="1:7" ht="12" customHeight="1" outlineLevel="2" x14ac:dyDescent="0.2">
      <c r="A14620" s="14" t="s">
        <v>28756</v>
      </c>
      <c r="B14620" s="15" t="s">
        <v>28757</v>
      </c>
      <c r="C14620" s="16">
        <f>298.09/(1+B2)</f>
        <v>298.08999999999997</v>
      </c>
      <c r="D14620" s="17" t="s">
        <v>11</v>
      </c>
      <c r="E14620" s="17" t="s">
        <v>106</v>
      </c>
      <c r="F14620" s="18"/>
      <c r="G14620" s="36" t="str">
        <f>IF(ISNUMBER(F14620),C14620*F14620,"")</f>
        <v/>
      </c>
    </row>
    <row r="14621" spans="1:7" ht="12" customHeight="1" outlineLevel="2" x14ac:dyDescent="0.2">
      <c r="A14621" s="14" t="s">
        <v>28758</v>
      </c>
      <c r="B14621" s="15" t="s">
        <v>28759</v>
      </c>
      <c r="C14621" s="16">
        <f>358.56/(1+B2)</f>
        <v>358.56</v>
      </c>
      <c r="D14621" s="17" t="s">
        <v>11</v>
      </c>
      <c r="E14621" s="17"/>
      <c r="F14621" s="18"/>
      <c r="G14621" s="36" t="str">
        <f>IF(ISNUMBER(F14621),C14621*F14621,"")</f>
        <v/>
      </c>
    </row>
    <row r="14622" spans="1:7" ht="12" customHeight="1" outlineLevel="2" x14ac:dyDescent="0.2">
      <c r="A14622" s="14" t="s">
        <v>28760</v>
      </c>
      <c r="B14622" s="15" t="s">
        <v>28761</v>
      </c>
      <c r="C14622" s="16">
        <f>108.12/(1+B2)</f>
        <v>108.12</v>
      </c>
      <c r="D14622" s="17" t="s">
        <v>14</v>
      </c>
      <c r="E14622" s="17" t="s">
        <v>11</v>
      </c>
      <c r="F14622" s="18"/>
      <c r="G14622" s="36" t="str">
        <f>IF(ISNUMBER(F14622),C14622*F14622,"")</f>
        <v/>
      </c>
    </row>
    <row r="14623" spans="1:7" ht="12" customHeight="1" outlineLevel="2" x14ac:dyDescent="0.2">
      <c r="A14623" s="14" t="s">
        <v>28762</v>
      </c>
      <c r="B14623" s="15" t="s">
        <v>28763</v>
      </c>
      <c r="C14623" s="16">
        <f>104.12/(1+B2)</f>
        <v>104.12</v>
      </c>
      <c r="D14623" s="17" t="s">
        <v>11</v>
      </c>
      <c r="E14623" s="17"/>
      <c r="F14623" s="18"/>
      <c r="G14623" s="36" t="str">
        <f>IF(ISNUMBER(F14623),C14623*F14623,"")</f>
        <v/>
      </c>
    </row>
    <row r="14624" spans="1:7" ht="12" customHeight="1" outlineLevel="2" x14ac:dyDescent="0.2">
      <c r="A14624" s="14" t="s">
        <v>28764</v>
      </c>
      <c r="B14624" s="15" t="s">
        <v>28765</v>
      </c>
      <c r="C14624" s="16">
        <f>136.16/(1+B2)</f>
        <v>136.16</v>
      </c>
      <c r="D14624" s="17" t="s">
        <v>53</v>
      </c>
      <c r="E14624" s="17" t="s">
        <v>106</v>
      </c>
      <c r="F14624" s="18"/>
      <c r="G14624" s="36" t="str">
        <f>IF(ISNUMBER(F14624),C14624*F14624,"")</f>
        <v/>
      </c>
    </row>
    <row r="14625" spans="1:7" ht="12" customHeight="1" outlineLevel="2" x14ac:dyDescent="0.2">
      <c r="A14625" s="14" t="s">
        <v>28766</v>
      </c>
      <c r="B14625" s="15" t="s">
        <v>28767</v>
      </c>
      <c r="C14625" s="16">
        <f>235.85/(1+B2)</f>
        <v>235.85</v>
      </c>
      <c r="D14625" s="17" t="s">
        <v>11</v>
      </c>
      <c r="E14625" s="17"/>
      <c r="F14625" s="18"/>
      <c r="G14625" s="36" t="str">
        <f>IF(ISNUMBER(F14625),C14625*F14625,"")</f>
        <v/>
      </c>
    </row>
    <row r="14626" spans="1:7" ht="12" customHeight="1" outlineLevel="2" x14ac:dyDescent="0.2">
      <c r="A14626" s="14" t="s">
        <v>28768</v>
      </c>
      <c r="B14626" s="15" t="s">
        <v>28769</v>
      </c>
      <c r="C14626" s="16">
        <f>235.85/(1+B2)</f>
        <v>235.85</v>
      </c>
      <c r="D14626" s="17" t="s">
        <v>11</v>
      </c>
      <c r="E14626" s="17"/>
      <c r="F14626" s="18"/>
      <c r="G14626" s="36" t="str">
        <f>IF(ISNUMBER(F14626),C14626*F14626,"")</f>
        <v/>
      </c>
    </row>
    <row r="14627" spans="1:7" ht="12" customHeight="1" outlineLevel="2" x14ac:dyDescent="0.2">
      <c r="A14627" s="14" t="s">
        <v>28770</v>
      </c>
      <c r="B14627" s="15" t="s">
        <v>28771</v>
      </c>
      <c r="C14627" s="16">
        <f>358.56/(1+B2)</f>
        <v>358.56</v>
      </c>
      <c r="D14627" s="17" t="s">
        <v>11</v>
      </c>
      <c r="E14627" s="17"/>
      <c r="F14627" s="18"/>
      <c r="G14627" s="36" t="str">
        <f>IF(ISNUMBER(F14627),C14627*F14627,"")</f>
        <v/>
      </c>
    </row>
    <row r="14628" spans="1:7" ht="12" customHeight="1" outlineLevel="2" x14ac:dyDescent="0.2">
      <c r="A14628" s="14" t="s">
        <v>28772</v>
      </c>
      <c r="B14628" s="15" t="s">
        <v>28773</v>
      </c>
      <c r="C14628" s="16">
        <f>92.21/(1+B2)</f>
        <v>92.21</v>
      </c>
      <c r="D14628" s="17" t="s">
        <v>11</v>
      </c>
      <c r="E14628" s="17" t="s">
        <v>106</v>
      </c>
      <c r="F14628" s="18"/>
      <c r="G14628" s="36" t="str">
        <f>IF(ISNUMBER(F14628),C14628*F14628,"")</f>
        <v/>
      </c>
    </row>
    <row r="14629" spans="1:7" ht="12" customHeight="1" outlineLevel="2" x14ac:dyDescent="0.2">
      <c r="A14629" s="14" t="s">
        <v>28774</v>
      </c>
      <c r="B14629" s="15" t="s">
        <v>28775</v>
      </c>
      <c r="C14629" s="16">
        <f>113.83/(1+B2)</f>
        <v>113.83</v>
      </c>
      <c r="D14629" s="17" t="s">
        <v>11</v>
      </c>
      <c r="E14629" s="17"/>
      <c r="F14629" s="18"/>
      <c r="G14629" s="36" t="str">
        <f>IF(ISNUMBER(F14629),C14629*F14629,"")</f>
        <v/>
      </c>
    </row>
    <row r="14630" spans="1:7" ht="12" customHeight="1" outlineLevel="2" x14ac:dyDescent="0.2">
      <c r="A14630" s="14" t="s">
        <v>28776</v>
      </c>
      <c r="B14630" s="15" t="s">
        <v>28777</v>
      </c>
      <c r="C14630" s="16">
        <f>137.52/(1+B2)</f>
        <v>137.52000000000001</v>
      </c>
      <c r="D14630" s="17" t="s">
        <v>11</v>
      </c>
      <c r="E14630" s="17"/>
      <c r="F14630" s="18"/>
      <c r="G14630" s="36" t="str">
        <f>IF(ISNUMBER(F14630),C14630*F14630,"")</f>
        <v/>
      </c>
    </row>
    <row r="14631" spans="1:7" ht="12" customHeight="1" outlineLevel="2" x14ac:dyDescent="0.2">
      <c r="A14631" s="14" t="s">
        <v>28778</v>
      </c>
      <c r="B14631" s="15" t="s">
        <v>28779</v>
      </c>
      <c r="C14631" s="16">
        <f>140.7/(1+B2)</f>
        <v>140.69999999999999</v>
      </c>
      <c r="D14631" s="17" t="s">
        <v>11</v>
      </c>
      <c r="E14631" s="17"/>
      <c r="F14631" s="18"/>
      <c r="G14631" s="36" t="str">
        <f>IF(ISNUMBER(F14631),C14631*F14631,"")</f>
        <v/>
      </c>
    </row>
    <row r="14632" spans="1:7" ht="12" customHeight="1" outlineLevel="2" x14ac:dyDescent="0.2">
      <c r="A14632" s="14" t="s">
        <v>28780</v>
      </c>
      <c r="B14632" s="15" t="s">
        <v>28781</v>
      </c>
      <c r="C14632" s="16">
        <f>274.62/(1+B2)</f>
        <v>274.62</v>
      </c>
      <c r="D14632" s="17" t="s">
        <v>11</v>
      </c>
      <c r="E14632" s="17"/>
      <c r="F14632" s="18"/>
      <c r="G14632" s="36" t="str">
        <f>IF(ISNUMBER(F14632),C14632*F14632,"")</f>
        <v/>
      </c>
    </row>
    <row r="14633" spans="1:7" ht="12" customHeight="1" outlineLevel="2" x14ac:dyDescent="0.2">
      <c r="A14633" s="14" t="s">
        <v>28782</v>
      </c>
      <c r="B14633" s="15" t="s">
        <v>28783</v>
      </c>
      <c r="C14633" s="16">
        <f>201.5/(1+B2)</f>
        <v>201.5</v>
      </c>
      <c r="D14633" s="17" t="s">
        <v>11</v>
      </c>
      <c r="E14633" s="17"/>
      <c r="F14633" s="18"/>
      <c r="G14633" s="36" t="str">
        <f>IF(ISNUMBER(F14633),C14633*F14633,"")</f>
        <v/>
      </c>
    </row>
    <row r="14634" spans="1:7" ht="12" customHeight="1" outlineLevel="2" x14ac:dyDescent="0.2">
      <c r="A14634" s="14" t="s">
        <v>28784</v>
      </c>
      <c r="B14634" s="15" t="s">
        <v>28785</v>
      </c>
      <c r="C14634" s="16">
        <f>115.51/(1+B2)</f>
        <v>115.51</v>
      </c>
      <c r="D14634" s="17" t="s">
        <v>14</v>
      </c>
      <c r="E14634" s="17"/>
      <c r="F14634" s="18"/>
      <c r="G14634" s="36" t="str">
        <f>IF(ISNUMBER(F14634),C14634*F14634,"")</f>
        <v/>
      </c>
    </row>
    <row r="14635" spans="1:7" ht="12" customHeight="1" outlineLevel="2" x14ac:dyDescent="0.2">
      <c r="A14635" s="14" t="s">
        <v>28786</v>
      </c>
      <c r="B14635" s="15" t="s">
        <v>28787</v>
      </c>
      <c r="C14635" s="16">
        <f>159.05/(1+B2)</f>
        <v>159.05000000000001</v>
      </c>
      <c r="D14635" s="17" t="s">
        <v>14</v>
      </c>
      <c r="E14635" s="17"/>
      <c r="F14635" s="18"/>
      <c r="G14635" s="36" t="str">
        <f>IF(ISNUMBER(F14635),C14635*F14635,"")</f>
        <v/>
      </c>
    </row>
    <row r="14636" spans="1:7" ht="12" customHeight="1" outlineLevel="2" x14ac:dyDescent="0.2">
      <c r="A14636" s="14" t="s">
        <v>28788</v>
      </c>
      <c r="B14636" s="15" t="s">
        <v>28789</v>
      </c>
      <c r="C14636" s="16">
        <f>242.54/(1+B2)</f>
        <v>242.54</v>
      </c>
      <c r="D14636" s="17" t="s">
        <v>11</v>
      </c>
      <c r="E14636" s="17"/>
      <c r="F14636" s="18"/>
      <c r="G14636" s="36" t="str">
        <f>IF(ISNUMBER(F14636),C14636*F14636,"")</f>
        <v/>
      </c>
    </row>
    <row r="14637" spans="1:7" ht="12" customHeight="1" outlineLevel="2" x14ac:dyDescent="0.2">
      <c r="A14637" s="14" t="s">
        <v>28790</v>
      </c>
      <c r="B14637" s="15" t="s">
        <v>28791</v>
      </c>
      <c r="C14637" s="16">
        <f>282.41/(1+B2)</f>
        <v>282.41000000000003</v>
      </c>
      <c r="D14637" s="17" t="s">
        <v>11</v>
      </c>
      <c r="E14637" s="17"/>
      <c r="F14637" s="18"/>
      <c r="G14637" s="36" t="str">
        <f>IF(ISNUMBER(F14637),C14637*F14637,"")</f>
        <v/>
      </c>
    </row>
    <row r="14638" spans="1:7" ht="12" customHeight="1" outlineLevel="2" x14ac:dyDescent="0.2">
      <c r="A14638" s="14" t="s">
        <v>28792</v>
      </c>
      <c r="B14638" s="15" t="s">
        <v>28793</v>
      </c>
      <c r="C14638" s="16">
        <f>152.75/(1+B2)</f>
        <v>152.75</v>
      </c>
      <c r="D14638" s="17" t="s">
        <v>14</v>
      </c>
      <c r="E14638" s="17"/>
      <c r="F14638" s="18"/>
      <c r="G14638" s="36" t="str">
        <f>IF(ISNUMBER(F14638),C14638*F14638,"")</f>
        <v/>
      </c>
    </row>
    <row r="14639" spans="1:7" ht="12" customHeight="1" outlineLevel="2" x14ac:dyDescent="0.2">
      <c r="A14639" s="14" t="s">
        <v>28794</v>
      </c>
      <c r="B14639" s="15" t="s">
        <v>28795</v>
      </c>
      <c r="C14639" s="16">
        <f>182.48/(1+B2)</f>
        <v>182.48</v>
      </c>
      <c r="D14639" s="17" t="s">
        <v>11</v>
      </c>
      <c r="E14639" s="17"/>
      <c r="F14639" s="18"/>
      <c r="G14639" s="36" t="str">
        <f>IF(ISNUMBER(F14639),C14639*F14639,"")</f>
        <v/>
      </c>
    </row>
    <row r="14640" spans="1:7" ht="12" customHeight="1" outlineLevel="2" x14ac:dyDescent="0.2">
      <c r="A14640" s="14" t="s">
        <v>28796</v>
      </c>
      <c r="B14640" s="15" t="s">
        <v>28797</v>
      </c>
      <c r="C14640" s="16">
        <f>244.39/(1+B2)</f>
        <v>244.39</v>
      </c>
      <c r="D14640" s="17" t="s">
        <v>11</v>
      </c>
      <c r="E14640" s="17"/>
      <c r="F14640" s="18"/>
      <c r="G14640" s="36" t="str">
        <f>IF(ISNUMBER(F14640),C14640*F14640,"")</f>
        <v/>
      </c>
    </row>
    <row r="14641" spans="1:7" ht="12" customHeight="1" outlineLevel="2" x14ac:dyDescent="0.2">
      <c r="A14641" s="14" t="s">
        <v>28798</v>
      </c>
      <c r="B14641" s="15" t="s">
        <v>28799</v>
      </c>
      <c r="C14641" s="16">
        <f>280.43/(1+B2)</f>
        <v>280.43</v>
      </c>
      <c r="D14641" s="17" t="s">
        <v>11</v>
      </c>
      <c r="E14641" s="17"/>
      <c r="F14641" s="18"/>
      <c r="G14641" s="36" t="str">
        <f>IF(ISNUMBER(F14641),C14641*F14641,"")</f>
        <v/>
      </c>
    </row>
    <row r="14642" spans="1:7" ht="12" customHeight="1" outlineLevel="2" x14ac:dyDescent="0.2">
      <c r="A14642" s="14" t="s">
        <v>28800</v>
      </c>
      <c r="B14642" s="15" t="s">
        <v>28801</v>
      </c>
      <c r="C14642" s="16">
        <f>121.3/(1+B2)</f>
        <v>121.3</v>
      </c>
      <c r="D14642" s="17" t="s">
        <v>11</v>
      </c>
      <c r="E14642" s="17"/>
      <c r="F14642" s="18"/>
      <c r="G14642" s="36" t="str">
        <f>IF(ISNUMBER(F14642),C14642*F14642,"")</f>
        <v/>
      </c>
    </row>
    <row r="14643" spans="1:7" ht="12" customHeight="1" outlineLevel="2" x14ac:dyDescent="0.2">
      <c r="A14643" s="14" t="s">
        <v>28802</v>
      </c>
      <c r="B14643" s="15" t="s">
        <v>28803</v>
      </c>
      <c r="C14643" s="16">
        <f>132.63/(1+B2)</f>
        <v>132.63</v>
      </c>
      <c r="D14643" s="17" t="s">
        <v>11</v>
      </c>
      <c r="E14643" s="17"/>
      <c r="F14643" s="18"/>
      <c r="G14643" s="36" t="str">
        <f>IF(ISNUMBER(F14643),C14643*F14643,"")</f>
        <v/>
      </c>
    </row>
    <row r="14644" spans="1:7" ht="12" customHeight="1" outlineLevel="2" x14ac:dyDescent="0.2">
      <c r="A14644" s="14" t="s">
        <v>28804</v>
      </c>
      <c r="B14644" s="15" t="s">
        <v>28805</v>
      </c>
      <c r="C14644" s="16">
        <f>175.12/(1+B2)</f>
        <v>175.12</v>
      </c>
      <c r="D14644" s="17" t="s">
        <v>11</v>
      </c>
      <c r="E14644" s="17"/>
      <c r="F14644" s="18"/>
      <c r="G14644" s="36" t="str">
        <f>IF(ISNUMBER(F14644),C14644*F14644,"")</f>
        <v/>
      </c>
    </row>
    <row r="14645" spans="1:7" ht="12" customHeight="1" outlineLevel="2" x14ac:dyDescent="0.2">
      <c r="A14645" s="14" t="s">
        <v>28806</v>
      </c>
      <c r="B14645" s="15" t="s">
        <v>28807</v>
      </c>
      <c r="C14645" s="16">
        <f>244.74/(1+B2)</f>
        <v>244.74</v>
      </c>
      <c r="D14645" s="17" t="s">
        <v>14</v>
      </c>
      <c r="E14645" s="17"/>
      <c r="F14645" s="18"/>
      <c r="G14645" s="36" t="str">
        <f>IF(ISNUMBER(F14645),C14645*F14645,"")</f>
        <v/>
      </c>
    </row>
    <row r="14646" spans="1:7" ht="12" customHeight="1" outlineLevel="2" x14ac:dyDescent="0.2">
      <c r="A14646" s="14" t="s">
        <v>28808</v>
      </c>
      <c r="B14646" s="15" t="s">
        <v>28809</v>
      </c>
      <c r="C14646" s="16">
        <f>29.34/(1+B2)</f>
        <v>29.34</v>
      </c>
      <c r="D14646" s="17" t="s">
        <v>11</v>
      </c>
      <c r="E14646" s="17"/>
      <c r="F14646" s="18"/>
      <c r="G14646" s="36" t="str">
        <f>IF(ISNUMBER(F14646),C14646*F14646,"")</f>
        <v/>
      </c>
    </row>
    <row r="14647" spans="1:7" s="1" customFormat="1" ht="15.95" customHeight="1" outlineLevel="1" x14ac:dyDescent="0.25">
      <c r="A14647" s="11"/>
      <c r="B14647" s="12" t="s">
        <v>28810</v>
      </c>
      <c r="C14647" s="13"/>
      <c r="D14647" s="13"/>
      <c r="E14647" s="13"/>
      <c r="F14647" s="13"/>
      <c r="G14647" s="35"/>
    </row>
    <row r="14648" spans="1:7" ht="12" customHeight="1" outlineLevel="2" x14ac:dyDescent="0.2">
      <c r="A14648" s="14" t="s">
        <v>28811</v>
      </c>
      <c r="B14648" s="15" t="s">
        <v>28812</v>
      </c>
      <c r="C14648" s="19">
        <f>2930.98/(1+B2)</f>
        <v>2930.98</v>
      </c>
      <c r="D14648" s="17" t="s">
        <v>11</v>
      </c>
      <c r="E14648" s="17" t="s">
        <v>11</v>
      </c>
      <c r="F14648" s="18"/>
      <c r="G14648" s="36" t="str">
        <f>IF(ISNUMBER(F14648),C14648*F14648,"")</f>
        <v/>
      </c>
    </row>
    <row r="14649" spans="1:7" ht="12" customHeight="1" outlineLevel="2" x14ac:dyDescent="0.2">
      <c r="A14649" s="14" t="s">
        <v>28813</v>
      </c>
      <c r="B14649" s="15" t="s">
        <v>28814</v>
      </c>
      <c r="C14649" s="19">
        <f>4939.45/(1+B2)</f>
        <v>4939.45</v>
      </c>
      <c r="D14649" s="17" t="s">
        <v>11</v>
      </c>
      <c r="E14649" s="17" t="s">
        <v>11</v>
      </c>
      <c r="F14649" s="18"/>
      <c r="G14649" s="36" t="str">
        <f>IF(ISNUMBER(F14649),C14649*F14649,"")</f>
        <v/>
      </c>
    </row>
    <row r="14650" spans="1:7" ht="12" customHeight="1" outlineLevel="2" x14ac:dyDescent="0.2">
      <c r="A14650" s="14" t="s">
        <v>28815</v>
      </c>
      <c r="B14650" s="15" t="s">
        <v>28816</v>
      </c>
      <c r="C14650" s="19">
        <f>3932.03/(1+B2)</f>
        <v>3932.03</v>
      </c>
      <c r="D14650" s="17" t="s">
        <v>11</v>
      </c>
      <c r="E14650" s="17" t="s">
        <v>11</v>
      </c>
      <c r="F14650" s="18"/>
      <c r="G14650" s="36" t="str">
        <f>IF(ISNUMBER(F14650),C14650*F14650,"")</f>
        <v/>
      </c>
    </row>
    <row r="14651" spans="1:7" ht="12" customHeight="1" outlineLevel="2" x14ac:dyDescent="0.2">
      <c r="A14651" s="14" t="s">
        <v>28817</v>
      </c>
      <c r="B14651" s="15" t="s">
        <v>28818</v>
      </c>
      <c r="C14651" s="19">
        <f>4631.64/(1+B2)</f>
        <v>4631.6400000000003</v>
      </c>
      <c r="D14651" s="17" t="s">
        <v>11</v>
      </c>
      <c r="E14651" s="17"/>
      <c r="F14651" s="18"/>
      <c r="G14651" s="36" t="str">
        <f>IF(ISNUMBER(F14651),C14651*F14651,"")</f>
        <v/>
      </c>
    </row>
    <row r="14652" spans="1:7" ht="12" customHeight="1" outlineLevel="2" x14ac:dyDescent="0.2">
      <c r="A14652" s="14" t="s">
        <v>28819</v>
      </c>
      <c r="B14652" s="15" t="s">
        <v>28820</v>
      </c>
      <c r="C14652" s="19">
        <f>3791.95/(1+B2)</f>
        <v>3791.95</v>
      </c>
      <c r="D14652" s="17" t="s">
        <v>11</v>
      </c>
      <c r="E14652" s="17"/>
      <c r="F14652" s="18"/>
      <c r="G14652" s="36" t="str">
        <f>IF(ISNUMBER(F14652),C14652*F14652,"")</f>
        <v/>
      </c>
    </row>
    <row r="14653" spans="1:7" ht="12" customHeight="1" outlineLevel="2" x14ac:dyDescent="0.2">
      <c r="A14653" s="14" t="s">
        <v>28821</v>
      </c>
      <c r="B14653" s="15" t="s">
        <v>28822</v>
      </c>
      <c r="C14653" s="19">
        <f>7632.9/(1+B2)</f>
        <v>7632.9</v>
      </c>
      <c r="D14653" s="17" t="s">
        <v>11</v>
      </c>
      <c r="E14653" s="17"/>
      <c r="F14653" s="18"/>
      <c r="G14653" s="36" t="str">
        <f>IF(ISNUMBER(F14653),C14653*F14653,"")</f>
        <v/>
      </c>
    </row>
    <row r="14654" spans="1:7" ht="12" customHeight="1" outlineLevel="2" x14ac:dyDescent="0.2">
      <c r="A14654" s="14" t="s">
        <v>28823</v>
      </c>
      <c r="B14654" s="15" t="s">
        <v>28824</v>
      </c>
      <c r="C14654" s="19">
        <f>1532.3/(1+B2)</f>
        <v>1532.3</v>
      </c>
      <c r="D14654" s="17" t="s">
        <v>11</v>
      </c>
      <c r="E14654" s="17"/>
      <c r="F14654" s="18"/>
      <c r="G14654" s="36" t="str">
        <f>IF(ISNUMBER(F14654),C14654*F14654,"")</f>
        <v/>
      </c>
    </row>
    <row r="14655" spans="1:7" ht="24" customHeight="1" outlineLevel="2" x14ac:dyDescent="0.2">
      <c r="A14655" s="14" t="s">
        <v>28825</v>
      </c>
      <c r="B14655" s="15" t="s">
        <v>28826</v>
      </c>
      <c r="C14655" s="19">
        <f>1526.56/(1+B2)</f>
        <v>1526.56</v>
      </c>
      <c r="D14655" s="17" t="s">
        <v>11</v>
      </c>
      <c r="E14655" s="17"/>
      <c r="F14655" s="18"/>
      <c r="G14655" s="36" t="str">
        <f>IF(ISNUMBER(F14655),C14655*F14655,"")</f>
        <v/>
      </c>
    </row>
    <row r="14656" spans="1:7" ht="12" customHeight="1" outlineLevel="2" x14ac:dyDescent="0.2">
      <c r="A14656" s="14" t="s">
        <v>28827</v>
      </c>
      <c r="B14656" s="15" t="s">
        <v>28828</v>
      </c>
      <c r="C14656" s="19">
        <f>1558.76/(1+B2)</f>
        <v>1558.76</v>
      </c>
      <c r="D14656" s="17" t="s">
        <v>11</v>
      </c>
      <c r="E14656" s="17"/>
      <c r="F14656" s="18"/>
      <c r="G14656" s="36" t="str">
        <f>IF(ISNUMBER(F14656),C14656*F14656,"")</f>
        <v/>
      </c>
    </row>
    <row r="14657" spans="1:7" ht="12" customHeight="1" outlineLevel="2" x14ac:dyDescent="0.2">
      <c r="A14657" s="14" t="s">
        <v>28829</v>
      </c>
      <c r="B14657" s="15" t="s">
        <v>28830</v>
      </c>
      <c r="C14657" s="19">
        <f>9899.67/(1+B2)</f>
        <v>9899.67</v>
      </c>
      <c r="D14657" s="17" t="s">
        <v>11</v>
      </c>
      <c r="E14657" s="17"/>
      <c r="F14657" s="18"/>
      <c r="G14657" s="36" t="str">
        <f>IF(ISNUMBER(F14657),C14657*F14657,"")</f>
        <v/>
      </c>
    </row>
    <row r="14658" spans="1:7" ht="12" customHeight="1" outlineLevel="2" x14ac:dyDescent="0.2">
      <c r="A14658" s="14" t="s">
        <v>28831</v>
      </c>
      <c r="B14658" s="15" t="s">
        <v>28832</v>
      </c>
      <c r="C14658" s="19">
        <f>1738.34/(1+B2)</f>
        <v>1738.34</v>
      </c>
      <c r="D14658" s="17" t="s">
        <v>11</v>
      </c>
      <c r="E14658" s="17" t="s">
        <v>11</v>
      </c>
      <c r="F14658" s="18"/>
      <c r="G14658" s="36" t="str">
        <f>IF(ISNUMBER(F14658),C14658*F14658,"")</f>
        <v/>
      </c>
    </row>
    <row r="14659" spans="1:7" ht="12" customHeight="1" outlineLevel="2" x14ac:dyDescent="0.2">
      <c r="A14659" s="14" t="s">
        <v>28833</v>
      </c>
      <c r="B14659" s="15" t="s">
        <v>28834</v>
      </c>
      <c r="C14659" s="19">
        <f>2259.6/(1+B2)</f>
        <v>2259.6</v>
      </c>
      <c r="D14659" s="17" t="s">
        <v>11</v>
      </c>
      <c r="E14659" s="17"/>
      <c r="F14659" s="18"/>
      <c r="G14659" s="36" t="str">
        <f>IF(ISNUMBER(F14659),C14659*F14659,"")</f>
        <v/>
      </c>
    </row>
    <row r="14660" spans="1:7" ht="12" customHeight="1" outlineLevel="2" x14ac:dyDescent="0.2">
      <c r="A14660" s="14" t="s">
        <v>28835</v>
      </c>
      <c r="B14660" s="15" t="s">
        <v>28836</v>
      </c>
      <c r="C14660" s="19">
        <f>1882.27/(1+B2)</f>
        <v>1882.27</v>
      </c>
      <c r="D14660" s="17" t="s">
        <v>11</v>
      </c>
      <c r="E14660" s="17"/>
      <c r="F14660" s="18"/>
      <c r="G14660" s="36" t="str">
        <f>IF(ISNUMBER(F14660),C14660*F14660,"")</f>
        <v/>
      </c>
    </row>
    <row r="14661" spans="1:7" ht="12" customHeight="1" outlineLevel="2" x14ac:dyDescent="0.2">
      <c r="A14661" s="14" t="s">
        <v>28837</v>
      </c>
      <c r="B14661" s="15" t="s">
        <v>28838</v>
      </c>
      <c r="C14661" s="19">
        <f>1825.09/(1+B2)</f>
        <v>1825.09</v>
      </c>
      <c r="D14661" s="17" t="s">
        <v>11</v>
      </c>
      <c r="E14661" s="17" t="s">
        <v>11</v>
      </c>
      <c r="F14661" s="18"/>
      <c r="G14661" s="36" t="str">
        <f>IF(ISNUMBER(F14661),C14661*F14661,"")</f>
        <v/>
      </c>
    </row>
    <row r="14662" spans="1:7" ht="24" customHeight="1" outlineLevel="2" x14ac:dyDescent="0.2">
      <c r="A14662" s="14" t="s">
        <v>28839</v>
      </c>
      <c r="B14662" s="15" t="s">
        <v>28840</v>
      </c>
      <c r="C14662" s="19">
        <f>1608.92/(1+B2)</f>
        <v>1608.92</v>
      </c>
      <c r="D14662" s="17" t="s">
        <v>11</v>
      </c>
      <c r="E14662" s="17"/>
      <c r="F14662" s="18"/>
      <c r="G14662" s="36" t="str">
        <f>IF(ISNUMBER(F14662),C14662*F14662,"")</f>
        <v/>
      </c>
    </row>
    <row r="14663" spans="1:7" ht="12" customHeight="1" outlineLevel="2" x14ac:dyDescent="0.2">
      <c r="A14663" s="14" t="s">
        <v>28841</v>
      </c>
      <c r="B14663" s="15" t="s">
        <v>28842</v>
      </c>
      <c r="C14663" s="19">
        <f>2070.19/(1+B2)</f>
        <v>2070.19</v>
      </c>
      <c r="D14663" s="17" t="s">
        <v>11</v>
      </c>
      <c r="E14663" s="17"/>
      <c r="F14663" s="18"/>
      <c r="G14663" s="36" t="str">
        <f>IF(ISNUMBER(F14663),C14663*F14663,"")</f>
        <v/>
      </c>
    </row>
    <row r="14664" spans="1:7" ht="12" customHeight="1" outlineLevel="2" x14ac:dyDescent="0.2">
      <c r="A14664" s="14" t="s">
        <v>28843</v>
      </c>
      <c r="B14664" s="15" t="s">
        <v>28844</v>
      </c>
      <c r="C14664" s="19">
        <f>2235.44/(1+B2)</f>
        <v>2235.44</v>
      </c>
      <c r="D14664" s="17" t="s">
        <v>11</v>
      </c>
      <c r="E14664" s="17"/>
      <c r="F14664" s="18"/>
      <c r="G14664" s="36" t="str">
        <f>IF(ISNUMBER(F14664),C14664*F14664,"")</f>
        <v/>
      </c>
    </row>
    <row r="14665" spans="1:7" ht="24" customHeight="1" outlineLevel="2" x14ac:dyDescent="0.2">
      <c r="A14665" s="14" t="s">
        <v>28845</v>
      </c>
      <c r="B14665" s="15" t="s">
        <v>28846</v>
      </c>
      <c r="C14665" s="19">
        <f>1850.36/(1+B2)</f>
        <v>1850.36</v>
      </c>
      <c r="D14665" s="17" t="s">
        <v>11</v>
      </c>
      <c r="E14665" s="17"/>
      <c r="F14665" s="18"/>
      <c r="G14665" s="36" t="str">
        <f>IF(ISNUMBER(F14665),C14665*F14665,"")</f>
        <v/>
      </c>
    </row>
    <row r="14666" spans="1:7" ht="12" customHeight="1" outlineLevel="2" x14ac:dyDescent="0.2">
      <c r="A14666" s="14" t="s">
        <v>28847</v>
      </c>
      <c r="B14666" s="15" t="s">
        <v>28848</v>
      </c>
      <c r="C14666" s="19">
        <f>2433.26/(1+B2)</f>
        <v>2433.2600000000002</v>
      </c>
      <c r="D14666" s="17" t="s">
        <v>11</v>
      </c>
      <c r="E14666" s="17" t="s">
        <v>11</v>
      </c>
      <c r="F14666" s="18"/>
      <c r="G14666" s="36" t="str">
        <f>IF(ISNUMBER(F14666),C14666*F14666,"")</f>
        <v/>
      </c>
    </row>
    <row r="14667" spans="1:7" ht="12" customHeight="1" outlineLevel="2" x14ac:dyDescent="0.2">
      <c r="A14667" s="14" t="s">
        <v>28849</v>
      </c>
      <c r="B14667" s="15" t="s">
        <v>28850</v>
      </c>
      <c r="C14667" s="19">
        <f>3470.96/(1+B2)</f>
        <v>3470.96</v>
      </c>
      <c r="D14667" s="17" t="s">
        <v>11</v>
      </c>
      <c r="E14667" s="17"/>
      <c r="F14667" s="18"/>
      <c r="G14667" s="36" t="str">
        <f>IF(ISNUMBER(F14667),C14667*F14667,"")</f>
        <v/>
      </c>
    </row>
    <row r="14668" spans="1:7" ht="12" customHeight="1" outlineLevel="2" x14ac:dyDescent="0.2">
      <c r="A14668" s="14" t="s">
        <v>28851</v>
      </c>
      <c r="B14668" s="15" t="s">
        <v>28852</v>
      </c>
      <c r="C14668" s="19">
        <f>2007.79/(1+B2)</f>
        <v>2007.79</v>
      </c>
      <c r="D14668" s="17" t="s">
        <v>11</v>
      </c>
      <c r="E14668" s="17"/>
      <c r="F14668" s="18"/>
      <c r="G14668" s="36" t="str">
        <f>IF(ISNUMBER(F14668),C14668*F14668,"")</f>
        <v/>
      </c>
    </row>
    <row r="14669" spans="1:7" ht="24" customHeight="1" outlineLevel="2" x14ac:dyDescent="0.2">
      <c r="A14669" s="14" t="s">
        <v>28853</v>
      </c>
      <c r="B14669" s="15" t="s">
        <v>28854</v>
      </c>
      <c r="C14669" s="19">
        <f>1884.2/(1+B2)</f>
        <v>1884.2</v>
      </c>
      <c r="D14669" s="17" t="s">
        <v>11</v>
      </c>
      <c r="E14669" s="17"/>
      <c r="F14669" s="18"/>
      <c r="G14669" s="36" t="str">
        <f>IF(ISNUMBER(F14669),C14669*F14669,"")</f>
        <v/>
      </c>
    </row>
    <row r="14670" spans="1:7" ht="12" customHeight="1" outlineLevel="2" x14ac:dyDescent="0.2">
      <c r="A14670" s="14" t="s">
        <v>28855</v>
      </c>
      <c r="B14670" s="15" t="s">
        <v>28856</v>
      </c>
      <c r="C14670" s="19">
        <f>2156.2/(1+B2)</f>
        <v>2156.1999999999998</v>
      </c>
      <c r="D14670" s="17" t="s">
        <v>11</v>
      </c>
      <c r="E14670" s="17"/>
      <c r="F14670" s="18"/>
      <c r="G14670" s="36" t="str">
        <f>IF(ISNUMBER(F14670),C14670*F14670,"")</f>
        <v/>
      </c>
    </row>
    <row r="14671" spans="1:7" ht="24" customHeight="1" outlineLevel="2" x14ac:dyDescent="0.2">
      <c r="A14671" s="14" t="s">
        <v>28857</v>
      </c>
      <c r="B14671" s="15" t="s">
        <v>28858</v>
      </c>
      <c r="C14671" s="19">
        <f>4474.01/(1+B2)</f>
        <v>4474.01</v>
      </c>
      <c r="D14671" s="17" t="s">
        <v>11</v>
      </c>
      <c r="E14671" s="17"/>
      <c r="F14671" s="18"/>
      <c r="G14671" s="36" t="str">
        <f>IF(ISNUMBER(F14671),C14671*F14671,"")</f>
        <v/>
      </c>
    </row>
    <row r="14672" spans="1:7" ht="24" customHeight="1" outlineLevel="2" x14ac:dyDescent="0.2">
      <c r="A14672" s="14" t="s">
        <v>28859</v>
      </c>
      <c r="B14672" s="15" t="s">
        <v>28860</v>
      </c>
      <c r="C14672" s="19">
        <f>1235.79/(1+B2)</f>
        <v>1235.79</v>
      </c>
      <c r="D14672" s="17" t="s">
        <v>11</v>
      </c>
      <c r="E14672" s="17"/>
      <c r="F14672" s="18"/>
      <c r="G14672" s="36" t="str">
        <f>IF(ISNUMBER(F14672),C14672*F14672,"")</f>
        <v/>
      </c>
    </row>
    <row r="14673" spans="1:7" ht="12" customHeight="1" outlineLevel="2" x14ac:dyDescent="0.2">
      <c r="A14673" s="14" t="s">
        <v>28861</v>
      </c>
      <c r="B14673" s="15" t="s">
        <v>28862</v>
      </c>
      <c r="C14673" s="19">
        <f>2905.38/(1+B2)</f>
        <v>2905.38</v>
      </c>
      <c r="D14673" s="17" t="s">
        <v>11</v>
      </c>
      <c r="E14673" s="17"/>
      <c r="F14673" s="18"/>
      <c r="G14673" s="36" t="str">
        <f>IF(ISNUMBER(F14673),C14673*F14673,"")</f>
        <v/>
      </c>
    </row>
    <row r="14674" spans="1:7" ht="12" customHeight="1" outlineLevel="2" x14ac:dyDescent="0.2">
      <c r="A14674" s="14" t="s">
        <v>28863</v>
      </c>
      <c r="B14674" s="15" t="s">
        <v>28864</v>
      </c>
      <c r="C14674" s="19">
        <f>3317.73/(1+B2)</f>
        <v>3317.73</v>
      </c>
      <c r="D14674" s="17" t="s">
        <v>11</v>
      </c>
      <c r="E14674" s="17"/>
      <c r="F14674" s="18"/>
      <c r="G14674" s="36" t="str">
        <f>IF(ISNUMBER(F14674),C14674*F14674,"")</f>
        <v/>
      </c>
    </row>
    <row r="14675" spans="1:7" ht="12" customHeight="1" outlineLevel="2" x14ac:dyDescent="0.2">
      <c r="A14675" s="14" t="s">
        <v>28865</v>
      </c>
      <c r="B14675" s="15" t="s">
        <v>28866</v>
      </c>
      <c r="C14675" s="19">
        <f>4082.85/(1+B2)</f>
        <v>4082.85</v>
      </c>
      <c r="D14675" s="17" t="s">
        <v>11</v>
      </c>
      <c r="E14675" s="17"/>
      <c r="F14675" s="18"/>
      <c r="G14675" s="36" t="str">
        <f>IF(ISNUMBER(F14675),C14675*F14675,"")</f>
        <v/>
      </c>
    </row>
    <row r="14676" spans="1:7" ht="12" customHeight="1" outlineLevel="2" x14ac:dyDescent="0.2">
      <c r="A14676" s="14" t="s">
        <v>28867</v>
      </c>
      <c r="B14676" s="15" t="s">
        <v>28868</v>
      </c>
      <c r="C14676" s="16">
        <f>972.92/(1+B2)</f>
        <v>972.92</v>
      </c>
      <c r="D14676" s="17" t="s">
        <v>11</v>
      </c>
      <c r="E14676" s="17"/>
      <c r="F14676" s="18"/>
      <c r="G14676" s="36" t="str">
        <f>IF(ISNUMBER(F14676),C14676*F14676,"")</f>
        <v/>
      </c>
    </row>
    <row r="14677" spans="1:7" ht="12" customHeight="1" outlineLevel="2" x14ac:dyDescent="0.2">
      <c r="A14677" s="14" t="s">
        <v>28869</v>
      </c>
      <c r="B14677" s="15" t="s">
        <v>28870</v>
      </c>
      <c r="C14677" s="19">
        <f>1766.85/(1+B2)</f>
        <v>1766.85</v>
      </c>
      <c r="D14677" s="17" t="s">
        <v>11</v>
      </c>
      <c r="E14677" s="17"/>
      <c r="F14677" s="18"/>
      <c r="G14677" s="36" t="str">
        <f>IF(ISNUMBER(F14677),C14677*F14677,"")</f>
        <v/>
      </c>
    </row>
    <row r="14678" spans="1:7" ht="12" customHeight="1" outlineLevel="2" x14ac:dyDescent="0.2">
      <c r="A14678" s="14" t="s">
        <v>28871</v>
      </c>
      <c r="B14678" s="15" t="s">
        <v>28872</v>
      </c>
      <c r="C14678" s="19">
        <f>2326.07/(1+B2)</f>
        <v>2326.0700000000002</v>
      </c>
      <c r="D14678" s="17" t="s">
        <v>11</v>
      </c>
      <c r="E14678" s="17"/>
      <c r="F14678" s="18"/>
      <c r="G14678" s="36" t="str">
        <f>IF(ISNUMBER(F14678),C14678*F14678,"")</f>
        <v/>
      </c>
    </row>
    <row r="14679" spans="1:7" ht="12" customHeight="1" outlineLevel="2" x14ac:dyDescent="0.2">
      <c r="A14679" s="14" t="s">
        <v>28873</v>
      </c>
      <c r="B14679" s="15" t="s">
        <v>28874</v>
      </c>
      <c r="C14679" s="19">
        <f>4513.99/(1+B2)</f>
        <v>4513.99</v>
      </c>
      <c r="D14679" s="17" t="s">
        <v>11</v>
      </c>
      <c r="E14679" s="17"/>
      <c r="F14679" s="18"/>
      <c r="G14679" s="36" t="str">
        <f>IF(ISNUMBER(F14679),C14679*F14679,"")</f>
        <v/>
      </c>
    </row>
    <row r="14680" spans="1:7" ht="12" customHeight="1" outlineLevel="2" x14ac:dyDescent="0.2">
      <c r="A14680" s="14" t="s">
        <v>28875</v>
      </c>
      <c r="B14680" s="15" t="s">
        <v>28876</v>
      </c>
      <c r="C14680" s="19">
        <f>7548.15/(1+B2)</f>
        <v>7548.15</v>
      </c>
      <c r="D14680" s="17" t="s">
        <v>11</v>
      </c>
      <c r="E14680" s="17"/>
      <c r="F14680" s="18"/>
      <c r="G14680" s="36" t="str">
        <f>IF(ISNUMBER(F14680),C14680*F14680,"")</f>
        <v/>
      </c>
    </row>
    <row r="14681" spans="1:7" ht="12" customHeight="1" outlineLevel="2" x14ac:dyDescent="0.2">
      <c r="A14681" s="14" t="s">
        <v>28877</v>
      </c>
      <c r="B14681" s="15" t="s">
        <v>28878</v>
      </c>
      <c r="C14681" s="19">
        <f>2745.57/(1+B2)</f>
        <v>2745.57</v>
      </c>
      <c r="D14681" s="17" t="s">
        <v>11</v>
      </c>
      <c r="E14681" s="17"/>
      <c r="F14681" s="18"/>
      <c r="G14681" s="36" t="str">
        <f>IF(ISNUMBER(F14681),C14681*F14681,"")</f>
        <v/>
      </c>
    </row>
    <row r="14682" spans="1:7" ht="12" customHeight="1" outlineLevel="2" x14ac:dyDescent="0.2">
      <c r="A14682" s="14" t="s">
        <v>28879</v>
      </c>
      <c r="B14682" s="15" t="s">
        <v>28880</v>
      </c>
      <c r="C14682" s="19">
        <f>4651.16/(1+B2)</f>
        <v>4651.16</v>
      </c>
      <c r="D14682" s="17" t="s">
        <v>11</v>
      </c>
      <c r="E14682" s="17"/>
      <c r="F14682" s="18"/>
      <c r="G14682" s="36" t="str">
        <f>IF(ISNUMBER(F14682),C14682*F14682,"")</f>
        <v/>
      </c>
    </row>
    <row r="14683" spans="1:7" ht="12" customHeight="1" outlineLevel="2" x14ac:dyDescent="0.2">
      <c r="A14683" s="14" t="s">
        <v>28881</v>
      </c>
      <c r="B14683" s="15" t="s">
        <v>28882</v>
      </c>
      <c r="C14683" s="19">
        <f>4111.56/(1+B2)</f>
        <v>4111.5600000000004</v>
      </c>
      <c r="D14683" s="17" t="s">
        <v>11</v>
      </c>
      <c r="E14683" s="17"/>
      <c r="F14683" s="18"/>
      <c r="G14683" s="36" t="str">
        <f>IF(ISNUMBER(F14683),C14683*F14683,"")</f>
        <v/>
      </c>
    </row>
    <row r="14684" spans="1:7" ht="12" customHeight="1" outlineLevel="2" x14ac:dyDescent="0.2">
      <c r="A14684" s="14" t="s">
        <v>28883</v>
      </c>
      <c r="B14684" s="15" t="s">
        <v>28884</v>
      </c>
      <c r="C14684" s="19">
        <f>3916.58/(1+B2)</f>
        <v>3916.58</v>
      </c>
      <c r="D14684" s="17" t="s">
        <v>11</v>
      </c>
      <c r="E14684" s="17"/>
      <c r="F14684" s="18"/>
      <c r="G14684" s="36" t="str">
        <f>IF(ISNUMBER(F14684),C14684*F14684,"")</f>
        <v/>
      </c>
    </row>
    <row r="14685" spans="1:7" ht="12" customHeight="1" outlineLevel="2" x14ac:dyDescent="0.2">
      <c r="A14685" s="14" t="s">
        <v>28885</v>
      </c>
      <c r="B14685" s="15" t="s">
        <v>28886</v>
      </c>
      <c r="C14685" s="19">
        <f>7405.87/(1+B2)</f>
        <v>7405.87</v>
      </c>
      <c r="D14685" s="17" t="s">
        <v>11</v>
      </c>
      <c r="E14685" s="17"/>
      <c r="F14685" s="18"/>
      <c r="G14685" s="36" t="str">
        <f>IF(ISNUMBER(F14685),C14685*F14685,"")</f>
        <v/>
      </c>
    </row>
    <row r="14686" spans="1:7" ht="12" customHeight="1" outlineLevel="2" x14ac:dyDescent="0.2">
      <c r="A14686" s="14" t="s">
        <v>28887</v>
      </c>
      <c r="B14686" s="15" t="s">
        <v>28888</v>
      </c>
      <c r="C14686" s="19">
        <f>7717.6/(1+B2)</f>
        <v>7717.6</v>
      </c>
      <c r="D14686" s="17" t="s">
        <v>11</v>
      </c>
      <c r="E14686" s="17"/>
      <c r="F14686" s="18"/>
      <c r="G14686" s="36" t="str">
        <f>IF(ISNUMBER(F14686),C14686*F14686,"")</f>
        <v/>
      </c>
    </row>
    <row r="14687" spans="1:7" ht="12" customHeight="1" outlineLevel="2" x14ac:dyDescent="0.2">
      <c r="A14687" s="14" t="s">
        <v>28889</v>
      </c>
      <c r="B14687" s="15" t="s">
        <v>28890</v>
      </c>
      <c r="C14687" s="19">
        <f>7882.17/(1+B2)</f>
        <v>7882.17</v>
      </c>
      <c r="D14687" s="17" t="s">
        <v>11</v>
      </c>
      <c r="E14687" s="17"/>
      <c r="F14687" s="18"/>
      <c r="G14687" s="36" t="str">
        <f>IF(ISNUMBER(F14687),C14687*F14687,"")</f>
        <v/>
      </c>
    </row>
    <row r="14688" spans="1:7" ht="12" customHeight="1" outlineLevel="2" x14ac:dyDescent="0.2">
      <c r="A14688" s="14" t="s">
        <v>28891</v>
      </c>
      <c r="B14688" s="15" t="s">
        <v>28892</v>
      </c>
      <c r="C14688" s="19">
        <f>4389.59/(1+B2)</f>
        <v>4389.59</v>
      </c>
      <c r="D14688" s="17" t="s">
        <v>11</v>
      </c>
      <c r="E14688" s="17"/>
      <c r="F14688" s="18"/>
      <c r="G14688" s="36" t="str">
        <f>IF(ISNUMBER(F14688),C14688*F14688,"")</f>
        <v/>
      </c>
    </row>
    <row r="14689" spans="1:7" ht="24" customHeight="1" outlineLevel="2" x14ac:dyDescent="0.2">
      <c r="A14689" s="14" t="s">
        <v>28893</v>
      </c>
      <c r="B14689" s="15" t="s">
        <v>28894</v>
      </c>
      <c r="C14689" s="19">
        <f>4676.01/(1+B2)</f>
        <v>4676.01</v>
      </c>
      <c r="D14689" s="17" t="s">
        <v>11</v>
      </c>
      <c r="E14689" s="17"/>
      <c r="F14689" s="18"/>
      <c r="G14689" s="36" t="str">
        <f>IF(ISNUMBER(F14689),C14689*F14689,"")</f>
        <v/>
      </c>
    </row>
    <row r="14690" spans="1:7" ht="12" customHeight="1" outlineLevel="2" x14ac:dyDescent="0.2">
      <c r="A14690" s="14" t="s">
        <v>28895</v>
      </c>
      <c r="B14690" s="15" t="s">
        <v>28896</v>
      </c>
      <c r="C14690" s="19">
        <f>3883.17/(1+B2)</f>
        <v>3883.17</v>
      </c>
      <c r="D14690" s="17" t="s">
        <v>11</v>
      </c>
      <c r="E14690" s="17"/>
      <c r="F14690" s="18"/>
      <c r="G14690" s="36" t="str">
        <f>IF(ISNUMBER(F14690),C14690*F14690,"")</f>
        <v/>
      </c>
    </row>
    <row r="14691" spans="1:7" ht="24" customHeight="1" outlineLevel="2" x14ac:dyDescent="0.2">
      <c r="A14691" s="14" t="s">
        <v>28897</v>
      </c>
      <c r="B14691" s="15" t="s">
        <v>28898</v>
      </c>
      <c r="C14691" s="19">
        <f>4219.64/(1+B2)</f>
        <v>4219.6400000000003</v>
      </c>
      <c r="D14691" s="17" t="s">
        <v>11</v>
      </c>
      <c r="E14691" s="17"/>
      <c r="F14691" s="18"/>
      <c r="G14691" s="36" t="str">
        <f>IF(ISNUMBER(F14691),C14691*F14691,"")</f>
        <v/>
      </c>
    </row>
    <row r="14692" spans="1:7" ht="12" customHeight="1" outlineLevel="2" x14ac:dyDescent="0.2">
      <c r="A14692" s="14" t="s">
        <v>28899</v>
      </c>
      <c r="B14692" s="15" t="s">
        <v>28900</v>
      </c>
      <c r="C14692" s="19">
        <f>5247.04/(1+B2)</f>
        <v>5247.04</v>
      </c>
      <c r="D14692" s="17" t="s">
        <v>11</v>
      </c>
      <c r="E14692" s="17"/>
      <c r="F14692" s="18"/>
      <c r="G14692" s="36" t="str">
        <f>IF(ISNUMBER(F14692),C14692*F14692,"")</f>
        <v/>
      </c>
    </row>
    <row r="14693" spans="1:7" ht="24" customHeight="1" outlineLevel="2" x14ac:dyDescent="0.2">
      <c r="A14693" s="14" t="s">
        <v>28901</v>
      </c>
      <c r="B14693" s="15" t="s">
        <v>28902</v>
      </c>
      <c r="C14693" s="19">
        <f>5816.72/(1+B2)</f>
        <v>5816.72</v>
      </c>
      <c r="D14693" s="17" t="s">
        <v>11</v>
      </c>
      <c r="E14693" s="17"/>
      <c r="F14693" s="18"/>
      <c r="G14693" s="36" t="str">
        <f>IF(ISNUMBER(F14693),C14693*F14693,"")</f>
        <v/>
      </c>
    </row>
    <row r="14694" spans="1:7" ht="24" customHeight="1" outlineLevel="2" x14ac:dyDescent="0.2">
      <c r="A14694" s="14" t="s">
        <v>28903</v>
      </c>
      <c r="B14694" s="15" t="s">
        <v>28904</v>
      </c>
      <c r="C14694" s="19">
        <f>7037.06/(1+B2)</f>
        <v>7037.06</v>
      </c>
      <c r="D14694" s="17" t="s">
        <v>11</v>
      </c>
      <c r="E14694" s="17"/>
      <c r="F14694" s="18"/>
      <c r="G14694" s="36" t="str">
        <f>IF(ISNUMBER(F14694),C14694*F14694,"")</f>
        <v/>
      </c>
    </row>
    <row r="14695" spans="1:7" ht="24" customHeight="1" outlineLevel="2" x14ac:dyDescent="0.2">
      <c r="A14695" s="14" t="s">
        <v>28905</v>
      </c>
      <c r="B14695" s="15" t="s">
        <v>28906</v>
      </c>
      <c r="C14695" s="19">
        <f>2423.16/(1+B2)</f>
        <v>2423.16</v>
      </c>
      <c r="D14695" s="17" t="s">
        <v>11</v>
      </c>
      <c r="E14695" s="17"/>
      <c r="F14695" s="18"/>
      <c r="G14695" s="36" t="str">
        <f>IF(ISNUMBER(F14695),C14695*F14695,"")</f>
        <v/>
      </c>
    </row>
    <row r="14696" spans="1:7" ht="24" customHeight="1" outlineLevel="2" x14ac:dyDescent="0.2">
      <c r="A14696" s="14" t="s">
        <v>28907</v>
      </c>
      <c r="B14696" s="15" t="s">
        <v>28908</v>
      </c>
      <c r="C14696" s="19">
        <f>3005.67/(1+B2)</f>
        <v>3005.67</v>
      </c>
      <c r="D14696" s="17" t="s">
        <v>11</v>
      </c>
      <c r="E14696" s="17"/>
      <c r="F14696" s="18"/>
      <c r="G14696" s="36" t="str">
        <f>IF(ISNUMBER(F14696),C14696*F14696,"")</f>
        <v/>
      </c>
    </row>
    <row r="14697" spans="1:7" ht="24" customHeight="1" outlineLevel="2" x14ac:dyDescent="0.2">
      <c r="A14697" s="14" t="s">
        <v>28909</v>
      </c>
      <c r="B14697" s="15" t="s">
        <v>28910</v>
      </c>
      <c r="C14697" s="19">
        <f>2543.87/(1+B2)</f>
        <v>2543.87</v>
      </c>
      <c r="D14697" s="17" t="s">
        <v>11</v>
      </c>
      <c r="E14697" s="17"/>
      <c r="F14697" s="18"/>
      <c r="G14697" s="36" t="str">
        <f>IF(ISNUMBER(F14697),C14697*F14697,"")</f>
        <v/>
      </c>
    </row>
    <row r="14698" spans="1:7" ht="12" customHeight="1" outlineLevel="2" x14ac:dyDescent="0.2">
      <c r="A14698" s="14" t="s">
        <v>28911</v>
      </c>
      <c r="B14698" s="15" t="s">
        <v>28912</v>
      </c>
      <c r="C14698" s="19">
        <f>6765.29/(1+B2)</f>
        <v>6765.29</v>
      </c>
      <c r="D14698" s="17" t="s">
        <v>11</v>
      </c>
      <c r="E14698" s="17"/>
      <c r="F14698" s="18"/>
      <c r="G14698" s="36" t="str">
        <f>IF(ISNUMBER(F14698),C14698*F14698,"")</f>
        <v/>
      </c>
    </row>
    <row r="14699" spans="1:7" ht="12" customHeight="1" outlineLevel="2" x14ac:dyDescent="0.2">
      <c r="A14699" s="14" t="s">
        <v>28913</v>
      </c>
      <c r="B14699" s="15" t="s">
        <v>28914</v>
      </c>
      <c r="C14699" s="19">
        <f>8936.68/(1+B2)</f>
        <v>8936.68</v>
      </c>
      <c r="D14699" s="17" t="s">
        <v>11</v>
      </c>
      <c r="E14699" s="17"/>
      <c r="F14699" s="18"/>
      <c r="G14699" s="36" t="str">
        <f>IF(ISNUMBER(F14699),C14699*F14699,"")</f>
        <v/>
      </c>
    </row>
    <row r="14700" spans="1:7" ht="12" customHeight="1" outlineLevel="2" x14ac:dyDescent="0.2">
      <c r="A14700" s="14" t="s">
        <v>28915</v>
      </c>
      <c r="B14700" s="15" t="s">
        <v>28916</v>
      </c>
      <c r="C14700" s="16">
        <f>352.69/(1+B2)</f>
        <v>352.69</v>
      </c>
      <c r="D14700" s="17" t="s">
        <v>11</v>
      </c>
      <c r="E14700" s="17"/>
      <c r="F14700" s="18"/>
      <c r="G14700" s="36" t="str">
        <f>IF(ISNUMBER(F14700),C14700*F14700,"")</f>
        <v/>
      </c>
    </row>
    <row r="14701" spans="1:7" ht="24" customHeight="1" outlineLevel="2" x14ac:dyDescent="0.2">
      <c r="A14701" s="14" t="s">
        <v>28917</v>
      </c>
      <c r="B14701" s="15" t="s">
        <v>28918</v>
      </c>
      <c r="C14701" s="16">
        <f>319.14/(1+B2)</f>
        <v>319.14</v>
      </c>
      <c r="D14701" s="17" t="s">
        <v>11</v>
      </c>
      <c r="E14701" s="17"/>
      <c r="F14701" s="18"/>
      <c r="G14701" s="36" t="str">
        <f>IF(ISNUMBER(F14701),C14701*F14701,"")</f>
        <v/>
      </c>
    </row>
    <row r="14702" spans="1:7" ht="24" customHeight="1" outlineLevel="2" x14ac:dyDescent="0.2">
      <c r="A14702" s="14" t="s">
        <v>28919</v>
      </c>
      <c r="B14702" s="15" t="s">
        <v>28920</v>
      </c>
      <c r="C14702" s="16">
        <f>101.78/(1+B2)</f>
        <v>101.78</v>
      </c>
      <c r="D14702" s="17" t="s">
        <v>11</v>
      </c>
      <c r="E14702" s="17"/>
      <c r="F14702" s="18"/>
      <c r="G14702" s="36" t="str">
        <f>IF(ISNUMBER(F14702),C14702*F14702,"")</f>
        <v/>
      </c>
    </row>
    <row r="14703" spans="1:7" ht="12" customHeight="1" outlineLevel="2" x14ac:dyDescent="0.2">
      <c r="A14703" s="14" t="s">
        <v>28921</v>
      </c>
      <c r="B14703" s="15" t="s">
        <v>28922</v>
      </c>
      <c r="C14703" s="16">
        <f>208.76/(1+B2)</f>
        <v>208.76</v>
      </c>
      <c r="D14703" s="17" t="s">
        <v>11</v>
      </c>
      <c r="E14703" s="17"/>
      <c r="F14703" s="18"/>
      <c r="G14703" s="36" t="str">
        <f>IF(ISNUMBER(F14703),C14703*F14703,"")</f>
        <v/>
      </c>
    </row>
    <row r="14704" spans="1:7" ht="12" customHeight="1" outlineLevel="2" x14ac:dyDescent="0.2">
      <c r="A14704" s="14" t="s">
        <v>28923</v>
      </c>
      <c r="B14704" s="15" t="s">
        <v>28924</v>
      </c>
      <c r="C14704" s="16">
        <f>105.22/(1+B2)</f>
        <v>105.22</v>
      </c>
      <c r="D14704" s="17" t="s">
        <v>11</v>
      </c>
      <c r="E14704" s="17"/>
      <c r="F14704" s="18"/>
      <c r="G14704" s="36" t="str">
        <f>IF(ISNUMBER(F14704),C14704*F14704,"")</f>
        <v/>
      </c>
    </row>
    <row r="14705" spans="1:7" ht="12" customHeight="1" outlineLevel="2" x14ac:dyDescent="0.2">
      <c r="A14705" s="14" t="s">
        <v>28925</v>
      </c>
      <c r="B14705" s="15" t="s">
        <v>28926</v>
      </c>
      <c r="C14705" s="19">
        <f>2211.69/(1+B2)</f>
        <v>2211.69</v>
      </c>
      <c r="D14705" s="17" t="s">
        <v>11</v>
      </c>
      <c r="E14705" s="17" t="s">
        <v>11</v>
      </c>
      <c r="F14705" s="18"/>
      <c r="G14705" s="36" t="str">
        <f>IF(ISNUMBER(F14705),C14705*F14705,"")</f>
        <v/>
      </c>
    </row>
    <row r="14706" spans="1:7" ht="12" customHeight="1" outlineLevel="2" x14ac:dyDescent="0.2">
      <c r="A14706" s="14" t="s">
        <v>28927</v>
      </c>
      <c r="B14706" s="15" t="s">
        <v>28928</v>
      </c>
      <c r="C14706" s="19">
        <f>2211.69/(1+B2)</f>
        <v>2211.69</v>
      </c>
      <c r="D14706" s="17" t="s">
        <v>11</v>
      </c>
      <c r="E14706" s="17"/>
      <c r="F14706" s="18"/>
      <c r="G14706" s="36" t="str">
        <f>IF(ISNUMBER(F14706),C14706*F14706,"")</f>
        <v/>
      </c>
    </row>
    <row r="14707" spans="1:7" s="1" customFormat="1" ht="15.95" customHeight="1" outlineLevel="1" x14ac:dyDescent="0.25">
      <c r="A14707" s="11"/>
      <c r="B14707" s="12" t="s">
        <v>28929</v>
      </c>
      <c r="C14707" s="13"/>
      <c r="D14707" s="13"/>
      <c r="E14707" s="13"/>
      <c r="F14707" s="13"/>
      <c r="G14707" s="35"/>
    </row>
    <row r="14708" spans="1:7" ht="12" customHeight="1" outlineLevel="2" x14ac:dyDescent="0.2">
      <c r="A14708" s="14" t="s">
        <v>28930</v>
      </c>
      <c r="B14708" s="15" t="s">
        <v>28931</v>
      </c>
      <c r="C14708" s="19">
        <f>5200.75/(1+B2)</f>
        <v>5200.75</v>
      </c>
      <c r="D14708" s="17" t="s">
        <v>11</v>
      </c>
      <c r="E14708" s="17" t="s">
        <v>11</v>
      </c>
      <c r="F14708" s="18"/>
      <c r="G14708" s="36" t="str">
        <f>IF(ISNUMBER(F14708),C14708*F14708,"")</f>
        <v/>
      </c>
    </row>
    <row r="14709" spans="1:7" ht="12" customHeight="1" outlineLevel="2" x14ac:dyDescent="0.2">
      <c r="A14709" s="14" t="s">
        <v>28932</v>
      </c>
      <c r="B14709" s="15" t="s">
        <v>28933</v>
      </c>
      <c r="C14709" s="19">
        <f>2568.94/(1+B2)</f>
        <v>2568.94</v>
      </c>
      <c r="D14709" s="17" t="s">
        <v>11</v>
      </c>
      <c r="E14709" s="17"/>
      <c r="F14709" s="18"/>
      <c r="G14709" s="36" t="str">
        <f>IF(ISNUMBER(F14709),C14709*F14709,"")</f>
        <v/>
      </c>
    </row>
    <row r="14710" spans="1:7" ht="12" customHeight="1" outlineLevel="2" x14ac:dyDescent="0.2">
      <c r="A14710" s="14" t="s">
        <v>28934</v>
      </c>
      <c r="B14710" s="15" t="s">
        <v>28935</v>
      </c>
      <c r="C14710" s="19">
        <f>2167.06/(1+B2)</f>
        <v>2167.06</v>
      </c>
      <c r="D14710" s="17" t="s">
        <v>11</v>
      </c>
      <c r="E14710" s="17"/>
      <c r="F14710" s="18"/>
      <c r="G14710" s="36" t="str">
        <f>IF(ISNUMBER(F14710),C14710*F14710,"")</f>
        <v/>
      </c>
    </row>
    <row r="14711" spans="1:7" ht="12" customHeight="1" outlineLevel="2" x14ac:dyDescent="0.2">
      <c r="A14711" s="14" t="s">
        <v>28936</v>
      </c>
      <c r="B14711" s="15" t="s">
        <v>28937</v>
      </c>
      <c r="C14711" s="19">
        <f>2267.53/(1+B2)</f>
        <v>2267.5300000000002</v>
      </c>
      <c r="D14711" s="17" t="s">
        <v>11</v>
      </c>
      <c r="E14711" s="17"/>
      <c r="F14711" s="18"/>
      <c r="G14711" s="36" t="str">
        <f>IF(ISNUMBER(F14711),C14711*F14711,"")</f>
        <v/>
      </c>
    </row>
    <row r="14712" spans="1:7" ht="12" customHeight="1" outlineLevel="2" x14ac:dyDescent="0.2">
      <c r="A14712" s="14" t="s">
        <v>28938</v>
      </c>
      <c r="B14712" s="15" t="s">
        <v>28939</v>
      </c>
      <c r="C14712" s="19">
        <f>4107.36/(1+B2)</f>
        <v>4107.3599999999997</v>
      </c>
      <c r="D14712" s="17" t="s">
        <v>11</v>
      </c>
      <c r="E14712" s="17"/>
      <c r="F14712" s="18"/>
      <c r="G14712" s="36" t="str">
        <f>IF(ISNUMBER(F14712),C14712*F14712,"")</f>
        <v/>
      </c>
    </row>
    <row r="14713" spans="1:7" ht="12" customHeight="1" outlineLevel="2" x14ac:dyDescent="0.2">
      <c r="A14713" s="14" t="s">
        <v>28940</v>
      </c>
      <c r="B14713" s="15" t="s">
        <v>28941</v>
      </c>
      <c r="C14713" s="19">
        <f>1384.44/(1+B2)</f>
        <v>1384.44</v>
      </c>
      <c r="D14713" s="17" t="s">
        <v>11</v>
      </c>
      <c r="E14713" s="17"/>
      <c r="F14713" s="18"/>
      <c r="G14713" s="36" t="str">
        <f>IF(ISNUMBER(F14713),C14713*F14713,"")</f>
        <v/>
      </c>
    </row>
    <row r="14714" spans="1:7" ht="12" customHeight="1" outlineLevel="2" x14ac:dyDescent="0.2">
      <c r="A14714" s="14" t="s">
        <v>28942</v>
      </c>
      <c r="B14714" s="15" t="s">
        <v>28943</v>
      </c>
      <c r="C14714" s="19">
        <f>17083.79/(1+B2)</f>
        <v>17083.79</v>
      </c>
      <c r="D14714" s="17" t="s">
        <v>11</v>
      </c>
      <c r="E14714" s="17"/>
      <c r="F14714" s="18"/>
      <c r="G14714" s="36" t="str">
        <f>IF(ISNUMBER(F14714),C14714*F14714,"")</f>
        <v/>
      </c>
    </row>
    <row r="14715" spans="1:7" ht="12" customHeight="1" outlineLevel="2" x14ac:dyDescent="0.2">
      <c r="A14715" s="14" t="s">
        <v>28944</v>
      </c>
      <c r="B14715" s="15" t="s">
        <v>28945</v>
      </c>
      <c r="C14715" s="19">
        <f>26803.3/(1+B2)</f>
        <v>26803.3</v>
      </c>
      <c r="D14715" s="17" t="s">
        <v>11</v>
      </c>
      <c r="E14715" s="17"/>
      <c r="F14715" s="18"/>
      <c r="G14715" s="36" t="str">
        <f>IF(ISNUMBER(F14715),C14715*F14715,"")</f>
        <v/>
      </c>
    </row>
    <row r="14716" spans="1:7" ht="12" customHeight="1" outlineLevel="2" x14ac:dyDescent="0.2">
      <c r="A14716" s="14" t="s">
        <v>28946</v>
      </c>
      <c r="B14716" s="15" t="s">
        <v>28947</v>
      </c>
      <c r="C14716" s="19">
        <f>35602.71/(1+B2)</f>
        <v>35602.71</v>
      </c>
      <c r="D14716" s="17" t="s">
        <v>11</v>
      </c>
      <c r="E14716" s="17"/>
      <c r="F14716" s="18"/>
      <c r="G14716" s="36" t="str">
        <f>IF(ISNUMBER(F14716),C14716*F14716,"")</f>
        <v/>
      </c>
    </row>
    <row r="14717" spans="1:7" ht="12" customHeight="1" outlineLevel="2" x14ac:dyDescent="0.2">
      <c r="A14717" s="14" t="s">
        <v>28948</v>
      </c>
      <c r="B14717" s="15" t="s">
        <v>28949</v>
      </c>
      <c r="C14717" s="19">
        <f>7004.47/(1+B2)</f>
        <v>7004.47</v>
      </c>
      <c r="D14717" s="17" t="s">
        <v>11</v>
      </c>
      <c r="E14717" s="17"/>
      <c r="F14717" s="18"/>
      <c r="G14717" s="36" t="str">
        <f>IF(ISNUMBER(F14717),C14717*F14717,"")</f>
        <v/>
      </c>
    </row>
    <row r="14718" spans="1:7" ht="24" customHeight="1" outlineLevel="2" x14ac:dyDescent="0.2">
      <c r="A14718" s="14" t="s">
        <v>28950</v>
      </c>
      <c r="B14718" s="15" t="s">
        <v>28951</v>
      </c>
      <c r="C14718" s="19">
        <f>3084.81/(1+B2)</f>
        <v>3084.81</v>
      </c>
      <c r="D14718" s="17" t="s">
        <v>11</v>
      </c>
      <c r="E14718" s="17"/>
      <c r="F14718" s="18"/>
      <c r="G14718" s="36" t="str">
        <f>IF(ISNUMBER(F14718),C14718*F14718,"")</f>
        <v/>
      </c>
    </row>
    <row r="14719" spans="1:7" ht="24" customHeight="1" outlineLevel="2" x14ac:dyDescent="0.2">
      <c r="A14719" s="14" t="s">
        <v>28952</v>
      </c>
      <c r="B14719" s="15" t="s">
        <v>28953</v>
      </c>
      <c r="C14719" s="19">
        <f>4285.17/(1+B2)</f>
        <v>4285.17</v>
      </c>
      <c r="D14719" s="17" t="s">
        <v>11</v>
      </c>
      <c r="E14719" s="17"/>
      <c r="F14719" s="18"/>
      <c r="G14719" s="36" t="str">
        <f>IF(ISNUMBER(F14719),C14719*F14719,"")</f>
        <v/>
      </c>
    </row>
    <row r="14720" spans="1:7" ht="24" customHeight="1" outlineLevel="2" x14ac:dyDescent="0.2">
      <c r="A14720" s="14" t="s">
        <v>28954</v>
      </c>
      <c r="B14720" s="15" t="s">
        <v>28955</v>
      </c>
      <c r="C14720" s="19">
        <f>4237.65/(1+B2)</f>
        <v>4237.6499999999996</v>
      </c>
      <c r="D14720" s="17" t="s">
        <v>11</v>
      </c>
      <c r="E14720" s="17"/>
      <c r="F14720" s="18"/>
      <c r="G14720" s="36" t="str">
        <f>IF(ISNUMBER(F14720),C14720*F14720,"")</f>
        <v/>
      </c>
    </row>
    <row r="14721" spans="1:7" ht="24" customHeight="1" outlineLevel="2" x14ac:dyDescent="0.2">
      <c r="A14721" s="14" t="s">
        <v>28956</v>
      </c>
      <c r="B14721" s="15" t="s">
        <v>28957</v>
      </c>
      <c r="C14721" s="19">
        <f>2736.99/(1+B2)</f>
        <v>2736.99</v>
      </c>
      <c r="D14721" s="17" t="s">
        <v>11</v>
      </c>
      <c r="E14721" s="17"/>
      <c r="F14721" s="18"/>
      <c r="G14721" s="36" t="str">
        <f>IF(ISNUMBER(F14721),C14721*F14721,"")</f>
        <v/>
      </c>
    </row>
    <row r="14722" spans="1:7" ht="12" customHeight="1" outlineLevel="2" x14ac:dyDescent="0.2">
      <c r="A14722" s="14" t="s">
        <v>28958</v>
      </c>
      <c r="B14722" s="15" t="s">
        <v>28959</v>
      </c>
      <c r="C14722" s="19">
        <f>15983.04/(1+B2)</f>
        <v>15983.04</v>
      </c>
      <c r="D14722" s="17" t="s">
        <v>11</v>
      </c>
      <c r="E14722" s="17"/>
      <c r="F14722" s="18"/>
      <c r="G14722" s="36" t="str">
        <f>IF(ISNUMBER(F14722),C14722*F14722,"")</f>
        <v/>
      </c>
    </row>
    <row r="14723" spans="1:7" ht="24" customHeight="1" outlineLevel="2" x14ac:dyDescent="0.2">
      <c r="A14723" s="14" t="s">
        <v>28960</v>
      </c>
      <c r="B14723" s="15" t="s">
        <v>28961</v>
      </c>
      <c r="C14723" s="19">
        <f>29098.11/(1+B2)</f>
        <v>29098.11</v>
      </c>
      <c r="D14723" s="17" t="s">
        <v>11</v>
      </c>
      <c r="E14723" s="17" t="s">
        <v>11</v>
      </c>
      <c r="F14723" s="18"/>
      <c r="G14723" s="36" t="str">
        <f>IF(ISNUMBER(F14723),C14723*F14723,"")</f>
        <v/>
      </c>
    </row>
    <row r="14724" spans="1:7" ht="24" customHeight="1" outlineLevel="2" x14ac:dyDescent="0.2">
      <c r="A14724" s="14" t="s">
        <v>28962</v>
      </c>
      <c r="B14724" s="15" t="s">
        <v>28963</v>
      </c>
      <c r="C14724" s="19">
        <f>19809.45/(1+B2)</f>
        <v>19809.45</v>
      </c>
      <c r="D14724" s="17" t="s">
        <v>11</v>
      </c>
      <c r="E14724" s="17"/>
      <c r="F14724" s="18"/>
      <c r="G14724" s="36" t="str">
        <f>IF(ISNUMBER(F14724),C14724*F14724,"")</f>
        <v/>
      </c>
    </row>
    <row r="14725" spans="1:7" ht="12" customHeight="1" outlineLevel="2" x14ac:dyDescent="0.2">
      <c r="A14725" s="14" t="s">
        <v>28964</v>
      </c>
      <c r="B14725" s="15" t="s">
        <v>28965</v>
      </c>
      <c r="C14725" s="19">
        <f>10669.4/(1+B2)</f>
        <v>10669.4</v>
      </c>
      <c r="D14725" s="17" t="s">
        <v>11</v>
      </c>
      <c r="E14725" s="17"/>
      <c r="F14725" s="18"/>
      <c r="G14725" s="36" t="str">
        <f>IF(ISNUMBER(F14725),C14725*F14725,"")</f>
        <v/>
      </c>
    </row>
    <row r="14726" spans="1:7" ht="12" customHeight="1" outlineLevel="2" x14ac:dyDescent="0.2">
      <c r="A14726" s="14" t="s">
        <v>28966</v>
      </c>
      <c r="B14726" s="15" t="s">
        <v>28967</v>
      </c>
      <c r="C14726" s="19">
        <f>4951.68/(1+B2)</f>
        <v>4951.68</v>
      </c>
      <c r="D14726" s="17" t="s">
        <v>11</v>
      </c>
      <c r="E14726" s="17"/>
      <c r="F14726" s="18"/>
      <c r="G14726" s="36" t="str">
        <f>IF(ISNUMBER(F14726),C14726*F14726,"")</f>
        <v/>
      </c>
    </row>
    <row r="14727" spans="1:7" ht="12" customHeight="1" outlineLevel="2" x14ac:dyDescent="0.2">
      <c r="A14727" s="14" t="s">
        <v>28968</v>
      </c>
      <c r="B14727" s="15" t="s">
        <v>28969</v>
      </c>
      <c r="C14727" s="19">
        <f>5569.55/(1+B2)</f>
        <v>5569.55</v>
      </c>
      <c r="D14727" s="17" t="s">
        <v>11</v>
      </c>
      <c r="E14727" s="17"/>
      <c r="F14727" s="18"/>
      <c r="G14727" s="36" t="str">
        <f>IF(ISNUMBER(F14727),C14727*F14727,"")</f>
        <v/>
      </c>
    </row>
    <row r="14728" spans="1:7" ht="12" customHeight="1" outlineLevel="2" x14ac:dyDescent="0.2">
      <c r="A14728" s="14" t="s">
        <v>28970</v>
      </c>
      <c r="B14728" s="15" t="s">
        <v>28971</v>
      </c>
      <c r="C14728" s="19">
        <f>6688.13/(1+B2)</f>
        <v>6688.13</v>
      </c>
      <c r="D14728" s="17" t="s">
        <v>11</v>
      </c>
      <c r="E14728" s="17"/>
      <c r="F14728" s="18"/>
      <c r="G14728" s="36" t="str">
        <f>IF(ISNUMBER(F14728),C14728*F14728,"")</f>
        <v/>
      </c>
    </row>
    <row r="14729" spans="1:7" ht="12" customHeight="1" outlineLevel="2" x14ac:dyDescent="0.2">
      <c r="A14729" s="14" t="s">
        <v>28972</v>
      </c>
      <c r="B14729" s="15" t="s">
        <v>28973</v>
      </c>
      <c r="C14729" s="19">
        <f>15087.05/(1+B2)</f>
        <v>15087.05</v>
      </c>
      <c r="D14729" s="17" t="s">
        <v>11</v>
      </c>
      <c r="E14729" s="17" t="s">
        <v>11</v>
      </c>
      <c r="F14729" s="18"/>
      <c r="G14729" s="36" t="str">
        <f>IF(ISNUMBER(F14729),C14729*F14729,"")</f>
        <v/>
      </c>
    </row>
    <row r="14730" spans="1:7" ht="24" customHeight="1" outlineLevel="2" x14ac:dyDescent="0.2">
      <c r="A14730" s="14" t="s">
        <v>28974</v>
      </c>
      <c r="B14730" s="15" t="s">
        <v>28975</v>
      </c>
      <c r="C14730" s="19">
        <f>4378.04/(1+B2)</f>
        <v>4378.04</v>
      </c>
      <c r="D14730" s="17" t="s">
        <v>11</v>
      </c>
      <c r="E14730" s="17"/>
      <c r="F14730" s="18"/>
      <c r="G14730" s="36" t="str">
        <f>IF(ISNUMBER(F14730),C14730*F14730,"")</f>
        <v/>
      </c>
    </row>
    <row r="14731" spans="1:7" ht="24" customHeight="1" outlineLevel="2" x14ac:dyDescent="0.2">
      <c r="A14731" s="14" t="s">
        <v>28976</v>
      </c>
      <c r="B14731" s="15" t="s">
        <v>28977</v>
      </c>
      <c r="C14731" s="19">
        <f>8896.61/(1+B2)</f>
        <v>8896.61</v>
      </c>
      <c r="D14731" s="17" t="s">
        <v>11</v>
      </c>
      <c r="E14731" s="17"/>
      <c r="F14731" s="18"/>
      <c r="G14731" s="36" t="str">
        <f>IF(ISNUMBER(F14731),C14731*F14731,"")</f>
        <v/>
      </c>
    </row>
    <row r="14732" spans="1:7" ht="12" customHeight="1" outlineLevel="2" x14ac:dyDescent="0.2">
      <c r="A14732" s="14" t="s">
        <v>28978</v>
      </c>
      <c r="B14732" s="15" t="s">
        <v>28979</v>
      </c>
      <c r="C14732" s="19">
        <f>5677.31/(1+B2)</f>
        <v>5677.31</v>
      </c>
      <c r="D14732" s="17" t="s">
        <v>11</v>
      </c>
      <c r="E14732" s="17"/>
      <c r="F14732" s="18"/>
      <c r="G14732" s="36" t="str">
        <f>IF(ISNUMBER(F14732),C14732*F14732,"")</f>
        <v/>
      </c>
    </row>
    <row r="14733" spans="1:7" ht="12" customHeight="1" outlineLevel="2" x14ac:dyDescent="0.2">
      <c r="A14733" s="14" t="s">
        <v>28980</v>
      </c>
      <c r="B14733" s="15" t="s">
        <v>28981</v>
      </c>
      <c r="C14733" s="19">
        <f>17221.6/(1+B2)</f>
        <v>17221.599999999999</v>
      </c>
      <c r="D14733" s="17" t="s">
        <v>11</v>
      </c>
      <c r="E14733" s="17"/>
      <c r="F14733" s="18"/>
      <c r="G14733" s="36" t="str">
        <f>IF(ISNUMBER(F14733),C14733*F14733,"")</f>
        <v/>
      </c>
    </row>
    <row r="14734" spans="1:7" ht="12" customHeight="1" outlineLevel="2" x14ac:dyDescent="0.2">
      <c r="A14734" s="14" t="s">
        <v>28982</v>
      </c>
      <c r="B14734" s="15" t="s">
        <v>28983</v>
      </c>
      <c r="C14734" s="19">
        <f>7231.42/(1+B2)</f>
        <v>7231.42</v>
      </c>
      <c r="D14734" s="17" t="s">
        <v>11</v>
      </c>
      <c r="E14734" s="17"/>
      <c r="F14734" s="18"/>
      <c r="G14734" s="36" t="str">
        <f>IF(ISNUMBER(F14734),C14734*F14734,"")</f>
        <v/>
      </c>
    </row>
    <row r="14735" spans="1:7" ht="12" customHeight="1" outlineLevel="2" x14ac:dyDescent="0.2">
      <c r="A14735" s="14" t="s">
        <v>28984</v>
      </c>
      <c r="B14735" s="15" t="s">
        <v>28985</v>
      </c>
      <c r="C14735" s="19">
        <f>3669.94/(1+B2)</f>
        <v>3669.94</v>
      </c>
      <c r="D14735" s="17" t="s">
        <v>11</v>
      </c>
      <c r="E14735" s="17"/>
      <c r="F14735" s="18"/>
      <c r="G14735" s="36" t="str">
        <f>IF(ISNUMBER(F14735),C14735*F14735,"")</f>
        <v/>
      </c>
    </row>
    <row r="14736" spans="1:7" ht="24" customHeight="1" outlineLevel="2" x14ac:dyDescent="0.2">
      <c r="A14736" s="14" t="s">
        <v>28986</v>
      </c>
      <c r="B14736" s="15" t="s">
        <v>28987</v>
      </c>
      <c r="C14736" s="19">
        <f>13597.01/(1+B2)</f>
        <v>13597.01</v>
      </c>
      <c r="D14736" s="17" t="s">
        <v>11</v>
      </c>
      <c r="E14736" s="17"/>
      <c r="F14736" s="18"/>
      <c r="G14736" s="36" t="str">
        <f>IF(ISNUMBER(F14736),C14736*F14736,"")</f>
        <v/>
      </c>
    </row>
    <row r="14737" spans="1:7" ht="24" customHeight="1" outlineLevel="2" x14ac:dyDescent="0.2">
      <c r="A14737" s="14" t="s">
        <v>28988</v>
      </c>
      <c r="B14737" s="15" t="s">
        <v>28989</v>
      </c>
      <c r="C14737" s="19">
        <f>9286.06/(1+B2)</f>
        <v>9286.06</v>
      </c>
      <c r="D14737" s="17" t="s">
        <v>11</v>
      </c>
      <c r="E14737" s="17"/>
      <c r="F14737" s="18"/>
      <c r="G14737" s="36" t="str">
        <f>IF(ISNUMBER(F14737),C14737*F14737,"")</f>
        <v/>
      </c>
    </row>
    <row r="14738" spans="1:7" s="1" customFormat="1" ht="15.95" customHeight="1" outlineLevel="1" x14ac:dyDescent="0.25">
      <c r="A14738" s="11"/>
      <c r="B14738" s="12" t="s">
        <v>28990</v>
      </c>
      <c r="C14738" s="13"/>
      <c r="D14738" s="13"/>
      <c r="E14738" s="13"/>
      <c r="F14738" s="13"/>
      <c r="G14738" s="35"/>
    </row>
    <row r="14739" spans="1:7" s="1" customFormat="1" ht="12.95" customHeight="1" outlineLevel="2" x14ac:dyDescent="0.2">
      <c r="A14739" s="20"/>
      <c r="B14739" s="21" t="s">
        <v>28991</v>
      </c>
      <c r="C14739" s="22"/>
      <c r="D14739" s="22"/>
      <c r="E14739" s="22"/>
      <c r="F14739" s="22"/>
      <c r="G14739" s="37"/>
    </row>
    <row r="14740" spans="1:7" ht="12" customHeight="1" outlineLevel="3" x14ac:dyDescent="0.2">
      <c r="A14740" s="14" t="s">
        <v>28992</v>
      </c>
      <c r="B14740" s="15" t="s">
        <v>28993</v>
      </c>
      <c r="C14740" s="19">
        <f>23065.09/(1+B2)</f>
        <v>23065.09</v>
      </c>
      <c r="D14740" s="17" t="s">
        <v>11</v>
      </c>
      <c r="E14740" s="17"/>
      <c r="F14740" s="18"/>
      <c r="G14740" s="36" t="str">
        <f>IF(ISNUMBER(F14740),C14740*F14740,"")</f>
        <v/>
      </c>
    </row>
    <row r="14741" spans="1:7" ht="24" customHeight="1" outlineLevel="3" x14ac:dyDescent="0.2">
      <c r="A14741" s="14" t="s">
        <v>28994</v>
      </c>
      <c r="B14741" s="15" t="s">
        <v>28995</v>
      </c>
      <c r="C14741" s="19">
        <f>24885.7/(1+B2)</f>
        <v>24885.7</v>
      </c>
      <c r="D14741" s="17" t="s">
        <v>11</v>
      </c>
      <c r="E14741" s="17"/>
      <c r="F14741" s="18"/>
      <c r="G14741" s="36" t="str">
        <f>IF(ISNUMBER(F14741),C14741*F14741,"")</f>
        <v/>
      </c>
    </row>
    <row r="14742" spans="1:7" ht="12" customHeight="1" outlineLevel="3" x14ac:dyDescent="0.2">
      <c r="A14742" s="14" t="s">
        <v>28996</v>
      </c>
      <c r="B14742" s="15" t="s">
        <v>28997</v>
      </c>
      <c r="C14742" s="19">
        <f>7275.54/(1+B2)</f>
        <v>7275.54</v>
      </c>
      <c r="D14742" s="17" t="s">
        <v>11</v>
      </c>
      <c r="E14742" s="17"/>
      <c r="F14742" s="18"/>
      <c r="G14742" s="36" t="str">
        <f>IF(ISNUMBER(F14742),C14742*F14742,"")</f>
        <v/>
      </c>
    </row>
    <row r="14743" spans="1:7" ht="12" customHeight="1" outlineLevel="3" x14ac:dyDescent="0.2">
      <c r="A14743" s="14" t="s">
        <v>28998</v>
      </c>
      <c r="B14743" s="15" t="s">
        <v>28999</v>
      </c>
      <c r="C14743" s="19">
        <f>5552.12/(1+B2)</f>
        <v>5552.12</v>
      </c>
      <c r="D14743" s="17" t="s">
        <v>11</v>
      </c>
      <c r="E14743" s="17"/>
      <c r="F14743" s="18"/>
      <c r="G14743" s="36" t="str">
        <f>IF(ISNUMBER(F14743),C14743*F14743,"")</f>
        <v/>
      </c>
    </row>
    <row r="14744" spans="1:7" ht="12" customHeight="1" outlineLevel="3" x14ac:dyDescent="0.2">
      <c r="A14744" s="14" t="s">
        <v>29000</v>
      </c>
      <c r="B14744" s="15" t="s">
        <v>29001</v>
      </c>
      <c r="C14744" s="19">
        <f>15212.5/(1+B2)</f>
        <v>15212.5</v>
      </c>
      <c r="D14744" s="17" t="s">
        <v>11</v>
      </c>
      <c r="E14744" s="17"/>
      <c r="F14744" s="18"/>
      <c r="G14744" s="36" t="str">
        <f>IF(ISNUMBER(F14744),C14744*F14744,"")</f>
        <v/>
      </c>
    </row>
    <row r="14745" spans="1:7" ht="12" customHeight="1" outlineLevel="3" x14ac:dyDescent="0.2">
      <c r="A14745" s="14" t="s">
        <v>29002</v>
      </c>
      <c r="B14745" s="15" t="s">
        <v>29003</v>
      </c>
      <c r="C14745" s="19">
        <f>21058.86/(1+B2)</f>
        <v>21058.86</v>
      </c>
      <c r="D14745" s="17" t="s">
        <v>11</v>
      </c>
      <c r="E14745" s="17"/>
      <c r="F14745" s="18"/>
      <c r="G14745" s="36" t="str">
        <f>IF(ISNUMBER(F14745),C14745*F14745,"")</f>
        <v/>
      </c>
    </row>
    <row r="14746" spans="1:7" ht="12" customHeight="1" outlineLevel="3" x14ac:dyDescent="0.2">
      <c r="A14746" s="14" t="s">
        <v>29004</v>
      </c>
      <c r="B14746" s="15" t="s">
        <v>29005</v>
      </c>
      <c r="C14746" s="19">
        <f>12937.04/(1+B2)</f>
        <v>12937.04</v>
      </c>
      <c r="D14746" s="17" t="s">
        <v>11</v>
      </c>
      <c r="E14746" s="17"/>
      <c r="F14746" s="18"/>
      <c r="G14746" s="36" t="str">
        <f>IF(ISNUMBER(F14746),C14746*F14746,"")</f>
        <v/>
      </c>
    </row>
    <row r="14747" spans="1:7" ht="24" customHeight="1" outlineLevel="3" x14ac:dyDescent="0.2">
      <c r="A14747" s="14" t="s">
        <v>29006</v>
      </c>
      <c r="B14747" s="15" t="s">
        <v>29007</v>
      </c>
      <c r="C14747" s="19">
        <f>10084.34/(1+B2)</f>
        <v>10084.34</v>
      </c>
      <c r="D14747" s="17" t="s">
        <v>11</v>
      </c>
      <c r="E14747" s="17"/>
      <c r="F14747" s="18"/>
      <c r="G14747" s="36" t="str">
        <f>IF(ISNUMBER(F14747),C14747*F14747,"")</f>
        <v/>
      </c>
    </row>
    <row r="14748" spans="1:7" ht="24" customHeight="1" outlineLevel="3" x14ac:dyDescent="0.2">
      <c r="A14748" s="14" t="s">
        <v>29008</v>
      </c>
      <c r="B14748" s="15" t="s">
        <v>29009</v>
      </c>
      <c r="C14748" s="19">
        <f>9833.25/(1+B2)</f>
        <v>9833.25</v>
      </c>
      <c r="D14748" s="17" t="s">
        <v>11</v>
      </c>
      <c r="E14748" s="17"/>
      <c r="F14748" s="18"/>
      <c r="G14748" s="36" t="str">
        <f>IF(ISNUMBER(F14748),C14748*F14748,"")</f>
        <v/>
      </c>
    </row>
    <row r="14749" spans="1:7" ht="24" customHeight="1" outlineLevel="3" x14ac:dyDescent="0.2">
      <c r="A14749" s="14" t="s">
        <v>29010</v>
      </c>
      <c r="B14749" s="15" t="s">
        <v>29011</v>
      </c>
      <c r="C14749" s="19">
        <f>13260.04/(1+B2)</f>
        <v>13260.04</v>
      </c>
      <c r="D14749" s="17" t="s">
        <v>11</v>
      </c>
      <c r="E14749" s="17"/>
      <c r="F14749" s="18"/>
      <c r="G14749" s="36" t="str">
        <f>IF(ISNUMBER(F14749),C14749*F14749,"")</f>
        <v/>
      </c>
    </row>
    <row r="14750" spans="1:7" ht="24" customHeight="1" outlineLevel="3" x14ac:dyDescent="0.2">
      <c r="A14750" s="14" t="s">
        <v>29012</v>
      </c>
      <c r="B14750" s="15" t="s">
        <v>29013</v>
      </c>
      <c r="C14750" s="19">
        <f>8745.2/(1+B2)</f>
        <v>8745.2000000000007</v>
      </c>
      <c r="D14750" s="17" t="s">
        <v>11</v>
      </c>
      <c r="E14750" s="17"/>
      <c r="F14750" s="18"/>
      <c r="G14750" s="36" t="str">
        <f>IF(ISNUMBER(F14750),C14750*F14750,"")</f>
        <v/>
      </c>
    </row>
    <row r="14751" spans="1:7" ht="24" customHeight="1" outlineLevel="3" x14ac:dyDescent="0.2">
      <c r="A14751" s="14" t="s">
        <v>29014</v>
      </c>
      <c r="B14751" s="15" t="s">
        <v>29015</v>
      </c>
      <c r="C14751" s="19">
        <f>17567.36/(1+B2)</f>
        <v>17567.36</v>
      </c>
      <c r="D14751" s="17" t="s">
        <v>11</v>
      </c>
      <c r="E14751" s="17"/>
      <c r="F14751" s="18"/>
      <c r="G14751" s="36" t="str">
        <f>IF(ISNUMBER(F14751),C14751*F14751,"")</f>
        <v/>
      </c>
    </row>
    <row r="14752" spans="1:7" ht="24" customHeight="1" outlineLevel="3" x14ac:dyDescent="0.2">
      <c r="A14752" s="14" t="s">
        <v>29016</v>
      </c>
      <c r="B14752" s="15" t="s">
        <v>29017</v>
      </c>
      <c r="C14752" s="19">
        <f>14439.41/(1+B2)</f>
        <v>14439.41</v>
      </c>
      <c r="D14752" s="17" t="s">
        <v>11</v>
      </c>
      <c r="E14752" s="17"/>
      <c r="F14752" s="18"/>
      <c r="G14752" s="36" t="str">
        <f>IF(ISNUMBER(F14752),C14752*F14752,"")</f>
        <v/>
      </c>
    </row>
    <row r="14753" spans="1:7" ht="24" customHeight="1" outlineLevel="3" x14ac:dyDescent="0.2">
      <c r="A14753" s="14" t="s">
        <v>29018</v>
      </c>
      <c r="B14753" s="15" t="s">
        <v>29019</v>
      </c>
      <c r="C14753" s="19">
        <f>18168.18/(1+B2)</f>
        <v>18168.18</v>
      </c>
      <c r="D14753" s="17" t="s">
        <v>11</v>
      </c>
      <c r="E14753" s="17"/>
      <c r="F14753" s="18"/>
      <c r="G14753" s="36" t="str">
        <f>IF(ISNUMBER(F14753),C14753*F14753,"")</f>
        <v/>
      </c>
    </row>
    <row r="14754" spans="1:7" ht="24" customHeight="1" outlineLevel="3" x14ac:dyDescent="0.2">
      <c r="A14754" s="14" t="s">
        <v>29020</v>
      </c>
      <c r="B14754" s="15" t="s">
        <v>29021</v>
      </c>
      <c r="C14754" s="19">
        <f>3250.85/(1+B2)</f>
        <v>3250.85</v>
      </c>
      <c r="D14754" s="17" t="s">
        <v>11</v>
      </c>
      <c r="E14754" s="17" t="s">
        <v>11</v>
      </c>
      <c r="F14754" s="18"/>
      <c r="G14754" s="36" t="str">
        <f>IF(ISNUMBER(F14754),C14754*F14754,"")</f>
        <v/>
      </c>
    </row>
    <row r="14755" spans="1:7" ht="12" customHeight="1" outlineLevel="3" x14ac:dyDescent="0.2">
      <c r="A14755" s="14" t="s">
        <v>29022</v>
      </c>
      <c r="B14755" s="15" t="s">
        <v>29023</v>
      </c>
      <c r="C14755" s="19">
        <f>9483.78/(1+B2)</f>
        <v>9483.7800000000007</v>
      </c>
      <c r="D14755" s="17" t="s">
        <v>11</v>
      </c>
      <c r="E14755" s="17"/>
      <c r="F14755" s="18"/>
      <c r="G14755" s="36" t="str">
        <f>IF(ISNUMBER(F14755),C14755*F14755,"")</f>
        <v/>
      </c>
    </row>
    <row r="14756" spans="1:7" ht="12" customHeight="1" outlineLevel="3" x14ac:dyDescent="0.2">
      <c r="A14756" s="14" t="s">
        <v>29024</v>
      </c>
      <c r="B14756" s="15" t="s">
        <v>29025</v>
      </c>
      <c r="C14756" s="19">
        <f>11826.49/(1+B2)</f>
        <v>11826.49</v>
      </c>
      <c r="D14756" s="17" t="s">
        <v>11</v>
      </c>
      <c r="E14756" s="17"/>
      <c r="F14756" s="18"/>
      <c r="G14756" s="36" t="str">
        <f>IF(ISNUMBER(F14756),C14756*F14756,"")</f>
        <v/>
      </c>
    </row>
    <row r="14757" spans="1:7" ht="12" customHeight="1" outlineLevel="3" x14ac:dyDescent="0.2">
      <c r="A14757" s="14" t="s">
        <v>29026</v>
      </c>
      <c r="B14757" s="15" t="s">
        <v>29027</v>
      </c>
      <c r="C14757" s="19">
        <f>8334.17/(1+B2)</f>
        <v>8334.17</v>
      </c>
      <c r="D14757" s="17" t="s">
        <v>11</v>
      </c>
      <c r="E14757" s="17" t="s">
        <v>11</v>
      </c>
      <c r="F14757" s="18"/>
      <c r="G14757" s="36" t="str">
        <f>IF(ISNUMBER(F14757),C14757*F14757,"")</f>
        <v/>
      </c>
    </row>
    <row r="14758" spans="1:7" ht="12" customHeight="1" outlineLevel="3" x14ac:dyDescent="0.2">
      <c r="A14758" s="14" t="s">
        <v>29028</v>
      </c>
      <c r="B14758" s="15" t="s">
        <v>29029</v>
      </c>
      <c r="C14758" s="19">
        <f>8944.02/(1+B2)</f>
        <v>8944.02</v>
      </c>
      <c r="D14758" s="17" t="s">
        <v>11</v>
      </c>
      <c r="E14758" s="17"/>
      <c r="F14758" s="18"/>
      <c r="G14758" s="36" t="str">
        <f>IF(ISNUMBER(F14758),C14758*F14758,"")</f>
        <v/>
      </c>
    </row>
    <row r="14759" spans="1:7" ht="12" customHeight="1" outlineLevel="3" x14ac:dyDescent="0.2">
      <c r="A14759" s="14" t="s">
        <v>29030</v>
      </c>
      <c r="B14759" s="15" t="s">
        <v>29031</v>
      </c>
      <c r="C14759" s="19">
        <f>1942.21/(1+B2)</f>
        <v>1942.21</v>
      </c>
      <c r="D14759" s="17" t="s">
        <v>11</v>
      </c>
      <c r="E14759" s="17"/>
      <c r="F14759" s="18"/>
      <c r="G14759" s="36" t="str">
        <f>IF(ISNUMBER(F14759),C14759*F14759,"")</f>
        <v/>
      </c>
    </row>
    <row r="14760" spans="1:7" ht="12" customHeight="1" outlineLevel="3" x14ac:dyDescent="0.2">
      <c r="A14760" s="14" t="s">
        <v>29032</v>
      </c>
      <c r="B14760" s="15" t="s">
        <v>29033</v>
      </c>
      <c r="C14760" s="19">
        <f>1259.57/(1+B2)</f>
        <v>1259.57</v>
      </c>
      <c r="D14760" s="17" t="s">
        <v>11</v>
      </c>
      <c r="E14760" s="17"/>
      <c r="F14760" s="18"/>
      <c r="G14760" s="36" t="str">
        <f>IF(ISNUMBER(F14760),C14760*F14760,"")</f>
        <v/>
      </c>
    </row>
    <row r="14761" spans="1:7" ht="12" customHeight="1" outlineLevel="3" x14ac:dyDescent="0.2">
      <c r="A14761" s="14" t="s">
        <v>29034</v>
      </c>
      <c r="B14761" s="15" t="s">
        <v>29035</v>
      </c>
      <c r="C14761" s="19">
        <f>1018.37/(1+B2)</f>
        <v>1018.37</v>
      </c>
      <c r="D14761" s="17" t="s">
        <v>11</v>
      </c>
      <c r="E14761" s="17"/>
      <c r="F14761" s="18"/>
      <c r="G14761" s="36" t="str">
        <f>IF(ISNUMBER(F14761),C14761*F14761,"")</f>
        <v/>
      </c>
    </row>
    <row r="14762" spans="1:7" ht="12" customHeight="1" outlineLevel="3" x14ac:dyDescent="0.2">
      <c r="A14762" s="14" t="s">
        <v>29036</v>
      </c>
      <c r="B14762" s="15" t="s">
        <v>29037</v>
      </c>
      <c r="C14762" s="16">
        <f>736.46/(1+B2)</f>
        <v>736.46</v>
      </c>
      <c r="D14762" s="17" t="s">
        <v>11</v>
      </c>
      <c r="E14762" s="17"/>
      <c r="F14762" s="18"/>
      <c r="G14762" s="36" t="str">
        <f>IF(ISNUMBER(F14762),C14762*F14762,"")</f>
        <v/>
      </c>
    </row>
    <row r="14763" spans="1:7" ht="12" customHeight="1" outlineLevel="3" x14ac:dyDescent="0.2">
      <c r="A14763" s="14" t="s">
        <v>29038</v>
      </c>
      <c r="B14763" s="15" t="s">
        <v>29039</v>
      </c>
      <c r="C14763" s="16">
        <f>386.84/(1+B2)</f>
        <v>386.84</v>
      </c>
      <c r="D14763" s="17" t="s">
        <v>11</v>
      </c>
      <c r="E14763" s="17"/>
      <c r="F14763" s="18"/>
      <c r="G14763" s="36" t="str">
        <f>IF(ISNUMBER(F14763),C14763*F14763,"")</f>
        <v/>
      </c>
    </row>
    <row r="14764" spans="1:7" ht="12" customHeight="1" outlineLevel="3" x14ac:dyDescent="0.2">
      <c r="A14764" s="14" t="s">
        <v>29040</v>
      </c>
      <c r="B14764" s="15" t="s">
        <v>29041</v>
      </c>
      <c r="C14764" s="16">
        <f>672.24/(1+B2)</f>
        <v>672.24</v>
      </c>
      <c r="D14764" s="17" t="s">
        <v>11</v>
      </c>
      <c r="E14764" s="17"/>
      <c r="F14764" s="18"/>
      <c r="G14764" s="36" t="str">
        <f>IF(ISNUMBER(F14764),C14764*F14764,"")</f>
        <v/>
      </c>
    </row>
    <row r="14765" spans="1:7" ht="12" customHeight="1" outlineLevel="3" x14ac:dyDescent="0.2">
      <c r="A14765" s="14" t="s">
        <v>29042</v>
      </c>
      <c r="B14765" s="15" t="s">
        <v>29043</v>
      </c>
      <c r="C14765" s="16">
        <f>651.92/(1+B2)</f>
        <v>651.91999999999996</v>
      </c>
      <c r="D14765" s="17" t="s">
        <v>11</v>
      </c>
      <c r="E14765" s="17"/>
      <c r="F14765" s="18"/>
      <c r="G14765" s="36" t="str">
        <f>IF(ISNUMBER(F14765),C14765*F14765,"")</f>
        <v/>
      </c>
    </row>
    <row r="14766" spans="1:7" ht="12" customHeight="1" outlineLevel="3" x14ac:dyDescent="0.2">
      <c r="A14766" s="14" t="s">
        <v>29044</v>
      </c>
      <c r="B14766" s="15" t="s">
        <v>29045</v>
      </c>
      <c r="C14766" s="19">
        <f>6644.45/(1+B2)</f>
        <v>6644.45</v>
      </c>
      <c r="D14766" s="17" t="s">
        <v>11</v>
      </c>
      <c r="E14766" s="17"/>
      <c r="F14766" s="18"/>
      <c r="G14766" s="36" t="str">
        <f>IF(ISNUMBER(F14766),C14766*F14766,"")</f>
        <v/>
      </c>
    </row>
    <row r="14767" spans="1:7" ht="12" customHeight="1" outlineLevel="3" x14ac:dyDescent="0.2">
      <c r="A14767" s="14" t="s">
        <v>29046</v>
      </c>
      <c r="B14767" s="15" t="s">
        <v>29047</v>
      </c>
      <c r="C14767" s="19">
        <f>3377.28/(1+B2)</f>
        <v>3377.28</v>
      </c>
      <c r="D14767" s="17" t="s">
        <v>11</v>
      </c>
      <c r="E14767" s="17"/>
      <c r="F14767" s="18"/>
      <c r="G14767" s="36" t="str">
        <f>IF(ISNUMBER(F14767),C14767*F14767,"")</f>
        <v/>
      </c>
    </row>
    <row r="14768" spans="1:7" ht="12" customHeight="1" outlineLevel="3" x14ac:dyDescent="0.2">
      <c r="A14768" s="14" t="s">
        <v>29048</v>
      </c>
      <c r="B14768" s="15" t="s">
        <v>29049</v>
      </c>
      <c r="C14768" s="19">
        <f>7865.96/(1+B2)</f>
        <v>7865.96</v>
      </c>
      <c r="D14768" s="17" t="s">
        <v>11</v>
      </c>
      <c r="E14768" s="17"/>
      <c r="F14768" s="18"/>
      <c r="G14768" s="36" t="str">
        <f>IF(ISNUMBER(F14768),C14768*F14768,"")</f>
        <v/>
      </c>
    </row>
    <row r="14769" spans="1:7" ht="12" customHeight="1" outlineLevel="3" x14ac:dyDescent="0.2">
      <c r="A14769" s="14" t="s">
        <v>29050</v>
      </c>
      <c r="B14769" s="15" t="s">
        <v>29051</v>
      </c>
      <c r="C14769" s="19">
        <f>9646.49/(1+B2)</f>
        <v>9646.49</v>
      </c>
      <c r="D14769" s="17" t="s">
        <v>11</v>
      </c>
      <c r="E14769" s="17"/>
      <c r="F14769" s="18"/>
      <c r="G14769" s="36" t="str">
        <f>IF(ISNUMBER(F14769),C14769*F14769,"")</f>
        <v/>
      </c>
    </row>
    <row r="14770" spans="1:7" ht="12" customHeight="1" outlineLevel="3" x14ac:dyDescent="0.2">
      <c r="A14770" s="14" t="s">
        <v>29052</v>
      </c>
      <c r="B14770" s="15" t="s">
        <v>29053</v>
      </c>
      <c r="C14770" s="19">
        <f>14515.72/(1+B2)</f>
        <v>14515.72</v>
      </c>
      <c r="D14770" s="17" t="s">
        <v>11</v>
      </c>
      <c r="E14770" s="17"/>
      <c r="F14770" s="18"/>
      <c r="G14770" s="36" t="str">
        <f>IF(ISNUMBER(F14770),C14770*F14770,"")</f>
        <v/>
      </c>
    </row>
    <row r="14771" spans="1:7" ht="12" customHeight="1" outlineLevel="3" x14ac:dyDescent="0.2">
      <c r="A14771" s="14" t="s">
        <v>29054</v>
      </c>
      <c r="B14771" s="15" t="s">
        <v>29055</v>
      </c>
      <c r="C14771" s="19">
        <f>8177.76/(1+B2)</f>
        <v>8177.76</v>
      </c>
      <c r="D14771" s="17" t="s">
        <v>11</v>
      </c>
      <c r="E14771" s="17"/>
      <c r="F14771" s="18"/>
      <c r="G14771" s="36" t="str">
        <f>IF(ISNUMBER(F14771),C14771*F14771,"")</f>
        <v/>
      </c>
    </row>
    <row r="14772" spans="1:7" ht="12" customHeight="1" outlineLevel="3" x14ac:dyDescent="0.2">
      <c r="A14772" s="14" t="s">
        <v>29056</v>
      </c>
      <c r="B14772" s="15" t="s">
        <v>29057</v>
      </c>
      <c r="C14772" s="19">
        <f>4070.99/(1+B2)</f>
        <v>4070.99</v>
      </c>
      <c r="D14772" s="17" t="s">
        <v>11</v>
      </c>
      <c r="E14772" s="17"/>
      <c r="F14772" s="18"/>
      <c r="G14772" s="36" t="str">
        <f>IF(ISNUMBER(F14772),C14772*F14772,"")</f>
        <v/>
      </c>
    </row>
    <row r="14773" spans="1:7" ht="12" customHeight="1" outlineLevel="3" x14ac:dyDescent="0.2">
      <c r="A14773" s="14" t="s">
        <v>29058</v>
      </c>
      <c r="B14773" s="15" t="s">
        <v>29059</v>
      </c>
      <c r="C14773" s="19">
        <f>5486.26/(1+B2)</f>
        <v>5486.26</v>
      </c>
      <c r="D14773" s="17" t="s">
        <v>11</v>
      </c>
      <c r="E14773" s="17"/>
      <c r="F14773" s="18"/>
      <c r="G14773" s="36" t="str">
        <f>IF(ISNUMBER(F14773),C14773*F14773,"")</f>
        <v/>
      </c>
    </row>
    <row r="14774" spans="1:7" ht="12" customHeight="1" outlineLevel="3" x14ac:dyDescent="0.2">
      <c r="A14774" s="14" t="s">
        <v>29060</v>
      </c>
      <c r="B14774" s="15" t="s">
        <v>29061</v>
      </c>
      <c r="C14774" s="19">
        <f>1685.05/(1+B2)</f>
        <v>1685.05</v>
      </c>
      <c r="D14774" s="17" t="s">
        <v>11</v>
      </c>
      <c r="E14774" s="17"/>
      <c r="F14774" s="18"/>
      <c r="G14774" s="36" t="str">
        <f>IF(ISNUMBER(F14774),C14774*F14774,"")</f>
        <v/>
      </c>
    </row>
    <row r="14775" spans="1:7" ht="12" customHeight="1" outlineLevel="3" x14ac:dyDescent="0.2">
      <c r="A14775" s="14" t="s">
        <v>29062</v>
      </c>
      <c r="B14775" s="15" t="s">
        <v>29063</v>
      </c>
      <c r="C14775" s="19">
        <f>7189.16/(1+B2)</f>
        <v>7189.16</v>
      </c>
      <c r="D14775" s="17" t="s">
        <v>11</v>
      </c>
      <c r="E14775" s="17"/>
      <c r="F14775" s="18"/>
      <c r="G14775" s="36" t="str">
        <f>IF(ISNUMBER(F14775),C14775*F14775,"")</f>
        <v/>
      </c>
    </row>
    <row r="14776" spans="1:7" ht="12" customHeight="1" outlineLevel="3" x14ac:dyDescent="0.2">
      <c r="A14776" s="14" t="s">
        <v>29064</v>
      </c>
      <c r="B14776" s="15" t="s">
        <v>29065</v>
      </c>
      <c r="C14776" s="19">
        <f>7730.18/(1+B2)</f>
        <v>7730.18</v>
      </c>
      <c r="D14776" s="17" t="s">
        <v>11</v>
      </c>
      <c r="E14776" s="17" t="s">
        <v>11</v>
      </c>
      <c r="F14776" s="18"/>
      <c r="G14776" s="36" t="str">
        <f>IF(ISNUMBER(F14776),C14776*F14776,"")</f>
        <v/>
      </c>
    </row>
    <row r="14777" spans="1:7" ht="12" customHeight="1" outlineLevel="3" x14ac:dyDescent="0.2">
      <c r="A14777" s="14" t="s">
        <v>29066</v>
      </c>
      <c r="B14777" s="15" t="s">
        <v>29067</v>
      </c>
      <c r="C14777" s="19">
        <f>11967.33/(1+B2)</f>
        <v>11967.33</v>
      </c>
      <c r="D14777" s="17" t="s">
        <v>11</v>
      </c>
      <c r="E14777" s="17" t="s">
        <v>11</v>
      </c>
      <c r="F14777" s="18"/>
      <c r="G14777" s="36" t="str">
        <f>IF(ISNUMBER(F14777),C14777*F14777,"")</f>
        <v/>
      </c>
    </row>
    <row r="14778" spans="1:7" ht="12" customHeight="1" outlineLevel="3" x14ac:dyDescent="0.2">
      <c r="A14778" s="14" t="s">
        <v>29068</v>
      </c>
      <c r="B14778" s="15" t="s">
        <v>29069</v>
      </c>
      <c r="C14778" s="19">
        <f>9058.86/(1+B2)</f>
        <v>9058.86</v>
      </c>
      <c r="D14778" s="17" t="s">
        <v>11</v>
      </c>
      <c r="E14778" s="17"/>
      <c r="F14778" s="18"/>
      <c r="G14778" s="36" t="str">
        <f>IF(ISNUMBER(F14778),C14778*F14778,"")</f>
        <v/>
      </c>
    </row>
    <row r="14779" spans="1:7" ht="12" customHeight="1" outlineLevel="3" x14ac:dyDescent="0.2">
      <c r="A14779" s="14" t="s">
        <v>29070</v>
      </c>
      <c r="B14779" s="15" t="s">
        <v>29071</v>
      </c>
      <c r="C14779" s="19">
        <f>7875.65/(1+B2)</f>
        <v>7875.65</v>
      </c>
      <c r="D14779" s="17" t="s">
        <v>11</v>
      </c>
      <c r="E14779" s="17" t="s">
        <v>11</v>
      </c>
      <c r="F14779" s="18"/>
      <c r="G14779" s="36" t="str">
        <f>IF(ISNUMBER(F14779),C14779*F14779,"")</f>
        <v/>
      </c>
    </row>
    <row r="14780" spans="1:7" ht="12" customHeight="1" outlineLevel="3" x14ac:dyDescent="0.2">
      <c r="A14780" s="14" t="s">
        <v>29072</v>
      </c>
      <c r="B14780" s="15" t="s">
        <v>29073</v>
      </c>
      <c r="C14780" s="19">
        <f>20818.78/(1+B2)</f>
        <v>20818.78</v>
      </c>
      <c r="D14780" s="17" t="s">
        <v>11</v>
      </c>
      <c r="E14780" s="17"/>
      <c r="F14780" s="18"/>
      <c r="G14780" s="36" t="str">
        <f>IF(ISNUMBER(F14780),C14780*F14780,"")</f>
        <v/>
      </c>
    </row>
    <row r="14781" spans="1:7" ht="12" customHeight="1" outlineLevel="3" x14ac:dyDescent="0.2">
      <c r="A14781" s="14" t="s">
        <v>29074</v>
      </c>
      <c r="B14781" s="15" t="s">
        <v>29075</v>
      </c>
      <c r="C14781" s="19">
        <f>2577.64/(1+B2)</f>
        <v>2577.64</v>
      </c>
      <c r="D14781" s="17" t="s">
        <v>11</v>
      </c>
      <c r="E14781" s="17" t="s">
        <v>11</v>
      </c>
      <c r="F14781" s="18"/>
      <c r="G14781" s="36" t="str">
        <f>IF(ISNUMBER(F14781),C14781*F14781,"")</f>
        <v/>
      </c>
    </row>
    <row r="14782" spans="1:7" ht="12" customHeight="1" outlineLevel="3" x14ac:dyDescent="0.2">
      <c r="A14782" s="14" t="s">
        <v>29076</v>
      </c>
      <c r="B14782" s="15" t="s">
        <v>29077</v>
      </c>
      <c r="C14782" s="19">
        <f>3637.27/(1+B2)</f>
        <v>3637.27</v>
      </c>
      <c r="D14782" s="17" t="s">
        <v>11</v>
      </c>
      <c r="E14782" s="17"/>
      <c r="F14782" s="18"/>
      <c r="G14782" s="36" t="str">
        <f>IF(ISNUMBER(F14782),C14782*F14782,"")</f>
        <v/>
      </c>
    </row>
    <row r="14783" spans="1:7" ht="24" customHeight="1" outlineLevel="3" x14ac:dyDescent="0.2">
      <c r="A14783" s="14" t="s">
        <v>29078</v>
      </c>
      <c r="B14783" s="15" t="s">
        <v>29079</v>
      </c>
      <c r="C14783" s="19">
        <f>4629.13/(1+B2)</f>
        <v>4629.13</v>
      </c>
      <c r="D14783" s="17" t="s">
        <v>11</v>
      </c>
      <c r="E14783" s="17"/>
      <c r="F14783" s="18"/>
      <c r="G14783" s="36" t="str">
        <f>IF(ISNUMBER(F14783),C14783*F14783,"")</f>
        <v/>
      </c>
    </row>
    <row r="14784" spans="1:7" ht="24" customHeight="1" outlineLevel="3" x14ac:dyDescent="0.2">
      <c r="A14784" s="14" t="s">
        <v>29080</v>
      </c>
      <c r="B14784" s="15" t="s">
        <v>29081</v>
      </c>
      <c r="C14784" s="19">
        <f>3718.39/(1+B2)</f>
        <v>3718.39</v>
      </c>
      <c r="D14784" s="17" t="s">
        <v>11</v>
      </c>
      <c r="E14784" s="17"/>
      <c r="F14784" s="18"/>
      <c r="G14784" s="36" t="str">
        <f>IF(ISNUMBER(F14784),C14784*F14784,"")</f>
        <v/>
      </c>
    </row>
    <row r="14785" spans="1:7" ht="24" customHeight="1" outlineLevel="3" x14ac:dyDescent="0.2">
      <c r="A14785" s="14" t="s">
        <v>29082</v>
      </c>
      <c r="B14785" s="15" t="s">
        <v>29083</v>
      </c>
      <c r="C14785" s="19">
        <f>1975.08/(1+B2)</f>
        <v>1975.08</v>
      </c>
      <c r="D14785" s="17" t="s">
        <v>11</v>
      </c>
      <c r="E14785" s="17"/>
      <c r="F14785" s="18"/>
      <c r="G14785" s="36" t="str">
        <f>IF(ISNUMBER(F14785),C14785*F14785,"")</f>
        <v/>
      </c>
    </row>
    <row r="14786" spans="1:7" ht="24" customHeight="1" outlineLevel="3" x14ac:dyDescent="0.2">
      <c r="A14786" s="14" t="s">
        <v>29084</v>
      </c>
      <c r="B14786" s="15" t="s">
        <v>29085</v>
      </c>
      <c r="C14786" s="19">
        <f>4955.74/(1+B2)</f>
        <v>4955.74</v>
      </c>
      <c r="D14786" s="17" t="s">
        <v>11</v>
      </c>
      <c r="E14786" s="17"/>
      <c r="F14786" s="18"/>
      <c r="G14786" s="36" t="str">
        <f>IF(ISNUMBER(F14786),C14786*F14786,"")</f>
        <v/>
      </c>
    </row>
    <row r="14787" spans="1:7" ht="24" customHeight="1" outlineLevel="3" x14ac:dyDescent="0.2">
      <c r="A14787" s="14" t="s">
        <v>29086</v>
      </c>
      <c r="B14787" s="15" t="s">
        <v>29087</v>
      </c>
      <c r="C14787" s="19">
        <f>12004.19/(1+B2)</f>
        <v>12004.19</v>
      </c>
      <c r="D14787" s="17" t="s">
        <v>11</v>
      </c>
      <c r="E14787" s="17"/>
      <c r="F14787" s="18"/>
      <c r="G14787" s="36" t="str">
        <f>IF(ISNUMBER(F14787),C14787*F14787,"")</f>
        <v/>
      </c>
    </row>
    <row r="14788" spans="1:7" ht="24" customHeight="1" outlineLevel="3" x14ac:dyDescent="0.2">
      <c r="A14788" s="14" t="s">
        <v>29088</v>
      </c>
      <c r="B14788" s="15" t="s">
        <v>29089</v>
      </c>
      <c r="C14788" s="19">
        <f>2850.69/(1+B2)</f>
        <v>2850.69</v>
      </c>
      <c r="D14788" s="17" t="s">
        <v>11</v>
      </c>
      <c r="E14788" s="17"/>
      <c r="F14788" s="18"/>
      <c r="G14788" s="36" t="str">
        <f>IF(ISNUMBER(F14788),C14788*F14788,"")</f>
        <v/>
      </c>
    </row>
    <row r="14789" spans="1:7" ht="12" customHeight="1" outlineLevel="3" x14ac:dyDescent="0.2">
      <c r="A14789" s="14" t="s">
        <v>29090</v>
      </c>
      <c r="B14789" s="15" t="s">
        <v>29091</v>
      </c>
      <c r="C14789" s="19">
        <f>16306.64/(1+B2)</f>
        <v>16306.64</v>
      </c>
      <c r="D14789" s="17" t="s">
        <v>11</v>
      </c>
      <c r="E14789" s="17"/>
      <c r="F14789" s="18"/>
      <c r="G14789" s="36" t="str">
        <f>IF(ISNUMBER(F14789),C14789*F14789,"")</f>
        <v/>
      </c>
    </row>
    <row r="14790" spans="1:7" ht="12" customHeight="1" outlineLevel="3" x14ac:dyDescent="0.2">
      <c r="A14790" s="14" t="s">
        <v>29092</v>
      </c>
      <c r="B14790" s="15" t="s">
        <v>29093</v>
      </c>
      <c r="C14790" s="19">
        <f>3439.99/(1+B2)</f>
        <v>3439.99</v>
      </c>
      <c r="D14790" s="17" t="s">
        <v>11</v>
      </c>
      <c r="E14790" s="17"/>
      <c r="F14790" s="18"/>
      <c r="G14790" s="36" t="str">
        <f>IF(ISNUMBER(F14790),C14790*F14790,"")</f>
        <v/>
      </c>
    </row>
    <row r="14791" spans="1:7" ht="12" customHeight="1" outlineLevel="3" x14ac:dyDescent="0.2">
      <c r="A14791" s="14" t="s">
        <v>29094</v>
      </c>
      <c r="B14791" s="15" t="s">
        <v>29095</v>
      </c>
      <c r="C14791" s="19">
        <f>2121.03/(1+B2)</f>
        <v>2121.0300000000002</v>
      </c>
      <c r="D14791" s="17" t="s">
        <v>11</v>
      </c>
      <c r="E14791" s="17"/>
      <c r="F14791" s="18"/>
      <c r="G14791" s="36" t="str">
        <f>IF(ISNUMBER(F14791),C14791*F14791,"")</f>
        <v/>
      </c>
    </row>
    <row r="14792" spans="1:7" ht="24" customHeight="1" outlineLevel="3" x14ac:dyDescent="0.2">
      <c r="A14792" s="14" t="s">
        <v>29096</v>
      </c>
      <c r="B14792" s="15" t="s">
        <v>29097</v>
      </c>
      <c r="C14792" s="19">
        <f>1804.38/(1+B2)</f>
        <v>1804.38</v>
      </c>
      <c r="D14792" s="17" t="s">
        <v>11</v>
      </c>
      <c r="E14792" s="17"/>
      <c r="F14792" s="18"/>
      <c r="G14792" s="36" t="str">
        <f>IF(ISNUMBER(F14792),C14792*F14792,"")</f>
        <v/>
      </c>
    </row>
    <row r="14793" spans="1:7" ht="24" customHeight="1" outlineLevel="3" x14ac:dyDescent="0.2">
      <c r="A14793" s="14" t="s">
        <v>29098</v>
      </c>
      <c r="B14793" s="15" t="s">
        <v>29099</v>
      </c>
      <c r="C14793" s="19">
        <f>1006.71/(1+B2)</f>
        <v>1006.71</v>
      </c>
      <c r="D14793" s="17" t="s">
        <v>11</v>
      </c>
      <c r="E14793" s="17"/>
      <c r="F14793" s="18"/>
      <c r="G14793" s="36" t="str">
        <f>IF(ISNUMBER(F14793),C14793*F14793,"")</f>
        <v/>
      </c>
    </row>
    <row r="14794" spans="1:7" ht="24" customHeight="1" outlineLevel="3" x14ac:dyDescent="0.2">
      <c r="A14794" s="14" t="s">
        <v>29100</v>
      </c>
      <c r="B14794" s="15" t="s">
        <v>29101</v>
      </c>
      <c r="C14794" s="19">
        <f>1374.25/(1+B2)</f>
        <v>1374.25</v>
      </c>
      <c r="D14794" s="17" t="s">
        <v>11</v>
      </c>
      <c r="E14794" s="17"/>
      <c r="F14794" s="18"/>
      <c r="G14794" s="36" t="str">
        <f>IF(ISNUMBER(F14794),C14794*F14794,"")</f>
        <v/>
      </c>
    </row>
    <row r="14795" spans="1:7" ht="24" customHeight="1" outlineLevel="3" x14ac:dyDescent="0.2">
      <c r="A14795" s="14" t="s">
        <v>29102</v>
      </c>
      <c r="B14795" s="15" t="s">
        <v>29103</v>
      </c>
      <c r="C14795" s="19">
        <f>2858.25/(1+B2)</f>
        <v>2858.25</v>
      </c>
      <c r="D14795" s="17" t="s">
        <v>11</v>
      </c>
      <c r="E14795" s="17"/>
      <c r="F14795" s="18"/>
      <c r="G14795" s="36" t="str">
        <f>IF(ISNUMBER(F14795),C14795*F14795,"")</f>
        <v/>
      </c>
    </row>
    <row r="14796" spans="1:7" ht="24" customHeight="1" outlineLevel="3" x14ac:dyDescent="0.2">
      <c r="A14796" s="14" t="s">
        <v>29104</v>
      </c>
      <c r="B14796" s="15" t="s">
        <v>29105</v>
      </c>
      <c r="C14796" s="19">
        <f>1886.68/(1+B2)</f>
        <v>1886.68</v>
      </c>
      <c r="D14796" s="17" t="s">
        <v>11</v>
      </c>
      <c r="E14796" s="17"/>
      <c r="F14796" s="18"/>
      <c r="G14796" s="36" t="str">
        <f>IF(ISNUMBER(F14796),C14796*F14796,"")</f>
        <v/>
      </c>
    </row>
    <row r="14797" spans="1:7" ht="24" customHeight="1" outlineLevel="3" x14ac:dyDescent="0.2">
      <c r="A14797" s="14" t="s">
        <v>29106</v>
      </c>
      <c r="B14797" s="15" t="s">
        <v>29107</v>
      </c>
      <c r="C14797" s="19">
        <f>1289.9/(1+B2)</f>
        <v>1289.9000000000001</v>
      </c>
      <c r="D14797" s="17" t="s">
        <v>11</v>
      </c>
      <c r="E14797" s="17"/>
      <c r="F14797" s="18"/>
      <c r="G14797" s="36" t="str">
        <f>IF(ISNUMBER(F14797),C14797*F14797,"")</f>
        <v/>
      </c>
    </row>
    <row r="14798" spans="1:7" ht="24" customHeight="1" outlineLevel="3" x14ac:dyDescent="0.2">
      <c r="A14798" s="14" t="s">
        <v>29108</v>
      </c>
      <c r="B14798" s="15" t="s">
        <v>29109</v>
      </c>
      <c r="C14798" s="19">
        <f>1436.91/(1+B2)</f>
        <v>1436.91</v>
      </c>
      <c r="D14798" s="17" t="s">
        <v>11</v>
      </c>
      <c r="E14798" s="17"/>
      <c r="F14798" s="18"/>
      <c r="G14798" s="36" t="str">
        <f>IF(ISNUMBER(F14798),C14798*F14798,"")</f>
        <v/>
      </c>
    </row>
    <row r="14799" spans="1:7" ht="12" customHeight="1" outlineLevel="3" x14ac:dyDescent="0.2">
      <c r="A14799" s="14" t="s">
        <v>29110</v>
      </c>
      <c r="B14799" s="15" t="s">
        <v>29111</v>
      </c>
      <c r="C14799" s="19">
        <f>9490.8/(1+B2)</f>
        <v>9490.7999999999993</v>
      </c>
      <c r="D14799" s="17" t="s">
        <v>11</v>
      </c>
      <c r="E14799" s="17"/>
      <c r="F14799" s="18"/>
      <c r="G14799" s="36" t="str">
        <f>IF(ISNUMBER(F14799),C14799*F14799,"")</f>
        <v/>
      </c>
    </row>
    <row r="14800" spans="1:7" ht="12" customHeight="1" outlineLevel="3" x14ac:dyDescent="0.2">
      <c r="A14800" s="14" t="s">
        <v>29112</v>
      </c>
      <c r="B14800" s="15" t="s">
        <v>29113</v>
      </c>
      <c r="C14800" s="19">
        <f>1151.68/(1+B2)</f>
        <v>1151.68</v>
      </c>
      <c r="D14800" s="17" t="s">
        <v>11</v>
      </c>
      <c r="E14800" s="17"/>
      <c r="F14800" s="18"/>
      <c r="G14800" s="36" t="str">
        <f>IF(ISNUMBER(F14800),C14800*F14800,"")</f>
        <v/>
      </c>
    </row>
    <row r="14801" spans="1:7" ht="12" customHeight="1" outlineLevel="3" x14ac:dyDescent="0.2">
      <c r="A14801" s="14" t="s">
        <v>29114</v>
      </c>
      <c r="B14801" s="15" t="s">
        <v>29115</v>
      </c>
      <c r="C14801" s="16">
        <f>702.28/(1+B2)</f>
        <v>702.28</v>
      </c>
      <c r="D14801" s="17" t="s">
        <v>11</v>
      </c>
      <c r="E14801" s="17"/>
      <c r="F14801" s="18"/>
      <c r="G14801" s="36" t="str">
        <f>IF(ISNUMBER(F14801),C14801*F14801,"")</f>
        <v/>
      </c>
    </row>
    <row r="14802" spans="1:7" ht="12" customHeight="1" outlineLevel="3" x14ac:dyDescent="0.2">
      <c r="A14802" s="14" t="s">
        <v>29116</v>
      </c>
      <c r="B14802" s="15" t="s">
        <v>29117</v>
      </c>
      <c r="C14802" s="16">
        <f>807.05/(1+B2)</f>
        <v>807.05</v>
      </c>
      <c r="D14802" s="17" t="s">
        <v>11</v>
      </c>
      <c r="E14802" s="17"/>
      <c r="F14802" s="18"/>
      <c r="G14802" s="36" t="str">
        <f>IF(ISNUMBER(F14802),C14802*F14802,"")</f>
        <v/>
      </c>
    </row>
    <row r="14803" spans="1:7" ht="12" customHeight="1" outlineLevel="3" x14ac:dyDescent="0.2">
      <c r="A14803" s="14" t="s">
        <v>29118</v>
      </c>
      <c r="B14803" s="15" t="s">
        <v>29119</v>
      </c>
      <c r="C14803" s="16">
        <f>938.73/(1+B2)</f>
        <v>938.73</v>
      </c>
      <c r="D14803" s="17" t="s">
        <v>11</v>
      </c>
      <c r="E14803" s="17"/>
      <c r="F14803" s="18"/>
      <c r="G14803" s="36" t="str">
        <f>IF(ISNUMBER(F14803),C14803*F14803,"")</f>
        <v/>
      </c>
    </row>
    <row r="14804" spans="1:7" ht="12" customHeight="1" outlineLevel="3" x14ac:dyDescent="0.2">
      <c r="A14804" s="14" t="s">
        <v>29120</v>
      </c>
      <c r="B14804" s="15" t="s">
        <v>29121</v>
      </c>
      <c r="C14804" s="16">
        <f>521.53/(1+B2)</f>
        <v>521.53</v>
      </c>
      <c r="D14804" s="17" t="s">
        <v>11</v>
      </c>
      <c r="E14804" s="17"/>
      <c r="F14804" s="18"/>
      <c r="G14804" s="36" t="str">
        <f>IF(ISNUMBER(F14804),C14804*F14804,"")</f>
        <v/>
      </c>
    </row>
    <row r="14805" spans="1:7" ht="12" customHeight="1" outlineLevel="3" x14ac:dyDescent="0.2">
      <c r="A14805" s="14" t="s">
        <v>29122</v>
      </c>
      <c r="B14805" s="15" t="s">
        <v>29123</v>
      </c>
      <c r="C14805" s="16">
        <f>594.53/(1+B2)</f>
        <v>594.53</v>
      </c>
      <c r="D14805" s="17" t="s">
        <v>11</v>
      </c>
      <c r="E14805" s="17"/>
      <c r="F14805" s="18"/>
      <c r="G14805" s="36" t="str">
        <f>IF(ISNUMBER(F14805),C14805*F14805,"")</f>
        <v/>
      </c>
    </row>
    <row r="14806" spans="1:7" ht="24" customHeight="1" outlineLevel="3" x14ac:dyDescent="0.2">
      <c r="A14806" s="14" t="s">
        <v>29124</v>
      </c>
      <c r="B14806" s="15" t="s">
        <v>29125</v>
      </c>
      <c r="C14806" s="19">
        <f>1143.78/(1+B2)</f>
        <v>1143.78</v>
      </c>
      <c r="D14806" s="17" t="s">
        <v>11</v>
      </c>
      <c r="E14806" s="17"/>
      <c r="F14806" s="18"/>
      <c r="G14806" s="36" t="str">
        <f>IF(ISNUMBER(F14806),C14806*F14806,"")</f>
        <v/>
      </c>
    </row>
    <row r="14807" spans="1:7" ht="24" customHeight="1" outlineLevel="3" x14ac:dyDescent="0.2">
      <c r="A14807" s="14" t="s">
        <v>29126</v>
      </c>
      <c r="B14807" s="15" t="s">
        <v>29127</v>
      </c>
      <c r="C14807" s="16">
        <f>622.01/(1+B2)</f>
        <v>622.01</v>
      </c>
      <c r="D14807" s="17" t="s">
        <v>11</v>
      </c>
      <c r="E14807" s="17"/>
      <c r="F14807" s="18"/>
      <c r="G14807" s="36" t="str">
        <f>IF(ISNUMBER(F14807),C14807*F14807,"")</f>
        <v/>
      </c>
    </row>
    <row r="14808" spans="1:7" ht="24" customHeight="1" outlineLevel="3" x14ac:dyDescent="0.2">
      <c r="A14808" s="14" t="s">
        <v>29128</v>
      </c>
      <c r="B14808" s="15" t="s">
        <v>29129</v>
      </c>
      <c r="C14808" s="16">
        <f>924.63/(1+B2)</f>
        <v>924.63</v>
      </c>
      <c r="D14808" s="17" t="s">
        <v>11</v>
      </c>
      <c r="E14808" s="17"/>
      <c r="F14808" s="18"/>
      <c r="G14808" s="36" t="str">
        <f>IF(ISNUMBER(F14808),C14808*F14808,"")</f>
        <v/>
      </c>
    </row>
    <row r="14809" spans="1:7" s="1" customFormat="1" ht="12.95" customHeight="1" outlineLevel="2" x14ac:dyDescent="0.2">
      <c r="A14809" s="20"/>
      <c r="B14809" s="21" t="s">
        <v>29130</v>
      </c>
      <c r="C14809" s="22"/>
      <c r="D14809" s="22"/>
      <c r="E14809" s="22"/>
      <c r="F14809" s="22"/>
      <c r="G14809" s="37"/>
    </row>
    <row r="14810" spans="1:7" ht="12" customHeight="1" outlineLevel="3" x14ac:dyDescent="0.2">
      <c r="A14810" s="14" t="s">
        <v>29131</v>
      </c>
      <c r="B14810" s="15" t="s">
        <v>29132</v>
      </c>
      <c r="C14810" s="19">
        <f>3345.41/(1+B2)</f>
        <v>3345.41</v>
      </c>
      <c r="D14810" s="17" t="s">
        <v>11</v>
      </c>
      <c r="E14810" s="17" t="s">
        <v>11</v>
      </c>
      <c r="F14810" s="18"/>
      <c r="G14810" s="36" t="str">
        <f>IF(ISNUMBER(F14810),C14810*F14810,"")</f>
        <v/>
      </c>
    </row>
    <row r="14811" spans="1:7" ht="12" customHeight="1" outlineLevel="3" x14ac:dyDescent="0.2">
      <c r="A14811" s="14" t="s">
        <v>29133</v>
      </c>
      <c r="B14811" s="15" t="s">
        <v>29134</v>
      </c>
      <c r="C14811" s="19">
        <f>1841.16/(1+B2)</f>
        <v>1841.16</v>
      </c>
      <c r="D14811" s="17" t="s">
        <v>11</v>
      </c>
      <c r="E14811" s="17" t="s">
        <v>11</v>
      </c>
      <c r="F14811" s="18"/>
      <c r="G14811" s="36" t="str">
        <f>IF(ISNUMBER(F14811),C14811*F14811,"")</f>
        <v/>
      </c>
    </row>
    <row r="14812" spans="1:7" ht="12" customHeight="1" outlineLevel="3" x14ac:dyDescent="0.2">
      <c r="A14812" s="14" t="s">
        <v>29135</v>
      </c>
      <c r="B14812" s="15" t="s">
        <v>29136</v>
      </c>
      <c r="C14812" s="19">
        <f>3460.8/(1+B2)</f>
        <v>3460.8</v>
      </c>
      <c r="D14812" s="17" t="s">
        <v>11</v>
      </c>
      <c r="E14812" s="17" t="s">
        <v>11</v>
      </c>
      <c r="F14812" s="18"/>
      <c r="G14812" s="36" t="str">
        <f>IF(ISNUMBER(F14812),C14812*F14812,"")</f>
        <v/>
      </c>
    </row>
    <row r="14813" spans="1:7" s="1" customFormat="1" ht="15.95" customHeight="1" outlineLevel="1" x14ac:dyDescent="0.25">
      <c r="A14813" s="11"/>
      <c r="B14813" s="12" t="s">
        <v>29137</v>
      </c>
      <c r="C14813" s="13"/>
      <c r="D14813" s="13"/>
      <c r="E14813" s="13"/>
      <c r="F14813" s="13"/>
      <c r="G14813" s="35"/>
    </row>
    <row r="14814" spans="1:7" ht="12" customHeight="1" outlineLevel="2" x14ac:dyDescent="0.2">
      <c r="A14814" s="14" t="s">
        <v>29138</v>
      </c>
      <c r="B14814" s="15" t="s">
        <v>29139</v>
      </c>
      <c r="C14814" s="16">
        <f>150.77/(1+B2)</f>
        <v>150.77000000000001</v>
      </c>
      <c r="D14814" s="17" t="s">
        <v>11</v>
      </c>
      <c r="E14814" s="17"/>
      <c r="F14814" s="18"/>
      <c r="G14814" s="36" t="str">
        <f>IF(ISNUMBER(F14814),C14814*F14814,"")</f>
        <v/>
      </c>
    </row>
    <row r="14815" spans="1:7" ht="12" customHeight="1" outlineLevel="2" x14ac:dyDescent="0.2">
      <c r="A14815" s="14" t="s">
        <v>29140</v>
      </c>
      <c r="B14815" s="15" t="s">
        <v>29141</v>
      </c>
      <c r="C14815" s="16">
        <f>282.54/(1+B2)</f>
        <v>282.54000000000002</v>
      </c>
      <c r="D14815" s="17" t="s">
        <v>11</v>
      </c>
      <c r="E14815" s="17"/>
      <c r="F14815" s="18"/>
      <c r="G14815" s="36" t="str">
        <f>IF(ISNUMBER(F14815),C14815*F14815,"")</f>
        <v/>
      </c>
    </row>
    <row r="14816" spans="1:7" ht="12" customHeight="1" outlineLevel="2" x14ac:dyDescent="0.2">
      <c r="A14816" s="14" t="s">
        <v>29142</v>
      </c>
      <c r="B14816" s="15" t="s">
        <v>29143</v>
      </c>
      <c r="C14816" s="16">
        <f>286.92/(1+B2)</f>
        <v>286.92</v>
      </c>
      <c r="D14816" s="17" t="s">
        <v>11</v>
      </c>
      <c r="E14816" s="17"/>
      <c r="F14816" s="18"/>
      <c r="G14816" s="36" t="str">
        <f>IF(ISNUMBER(F14816),C14816*F14816,"")</f>
        <v/>
      </c>
    </row>
    <row r="14817" spans="1:7" ht="12" customHeight="1" outlineLevel="2" x14ac:dyDescent="0.2">
      <c r="A14817" s="14" t="s">
        <v>29144</v>
      </c>
      <c r="B14817" s="15" t="s">
        <v>29145</v>
      </c>
      <c r="C14817" s="16">
        <f>213.5/(1+B2)</f>
        <v>213.5</v>
      </c>
      <c r="D14817" s="17" t="s">
        <v>11</v>
      </c>
      <c r="E14817" s="17"/>
      <c r="F14817" s="18"/>
      <c r="G14817" s="36" t="str">
        <f>IF(ISNUMBER(F14817),C14817*F14817,"")</f>
        <v/>
      </c>
    </row>
    <row r="14818" spans="1:7" ht="12" customHeight="1" outlineLevel="2" x14ac:dyDescent="0.2">
      <c r="A14818" s="14" t="s">
        <v>29146</v>
      </c>
      <c r="B14818" s="15" t="s">
        <v>29147</v>
      </c>
      <c r="C14818" s="16">
        <f>339.39/(1+B2)</f>
        <v>339.39</v>
      </c>
      <c r="D14818" s="17" t="s">
        <v>11</v>
      </c>
      <c r="E14818" s="17"/>
      <c r="F14818" s="18"/>
      <c r="G14818" s="36" t="str">
        <f>IF(ISNUMBER(F14818),C14818*F14818,"")</f>
        <v/>
      </c>
    </row>
    <row r="14819" spans="1:7" ht="12" customHeight="1" outlineLevel="2" x14ac:dyDescent="0.2">
      <c r="A14819" s="14" t="s">
        <v>29148</v>
      </c>
      <c r="B14819" s="15" t="s">
        <v>29149</v>
      </c>
      <c r="C14819" s="16">
        <f>366.43/(1+B2)</f>
        <v>366.43</v>
      </c>
      <c r="D14819" s="17" t="s">
        <v>11</v>
      </c>
      <c r="E14819" s="17"/>
      <c r="F14819" s="18"/>
      <c r="G14819" s="36" t="str">
        <f>IF(ISNUMBER(F14819),C14819*F14819,"")</f>
        <v/>
      </c>
    </row>
    <row r="14820" spans="1:7" ht="12" customHeight="1" outlineLevel="2" x14ac:dyDescent="0.2">
      <c r="A14820" s="14" t="s">
        <v>29150</v>
      </c>
      <c r="B14820" s="15" t="s">
        <v>29151</v>
      </c>
      <c r="C14820" s="16">
        <f>267.57/(1+B2)</f>
        <v>267.57</v>
      </c>
      <c r="D14820" s="17" t="s">
        <v>11</v>
      </c>
      <c r="E14820" s="17"/>
      <c r="F14820" s="18"/>
      <c r="G14820" s="36" t="str">
        <f>IF(ISNUMBER(F14820),C14820*F14820,"")</f>
        <v/>
      </c>
    </row>
    <row r="14821" spans="1:7" ht="12" customHeight="1" outlineLevel="2" x14ac:dyDescent="0.2">
      <c r="A14821" s="14" t="s">
        <v>29152</v>
      </c>
      <c r="B14821" s="15" t="s">
        <v>29153</v>
      </c>
      <c r="C14821" s="16">
        <f>400.1/(1+B2)</f>
        <v>400.1</v>
      </c>
      <c r="D14821" s="17" t="s">
        <v>11</v>
      </c>
      <c r="E14821" s="17"/>
      <c r="F14821" s="18"/>
      <c r="G14821" s="36" t="str">
        <f>IF(ISNUMBER(F14821),C14821*F14821,"")</f>
        <v/>
      </c>
    </row>
    <row r="14822" spans="1:7" ht="24" customHeight="1" outlineLevel="2" x14ac:dyDescent="0.2">
      <c r="A14822" s="14" t="s">
        <v>29154</v>
      </c>
      <c r="B14822" s="15" t="s">
        <v>29155</v>
      </c>
      <c r="C14822" s="19">
        <f>1030.37/(1+B2)</f>
        <v>1030.3699999999999</v>
      </c>
      <c r="D14822" s="17" t="s">
        <v>11</v>
      </c>
      <c r="E14822" s="17"/>
      <c r="F14822" s="18"/>
      <c r="G14822" s="36" t="str">
        <f>IF(ISNUMBER(F14822),C14822*F14822,"")</f>
        <v/>
      </c>
    </row>
    <row r="14823" spans="1:7" ht="12" customHeight="1" outlineLevel="2" x14ac:dyDescent="0.2">
      <c r="A14823" s="14" t="s">
        <v>29156</v>
      </c>
      <c r="B14823" s="15" t="s">
        <v>29157</v>
      </c>
      <c r="C14823" s="16">
        <f>208.79/(1+B2)</f>
        <v>208.79</v>
      </c>
      <c r="D14823" s="17" t="s">
        <v>11</v>
      </c>
      <c r="E14823" s="17"/>
      <c r="F14823" s="18"/>
      <c r="G14823" s="36" t="str">
        <f>IF(ISNUMBER(F14823),C14823*F14823,"")</f>
        <v/>
      </c>
    </row>
    <row r="14824" spans="1:7" ht="12" customHeight="1" outlineLevel="2" x14ac:dyDescent="0.2">
      <c r="A14824" s="14" t="s">
        <v>29158</v>
      </c>
      <c r="B14824" s="15" t="s">
        <v>29159</v>
      </c>
      <c r="C14824" s="16">
        <f>231.18/(1+B2)</f>
        <v>231.18</v>
      </c>
      <c r="D14824" s="17" t="s">
        <v>11</v>
      </c>
      <c r="E14824" s="17"/>
      <c r="F14824" s="18"/>
      <c r="G14824" s="36" t="str">
        <f>IF(ISNUMBER(F14824),C14824*F14824,"")</f>
        <v/>
      </c>
    </row>
    <row r="14825" spans="1:7" ht="12" customHeight="1" outlineLevel="2" x14ac:dyDescent="0.2">
      <c r="A14825" s="14" t="s">
        <v>29160</v>
      </c>
      <c r="B14825" s="15" t="s">
        <v>29161</v>
      </c>
      <c r="C14825" s="16">
        <f>241.92/(1+B2)</f>
        <v>241.92</v>
      </c>
      <c r="D14825" s="17" t="s">
        <v>11</v>
      </c>
      <c r="E14825" s="17"/>
      <c r="F14825" s="18"/>
      <c r="G14825" s="36" t="str">
        <f>IF(ISNUMBER(F14825),C14825*F14825,"")</f>
        <v/>
      </c>
    </row>
    <row r="14826" spans="1:7" ht="12" customHeight="1" outlineLevel="2" x14ac:dyDescent="0.2">
      <c r="A14826" s="14" t="s">
        <v>29162</v>
      </c>
      <c r="B14826" s="15" t="s">
        <v>29163</v>
      </c>
      <c r="C14826" s="16">
        <f>249.46/(1+B2)</f>
        <v>249.46</v>
      </c>
      <c r="D14826" s="17" t="s">
        <v>11</v>
      </c>
      <c r="E14826" s="17"/>
      <c r="F14826" s="18"/>
      <c r="G14826" s="36" t="str">
        <f>IF(ISNUMBER(F14826),C14826*F14826,"")</f>
        <v/>
      </c>
    </row>
    <row r="14827" spans="1:7" ht="12" customHeight="1" outlineLevel="2" x14ac:dyDescent="0.2">
      <c r="A14827" s="14" t="s">
        <v>29164</v>
      </c>
      <c r="B14827" s="15" t="s">
        <v>29165</v>
      </c>
      <c r="C14827" s="16">
        <f>263.43/(1+B2)</f>
        <v>263.43</v>
      </c>
      <c r="D14827" s="17" t="s">
        <v>11</v>
      </c>
      <c r="E14827" s="17"/>
      <c r="F14827" s="18"/>
      <c r="G14827" s="36" t="str">
        <f>IF(ISNUMBER(F14827),C14827*F14827,"")</f>
        <v/>
      </c>
    </row>
    <row r="14828" spans="1:7" ht="12" customHeight="1" outlineLevel="2" x14ac:dyDescent="0.2">
      <c r="A14828" s="14" t="s">
        <v>29166</v>
      </c>
      <c r="B14828" s="15" t="s">
        <v>29167</v>
      </c>
      <c r="C14828" s="16">
        <f>268.82/(1+B2)</f>
        <v>268.82</v>
      </c>
      <c r="D14828" s="17" t="s">
        <v>11</v>
      </c>
      <c r="E14828" s="17"/>
      <c r="F14828" s="18"/>
      <c r="G14828" s="36" t="str">
        <f>IF(ISNUMBER(F14828),C14828*F14828,"")</f>
        <v/>
      </c>
    </row>
    <row r="14829" spans="1:7" ht="12" customHeight="1" outlineLevel="2" x14ac:dyDescent="0.2">
      <c r="A14829" s="14" t="s">
        <v>29168</v>
      </c>
      <c r="B14829" s="15" t="s">
        <v>29169</v>
      </c>
      <c r="C14829" s="16">
        <f>274.2/(1+B2)</f>
        <v>274.2</v>
      </c>
      <c r="D14829" s="17" t="s">
        <v>11</v>
      </c>
      <c r="E14829" s="17"/>
      <c r="F14829" s="18"/>
      <c r="G14829" s="36" t="str">
        <f>IF(ISNUMBER(F14829),C14829*F14829,"")</f>
        <v/>
      </c>
    </row>
    <row r="14830" spans="1:7" ht="12" customHeight="1" outlineLevel="2" x14ac:dyDescent="0.2">
      <c r="A14830" s="14" t="s">
        <v>29170</v>
      </c>
      <c r="B14830" s="15" t="s">
        <v>29171</v>
      </c>
      <c r="C14830" s="16">
        <f>276.45/(1+B2)</f>
        <v>276.45</v>
      </c>
      <c r="D14830" s="17" t="s">
        <v>11</v>
      </c>
      <c r="E14830" s="17"/>
      <c r="F14830" s="18"/>
      <c r="G14830" s="36" t="str">
        <f>IF(ISNUMBER(F14830),C14830*F14830,"")</f>
        <v/>
      </c>
    </row>
    <row r="14831" spans="1:7" ht="12" customHeight="1" outlineLevel="2" x14ac:dyDescent="0.2">
      <c r="A14831" s="14" t="s">
        <v>29172</v>
      </c>
      <c r="B14831" s="15" t="s">
        <v>29173</v>
      </c>
      <c r="C14831" s="16">
        <f>284.94/(1+B2)</f>
        <v>284.94</v>
      </c>
      <c r="D14831" s="17" t="s">
        <v>11</v>
      </c>
      <c r="E14831" s="17"/>
      <c r="F14831" s="18"/>
      <c r="G14831" s="36" t="str">
        <f>IF(ISNUMBER(F14831),C14831*F14831,"")</f>
        <v/>
      </c>
    </row>
    <row r="14832" spans="1:7" ht="12" customHeight="1" outlineLevel="2" x14ac:dyDescent="0.2">
      <c r="A14832" s="14" t="s">
        <v>29174</v>
      </c>
      <c r="B14832" s="15" t="s">
        <v>29175</v>
      </c>
      <c r="C14832" s="16">
        <f>276.49/(1+B2)</f>
        <v>276.49</v>
      </c>
      <c r="D14832" s="17" t="s">
        <v>11</v>
      </c>
      <c r="E14832" s="17"/>
      <c r="F14832" s="18"/>
      <c r="G14832" s="36" t="str">
        <f>IF(ISNUMBER(F14832),C14832*F14832,"")</f>
        <v/>
      </c>
    </row>
    <row r="14833" spans="1:7" ht="12" customHeight="1" outlineLevel="2" x14ac:dyDescent="0.2">
      <c r="A14833" s="14" t="s">
        <v>29176</v>
      </c>
      <c r="B14833" s="15" t="s">
        <v>29177</v>
      </c>
      <c r="C14833" s="16">
        <f>295.6/(1+B2)</f>
        <v>295.60000000000002</v>
      </c>
      <c r="D14833" s="17" t="s">
        <v>11</v>
      </c>
      <c r="E14833" s="17"/>
      <c r="F14833" s="18"/>
      <c r="G14833" s="36" t="str">
        <f>IF(ISNUMBER(F14833),C14833*F14833,"")</f>
        <v/>
      </c>
    </row>
    <row r="14834" spans="1:7" ht="12" customHeight="1" outlineLevel="2" x14ac:dyDescent="0.2">
      <c r="A14834" s="14" t="s">
        <v>29178</v>
      </c>
      <c r="B14834" s="15" t="s">
        <v>29179</v>
      </c>
      <c r="C14834" s="16">
        <f>304.55/(1+B2)</f>
        <v>304.55</v>
      </c>
      <c r="D14834" s="17" t="s">
        <v>11</v>
      </c>
      <c r="E14834" s="17"/>
      <c r="F14834" s="18"/>
      <c r="G14834" s="36" t="str">
        <f>IF(ISNUMBER(F14834),C14834*F14834,"")</f>
        <v/>
      </c>
    </row>
    <row r="14835" spans="1:7" ht="12" customHeight="1" outlineLevel="2" x14ac:dyDescent="0.2">
      <c r="A14835" s="14" t="s">
        <v>29180</v>
      </c>
      <c r="B14835" s="15" t="s">
        <v>29181</v>
      </c>
      <c r="C14835" s="16">
        <f>303.04/(1+B2)</f>
        <v>303.04000000000002</v>
      </c>
      <c r="D14835" s="17" t="s">
        <v>11</v>
      </c>
      <c r="E14835" s="17"/>
      <c r="F14835" s="18"/>
      <c r="G14835" s="36" t="str">
        <f>IF(ISNUMBER(F14835),C14835*F14835,"")</f>
        <v/>
      </c>
    </row>
    <row r="14836" spans="1:7" ht="12" customHeight="1" outlineLevel="2" x14ac:dyDescent="0.2">
      <c r="A14836" s="14" t="s">
        <v>29182</v>
      </c>
      <c r="B14836" s="15" t="s">
        <v>29183</v>
      </c>
      <c r="C14836" s="16">
        <f>311.84/(1+B2)</f>
        <v>311.83999999999997</v>
      </c>
      <c r="D14836" s="17" t="s">
        <v>11</v>
      </c>
      <c r="E14836" s="17"/>
      <c r="F14836" s="18"/>
      <c r="G14836" s="36" t="str">
        <f>IF(ISNUMBER(F14836),C14836*F14836,"")</f>
        <v/>
      </c>
    </row>
    <row r="14837" spans="1:7" ht="12" customHeight="1" outlineLevel="2" x14ac:dyDescent="0.2">
      <c r="A14837" s="14" t="s">
        <v>29184</v>
      </c>
      <c r="B14837" s="15" t="s">
        <v>29185</v>
      </c>
      <c r="C14837" s="16">
        <f>338/(1+B2)</f>
        <v>338</v>
      </c>
      <c r="D14837" s="17" t="s">
        <v>11</v>
      </c>
      <c r="E14837" s="17"/>
      <c r="F14837" s="18"/>
      <c r="G14837" s="36" t="str">
        <f>IF(ISNUMBER(F14837),C14837*F14837,"")</f>
        <v/>
      </c>
    </row>
    <row r="14838" spans="1:7" ht="12" customHeight="1" outlineLevel="2" x14ac:dyDescent="0.2">
      <c r="A14838" s="14" t="s">
        <v>29186</v>
      </c>
      <c r="B14838" s="15" t="s">
        <v>29187</v>
      </c>
      <c r="C14838" s="16">
        <f>130/(1+B2)</f>
        <v>130</v>
      </c>
      <c r="D14838" s="17" t="s">
        <v>14</v>
      </c>
      <c r="E14838" s="17"/>
      <c r="F14838" s="18"/>
      <c r="G14838" s="36" t="str">
        <f>IF(ISNUMBER(F14838),C14838*F14838,"")</f>
        <v/>
      </c>
    </row>
    <row r="14839" spans="1:7" ht="12" customHeight="1" outlineLevel="2" x14ac:dyDescent="0.2">
      <c r="A14839" s="14" t="s">
        <v>29188</v>
      </c>
      <c r="B14839" s="15" t="s">
        <v>29189</v>
      </c>
      <c r="C14839" s="16">
        <f>308.03/(1+B2)</f>
        <v>308.02999999999997</v>
      </c>
      <c r="D14839" s="17" t="s">
        <v>11</v>
      </c>
      <c r="E14839" s="17"/>
      <c r="F14839" s="18"/>
      <c r="G14839" s="36" t="str">
        <f>IF(ISNUMBER(F14839),C14839*F14839,"")</f>
        <v/>
      </c>
    </row>
    <row r="14840" spans="1:7" ht="12" customHeight="1" outlineLevel="2" x14ac:dyDescent="0.2">
      <c r="A14840" s="14" t="s">
        <v>29190</v>
      </c>
      <c r="B14840" s="15" t="s">
        <v>29191</v>
      </c>
      <c r="C14840" s="16">
        <f>359.07/(1+B2)</f>
        <v>359.07</v>
      </c>
      <c r="D14840" s="17" t="s">
        <v>11</v>
      </c>
      <c r="E14840" s="17"/>
      <c r="F14840" s="18"/>
      <c r="G14840" s="36" t="str">
        <f>IF(ISNUMBER(F14840),C14840*F14840,"")</f>
        <v/>
      </c>
    </row>
    <row r="14841" spans="1:7" ht="12" customHeight="1" outlineLevel="2" x14ac:dyDescent="0.2">
      <c r="A14841" s="14" t="s">
        <v>29192</v>
      </c>
      <c r="B14841" s="15" t="s">
        <v>29193</v>
      </c>
      <c r="C14841" s="16">
        <f>356.74/(1+B2)</f>
        <v>356.74</v>
      </c>
      <c r="D14841" s="17" t="s">
        <v>11</v>
      </c>
      <c r="E14841" s="17"/>
      <c r="F14841" s="18"/>
      <c r="G14841" s="36" t="str">
        <f>IF(ISNUMBER(F14841),C14841*F14841,"")</f>
        <v/>
      </c>
    </row>
    <row r="14842" spans="1:7" ht="12" customHeight="1" outlineLevel="2" x14ac:dyDescent="0.2">
      <c r="A14842" s="14" t="s">
        <v>29194</v>
      </c>
      <c r="B14842" s="15" t="s">
        <v>29195</v>
      </c>
      <c r="C14842" s="16">
        <f>379.16/(1+B2)</f>
        <v>379.16</v>
      </c>
      <c r="D14842" s="17" t="s">
        <v>11</v>
      </c>
      <c r="E14842" s="17"/>
      <c r="F14842" s="18"/>
      <c r="G14842" s="36" t="str">
        <f>IF(ISNUMBER(F14842),C14842*F14842,"")</f>
        <v/>
      </c>
    </row>
    <row r="14843" spans="1:7" ht="12" customHeight="1" outlineLevel="2" x14ac:dyDescent="0.2">
      <c r="A14843" s="14" t="s">
        <v>29196</v>
      </c>
      <c r="B14843" s="15" t="s">
        <v>29197</v>
      </c>
      <c r="C14843" s="16">
        <f>389.64/(1+B2)</f>
        <v>389.64</v>
      </c>
      <c r="D14843" s="17" t="s">
        <v>11</v>
      </c>
      <c r="E14843" s="17"/>
      <c r="F14843" s="18"/>
      <c r="G14843" s="36" t="str">
        <f>IF(ISNUMBER(F14843),C14843*F14843,"")</f>
        <v/>
      </c>
    </row>
    <row r="14844" spans="1:7" ht="12" customHeight="1" outlineLevel="2" x14ac:dyDescent="0.2">
      <c r="A14844" s="14" t="s">
        <v>29198</v>
      </c>
      <c r="B14844" s="15" t="s">
        <v>29199</v>
      </c>
      <c r="C14844" s="16">
        <f>407.13/(1+B2)</f>
        <v>407.13</v>
      </c>
      <c r="D14844" s="17" t="s">
        <v>11</v>
      </c>
      <c r="E14844" s="17"/>
      <c r="F14844" s="18"/>
      <c r="G14844" s="36" t="str">
        <f>IF(ISNUMBER(F14844),C14844*F14844,"")</f>
        <v/>
      </c>
    </row>
    <row r="14845" spans="1:7" ht="12" customHeight="1" outlineLevel="2" x14ac:dyDescent="0.2">
      <c r="A14845" s="14" t="s">
        <v>29200</v>
      </c>
      <c r="B14845" s="15" t="s">
        <v>29201</v>
      </c>
      <c r="C14845" s="16">
        <f>644.29/(1+B2)</f>
        <v>644.29</v>
      </c>
      <c r="D14845" s="17" t="s">
        <v>11</v>
      </c>
      <c r="E14845" s="17"/>
      <c r="F14845" s="18"/>
      <c r="G14845" s="36" t="str">
        <f>IF(ISNUMBER(F14845),C14845*F14845,"")</f>
        <v/>
      </c>
    </row>
    <row r="14846" spans="1:7" ht="12" customHeight="1" outlineLevel="2" x14ac:dyDescent="0.2">
      <c r="A14846" s="14" t="s">
        <v>29202</v>
      </c>
      <c r="B14846" s="15" t="s">
        <v>29203</v>
      </c>
      <c r="C14846" s="16">
        <f>478.78/(1+B2)</f>
        <v>478.78</v>
      </c>
      <c r="D14846" s="17" t="s">
        <v>11</v>
      </c>
      <c r="E14846" s="17"/>
      <c r="F14846" s="18"/>
      <c r="G14846" s="36" t="str">
        <f>IF(ISNUMBER(F14846),C14846*F14846,"")</f>
        <v/>
      </c>
    </row>
    <row r="14847" spans="1:7" ht="12" customHeight="1" outlineLevel="2" x14ac:dyDescent="0.2">
      <c r="A14847" s="14" t="s">
        <v>29204</v>
      </c>
      <c r="B14847" s="15" t="s">
        <v>29205</v>
      </c>
      <c r="C14847" s="16">
        <f>861.84/(1+B2)</f>
        <v>861.84</v>
      </c>
      <c r="D14847" s="17" t="s">
        <v>11</v>
      </c>
      <c r="E14847" s="17"/>
      <c r="F14847" s="18"/>
      <c r="G14847" s="36" t="str">
        <f>IF(ISNUMBER(F14847),C14847*F14847,"")</f>
        <v/>
      </c>
    </row>
    <row r="14848" spans="1:7" s="1" customFormat="1" ht="15.95" customHeight="1" outlineLevel="1" x14ac:dyDescent="0.25">
      <c r="A14848" s="11"/>
      <c r="B14848" s="12" t="s">
        <v>29206</v>
      </c>
      <c r="C14848" s="13"/>
      <c r="D14848" s="13"/>
      <c r="E14848" s="13"/>
      <c r="F14848" s="13"/>
      <c r="G14848" s="35"/>
    </row>
    <row r="14849" spans="1:7" ht="12" customHeight="1" outlineLevel="2" x14ac:dyDescent="0.2">
      <c r="A14849" s="14" t="s">
        <v>29207</v>
      </c>
      <c r="B14849" s="15" t="s">
        <v>29208</v>
      </c>
      <c r="C14849" s="16">
        <f>717.38/(1+B2)</f>
        <v>717.38</v>
      </c>
      <c r="D14849" s="17" t="s">
        <v>11</v>
      </c>
      <c r="E14849" s="17"/>
      <c r="F14849" s="18"/>
      <c r="G14849" s="36" t="str">
        <f>IF(ISNUMBER(F14849),C14849*F14849,"")</f>
        <v/>
      </c>
    </row>
    <row r="14850" spans="1:7" ht="12" customHeight="1" outlineLevel="2" x14ac:dyDescent="0.2">
      <c r="A14850" s="14" t="s">
        <v>29209</v>
      </c>
      <c r="B14850" s="15" t="s">
        <v>29210</v>
      </c>
      <c r="C14850" s="16">
        <f>202.36/(1+B2)</f>
        <v>202.36</v>
      </c>
      <c r="D14850" s="17" t="s">
        <v>11</v>
      </c>
      <c r="E14850" s="17"/>
      <c r="F14850" s="18"/>
      <c r="G14850" s="36" t="str">
        <f>IF(ISNUMBER(F14850),C14850*F14850,"")</f>
        <v/>
      </c>
    </row>
    <row r="14851" spans="1:7" ht="12" customHeight="1" outlineLevel="2" x14ac:dyDescent="0.2">
      <c r="A14851" s="14" t="s">
        <v>29211</v>
      </c>
      <c r="B14851" s="15" t="s">
        <v>29212</v>
      </c>
      <c r="C14851" s="16">
        <f>682.03/(1+B2)</f>
        <v>682.03</v>
      </c>
      <c r="D14851" s="17" t="s">
        <v>11</v>
      </c>
      <c r="E14851" s="17"/>
      <c r="F14851" s="18"/>
      <c r="G14851" s="36" t="str">
        <f>IF(ISNUMBER(F14851),C14851*F14851,"")</f>
        <v/>
      </c>
    </row>
    <row r="14852" spans="1:7" ht="12" customHeight="1" outlineLevel="2" x14ac:dyDescent="0.2">
      <c r="A14852" s="14" t="s">
        <v>29213</v>
      </c>
      <c r="B14852" s="15" t="s">
        <v>29214</v>
      </c>
      <c r="C14852" s="19">
        <f>1257.16/(1+B2)</f>
        <v>1257.1600000000001</v>
      </c>
      <c r="D14852" s="17" t="s">
        <v>11</v>
      </c>
      <c r="E14852" s="17"/>
      <c r="F14852" s="18"/>
      <c r="G14852" s="36" t="str">
        <f>IF(ISNUMBER(F14852),C14852*F14852,"")</f>
        <v/>
      </c>
    </row>
    <row r="14853" spans="1:7" ht="12" customHeight="1" outlineLevel="2" x14ac:dyDescent="0.2">
      <c r="A14853" s="14" t="s">
        <v>29215</v>
      </c>
      <c r="B14853" s="15" t="s">
        <v>29216</v>
      </c>
      <c r="C14853" s="19">
        <f>1620.96/(1+B2)</f>
        <v>1620.96</v>
      </c>
      <c r="D14853" s="17" t="s">
        <v>11</v>
      </c>
      <c r="E14853" s="17"/>
      <c r="F14853" s="18"/>
      <c r="G14853" s="36" t="str">
        <f>IF(ISNUMBER(F14853),C14853*F14853,"")</f>
        <v/>
      </c>
    </row>
    <row r="14854" spans="1:7" ht="12" customHeight="1" outlineLevel="2" x14ac:dyDescent="0.2">
      <c r="A14854" s="14" t="s">
        <v>29217</v>
      </c>
      <c r="B14854" s="15" t="s">
        <v>29218</v>
      </c>
      <c r="C14854" s="19">
        <f>1670.1/(1+B2)</f>
        <v>1670.1</v>
      </c>
      <c r="D14854" s="17" t="s">
        <v>11</v>
      </c>
      <c r="E14854" s="17"/>
      <c r="F14854" s="18"/>
      <c r="G14854" s="36" t="str">
        <f>IF(ISNUMBER(F14854),C14854*F14854,"")</f>
        <v/>
      </c>
    </row>
    <row r="14855" spans="1:7" ht="12" customHeight="1" outlineLevel="2" x14ac:dyDescent="0.2">
      <c r="A14855" s="14" t="s">
        <v>29219</v>
      </c>
      <c r="B14855" s="15" t="s">
        <v>29220</v>
      </c>
      <c r="C14855" s="19">
        <f>4202.77/(1+B2)</f>
        <v>4202.7700000000004</v>
      </c>
      <c r="D14855" s="17" t="s">
        <v>11</v>
      </c>
      <c r="E14855" s="17" t="s">
        <v>11</v>
      </c>
      <c r="F14855" s="18"/>
      <c r="G14855" s="36" t="str">
        <f>IF(ISNUMBER(F14855),C14855*F14855,"")</f>
        <v/>
      </c>
    </row>
    <row r="14856" spans="1:7" ht="12" customHeight="1" outlineLevel="2" x14ac:dyDescent="0.2">
      <c r="A14856" s="14" t="s">
        <v>29221</v>
      </c>
      <c r="B14856" s="15" t="s">
        <v>29222</v>
      </c>
      <c r="C14856" s="19">
        <f>1503.5/(1+B2)</f>
        <v>1503.5</v>
      </c>
      <c r="D14856" s="17" t="s">
        <v>11</v>
      </c>
      <c r="E14856" s="17"/>
      <c r="F14856" s="18"/>
      <c r="G14856" s="36" t="str">
        <f>IF(ISNUMBER(F14856),C14856*F14856,"")</f>
        <v/>
      </c>
    </row>
    <row r="14857" spans="1:7" ht="12" customHeight="1" outlineLevel="2" x14ac:dyDescent="0.2">
      <c r="A14857" s="14" t="s">
        <v>29223</v>
      </c>
      <c r="B14857" s="15" t="s">
        <v>29224</v>
      </c>
      <c r="C14857" s="16">
        <f>830.56/(1+B2)</f>
        <v>830.56</v>
      </c>
      <c r="D14857" s="17" t="s">
        <v>11</v>
      </c>
      <c r="E14857" s="17"/>
      <c r="F14857" s="18"/>
      <c r="G14857" s="36" t="str">
        <f>IF(ISNUMBER(F14857),C14857*F14857,"")</f>
        <v/>
      </c>
    </row>
    <row r="14858" spans="1:7" ht="12" customHeight="1" outlineLevel="2" x14ac:dyDescent="0.2">
      <c r="A14858" s="14" t="s">
        <v>29225</v>
      </c>
      <c r="B14858" s="15" t="s">
        <v>29226</v>
      </c>
      <c r="C14858" s="16">
        <f>399.41/(1+B2)</f>
        <v>399.41</v>
      </c>
      <c r="D14858" s="17" t="s">
        <v>11</v>
      </c>
      <c r="E14858" s="17"/>
      <c r="F14858" s="18"/>
      <c r="G14858" s="36" t="str">
        <f>IF(ISNUMBER(F14858),C14858*F14858,"")</f>
        <v/>
      </c>
    </row>
    <row r="14859" spans="1:7" ht="12" customHeight="1" outlineLevel="2" x14ac:dyDescent="0.2">
      <c r="A14859" s="14" t="s">
        <v>29227</v>
      </c>
      <c r="B14859" s="15" t="s">
        <v>29228</v>
      </c>
      <c r="C14859" s="19">
        <f>2753.44/(1+B2)</f>
        <v>2753.44</v>
      </c>
      <c r="D14859" s="17" t="s">
        <v>11</v>
      </c>
      <c r="E14859" s="17" t="s">
        <v>11</v>
      </c>
      <c r="F14859" s="18"/>
      <c r="G14859" s="36" t="str">
        <f>IF(ISNUMBER(F14859),C14859*F14859,"")</f>
        <v/>
      </c>
    </row>
    <row r="14860" spans="1:7" ht="12" customHeight="1" outlineLevel="2" x14ac:dyDescent="0.2">
      <c r="A14860" s="14" t="s">
        <v>29229</v>
      </c>
      <c r="B14860" s="15" t="s">
        <v>29230</v>
      </c>
      <c r="C14860" s="19">
        <f>2648.7/(1+B2)</f>
        <v>2648.7</v>
      </c>
      <c r="D14860" s="17" t="s">
        <v>11</v>
      </c>
      <c r="E14860" s="17"/>
      <c r="F14860" s="18"/>
      <c r="G14860" s="36" t="str">
        <f>IF(ISNUMBER(F14860),C14860*F14860,"")</f>
        <v/>
      </c>
    </row>
    <row r="14861" spans="1:7" ht="12" customHeight="1" outlineLevel="2" x14ac:dyDescent="0.2">
      <c r="A14861" s="14" t="s">
        <v>29231</v>
      </c>
      <c r="B14861" s="15" t="s">
        <v>29232</v>
      </c>
      <c r="C14861" s="19">
        <f>3546.56/(1+B2)</f>
        <v>3546.56</v>
      </c>
      <c r="D14861" s="17" t="s">
        <v>11</v>
      </c>
      <c r="E14861" s="17"/>
      <c r="F14861" s="18"/>
      <c r="G14861" s="36" t="str">
        <f>IF(ISNUMBER(F14861),C14861*F14861,"")</f>
        <v/>
      </c>
    </row>
    <row r="14862" spans="1:7" ht="12" customHeight="1" outlineLevel="2" x14ac:dyDescent="0.2">
      <c r="A14862" s="14" t="s">
        <v>29233</v>
      </c>
      <c r="B14862" s="15" t="s">
        <v>29234</v>
      </c>
      <c r="C14862" s="19">
        <f>4974.66/(1+B2)</f>
        <v>4974.66</v>
      </c>
      <c r="D14862" s="17" t="s">
        <v>11</v>
      </c>
      <c r="E14862" s="17" t="s">
        <v>11</v>
      </c>
      <c r="F14862" s="18"/>
      <c r="G14862" s="36" t="str">
        <f>IF(ISNUMBER(F14862),C14862*F14862,"")</f>
        <v/>
      </c>
    </row>
    <row r="14863" spans="1:7" ht="12" customHeight="1" outlineLevel="2" x14ac:dyDescent="0.2">
      <c r="A14863" s="14" t="s">
        <v>29235</v>
      </c>
      <c r="B14863" s="15" t="s">
        <v>29236</v>
      </c>
      <c r="C14863" s="19">
        <f>8451.31/(1+B2)</f>
        <v>8451.31</v>
      </c>
      <c r="D14863" s="17" t="s">
        <v>11</v>
      </c>
      <c r="E14863" s="17"/>
      <c r="F14863" s="18"/>
      <c r="G14863" s="36" t="str">
        <f>IF(ISNUMBER(F14863),C14863*F14863,"")</f>
        <v/>
      </c>
    </row>
    <row r="14864" spans="1:7" ht="12" customHeight="1" outlineLevel="2" x14ac:dyDescent="0.2">
      <c r="A14864" s="14" t="s">
        <v>29237</v>
      </c>
      <c r="B14864" s="15" t="s">
        <v>29238</v>
      </c>
      <c r="C14864" s="16">
        <f>342.86/(1+B2)</f>
        <v>342.86</v>
      </c>
      <c r="D14864" s="17" t="s">
        <v>11</v>
      </c>
      <c r="E14864" s="17"/>
      <c r="F14864" s="18"/>
      <c r="G14864" s="36" t="str">
        <f>IF(ISNUMBER(F14864),C14864*F14864,"")</f>
        <v/>
      </c>
    </row>
    <row r="14865" spans="1:7" ht="12" customHeight="1" outlineLevel="2" x14ac:dyDescent="0.2">
      <c r="A14865" s="14" t="s">
        <v>29239</v>
      </c>
      <c r="B14865" s="15" t="s">
        <v>29240</v>
      </c>
      <c r="C14865" s="16">
        <f>389.96/(1+B2)</f>
        <v>389.96</v>
      </c>
      <c r="D14865" s="17" t="s">
        <v>11</v>
      </c>
      <c r="E14865" s="17"/>
      <c r="F14865" s="18"/>
      <c r="G14865" s="36" t="str">
        <f>IF(ISNUMBER(F14865),C14865*F14865,"")</f>
        <v/>
      </c>
    </row>
    <row r="14866" spans="1:7" ht="12" customHeight="1" outlineLevel="2" x14ac:dyDescent="0.2">
      <c r="A14866" s="14" t="s">
        <v>29241</v>
      </c>
      <c r="B14866" s="15" t="s">
        <v>29242</v>
      </c>
      <c r="C14866" s="16">
        <f>421.82/(1+B2)</f>
        <v>421.82</v>
      </c>
      <c r="D14866" s="17" t="s">
        <v>11</v>
      </c>
      <c r="E14866" s="17"/>
      <c r="F14866" s="18"/>
      <c r="G14866" s="36" t="str">
        <f>IF(ISNUMBER(F14866),C14866*F14866,"")</f>
        <v/>
      </c>
    </row>
    <row r="14867" spans="1:7" ht="12" customHeight="1" outlineLevel="2" x14ac:dyDescent="0.2">
      <c r="A14867" s="14" t="s">
        <v>29243</v>
      </c>
      <c r="B14867" s="15" t="s">
        <v>29244</v>
      </c>
      <c r="C14867" s="16">
        <f>535.35/(1+B2)</f>
        <v>535.35</v>
      </c>
      <c r="D14867" s="17" t="s">
        <v>11</v>
      </c>
      <c r="E14867" s="17"/>
      <c r="F14867" s="18"/>
      <c r="G14867" s="36" t="str">
        <f>IF(ISNUMBER(F14867),C14867*F14867,"")</f>
        <v/>
      </c>
    </row>
    <row r="14868" spans="1:7" ht="12" customHeight="1" outlineLevel="2" x14ac:dyDescent="0.2">
      <c r="A14868" s="14" t="s">
        <v>29245</v>
      </c>
      <c r="B14868" s="15" t="s">
        <v>29246</v>
      </c>
      <c r="C14868" s="19">
        <f>2239.85/(1+B2)</f>
        <v>2239.85</v>
      </c>
      <c r="D14868" s="17" t="s">
        <v>11</v>
      </c>
      <c r="E14868" s="17"/>
      <c r="F14868" s="18"/>
      <c r="G14868" s="36" t="str">
        <f>IF(ISNUMBER(F14868),C14868*F14868,"")</f>
        <v/>
      </c>
    </row>
    <row r="14869" spans="1:7" ht="12" customHeight="1" outlineLevel="2" x14ac:dyDescent="0.2">
      <c r="A14869" s="14" t="s">
        <v>29247</v>
      </c>
      <c r="B14869" s="15" t="s">
        <v>29248</v>
      </c>
      <c r="C14869" s="19">
        <f>10600.56/(1+B2)</f>
        <v>10600.56</v>
      </c>
      <c r="D14869" s="17" t="s">
        <v>11</v>
      </c>
      <c r="E14869" s="17"/>
      <c r="F14869" s="18"/>
      <c r="G14869" s="36" t="str">
        <f>IF(ISNUMBER(F14869),C14869*F14869,"")</f>
        <v/>
      </c>
    </row>
    <row r="14870" spans="1:7" ht="12" customHeight="1" outlineLevel="2" x14ac:dyDescent="0.2">
      <c r="A14870" s="14" t="s">
        <v>29249</v>
      </c>
      <c r="B14870" s="15" t="s">
        <v>29250</v>
      </c>
      <c r="C14870" s="19">
        <f>11422.47/(1+B2)</f>
        <v>11422.47</v>
      </c>
      <c r="D14870" s="17" t="s">
        <v>11</v>
      </c>
      <c r="E14870" s="17"/>
      <c r="F14870" s="18"/>
      <c r="G14870" s="36" t="str">
        <f>IF(ISNUMBER(F14870),C14870*F14870,"")</f>
        <v/>
      </c>
    </row>
    <row r="14871" spans="1:7" ht="12" customHeight="1" outlineLevel="2" x14ac:dyDescent="0.2">
      <c r="A14871" s="14" t="s">
        <v>29251</v>
      </c>
      <c r="B14871" s="15" t="s">
        <v>29252</v>
      </c>
      <c r="C14871" s="16">
        <f>214.5/(1+B2)</f>
        <v>214.5</v>
      </c>
      <c r="D14871" s="17" t="s">
        <v>11</v>
      </c>
      <c r="E14871" s="17" t="s">
        <v>11</v>
      </c>
      <c r="F14871" s="18"/>
      <c r="G14871" s="36" t="str">
        <f>IF(ISNUMBER(F14871),C14871*F14871,"")</f>
        <v/>
      </c>
    </row>
    <row r="14872" spans="1:7" s="1" customFormat="1" ht="15.95" customHeight="1" outlineLevel="1" x14ac:dyDescent="0.25">
      <c r="A14872" s="11"/>
      <c r="B14872" s="12" t="s">
        <v>29253</v>
      </c>
      <c r="C14872" s="13"/>
      <c r="D14872" s="13"/>
      <c r="E14872" s="13"/>
      <c r="F14872" s="13"/>
      <c r="G14872" s="35"/>
    </row>
    <row r="14873" spans="1:7" ht="12" customHeight="1" outlineLevel="2" x14ac:dyDescent="0.2">
      <c r="A14873" s="14" t="s">
        <v>29254</v>
      </c>
      <c r="B14873" s="15" t="s">
        <v>29255</v>
      </c>
      <c r="C14873" s="16">
        <f>90.03/(1+B2)</f>
        <v>90.03</v>
      </c>
      <c r="D14873" s="17" t="s">
        <v>14</v>
      </c>
      <c r="E14873" s="17"/>
      <c r="F14873" s="18"/>
      <c r="G14873" s="36" t="str">
        <f>IF(ISNUMBER(F14873),C14873*F14873,"")</f>
        <v/>
      </c>
    </row>
    <row r="14874" spans="1:7" ht="12" customHeight="1" outlineLevel="2" x14ac:dyDescent="0.2">
      <c r="A14874" s="14" t="s">
        <v>29256</v>
      </c>
      <c r="B14874" s="15" t="s">
        <v>29257</v>
      </c>
      <c r="C14874" s="16">
        <f>79.38/(1+B2)</f>
        <v>79.38</v>
      </c>
      <c r="D14874" s="17" t="s">
        <v>11</v>
      </c>
      <c r="E14874" s="17"/>
      <c r="F14874" s="18"/>
      <c r="G14874" s="36" t="str">
        <f>IF(ISNUMBER(F14874),C14874*F14874,"")</f>
        <v/>
      </c>
    </row>
    <row r="14875" spans="1:7" ht="12" customHeight="1" outlineLevel="2" x14ac:dyDescent="0.2">
      <c r="A14875" s="14" t="s">
        <v>29258</v>
      </c>
      <c r="B14875" s="15" t="s">
        <v>29259</v>
      </c>
      <c r="C14875" s="16">
        <f>131.66/(1+B2)</f>
        <v>131.66</v>
      </c>
      <c r="D14875" s="17" t="s">
        <v>11</v>
      </c>
      <c r="E14875" s="17"/>
      <c r="F14875" s="18"/>
      <c r="G14875" s="36" t="str">
        <f>IF(ISNUMBER(F14875),C14875*F14875,"")</f>
        <v/>
      </c>
    </row>
    <row r="14876" spans="1:7" ht="12" customHeight="1" outlineLevel="2" x14ac:dyDescent="0.2">
      <c r="A14876" s="14" t="s">
        <v>29260</v>
      </c>
      <c r="B14876" s="15" t="s">
        <v>29261</v>
      </c>
      <c r="C14876" s="16">
        <f>31.95/(1+B2)</f>
        <v>31.95</v>
      </c>
      <c r="D14876" s="17" t="s">
        <v>53</v>
      </c>
      <c r="E14876" s="17"/>
      <c r="F14876" s="18"/>
      <c r="G14876" s="36" t="str">
        <f>IF(ISNUMBER(F14876),C14876*F14876,"")</f>
        <v/>
      </c>
    </row>
    <row r="14877" spans="1:7" ht="12" customHeight="1" outlineLevel="2" x14ac:dyDescent="0.2">
      <c r="A14877" s="14" t="s">
        <v>29262</v>
      </c>
      <c r="B14877" s="15" t="s">
        <v>29263</v>
      </c>
      <c r="C14877" s="16">
        <f>37.76/(1+B2)</f>
        <v>37.76</v>
      </c>
      <c r="D14877" s="17" t="s">
        <v>53</v>
      </c>
      <c r="E14877" s="17"/>
      <c r="F14877" s="18"/>
      <c r="G14877" s="36" t="str">
        <f>IF(ISNUMBER(F14877),C14877*F14877,"")</f>
        <v/>
      </c>
    </row>
    <row r="14878" spans="1:7" ht="12" customHeight="1" outlineLevel="2" x14ac:dyDescent="0.2">
      <c r="A14878" s="14" t="s">
        <v>29264</v>
      </c>
      <c r="B14878" s="15" t="s">
        <v>29265</v>
      </c>
      <c r="C14878" s="16">
        <f>613.55/(1+B2)</f>
        <v>613.54999999999995</v>
      </c>
      <c r="D14878" s="17" t="s">
        <v>11</v>
      </c>
      <c r="E14878" s="17"/>
      <c r="F14878" s="18"/>
      <c r="G14878" s="36" t="str">
        <f>IF(ISNUMBER(F14878),C14878*F14878,"")</f>
        <v/>
      </c>
    </row>
    <row r="14879" spans="1:7" ht="24" customHeight="1" outlineLevel="2" x14ac:dyDescent="0.2">
      <c r="A14879" s="14" t="s">
        <v>29266</v>
      </c>
      <c r="B14879" s="15" t="s">
        <v>29267</v>
      </c>
      <c r="C14879" s="19">
        <f>2546.68/(1+B2)</f>
        <v>2546.6799999999998</v>
      </c>
      <c r="D14879" s="17" t="s">
        <v>11</v>
      </c>
      <c r="E14879" s="17"/>
      <c r="F14879" s="18"/>
      <c r="G14879" s="36" t="str">
        <f>IF(ISNUMBER(F14879),C14879*F14879,"")</f>
        <v/>
      </c>
    </row>
    <row r="14880" spans="1:7" ht="12" customHeight="1" outlineLevel="2" x14ac:dyDescent="0.2">
      <c r="A14880" s="14" t="s">
        <v>29268</v>
      </c>
      <c r="B14880" s="15" t="s">
        <v>29269</v>
      </c>
      <c r="C14880" s="16">
        <f>781.08/(1+B2)</f>
        <v>781.08</v>
      </c>
      <c r="D14880" s="17" t="s">
        <v>11</v>
      </c>
      <c r="E14880" s="17"/>
      <c r="F14880" s="18"/>
      <c r="G14880" s="36" t="str">
        <f>IF(ISNUMBER(F14880),C14880*F14880,"")</f>
        <v/>
      </c>
    </row>
    <row r="14881" spans="1:7" ht="12" customHeight="1" outlineLevel="2" x14ac:dyDescent="0.2">
      <c r="A14881" s="14" t="s">
        <v>29270</v>
      </c>
      <c r="B14881" s="15" t="s">
        <v>29271</v>
      </c>
      <c r="C14881" s="16">
        <f>440.59/(1+B2)</f>
        <v>440.59</v>
      </c>
      <c r="D14881" s="17" t="s">
        <v>11</v>
      </c>
      <c r="E14881" s="17"/>
      <c r="F14881" s="18"/>
      <c r="G14881" s="36" t="str">
        <f>IF(ISNUMBER(F14881),C14881*F14881,"")</f>
        <v/>
      </c>
    </row>
    <row r="14882" spans="1:7" ht="12" customHeight="1" outlineLevel="2" x14ac:dyDescent="0.2">
      <c r="A14882" s="14" t="s">
        <v>29272</v>
      </c>
      <c r="B14882" s="15" t="s">
        <v>29273</v>
      </c>
      <c r="C14882" s="16">
        <f>303.48/(1+B2)</f>
        <v>303.48</v>
      </c>
      <c r="D14882" s="17" t="s">
        <v>11</v>
      </c>
      <c r="E14882" s="17"/>
      <c r="F14882" s="18"/>
      <c r="G14882" s="36" t="str">
        <f>IF(ISNUMBER(F14882),C14882*F14882,"")</f>
        <v/>
      </c>
    </row>
    <row r="14883" spans="1:7" ht="12" customHeight="1" outlineLevel="2" x14ac:dyDescent="0.2">
      <c r="A14883" s="14" t="s">
        <v>29274</v>
      </c>
      <c r="B14883" s="15" t="s">
        <v>29275</v>
      </c>
      <c r="C14883" s="16">
        <f>198.11/(1+B2)</f>
        <v>198.11</v>
      </c>
      <c r="D14883" s="17" t="s">
        <v>11</v>
      </c>
      <c r="E14883" s="17"/>
      <c r="F14883" s="18"/>
      <c r="G14883" s="36" t="str">
        <f>IF(ISNUMBER(F14883),C14883*F14883,"")</f>
        <v/>
      </c>
    </row>
    <row r="14884" spans="1:7" ht="12" customHeight="1" outlineLevel="2" x14ac:dyDescent="0.2">
      <c r="A14884" s="14" t="s">
        <v>29276</v>
      </c>
      <c r="B14884" s="15" t="s">
        <v>29277</v>
      </c>
      <c r="C14884" s="19">
        <f>1747.39/(1+B2)</f>
        <v>1747.39</v>
      </c>
      <c r="D14884" s="17" t="s">
        <v>11</v>
      </c>
      <c r="E14884" s="17"/>
      <c r="F14884" s="18"/>
      <c r="G14884" s="36" t="str">
        <f>IF(ISNUMBER(F14884),C14884*F14884,"")</f>
        <v/>
      </c>
    </row>
    <row r="14885" spans="1:7" ht="24" customHeight="1" outlineLevel="2" x14ac:dyDescent="0.2">
      <c r="A14885" s="14" t="s">
        <v>29278</v>
      </c>
      <c r="B14885" s="15" t="s">
        <v>29279</v>
      </c>
      <c r="C14885" s="19">
        <f>1016.91/(1+B2)</f>
        <v>1016.91</v>
      </c>
      <c r="D14885" s="17" t="s">
        <v>11</v>
      </c>
      <c r="E14885" s="17"/>
      <c r="F14885" s="18"/>
      <c r="G14885" s="36" t="str">
        <f>IF(ISNUMBER(F14885),C14885*F14885,"")</f>
        <v/>
      </c>
    </row>
    <row r="14886" spans="1:7" ht="12" customHeight="1" outlineLevel="2" x14ac:dyDescent="0.2">
      <c r="A14886" s="14" t="s">
        <v>29280</v>
      </c>
      <c r="B14886" s="15" t="s">
        <v>29281</v>
      </c>
      <c r="C14886" s="19">
        <f>1716.73/(1+B2)</f>
        <v>1716.73</v>
      </c>
      <c r="D14886" s="17" t="s">
        <v>11</v>
      </c>
      <c r="E14886" s="17"/>
      <c r="F14886" s="18"/>
      <c r="G14886" s="36" t="str">
        <f>IF(ISNUMBER(F14886),C14886*F14886,"")</f>
        <v/>
      </c>
    </row>
    <row r="14887" spans="1:7" ht="24" customHeight="1" outlineLevel="2" x14ac:dyDescent="0.2">
      <c r="A14887" s="14" t="s">
        <v>29282</v>
      </c>
      <c r="B14887" s="15" t="s">
        <v>29283</v>
      </c>
      <c r="C14887" s="19">
        <f>2062.1/(1+B2)</f>
        <v>2062.1</v>
      </c>
      <c r="D14887" s="17" t="s">
        <v>11</v>
      </c>
      <c r="E14887" s="17"/>
      <c r="F14887" s="18"/>
      <c r="G14887" s="36" t="str">
        <f>IF(ISNUMBER(F14887),C14887*F14887,"")</f>
        <v/>
      </c>
    </row>
    <row r="14888" spans="1:7" s="1" customFormat="1" ht="15.95" customHeight="1" outlineLevel="1" x14ac:dyDescent="0.25">
      <c r="A14888" s="11"/>
      <c r="B14888" s="12" t="s">
        <v>29284</v>
      </c>
      <c r="C14888" s="13"/>
      <c r="D14888" s="13"/>
      <c r="E14888" s="13"/>
      <c r="F14888" s="13"/>
      <c r="G14888" s="35"/>
    </row>
    <row r="14889" spans="1:7" s="1" customFormat="1" ht="12.95" customHeight="1" outlineLevel="2" x14ac:dyDescent="0.2">
      <c r="A14889" s="20"/>
      <c r="B14889" s="21" t="s">
        <v>29285</v>
      </c>
      <c r="C14889" s="22"/>
      <c r="D14889" s="22"/>
      <c r="E14889" s="22"/>
      <c r="F14889" s="22"/>
      <c r="G14889" s="37"/>
    </row>
    <row r="14890" spans="1:7" ht="12" customHeight="1" outlineLevel="3" x14ac:dyDescent="0.2">
      <c r="A14890" s="14" t="s">
        <v>29286</v>
      </c>
      <c r="B14890" s="15" t="s">
        <v>29287</v>
      </c>
      <c r="C14890" s="16">
        <f>71.56/(1+B2)</f>
        <v>71.56</v>
      </c>
      <c r="D14890" s="17" t="s">
        <v>14</v>
      </c>
      <c r="E14890" s="17"/>
      <c r="F14890" s="18"/>
      <c r="G14890" s="36" t="str">
        <f>IF(ISNUMBER(F14890),C14890*F14890,"")</f>
        <v/>
      </c>
    </row>
    <row r="14891" spans="1:7" ht="12" customHeight="1" outlineLevel="3" x14ac:dyDescent="0.2">
      <c r="A14891" s="14" t="s">
        <v>29288</v>
      </c>
      <c r="B14891" s="15" t="s">
        <v>29289</v>
      </c>
      <c r="C14891" s="16">
        <f>20.12/(1+B2)</f>
        <v>20.12</v>
      </c>
      <c r="D14891" s="17" t="s">
        <v>14</v>
      </c>
      <c r="E14891" s="17" t="s">
        <v>14</v>
      </c>
      <c r="F14891" s="18"/>
      <c r="G14891" s="36" t="str">
        <f>IF(ISNUMBER(F14891),C14891*F14891,"")</f>
        <v/>
      </c>
    </row>
    <row r="14892" spans="1:7" ht="12" customHeight="1" outlineLevel="3" x14ac:dyDescent="0.2">
      <c r="A14892" s="14" t="s">
        <v>29290</v>
      </c>
      <c r="B14892" s="15" t="s">
        <v>29291</v>
      </c>
      <c r="C14892" s="16">
        <f>69.8/(1+B2)</f>
        <v>69.8</v>
      </c>
      <c r="D14892" s="17" t="s">
        <v>14</v>
      </c>
      <c r="E14892" s="17"/>
      <c r="F14892" s="18"/>
      <c r="G14892" s="36" t="str">
        <f>IF(ISNUMBER(F14892),C14892*F14892,"")</f>
        <v/>
      </c>
    </row>
    <row r="14893" spans="1:7" ht="12" customHeight="1" outlineLevel="3" x14ac:dyDescent="0.2">
      <c r="A14893" s="14" t="s">
        <v>29292</v>
      </c>
      <c r="B14893" s="15" t="s">
        <v>29293</v>
      </c>
      <c r="C14893" s="16">
        <f>75.3/(1+B2)</f>
        <v>75.3</v>
      </c>
      <c r="D14893" s="17" t="s">
        <v>11</v>
      </c>
      <c r="E14893" s="17" t="s">
        <v>106</v>
      </c>
      <c r="F14893" s="18"/>
      <c r="G14893" s="36" t="str">
        <f>IF(ISNUMBER(F14893),C14893*F14893,"")</f>
        <v/>
      </c>
    </row>
    <row r="14894" spans="1:7" ht="12" customHeight="1" outlineLevel="3" x14ac:dyDescent="0.2">
      <c r="A14894" s="14" t="s">
        <v>29294</v>
      </c>
      <c r="B14894" s="15" t="s">
        <v>29295</v>
      </c>
      <c r="C14894" s="16">
        <f>117.58/(1+B2)</f>
        <v>117.58</v>
      </c>
      <c r="D14894" s="17" t="s">
        <v>11</v>
      </c>
      <c r="E14894" s="17"/>
      <c r="F14894" s="18"/>
      <c r="G14894" s="36" t="str">
        <f>IF(ISNUMBER(F14894),C14894*F14894,"")</f>
        <v/>
      </c>
    </row>
    <row r="14895" spans="1:7" ht="12" customHeight="1" outlineLevel="3" x14ac:dyDescent="0.2">
      <c r="A14895" s="14" t="s">
        <v>29296</v>
      </c>
      <c r="B14895" s="15" t="s">
        <v>29297</v>
      </c>
      <c r="C14895" s="16">
        <f>397.13/(1+B2)</f>
        <v>397.13</v>
      </c>
      <c r="D14895" s="17" t="s">
        <v>11</v>
      </c>
      <c r="E14895" s="17"/>
      <c r="F14895" s="18"/>
      <c r="G14895" s="36" t="str">
        <f>IF(ISNUMBER(F14895),C14895*F14895,"")</f>
        <v/>
      </c>
    </row>
    <row r="14896" spans="1:7" ht="12" customHeight="1" outlineLevel="3" x14ac:dyDescent="0.2">
      <c r="A14896" s="14" t="s">
        <v>29298</v>
      </c>
      <c r="B14896" s="15" t="s">
        <v>29299</v>
      </c>
      <c r="C14896" s="16">
        <f>230.91/(1+B2)</f>
        <v>230.91</v>
      </c>
      <c r="D14896" s="17" t="s">
        <v>11</v>
      </c>
      <c r="E14896" s="17"/>
      <c r="F14896" s="18"/>
      <c r="G14896" s="36" t="str">
        <f>IF(ISNUMBER(F14896),C14896*F14896,"")</f>
        <v/>
      </c>
    </row>
    <row r="14897" spans="1:7" ht="12" customHeight="1" outlineLevel="3" x14ac:dyDescent="0.2">
      <c r="A14897" s="14" t="s">
        <v>29300</v>
      </c>
      <c r="B14897" s="15" t="s">
        <v>29301</v>
      </c>
      <c r="C14897" s="16">
        <f>293.57/(1+B2)</f>
        <v>293.57</v>
      </c>
      <c r="D14897" s="17" t="s">
        <v>11</v>
      </c>
      <c r="E14897" s="17"/>
      <c r="F14897" s="18"/>
      <c r="G14897" s="36" t="str">
        <f>IF(ISNUMBER(F14897),C14897*F14897,"")</f>
        <v/>
      </c>
    </row>
    <row r="14898" spans="1:7" ht="12" customHeight="1" outlineLevel="3" x14ac:dyDescent="0.2">
      <c r="A14898" s="14" t="s">
        <v>29302</v>
      </c>
      <c r="B14898" s="15" t="s">
        <v>29303</v>
      </c>
      <c r="C14898" s="16">
        <f>253.01/(1+B2)</f>
        <v>253.01</v>
      </c>
      <c r="D14898" s="17" t="s">
        <v>11</v>
      </c>
      <c r="E14898" s="17"/>
      <c r="F14898" s="18"/>
      <c r="G14898" s="36" t="str">
        <f>IF(ISNUMBER(F14898),C14898*F14898,"")</f>
        <v/>
      </c>
    </row>
    <row r="14899" spans="1:7" ht="12" customHeight="1" outlineLevel="3" x14ac:dyDescent="0.2">
      <c r="A14899" s="14" t="s">
        <v>29304</v>
      </c>
      <c r="B14899" s="15" t="s">
        <v>29305</v>
      </c>
      <c r="C14899" s="16">
        <f>42.21/(1+B2)</f>
        <v>42.21</v>
      </c>
      <c r="D14899" s="17" t="s">
        <v>53</v>
      </c>
      <c r="E14899" s="17" t="s">
        <v>53</v>
      </c>
      <c r="F14899" s="18"/>
      <c r="G14899" s="36" t="str">
        <f>IF(ISNUMBER(F14899),C14899*F14899,"")</f>
        <v/>
      </c>
    </row>
    <row r="14900" spans="1:7" ht="12" customHeight="1" outlineLevel="3" x14ac:dyDescent="0.2">
      <c r="A14900" s="14" t="s">
        <v>29306</v>
      </c>
      <c r="B14900" s="15" t="s">
        <v>29307</v>
      </c>
      <c r="C14900" s="16">
        <f>105.86/(1+B2)</f>
        <v>105.86</v>
      </c>
      <c r="D14900" s="17" t="s">
        <v>14</v>
      </c>
      <c r="E14900" s="17"/>
      <c r="F14900" s="18"/>
      <c r="G14900" s="36" t="str">
        <f>IF(ISNUMBER(F14900),C14900*F14900,"")</f>
        <v/>
      </c>
    </row>
    <row r="14901" spans="1:7" ht="12" customHeight="1" outlineLevel="3" x14ac:dyDescent="0.2">
      <c r="A14901" s="14" t="s">
        <v>29308</v>
      </c>
      <c r="B14901" s="15" t="s">
        <v>29309</v>
      </c>
      <c r="C14901" s="16">
        <f>140.56/(1+B2)</f>
        <v>140.56</v>
      </c>
      <c r="D14901" s="17" t="s">
        <v>14</v>
      </c>
      <c r="E14901" s="17"/>
      <c r="F14901" s="18"/>
      <c r="G14901" s="36" t="str">
        <f>IF(ISNUMBER(F14901),C14901*F14901,"")</f>
        <v/>
      </c>
    </row>
    <row r="14902" spans="1:7" ht="12" customHeight="1" outlineLevel="3" x14ac:dyDescent="0.2">
      <c r="A14902" s="14" t="s">
        <v>29310</v>
      </c>
      <c r="B14902" s="15" t="s">
        <v>29311</v>
      </c>
      <c r="C14902" s="16">
        <f>232.38/(1+B2)</f>
        <v>232.38</v>
      </c>
      <c r="D14902" s="17" t="s">
        <v>11</v>
      </c>
      <c r="E14902" s="17"/>
      <c r="F14902" s="18"/>
      <c r="G14902" s="36" t="str">
        <f>IF(ISNUMBER(F14902),C14902*F14902,"")</f>
        <v/>
      </c>
    </row>
    <row r="14903" spans="1:7" ht="24" customHeight="1" outlineLevel="3" x14ac:dyDescent="0.2">
      <c r="A14903" s="14" t="s">
        <v>29312</v>
      </c>
      <c r="B14903" s="15" t="s">
        <v>29313</v>
      </c>
      <c r="C14903" s="16">
        <f>530.91/(1+B2)</f>
        <v>530.91</v>
      </c>
      <c r="D14903" s="17" t="s">
        <v>11</v>
      </c>
      <c r="E14903" s="17"/>
      <c r="F14903" s="18"/>
      <c r="G14903" s="36" t="str">
        <f>IF(ISNUMBER(F14903),C14903*F14903,"")</f>
        <v/>
      </c>
    </row>
    <row r="14904" spans="1:7" ht="24" customHeight="1" outlineLevel="3" x14ac:dyDescent="0.2">
      <c r="A14904" s="14" t="s">
        <v>29314</v>
      </c>
      <c r="B14904" s="15" t="s">
        <v>29315</v>
      </c>
      <c r="C14904" s="16">
        <f>824.91/(1+B2)</f>
        <v>824.91</v>
      </c>
      <c r="D14904" s="17" t="s">
        <v>11</v>
      </c>
      <c r="E14904" s="17"/>
      <c r="F14904" s="18"/>
      <c r="G14904" s="36" t="str">
        <f>IF(ISNUMBER(F14904),C14904*F14904,"")</f>
        <v/>
      </c>
    </row>
    <row r="14905" spans="1:7" ht="12" customHeight="1" outlineLevel="3" x14ac:dyDescent="0.2">
      <c r="A14905" s="14" t="s">
        <v>29316</v>
      </c>
      <c r="B14905" s="15" t="s">
        <v>29317</v>
      </c>
      <c r="C14905" s="16">
        <f>396.81/(1+B2)</f>
        <v>396.81</v>
      </c>
      <c r="D14905" s="17" t="s">
        <v>11</v>
      </c>
      <c r="E14905" s="17"/>
      <c r="F14905" s="18"/>
      <c r="G14905" s="36" t="str">
        <f>IF(ISNUMBER(F14905),C14905*F14905,"")</f>
        <v/>
      </c>
    </row>
    <row r="14906" spans="1:7" ht="12" customHeight="1" outlineLevel="3" x14ac:dyDescent="0.2">
      <c r="A14906" s="14" t="s">
        <v>29318</v>
      </c>
      <c r="B14906" s="15" t="s">
        <v>29319</v>
      </c>
      <c r="C14906" s="16">
        <f>441.12/(1+B2)</f>
        <v>441.12</v>
      </c>
      <c r="D14906" s="17" t="s">
        <v>11</v>
      </c>
      <c r="E14906" s="17"/>
      <c r="F14906" s="18"/>
      <c r="G14906" s="36" t="str">
        <f>IF(ISNUMBER(F14906),C14906*F14906,"")</f>
        <v/>
      </c>
    </row>
    <row r="14907" spans="1:7" ht="12" customHeight="1" outlineLevel="3" x14ac:dyDescent="0.2">
      <c r="A14907" s="14" t="s">
        <v>29320</v>
      </c>
      <c r="B14907" s="15" t="s">
        <v>29321</v>
      </c>
      <c r="C14907" s="16">
        <f>696.83/(1+B2)</f>
        <v>696.83</v>
      </c>
      <c r="D14907" s="17" t="s">
        <v>11</v>
      </c>
      <c r="E14907" s="17"/>
      <c r="F14907" s="18"/>
      <c r="G14907" s="36" t="str">
        <f>IF(ISNUMBER(F14907),C14907*F14907,"")</f>
        <v/>
      </c>
    </row>
    <row r="14908" spans="1:7" ht="12" customHeight="1" outlineLevel="3" x14ac:dyDescent="0.2">
      <c r="A14908" s="14" t="s">
        <v>29322</v>
      </c>
      <c r="B14908" s="15" t="s">
        <v>29323</v>
      </c>
      <c r="C14908" s="19">
        <f>1128.15/(1+B2)</f>
        <v>1128.1500000000001</v>
      </c>
      <c r="D14908" s="17" t="s">
        <v>11</v>
      </c>
      <c r="E14908" s="17"/>
      <c r="F14908" s="18"/>
      <c r="G14908" s="36" t="str">
        <f>IF(ISNUMBER(F14908),C14908*F14908,"")</f>
        <v/>
      </c>
    </row>
    <row r="14909" spans="1:7" ht="12" customHeight="1" outlineLevel="3" x14ac:dyDescent="0.2">
      <c r="A14909" s="14" t="s">
        <v>29324</v>
      </c>
      <c r="B14909" s="15" t="s">
        <v>29325</v>
      </c>
      <c r="C14909" s="16">
        <f>211.95/(1+B2)</f>
        <v>211.95</v>
      </c>
      <c r="D14909" s="17" t="s">
        <v>11</v>
      </c>
      <c r="E14909" s="17"/>
      <c r="F14909" s="18"/>
      <c r="G14909" s="36" t="str">
        <f>IF(ISNUMBER(F14909),C14909*F14909,"")</f>
        <v/>
      </c>
    </row>
    <row r="14910" spans="1:7" ht="12" customHeight="1" outlineLevel="3" x14ac:dyDescent="0.2">
      <c r="A14910" s="14" t="s">
        <v>29326</v>
      </c>
      <c r="B14910" s="15" t="s">
        <v>29327</v>
      </c>
      <c r="C14910" s="16">
        <f>248.35/(1+B2)</f>
        <v>248.35</v>
      </c>
      <c r="D14910" s="17" t="s">
        <v>14</v>
      </c>
      <c r="E14910" s="17"/>
      <c r="F14910" s="18"/>
      <c r="G14910" s="36" t="str">
        <f>IF(ISNUMBER(F14910),C14910*F14910,"")</f>
        <v/>
      </c>
    </row>
    <row r="14911" spans="1:7" ht="12" customHeight="1" outlineLevel="3" x14ac:dyDescent="0.2">
      <c r="A14911" s="14" t="s">
        <v>29328</v>
      </c>
      <c r="B14911" s="15" t="s">
        <v>29329</v>
      </c>
      <c r="C14911" s="16">
        <f>357.98/(1+B2)</f>
        <v>357.98</v>
      </c>
      <c r="D14911" s="17" t="s">
        <v>11</v>
      </c>
      <c r="E14911" s="17"/>
      <c r="F14911" s="18"/>
      <c r="G14911" s="36" t="str">
        <f>IF(ISNUMBER(F14911),C14911*F14911,"")</f>
        <v/>
      </c>
    </row>
    <row r="14912" spans="1:7" ht="24" customHeight="1" outlineLevel="3" x14ac:dyDescent="0.2">
      <c r="A14912" s="14" t="s">
        <v>29330</v>
      </c>
      <c r="B14912" s="15" t="s">
        <v>29331</v>
      </c>
      <c r="C14912" s="16">
        <f>211.11/(1+B2)</f>
        <v>211.11</v>
      </c>
      <c r="D14912" s="17" t="s">
        <v>11</v>
      </c>
      <c r="E14912" s="17"/>
      <c r="F14912" s="18"/>
      <c r="G14912" s="36" t="str">
        <f>IF(ISNUMBER(F14912),C14912*F14912,"")</f>
        <v/>
      </c>
    </row>
    <row r="14913" spans="1:7" ht="24" customHeight="1" outlineLevel="3" x14ac:dyDescent="0.2">
      <c r="A14913" s="14" t="s">
        <v>29332</v>
      </c>
      <c r="B14913" s="15" t="s">
        <v>29333</v>
      </c>
      <c r="C14913" s="16">
        <f>200.39/(1+B2)</f>
        <v>200.39</v>
      </c>
      <c r="D14913" s="17" t="s">
        <v>11</v>
      </c>
      <c r="E14913" s="17"/>
      <c r="F14913" s="18"/>
      <c r="G14913" s="36" t="str">
        <f>IF(ISNUMBER(F14913),C14913*F14913,"")</f>
        <v/>
      </c>
    </row>
    <row r="14914" spans="1:7" ht="12" customHeight="1" outlineLevel="3" x14ac:dyDescent="0.2">
      <c r="A14914" s="14" t="s">
        <v>29334</v>
      </c>
      <c r="B14914" s="15" t="s">
        <v>29335</v>
      </c>
      <c r="C14914" s="16">
        <f>213/(1+B2)</f>
        <v>213</v>
      </c>
      <c r="D14914" s="17" t="s">
        <v>11</v>
      </c>
      <c r="E14914" s="17"/>
      <c r="F14914" s="18"/>
      <c r="G14914" s="36" t="str">
        <f>IF(ISNUMBER(F14914),C14914*F14914,"")</f>
        <v/>
      </c>
    </row>
    <row r="14915" spans="1:7" ht="12" customHeight="1" outlineLevel="3" x14ac:dyDescent="0.2">
      <c r="A14915" s="14" t="s">
        <v>29336</v>
      </c>
      <c r="B14915" s="15" t="s">
        <v>29337</v>
      </c>
      <c r="C14915" s="16">
        <f>229.21/(1+B2)</f>
        <v>229.21</v>
      </c>
      <c r="D14915" s="17" t="s">
        <v>14</v>
      </c>
      <c r="E14915" s="17"/>
      <c r="F14915" s="18"/>
      <c r="G14915" s="36" t="str">
        <f>IF(ISNUMBER(F14915),C14915*F14915,"")</f>
        <v/>
      </c>
    </row>
    <row r="14916" spans="1:7" ht="12" customHeight="1" outlineLevel="3" x14ac:dyDescent="0.2">
      <c r="A14916" s="14" t="s">
        <v>29338</v>
      </c>
      <c r="B14916" s="15" t="s">
        <v>29339</v>
      </c>
      <c r="C14916" s="16">
        <f>229.41/(1+B2)</f>
        <v>229.41</v>
      </c>
      <c r="D14916" s="17" t="s">
        <v>11</v>
      </c>
      <c r="E14916" s="17"/>
      <c r="F14916" s="18"/>
      <c r="G14916" s="36" t="str">
        <f>IF(ISNUMBER(F14916),C14916*F14916,"")</f>
        <v/>
      </c>
    </row>
    <row r="14917" spans="1:7" ht="12" customHeight="1" outlineLevel="3" x14ac:dyDescent="0.2">
      <c r="A14917" s="14" t="s">
        <v>29340</v>
      </c>
      <c r="B14917" s="15" t="s">
        <v>29341</v>
      </c>
      <c r="C14917" s="16">
        <f>150.21/(1+B2)</f>
        <v>150.21</v>
      </c>
      <c r="D14917" s="17" t="s">
        <v>11</v>
      </c>
      <c r="E14917" s="17"/>
      <c r="F14917" s="18"/>
      <c r="G14917" s="36" t="str">
        <f>IF(ISNUMBER(F14917),C14917*F14917,"")</f>
        <v/>
      </c>
    </row>
    <row r="14918" spans="1:7" ht="12" customHeight="1" outlineLevel="3" x14ac:dyDescent="0.2">
      <c r="A14918" s="14" t="s">
        <v>29342</v>
      </c>
      <c r="B14918" s="15" t="s">
        <v>29343</v>
      </c>
      <c r="C14918" s="16">
        <f>173.92/(1+B2)</f>
        <v>173.92</v>
      </c>
      <c r="D14918" s="17" t="s">
        <v>14</v>
      </c>
      <c r="E14918" s="17"/>
      <c r="F14918" s="18"/>
      <c r="G14918" s="36" t="str">
        <f>IF(ISNUMBER(F14918),C14918*F14918,"")</f>
        <v/>
      </c>
    </row>
    <row r="14919" spans="1:7" ht="12" customHeight="1" outlineLevel="3" x14ac:dyDescent="0.2">
      <c r="A14919" s="14" t="s">
        <v>29344</v>
      </c>
      <c r="B14919" s="15" t="s">
        <v>29345</v>
      </c>
      <c r="C14919" s="16">
        <f>245.14/(1+B2)</f>
        <v>245.14</v>
      </c>
      <c r="D14919" s="17" t="s">
        <v>11</v>
      </c>
      <c r="E14919" s="17"/>
      <c r="F14919" s="18"/>
      <c r="G14919" s="36" t="str">
        <f>IF(ISNUMBER(F14919),C14919*F14919,"")</f>
        <v/>
      </c>
    </row>
    <row r="14920" spans="1:7" ht="12" customHeight="1" outlineLevel="3" x14ac:dyDescent="0.2">
      <c r="A14920" s="14" t="s">
        <v>29346</v>
      </c>
      <c r="B14920" s="15" t="s">
        <v>29347</v>
      </c>
      <c r="C14920" s="16">
        <f>245.14/(1+B2)</f>
        <v>245.14</v>
      </c>
      <c r="D14920" s="17" t="s">
        <v>14</v>
      </c>
      <c r="E14920" s="17" t="s">
        <v>106</v>
      </c>
      <c r="F14920" s="18"/>
      <c r="G14920" s="36" t="str">
        <f>IF(ISNUMBER(F14920),C14920*F14920,"")</f>
        <v/>
      </c>
    </row>
    <row r="14921" spans="1:7" ht="12" customHeight="1" outlineLevel="3" x14ac:dyDescent="0.2">
      <c r="A14921" s="14" t="s">
        <v>29348</v>
      </c>
      <c r="B14921" s="15" t="s">
        <v>29349</v>
      </c>
      <c r="C14921" s="16">
        <f>245.14/(1+B2)</f>
        <v>245.14</v>
      </c>
      <c r="D14921" s="17" t="s">
        <v>14</v>
      </c>
      <c r="E14921" s="17" t="s">
        <v>106</v>
      </c>
      <c r="F14921" s="18"/>
      <c r="G14921" s="36" t="str">
        <f>IF(ISNUMBER(F14921),C14921*F14921,"")</f>
        <v/>
      </c>
    </row>
    <row r="14922" spans="1:7" ht="12" customHeight="1" outlineLevel="3" x14ac:dyDescent="0.2">
      <c r="A14922" s="14" t="s">
        <v>29350</v>
      </c>
      <c r="B14922" s="15" t="s">
        <v>29351</v>
      </c>
      <c r="C14922" s="16">
        <f>103.52/(1+B2)</f>
        <v>103.52</v>
      </c>
      <c r="D14922" s="17" t="s">
        <v>11</v>
      </c>
      <c r="E14922" s="17"/>
      <c r="F14922" s="18"/>
      <c r="G14922" s="36" t="str">
        <f>IF(ISNUMBER(F14922),C14922*F14922,"")</f>
        <v/>
      </c>
    </row>
    <row r="14923" spans="1:7" ht="12" customHeight="1" outlineLevel="3" x14ac:dyDescent="0.2">
      <c r="A14923" s="14" t="s">
        <v>29352</v>
      </c>
      <c r="B14923" s="15" t="s">
        <v>29353</v>
      </c>
      <c r="C14923" s="16">
        <f>189.64/(1+B2)</f>
        <v>189.64</v>
      </c>
      <c r="D14923" s="17" t="s">
        <v>11</v>
      </c>
      <c r="E14923" s="17"/>
      <c r="F14923" s="18"/>
      <c r="G14923" s="36" t="str">
        <f>IF(ISNUMBER(F14923),C14923*F14923,"")</f>
        <v/>
      </c>
    </row>
    <row r="14924" spans="1:7" ht="12" customHeight="1" outlineLevel="3" x14ac:dyDescent="0.2">
      <c r="A14924" s="14" t="s">
        <v>29354</v>
      </c>
      <c r="B14924" s="15" t="s">
        <v>29355</v>
      </c>
      <c r="C14924" s="16">
        <f>581.58/(1+B2)</f>
        <v>581.58000000000004</v>
      </c>
      <c r="D14924" s="17" t="s">
        <v>11</v>
      </c>
      <c r="E14924" s="17"/>
      <c r="F14924" s="18"/>
      <c r="G14924" s="36" t="str">
        <f>IF(ISNUMBER(F14924),C14924*F14924,"")</f>
        <v/>
      </c>
    </row>
    <row r="14925" spans="1:7" ht="12" customHeight="1" outlineLevel="3" x14ac:dyDescent="0.2">
      <c r="A14925" s="14" t="s">
        <v>29356</v>
      </c>
      <c r="B14925" s="15" t="s">
        <v>29357</v>
      </c>
      <c r="C14925" s="19">
        <f>1445.26/(1+B2)</f>
        <v>1445.26</v>
      </c>
      <c r="D14925" s="17" t="s">
        <v>11</v>
      </c>
      <c r="E14925" s="17"/>
      <c r="F14925" s="18"/>
      <c r="G14925" s="36" t="str">
        <f>IF(ISNUMBER(F14925),C14925*F14925,"")</f>
        <v/>
      </c>
    </row>
    <row r="14926" spans="1:7" ht="12" customHeight="1" outlineLevel="3" x14ac:dyDescent="0.2">
      <c r="A14926" s="14" t="s">
        <v>29358</v>
      </c>
      <c r="B14926" s="15" t="s">
        <v>29359</v>
      </c>
      <c r="C14926" s="19">
        <f>1462.8/(1+B2)</f>
        <v>1462.8</v>
      </c>
      <c r="D14926" s="17" t="s">
        <v>11</v>
      </c>
      <c r="E14926" s="17"/>
      <c r="F14926" s="18"/>
      <c r="G14926" s="36" t="str">
        <f>IF(ISNUMBER(F14926),C14926*F14926,"")</f>
        <v/>
      </c>
    </row>
    <row r="14927" spans="1:7" ht="12" customHeight="1" outlineLevel="3" x14ac:dyDescent="0.2">
      <c r="A14927" s="14" t="s">
        <v>29360</v>
      </c>
      <c r="B14927" s="15" t="s">
        <v>29361</v>
      </c>
      <c r="C14927" s="19">
        <f>1394.24/(1+B2)</f>
        <v>1394.24</v>
      </c>
      <c r="D14927" s="17" t="s">
        <v>11</v>
      </c>
      <c r="E14927" s="17"/>
      <c r="F14927" s="18"/>
      <c r="G14927" s="36" t="str">
        <f>IF(ISNUMBER(F14927),C14927*F14927,"")</f>
        <v/>
      </c>
    </row>
    <row r="14928" spans="1:7" ht="12" customHeight="1" outlineLevel="3" x14ac:dyDescent="0.2">
      <c r="A14928" s="14" t="s">
        <v>29362</v>
      </c>
      <c r="B14928" s="15" t="s">
        <v>29363</v>
      </c>
      <c r="C14928" s="16">
        <f>886.14/(1+B2)</f>
        <v>886.14</v>
      </c>
      <c r="D14928" s="17" t="s">
        <v>11</v>
      </c>
      <c r="E14928" s="17"/>
      <c r="F14928" s="18"/>
      <c r="G14928" s="36" t="str">
        <f>IF(ISNUMBER(F14928),C14928*F14928,"")</f>
        <v/>
      </c>
    </row>
    <row r="14929" spans="1:7" ht="12" customHeight="1" outlineLevel="3" x14ac:dyDescent="0.2">
      <c r="A14929" s="14" t="s">
        <v>29364</v>
      </c>
      <c r="B14929" s="15" t="s">
        <v>29365</v>
      </c>
      <c r="C14929" s="19">
        <f>1326.78/(1+B2)</f>
        <v>1326.78</v>
      </c>
      <c r="D14929" s="17" t="s">
        <v>11</v>
      </c>
      <c r="E14929" s="17"/>
      <c r="F14929" s="18"/>
      <c r="G14929" s="36" t="str">
        <f>IF(ISNUMBER(F14929),C14929*F14929,"")</f>
        <v/>
      </c>
    </row>
    <row r="14930" spans="1:7" ht="12" customHeight="1" outlineLevel="3" x14ac:dyDescent="0.2">
      <c r="A14930" s="14" t="s">
        <v>29366</v>
      </c>
      <c r="B14930" s="15" t="s">
        <v>29367</v>
      </c>
      <c r="C14930" s="19">
        <f>1156.55/(1+B2)</f>
        <v>1156.55</v>
      </c>
      <c r="D14930" s="17" t="s">
        <v>11</v>
      </c>
      <c r="E14930" s="17"/>
      <c r="F14930" s="18"/>
      <c r="G14930" s="36" t="str">
        <f>IF(ISNUMBER(F14930),C14930*F14930,"")</f>
        <v/>
      </c>
    </row>
    <row r="14931" spans="1:7" ht="12" customHeight="1" outlineLevel="3" x14ac:dyDescent="0.2">
      <c r="A14931" s="14" t="s">
        <v>29368</v>
      </c>
      <c r="B14931" s="15" t="s">
        <v>29369</v>
      </c>
      <c r="C14931" s="16">
        <f>732.79/(1+B2)</f>
        <v>732.79</v>
      </c>
      <c r="D14931" s="17" t="s">
        <v>11</v>
      </c>
      <c r="E14931" s="17" t="s">
        <v>53</v>
      </c>
      <c r="F14931" s="18"/>
      <c r="G14931" s="36" t="str">
        <f>IF(ISNUMBER(F14931),C14931*F14931,"")</f>
        <v/>
      </c>
    </row>
    <row r="14932" spans="1:7" ht="12" customHeight="1" outlineLevel="3" x14ac:dyDescent="0.2">
      <c r="A14932" s="14" t="s">
        <v>29370</v>
      </c>
      <c r="B14932" s="15" t="s">
        <v>29371</v>
      </c>
      <c r="C14932" s="16">
        <f>671.67/(1+B2)</f>
        <v>671.67</v>
      </c>
      <c r="D14932" s="17" t="s">
        <v>11</v>
      </c>
      <c r="E14932" s="17"/>
      <c r="F14932" s="18"/>
      <c r="G14932" s="36" t="str">
        <f>IF(ISNUMBER(F14932),C14932*F14932,"")</f>
        <v/>
      </c>
    </row>
    <row r="14933" spans="1:7" ht="12" customHeight="1" outlineLevel="3" x14ac:dyDescent="0.2">
      <c r="A14933" s="14" t="s">
        <v>29372</v>
      </c>
      <c r="B14933" s="15" t="s">
        <v>29373</v>
      </c>
      <c r="C14933" s="19">
        <f>1051.48/(1+B2)</f>
        <v>1051.48</v>
      </c>
      <c r="D14933" s="17" t="s">
        <v>11</v>
      </c>
      <c r="E14933" s="17"/>
      <c r="F14933" s="18"/>
      <c r="G14933" s="36" t="str">
        <f>IF(ISNUMBER(F14933),C14933*F14933,"")</f>
        <v/>
      </c>
    </row>
    <row r="14934" spans="1:7" ht="12" customHeight="1" outlineLevel="3" x14ac:dyDescent="0.2">
      <c r="A14934" s="14" t="s">
        <v>29374</v>
      </c>
      <c r="B14934" s="15" t="s">
        <v>29375</v>
      </c>
      <c r="C14934" s="19">
        <f>1650.65/(1+B2)</f>
        <v>1650.65</v>
      </c>
      <c r="D14934" s="17" t="s">
        <v>11</v>
      </c>
      <c r="E14934" s="17"/>
      <c r="F14934" s="18"/>
      <c r="G14934" s="36" t="str">
        <f>IF(ISNUMBER(F14934),C14934*F14934,"")</f>
        <v/>
      </c>
    </row>
    <row r="14935" spans="1:7" ht="12" customHeight="1" outlineLevel="3" x14ac:dyDescent="0.2">
      <c r="A14935" s="14" t="s">
        <v>29376</v>
      </c>
      <c r="B14935" s="15" t="s">
        <v>29377</v>
      </c>
      <c r="C14935" s="19">
        <f>2299/(1+B2)</f>
        <v>2299</v>
      </c>
      <c r="D14935" s="17" t="s">
        <v>11</v>
      </c>
      <c r="E14935" s="17"/>
      <c r="F14935" s="18"/>
      <c r="G14935" s="36" t="str">
        <f>IF(ISNUMBER(F14935),C14935*F14935,"")</f>
        <v/>
      </c>
    </row>
    <row r="14936" spans="1:7" ht="12" customHeight="1" outlineLevel="3" x14ac:dyDescent="0.2">
      <c r="A14936" s="14" t="s">
        <v>29378</v>
      </c>
      <c r="B14936" s="15" t="s">
        <v>29379</v>
      </c>
      <c r="C14936" s="19">
        <f>1631.83/(1+B2)</f>
        <v>1631.83</v>
      </c>
      <c r="D14936" s="17" t="s">
        <v>11</v>
      </c>
      <c r="E14936" s="17"/>
      <c r="F14936" s="18"/>
      <c r="G14936" s="36" t="str">
        <f>IF(ISNUMBER(F14936),C14936*F14936,"")</f>
        <v/>
      </c>
    </row>
    <row r="14937" spans="1:7" ht="12" customHeight="1" outlineLevel="3" x14ac:dyDescent="0.2">
      <c r="A14937" s="14" t="s">
        <v>29380</v>
      </c>
      <c r="B14937" s="15" t="s">
        <v>29381</v>
      </c>
      <c r="C14937" s="19">
        <f>1464.95/(1+B2)</f>
        <v>1464.95</v>
      </c>
      <c r="D14937" s="17" t="s">
        <v>11</v>
      </c>
      <c r="E14937" s="17"/>
      <c r="F14937" s="18"/>
      <c r="G14937" s="36" t="str">
        <f>IF(ISNUMBER(F14937),C14937*F14937,"")</f>
        <v/>
      </c>
    </row>
    <row r="14938" spans="1:7" ht="12" customHeight="1" outlineLevel="3" x14ac:dyDescent="0.2">
      <c r="A14938" s="14" t="s">
        <v>29382</v>
      </c>
      <c r="B14938" s="15" t="s">
        <v>29383</v>
      </c>
      <c r="C14938" s="16">
        <f>514.45/(1+B2)</f>
        <v>514.45000000000005</v>
      </c>
      <c r="D14938" s="17" t="s">
        <v>11</v>
      </c>
      <c r="E14938" s="17"/>
      <c r="F14938" s="18"/>
      <c r="G14938" s="36" t="str">
        <f>IF(ISNUMBER(F14938),C14938*F14938,"")</f>
        <v/>
      </c>
    </row>
    <row r="14939" spans="1:7" ht="12" customHeight="1" outlineLevel="3" x14ac:dyDescent="0.2">
      <c r="A14939" s="14" t="s">
        <v>29384</v>
      </c>
      <c r="B14939" s="15" t="s">
        <v>29385</v>
      </c>
      <c r="C14939" s="19">
        <f>2401.09/(1+B2)</f>
        <v>2401.09</v>
      </c>
      <c r="D14939" s="17" t="s">
        <v>11</v>
      </c>
      <c r="E14939" s="17"/>
      <c r="F14939" s="18"/>
      <c r="G14939" s="36" t="str">
        <f>IF(ISNUMBER(F14939),C14939*F14939,"")</f>
        <v/>
      </c>
    </row>
    <row r="14940" spans="1:7" ht="12" customHeight="1" outlineLevel="3" x14ac:dyDescent="0.2">
      <c r="A14940" s="14" t="s">
        <v>29386</v>
      </c>
      <c r="B14940" s="15" t="s">
        <v>29387</v>
      </c>
      <c r="C14940" s="16">
        <f>737.26/(1+B2)</f>
        <v>737.26</v>
      </c>
      <c r="D14940" s="17" t="s">
        <v>11</v>
      </c>
      <c r="E14940" s="17"/>
      <c r="F14940" s="18"/>
      <c r="G14940" s="36" t="str">
        <f>IF(ISNUMBER(F14940),C14940*F14940,"")</f>
        <v/>
      </c>
    </row>
    <row r="14941" spans="1:7" s="1" customFormat="1" ht="12.95" customHeight="1" outlineLevel="2" x14ac:dyDescent="0.2">
      <c r="A14941" s="20"/>
      <c r="B14941" s="21" t="s">
        <v>29388</v>
      </c>
      <c r="C14941" s="22"/>
      <c r="D14941" s="22"/>
      <c r="E14941" s="22"/>
      <c r="F14941" s="22"/>
      <c r="G14941" s="37"/>
    </row>
    <row r="14942" spans="1:7" ht="12" customHeight="1" outlineLevel="3" x14ac:dyDescent="0.2">
      <c r="A14942" s="14" t="s">
        <v>29389</v>
      </c>
      <c r="B14942" s="15" t="s">
        <v>29390</v>
      </c>
      <c r="C14942" s="16">
        <f>255.87/(1+B2)</f>
        <v>255.87</v>
      </c>
      <c r="D14942" s="17" t="s">
        <v>11</v>
      </c>
      <c r="E14942" s="17" t="s">
        <v>11</v>
      </c>
      <c r="F14942" s="18"/>
      <c r="G14942" s="36" t="str">
        <f>IF(ISNUMBER(F14942),C14942*F14942,"")</f>
        <v/>
      </c>
    </row>
    <row r="14943" spans="1:7" ht="12" customHeight="1" outlineLevel="3" x14ac:dyDescent="0.2">
      <c r="A14943" s="14" t="s">
        <v>29391</v>
      </c>
      <c r="B14943" s="15" t="s">
        <v>29392</v>
      </c>
      <c r="C14943" s="16">
        <f>238.95/(1+B2)</f>
        <v>238.95</v>
      </c>
      <c r="D14943" s="17" t="s">
        <v>11</v>
      </c>
      <c r="E14943" s="17"/>
      <c r="F14943" s="18"/>
      <c r="G14943" s="36" t="str">
        <f>IF(ISNUMBER(F14943),C14943*F14943,"")</f>
        <v/>
      </c>
    </row>
    <row r="14944" spans="1:7" ht="12" customHeight="1" outlineLevel="3" x14ac:dyDescent="0.2">
      <c r="A14944" s="14" t="s">
        <v>29393</v>
      </c>
      <c r="B14944" s="15" t="s">
        <v>29394</v>
      </c>
      <c r="C14944" s="16">
        <f>273.94/(1+B2)</f>
        <v>273.94</v>
      </c>
      <c r="D14944" s="17" t="s">
        <v>11</v>
      </c>
      <c r="E14944" s="17" t="s">
        <v>11</v>
      </c>
      <c r="F14944" s="18"/>
      <c r="G14944" s="36" t="str">
        <f>IF(ISNUMBER(F14944),C14944*F14944,"")</f>
        <v/>
      </c>
    </row>
    <row r="14945" spans="1:7" ht="12" customHeight="1" outlineLevel="3" x14ac:dyDescent="0.2">
      <c r="A14945" s="14" t="s">
        <v>29395</v>
      </c>
      <c r="B14945" s="15" t="s">
        <v>29396</v>
      </c>
      <c r="C14945" s="16">
        <f>305.18/(1+B2)</f>
        <v>305.18</v>
      </c>
      <c r="D14945" s="17" t="s">
        <v>11</v>
      </c>
      <c r="E14945" s="17" t="s">
        <v>14</v>
      </c>
      <c r="F14945" s="18"/>
      <c r="G14945" s="36" t="str">
        <f>IF(ISNUMBER(F14945),C14945*F14945,"")</f>
        <v/>
      </c>
    </row>
    <row r="14946" spans="1:7" ht="12" customHeight="1" outlineLevel="3" x14ac:dyDescent="0.2">
      <c r="A14946" s="14" t="s">
        <v>29397</v>
      </c>
      <c r="B14946" s="15" t="s">
        <v>29398</v>
      </c>
      <c r="C14946" s="16">
        <f>352.14/(1+B2)</f>
        <v>352.14</v>
      </c>
      <c r="D14946" s="17" t="s">
        <v>11</v>
      </c>
      <c r="E14946" s="17"/>
      <c r="F14946" s="18"/>
      <c r="G14946" s="36" t="str">
        <f>IF(ISNUMBER(F14946),C14946*F14946,"")</f>
        <v/>
      </c>
    </row>
    <row r="14947" spans="1:7" ht="12" customHeight="1" outlineLevel="3" x14ac:dyDescent="0.2">
      <c r="A14947" s="14" t="s">
        <v>29399</v>
      </c>
      <c r="B14947" s="15" t="s">
        <v>29400</v>
      </c>
      <c r="C14947" s="16">
        <f>352.14/(1+B2)</f>
        <v>352.14</v>
      </c>
      <c r="D14947" s="17" t="s">
        <v>11</v>
      </c>
      <c r="E14947" s="17" t="s">
        <v>11</v>
      </c>
      <c r="F14947" s="18"/>
      <c r="G14947" s="36" t="str">
        <f>IF(ISNUMBER(F14947),C14947*F14947,"")</f>
        <v/>
      </c>
    </row>
    <row r="14948" spans="1:7" ht="12" customHeight="1" outlineLevel="3" x14ac:dyDescent="0.2">
      <c r="A14948" s="14" t="s">
        <v>29401</v>
      </c>
      <c r="B14948" s="15" t="s">
        <v>29402</v>
      </c>
      <c r="C14948" s="16">
        <f>353.19/(1+B2)</f>
        <v>353.19</v>
      </c>
      <c r="D14948" s="17" t="s">
        <v>11</v>
      </c>
      <c r="E14948" s="17" t="s">
        <v>11</v>
      </c>
      <c r="F14948" s="18"/>
      <c r="G14948" s="36" t="str">
        <f>IF(ISNUMBER(F14948),C14948*F14948,"")</f>
        <v/>
      </c>
    </row>
    <row r="14949" spans="1:7" ht="12" customHeight="1" outlineLevel="3" x14ac:dyDescent="0.2">
      <c r="A14949" s="14" t="s">
        <v>29403</v>
      </c>
      <c r="B14949" s="15" t="s">
        <v>29404</v>
      </c>
      <c r="C14949" s="16">
        <f>261.63/(1+B2)</f>
        <v>261.63</v>
      </c>
      <c r="D14949" s="17" t="s">
        <v>11</v>
      </c>
      <c r="E14949" s="17"/>
      <c r="F14949" s="18"/>
      <c r="G14949" s="36" t="str">
        <f>IF(ISNUMBER(F14949),C14949*F14949,"")</f>
        <v/>
      </c>
    </row>
    <row r="14950" spans="1:7" ht="12" customHeight="1" outlineLevel="3" x14ac:dyDescent="0.2">
      <c r="A14950" s="14" t="s">
        <v>29405</v>
      </c>
      <c r="B14950" s="15" t="s">
        <v>29406</v>
      </c>
      <c r="C14950" s="16">
        <f>353.19/(1+B2)</f>
        <v>353.19</v>
      </c>
      <c r="D14950" s="17" t="s">
        <v>14</v>
      </c>
      <c r="E14950" s="17"/>
      <c r="F14950" s="18"/>
      <c r="G14950" s="36" t="str">
        <f>IF(ISNUMBER(F14950),C14950*F14950,"")</f>
        <v/>
      </c>
    </row>
    <row r="14951" spans="1:7" ht="12" customHeight="1" outlineLevel="3" x14ac:dyDescent="0.2">
      <c r="A14951" s="14" t="s">
        <v>29407</v>
      </c>
      <c r="B14951" s="15" t="s">
        <v>29408</v>
      </c>
      <c r="C14951" s="16">
        <f>331.99/(1+B2)</f>
        <v>331.99</v>
      </c>
      <c r="D14951" s="17" t="s">
        <v>11</v>
      </c>
      <c r="E14951" s="17"/>
      <c r="F14951" s="18"/>
      <c r="G14951" s="36" t="str">
        <f>IF(ISNUMBER(F14951),C14951*F14951,"")</f>
        <v/>
      </c>
    </row>
    <row r="14952" spans="1:7" ht="12" customHeight="1" outlineLevel="3" x14ac:dyDescent="0.2">
      <c r="A14952" s="14" t="s">
        <v>29409</v>
      </c>
      <c r="B14952" s="15" t="s">
        <v>29410</v>
      </c>
      <c r="C14952" s="16">
        <f>257.17/(1+B2)</f>
        <v>257.17</v>
      </c>
      <c r="D14952" s="17" t="s">
        <v>11</v>
      </c>
      <c r="E14952" s="17"/>
      <c r="F14952" s="18"/>
      <c r="G14952" s="36" t="str">
        <f>IF(ISNUMBER(F14952),C14952*F14952,"")</f>
        <v/>
      </c>
    </row>
    <row r="14953" spans="1:7" ht="12" customHeight="1" outlineLevel="3" x14ac:dyDescent="0.2">
      <c r="A14953" s="14" t="s">
        <v>29411</v>
      </c>
      <c r="B14953" s="15" t="s">
        <v>29412</v>
      </c>
      <c r="C14953" s="16">
        <f>306.35/(1+B2)</f>
        <v>306.35000000000002</v>
      </c>
      <c r="D14953" s="17" t="s">
        <v>11</v>
      </c>
      <c r="E14953" s="17"/>
      <c r="F14953" s="18"/>
      <c r="G14953" s="36" t="str">
        <f>IF(ISNUMBER(F14953),C14953*F14953,"")</f>
        <v/>
      </c>
    </row>
    <row r="14954" spans="1:7" ht="12" customHeight="1" outlineLevel="3" x14ac:dyDescent="0.2">
      <c r="A14954" s="14" t="s">
        <v>29413</v>
      </c>
      <c r="B14954" s="15" t="s">
        <v>29414</v>
      </c>
      <c r="C14954" s="16">
        <f>484.5/(1+B2)</f>
        <v>484.5</v>
      </c>
      <c r="D14954" s="17" t="s">
        <v>14</v>
      </c>
      <c r="E14954" s="17"/>
      <c r="F14954" s="18"/>
      <c r="G14954" s="36" t="str">
        <f>IF(ISNUMBER(F14954),C14954*F14954,"")</f>
        <v/>
      </c>
    </row>
    <row r="14955" spans="1:7" ht="12" customHeight="1" outlineLevel="3" x14ac:dyDescent="0.2">
      <c r="A14955" s="14" t="s">
        <v>29415</v>
      </c>
      <c r="B14955" s="15" t="s">
        <v>29416</v>
      </c>
      <c r="C14955" s="16">
        <f>450.65/(1+B2)</f>
        <v>450.65</v>
      </c>
      <c r="D14955" s="17" t="s">
        <v>11</v>
      </c>
      <c r="E14955" s="17"/>
      <c r="F14955" s="18"/>
      <c r="G14955" s="36" t="str">
        <f>IF(ISNUMBER(F14955),C14955*F14955,"")</f>
        <v/>
      </c>
    </row>
    <row r="14956" spans="1:7" ht="12" customHeight="1" outlineLevel="3" x14ac:dyDescent="0.2">
      <c r="A14956" s="14" t="s">
        <v>29417</v>
      </c>
      <c r="B14956" s="15" t="s">
        <v>29418</v>
      </c>
      <c r="C14956" s="16">
        <f>450.65/(1+B2)</f>
        <v>450.65</v>
      </c>
      <c r="D14956" s="17" t="s">
        <v>11</v>
      </c>
      <c r="E14956" s="17"/>
      <c r="F14956" s="18"/>
      <c r="G14956" s="36" t="str">
        <f>IF(ISNUMBER(F14956),C14956*F14956,"")</f>
        <v/>
      </c>
    </row>
    <row r="14957" spans="1:7" ht="12" customHeight="1" outlineLevel="3" x14ac:dyDescent="0.2">
      <c r="A14957" s="14" t="s">
        <v>29419</v>
      </c>
      <c r="B14957" s="15" t="s">
        <v>29420</v>
      </c>
      <c r="C14957" s="16">
        <f>504.7/(1+B2)</f>
        <v>504.7</v>
      </c>
      <c r="D14957" s="17" t="s">
        <v>14</v>
      </c>
      <c r="E14957" s="17" t="s">
        <v>11</v>
      </c>
      <c r="F14957" s="18"/>
      <c r="G14957" s="36" t="str">
        <f>IF(ISNUMBER(F14957),C14957*F14957,"")</f>
        <v/>
      </c>
    </row>
    <row r="14958" spans="1:7" ht="12" customHeight="1" outlineLevel="3" x14ac:dyDescent="0.2">
      <c r="A14958" s="14" t="s">
        <v>29421</v>
      </c>
      <c r="B14958" s="15" t="s">
        <v>29422</v>
      </c>
      <c r="C14958" s="16">
        <f>504.7/(1+B2)</f>
        <v>504.7</v>
      </c>
      <c r="D14958" s="17" t="s">
        <v>11</v>
      </c>
      <c r="E14958" s="17" t="s">
        <v>14</v>
      </c>
      <c r="F14958" s="18"/>
      <c r="G14958" s="36" t="str">
        <f>IF(ISNUMBER(F14958),C14958*F14958,"")</f>
        <v/>
      </c>
    </row>
    <row r="14959" spans="1:7" ht="12" customHeight="1" outlineLevel="3" x14ac:dyDescent="0.2">
      <c r="A14959" s="14" t="s">
        <v>29423</v>
      </c>
      <c r="B14959" s="15" t="s">
        <v>29424</v>
      </c>
      <c r="C14959" s="16">
        <f>638.38/(1+B2)</f>
        <v>638.38</v>
      </c>
      <c r="D14959" s="17" t="s">
        <v>11</v>
      </c>
      <c r="E14959" s="17" t="s">
        <v>11</v>
      </c>
      <c r="F14959" s="18"/>
      <c r="G14959" s="36" t="str">
        <f>IF(ISNUMBER(F14959),C14959*F14959,"")</f>
        <v/>
      </c>
    </row>
    <row r="14960" spans="1:7" ht="12" customHeight="1" outlineLevel="3" x14ac:dyDescent="0.2">
      <c r="A14960" s="14" t="s">
        <v>29425</v>
      </c>
      <c r="B14960" s="15" t="s">
        <v>29426</v>
      </c>
      <c r="C14960" s="16">
        <f>638.38/(1+B2)</f>
        <v>638.38</v>
      </c>
      <c r="D14960" s="17" t="s">
        <v>11</v>
      </c>
      <c r="E14960" s="17"/>
      <c r="F14960" s="18"/>
      <c r="G14960" s="36" t="str">
        <f>IF(ISNUMBER(F14960),C14960*F14960,"")</f>
        <v/>
      </c>
    </row>
    <row r="14961" spans="1:7" ht="12" customHeight="1" outlineLevel="3" x14ac:dyDescent="0.2">
      <c r="A14961" s="14" t="s">
        <v>29427</v>
      </c>
      <c r="B14961" s="15" t="s">
        <v>29428</v>
      </c>
      <c r="C14961" s="16">
        <f>607.87/(1+B2)</f>
        <v>607.87</v>
      </c>
      <c r="D14961" s="17" t="s">
        <v>11</v>
      </c>
      <c r="E14961" s="17"/>
      <c r="F14961" s="18"/>
      <c r="G14961" s="36" t="str">
        <f>IF(ISNUMBER(F14961),C14961*F14961,"")</f>
        <v/>
      </c>
    </row>
    <row r="14962" spans="1:7" ht="12" customHeight="1" outlineLevel="3" x14ac:dyDescent="0.2">
      <c r="A14962" s="14" t="s">
        <v>29429</v>
      </c>
      <c r="B14962" s="15" t="s">
        <v>29430</v>
      </c>
      <c r="C14962" s="16">
        <f>607.87/(1+B2)</f>
        <v>607.87</v>
      </c>
      <c r="D14962" s="17" t="s">
        <v>11</v>
      </c>
      <c r="E14962" s="17"/>
      <c r="F14962" s="18"/>
      <c r="G14962" s="36" t="str">
        <f>IF(ISNUMBER(F14962),C14962*F14962,"")</f>
        <v/>
      </c>
    </row>
    <row r="14963" spans="1:7" ht="12" customHeight="1" outlineLevel="3" x14ac:dyDescent="0.2">
      <c r="A14963" s="14" t="s">
        <v>29431</v>
      </c>
      <c r="B14963" s="15" t="s">
        <v>29432</v>
      </c>
      <c r="C14963" s="16">
        <f>303.79/(1+B2)</f>
        <v>303.79000000000002</v>
      </c>
      <c r="D14963" s="17" t="s">
        <v>11</v>
      </c>
      <c r="E14963" s="17"/>
      <c r="F14963" s="18"/>
      <c r="G14963" s="36" t="str">
        <f>IF(ISNUMBER(F14963),C14963*F14963,"")</f>
        <v/>
      </c>
    </row>
    <row r="14964" spans="1:7" ht="12" customHeight="1" outlineLevel="3" x14ac:dyDescent="0.2">
      <c r="A14964" s="14" t="s">
        <v>29433</v>
      </c>
      <c r="B14964" s="15" t="s">
        <v>29434</v>
      </c>
      <c r="C14964" s="16">
        <f>688.26/(1+B2)</f>
        <v>688.26</v>
      </c>
      <c r="D14964" s="17" t="s">
        <v>11</v>
      </c>
      <c r="E14964" s="17"/>
      <c r="F14964" s="18"/>
      <c r="G14964" s="36" t="str">
        <f>IF(ISNUMBER(F14964),C14964*F14964,"")</f>
        <v/>
      </c>
    </row>
    <row r="14965" spans="1:7" ht="12" customHeight="1" outlineLevel="3" x14ac:dyDescent="0.2">
      <c r="A14965" s="14" t="s">
        <v>29435</v>
      </c>
      <c r="B14965" s="15" t="s">
        <v>29436</v>
      </c>
      <c r="C14965" s="16">
        <f>900.25/(1+B2)</f>
        <v>900.25</v>
      </c>
      <c r="D14965" s="17" t="s">
        <v>11</v>
      </c>
      <c r="E14965" s="17"/>
      <c r="F14965" s="18"/>
      <c r="G14965" s="36" t="str">
        <f>IF(ISNUMBER(F14965),C14965*F14965,"")</f>
        <v/>
      </c>
    </row>
    <row r="14966" spans="1:7" ht="12" customHeight="1" outlineLevel="3" x14ac:dyDescent="0.2">
      <c r="A14966" s="14" t="s">
        <v>29437</v>
      </c>
      <c r="B14966" s="15" t="s">
        <v>29438</v>
      </c>
      <c r="C14966" s="16">
        <f>643.79/(1+B2)</f>
        <v>643.79</v>
      </c>
      <c r="D14966" s="17" t="s">
        <v>11</v>
      </c>
      <c r="E14966" s="17" t="s">
        <v>14</v>
      </c>
      <c r="F14966" s="18"/>
      <c r="G14966" s="36" t="str">
        <f>IF(ISNUMBER(F14966),C14966*F14966,"")</f>
        <v/>
      </c>
    </row>
    <row r="14967" spans="1:7" ht="12" customHeight="1" outlineLevel="3" x14ac:dyDescent="0.2">
      <c r="A14967" s="14" t="s">
        <v>29439</v>
      </c>
      <c r="B14967" s="15" t="s">
        <v>29440</v>
      </c>
      <c r="C14967" s="16">
        <f>774.55/(1+B2)</f>
        <v>774.55</v>
      </c>
      <c r="D14967" s="17" t="s">
        <v>11</v>
      </c>
      <c r="E14967" s="17"/>
      <c r="F14967" s="18"/>
      <c r="G14967" s="36" t="str">
        <f>IF(ISNUMBER(F14967),C14967*F14967,"")</f>
        <v/>
      </c>
    </row>
    <row r="14968" spans="1:7" ht="12" customHeight="1" outlineLevel="3" x14ac:dyDescent="0.2">
      <c r="A14968" s="14" t="s">
        <v>29441</v>
      </c>
      <c r="B14968" s="15" t="s">
        <v>29442</v>
      </c>
      <c r="C14968" s="16">
        <f>728.29/(1+B2)</f>
        <v>728.29</v>
      </c>
      <c r="D14968" s="17" t="s">
        <v>11</v>
      </c>
      <c r="E14968" s="17"/>
      <c r="F14968" s="18"/>
      <c r="G14968" s="36" t="str">
        <f>IF(ISNUMBER(F14968),C14968*F14968,"")</f>
        <v/>
      </c>
    </row>
    <row r="14969" spans="1:7" ht="12" customHeight="1" outlineLevel="3" x14ac:dyDescent="0.2">
      <c r="A14969" s="14" t="s">
        <v>29443</v>
      </c>
      <c r="B14969" s="15" t="s">
        <v>29444</v>
      </c>
      <c r="C14969" s="16">
        <f>728.29/(1+B2)</f>
        <v>728.29</v>
      </c>
      <c r="D14969" s="17" t="s">
        <v>11</v>
      </c>
      <c r="E14969" s="17" t="s">
        <v>11</v>
      </c>
      <c r="F14969" s="18"/>
      <c r="G14969" s="36" t="str">
        <f>IF(ISNUMBER(F14969),C14969*F14969,"")</f>
        <v/>
      </c>
    </row>
    <row r="14970" spans="1:7" ht="12" customHeight="1" outlineLevel="3" x14ac:dyDescent="0.2">
      <c r="A14970" s="14" t="s">
        <v>29445</v>
      </c>
      <c r="B14970" s="15" t="s">
        <v>29446</v>
      </c>
      <c r="C14970" s="16">
        <f>929.15/(1+B2)</f>
        <v>929.15</v>
      </c>
      <c r="D14970" s="17" t="s">
        <v>11</v>
      </c>
      <c r="E14970" s="17"/>
      <c r="F14970" s="18"/>
      <c r="G14970" s="36" t="str">
        <f>IF(ISNUMBER(F14970),C14970*F14970,"")</f>
        <v/>
      </c>
    </row>
    <row r="14971" spans="1:7" ht="12" customHeight="1" outlineLevel="3" x14ac:dyDescent="0.2">
      <c r="A14971" s="14" t="s">
        <v>29447</v>
      </c>
      <c r="B14971" s="15" t="s">
        <v>29448</v>
      </c>
      <c r="C14971" s="16">
        <f>929.15/(1+B2)</f>
        <v>929.15</v>
      </c>
      <c r="D14971" s="17" t="s">
        <v>11</v>
      </c>
      <c r="E14971" s="17"/>
      <c r="F14971" s="18"/>
      <c r="G14971" s="36" t="str">
        <f>IF(ISNUMBER(F14971),C14971*F14971,"")</f>
        <v/>
      </c>
    </row>
    <row r="14972" spans="1:7" ht="12" customHeight="1" outlineLevel="3" x14ac:dyDescent="0.2">
      <c r="A14972" s="14" t="s">
        <v>29449</v>
      </c>
      <c r="B14972" s="15" t="s">
        <v>29450</v>
      </c>
      <c r="C14972" s="19">
        <f>5661/(1+B2)</f>
        <v>5661</v>
      </c>
      <c r="D14972" s="17" t="s">
        <v>11</v>
      </c>
      <c r="E14972" s="17"/>
      <c r="F14972" s="18"/>
      <c r="G14972" s="36" t="str">
        <f>IF(ISNUMBER(F14972),C14972*F14972,"")</f>
        <v/>
      </c>
    </row>
    <row r="14973" spans="1:7" ht="12" customHeight="1" outlineLevel="3" x14ac:dyDescent="0.2">
      <c r="A14973" s="14" t="s">
        <v>29451</v>
      </c>
      <c r="B14973" s="15" t="s">
        <v>29452</v>
      </c>
      <c r="C14973" s="16">
        <f>340/(1+B2)</f>
        <v>340</v>
      </c>
      <c r="D14973" s="17" t="s">
        <v>11</v>
      </c>
      <c r="E14973" s="17"/>
      <c r="F14973" s="18"/>
      <c r="G14973" s="36" t="str">
        <f>IF(ISNUMBER(F14973),C14973*F14973,"")</f>
        <v/>
      </c>
    </row>
    <row r="14974" spans="1:7" ht="12" customHeight="1" outlineLevel="3" x14ac:dyDescent="0.2">
      <c r="A14974" s="14" t="s">
        <v>29453</v>
      </c>
      <c r="B14974" s="15" t="s">
        <v>29454</v>
      </c>
      <c r="C14974" s="16">
        <f>450/(1+B2)</f>
        <v>450</v>
      </c>
      <c r="D14974" s="17" t="s">
        <v>11</v>
      </c>
      <c r="E14974" s="17" t="s">
        <v>11</v>
      </c>
      <c r="F14974" s="18"/>
      <c r="G14974" s="36" t="str">
        <f>IF(ISNUMBER(F14974),C14974*F14974,"")</f>
        <v/>
      </c>
    </row>
    <row r="14975" spans="1:7" ht="12" customHeight="1" outlineLevel="3" x14ac:dyDescent="0.2">
      <c r="A14975" s="14" t="s">
        <v>29455</v>
      </c>
      <c r="B14975" s="15" t="s">
        <v>29456</v>
      </c>
      <c r="C14975" s="16">
        <f>450/(1+B2)</f>
        <v>450</v>
      </c>
      <c r="D14975" s="17" t="s">
        <v>11</v>
      </c>
      <c r="E14975" s="17" t="s">
        <v>11</v>
      </c>
      <c r="F14975" s="18"/>
      <c r="G14975" s="36" t="str">
        <f>IF(ISNUMBER(F14975),C14975*F14975,"")</f>
        <v/>
      </c>
    </row>
    <row r="14976" spans="1:7" ht="12" customHeight="1" outlineLevel="3" x14ac:dyDescent="0.2">
      <c r="A14976" s="14" t="s">
        <v>29457</v>
      </c>
      <c r="B14976" s="15" t="s">
        <v>29458</v>
      </c>
      <c r="C14976" s="16">
        <f>450/(1+B2)</f>
        <v>450</v>
      </c>
      <c r="D14976" s="17" t="s">
        <v>11</v>
      </c>
      <c r="E14976" s="17" t="s">
        <v>11</v>
      </c>
      <c r="F14976" s="18"/>
      <c r="G14976" s="36" t="str">
        <f>IF(ISNUMBER(F14976),C14976*F14976,"")</f>
        <v/>
      </c>
    </row>
    <row r="14977" spans="1:7" s="1" customFormat="1" ht="12.95" customHeight="1" outlineLevel="2" x14ac:dyDescent="0.2">
      <c r="A14977" s="20"/>
      <c r="B14977" s="21" t="s">
        <v>29459</v>
      </c>
      <c r="C14977" s="22"/>
      <c r="D14977" s="22"/>
      <c r="E14977" s="22"/>
      <c r="F14977" s="22"/>
      <c r="G14977" s="37"/>
    </row>
    <row r="14978" spans="1:7" ht="12" customHeight="1" outlineLevel="3" x14ac:dyDescent="0.2">
      <c r="A14978" s="14" t="s">
        <v>29460</v>
      </c>
      <c r="B14978" s="15" t="s">
        <v>29461</v>
      </c>
      <c r="C14978" s="16">
        <f>191.04/(1+B2)</f>
        <v>191.04</v>
      </c>
      <c r="D14978" s="17" t="s">
        <v>11</v>
      </c>
      <c r="E14978" s="17"/>
      <c r="F14978" s="18"/>
      <c r="G14978" s="36" t="str">
        <f>IF(ISNUMBER(F14978),C14978*F14978,"")</f>
        <v/>
      </c>
    </row>
    <row r="14979" spans="1:7" ht="12" customHeight="1" outlineLevel="3" x14ac:dyDescent="0.2">
      <c r="A14979" s="14" t="s">
        <v>29462</v>
      </c>
      <c r="B14979" s="15" t="s">
        <v>29463</v>
      </c>
      <c r="C14979" s="16">
        <f>594.5/(1+B2)</f>
        <v>594.5</v>
      </c>
      <c r="D14979" s="17" t="s">
        <v>11</v>
      </c>
      <c r="E14979" s="17"/>
      <c r="F14979" s="18"/>
      <c r="G14979" s="36" t="str">
        <f>IF(ISNUMBER(F14979),C14979*F14979,"")</f>
        <v/>
      </c>
    </row>
    <row r="14980" spans="1:7" ht="12" customHeight="1" outlineLevel="3" x14ac:dyDescent="0.2">
      <c r="A14980" s="14" t="s">
        <v>29464</v>
      </c>
      <c r="B14980" s="15" t="s">
        <v>29465</v>
      </c>
      <c r="C14980" s="16">
        <f>16.3/(1+B2)</f>
        <v>16.3</v>
      </c>
      <c r="D14980" s="17"/>
      <c r="E14980" s="17" t="s">
        <v>106</v>
      </c>
      <c r="F14980" s="18"/>
      <c r="G14980" s="36" t="str">
        <f>IF(ISNUMBER(F14980),C14980*F14980,"")</f>
        <v/>
      </c>
    </row>
    <row r="14981" spans="1:7" ht="12" customHeight="1" outlineLevel="3" x14ac:dyDescent="0.2">
      <c r="A14981" s="14" t="s">
        <v>29466</v>
      </c>
      <c r="B14981" s="15" t="s">
        <v>29467</v>
      </c>
      <c r="C14981" s="16">
        <f>16.3/(1+B2)</f>
        <v>16.3</v>
      </c>
      <c r="D14981" s="17"/>
      <c r="E14981" s="17" t="s">
        <v>53</v>
      </c>
      <c r="F14981" s="18"/>
      <c r="G14981" s="36" t="str">
        <f>IF(ISNUMBER(F14981),C14981*F14981,"")</f>
        <v/>
      </c>
    </row>
    <row r="14982" spans="1:7" ht="12" customHeight="1" outlineLevel="3" x14ac:dyDescent="0.2">
      <c r="A14982" s="14" t="s">
        <v>29468</v>
      </c>
      <c r="B14982" s="15" t="s">
        <v>29469</v>
      </c>
      <c r="C14982" s="16">
        <f>16.3/(1+B2)</f>
        <v>16.3</v>
      </c>
      <c r="D14982" s="17"/>
      <c r="E14982" s="17" t="s">
        <v>53</v>
      </c>
      <c r="F14982" s="18"/>
      <c r="G14982" s="36" t="str">
        <f>IF(ISNUMBER(F14982),C14982*F14982,"")</f>
        <v/>
      </c>
    </row>
    <row r="14983" spans="1:7" ht="12" customHeight="1" outlineLevel="3" x14ac:dyDescent="0.2">
      <c r="A14983" s="14" t="s">
        <v>29470</v>
      </c>
      <c r="B14983" s="15" t="s">
        <v>29471</v>
      </c>
      <c r="C14983" s="16">
        <f>52.23/(1+B2)</f>
        <v>52.23</v>
      </c>
      <c r="D14983" s="17"/>
      <c r="E14983" s="17" t="s">
        <v>11</v>
      </c>
      <c r="F14983" s="18"/>
      <c r="G14983" s="36" t="str">
        <f>IF(ISNUMBER(F14983),C14983*F14983,"")</f>
        <v/>
      </c>
    </row>
    <row r="14984" spans="1:7" ht="12" customHeight="1" outlineLevel="3" x14ac:dyDescent="0.2">
      <c r="A14984" s="14" t="s">
        <v>29472</v>
      </c>
      <c r="B14984" s="15" t="s">
        <v>29473</v>
      </c>
      <c r="C14984" s="16">
        <f>52.23/(1+B2)</f>
        <v>52.23</v>
      </c>
      <c r="D14984" s="17"/>
      <c r="E14984" s="17" t="s">
        <v>14</v>
      </c>
      <c r="F14984" s="18"/>
      <c r="G14984" s="36" t="str">
        <f>IF(ISNUMBER(F14984),C14984*F14984,"")</f>
        <v/>
      </c>
    </row>
    <row r="14985" spans="1:7" ht="12" customHeight="1" outlineLevel="3" x14ac:dyDescent="0.2">
      <c r="A14985" s="14" t="s">
        <v>29474</v>
      </c>
      <c r="B14985" s="15" t="s">
        <v>29475</v>
      </c>
      <c r="C14985" s="16">
        <f>52.23/(1+B2)</f>
        <v>52.23</v>
      </c>
      <c r="D14985" s="17"/>
      <c r="E14985" s="17" t="s">
        <v>11</v>
      </c>
      <c r="F14985" s="18"/>
      <c r="G14985" s="36" t="str">
        <f>IF(ISNUMBER(F14985),C14985*F14985,"")</f>
        <v/>
      </c>
    </row>
    <row r="14986" spans="1:7" ht="12" customHeight="1" outlineLevel="3" x14ac:dyDescent="0.2">
      <c r="A14986" s="14" t="s">
        <v>29476</v>
      </c>
      <c r="B14986" s="15" t="s">
        <v>29477</v>
      </c>
      <c r="C14986" s="16">
        <f>664.21/(1+B2)</f>
        <v>664.21</v>
      </c>
      <c r="D14986" s="17" t="s">
        <v>11</v>
      </c>
      <c r="E14986" s="17"/>
      <c r="F14986" s="18"/>
      <c r="G14986" s="36" t="str">
        <f>IF(ISNUMBER(F14986),C14986*F14986,"")</f>
        <v/>
      </c>
    </row>
    <row r="14987" spans="1:7" ht="12" customHeight="1" outlineLevel="3" x14ac:dyDescent="0.2">
      <c r="A14987" s="14" t="s">
        <v>29478</v>
      </c>
      <c r="B14987" s="15" t="s">
        <v>29479</v>
      </c>
      <c r="C14987" s="16">
        <f>573.31/(1+B2)</f>
        <v>573.30999999999995</v>
      </c>
      <c r="D14987" s="17" t="s">
        <v>11</v>
      </c>
      <c r="E14987" s="17"/>
      <c r="F14987" s="18"/>
      <c r="G14987" s="36" t="str">
        <f>IF(ISNUMBER(F14987),C14987*F14987,"")</f>
        <v/>
      </c>
    </row>
    <row r="14988" spans="1:7" ht="12" customHeight="1" outlineLevel="3" x14ac:dyDescent="0.2">
      <c r="A14988" s="14" t="s">
        <v>29480</v>
      </c>
      <c r="B14988" s="15" t="s">
        <v>29481</v>
      </c>
      <c r="C14988" s="16">
        <f>246.86/(1+B2)</f>
        <v>246.86</v>
      </c>
      <c r="D14988" s="17" t="s">
        <v>11</v>
      </c>
      <c r="E14988" s="17"/>
      <c r="F14988" s="18"/>
      <c r="G14988" s="36" t="str">
        <f>IF(ISNUMBER(F14988),C14988*F14988,"")</f>
        <v/>
      </c>
    </row>
    <row r="14989" spans="1:7" ht="12" customHeight="1" outlineLevel="3" x14ac:dyDescent="0.2">
      <c r="A14989" s="14" t="s">
        <v>29482</v>
      </c>
      <c r="B14989" s="15" t="s">
        <v>29483</v>
      </c>
      <c r="C14989" s="16">
        <f>268.16/(1+B2)</f>
        <v>268.16000000000003</v>
      </c>
      <c r="D14989" s="17" t="s">
        <v>11</v>
      </c>
      <c r="E14989" s="17"/>
      <c r="F14989" s="18"/>
      <c r="G14989" s="36" t="str">
        <f>IF(ISNUMBER(F14989),C14989*F14989,"")</f>
        <v/>
      </c>
    </row>
    <row r="14990" spans="1:7" ht="12" customHeight="1" outlineLevel="3" x14ac:dyDescent="0.2">
      <c r="A14990" s="14" t="s">
        <v>29484</v>
      </c>
      <c r="B14990" s="15" t="s">
        <v>29485</v>
      </c>
      <c r="C14990" s="16">
        <f>264.12/(1+B2)</f>
        <v>264.12</v>
      </c>
      <c r="D14990" s="17" t="s">
        <v>11</v>
      </c>
      <c r="E14990" s="17" t="s">
        <v>11</v>
      </c>
      <c r="F14990" s="18"/>
      <c r="G14990" s="36" t="str">
        <f>IF(ISNUMBER(F14990),C14990*F14990,"")</f>
        <v/>
      </c>
    </row>
    <row r="14991" spans="1:7" ht="12" customHeight="1" outlineLevel="3" x14ac:dyDescent="0.2">
      <c r="A14991" s="14" t="s">
        <v>29486</v>
      </c>
      <c r="B14991" s="15" t="s">
        <v>29487</v>
      </c>
      <c r="C14991" s="16">
        <f>246.86/(1+B2)</f>
        <v>246.86</v>
      </c>
      <c r="D14991" s="17" t="s">
        <v>11</v>
      </c>
      <c r="E14991" s="17" t="s">
        <v>11</v>
      </c>
      <c r="F14991" s="18"/>
      <c r="G14991" s="36" t="str">
        <f>IF(ISNUMBER(F14991),C14991*F14991,"")</f>
        <v/>
      </c>
    </row>
    <row r="14992" spans="1:7" s="1" customFormat="1" ht="12.95" customHeight="1" outlineLevel="2" x14ac:dyDescent="0.2">
      <c r="A14992" s="20"/>
      <c r="B14992" s="21" t="s">
        <v>29488</v>
      </c>
      <c r="C14992" s="22"/>
      <c r="D14992" s="22"/>
      <c r="E14992" s="22"/>
      <c r="F14992" s="22"/>
      <c r="G14992" s="37"/>
    </row>
    <row r="14993" spans="1:7" ht="12" customHeight="1" outlineLevel="3" x14ac:dyDescent="0.2">
      <c r="A14993" s="14" t="s">
        <v>29489</v>
      </c>
      <c r="B14993" s="15" t="s">
        <v>29490</v>
      </c>
      <c r="C14993" s="16">
        <f>74.44/(1+B2)</f>
        <v>74.44</v>
      </c>
      <c r="D14993" s="17" t="s">
        <v>14</v>
      </c>
      <c r="E14993" s="17"/>
      <c r="F14993" s="18"/>
      <c r="G14993" s="36" t="str">
        <f>IF(ISNUMBER(F14993),C14993*F14993,"")</f>
        <v/>
      </c>
    </row>
    <row r="14994" spans="1:7" ht="12" customHeight="1" outlineLevel="3" x14ac:dyDescent="0.2">
      <c r="A14994" s="14" t="s">
        <v>29491</v>
      </c>
      <c r="B14994" s="15" t="s">
        <v>29492</v>
      </c>
      <c r="C14994" s="16">
        <f>74.77/(1+B2)</f>
        <v>74.77</v>
      </c>
      <c r="D14994" s="17" t="s">
        <v>11</v>
      </c>
      <c r="E14994" s="17"/>
      <c r="F14994" s="18"/>
      <c r="G14994" s="36" t="str">
        <f>IF(ISNUMBER(F14994),C14994*F14994,"")</f>
        <v/>
      </c>
    </row>
    <row r="14995" spans="1:7" ht="12" customHeight="1" outlineLevel="3" x14ac:dyDescent="0.2">
      <c r="A14995" s="14" t="s">
        <v>29493</v>
      </c>
      <c r="B14995" s="15" t="s">
        <v>29494</v>
      </c>
      <c r="C14995" s="16">
        <f>52.63/(1+B2)</f>
        <v>52.63</v>
      </c>
      <c r="D14995" s="17" t="s">
        <v>11</v>
      </c>
      <c r="E14995" s="17"/>
      <c r="F14995" s="18"/>
      <c r="G14995" s="36" t="str">
        <f>IF(ISNUMBER(F14995),C14995*F14995,"")</f>
        <v/>
      </c>
    </row>
    <row r="14996" spans="1:7" ht="12" customHeight="1" outlineLevel="3" x14ac:dyDescent="0.2">
      <c r="A14996" s="14" t="s">
        <v>29495</v>
      </c>
      <c r="B14996" s="15" t="s">
        <v>29496</v>
      </c>
      <c r="C14996" s="16">
        <f>73.08/(1+B2)</f>
        <v>73.08</v>
      </c>
      <c r="D14996" s="17" t="s">
        <v>11</v>
      </c>
      <c r="E14996" s="17"/>
      <c r="F14996" s="18"/>
      <c r="G14996" s="36" t="str">
        <f>IF(ISNUMBER(F14996),C14996*F14996,"")</f>
        <v/>
      </c>
    </row>
    <row r="14997" spans="1:7" ht="12" customHeight="1" outlineLevel="3" x14ac:dyDescent="0.2">
      <c r="A14997" s="14" t="s">
        <v>29497</v>
      </c>
      <c r="B14997" s="15" t="s">
        <v>29498</v>
      </c>
      <c r="C14997" s="16">
        <f>209.18/(1+B2)</f>
        <v>209.18</v>
      </c>
      <c r="D14997" s="17" t="s">
        <v>11</v>
      </c>
      <c r="E14997" s="17"/>
      <c r="F14997" s="18"/>
      <c r="G14997" s="36" t="str">
        <f>IF(ISNUMBER(F14997),C14997*F14997,"")</f>
        <v/>
      </c>
    </row>
    <row r="14998" spans="1:7" ht="12" customHeight="1" outlineLevel="3" x14ac:dyDescent="0.2">
      <c r="A14998" s="14" t="s">
        <v>29499</v>
      </c>
      <c r="B14998" s="15" t="s">
        <v>29500</v>
      </c>
      <c r="C14998" s="16">
        <f>202.51/(1+B2)</f>
        <v>202.51</v>
      </c>
      <c r="D14998" s="17" t="s">
        <v>11</v>
      </c>
      <c r="E14998" s="17"/>
      <c r="F14998" s="18"/>
      <c r="G14998" s="36" t="str">
        <f>IF(ISNUMBER(F14998),C14998*F14998,"")</f>
        <v/>
      </c>
    </row>
    <row r="14999" spans="1:7" ht="12" customHeight="1" outlineLevel="3" x14ac:dyDescent="0.2">
      <c r="A14999" s="14" t="s">
        <v>29501</v>
      </c>
      <c r="B14999" s="15" t="s">
        <v>29502</v>
      </c>
      <c r="C14999" s="16">
        <f>189.76/(1+B2)</f>
        <v>189.76</v>
      </c>
      <c r="D14999" s="17" t="s">
        <v>11</v>
      </c>
      <c r="E14999" s="17"/>
      <c r="F14999" s="18"/>
      <c r="G14999" s="36" t="str">
        <f>IF(ISNUMBER(F14999),C14999*F14999,"")</f>
        <v/>
      </c>
    </row>
    <row r="15000" spans="1:7" ht="12" customHeight="1" outlineLevel="3" x14ac:dyDescent="0.2">
      <c r="A15000" s="14" t="s">
        <v>29503</v>
      </c>
      <c r="B15000" s="15" t="s">
        <v>29504</v>
      </c>
      <c r="C15000" s="16">
        <f>232.37/(1+B2)</f>
        <v>232.37</v>
      </c>
      <c r="D15000" s="17" t="s">
        <v>11</v>
      </c>
      <c r="E15000" s="17"/>
      <c r="F15000" s="18"/>
      <c r="G15000" s="36" t="str">
        <f>IF(ISNUMBER(F15000),C15000*F15000,"")</f>
        <v/>
      </c>
    </row>
    <row r="15001" spans="1:7" ht="12" customHeight="1" outlineLevel="3" x14ac:dyDescent="0.2">
      <c r="A15001" s="14" t="s">
        <v>29505</v>
      </c>
      <c r="B15001" s="15" t="s">
        <v>29506</v>
      </c>
      <c r="C15001" s="16">
        <f>225.74/(1+B2)</f>
        <v>225.74</v>
      </c>
      <c r="D15001" s="17" t="s">
        <v>11</v>
      </c>
      <c r="E15001" s="17"/>
      <c r="F15001" s="18"/>
      <c r="G15001" s="36" t="str">
        <f>IF(ISNUMBER(F15001),C15001*F15001,"")</f>
        <v/>
      </c>
    </row>
    <row r="15002" spans="1:7" ht="12" customHeight="1" outlineLevel="3" x14ac:dyDescent="0.2">
      <c r="A15002" s="14" t="s">
        <v>29507</v>
      </c>
      <c r="B15002" s="15" t="s">
        <v>29508</v>
      </c>
      <c r="C15002" s="16">
        <f>163.61/(1+B2)</f>
        <v>163.61000000000001</v>
      </c>
      <c r="D15002" s="17" t="s">
        <v>11</v>
      </c>
      <c r="E15002" s="17"/>
      <c r="F15002" s="18"/>
      <c r="G15002" s="36" t="str">
        <f>IF(ISNUMBER(F15002),C15002*F15002,"")</f>
        <v/>
      </c>
    </row>
    <row r="15003" spans="1:7" ht="12" customHeight="1" outlineLevel="3" x14ac:dyDescent="0.2">
      <c r="A15003" s="14" t="s">
        <v>29509</v>
      </c>
      <c r="B15003" s="15" t="s">
        <v>29510</v>
      </c>
      <c r="C15003" s="16">
        <f>257.19/(1+B2)</f>
        <v>257.19</v>
      </c>
      <c r="D15003" s="17" t="s">
        <v>14</v>
      </c>
      <c r="E15003" s="17"/>
      <c r="F15003" s="18"/>
      <c r="G15003" s="36" t="str">
        <f>IF(ISNUMBER(F15003),C15003*F15003,"")</f>
        <v/>
      </c>
    </row>
    <row r="15004" spans="1:7" ht="12" customHeight="1" outlineLevel="3" x14ac:dyDescent="0.2">
      <c r="A15004" s="14" t="s">
        <v>29511</v>
      </c>
      <c r="B15004" s="15" t="s">
        <v>29512</v>
      </c>
      <c r="C15004" s="16">
        <f>251.8/(1+B2)</f>
        <v>251.8</v>
      </c>
      <c r="D15004" s="17" t="s">
        <v>11</v>
      </c>
      <c r="E15004" s="17"/>
      <c r="F15004" s="18"/>
      <c r="G15004" s="36" t="str">
        <f>IF(ISNUMBER(F15004),C15004*F15004,"")</f>
        <v/>
      </c>
    </row>
    <row r="15005" spans="1:7" ht="12" customHeight="1" outlineLevel="3" x14ac:dyDescent="0.2">
      <c r="A15005" s="14" t="s">
        <v>29513</v>
      </c>
      <c r="B15005" s="15" t="s">
        <v>29514</v>
      </c>
      <c r="C15005" s="16">
        <f>249.69/(1+B2)</f>
        <v>249.69</v>
      </c>
      <c r="D15005" s="17" t="s">
        <v>14</v>
      </c>
      <c r="E15005" s="17"/>
      <c r="F15005" s="18"/>
      <c r="G15005" s="36" t="str">
        <f>IF(ISNUMBER(F15005),C15005*F15005,"")</f>
        <v/>
      </c>
    </row>
    <row r="15006" spans="1:7" ht="12" customHeight="1" outlineLevel="3" x14ac:dyDescent="0.2">
      <c r="A15006" s="14" t="s">
        <v>29515</v>
      </c>
      <c r="B15006" s="15" t="s">
        <v>29516</v>
      </c>
      <c r="C15006" s="16">
        <f>309.43/(1+B2)</f>
        <v>309.43</v>
      </c>
      <c r="D15006" s="17" t="s">
        <v>11</v>
      </c>
      <c r="E15006" s="17"/>
      <c r="F15006" s="18"/>
      <c r="G15006" s="36" t="str">
        <f>IF(ISNUMBER(F15006),C15006*F15006,"")</f>
        <v/>
      </c>
    </row>
    <row r="15007" spans="1:7" ht="12" customHeight="1" outlineLevel="3" x14ac:dyDescent="0.2">
      <c r="A15007" s="14" t="s">
        <v>29517</v>
      </c>
      <c r="B15007" s="15" t="s">
        <v>29518</v>
      </c>
      <c r="C15007" s="16">
        <f>268.03/(1+B2)</f>
        <v>268.02999999999997</v>
      </c>
      <c r="D15007" s="17" t="s">
        <v>11</v>
      </c>
      <c r="E15007" s="17"/>
      <c r="F15007" s="18"/>
      <c r="G15007" s="36" t="str">
        <f>IF(ISNUMBER(F15007),C15007*F15007,"")</f>
        <v/>
      </c>
    </row>
    <row r="15008" spans="1:7" ht="12" customHeight="1" outlineLevel="3" x14ac:dyDescent="0.2">
      <c r="A15008" s="14" t="s">
        <v>29519</v>
      </c>
      <c r="B15008" s="15" t="s">
        <v>29520</v>
      </c>
      <c r="C15008" s="16">
        <f>296.3/(1+B2)</f>
        <v>296.3</v>
      </c>
      <c r="D15008" s="17" t="s">
        <v>11</v>
      </c>
      <c r="E15008" s="17"/>
      <c r="F15008" s="18"/>
      <c r="G15008" s="36" t="str">
        <f>IF(ISNUMBER(F15008),C15008*F15008,"")</f>
        <v/>
      </c>
    </row>
    <row r="15009" spans="1:7" ht="12" customHeight="1" outlineLevel="3" x14ac:dyDescent="0.2">
      <c r="A15009" s="14" t="s">
        <v>29521</v>
      </c>
      <c r="B15009" s="15" t="s">
        <v>29522</v>
      </c>
      <c r="C15009" s="16">
        <f>414.9/(1+B2)</f>
        <v>414.9</v>
      </c>
      <c r="D15009" s="17" t="s">
        <v>11</v>
      </c>
      <c r="E15009" s="17"/>
      <c r="F15009" s="18"/>
      <c r="G15009" s="36" t="str">
        <f>IF(ISNUMBER(F15009),C15009*F15009,"")</f>
        <v/>
      </c>
    </row>
    <row r="15010" spans="1:7" ht="12" customHeight="1" outlineLevel="3" x14ac:dyDescent="0.2">
      <c r="A15010" s="14" t="s">
        <v>29523</v>
      </c>
      <c r="B15010" s="15" t="s">
        <v>29524</v>
      </c>
      <c r="C15010" s="16">
        <f>386.06/(1+B2)</f>
        <v>386.06</v>
      </c>
      <c r="D15010" s="17" t="s">
        <v>11</v>
      </c>
      <c r="E15010" s="17"/>
      <c r="F15010" s="18"/>
      <c r="G15010" s="36" t="str">
        <f>IF(ISNUMBER(F15010),C15010*F15010,"")</f>
        <v/>
      </c>
    </row>
    <row r="15011" spans="1:7" ht="12" customHeight="1" outlineLevel="3" x14ac:dyDescent="0.2">
      <c r="A15011" s="14" t="s">
        <v>29525</v>
      </c>
      <c r="B15011" s="15" t="s">
        <v>29526</v>
      </c>
      <c r="C15011" s="16">
        <f>412.27/(1+B2)</f>
        <v>412.27</v>
      </c>
      <c r="D15011" s="17" t="s">
        <v>11</v>
      </c>
      <c r="E15011" s="17"/>
      <c r="F15011" s="18"/>
      <c r="G15011" s="36" t="str">
        <f>IF(ISNUMBER(F15011),C15011*F15011,"")</f>
        <v/>
      </c>
    </row>
    <row r="15012" spans="1:7" ht="12" customHeight="1" outlineLevel="3" x14ac:dyDescent="0.2">
      <c r="A15012" s="14" t="s">
        <v>29527</v>
      </c>
      <c r="B15012" s="15" t="s">
        <v>29528</v>
      </c>
      <c r="C15012" s="16">
        <f>88.25/(1+B2)</f>
        <v>88.25</v>
      </c>
      <c r="D15012" s="17" t="s">
        <v>11</v>
      </c>
      <c r="E15012" s="17"/>
      <c r="F15012" s="18"/>
      <c r="G15012" s="36" t="str">
        <f>IF(ISNUMBER(F15012),C15012*F15012,"")</f>
        <v/>
      </c>
    </row>
    <row r="15013" spans="1:7" ht="12" customHeight="1" outlineLevel="3" x14ac:dyDescent="0.2">
      <c r="A15013" s="14" t="s">
        <v>29529</v>
      </c>
      <c r="B15013" s="15" t="s">
        <v>29530</v>
      </c>
      <c r="C15013" s="16">
        <f>101.34/(1+B2)</f>
        <v>101.34</v>
      </c>
      <c r="D15013" s="17" t="s">
        <v>11</v>
      </c>
      <c r="E15013" s="17"/>
      <c r="F15013" s="18"/>
      <c r="G15013" s="36" t="str">
        <f>IF(ISNUMBER(F15013),C15013*F15013,"")</f>
        <v/>
      </c>
    </row>
    <row r="15014" spans="1:7" ht="12" customHeight="1" outlineLevel="3" x14ac:dyDescent="0.2">
      <c r="A15014" s="14" t="s">
        <v>29531</v>
      </c>
      <c r="B15014" s="15" t="s">
        <v>29532</v>
      </c>
      <c r="C15014" s="16">
        <f>101.59/(1+B2)</f>
        <v>101.59</v>
      </c>
      <c r="D15014" s="17" t="s">
        <v>11</v>
      </c>
      <c r="E15014" s="17"/>
      <c r="F15014" s="18"/>
      <c r="G15014" s="36" t="str">
        <f>IF(ISNUMBER(F15014),C15014*F15014,"")</f>
        <v/>
      </c>
    </row>
    <row r="15015" spans="1:7" ht="12" customHeight="1" outlineLevel="3" x14ac:dyDescent="0.2">
      <c r="A15015" s="14" t="s">
        <v>29533</v>
      </c>
      <c r="B15015" s="15" t="s">
        <v>29534</v>
      </c>
      <c r="C15015" s="16">
        <f>101.47/(1+B2)</f>
        <v>101.47</v>
      </c>
      <c r="D15015" s="17" t="s">
        <v>11</v>
      </c>
      <c r="E15015" s="17"/>
      <c r="F15015" s="18"/>
      <c r="G15015" s="36" t="str">
        <f>IF(ISNUMBER(F15015),C15015*F15015,"")</f>
        <v/>
      </c>
    </row>
    <row r="15016" spans="1:7" ht="12" customHeight="1" outlineLevel="3" x14ac:dyDescent="0.2">
      <c r="A15016" s="14" t="s">
        <v>29535</v>
      </c>
      <c r="B15016" s="15" t="s">
        <v>29536</v>
      </c>
      <c r="C15016" s="16">
        <f>123.46/(1+B2)</f>
        <v>123.46</v>
      </c>
      <c r="D15016" s="17" t="s">
        <v>14</v>
      </c>
      <c r="E15016" s="17"/>
      <c r="F15016" s="18"/>
      <c r="G15016" s="36" t="str">
        <f>IF(ISNUMBER(F15016),C15016*F15016,"")</f>
        <v/>
      </c>
    </row>
    <row r="15017" spans="1:7" ht="12" customHeight="1" outlineLevel="3" x14ac:dyDescent="0.2">
      <c r="A15017" s="14" t="s">
        <v>29537</v>
      </c>
      <c r="B15017" s="15" t="s">
        <v>29538</v>
      </c>
      <c r="C15017" s="16">
        <f>123.78/(1+B2)</f>
        <v>123.78</v>
      </c>
      <c r="D15017" s="17" t="s">
        <v>11</v>
      </c>
      <c r="E15017" s="17"/>
      <c r="F15017" s="18"/>
      <c r="G15017" s="36" t="str">
        <f>IF(ISNUMBER(F15017),C15017*F15017,"")</f>
        <v/>
      </c>
    </row>
    <row r="15018" spans="1:7" ht="12" customHeight="1" outlineLevel="3" x14ac:dyDescent="0.2">
      <c r="A15018" s="14" t="s">
        <v>29539</v>
      </c>
      <c r="B15018" s="15" t="s">
        <v>29540</v>
      </c>
      <c r="C15018" s="16">
        <f>123.47/(1+B2)</f>
        <v>123.47</v>
      </c>
      <c r="D15018" s="17" t="s">
        <v>11</v>
      </c>
      <c r="E15018" s="17"/>
      <c r="F15018" s="18"/>
      <c r="G15018" s="36" t="str">
        <f>IF(ISNUMBER(F15018),C15018*F15018,"")</f>
        <v/>
      </c>
    </row>
    <row r="15019" spans="1:7" ht="12" customHeight="1" outlineLevel="3" x14ac:dyDescent="0.2">
      <c r="A15019" s="14" t="s">
        <v>29541</v>
      </c>
      <c r="B15019" s="15" t="s">
        <v>29542</v>
      </c>
      <c r="C15019" s="16">
        <f>123.52/(1+B2)</f>
        <v>123.52</v>
      </c>
      <c r="D15019" s="17" t="s">
        <v>14</v>
      </c>
      <c r="E15019" s="17"/>
      <c r="F15019" s="18"/>
      <c r="G15019" s="36" t="str">
        <f>IF(ISNUMBER(F15019),C15019*F15019,"")</f>
        <v/>
      </c>
    </row>
    <row r="15020" spans="1:7" ht="12" customHeight="1" outlineLevel="3" x14ac:dyDescent="0.2">
      <c r="A15020" s="14" t="s">
        <v>29543</v>
      </c>
      <c r="B15020" s="15" t="s">
        <v>29544</v>
      </c>
      <c r="C15020" s="16">
        <f>298.63/(1+B2)</f>
        <v>298.63</v>
      </c>
      <c r="D15020" s="17" t="s">
        <v>11</v>
      </c>
      <c r="E15020" s="17"/>
      <c r="F15020" s="18"/>
      <c r="G15020" s="36" t="str">
        <f>IF(ISNUMBER(F15020),C15020*F15020,"")</f>
        <v/>
      </c>
    </row>
    <row r="15021" spans="1:7" ht="12" customHeight="1" outlineLevel="3" x14ac:dyDescent="0.2">
      <c r="A15021" s="14" t="s">
        <v>29545</v>
      </c>
      <c r="B15021" s="15" t="s">
        <v>29546</v>
      </c>
      <c r="C15021" s="16">
        <f>299.07/(1+B2)</f>
        <v>299.07</v>
      </c>
      <c r="D15021" s="17" t="s">
        <v>11</v>
      </c>
      <c r="E15021" s="17"/>
      <c r="F15021" s="18"/>
      <c r="G15021" s="36" t="str">
        <f>IF(ISNUMBER(F15021),C15021*F15021,"")</f>
        <v/>
      </c>
    </row>
    <row r="15022" spans="1:7" ht="12" customHeight="1" outlineLevel="3" x14ac:dyDescent="0.2">
      <c r="A15022" s="14" t="s">
        <v>29547</v>
      </c>
      <c r="B15022" s="15" t="s">
        <v>29548</v>
      </c>
      <c r="C15022" s="16">
        <f>98.35/(1+B2)</f>
        <v>98.35</v>
      </c>
      <c r="D15022" s="17" t="s">
        <v>14</v>
      </c>
      <c r="E15022" s="17"/>
      <c r="F15022" s="18"/>
      <c r="G15022" s="36" t="str">
        <f>IF(ISNUMBER(F15022),C15022*F15022,"")</f>
        <v/>
      </c>
    </row>
    <row r="15023" spans="1:7" ht="12" customHeight="1" outlineLevel="3" x14ac:dyDescent="0.2">
      <c r="A15023" s="14" t="s">
        <v>29549</v>
      </c>
      <c r="B15023" s="15" t="s">
        <v>29550</v>
      </c>
      <c r="C15023" s="16">
        <f>98.64/(1+B2)</f>
        <v>98.64</v>
      </c>
      <c r="D15023" s="17" t="s">
        <v>14</v>
      </c>
      <c r="E15023" s="17"/>
      <c r="F15023" s="18"/>
      <c r="G15023" s="36" t="str">
        <f>IF(ISNUMBER(F15023),C15023*F15023,"")</f>
        <v/>
      </c>
    </row>
    <row r="15024" spans="1:7" ht="12" customHeight="1" outlineLevel="3" x14ac:dyDescent="0.2">
      <c r="A15024" s="14" t="s">
        <v>29551</v>
      </c>
      <c r="B15024" s="15" t="s">
        <v>29552</v>
      </c>
      <c r="C15024" s="16">
        <f>92.27/(1+B2)</f>
        <v>92.27</v>
      </c>
      <c r="D15024" s="17" t="s">
        <v>53</v>
      </c>
      <c r="E15024" s="17"/>
      <c r="F15024" s="18"/>
      <c r="G15024" s="36" t="str">
        <f>IF(ISNUMBER(F15024),C15024*F15024,"")</f>
        <v/>
      </c>
    </row>
    <row r="15025" spans="1:7" ht="12" customHeight="1" outlineLevel="3" x14ac:dyDescent="0.2">
      <c r="A15025" s="14" t="s">
        <v>29553</v>
      </c>
      <c r="B15025" s="15" t="s">
        <v>29554</v>
      </c>
      <c r="C15025" s="16">
        <f>99.61/(1+B2)</f>
        <v>99.61</v>
      </c>
      <c r="D15025" s="17" t="s">
        <v>11</v>
      </c>
      <c r="E15025" s="17" t="s">
        <v>106</v>
      </c>
      <c r="F15025" s="18"/>
      <c r="G15025" s="36" t="str">
        <f>IF(ISNUMBER(F15025),C15025*F15025,"")</f>
        <v/>
      </c>
    </row>
    <row r="15026" spans="1:7" ht="12" customHeight="1" outlineLevel="3" x14ac:dyDescent="0.2">
      <c r="A15026" s="14" t="s">
        <v>29555</v>
      </c>
      <c r="B15026" s="15" t="s">
        <v>29556</v>
      </c>
      <c r="C15026" s="16">
        <f>98.04/(1+B2)</f>
        <v>98.04</v>
      </c>
      <c r="D15026" s="17" t="s">
        <v>11</v>
      </c>
      <c r="E15026" s="17" t="s">
        <v>106</v>
      </c>
      <c r="F15026" s="18"/>
      <c r="G15026" s="36" t="str">
        <f>IF(ISNUMBER(F15026),C15026*F15026,"")</f>
        <v/>
      </c>
    </row>
    <row r="15027" spans="1:7" ht="12" customHeight="1" outlineLevel="3" x14ac:dyDescent="0.2">
      <c r="A15027" s="14" t="s">
        <v>29557</v>
      </c>
      <c r="B15027" s="15" t="s">
        <v>29558</v>
      </c>
      <c r="C15027" s="16">
        <f>99.42/(1+B2)</f>
        <v>99.42</v>
      </c>
      <c r="D15027" s="17" t="s">
        <v>106</v>
      </c>
      <c r="E15027" s="17"/>
      <c r="F15027" s="18"/>
      <c r="G15027" s="36" t="str">
        <f>IF(ISNUMBER(F15027),C15027*F15027,"")</f>
        <v/>
      </c>
    </row>
    <row r="15028" spans="1:7" ht="12" customHeight="1" outlineLevel="3" x14ac:dyDescent="0.2">
      <c r="A15028" s="14" t="s">
        <v>29559</v>
      </c>
      <c r="B15028" s="15" t="s">
        <v>29560</v>
      </c>
      <c r="C15028" s="16">
        <f>170.63/(1+B2)</f>
        <v>170.63</v>
      </c>
      <c r="D15028" s="17" t="s">
        <v>14</v>
      </c>
      <c r="E15028" s="17"/>
      <c r="F15028" s="18"/>
      <c r="G15028" s="36" t="str">
        <f>IF(ISNUMBER(F15028),C15028*F15028,"")</f>
        <v/>
      </c>
    </row>
    <row r="15029" spans="1:7" ht="12" customHeight="1" outlineLevel="3" x14ac:dyDescent="0.2">
      <c r="A15029" s="14" t="s">
        <v>29561</v>
      </c>
      <c r="B15029" s="15" t="s">
        <v>29562</v>
      </c>
      <c r="C15029" s="16">
        <f>177.58/(1+B2)</f>
        <v>177.58</v>
      </c>
      <c r="D15029" s="17" t="s">
        <v>14</v>
      </c>
      <c r="E15029" s="17"/>
      <c r="F15029" s="18"/>
      <c r="G15029" s="36" t="str">
        <f>IF(ISNUMBER(F15029),C15029*F15029,"")</f>
        <v/>
      </c>
    </row>
    <row r="15030" spans="1:7" ht="12" customHeight="1" outlineLevel="3" x14ac:dyDescent="0.2">
      <c r="A15030" s="14" t="s">
        <v>29563</v>
      </c>
      <c r="B15030" s="15" t="s">
        <v>29564</v>
      </c>
      <c r="C15030" s="16">
        <f>177.38/(1+B2)</f>
        <v>177.38</v>
      </c>
      <c r="D15030" s="17" t="s">
        <v>11</v>
      </c>
      <c r="E15030" s="17"/>
      <c r="F15030" s="18"/>
      <c r="G15030" s="36" t="str">
        <f>IF(ISNUMBER(F15030),C15030*F15030,"")</f>
        <v/>
      </c>
    </row>
    <row r="15031" spans="1:7" ht="12" customHeight="1" outlineLevel="3" x14ac:dyDescent="0.2">
      <c r="A15031" s="14" t="s">
        <v>29565</v>
      </c>
      <c r="B15031" s="15" t="s">
        <v>29566</v>
      </c>
      <c r="C15031" s="16">
        <f>195.73/(1+B2)</f>
        <v>195.73</v>
      </c>
      <c r="D15031" s="17" t="s">
        <v>11</v>
      </c>
      <c r="E15031" s="17"/>
      <c r="F15031" s="18"/>
      <c r="G15031" s="36" t="str">
        <f>IF(ISNUMBER(F15031),C15031*F15031,"")</f>
        <v/>
      </c>
    </row>
    <row r="15032" spans="1:7" ht="12" customHeight="1" outlineLevel="3" x14ac:dyDescent="0.2">
      <c r="A15032" s="14" t="s">
        <v>29567</v>
      </c>
      <c r="B15032" s="15" t="s">
        <v>29568</v>
      </c>
      <c r="C15032" s="16">
        <f>248.3/(1+B2)</f>
        <v>248.3</v>
      </c>
      <c r="D15032" s="17" t="s">
        <v>11</v>
      </c>
      <c r="E15032" s="17"/>
      <c r="F15032" s="18"/>
      <c r="G15032" s="36" t="str">
        <f>IF(ISNUMBER(F15032),C15032*F15032,"")</f>
        <v/>
      </c>
    </row>
    <row r="15033" spans="1:7" ht="12" customHeight="1" outlineLevel="3" x14ac:dyDescent="0.2">
      <c r="A15033" s="14" t="s">
        <v>29569</v>
      </c>
      <c r="B15033" s="15" t="s">
        <v>29570</v>
      </c>
      <c r="C15033" s="16">
        <f>245.44/(1+B2)</f>
        <v>245.44</v>
      </c>
      <c r="D15033" s="17" t="s">
        <v>11</v>
      </c>
      <c r="E15033" s="17"/>
      <c r="F15033" s="18"/>
      <c r="G15033" s="36" t="str">
        <f>IF(ISNUMBER(F15033),C15033*F15033,"")</f>
        <v/>
      </c>
    </row>
    <row r="15034" spans="1:7" ht="12" customHeight="1" outlineLevel="3" x14ac:dyDescent="0.2">
      <c r="A15034" s="14" t="s">
        <v>29571</v>
      </c>
      <c r="B15034" s="15" t="s">
        <v>29572</v>
      </c>
      <c r="C15034" s="16">
        <f>217.62/(1+B2)</f>
        <v>217.62</v>
      </c>
      <c r="D15034" s="17" t="s">
        <v>11</v>
      </c>
      <c r="E15034" s="17"/>
      <c r="F15034" s="18"/>
      <c r="G15034" s="36" t="str">
        <f>IF(ISNUMBER(F15034),C15034*F15034,"")</f>
        <v/>
      </c>
    </row>
    <row r="15035" spans="1:7" ht="12" customHeight="1" outlineLevel="3" x14ac:dyDescent="0.2">
      <c r="A15035" s="14" t="s">
        <v>29573</v>
      </c>
      <c r="B15035" s="15" t="s">
        <v>29574</v>
      </c>
      <c r="C15035" s="16">
        <f>108.23/(1+B2)</f>
        <v>108.23</v>
      </c>
      <c r="D15035" s="17" t="s">
        <v>11</v>
      </c>
      <c r="E15035" s="17"/>
      <c r="F15035" s="18"/>
      <c r="G15035" s="36" t="str">
        <f>IF(ISNUMBER(F15035),C15035*F15035,"")</f>
        <v/>
      </c>
    </row>
    <row r="15036" spans="1:7" ht="12" customHeight="1" outlineLevel="3" x14ac:dyDescent="0.2">
      <c r="A15036" s="14" t="s">
        <v>29575</v>
      </c>
      <c r="B15036" s="15" t="s">
        <v>29576</v>
      </c>
      <c r="C15036" s="16">
        <f>155.96/(1+B2)</f>
        <v>155.96</v>
      </c>
      <c r="D15036" s="17" t="s">
        <v>11</v>
      </c>
      <c r="E15036" s="17"/>
      <c r="F15036" s="18"/>
      <c r="G15036" s="36" t="str">
        <f>IF(ISNUMBER(F15036),C15036*F15036,"")</f>
        <v/>
      </c>
    </row>
    <row r="15037" spans="1:7" ht="12" customHeight="1" outlineLevel="3" x14ac:dyDescent="0.2">
      <c r="A15037" s="14" t="s">
        <v>29577</v>
      </c>
      <c r="B15037" s="15" t="s">
        <v>29578</v>
      </c>
      <c r="C15037" s="16">
        <f>144.07/(1+B2)</f>
        <v>144.07</v>
      </c>
      <c r="D15037" s="17" t="s">
        <v>11</v>
      </c>
      <c r="E15037" s="17"/>
      <c r="F15037" s="18"/>
      <c r="G15037" s="36" t="str">
        <f>IF(ISNUMBER(F15037),C15037*F15037,"")</f>
        <v/>
      </c>
    </row>
    <row r="15038" spans="1:7" ht="12" customHeight="1" outlineLevel="3" x14ac:dyDescent="0.2">
      <c r="A15038" s="14" t="s">
        <v>29579</v>
      </c>
      <c r="B15038" s="15" t="s">
        <v>29580</v>
      </c>
      <c r="C15038" s="16">
        <f>151.65/(1+B2)</f>
        <v>151.65</v>
      </c>
      <c r="D15038" s="17" t="s">
        <v>11</v>
      </c>
      <c r="E15038" s="17"/>
      <c r="F15038" s="18"/>
      <c r="G15038" s="36" t="str">
        <f>IF(ISNUMBER(F15038),C15038*F15038,"")</f>
        <v/>
      </c>
    </row>
    <row r="15039" spans="1:7" ht="12" customHeight="1" outlineLevel="3" x14ac:dyDescent="0.2">
      <c r="A15039" s="14" t="s">
        <v>29581</v>
      </c>
      <c r="B15039" s="15" t="s">
        <v>29582</v>
      </c>
      <c r="C15039" s="16">
        <f>150.08/(1+B2)</f>
        <v>150.08000000000001</v>
      </c>
      <c r="D15039" s="17" t="s">
        <v>14</v>
      </c>
      <c r="E15039" s="17"/>
      <c r="F15039" s="18"/>
      <c r="G15039" s="36" t="str">
        <f>IF(ISNUMBER(F15039),C15039*F15039,"")</f>
        <v/>
      </c>
    </row>
    <row r="15040" spans="1:7" ht="12" customHeight="1" outlineLevel="3" x14ac:dyDescent="0.2">
      <c r="A15040" s="14" t="s">
        <v>29583</v>
      </c>
      <c r="B15040" s="15" t="s">
        <v>29584</v>
      </c>
      <c r="C15040" s="16">
        <f>149.65/(1+B2)</f>
        <v>149.65</v>
      </c>
      <c r="D15040" s="17" t="s">
        <v>11</v>
      </c>
      <c r="E15040" s="17"/>
      <c r="F15040" s="18"/>
      <c r="G15040" s="36" t="str">
        <f>IF(ISNUMBER(F15040),C15040*F15040,"")</f>
        <v/>
      </c>
    </row>
    <row r="15041" spans="1:7" ht="12" customHeight="1" outlineLevel="3" x14ac:dyDescent="0.2">
      <c r="A15041" s="14" t="s">
        <v>29585</v>
      </c>
      <c r="B15041" s="15" t="s">
        <v>29586</v>
      </c>
      <c r="C15041" s="16">
        <f>138.46/(1+B2)</f>
        <v>138.46</v>
      </c>
      <c r="D15041" s="17" t="s">
        <v>11</v>
      </c>
      <c r="E15041" s="17"/>
      <c r="F15041" s="18"/>
      <c r="G15041" s="36" t="str">
        <f>IF(ISNUMBER(F15041),C15041*F15041,"")</f>
        <v/>
      </c>
    </row>
    <row r="15042" spans="1:7" ht="12" customHeight="1" outlineLevel="3" x14ac:dyDescent="0.2">
      <c r="A15042" s="14" t="s">
        <v>29587</v>
      </c>
      <c r="B15042" s="15" t="s">
        <v>29588</v>
      </c>
      <c r="C15042" s="16">
        <f>138.46/(1+B2)</f>
        <v>138.46</v>
      </c>
      <c r="D15042" s="17" t="s">
        <v>11</v>
      </c>
      <c r="E15042" s="17"/>
      <c r="F15042" s="18"/>
      <c r="G15042" s="36" t="str">
        <f>IF(ISNUMBER(F15042),C15042*F15042,"")</f>
        <v/>
      </c>
    </row>
    <row r="15043" spans="1:7" ht="12" customHeight="1" outlineLevel="3" x14ac:dyDescent="0.2">
      <c r="A15043" s="14" t="s">
        <v>29589</v>
      </c>
      <c r="B15043" s="15" t="s">
        <v>29590</v>
      </c>
      <c r="C15043" s="16">
        <f>138.46/(1+B2)</f>
        <v>138.46</v>
      </c>
      <c r="D15043" s="17" t="s">
        <v>11</v>
      </c>
      <c r="E15043" s="17"/>
      <c r="F15043" s="18"/>
      <c r="G15043" s="36" t="str">
        <f>IF(ISNUMBER(F15043),C15043*F15043,"")</f>
        <v/>
      </c>
    </row>
    <row r="15044" spans="1:7" ht="12" customHeight="1" outlineLevel="3" x14ac:dyDescent="0.2">
      <c r="A15044" s="14" t="s">
        <v>29591</v>
      </c>
      <c r="B15044" s="15" t="s">
        <v>29592</v>
      </c>
      <c r="C15044" s="16">
        <f>162.96/(1+B2)</f>
        <v>162.96</v>
      </c>
      <c r="D15044" s="17" t="s">
        <v>11</v>
      </c>
      <c r="E15044" s="17"/>
      <c r="F15044" s="18"/>
      <c r="G15044" s="36" t="str">
        <f>IF(ISNUMBER(F15044),C15044*F15044,"")</f>
        <v/>
      </c>
    </row>
    <row r="15045" spans="1:7" ht="12" customHeight="1" outlineLevel="3" x14ac:dyDescent="0.2">
      <c r="A15045" s="14" t="s">
        <v>29593</v>
      </c>
      <c r="B15045" s="15" t="s">
        <v>29594</v>
      </c>
      <c r="C15045" s="16">
        <f>162.23/(1+B2)</f>
        <v>162.22999999999999</v>
      </c>
      <c r="D15045" s="17" t="s">
        <v>11</v>
      </c>
      <c r="E15045" s="17"/>
      <c r="F15045" s="18"/>
      <c r="G15045" s="36" t="str">
        <f>IF(ISNUMBER(F15045),C15045*F15045,"")</f>
        <v/>
      </c>
    </row>
    <row r="15046" spans="1:7" ht="12" customHeight="1" outlineLevel="3" x14ac:dyDescent="0.2">
      <c r="A15046" s="14" t="s">
        <v>29595</v>
      </c>
      <c r="B15046" s="15" t="s">
        <v>29596</v>
      </c>
      <c r="C15046" s="16">
        <f>167.5/(1+B2)</f>
        <v>167.5</v>
      </c>
      <c r="D15046" s="17" t="s">
        <v>11</v>
      </c>
      <c r="E15046" s="17"/>
      <c r="F15046" s="18"/>
      <c r="G15046" s="36" t="str">
        <f>IF(ISNUMBER(F15046),C15046*F15046,"")</f>
        <v/>
      </c>
    </row>
    <row r="15047" spans="1:7" ht="12" customHeight="1" outlineLevel="3" x14ac:dyDescent="0.2">
      <c r="A15047" s="14" t="s">
        <v>29597</v>
      </c>
      <c r="B15047" s="15" t="s">
        <v>29598</v>
      </c>
      <c r="C15047" s="16">
        <f>138.46/(1+B2)</f>
        <v>138.46</v>
      </c>
      <c r="D15047" s="17" t="s">
        <v>11</v>
      </c>
      <c r="E15047" s="17"/>
      <c r="F15047" s="18"/>
      <c r="G15047" s="36" t="str">
        <f>IF(ISNUMBER(F15047),C15047*F15047,"")</f>
        <v/>
      </c>
    </row>
    <row r="15048" spans="1:7" ht="12" customHeight="1" outlineLevel="3" x14ac:dyDescent="0.2">
      <c r="A15048" s="14" t="s">
        <v>29599</v>
      </c>
      <c r="B15048" s="15" t="s">
        <v>29600</v>
      </c>
      <c r="C15048" s="16">
        <f>174.41/(1+B2)</f>
        <v>174.41</v>
      </c>
      <c r="D15048" s="17" t="s">
        <v>11</v>
      </c>
      <c r="E15048" s="17"/>
      <c r="F15048" s="18"/>
      <c r="G15048" s="36" t="str">
        <f>IF(ISNUMBER(F15048),C15048*F15048,"")</f>
        <v/>
      </c>
    </row>
    <row r="15049" spans="1:7" ht="12" customHeight="1" outlineLevel="3" x14ac:dyDescent="0.2">
      <c r="A15049" s="14" t="s">
        <v>29601</v>
      </c>
      <c r="B15049" s="15" t="s">
        <v>29602</v>
      </c>
      <c r="C15049" s="16">
        <f>138.46/(1+B2)</f>
        <v>138.46</v>
      </c>
      <c r="D15049" s="17" t="s">
        <v>11</v>
      </c>
      <c r="E15049" s="17"/>
      <c r="F15049" s="18"/>
      <c r="G15049" s="36" t="str">
        <f>IF(ISNUMBER(F15049),C15049*F15049,"")</f>
        <v/>
      </c>
    </row>
    <row r="15050" spans="1:7" ht="12" customHeight="1" outlineLevel="3" x14ac:dyDescent="0.2">
      <c r="A15050" s="14" t="s">
        <v>29603</v>
      </c>
      <c r="B15050" s="15" t="s">
        <v>29604</v>
      </c>
      <c r="C15050" s="16">
        <f>138.46/(1+B2)</f>
        <v>138.46</v>
      </c>
      <c r="D15050" s="17" t="s">
        <v>11</v>
      </c>
      <c r="E15050" s="17"/>
      <c r="F15050" s="18"/>
      <c r="G15050" s="36" t="str">
        <f>IF(ISNUMBER(F15050),C15050*F15050,"")</f>
        <v/>
      </c>
    </row>
    <row r="15051" spans="1:7" s="1" customFormat="1" ht="12.95" customHeight="1" outlineLevel="2" x14ac:dyDescent="0.2">
      <c r="A15051" s="20"/>
      <c r="B15051" s="21" t="s">
        <v>29605</v>
      </c>
      <c r="C15051" s="22"/>
      <c r="D15051" s="22"/>
      <c r="E15051" s="22"/>
      <c r="F15051" s="22"/>
      <c r="G15051" s="37"/>
    </row>
    <row r="15052" spans="1:7" ht="12" customHeight="1" outlineLevel="3" x14ac:dyDescent="0.2">
      <c r="A15052" s="14" t="s">
        <v>29606</v>
      </c>
      <c r="B15052" s="15" t="s">
        <v>29607</v>
      </c>
      <c r="C15052" s="16">
        <f>197.41/(1+B2)</f>
        <v>197.41</v>
      </c>
      <c r="D15052" s="17" t="s">
        <v>53</v>
      </c>
      <c r="E15052" s="17"/>
      <c r="F15052" s="18"/>
      <c r="G15052" s="36" t="str">
        <f>IF(ISNUMBER(F15052),C15052*F15052,"")</f>
        <v/>
      </c>
    </row>
    <row r="15053" spans="1:7" ht="12" customHeight="1" outlineLevel="3" x14ac:dyDescent="0.2">
      <c r="A15053" s="14" t="s">
        <v>29608</v>
      </c>
      <c r="B15053" s="15" t="s">
        <v>29609</v>
      </c>
      <c r="C15053" s="16">
        <f>291.05/(1+B2)</f>
        <v>291.05</v>
      </c>
      <c r="D15053" s="17" t="s">
        <v>106</v>
      </c>
      <c r="E15053" s="17" t="s">
        <v>106</v>
      </c>
      <c r="F15053" s="18"/>
      <c r="G15053" s="36" t="str">
        <f>IF(ISNUMBER(F15053),C15053*F15053,"")</f>
        <v/>
      </c>
    </row>
    <row r="15054" spans="1:7" ht="12" customHeight="1" outlineLevel="3" x14ac:dyDescent="0.2">
      <c r="A15054" s="14" t="s">
        <v>29610</v>
      </c>
      <c r="B15054" s="15" t="s">
        <v>29611</v>
      </c>
      <c r="C15054" s="16">
        <f>147.98/(1+B2)</f>
        <v>147.97999999999999</v>
      </c>
      <c r="D15054" s="17" t="s">
        <v>14</v>
      </c>
      <c r="E15054" s="17"/>
      <c r="F15054" s="18"/>
      <c r="G15054" s="36" t="str">
        <f>IF(ISNUMBER(F15054),C15054*F15054,"")</f>
        <v/>
      </c>
    </row>
    <row r="15055" spans="1:7" ht="12" customHeight="1" outlineLevel="3" x14ac:dyDescent="0.2">
      <c r="A15055" s="14" t="s">
        <v>29612</v>
      </c>
      <c r="B15055" s="15" t="s">
        <v>29613</v>
      </c>
      <c r="C15055" s="16">
        <f>183.93/(1+B2)</f>
        <v>183.93</v>
      </c>
      <c r="D15055" s="17" t="s">
        <v>106</v>
      </c>
      <c r="E15055" s="17"/>
      <c r="F15055" s="18"/>
      <c r="G15055" s="36" t="str">
        <f>IF(ISNUMBER(F15055),C15055*F15055,"")</f>
        <v/>
      </c>
    </row>
    <row r="15056" spans="1:7" ht="12" customHeight="1" outlineLevel="3" x14ac:dyDescent="0.2">
      <c r="A15056" s="14" t="s">
        <v>29614</v>
      </c>
      <c r="B15056" s="15" t="s">
        <v>29615</v>
      </c>
      <c r="C15056" s="16">
        <f>190.89/(1+B2)</f>
        <v>190.89</v>
      </c>
      <c r="D15056" s="17" t="s">
        <v>11</v>
      </c>
      <c r="E15056" s="17"/>
      <c r="F15056" s="18"/>
      <c r="G15056" s="36" t="str">
        <f>IF(ISNUMBER(F15056),C15056*F15056,"")</f>
        <v/>
      </c>
    </row>
    <row r="15057" spans="1:7" ht="12" customHeight="1" outlineLevel="3" x14ac:dyDescent="0.2">
      <c r="A15057" s="14" t="s">
        <v>29616</v>
      </c>
      <c r="B15057" s="15" t="s">
        <v>29617</v>
      </c>
      <c r="C15057" s="16">
        <f>95.39/(1+B2)</f>
        <v>95.39</v>
      </c>
      <c r="D15057" s="17" t="s">
        <v>106</v>
      </c>
      <c r="E15057" s="17" t="s">
        <v>14</v>
      </c>
      <c r="F15057" s="18"/>
      <c r="G15057" s="36" t="str">
        <f>IF(ISNUMBER(F15057),C15057*F15057,"")</f>
        <v/>
      </c>
    </row>
    <row r="15058" spans="1:7" ht="12" customHeight="1" outlineLevel="3" x14ac:dyDescent="0.2">
      <c r="A15058" s="14" t="s">
        <v>29618</v>
      </c>
      <c r="B15058" s="15" t="s">
        <v>29619</v>
      </c>
      <c r="C15058" s="16">
        <f>78.31/(1+B2)</f>
        <v>78.31</v>
      </c>
      <c r="D15058" s="17" t="s">
        <v>53</v>
      </c>
      <c r="E15058" s="17" t="s">
        <v>106</v>
      </c>
      <c r="F15058" s="18"/>
      <c r="G15058" s="36" t="str">
        <f>IF(ISNUMBER(F15058),C15058*F15058,"")</f>
        <v/>
      </c>
    </row>
    <row r="15059" spans="1:7" ht="12" customHeight="1" outlineLevel="3" x14ac:dyDescent="0.2">
      <c r="A15059" s="14" t="s">
        <v>29620</v>
      </c>
      <c r="B15059" s="15" t="s">
        <v>29621</v>
      </c>
      <c r="C15059" s="16">
        <f>104.74/(1+B2)</f>
        <v>104.74</v>
      </c>
      <c r="D15059" s="17" t="s">
        <v>53</v>
      </c>
      <c r="E15059" s="17" t="s">
        <v>53</v>
      </c>
      <c r="F15059" s="18"/>
      <c r="G15059" s="36" t="str">
        <f>IF(ISNUMBER(F15059),C15059*F15059,"")</f>
        <v/>
      </c>
    </row>
    <row r="15060" spans="1:7" ht="12" customHeight="1" outlineLevel="3" x14ac:dyDescent="0.2">
      <c r="A15060" s="14" t="s">
        <v>29622</v>
      </c>
      <c r="B15060" s="15" t="s">
        <v>29623</v>
      </c>
      <c r="C15060" s="16">
        <f>156.85/(1+B2)</f>
        <v>156.85</v>
      </c>
      <c r="D15060" s="17" t="s">
        <v>53</v>
      </c>
      <c r="E15060" s="17" t="s">
        <v>106</v>
      </c>
      <c r="F15060" s="18"/>
      <c r="G15060" s="36" t="str">
        <f>IF(ISNUMBER(F15060),C15060*F15060,"")</f>
        <v/>
      </c>
    </row>
    <row r="15061" spans="1:7" ht="12" customHeight="1" outlineLevel="3" x14ac:dyDescent="0.2">
      <c r="A15061" s="14" t="s">
        <v>29624</v>
      </c>
      <c r="B15061" s="15" t="s">
        <v>29625</v>
      </c>
      <c r="C15061" s="16">
        <f>159.9/(1+B2)</f>
        <v>159.9</v>
      </c>
      <c r="D15061" s="17" t="s">
        <v>106</v>
      </c>
      <c r="E15061" s="17" t="s">
        <v>53</v>
      </c>
      <c r="F15061" s="18"/>
      <c r="G15061" s="36" t="str">
        <f>IF(ISNUMBER(F15061),C15061*F15061,"")</f>
        <v/>
      </c>
    </row>
    <row r="15062" spans="1:7" ht="12" customHeight="1" outlineLevel="3" x14ac:dyDescent="0.2">
      <c r="A15062" s="14" t="s">
        <v>29626</v>
      </c>
      <c r="B15062" s="15" t="s">
        <v>29627</v>
      </c>
      <c r="C15062" s="16">
        <f>241.56/(1+B2)</f>
        <v>241.56</v>
      </c>
      <c r="D15062" s="17" t="s">
        <v>14</v>
      </c>
      <c r="E15062" s="17" t="s">
        <v>106</v>
      </c>
      <c r="F15062" s="18"/>
      <c r="G15062" s="36" t="str">
        <f>IF(ISNUMBER(F15062),C15062*F15062,"")</f>
        <v/>
      </c>
    </row>
    <row r="15063" spans="1:7" ht="12" customHeight="1" outlineLevel="3" x14ac:dyDescent="0.2">
      <c r="A15063" s="14" t="s">
        <v>29628</v>
      </c>
      <c r="B15063" s="15" t="s">
        <v>29629</v>
      </c>
      <c r="C15063" s="16">
        <f>551.87/(1+B2)</f>
        <v>551.87</v>
      </c>
      <c r="D15063" s="17" t="s">
        <v>11</v>
      </c>
      <c r="E15063" s="17"/>
      <c r="F15063" s="18"/>
      <c r="G15063" s="36" t="str">
        <f>IF(ISNUMBER(F15063),C15063*F15063,"")</f>
        <v/>
      </c>
    </row>
    <row r="15064" spans="1:7" ht="12" customHeight="1" outlineLevel="3" x14ac:dyDescent="0.2">
      <c r="A15064" s="14" t="s">
        <v>29630</v>
      </c>
      <c r="B15064" s="15" t="s">
        <v>29631</v>
      </c>
      <c r="C15064" s="16">
        <f>538.94/(1+B2)</f>
        <v>538.94000000000005</v>
      </c>
      <c r="D15064" s="17" t="s">
        <v>11</v>
      </c>
      <c r="E15064" s="17"/>
      <c r="F15064" s="18"/>
      <c r="G15064" s="36" t="str">
        <f>IF(ISNUMBER(F15064),C15064*F15064,"")</f>
        <v/>
      </c>
    </row>
    <row r="15065" spans="1:7" ht="12" customHeight="1" outlineLevel="3" x14ac:dyDescent="0.2">
      <c r="A15065" s="14" t="s">
        <v>29632</v>
      </c>
      <c r="B15065" s="15" t="s">
        <v>29633</v>
      </c>
      <c r="C15065" s="16">
        <f>620.51/(1+B2)</f>
        <v>620.51</v>
      </c>
      <c r="D15065" s="17" t="s">
        <v>14</v>
      </c>
      <c r="E15065" s="17"/>
      <c r="F15065" s="18"/>
      <c r="G15065" s="36" t="str">
        <f>IF(ISNUMBER(F15065),C15065*F15065,"")</f>
        <v/>
      </c>
    </row>
    <row r="15066" spans="1:7" ht="12" customHeight="1" outlineLevel="3" x14ac:dyDescent="0.2">
      <c r="A15066" s="14" t="s">
        <v>29634</v>
      </c>
      <c r="B15066" s="15" t="s">
        <v>29635</v>
      </c>
      <c r="C15066" s="16">
        <f>558/(1+B2)</f>
        <v>558</v>
      </c>
      <c r="D15066" s="17" t="s">
        <v>11</v>
      </c>
      <c r="E15066" s="17"/>
      <c r="F15066" s="18"/>
      <c r="G15066" s="36" t="str">
        <f>IF(ISNUMBER(F15066),C15066*F15066,"")</f>
        <v/>
      </c>
    </row>
    <row r="15067" spans="1:7" ht="12" customHeight="1" outlineLevel="3" x14ac:dyDescent="0.2">
      <c r="A15067" s="14" t="s">
        <v>29636</v>
      </c>
      <c r="B15067" s="15" t="s">
        <v>29637</v>
      </c>
      <c r="C15067" s="16">
        <f>139.58/(1+B2)</f>
        <v>139.58000000000001</v>
      </c>
      <c r="D15067" s="17" t="s">
        <v>11</v>
      </c>
      <c r="E15067" s="17"/>
      <c r="F15067" s="18"/>
      <c r="G15067" s="36" t="str">
        <f>IF(ISNUMBER(F15067),C15067*F15067,"")</f>
        <v/>
      </c>
    </row>
    <row r="15068" spans="1:7" ht="12" customHeight="1" outlineLevel="3" x14ac:dyDescent="0.2">
      <c r="A15068" s="14" t="s">
        <v>29638</v>
      </c>
      <c r="B15068" s="15" t="s">
        <v>29639</v>
      </c>
      <c r="C15068" s="16">
        <f>140.33/(1+B2)</f>
        <v>140.33000000000001</v>
      </c>
      <c r="D15068" s="17" t="s">
        <v>11</v>
      </c>
      <c r="E15068" s="17"/>
      <c r="F15068" s="18"/>
      <c r="G15068" s="36" t="str">
        <f>IF(ISNUMBER(F15068),C15068*F15068,"")</f>
        <v/>
      </c>
    </row>
    <row r="15069" spans="1:7" ht="12" customHeight="1" outlineLevel="3" x14ac:dyDescent="0.2">
      <c r="A15069" s="14" t="s">
        <v>29640</v>
      </c>
      <c r="B15069" s="15" t="s">
        <v>29641</v>
      </c>
      <c r="C15069" s="16">
        <f>139.58/(1+B2)</f>
        <v>139.58000000000001</v>
      </c>
      <c r="D15069" s="17" t="s">
        <v>14</v>
      </c>
      <c r="E15069" s="17"/>
      <c r="F15069" s="18"/>
      <c r="G15069" s="36" t="str">
        <f>IF(ISNUMBER(F15069),C15069*F15069,"")</f>
        <v/>
      </c>
    </row>
    <row r="15070" spans="1:7" ht="12" customHeight="1" outlineLevel="3" x14ac:dyDescent="0.2">
      <c r="A15070" s="14" t="s">
        <v>29642</v>
      </c>
      <c r="B15070" s="15" t="s">
        <v>29643</v>
      </c>
      <c r="C15070" s="16">
        <f>142.17/(1+B2)</f>
        <v>142.16999999999999</v>
      </c>
      <c r="D15070" s="17" t="s">
        <v>11</v>
      </c>
      <c r="E15070" s="17"/>
      <c r="F15070" s="18"/>
      <c r="G15070" s="36" t="str">
        <f>IF(ISNUMBER(F15070),C15070*F15070,"")</f>
        <v/>
      </c>
    </row>
    <row r="15071" spans="1:7" ht="12" customHeight="1" outlineLevel="3" x14ac:dyDescent="0.2">
      <c r="A15071" s="14" t="s">
        <v>29644</v>
      </c>
      <c r="B15071" s="15" t="s">
        <v>29645</v>
      </c>
      <c r="C15071" s="16">
        <f>128.6/(1+B2)</f>
        <v>128.6</v>
      </c>
      <c r="D15071" s="17" t="s">
        <v>11</v>
      </c>
      <c r="E15071" s="17"/>
      <c r="F15071" s="18"/>
      <c r="G15071" s="36" t="str">
        <f>IF(ISNUMBER(F15071),C15071*F15071,"")</f>
        <v/>
      </c>
    </row>
    <row r="15072" spans="1:7" ht="12" customHeight="1" outlineLevel="3" x14ac:dyDescent="0.2">
      <c r="A15072" s="14" t="s">
        <v>29646</v>
      </c>
      <c r="B15072" s="15" t="s">
        <v>29647</v>
      </c>
      <c r="C15072" s="16">
        <f>129.33/(1+B2)</f>
        <v>129.33000000000001</v>
      </c>
      <c r="D15072" s="17" t="s">
        <v>11</v>
      </c>
      <c r="E15072" s="17"/>
      <c r="F15072" s="18"/>
      <c r="G15072" s="36" t="str">
        <f>IF(ISNUMBER(F15072),C15072*F15072,"")</f>
        <v/>
      </c>
    </row>
    <row r="15073" spans="1:7" ht="12" customHeight="1" outlineLevel="3" x14ac:dyDescent="0.2">
      <c r="A15073" s="14" t="s">
        <v>29648</v>
      </c>
      <c r="B15073" s="15" t="s">
        <v>29649</v>
      </c>
      <c r="C15073" s="16">
        <f>128.92/(1+B2)</f>
        <v>128.91999999999999</v>
      </c>
      <c r="D15073" s="17" t="s">
        <v>11</v>
      </c>
      <c r="E15073" s="17"/>
      <c r="F15073" s="18"/>
      <c r="G15073" s="36" t="str">
        <f>IF(ISNUMBER(F15073),C15073*F15073,"")</f>
        <v/>
      </c>
    </row>
    <row r="15074" spans="1:7" ht="12" customHeight="1" outlineLevel="3" x14ac:dyDescent="0.2">
      <c r="A15074" s="14" t="s">
        <v>29650</v>
      </c>
      <c r="B15074" s="15" t="s">
        <v>29651</v>
      </c>
      <c r="C15074" s="16">
        <f>128.86/(1+B2)</f>
        <v>128.86000000000001</v>
      </c>
      <c r="D15074" s="17" t="s">
        <v>11</v>
      </c>
      <c r="E15074" s="17"/>
      <c r="F15074" s="18"/>
      <c r="G15074" s="36" t="str">
        <f>IF(ISNUMBER(F15074),C15074*F15074,"")</f>
        <v/>
      </c>
    </row>
    <row r="15075" spans="1:7" ht="12" customHeight="1" outlineLevel="3" x14ac:dyDescent="0.2">
      <c r="A15075" s="14" t="s">
        <v>29652</v>
      </c>
      <c r="B15075" s="15" t="s">
        <v>29653</v>
      </c>
      <c r="C15075" s="16">
        <f>370.71/(1+B2)</f>
        <v>370.71</v>
      </c>
      <c r="D15075" s="17" t="s">
        <v>11</v>
      </c>
      <c r="E15075" s="17"/>
      <c r="F15075" s="18"/>
      <c r="G15075" s="36" t="str">
        <f>IF(ISNUMBER(F15075),C15075*F15075,"")</f>
        <v/>
      </c>
    </row>
    <row r="15076" spans="1:7" ht="12" customHeight="1" outlineLevel="3" x14ac:dyDescent="0.2">
      <c r="A15076" s="14" t="s">
        <v>29654</v>
      </c>
      <c r="B15076" s="15" t="s">
        <v>29655</v>
      </c>
      <c r="C15076" s="16">
        <f>296.09/(1+B2)</f>
        <v>296.08999999999997</v>
      </c>
      <c r="D15076" s="17" t="s">
        <v>11</v>
      </c>
      <c r="E15076" s="17"/>
      <c r="F15076" s="18"/>
      <c r="G15076" s="36" t="str">
        <f>IF(ISNUMBER(F15076),C15076*F15076,"")</f>
        <v/>
      </c>
    </row>
    <row r="15077" spans="1:7" ht="12" customHeight="1" outlineLevel="3" x14ac:dyDescent="0.2">
      <c r="A15077" s="14" t="s">
        <v>29656</v>
      </c>
      <c r="B15077" s="15" t="s">
        <v>29657</v>
      </c>
      <c r="C15077" s="16">
        <f>381.86/(1+B2)</f>
        <v>381.86</v>
      </c>
      <c r="D15077" s="17" t="s">
        <v>11</v>
      </c>
      <c r="E15077" s="17"/>
      <c r="F15077" s="18"/>
      <c r="G15077" s="36" t="str">
        <f>IF(ISNUMBER(F15077),C15077*F15077,"")</f>
        <v/>
      </c>
    </row>
    <row r="15078" spans="1:7" ht="12" customHeight="1" outlineLevel="3" x14ac:dyDescent="0.2">
      <c r="A15078" s="14" t="s">
        <v>29658</v>
      </c>
      <c r="B15078" s="15" t="s">
        <v>29659</v>
      </c>
      <c r="C15078" s="16">
        <f>339.7/(1+B2)</f>
        <v>339.7</v>
      </c>
      <c r="D15078" s="17" t="s">
        <v>11</v>
      </c>
      <c r="E15078" s="17"/>
      <c r="F15078" s="18"/>
      <c r="G15078" s="36" t="str">
        <f>IF(ISNUMBER(F15078),C15078*F15078,"")</f>
        <v/>
      </c>
    </row>
    <row r="15079" spans="1:7" ht="12" customHeight="1" outlineLevel="3" x14ac:dyDescent="0.2">
      <c r="A15079" s="14" t="s">
        <v>29660</v>
      </c>
      <c r="B15079" s="15" t="s">
        <v>29661</v>
      </c>
      <c r="C15079" s="16">
        <f>389.29/(1+B2)</f>
        <v>389.29</v>
      </c>
      <c r="D15079" s="17" t="s">
        <v>11</v>
      </c>
      <c r="E15079" s="17"/>
      <c r="F15079" s="18"/>
      <c r="G15079" s="36" t="str">
        <f>IF(ISNUMBER(F15079),C15079*F15079,"")</f>
        <v/>
      </c>
    </row>
    <row r="15080" spans="1:7" s="1" customFormat="1" ht="15.95" customHeight="1" outlineLevel="1" x14ac:dyDescent="0.25">
      <c r="A15080" s="11"/>
      <c r="B15080" s="12" t="s">
        <v>29662</v>
      </c>
      <c r="C15080" s="13"/>
      <c r="D15080" s="13"/>
      <c r="E15080" s="13"/>
      <c r="F15080" s="13"/>
      <c r="G15080" s="35"/>
    </row>
    <row r="15081" spans="1:7" ht="12" customHeight="1" outlineLevel="2" x14ac:dyDescent="0.2">
      <c r="A15081" s="14" t="s">
        <v>29663</v>
      </c>
      <c r="B15081" s="15" t="s">
        <v>29664</v>
      </c>
      <c r="C15081" s="16">
        <f>181.13/(1+B2)</f>
        <v>181.13</v>
      </c>
      <c r="D15081" s="17" t="s">
        <v>11</v>
      </c>
      <c r="E15081" s="17"/>
      <c r="F15081" s="18"/>
      <c r="G15081" s="36" t="str">
        <f>IF(ISNUMBER(F15081),C15081*F15081,"")</f>
        <v/>
      </c>
    </row>
    <row r="15082" spans="1:7" ht="12" customHeight="1" outlineLevel="2" x14ac:dyDescent="0.2">
      <c r="A15082" s="14" t="s">
        <v>29665</v>
      </c>
      <c r="B15082" s="15" t="s">
        <v>29666</v>
      </c>
      <c r="C15082" s="16">
        <f>116.2/(1+B2)</f>
        <v>116.2</v>
      </c>
      <c r="D15082" s="17" t="s">
        <v>11</v>
      </c>
      <c r="E15082" s="17"/>
      <c r="F15082" s="18"/>
      <c r="G15082" s="36" t="str">
        <f>IF(ISNUMBER(F15082),C15082*F15082,"")</f>
        <v/>
      </c>
    </row>
    <row r="15083" spans="1:7" ht="12" customHeight="1" outlineLevel="2" x14ac:dyDescent="0.2">
      <c r="A15083" s="14" t="s">
        <v>29667</v>
      </c>
      <c r="B15083" s="15" t="s">
        <v>29668</v>
      </c>
      <c r="C15083" s="16">
        <f>396.14/(1+B2)</f>
        <v>396.14</v>
      </c>
      <c r="D15083" s="17" t="s">
        <v>11</v>
      </c>
      <c r="E15083" s="17"/>
      <c r="F15083" s="18"/>
      <c r="G15083" s="36" t="str">
        <f>IF(ISNUMBER(F15083),C15083*F15083,"")</f>
        <v/>
      </c>
    </row>
    <row r="15084" spans="1:7" ht="12" customHeight="1" outlineLevel="2" x14ac:dyDescent="0.2">
      <c r="A15084" s="14" t="s">
        <v>29669</v>
      </c>
      <c r="B15084" s="15" t="s">
        <v>29670</v>
      </c>
      <c r="C15084" s="16">
        <f>394.29/(1+B2)</f>
        <v>394.29</v>
      </c>
      <c r="D15084" s="17" t="s">
        <v>11</v>
      </c>
      <c r="E15084" s="17"/>
      <c r="F15084" s="18"/>
      <c r="G15084" s="36" t="str">
        <f>IF(ISNUMBER(F15084),C15084*F15084,"")</f>
        <v/>
      </c>
    </row>
    <row r="15085" spans="1:7" ht="12" customHeight="1" outlineLevel="2" x14ac:dyDescent="0.2">
      <c r="A15085" s="14" t="s">
        <v>29671</v>
      </c>
      <c r="B15085" s="15" t="s">
        <v>29672</v>
      </c>
      <c r="C15085" s="16">
        <f>487.2/(1+B2)</f>
        <v>487.2</v>
      </c>
      <c r="D15085" s="17" t="s">
        <v>11</v>
      </c>
      <c r="E15085" s="17"/>
      <c r="F15085" s="18"/>
      <c r="G15085" s="36" t="str">
        <f>IF(ISNUMBER(F15085),C15085*F15085,"")</f>
        <v/>
      </c>
    </row>
    <row r="15086" spans="1:7" ht="12" customHeight="1" outlineLevel="2" x14ac:dyDescent="0.2">
      <c r="A15086" s="14" t="s">
        <v>29673</v>
      </c>
      <c r="B15086" s="15" t="s">
        <v>29674</v>
      </c>
      <c r="C15086" s="16">
        <f>943.26/(1+B2)</f>
        <v>943.26</v>
      </c>
      <c r="D15086" s="17" t="s">
        <v>11</v>
      </c>
      <c r="E15086" s="17"/>
      <c r="F15086" s="18"/>
      <c r="G15086" s="36" t="str">
        <f>IF(ISNUMBER(F15086),C15086*F15086,"")</f>
        <v/>
      </c>
    </row>
    <row r="15087" spans="1:7" ht="12" customHeight="1" outlineLevel="2" x14ac:dyDescent="0.2">
      <c r="A15087" s="14" t="s">
        <v>29675</v>
      </c>
      <c r="B15087" s="15" t="s">
        <v>29676</v>
      </c>
      <c r="C15087" s="19">
        <f>1440.37/(1+B2)</f>
        <v>1440.37</v>
      </c>
      <c r="D15087" s="17" t="s">
        <v>11</v>
      </c>
      <c r="E15087" s="17"/>
      <c r="F15087" s="18"/>
      <c r="G15087" s="36" t="str">
        <f>IF(ISNUMBER(F15087),C15087*F15087,"")</f>
        <v/>
      </c>
    </row>
    <row r="15088" spans="1:7" ht="12" customHeight="1" outlineLevel="2" x14ac:dyDescent="0.2">
      <c r="A15088" s="14" t="s">
        <v>29677</v>
      </c>
      <c r="B15088" s="15" t="s">
        <v>29678</v>
      </c>
      <c r="C15088" s="16">
        <f>910/(1+B2)</f>
        <v>910</v>
      </c>
      <c r="D15088" s="17" t="s">
        <v>11</v>
      </c>
      <c r="E15088" s="17"/>
      <c r="F15088" s="18"/>
      <c r="G15088" s="36" t="str">
        <f>IF(ISNUMBER(F15088),C15088*F15088,"")</f>
        <v/>
      </c>
    </row>
    <row r="15089" spans="1:7" s="1" customFormat="1" ht="15.95" customHeight="1" outlineLevel="1" x14ac:dyDescent="0.25">
      <c r="A15089" s="11"/>
      <c r="B15089" s="12" t="s">
        <v>29679</v>
      </c>
      <c r="C15089" s="13"/>
      <c r="D15089" s="13"/>
      <c r="E15089" s="13"/>
      <c r="F15089" s="13"/>
      <c r="G15089" s="35"/>
    </row>
    <row r="15090" spans="1:7" ht="12" customHeight="1" outlineLevel="2" x14ac:dyDescent="0.2">
      <c r="A15090" s="14" t="s">
        <v>29680</v>
      </c>
      <c r="B15090" s="15" t="s">
        <v>29681</v>
      </c>
      <c r="C15090" s="16">
        <f>476.03/(1+B2)</f>
        <v>476.03</v>
      </c>
      <c r="D15090" s="17" t="s">
        <v>11</v>
      </c>
      <c r="E15090" s="17"/>
      <c r="F15090" s="18"/>
      <c r="G15090" s="36" t="str">
        <f>IF(ISNUMBER(F15090),C15090*F15090,"")</f>
        <v/>
      </c>
    </row>
    <row r="15091" spans="1:7" ht="12" customHeight="1" outlineLevel="2" x14ac:dyDescent="0.2">
      <c r="A15091" s="14" t="s">
        <v>29682</v>
      </c>
      <c r="B15091" s="15" t="s">
        <v>29683</v>
      </c>
      <c r="C15091" s="16">
        <f>305.85/(1+B2)</f>
        <v>305.85000000000002</v>
      </c>
      <c r="D15091" s="17" t="s">
        <v>11</v>
      </c>
      <c r="E15091" s="17"/>
      <c r="F15091" s="18"/>
      <c r="G15091" s="36" t="str">
        <f>IF(ISNUMBER(F15091),C15091*F15091,"")</f>
        <v/>
      </c>
    </row>
    <row r="15092" spans="1:7" ht="12" customHeight="1" outlineLevel="2" x14ac:dyDescent="0.2">
      <c r="A15092" s="14" t="s">
        <v>29684</v>
      </c>
      <c r="B15092" s="15" t="s">
        <v>29685</v>
      </c>
      <c r="C15092" s="16">
        <f>575.18/(1+B2)</f>
        <v>575.17999999999995</v>
      </c>
      <c r="D15092" s="17" t="s">
        <v>11</v>
      </c>
      <c r="E15092" s="17"/>
      <c r="F15092" s="18"/>
      <c r="G15092" s="36" t="str">
        <f>IF(ISNUMBER(F15092),C15092*F15092,"")</f>
        <v/>
      </c>
    </row>
    <row r="15093" spans="1:7" ht="12" customHeight="1" outlineLevel="2" x14ac:dyDescent="0.2">
      <c r="A15093" s="14" t="s">
        <v>29686</v>
      </c>
      <c r="B15093" s="15" t="s">
        <v>29687</v>
      </c>
      <c r="C15093" s="16">
        <f>363.75/(1+B2)</f>
        <v>363.75</v>
      </c>
      <c r="D15093" s="17" t="s">
        <v>11</v>
      </c>
      <c r="E15093" s="17"/>
      <c r="F15093" s="18"/>
      <c r="G15093" s="36" t="str">
        <f>IF(ISNUMBER(F15093),C15093*F15093,"")</f>
        <v/>
      </c>
    </row>
    <row r="15094" spans="1:7" ht="12" customHeight="1" outlineLevel="2" x14ac:dyDescent="0.2">
      <c r="A15094" s="14" t="s">
        <v>29688</v>
      </c>
      <c r="B15094" s="15" t="s">
        <v>29689</v>
      </c>
      <c r="C15094" s="16">
        <f>583.23/(1+B2)</f>
        <v>583.23</v>
      </c>
      <c r="D15094" s="17" t="s">
        <v>11</v>
      </c>
      <c r="E15094" s="17"/>
      <c r="F15094" s="18"/>
      <c r="G15094" s="36" t="str">
        <f>IF(ISNUMBER(F15094),C15094*F15094,"")</f>
        <v/>
      </c>
    </row>
    <row r="15095" spans="1:7" ht="12" customHeight="1" outlineLevel="2" x14ac:dyDescent="0.2">
      <c r="A15095" s="14" t="s">
        <v>29690</v>
      </c>
      <c r="B15095" s="15" t="s">
        <v>29691</v>
      </c>
      <c r="C15095" s="16">
        <f>235.23/(1+B2)</f>
        <v>235.23</v>
      </c>
      <c r="D15095" s="17" t="s">
        <v>11</v>
      </c>
      <c r="E15095" s="17"/>
      <c r="F15095" s="18"/>
      <c r="G15095" s="36" t="str">
        <f>IF(ISNUMBER(F15095),C15095*F15095,"")</f>
        <v/>
      </c>
    </row>
    <row r="15096" spans="1:7" ht="12" customHeight="1" outlineLevel="2" x14ac:dyDescent="0.2">
      <c r="A15096" s="14" t="s">
        <v>29692</v>
      </c>
      <c r="B15096" s="15" t="s">
        <v>29693</v>
      </c>
      <c r="C15096" s="16">
        <f>344.91/(1+B2)</f>
        <v>344.91</v>
      </c>
      <c r="D15096" s="17" t="s">
        <v>11</v>
      </c>
      <c r="E15096" s="17"/>
      <c r="F15096" s="18"/>
      <c r="G15096" s="36" t="str">
        <f>IF(ISNUMBER(F15096),C15096*F15096,"")</f>
        <v/>
      </c>
    </row>
    <row r="15097" spans="1:7" ht="12" customHeight="1" outlineLevel="2" x14ac:dyDescent="0.2">
      <c r="A15097" s="14" t="s">
        <v>29694</v>
      </c>
      <c r="B15097" s="15" t="s">
        <v>29695</v>
      </c>
      <c r="C15097" s="16">
        <f>697.69/(1+B2)</f>
        <v>697.69</v>
      </c>
      <c r="D15097" s="17" t="s">
        <v>11</v>
      </c>
      <c r="E15097" s="17"/>
      <c r="F15097" s="18"/>
      <c r="G15097" s="36" t="str">
        <f>IF(ISNUMBER(F15097),C15097*F15097,"")</f>
        <v/>
      </c>
    </row>
    <row r="15098" spans="1:7" ht="12" customHeight="1" outlineLevel="2" x14ac:dyDescent="0.2">
      <c r="A15098" s="14" t="s">
        <v>29696</v>
      </c>
      <c r="B15098" s="15" t="s">
        <v>29697</v>
      </c>
      <c r="C15098" s="16">
        <f>423.88/(1+B2)</f>
        <v>423.88</v>
      </c>
      <c r="D15098" s="17" t="s">
        <v>11</v>
      </c>
      <c r="E15098" s="17"/>
      <c r="F15098" s="18"/>
      <c r="G15098" s="36" t="str">
        <f>IF(ISNUMBER(F15098),C15098*F15098,"")</f>
        <v/>
      </c>
    </row>
    <row r="15099" spans="1:7" ht="12" customHeight="1" outlineLevel="2" x14ac:dyDescent="0.2">
      <c r="A15099" s="14" t="s">
        <v>29698</v>
      </c>
      <c r="B15099" s="15" t="s">
        <v>29699</v>
      </c>
      <c r="C15099" s="16">
        <f>370.05/(1+B2)</f>
        <v>370.05</v>
      </c>
      <c r="D15099" s="17" t="s">
        <v>11</v>
      </c>
      <c r="E15099" s="17"/>
      <c r="F15099" s="18"/>
      <c r="G15099" s="36" t="str">
        <f>IF(ISNUMBER(F15099),C15099*F15099,"")</f>
        <v/>
      </c>
    </row>
    <row r="15100" spans="1:7" ht="12" customHeight="1" outlineLevel="2" x14ac:dyDescent="0.2">
      <c r="A15100" s="14" t="s">
        <v>29700</v>
      </c>
      <c r="B15100" s="15" t="s">
        <v>29701</v>
      </c>
      <c r="C15100" s="16">
        <f>313.72/(1+B2)</f>
        <v>313.72000000000003</v>
      </c>
      <c r="D15100" s="17" t="s">
        <v>11</v>
      </c>
      <c r="E15100" s="17"/>
      <c r="F15100" s="18"/>
      <c r="G15100" s="36" t="str">
        <f>IF(ISNUMBER(F15100),C15100*F15100,"")</f>
        <v/>
      </c>
    </row>
    <row r="15101" spans="1:7" ht="12" customHeight="1" outlineLevel="2" x14ac:dyDescent="0.2">
      <c r="A15101" s="14" t="s">
        <v>29702</v>
      </c>
      <c r="B15101" s="15" t="s">
        <v>29703</v>
      </c>
      <c r="C15101" s="16">
        <f>727.25/(1+B2)</f>
        <v>727.25</v>
      </c>
      <c r="D15101" s="17" t="s">
        <v>11</v>
      </c>
      <c r="E15101" s="17"/>
      <c r="F15101" s="18"/>
      <c r="G15101" s="36" t="str">
        <f>IF(ISNUMBER(F15101),C15101*F15101,"")</f>
        <v/>
      </c>
    </row>
    <row r="15102" spans="1:7" ht="12" customHeight="1" outlineLevel="2" x14ac:dyDescent="0.2">
      <c r="A15102" s="14" t="s">
        <v>29704</v>
      </c>
      <c r="B15102" s="15" t="s">
        <v>29705</v>
      </c>
      <c r="C15102" s="16">
        <f>361.08/(1+B2)</f>
        <v>361.08</v>
      </c>
      <c r="D15102" s="17" t="s">
        <v>11</v>
      </c>
      <c r="E15102" s="17"/>
      <c r="F15102" s="18"/>
      <c r="G15102" s="36" t="str">
        <f>IF(ISNUMBER(F15102),C15102*F15102,"")</f>
        <v/>
      </c>
    </row>
    <row r="15103" spans="1:7" ht="12" customHeight="1" outlineLevel="2" x14ac:dyDescent="0.2">
      <c r="A15103" s="14" t="s">
        <v>29706</v>
      </c>
      <c r="B15103" s="15" t="s">
        <v>29707</v>
      </c>
      <c r="C15103" s="16">
        <f>357.77/(1+B2)</f>
        <v>357.77</v>
      </c>
      <c r="D15103" s="17" t="s">
        <v>11</v>
      </c>
      <c r="E15103" s="17"/>
      <c r="F15103" s="18"/>
      <c r="G15103" s="36" t="str">
        <f>IF(ISNUMBER(F15103),C15103*F15103,"")</f>
        <v/>
      </c>
    </row>
    <row r="15104" spans="1:7" ht="12" customHeight="1" outlineLevel="2" x14ac:dyDescent="0.2">
      <c r="A15104" s="14" t="s">
        <v>29708</v>
      </c>
      <c r="B15104" s="15" t="s">
        <v>29709</v>
      </c>
      <c r="C15104" s="16">
        <f>28/(1+B2)</f>
        <v>28</v>
      </c>
      <c r="D15104" s="17" t="s">
        <v>11</v>
      </c>
      <c r="E15104" s="17" t="s">
        <v>106</v>
      </c>
      <c r="F15104" s="18"/>
      <c r="G15104" s="36" t="str">
        <f>IF(ISNUMBER(F15104),C15104*F15104,"")</f>
        <v/>
      </c>
    </row>
    <row r="15105" spans="1:7" s="1" customFormat="1" ht="15.95" customHeight="1" x14ac:dyDescent="0.25">
      <c r="A15105" s="8"/>
      <c r="B15105" s="9" t="s">
        <v>29710</v>
      </c>
      <c r="C15105" s="10"/>
      <c r="D15105" s="10"/>
      <c r="E15105" s="10"/>
      <c r="F15105" s="10"/>
      <c r="G15105" s="34"/>
    </row>
    <row r="15106" spans="1:7" s="1" customFormat="1" ht="15.95" customHeight="1" outlineLevel="1" x14ac:dyDescent="0.25">
      <c r="A15106" s="11"/>
      <c r="B15106" s="12" t="s">
        <v>29711</v>
      </c>
      <c r="C15106" s="13"/>
      <c r="D15106" s="13"/>
      <c r="E15106" s="13"/>
      <c r="F15106" s="13"/>
      <c r="G15106" s="35"/>
    </row>
    <row r="15107" spans="1:7" ht="12" customHeight="1" outlineLevel="2" x14ac:dyDescent="0.2">
      <c r="A15107" s="14" t="s">
        <v>29712</v>
      </c>
      <c r="B15107" s="15" t="s">
        <v>29713</v>
      </c>
      <c r="C15107" s="19">
        <f>3315.13/(1+B2)</f>
        <v>3315.13</v>
      </c>
      <c r="D15107" s="17" t="s">
        <v>11</v>
      </c>
      <c r="E15107" s="17"/>
      <c r="F15107" s="18"/>
      <c r="G15107" s="36" t="str">
        <f>IF(ISNUMBER(F15107),C15107*F15107,"")</f>
        <v/>
      </c>
    </row>
    <row r="15108" spans="1:7" ht="12" customHeight="1" outlineLevel="2" x14ac:dyDescent="0.2">
      <c r="A15108" s="14" t="s">
        <v>29714</v>
      </c>
      <c r="B15108" s="15" t="s">
        <v>29715</v>
      </c>
      <c r="C15108" s="19">
        <f>3315.13/(1+B2)</f>
        <v>3315.13</v>
      </c>
      <c r="D15108" s="17" t="s">
        <v>11</v>
      </c>
      <c r="E15108" s="17"/>
      <c r="F15108" s="18"/>
      <c r="G15108" s="36" t="str">
        <f>IF(ISNUMBER(F15108),C15108*F15108,"")</f>
        <v/>
      </c>
    </row>
    <row r="15109" spans="1:7" ht="12" customHeight="1" outlineLevel="2" x14ac:dyDescent="0.2">
      <c r="A15109" s="14" t="s">
        <v>29716</v>
      </c>
      <c r="B15109" s="15" t="s">
        <v>29717</v>
      </c>
      <c r="C15109" s="19">
        <f>3315.13/(1+B2)</f>
        <v>3315.13</v>
      </c>
      <c r="D15109" s="17" t="s">
        <v>11</v>
      </c>
      <c r="E15109" s="17"/>
      <c r="F15109" s="18"/>
      <c r="G15109" s="36" t="str">
        <f>IF(ISNUMBER(F15109),C15109*F15109,"")</f>
        <v/>
      </c>
    </row>
    <row r="15110" spans="1:7" ht="12" customHeight="1" outlineLevel="2" x14ac:dyDescent="0.2">
      <c r="A15110" s="14" t="s">
        <v>29718</v>
      </c>
      <c r="B15110" s="15" t="s">
        <v>29719</v>
      </c>
      <c r="C15110" s="19">
        <f>3315.13/(1+B2)</f>
        <v>3315.13</v>
      </c>
      <c r="D15110" s="17" t="s">
        <v>11</v>
      </c>
      <c r="E15110" s="17"/>
      <c r="F15110" s="18"/>
      <c r="G15110" s="36" t="str">
        <f>IF(ISNUMBER(F15110),C15110*F15110,"")</f>
        <v/>
      </c>
    </row>
    <row r="15111" spans="1:7" ht="12" customHeight="1" outlineLevel="2" x14ac:dyDescent="0.2">
      <c r="A15111" s="14" t="s">
        <v>29720</v>
      </c>
      <c r="B15111" s="15" t="s">
        <v>29721</v>
      </c>
      <c r="C15111" s="19">
        <f>3315.13/(1+B2)</f>
        <v>3315.13</v>
      </c>
      <c r="D15111" s="17" t="s">
        <v>11</v>
      </c>
      <c r="E15111" s="17"/>
      <c r="F15111" s="18"/>
      <c r="G15111" s="36" t="str">
        <f>IF(ISNUMBER(F15111),C15111*F15111,"")</f>
        <v/>
      </c>
    </row>
    <row r="15112" spans="1:7" ht="12" customHeight="1" outlineLevel="2" x14ac:dyDescent="0.2">
      <c r="A15112" s="14" t="s">
        <v>29722</v>
      </c>
      <c r="B15112" s="15" t="s">
        <v>29723</v>
      </c>
      <c r="C15112" s="19">
        <f>3315.13/(1+B2)</f>
        <v>3315.13</v>
      </c>
      <c r="D15112" s="17" t="s">
        <v>11</v>
      </c>
      <c r="E15112" s="17" t="s">
        <v>11</v>
      </c>
      <c r="F15112" s="18"/>
      <c r="G15112" s="36" t="str">
        <f>IF(ISNUMBER(F15112),C15112*F15112,"")</f>
        <v/>
      </c>
    </row>
    <row r="15113" spans="1:7" ht="12" customHeight="1" outlineLevel="2" x14ac:dyDescent="0.2">
      <c r="A15113" s="14" t="s">
        <v>29724</v>
      </c>
      <c r="B15113" s="15" t="s">
        <v>29725</v>
      </c>
      <c r="C15113" s="19">
        <f>3315.13/(1+B2)</f>
        <v>3315.13</v>
      </c>
      <c r="D15113" s="17" t="s">
        <v>11</v>
      </c>
      <c r="E15113" s="17"/>
      <c r="F15113" s="18"/>
      <c r="G15113" s="36" t="str">
        <f>IF(ISNUMBER(F15113),C15113*F15113,"")</f>
        <v/>
      </c>
    </row>
    <row r="15114" spans="1:7" ht="12" customHeight="1" outlineLevel="2" x14ac:dyDescent="0.2">
      <c r="A15114" s="14" t="s">
        <v>29726</v>
      </c>
      <c r="B15114" s="15" t="s">
        <v>29727</v>
      </c>
      <c r="C15114" s="19">
        <f>3315.13/(1+B2)</f>
        <v>3315.13</v>
      </c>
      <c r="D15114" s="17" t="s">
        <v>11</v>
      </c>
      <c r="E15114" s="17" t="s">
        <v>11</v>
      </c>
      <c r="F15114" s="18"/>
      <c r="G15114" s="36" t="str">
        <f>IF(ISNUMBER(F15114),C15114*F15114,"")</f>
        <v/>
      </c>
    </row>
    <row r="15115" spans="1:7" ht="12" customHeight="1" outlineLevel="2" x14ac:dyDescent="0.2">
      <c r="A15115" s="14" t="s">
        <v>29728</v>
      </c>
      <c r="B15115" s="15" t="s">
        <v>29729</v>
      </c>
      <c r="C15115" s="19">
        <f>3960.6/(1+B2)</f>
        <v>3960.6</v>
      </c>
      <c r="D15115" s="17" t="s">
        <v>11</v>
      </c>
      <c r="E15115" s="17"/>
      <c r="F15115" s="18"/>
      <c r="G15115" s="36" t="str">
        <f>IF(ISNUMBER(F15115),C15115*F15115,"")</f>
        <v/>
      </c>
    </row>
    <row r="15116" spans="1:7" ht="12" customHeight="1" outlineLevel="2" x14ac:dyDescent="0.2">
      <c r="A15116" s="14" t="s">
        <v>29730</v>
      </c>
      <c r="B15116" s="15" t="s">
        <v>29731</v>
      </c>
      <c r="C15116" s="19">
        <f>3960.6/(1+B2)</f>
        <v>3960.6</v>
      </c>
      <c r="D15116" s="17" t="s">
        <v>11</v>
      </c>
      <c r="E15116" s="17"/>
      <c r="F15116" s="18"/>
      <c r="G15116" s="36" t="str">
        <f>IF(ISNUMBER(F15116),C15116*F15116,"")</f>
        <v/>
      </c>
    </row>
    <row r="15117" spans="1:7" ht="12" customHeight="1" outlineLevel="2" x14ac:dyDescent="0.2">
      <c r="A15117" s="14" t="s">
        <v>29732</v>
      </c>
      <c r="B15117" s="15" t="s">
        <v>29733</v>
      </c>
      <c r="C15117" s="19">
        <f>3960.6/(1+B2)</f>
        <v>3960.6</v>
      </c>
      <c r="D15117" s="17" t="s">
        <v>11</v>
      </c>
      <c r="E15117" s="17"/>
      <c r="F15117" s="18"/>
      <c r="G15117" s="36" t="str">
        <f>IF(ISNUMBER(F15117),C15117*F15117,"")</f>
        <v/>
      </c>
    </row>
    <row r="15118" spans="1:7" s="1" customFormat="1" ht="15.95" customHeight="1" outlineLevel="1" x14ac:dyDescent="0.25">
      <c r="A15118" s="11"/>
      <c r="B15118" s="12" t="s">
        <v>29734</v>
      </c>
      <c r="C15118" s="13"/>
      <c r="D15118" s="13"/>
      <c r="E15118" s="13"/>
      <c r="F15118" s="13"/>
      <c r="G15118" s="35"/>
    </row>
    <row r="15119" spans="1:7" ht="12" customHeight="1" outlineLevel="2" x14ac:dyDescent="0.2">
      <c r="A15119" s="14" t="s">
        <v>29735</v>
      </c>
      <c r="B15119" s="15" t="s">
        <v>29736</v>
      </c>
      <c r="C15119" s="16">
        <f>684.68/(1+B2)</f>
        <v>684.68</v>
      </c>
      <c r="D15119" s="17" t="s">
        <v>11</v>
      </c>
      <c r="E15119" s="17"/>
      <c r="F15119" s="18"/>
      <c r="G15119" s="36" t="str">
        <f>IF(ISNUMBER(F15119),C15119*F15119,"")</f>
        <v/>
      </c>
    </row>
    <row r="15120" spans="1:7" ht="12" customHeight="1" outlineLevel="2" x14ac:dyDescent="0.2">
      <c r="A15120" s="14" t="s">
        <v>29737</v>
      </c>
      <c r="B15120" s="15" t="s">
        <v>29738</v>
      </c>
      <c r="C15120" s="16">
        <f>290.95/(1+B2)</f>
        <v>290.95</v>
      </c>
      <c r="D15120" s="17" t="s">
        <v>11</v>
      </c>
      <c r="E15120" s="17" t="s">
        <v>11</v>
      </c>
      <c r="F15120" s="18"/>
      <c r="G15120" s="36" t="str">
        <f>IF(ISNUMBER(F15120),C15120*F15120,"")</f>
        <v/>
      </c>
    </row>
    <row r="15121" spans="1:7" ht="12" customHeight="1" outlineLevel="2" x14ac:dyDescent="0.2">
      <c r="A15121" s="14" t="s">
        <v>29739</v>
      </c>
      <c r="B15121" s="15" t="s">
        <v>29740</v>
      </c>
      <c r="C15121" s="16">
        <f>290.95/(1+B2)</f>
        <v>290.95</v>
      </c>
      <c r="D15121" s="17" t="s">
        <v>11</v>
      </c>
      <c r="E15121" s="17" t="s">
        <v>11</v>
      </c>
      <c r="F15121" s="18"/>
      <c r="G15121" s="36" t="str">
        <f>IF(ISNUMBER(F15121),C15121*F15121,"")</f>
        <v/>
      </c>
    </row>
    <row r="15122" spans="1:7" ht="12" customHeight="1" outlineLevel="2" x14ac:dyDescent="0.2">
      <c r="A15122" s="14" t="s">
        <v>29741</v>
      </c>
      <c r="B15122" s="15" t="s">
        <v>29742</v>
      </c>
      <c r="C15122" s="16">
        <f>334.9/(1+B2)</f>
        <v>334.9</v>
      </c>
      <c r="D15122" s="17" t="s">
        <v>11</v>
      </c>
      <c r="E15122" s="17" t="s">
        <v>11</v>
      </c>
      <c r="F15122" s="18"/>
      <c r="G15122" s="36" t="str">
        <f>IF(ISNUMBER(F15122),C15122*F15122,"")</f>
        <v/>
      </c>
    </row>
    <row r="15123" spans="1:7" ht="12" customHeight="1" outlineLevel="2" x14ac:dyDescent="0.2">
      <c r="A15123" s="14" t="s">
        <v>29743</v>
      </c>
      <c r="B15123" s="15" t="s">
        <v>29744</v>
      </c>
      <c r="C15123" s="16">
        <f>334.9/(1+B2)</f>
        <v>334.9</v>
      </c>
      <c r="D15123" s="17" t="s">
        <v>11</v>
      </c>
      <c r="E15123" s="17" t="s">
        <v>11</v>
      </c>
      <c r="F15123" s="18"/>
      <c r="G15123" s="36" t="str">
        <f>IF(ISNUMBER(F15123),C15123*F15123,"")</f>
        <v/>
      </c>
    </row>
    <row r="15124" spans="1:7" ht="12" customHeight="1" outlineLevel="2" x14ac:dyDescent="0.2">
      <c r="A15124" s="14" t="s">
        <v>29745</v>
      </c>
      <c r="B15124" s="15" t="s">
        <v>29746</v>
      </c>
      <c r="C15124" s="16">
        <f>334.9/(1+B2)</f>
        <v>334.9</v>
      </c>
      <c r="D15124" s="17" t="s">
        <v>11</v>
      </c>
      <c r="E15124" s="17" t="s">
        <v>11</v>
      </c>
      <c r="F15124" s="18"/>
      <c r="G15124" s="36" t="str">
        <f>IF(ISNUMBER(F15124),C15124*F15124,"")</f>
        <v/>
      </c>
    </row>
    <row r="15125" spans="1:7" ht="12" customHeight="1" outlineLevel="2" x14ac:dyDescent="0.2">
      <c r="A15125" s="14" t="s">
        <v>29747</v>
      </c>
      <c r="B15125" s="15" t="s">
        <v>29748</v>
      </c>
      <c r="C15125" s="16">
        <f>290.95/(1+B2)</f>
        <v>290.95</v>
      </c>
      <c r="D15125" s="17" t="s">
        <v>11</v>
      </c>
      <c r="E15125" s="17" t="s">
        <v>11</v>
      </c>
      <c r="F15125" s="18"/>
      <c r="G15125" s="36" t="str">
        <f>IF(ISNUMBER(F15125),C15125*F15125,"")</f>
        <v/>
      </c>
    </row>
    <row r="15126" spans="1:7" ht="12" customHeight="1" outlineLevel="2" x14ac:dyDescent="0.2">
      <c r="A15126" s="14" t="s">
        <v>29749</v>
      </c>
      <c r="B15126" s="15" t="s">
        <v>29750</v>
      </c>
      <c r="C15126" s="16">
        <f>334.9/(1+B2)</f>
        <v>334.9</v>
      </c>
      <c r="D15126" s="17" t="s">
        <v>11</v>
      </c>
      <c r="E15126" s="17" t="s">
        <v>11</v>
      </c>
      <c r="F15126" s="18"/>
      <c r="G15126" s="36" t="str">
        <f>IF(ISNUMBER(F15126),C15126*F15126,"")</f>
        <v/>
      </c>
    </row>
    <row r="15127" spans="1:7" ht="12" customHeight="1" outlineLevel="2" x14ac:dyDescent="0.2">
      <c r="A15127" s="14" t="s">
        <v>29751</v>
      </c>
      <c r="B15127" s="15" t="s">
        <v>29752</v>
      </c>
      <c r="C15127" s="16">
        <f>290.95/(1+B2)</f>
        <v>290.95</v>
      </c>
      <c r="D15127" s="17" t="s">
        <v>11</v>
      </c>
      <c r="E15127" s="17"/>
      <c r="F15127" s="18"/>
      <c r="G15127" s="36" t="str">
        <f>IF(ISNUMBER(F15127),C15127*F15127,"")</f>
        <v/>
      </c>
    </row>
    <row r="15128" spans="1:7" ht="12" customHeight="1" outlineLevel="2" x14ac:dyDescent="0.2">
      <c r="A15128" s="14" t="s">
        <v>29753</v>
      </c>
      <c r="B15128" s="15" t="s">
        <v>29754</v>
      </c>
      <c r="C15128" s="16">
        <f>334.9/(1+B2)</f>
        <v>334.9</v>
      </c>
      <c r="D15128" s="17" t="s">
        <v>11</v>
      </c>
      <c r="E15128" s="17" t="s">
        <v>11</v>
      </c>
      <c r="F15128" s="18"/>
      <c r="G15128" s="36" t="str">
        <f>IF(ISNUMBER(F15128),C15128*F15128,"")</f>
        <v/>
      </c>
    </row>
    <row r="15129" spans="1:7" ht="12" customHeight="1" outlineLevel="2" x14ac:dyDescent="0.2">
      <c r="A15129" s="14" t="s">
        <v>29755</v>
      </c>
      <c r="B15129" s="15" t="s">
        <v>29756</v>
      </c>
      <c r="C15129" s="16">
        <f>334.9/(1+B2)</f>
        <v>334.9</v>
      </c>
      <c r="D15129" s="17" t="s">
        <v>11</v>
      </c>
      <c r="E15129" s="17" t="s">
        <v>11</v>
      </c>
      <c r="F15129" s="18"/>
      <c r="G15129" s="36" t="str">
        <f>IF(ISNUMBER(F15129),C15129*F15129,"")</f>
        <v/>
      </c>
    </row>
    <row r="15130" spans="1:7" ht="12" customHeight="1" outlineLevel="2" x14ac:dyDescent="0.2">
      <c r="A15130" s="14" t="s">
        <v>29757</v>
      </c>
      <c r="B15130" s="15" t="s">
        <v>29758</v>
      </c>
      <c r="C15130" s="16">
        <f>290.95/(1+B2)</f>
        <v>290.95</v>
      </c>
      <c r="D15130" s="17" t="s">
        <v>11</v>
      </c>
      <c r="E15130" s="17" t="s">
        <v>11</v>
      </c>
      <c r="F15130" s="18"/>
      <c r="G15130" s="36" t="str">
        <f>IF(ISNUMBER(F15130),C15130*F15130,"")</f>
        <v/>
      </c>
    </row>
    <row r="15131" spans="1:7" ht="12" customHeight="1" outlineLevel="2" x14ac:dyDescent="0.2">
      <c r="A15131" s="14" t="s">
        <v>29759</v>
      </c>
      <c r="B15131" s="15" t="s">
        <v>29760</v>
      </c>
      <c r="C15131" s="16">
        <f>290.95/(1+B2)</f>
        <v>290.95</v>
      </c>
      <c r="D15131" s="17" t="s">
        <v>11</v>
      </c>
      <c r="E15131" s="17" t="s">
        <v>11</v>
      </c>
      <c r="F15131" s="18"/>
      <c r="G15131" s="36" t="str">
        <f>IF(ISNUMBER(F15131),C15131*F15131,"")</f>
        <v/>
      </c>
    </row>
    <row r="15132" spans="1:7" ht="12" customHeight="1" outlineLevel="2" x14ac:dyDescent="0.2">
      <c r="A15132" s="14" t="s">
        <v>29761</v>
      </c>
      <c r="B15132" s="15" t="s">
        <v>29762</v>
      </c>
      <c r="C15132" s="16">
        <f>290.95/(1+B2)</f>
        <v>290.95</v>
      </c>
      <c r="D15132" s="17" t="s">
        <v>11</v>
      </c>
      <c r="E15132" s="17" t="s">
        <v>11</v>
      </c>
      <c r="F15132" s="18"/>
      <c r="G15132" s="36" t="str">
        <f>IF(ISNUMBER(F15132),C15132*F15132,"")</f>
        <v/>
      </c>
    </row>
    <row r="15133" spans="1:7" ht="12" customHeight="1" outlineLevel="2" x14ac:dyDescent="0.2">
      <c r="A15133" s="14" t="s">
        <v>29763</v>
      </c>
      <c r="B15133" s="15" t="s">
        <v>29764</v>
      </c>
      <c r="C15133" s="16">
        <f>334.9/(1+B2)</f>
        <v>334.9</v>
      </c>
      <c r="D15133" s="17" t="s">
        <v>11</v>
      </c>
      <c r="E15133" s="17" t="s">
        <v>11</v>
      </c>
      <c r="F15133" s="18"/>
      <c r="G15133" s="36" t="str">
        <f>IF(ISNUMBER(F15133),C15133*F15133,"")</f>
        <v/>
      </c>
    </row>
    <row r="15134" spans="1:7" ht="24" customHeight="1" outlineLevel="2" x14ac:dyDescent="0.2">
      <c r="A15134" s="14" t="s">
        <v>29765</v>
      </c>
      <c r="B15134" s="15" t="s">
        <v>29766</v>
      </c>
      <c r="C15134" s="16">
        <f>238.43/(1+B2)</f>
        <v>238.43</v>
      </c>
      <c r="D15134" s="17" t="s">
        <v>11</v>
      </c>
      <c r="E15134" s="17" t="s">
        <v>11</v>
      </c>
      <c r="F15134" s="18"/>
      <c r="G15134" s="36" t="str">
        <f>IF(ISNUMBER(F15134),C15134*F15134,"")</f>
        <v/>
      </c>
    </row>
    <row r="15135" spans="1:7" ht="24" customHeight="1" outlineLevel="2" x14ac:dyDescent="0.2">
      <c r="A15135" s="14" t="s">
        <v>29767</v>
      </c>
      <c r="B15135" s="15" t="s">
        <v>29768</v>
      </c>
      <c r="C15135" s="16">
        <f>238.43/(1+B2)</f>
        <v>238.43</v>
      </c>
      <c r="D15135" s="17" t="s">
        <v>11</v>
      </c>
      <c r="E15135" s="17" t="s">
        <v>11</v>
      </c>
      <c r="F15135" s="18"/>
      <c r="G15135" s="36" t="str">
        <f>IF(ISNUMBER(F15135),C15135*F15135,"")</f>
        <v/>
      </c>
    </row>
    <row r="15136" spans="1:7" ht="24" customHeight="1" outlineLevel="2" x14ac:dyDescent="0.2">
      <c r="A15136" s="14" t="s">
        <v>29769</v>
      </c>
      <c r="B15136" s="15" t="s">
        <v>29770</v>
      </c>
      <c r="C15136" s="16">
        <f>238.43/(1+B2)</f>
        <v>238.43</v>
      </c>
      <c r="D15136" s="17" t="s">
        <v>11</v>
      </c>
      <c r="E15136" s="17" t="s">
        <v>11</v>
      </c>
      <c r="F15136" s="18"/>
      <c r="G15136" s="36" t="str">
        <f>IF(ISNUMBER(F15136),C15136*F15136,"")</f>
        <v/>
      </c>
    </row>
    <row r="15137" spans="1:7" ht="24" customHeight="1" outlineLevel="2" x14ac:dyDescent="0.2">
      <c r="A15137" s="14" t="s">
        <v>29771</v>
      </c>
      <c r="B15137" s="15" t="s">
        <v>29772</v>
      </c>
      <c r="C15137" s="16">
        <f>269.63/(1+B2)</f>
        <v>269.63</v>
      </c>
      <c r="D15137" s="17" t="s">
        <v>11</v>
      </c>
      <c r="E15137" s="17"/>
      <c r="F15137" s="18"/>
      <c r="G15137" s="36" t="str">
        <f>IF(ISNUMBER(F15137),C15137*F15137,"")</f>
        <v/>
      </c>
    </row>
    <row r="15138" spans="1:7" ht="24" customHeight="1" outlineLevel="2" x14ac:dyDescent="0.2">
      <c r="A15138" s="14" t="s">
        <v>29773</v>
      </c>
      <c r="B15138" s="15" t="s">
        <v>29774</v>
      </c>
      <c r="C15138" s="16">
        <f>269.63/(1+B2)</f>
        <v>269.63</v>
      </c>
      <c r="D15138" s="17" t="s">
        <v>11</v>
      </c>
      <c r="E15138" s="17"/>
      <c r="F15138" s="18"/>
      <c r="G15138" s="36" t="str">
        <f>IF(ISNUMBER(F15138),C15138*F15138,"")</f>
        <v/>
      </c>
    </row>
    <row r="15139" spans="1:7" ht="24" customHeight="1" outlineLevel="2" x14ac:dyDescent="0.2">
      <c r="A15139" s="14" t="s">
        <v>29775</v>
      </c>
      <c r="B15139" s="15" t="s">
        <v>29776</v>
      </c>
      <c r="C15139" s="16">
        <f>269.63/(1+B2)</f>
        <v>269.63</v>
      </c>
      <c r="D15139" s="17" t="s">
        <v>11</v>
      </c>
      <c r="E15139" s="17"/>
      <c r="F15139" s="18"/>
      <c r="G15139" s="36" t="str">
        <f>IF(ISNUMBER(F15139),C15139*F15139,"")</f>
        <v/>
      </c>
    </row>
    <row r="15140" spans="1:7" ht="12" customHeight="1" outlineLevel="2" x14ac:dyDescent="0.2">
      <c r="A15140" s="14" t="s">
        <v>29777</v>
      </c>
      <c r="B15140" s="15" t="s">
        <v>29778</v>
      </c>
      <c r="C15140" s="16">
        <f>334.9/(1+B2)</f>
        <v>334.9</v>
      </c>
      <c r="D15140" s="17" t="s">
        <v>11</v>
      </c>
      <c r="E15140" s="17" t="s">
        <v>11</v>
      </c>
      <c r="F15140" s="18"/>
      <c r="G15140" s="36" t="str">
        <f>IF(ISNUMBER(F15140),C15140*F15140,"")</f>
        <v/>
      </c>
    </row>
    <row r="15141" spans="1:7" ht="12" customHeight="1" outlineLevel="2" x14ac:dyDescent="0.2">
      <c r="A15141" s="14" t="s">
        <v>29779</v>
      </c>
      <c r="B15141" s="15" t="s">
        <v>29780</v>
      </c>
      <c r="C15141" s="16">
        <f>290.95/(1+B2)</f>
        <v>290.95</v>
      </c>
      <c r="D15141" s="17" t="s">
        <v>11</v>
      </c>
      <c r="E15141" s="17" t="s">
        <v>11</v>
      </c>
      <c r="F15141" s="18"/>
      <c r="G15141" s="36" t="str">
        <f>IF(ISNUMBER(F15141),C15141*F15141,"")</f>
        <v/>
      </c>
    </row>
    <row r="15142" spans="1:7" ht="12" customHeight="1" outlineLevel="2" x14ac:dyDescent="0.2">
      <c r="A15142" s="14" t="s">
        <v>29781</v>
      </c>
      <c r="B15142" s="15" t="s">
        <v>29782</v>
      </c>
      <c r="C15142" s="16">
        <f>334.9/(1+B2)</f>
        <v>334.9</v>
      </c>
      <c r="D15142" s="17" t="s">
        <v>11</v>
      </c>
      <c r="E15142" s="17" t="s">
        <v>11</v>
      </c>
      <c r="F15142" s="18"/>
      <c r="G15142" s="36" t="str">
        <f>IF(ISNUMBER(F15142),C15142*F15142,"")</f>
        <v/>
      </c>
    </row>
    <row r="15143" spans="1:7" ht="12" customHeight="1" outlineLevel="2" x14ac:dyDescent="0.2">
      <c r="A15143" s="14" t="s">
        <v>29783</v>
      </c>
      <c r="B15143" s="15" t="s">
        <v>29784</v>
      </c>
      <c r="C15143" s="16">
        <f>334.9/(1+B2)</f>
        <v>334.9</v>
      </c>
      <c r="D15143" s="17" t="s">
        <v>11</v>
      </c>
      <c r="E15143" s="17" t="s">
        <v>11</v>
      </c>
      <c r="F15143" s="18"/>
      <c r="G15143" s="36" t="str">
        <f>IF(ISNUMBER(F15143),C15143*F15143,"")</f>
        <v/>
      </c>
    </row>
    <row r="15144" spans="1:7" ht="12" customHeight="1" outlineLevel="2" x14ac:dyDescent="0.2">
      <c r="A15144" s="14" t="s">
        <v>29785</v>
      </c>
      <c r="B15144" s="15" t="s">
        <v>29786</v>
      </c>
      <c r="C15144" s="16">
        <f>334.9/(1+B2)</f>
        <v>334.9</v>
      </c>
      <c r="D15144" s="17" t="s">
        <v>11</v>
      </c>
      <c r="E15144" s="17" t="s">
        <v>11</v>
      </c>
      <c r="F15144" s="18"/>
      <c r="G15144" s="36" t="str">
        <f>IF(ISNUMBER(F15144),C15144*F15144,"")</f>
        <v/>
      </c>
    </row>
    <row r="15145" spans="1:7" ht="12" customHeight="1" outlineLevel="2" x14ac:dyDescent="0.2">
      <c r="A15145" s="14" t="s">
        <v>29787</v>
      </c>
      <c r="B15145" s="15" t="s">
        <v>29788</v>
      </c>
      <c r="C15145" s="16">
        <f>334.9/(1+B2)</f>
        <v>334.9</v>
      </c>
      <c r="D15145" s="17" t="s">
        <v>11</v>
      </c>
      <c r="E15145" s="17" t="s">
        <v>11</v>
      </c>
      <c r="F15145" s="18"/>
      <c r="G15145" s="36" t="str">
        <f>IF(ISNUMBER(F15145),C15145*F15145,"")</f>
        <v/>
      </c>
    </row>
    <row r="15146" spans="1:7" ht="12" customHeight="1" outlineLevel="2" x14ac:dyDescent="0.2">
      <c r="A15146" s="14" t="s">
        <v>29789</v>
      </c>
      <c r="B15146" s="15" t="s">
        <v>29790</v>
      </c>
      <c r="C15146" s="16">
        <f>334.9/(1+B2)</f>
        <v>334.9</v>
      </c>
      <c r="D15146" s="17" t="s">
        <v>11</v>
      </c>
      <c r="E15146" s="17" t="s">
        <v>11</v>
      </c>
      <c r="F15146" s="18"/>
      <c r="G15146" s="36" t="str">
        <f>IF(ISNUMBER(F15146),C15146*F15146,"")</f>
        <v/>
      </c>
    </row>
    <row r="15147" spans="1:7" ht="12" customHeight="1" outlineLevel="2" x14ac:dyDescent="0.2">
      <c r="A15147" s="14" t="s">
        <v>29791</v>
      </c>
      <c r="B15147" s="15" t="s">
        <v>29792</v>
      </c>
      <c r="C15147" s="16">
        <f>334.9/(1+B2)</f>
        <v>334.9</v>
      </c>
      <c r="D15147" s="17" t="s">
        <v>11</v>
      </c>
      <c r="E15147" s="17" t="s">
        <v>11</v>
      </c>
      <c r="F15147" s="18"/>
      <c r="G15147" s="36" t="str">
        <f>IF(ISNUMBER(F15147),C15147*F15147,"")</f>
        <v/>
      </c>
    </row>
    <row r="15148" spans="1:7" ht="24" customHeight="1" outlineLevel="2" x14ac:dyDescent="0.2">
      <c r="A15148" s="14" t="s">
        <v>29793</v>
      </c>
      <c r="B15148" s="15" t="s">
        <v>29794</v>
      </c>
      <c r="C15148" s="16">
        <f>295.33/(1+B2)</f>
        <v>295.33</v>
      </c>
      <c r="D15148" s="17" t="s">
        <v>11</v>
      </c>
      <c r="E15148" s="17"/>
      <c r="F15148" s="18"/>
      <c r="G15148" s="36" t="str">
        <f>IF(ISNUMBER(F15148),C15148*F15148,"")</f>
        <v/>
      </c>
    </row>
    <row r="15149" spans="1:7" ht="24" customHeight="1" outlineLevel="2" x14ac:dyDescent="0.2">
      <c r="A15149" s="14" t="s">
        <v>29795</v>
      </c>
      <c r="B15149" s="15" t="s">
        <v>29796</v>
      </c>
      <c r="C15149" s="16">
        <f>295.33/(1+B2)</f>
        <v>295.33</v>
      </c>
      <c r="D15149" s="17" t="s">
        <v>11</v>
      </c>
      <c r="E15149" s="17"/>
      <c r="F15149" s="18"/>
      <c r="G15149" s="36" t="str">
        <f>IF(ISNUMBER(F15149),C15149*F15149,"")</f>
        <v/>
      </c>
    </row>
    <row r="15150" spans="1:7" ht="24" customHeight="1" outlineLevel="2" x14ac:dyDescent="0.2">
      <c r="A15150" s="14" t="s">
        <v>29797</v>
      </c>
      <c r="B15150" s="15" t="s">
        <v>29798</v>
      </c>
      <c r="C15150" s="16">
        <f>295.33/(1+B2)</f>
        <v>295.33</v>
      </c>
      <c r="D15150" s="17" t="s">
        <v>11</v>
      </c>
      <c r="E15150" s="17"/>
      <c r="F15150" s="18"/>
      <c r="G15150" s="36" t="str">
        <f>IF(ISNUMBER(F15150),C15150*F15150,"")</f>
        <v/>
      </c>
    </row>
    <row r="15151" spans="1:7" ht="24" customHeight="1" outlineLevel="2" x14ac:dyDescent="0.2">
      <c r="A15151" s="14" t="s">
        <v>29799</v>
      </c>
      <c r="B15151" s="15" t="s">
        <v>29800</v>
      </c>
      <c r="C15151" s="16">
        <f>427.11/(1+B2)</f>
        <v>427.11</v>
      </c>
      <c r="D15151" s="17" t="s">
        <v>11</v>
      </c>
      <c r="E15151" s="17"/>
      <c r="F15151" s="18"/>
      <c r="G15151" s="36" t="str">
        <f>IF(ISNUMBER(F15151),C15151*F15151,"")</f>
        <v/>
      </c>
    </row>
    <row r="15152" spans="1:7" ht="24" customHeight="1" outlineLevel="2" x14ac:dyDescent="0.2">
      <c r="A15152" s="14" t="s">
        <v>29801</v>
      </c>
      <c r="B15152" s="15" t="s">
        <v>29802</v>
      </c>
      <c r="C15152" s="16">
        <f>238.43/(1+B2)</f>
        <v>238.43</v>
      </c>
      <c r="D15152" s="17" t="s">
        <v>11</v>
      </c>
      <c r="E15152" s="17" t="s">
        <v>11</v>
      </c>
      <c r="F15152" s="18"/>
      <c r="G15152" s="36" t="str">
        <f>IF(ISNUMBER(F15152),C15152*F15152,"")</f>
        <v/>
      </c>
    </row>
    <row r="15153" spans="1:7" ht="12" customHeight="1" outlineLevel="2" x14ac:dyDescent="0.2">
      <c r="A15153" s="14" t="s">
        <v>29803</v>
      </c>
      <c r="B15153" s="15" t="s">
        <v>29804</v>
      </c>
      <c r="C15153" s="16">
        <f>238.43/(1+B2)</f>
        <v>238.43</v>
      </c>
      <c r="D15153" s="17" t="s">
        <v>11</v>
      </c>
      <c r="E15153" s="17" t="s">
        <v>11</v>
      </c>
      <c r="F15153" s="18"/>
      <c r="G15153" s="36" t="str">
        <f>IF(ISNUMBER(F15153),C15153*F15153,"")</f>
        <v/>
      </c>
    </row>
    <row r="15154" spans="1:7" ht="12" customHeight="1" outlineLevel="2" x14ac:dyDescent="0.2">
      <c r="A15154" s="14" t="s">
        <v>29805</v>
      </c>
      <c r="B15154" s="15" t="s">
        <v>29806</v>
      </c>
      <c r="C15154" s="16">
        <f>238.43/(1+B2)</f>
        <v>238.43</v>
      </c>
      <c r="D15154" s="17" t="s">
        <v>11</v>
      </c>
      <c r="E15154" s="17" t="s">
        <v>11</v>
      </c>
      <c r="F15154" s="18"/>
      <c r="G15154" s="36" t="str">
        <f>IF(ISNUMBER(F15154),C15154*F15154,"")</f>
        <v/>
      </c>
    </row>
    <row r="15155" spans="1:7" ht="24" customHeight="1" outlineLevel="2" x14ac:dyDescent="0.2">
      <c r="A15155" s="14" t="s">
        <v>29807</v>
      </c>
      <c r="B15155" s="15" t="s">
        <v>29808</v>
      </c>
      <c r="C15155" s="16">
        <f>269.63/(1+B2)</f>
        <v>269.63</v>
      </c>
      <c r="D15155" s="17" t="s">
        <v>11</v>
      </c>
      <c r="E15155" s="17" t="s">
        <v>11</v>
      </c>
      <c r="F15155" s="18"/>
      <c r="G15155" s="36" t="str">
        <f>IF(ISNUMBER(F15155),C15155*F15155,"")</f>
        <v/>
      </c>
    </row>
    <row r="15156" spans="1:7" ht="12" customHeight="1" outlineLevel="2" x14ac:dyDescent="0.2">
      <c r="A15156" s="14" t="s">
        <v>29809</v>
      </c>
      <c r="B15156" s="15" t="s">
        <v>29810</v>
      </c>
      <c r="C15156" s="16">
        <f>269.63/(1+B2)</f>
        <v>269.63</v>
      </c>
      <c r="D15156" s="17" t="s">
        <v>11</v>
      </c>
      <c r="E15156" s="17" t="s">
        <v>11</v>
      </c>
      <c r="F15156" s="18"/>
      <c r="G15156" s="36" t="str">
        <f>IF(ISNUMBER(F15156),C15156*F15156,"")</f>
        <v/>
      </c>
    </row>
    <row r="15157" spans="1:7" ht="12" customHeight="1" outlineLevel="2" x14ac:dyDescent="0.2">
      <c r="A15157" s="14" t="s">
        <v>29811</v>
      </c>
      <c r="B15157" s="15" t="s">
        <v>29812</v>
      </c>
      <c r="C15157" s="16">
        <f>269.63/(1+B2)</f>
        <v>269.63</v>
      </c>
      <c r="D15157" s="17" t="s">
        <v>11</v>
      </c>
      <c r="E15157" s="17" t="s">
        <v>11</v>
      </c>
      <c r="F15157" s="18"/>
      <c r="G15157" s="36" t="str">
        <f>IF(ISNUMBER(F15157),C15157*F15157,"")</f>
        <v/>
      </c>
    </row>
    <row r="15158" spans="1:7" ht="12" customHeight="1" outlineLevel="2" x14ac:dyDescent="0.2">
      <c r="A15158" s="14" t="s">
        <v>29813</v>
      </c>
      <c r="B15158" s="15" t="s">
        <v>29814</v>
      </c>
      <c r="C15158" s="16">
        <f>334.9/(1+B2)</f>
        <v>334.9</v>
      </c>
      <c r="D15158" s="17" t="s">
        <v>11</v>
      </c>
      <c r="E15158" s="17" t="s">
        <v>11</v>
      </c>
      <c r="F15158" s="18"/>
      <c r="G15158" s="36" t="str">
        <f>IF(ISNUMBER(F15158),C15158*F15158,"")</f>
        <v/>
      </c>
    </row>
    <row r="15159" spans="1:7" ht="12" customHeight="1" outlineLevel="2" x14ac:dyDescent="0.2">
      <c r="A15159" s="14" t="s">
        <v>29815</v>
      </c>
      <c r="B15159" s="15" t="s">
        <v>29816</v>
      </c>
      <c r="C15159" s="16">
        <f>334.9/(1+B2)</f>
        <v>334.9</v>
      </c>
      <c r="D15159" s="17" t="s">
        <v>11</v>
      </c>
      <c r="E15159" s="17" t="s">
        <v>11</v>
      </c>
      <c r="F15159" s="18"/>
      <c r="G15159" s="36" t="str">
        <f>IF(ISNUMBER(F15159),C15159*F15159,"")</f>
        <v/>
      </c>
    </row>
    <row r="15160" spans="1:7" ht="12" customHeight="1" outlineLevel="2" x14ac:dyDescent="0.2">
      <c r="A15160" s="14" t="s">
        <v>29817</v>
      </c>
      <c r="B15160" s="15" t="s">
        <v>29818</v>
      </c>
      <c r="C15160" s="16">
        <f>290.95/(1+B2)</f>
        <v>290.95</v>
      </c>
      <c r="D15160" s="17" t="s">
        <v>11</v>
      </c>
      <c r="E15160" s="17" t="s">
        <v>11</v>
      </c>
      <c r="F15160" s="18"/>
      <c r="G15160" s="36" t="str">
        <f>IF(ISNUMBER(F15160),C15160*F15160,"")</f>
        <v/>
      </c>
    </row>
    <row r="15161" spans="1:7" ht="12" customHeight="1" outlineLevel="2" x14ac:dyDescent="0.2">
      <c r="A15161" s="14" t="s">
        <v>29819</v>
      </c>
      <c r="B15161" s="15" t="s">
        <v>29820</v>
      </c>
      <c r="C15161" s="16">
        <f>334.9/(1+B2)</f>
        <v>334.9</v>
      </c>
      <c r="D15161" s="17" t="s">
        <v>11</v>
      </c>
      <c r="E15161" s="17" t="s">
        <v>11</v>
      </c>
      <c r="F15161" s="18"/>
      <c r="G15161" s="36" t="str">
        <f>IF(ISNUMBER(F15161),C15161*F15161,"")</f>
        <v/>
      </c>
    </row>
    <row r="15162" spans="1:7" ht="12" customHeight="1" outlineLevel="2" x14ac:dyDescent="0.2">
      <c r="A15162" s="14" t="s">
        <v>29821</v>
      </c>
      <c r="B15162" s="15" t="s">
        <v>29822</v>
      </c>
      <c r="C15162" s="16">
        <f>334.9/(1+B2)</f>
        <v>334.9</v>
      </c>
      <c r="D15162" s="17" t="s">
        <v>11</v>
      </c>
      <c r="E15162" s="17" t="s">
        <v>11</v>
      </c>
      <c r="F15162" s="18"/>
      <c r="G15162" s="36" t="str">
        <f>IF(ISNUMBER(F15162),C15162*F15162,"")</f>
        <v/>
      </c>
    </row>
    <row r="15163" spans="1:7" ht="24" customHeight="1" outlineLevel="2" x14ac:dyDescent="0.2">
      <c r="A15163" s="14" t="s">
        <v>29823</v>
      </c>
      <c r="B15163" s="15" t="s">
        <v>29824</v>
      </c>
      <c r="C15163" s="16">
        <f>238.43/(1+B2)</f>
        <v>238.43</v>
      </c>
      <c r="D15163" s="17" t="s">
        <v>11</v>
      </c>
      <c r="E15163" s="17" t="s">
        <v>11</v>
      </c>
      <c r="F15163" s="18"/>
      <c r="G15163" s="36" t="str">
        <f>IF(ISNUMBER(F15163),C15163*F15163,"")</f>
        <v/>
      </c>
    </row>
    <row r="15164" spans="1:7" ht="12" customHeight="1" outlineLevel="2" x14ac:dyDescent="0.2">
      <c r="A15164" s="14" t="s">
        <v>29825</v>
      </c>
      <c r="B15164" s="15" t="s">
        <v>29826</v>
      </c>
      <c r="C15164" s="16">
        <f>238.43/(1+B2)</f>
        <v>238.43</v>
      </c>
      <c r="D15164" s="17" t="s">
        <v>11</v>
      </c>
      <c r="E15164" s="17" t="s">
        <v>11</v>
      </c>
      <c r="F15164" s="18"/>
      <c r="G15164" s="36" t="str">
        <f>IF(ISNUMBER(F15164),C15164*F15164,"")</f>
        <v/>
      </c>
    </row>
    <row r="15165" spans="1:7" ht="24" customHeight="1" outlineLevel="2" x14ac:dyDescent="0.2">
      <c r="A15165" s="14" t="s">
        <v>29827</v>
      </c>
      <c r="B15165" s="15" t="s">
        <v>29828</v>
      </c>
      <c r="C15165" s="16">
        <f>238.43/(1+B2)</f>
        <v>238.43</v>
      </c>
      <c r="D15165" s="17" t="s">
        <v>11</v>
      </c>
      <c r="E15165" s="17" t="s">
        <v>11</v>
      </c>
      <c r="F15165" s="18"/>
      <c r="G15165" s="36" t="str">
        <f>IF(ISNUMBER(F15165),C15165*F15165,"")</f>
        <v/>
      </c>
    </row>
    <row r="15166" spans="1:7" ht="24" customHeight="1" outlineLevel="2" x14ac:dyDescent="0.2">
      <c r="A15166" s="14" t="s">
        <v>29829</v>
      </c>
      <c r="B15166" s="15" t="s">
        <v>29830</v>
      </c>
      <c r="C15166" s="16">
        <f>269.63/(1+B2)</f>
        <v>269.63</v>
      </c>
      <c r="D15166" s="17" t="s">
        <v>11</v>
      </c>
      <c r="E15166" s="17" t="s">
        <v>11</v>
      </c>
      <c r="F15166" s="18"/>
      <c r="G15166" s="36" t="str">
        <f>IF(ISNUMBER(F15166),C15166*F15166,"")</f>
        <v/>
      </c>
    </row>
    <row r="15167" spans="1:7" ht="12" customHeight="1" outlineLevel="2" x14ac:dyDescent="0.2">
      <c r="A15167" s="14" t="s">
        <v>29831</v>
      </c>
      <c r="B15167" s="15" t="s">
        <v>29832</v>
      </c>
      <c r="C15167" s="16">
        <f>269.63/(1+B2)</f>
        <v>269.63</v>
      </c>
      <c r="D15167" s="17" t="s">
        <v>11</v>
      </c>
      <c r="E15167" s="17" t="s">
        <v>11</v>
      </c>
      <c r="F15167" s="18"/>
      <c r="G15167" s="36" t="str">
        <f>IF(ISNUMBER(F15167),C15167*F15167,"")</f>
        <v/>
      </c>
    </row>
    <row r="15168" spans="1:7" ht="24" customHeight="1" outlineLevel="2" x14ac:dyDescent="0.2">
      <c r="A15168" s="14" t="s">
        <v>29833</v>
      </c>
      <c r="B15168" s="15" t="s">
        <v>29834</v>
      </c>
      <c r="C15168" s="16">
        <f>269.63/(1+B2)</f>
        <v>269.63</v>
      </c>
      <c r="D15168" s="17" t="s">
        <v>11</v>
      </c>
      <c r="E15168" s="17" t="s">
        <v>11</v>
      </c>
      <c r="F15168" s="18"/>
      <c r="G15168" s="36" t="str">
        <f>IF(ISNUMBER(F15168),C15168*F15168,"")</f>
        <v/>
      </c>
    </row>
    <row r="15169" spans="1:7" ht="12" customHeight="1" outlineLevel="2" x14ac:dyDescent="0.2">
      <c r="A15169" s="14" t="s">
        <v>29835</v>
      </c>
      <c r="B15169" s="15" t="s">
        <v>29836</v>
      </c>
      <c r="C15169" s="16">
        <f>207.34/(1+B2)</f>
        <v>207.34</v>
      </c>
      <c r="D15169" s="17" t="s">
        <v>11</v>
      </c>
      <c r="E15169" s="17"/>
      <c r="F15169" s="18"/>
      <c r="G15169" s="36" t="str">
        <f>IF(ISNUMBER(F15169),C15169*F15169,"")</f>
        <v/>
      </c>
    </row>
    <row r="15170" spans="1:7" ht="12" customHeight="1" outlineLevel="2" x14ac:dyDescent="0.2">
      <c r="A15170" s="14" t="s">
        <v>29837</v>
      </c>
      <c r="B15170" s="15" t="s">
        <v>29838</v>
      </c>
      <c r="C15170" s="16">
        <f>335.83/(1+B2)</f>
        <v>335.83</v>
      </c>
      <c r="D15170" s="17" t="s">
        <v>11</v>
      </c>
      <c r="E15170" s="17"/>
      <c r="F15170" s="18"/>
      <c r="G15170" s="36" t="str">
        <f>IF(ISNUMBER(F15170),C15170*F15170,"")</f>
        <v/>
      </c>
    </row>
    <row r="15171" spans="1:7" ht="12" customHeight="1" outlineLevel="2" x14ac:dyDescent="0.2">
      <c r="A15171" s="14" t="s">
        <v>29839</v>
      </c>
      <c r="B15171" s="15" t="s">
        <v>29840</v>
      </c>
      <c r="C15171" s="16">
        <f>116.86/(1+B2)</f>
        <v>116.86</v>
      </c>
      <c r="D15171" s="17" t="s">
        <v>11</v>
      </c>
      <c r="E15171" s="17"/>
      <c r="F15171" s="18"/>
      <c r="G15171" s="36" t="str">
        <f>IF(ISNUMBER(F15171),C15171*F15171,"")</f>
        <v/>
      </c>
    </row>
    <row r="15172" spans="1:7" ht="12" customHeight="1" outlineLevel="2" x14ac:dyDescent="0.2">
      <c r="A15172" s="14" t="s">
        <v>29841</v>
      </c>
      <c r="B15172" s="15" t="s">
        <v>29842</v>
      </c>
      <c r="C15172" s="16">
        <f>107.78/(1+B2)</f>
        <v>107.78</v>
      </c>
      <c r="D15172" s="17" t="s">
        <v>11</v>
      </c>
      <c r="E15172" s="17"/>
      <c r="F15172" s="18"/>
      <c r="G15172" s="36" t="str">
        <f>IF(ISNUMBER(F15172),C15172*F15172,"")</f>
        <v/>
      </c>
    </row>
    <row r="15173" spans="1:7" ht="12" customHeight="1" outlineLevel="2" x14ac:dyDescent="0.2">
      <c r="A15173" s="14" t="s">
        <v>29843</v>
      </c>
      <c r="B15173" s="15" t="s">
        <v>29844</v>
      </c>
      <c r="C15173" s="16">
        <f>107.78/(1+B2)</f>
        <v>107.78</v>
      </c>
      <c r="D15173" s="17" t="s">
        <v>14</v>
      </c>
      <c r="E15173" s="17"/>
      <c r="F15173" s="18"/>
      <c r="G15173" s="36" t="str">
        <f>IF(ISNUMBER(F15173),C15173*F15173,"")</f>
        <v/>
      </c>
    </row>
    <row r="15174" spans="1:7" ht="12" customHeight="1" outlineLevel="2" x14ac:dyDescent="0.2">
      <c r="A15174" s="14" t="s">
        <v>29845</v>
      </c>
      <c r="B15174" s="15" t="s">
        <v>29846</v>
      </c>
      <c r="C15174" s="16">
        <f>107.78/(1+B2)</f>
        <v>107.78</v>
      </c>
      <c r="D15174" s="17" t="s">
        <v>11</v>
      </c>
      <c r="E15174" s="17"/>
      <c r="F15174" s="18"/>
      <c r="G15174" s="36" t="str">
        <f>IF(ISNUMBER(F15174),C15174*F15174,"")</f>
        <v/>
      </c>
    </row>
    <row r="15175" spans="1:7" ht="12" customHeight="1" outlineLevel="2" x14ac:dyDescent="0.2">
      <c r="A15175" s="14" t="s">
        <v>29847</v>
      </c>
      <c r="B15175" s="15" t="s">
        <v>29848</v>
      </c>
      <c r="C15175" s="16">
        <f>107.78/(1+B2)</f>
        <v>107.78</v>
      </c>
      <c r="D15175" s="17" t="s">
        <v>14</v>
      </c>
      <c r="E15175" s="17"/>
      <c r="F15175" s="18"/>
      <c r="G15175" s="36" t="str">
        <f>IF(ISNUMBER(F15175),C15175*F15175,"")</f>
        <v/>
      </c>
    </row>
    <row r="15176" spans="1:7" ht="12" customHeight="1" outlineLevel="2" x14ac:dyDescent="0.2">
      <c r="A15176" s="14" t="s">
        <v>29849</v>
      </c>
      <c r="B15176" s="15" t="s">
        <v>29850</v>
      </c>
      <c r="C15176" s="16">
        <f>185.24/(1+B2)</f>
        <v>185.24</v>
      </c>
      <c r="D15176" s="17" t="s">
        <v>11</v>
      </c>
      <c r="E15176" s="17"/>
      <c r="F15176" s="18"/>
      <c r="G15176" s="36" t="str">
        <f>IF(ISNUMBER(F15176),C15176*F15176,"")</f>
        <v/>
      </c>
    </row>
    <row r="15177" spans="1:7" ht="12" customHeight="1" outlineLevel="2" x14ac:dyDescent="0.2">
      <c r="A15177" s="14" t="s">
        <v>29851</v>
      </c>
      <c r="B15177" s="15" t="s">
        <v>29852</v>
      </c>
      <c r="C15177" s="16">
        <f>185.24/(1+B2)</f>
        <v>185.24</v>
      </c>
      <c r="D15177" s="17" t="s">
        <v>11</v>
      </c>
      <c r="E15177" s="17"/>
      <c r="F15177" s="18"/>
      <c r="G15177" s="36" t="str">
        <f>IF(ISNUMBER(F15177),C15177*F15177,"")</f>
        <v/>
      </c>
    </row>
    <row r="15178" spans="1:7" ht="12" customHeight="1" outlineLevel="2" x14ac:dyDescent="0.2">
      <c r="A15178" s="14" t="s">
        <v>29853</v>
      </c>
      <c r="B15178" s="15" t="s">
        <v>29854</v>
      </c>
      <c r="C15178" s="16">
        <f>185.24/(1+B2)</f>
        <v>185.24</v>
      </c>
      <c r="D15178" s="17" t="s">
        <v>11</v>
      </c>
      <c r="E15178" s="17"/>
      <c r="F15178" s="18"/>
      <c r="G15178" s="36" t="str">
        <f>IF(ISNUMBER(F15178),C15178*F15178,"")</f>
        <v/>
      </c>
    </row>
    <row r="15179" spans="1:7" ht="12" customHeight="1" outlineLevel="2" x14ac:dyDescent="0.2">
      <c r="A15179" s="14" t="s">
        <v>29855</v>
      </c>
      <c r="B15179" s="15" t="s">
        <v>29856</v>
      </c>
      <c r="C15179" s="16">
        <f>185.24/(1+B2)</f>
        <v>185.24</v>
      </c>
      <c r="D15179" s="17" t="s">
        <v>11</v>
      </c>
      <c r="E15179" s="17"/>
      <c r="F15179" s="18"/>
      <c r="G15179" s="36" t="str">
        <f>IF(ISNUMBER(F15179),C15179*F15179,"")</f>
        <v/>
      </c>
    </row>
    <row r="15180" spans="1:7" ht="12" customHeight="1" outlineLevel="2" x14ac:dyDescent="0.2">
      <c r="A15180" s="14" t="s">
        <v>29857</v>
      </c>
      <c r="B15180" s="15" t="s">
        <v>29858</v>
      </c>
      <c r="C15180" s="16">
        <f>290.23/(1+B2)</f>
        <v>290.23</v>
      </c>
      <c r="D15180" s="17" t="s">
        <v>11</v>
      </c>
      <c r="E15180" s="17" t="s">
        <v>11</v>
      </c>
      <c r="F15180" s="18"/>
      <c r="G15180" s="36" t="str">
        <f>IF(ISNUMBER(F15180),C15180*F15180,"")</f>
        <v/>
      </c>
    </row>
    <row r="15181" spans="1:7" ht="12" customHeight="1" outlineLevel="2" x14ac:dyDescent="0.2">
      <c r="A15181" s="14" t="s">
        <v>29859</v>
      </c>
      <c r="B15181" s="15" t="s">
        <v>29860</v>
      </c>
      <c r="C15181" s="16">
        <f>290.23/(1+B2)</f>
        <v>290.23</v>
      </c>
      <c r="D15181" s="17" t="s">
        <v>11</v>
      </c>
      <c r="E15181" s="17" t="s">
        <v>11</v>
      </c>
      <c r="F15181" s="18"/>
      <c r="G15181" s="36" t="str">
        <f>IF(ISNUMBER(F15181),C15181*F15181,"")</f>
        <v/>
      </c>
    </row>
    <row r="15182" spans="1:7" ht="12" customHeight="1" outlineLevel="2" x14ac:dyDescent="0.2">
      <c r="A15182" s="14" t="s">
        <v>29861</v>
      </c>
      <c r="B15182" s="15" t="s">
        <v>29862</v>
      </c>
      <c r="C15182" s="16">
        <f>290.23/(1+B2)</f>
        <v>290.23</v>
      </c>
      <c r="D15182" s="17" t="s">
        <v>11</v>
      </c>
      <c r="E15182" s="17" t="s">
        <v>11</v>
      </c>
      <c r="F15182" s="18"/>
      <c r="G15182" s="36" t="str">
        <f>IF(ISNUMBER(F15182),C15182*F15182,"")</f>
        <v/>
      </c>
    </row>
    <row r="15183" spans="1:7" ht="12" customHeight="1" outlineLevel="2" x14ac:dyDescent="0.2">
      <c r="A15183" s="14" t="s">
        <v>29863</v>
      </c>
      <c r="B15183" s="15" t="s">
        <v>29864</v>
      </c>
      <c r="C15183" s="16">
        <f>290.23/(1+B2)</f>
        <v>290.23</v>
      </c>
      <c r="D15183" s="17" t="s">
        <v>11</v>
      </c>
      <c r="E15183" s="17" t="s">
        <v>11</v>
      </c>
      <c r="F15183" s="18"/>
      <c r="G15183" s="36" t="str">
        <f>IF(ISNUMBER(F15183),C15183*F15183,"")</f>
        <v/>
      </c>
    </row>
    <row r="15184" spans="1:7" ht="12" customHeight="1" outlineLevel="2" x14ac:dyDescent="0.2">
      <c r="A15184" s="14" t="s">
        <v>29865</v>
      </c>
      <c r="B15184" s="15" t="s">
        <v>29866</v>
      </c>
      <c r="C15184" s="16">
        <f>290.23/(1+B2)</f>
        <v>290.23</v>
      </c>
      <c r="D15184" s="17" t="s">
        <v>11</v>
      </c>
      <c r="E15184" s="17" t="s">
        <v>14</v>
      </c>
      <c r="F15184" s="18"/>
      <c r="G15184" s="36" t="str">
        <f>IF(ISNUMBER(F15184),C15184*F15184,"")</f>
        <v/>
      </c>
    </row>
    <row r="15185" spans="1:7" ht="12" customHeight="1" outlineLevel="2" x14ac:dyDescent="0.2">
      <c r="A15185" s="14" t="s">
        <v>29867</v>
      </c>
      <c r="B15185" s="15" t="s">
        <v>29868</v>
      </c>
      <c r="C15185" s="16">
        <f>148.95/(1+B2)</f>
        <v>148.94999999999999</v>
      </c>
      <c r="D15185" s="17" t="s">
        <v>11</v>
      </c>
      <c r="E15185" s="17" t="s">
        <v>11</v>
      </c>
      <c r="F15185" s="18"/>
      <c r="G15185" s="36" t="str">
        <f>IF(ISNUMBER(F15185),C15185*F15185,"")</f>
        <v/>
      </c>
    </row>
    <row r="15186" spans="1:7" ht="12" customHeight="1" outlineLevel="2" x14ac:dyDescent="0.2">
      <c r="A15186" s="14" t="s">
        <v>29869</v>
      </c>
      <c r="B15186" s="15" t="s">
        <v>29870</v>
      </c>
      <c r="C15186" s="16">
        <f>148.95/(1+B2)</f>
        <v>148.94999999999999</v>
      </c>
      <c r="D15186" s="17" t="s">
        <v>11</v>
      </c>
      <c r="E15186" s="17" t="s">
        <v>11</v>
      </c>
      <c r="F15186" s="18"/>
      <c r="G15186" s="36" t="str">
        <f>IF(ISNUMBER(F15186),C15186*F15186,"")</f>
        <v/>
      </c>
    </row>
    <row r="15187" spans="1:7" ht="12" customHeight="1" outlineLevel="2" x14ac:dyDescent="0.2">
      <c r="A15187" s="14" t="s">
        <v>29871</v>
      </c>
      <c r="B15187" s="15" t="s">
        <v>29872</v>
      </c>
      <c r="C15187" s="16">
        <f>148.95/(1+B2)</f>
        <v>148.94999999999999</v>
      </c>
      <c r="D15187" s="17" t="s">
        <v>11</v>
      </c>
      <c r="E15187" s="17" t="s">
        <v>11</v>
      </c>
      <c r="F15187" s="18"/>
      <c r="G15187" s="36" t="str">
        <f>IF(ISNUMBER(F15187),C15187*F15187,"")</f>
        <v/>
      </c>
    </row>
    <row r="15188" spans="1:7" ht="12" customHeight="1" outlineLevel="2" x14ac:dyDescent="0.2">
      <c r="A15188" s="14" t="s">
        <v>29873</v>
      </c>
      <c r="B15188" s="15" t="s">
        <v>29874</v>
      </c>
      <c r="C15188" s="16">
        <f>148.95/(1+B2)</f>
        <v>148.94999999999999</v>
      </c>
      <c r="D15188" s="17" t="s">
        <v>11</v>
      </c>
      <c r="E15188" s="17" t="s">
        <v>11</v>
      </c>
      <c r="F15188" s="18"/>
      <c r="G15188" s="36" t="str">
        <f>IF(ISNUMBER(F15188),C15188*F15188,"")</f>
        <v/>
      </c>
    </row>
    <row r="15189" spans="1:7" ht="12" customHeight="1" outlineLevel="2" x14ac:dyDescent="0.2">
      <c r="A15189" s="14" t="s">
        <v>29875</v>
      </c>
      <c r="B15189" s="15" t="s">
        <v>29876</v>
      </c>
      <c r="C15189" s="16">
        <f>260.16/(1+B2)</f>
        <v>260.16000000000003</v>
      </c>
      <c r="D15189" s="17" t="s">
        <v>11</v>
      </c>
      <c r="E15189" s="17" t="s">
        <v>11</v>
      </c>
      <c r="F15189" s="18"/>
      <c r="G15189" s="36" t="str">
        <f>IF(ISNUMBER(F15189),C15189*F15189,"")</f>
        <v/>
      </c>
    </row>
    <row r="15190" spans="1:7" ht="12" customHeight="1" outlineLevel="2" x14ac:dyDescent="0.2">
      <c r="A15190" s="14" t="s">
        <v>29877</v>
      </c>
      <c r="B15190" s="15" t="s">
        <v>29878</v>
      </c>
      <c r="C15190" s="16">
        <f>260.16/(1+B2)</f>
        <v>260.16000000000003</v>
      </c>
      <c r="D15190" s="17" t="s">
        <v>11</v>
      </c>
      <c r="E15190" s="17" t="s">
        <v>11</v>
      </c>
      <c r="F15190" s="18"/>
      <c r="G15190" s="36" t="str">
        <f>IF(ISNUMBER(F15190),C15190*F15190,"")</f>
        <v/>
      </c>
    </row>
    <row r="15191" spans="1:7" ht="12" customHeight="1" outlineLevel="2" x14ac:dyDescent="0.2">
      <c r="A15191" s="14" t="s">
        <v>29879</v>
      </c>
      <c r="B15191" s="15" t="s">
        <v>29880</v>
      </c>
      <c r="C15191" s="16">
        <f>260.16/(1+B2)</f>
        <v>260.16000000000003</v>
      </c>
      <c r="D15191" s="17" t="s">
        <v>11</v>
      </c>
      <c r="E15191" s="17"/>
      <c r="F15191" s="18"/>
      <c r="G15191" s="36" t="str">
        <f>IF(ISNUMBER(F15191),C15191*F15191,"")</f>
        <v/>
      </c>
    </row>
    <row r="15192" spans="1:7" ht="12" customHeight="1" outlineLevel="2" x14ac:dyDescent="0.2">
      <c r="A15192" s="14" t="s">
        <v>29881</v>
      </c>
      <c r="B15192" s="15" t="s">
        <v>29882</v>
      </c>
      <c r="C15192" s="16">
        <f>336.25/(1+B2)</f>
        <v>336.25</v>
      </c>
      <c r="D15192" s="17" t="s">
        <v>11</v>
      </c>
      <c r="E15192" s="17" t="s">
        <v>11</v>
      </c>
      <c r="F15192" s="18"/>
      <c r="G15192" s="36" t="str">
        <f>IF(ISNUMBER(F15192),C15192*F15192,"")</f>
        <v/>
      </c>
    </row>
    <row r="15193" spans="1:7" ht="24" customHeight="1" outlineLevel="2" x14ac:dyDescent="0.2">
      <c r="A15193" s="14" t="s">
        <v>29883</v>
      </c>
      <c r="B15193" s="15" t="s">
        <v>29884</v>
      </c>
      <c r="C15193" s="16">
        <f>205/(1+B2)</f>
        <v>205</v>
      </c>
      <c r="D15193" s="17"/>
      <c r="E15193" s="17" t="s">
        <v>11</v>
      </c>
      <c r="F15193" s="18"/>
      <c r="G15193" s="36" t="str">
        <f>IF(ISNUMBER(F15193),C15193*F15193,"")</f>
        <v/>
      </c>
    </row>
    <row r="15194" spans="1:7" ht="12" customHeight="1" outlineLevel="2" x14ac:dyDescent="0.2">
      <c r="A15194" s="14" t="s">
        <v>29885</v>
      </c>
      <c r="B15194" s="15" t="s">
        <v>29886</v>
      </c>
      <c r="C15194" s="16">
        <f>205/(1+B2)</f>
        <v>205</v>
      </c>
      <c r="D15194" s="17" t="s">
        <v>11</v>
      </c>
      <c r="E15194" s="17" t="s">
        <v>11</v>
      </c>
      <c r="F15194" s="18"/>
      <c r="G15194" s="36" t="str">
        <f>IF(ISNUMBER(F15194),C15194*F15194,"")</f>
        <v/>
      </c>
    </row>
    <row r="15195" spans="1:7" ht="24" customHeight="1" outlineLevel="2" x14ac:dyDescent="0.2">
      <c r="A15195" s="14" t="s">
        <v>29887</v>
      </c>
      <c r="B15195" s="15" t="s">
        <v>29888</v>
      </c>
      <c r="C15195" s="16">
        <f>191.25/(1+B2)</f>
        <v>191.25</v>
      </c>
      <c r="D15195" s="17" t="s">
        <v>11</v>
      </c>
      <c r="E15195" s="17" t="s">
        <v>11</v>
      </c>
      <c r="F15195" s="18"/>
      <c r="G15195" s="36" t="str">
        <f>IF(ISNUMBER(F15195),C15195*F15195,"")</f>
        <v/>
      </c>
    </row>
    <row r="15196" spans="1:7" ht="24" customHeight="1" outlineLevel="2" x14ac:dyDescent="0.2">
      <c r="A15196" s="14" t="s">
        <v>29889</v>
      </c>
      <c r="B15196" s="15" t="s">
        <v>29890</v>
      </c>
      <c r="C15196" s="16">
        <f>191.25/(1+B2)</f>
        <v>191.25</v>
      </c>
      <c r="D15196" s="17" t="s">
        <v>11</v>
      </c>
      <c r="E15196" s="17" t="s">
        <v>11</v>
      </c>
      <c r="F15196" s="18"/>
      <c r="G15196" s="36" t="str">
        <f>IF(ISNUMBER(F15196),C15196*F15196,"")</f>
        <v/>
      </c>
    </row>
    <row r="15197" spans="1:7" ht="24" customHeight="1" outlineLevel="2" x14ac:dyDescent="0.2">
      <c r="A15197" s="14" t="s">
        <v>29891</v>
      </c>
      <c r="B15197" s="15" t="s">
        <v>29892</v>
      </c>
      <c r="C15197" s="16">
        <f>191.25/(1+B2)</f>
        <v>191.25</v>
      </c>
      <c r="D15197" s="17" t="s">
        <v>11</v>
      </c>
      <c r="E15197" s="17" t="s">
        <v>11</v>
      </c>
      <c r="F15197" s="18"/>
      <c r="G15197" s="36" t="str">
        <f>IF(ISNUMBER(F15197),C15197*F15197,"")</f>
        <v/>
      </c>
    </row>
    <row r="15198" spans="1:7" ht="24" customHeight="1" outlineLevel="2" x14ac:dyDescent="0.2">
      <c r="A15198" s="14" t="s">
        <v>29893</v>
      </c>
      <c r="B15198" s="15" t="s">
        <v>29894</v>
      </c>
      <c r="C15198" s="16">
        <f>257.5/(1+B2)</f>
        <v>257.5</v>
      </c>
      <c r="D15198" s="17" t="s">
        <v>11</v>
      </c>
      <c r="E15198" s="17" t="s">
        <v>11</v>
      </c>
      <c r="F15198" s="18"/>
      <c r="G15198" s="36" t="str">
        <f>IF(ISNUMBER(F15198),C15198*F15198,"")</f>
        <v/>
      </c>
    </row>
    <row r="15199" spans="1:7" ht="12" customHeight="1" outlineLevel="2" x14ac:dyDescent="0.2">
      <c r="A15199" s="14" t="s">
        <v>29895</v>
      </c>
      <c r="B15199" s="15" t="s">
        <v>29896</v>
      </c>
      <c r="C15199" s="16">
        <f>225.49/(1+B2)</f>
        <v>225.49</v>
      </c>
      <c r="D15199" s="17" t="s">
        <v>11</v>
      </c>
      <c r="E15199" s="17"/>
      <c r="F15199" s="18"/>
      <c r="G15199" s="36" t="str">
        <f>IF(ISNUMBER(F15199),C15199*F15199,"")</f>
        <v/>
      </c>
    </row>
    <row r="15200" spans="1:7" ht="12" customHeight="1" outlineLevel="2" x14ac:dyDescent="0.2">
      <c r="A15200" s="14" t="s">
        <v>29897</v>
      </c>
      <c r="B15200" s="15" t="s">
        <v>29898</v>
      </c>
      <c r="C15200" s="16">
        <f>225.49/(1+B2)</f>
        <v>225.49</v>
      </c>
      <c r="D15200" s="17" t="s">
        <v>14</v>
      </c>
      <c r="E15200" s="17"/>
      <c r="F15200" s="18"/>
      <c r="G15200" s="36" t="str">
        <f>IF(ISNUMBER(F15200),C15200*F15200,"")</f>
        <v/>
      </c>
    </row>
    <row r="15201" spans="1:7" ht="12" customHeight="1" outlineLevel="2" x14ac:dyDescent="0.2">
      <c r="A15201" s="14" t="s">
        <v>29899</v>
      </c>
      <c r="B15201" s="15" t="s">
        <v>29900</v>
      </c>
      <c r="C15201" s="16">
        <f>306.96/(1+B2)</f>
        <v>306.95999999999998</v>
      </c>
      <c r="D15201" s="17" t="s">
        <v>11</v>
      </c>
      <c r="E15201" s="17"/>
      <c r="F15201" s="18"/>
      <c r="G15201" s="36" t="str">
        <f>IF(ISNUMBER(F15201),C15201*F15201,"")</f>
        <v/>
      </c>
    </row>
    <row r="15202" spans="1:7" ht="12" customHeight="1" outlineLevel="2" x14ac:dyDescent="0.2">
      <c r="A15202" s="14" t="s">
        <v>29901</v>
      </c>
      <c r="B15202" s="15" t="s">
        <v>29902</v>
      </c>
      <c r="C15202" s="16">
        <f>306.96/(1+B2)</f>
        <v>306.95999999999998</v>
      </c>
      <c r="D15202" s="17" t="s">
        <v>14</v>
      </c>
      <c r="E15202" s="17"/>
      <c r="F15202" s="18"/>
      <c r="G15202" s="36" t="str">
        <f>IF(ISNUMBER(F15202),C15202*F15202,"")</f>
        <v/>
      </c>
    </row>
    <row r="15203" spans="1:7" ht="12" customHeight="1" outlineLevel="2" x14ac:dyDescent="0.2">
      <c r="A15203" s="14" t="s">
        <v>29903</v>
      </c>
      <c r="B15203" s="15" t="s">
        <v>29904</v>
      </c>
      <c r="C15203" s="16">
        <f>238.13/(1+B2)</f>
        <v>238.13</v>
      </c>
      <c r="D15203" s="17" t="s">
        <v>11</v>
      </c>
      <c r="E15203" s="17"/>
      <c r="F15203" s="18"/>
      <c r="G15203" s="36" t="str">
        <f>IF(ISNUMBER(F15203),C15203*F15203,"")</f>
        <v/>
      </c>
    </row>
    <row r="15204" spans="1:7" ht="12" customHeight="1" outlineLevel="2" x14ac:dyDescent="0.2">
      <c r="A15204" s="14" t="s">
        <v>29905</v>
      </c>
      <c r="B15204" s="15" t="s">
        <v>29906</v>
      </c>
      <c r="C15204" s="16">
        <f>238.13/(1+B2)</f>
        <v>238.13</v>
      </c>
      <c r="D15204" s="17" t="s">
        <v>14</v>
      </c>
      <c r="E15204" s="17"/>
      <c r="F15204" s="18"/>
      <c r="G15204" s="36" t="str">
        <f>IF(ISNUMBER(F15204),C15204*F15204,"")</f>
        <v/>
      </c>
    </row>
    <row r="15205" spans="1:7" ht="24" customHeight="1" outlineLevel="2" x14ac:dyDescent="0.2">
      <c r="A15205" s="14" t="s">
        <v>29907</v>
      </c>
      <c r="B15205" s="15" t="s">
        <v>29908</v>
      </c>
      <c r="C15205" s="16">
        <f>203.14/(1+B2)</f>
        <v>203.14</v>
      </c>
      <c r="D15205" s="17" t="s">
        <v>11</v>
      </c>
      <c r="E15205" s="17"/>
      <c r="F15205" s="18"/>
      <c r="G15205" s="36" t="str">
        <f>IF(ISNUMBER(F15205),C15205*F15205,"")</f>
        <v/>
      </c>
    </row>
    <row r="15206" spans="1:7" ht="24" customHeight="1" outlineLevel="2" x14ac:dyDescent="0.2">
      <c r="A15206" s="14" t="s">
        <v>29909</v>
      </c>
      <c r="B15206" s="15" t="s">
        <v>29910</v>
      </c>
      <c r="C15206" s="16">
        <f>203.14/(1+B2)</f>
        <v>203.14</v>
      </c>
      <c r="D15206" s="17" t="s">
        <v>11</v>
      </c>
      <c r="E15206" s="17" t="s">
        <v>11</v>
      </c>
      <c r="F15206" s="18"/>
      <c r="G15206" s="36" t="str">
        <f>IF(ISNUMBER(F15206),C15206*F15206,"")</f>
        <v/>
      </c>
    </row>
    <row r="15207" spans="1:7" ht="24" customHeight="1" outlineLevel="2" x14ac:dyDescent="0.2">
      <c r="A15207" s="14" t="s">
        <v>29911</v>
      </c>
      <c r="B15207" s="15" t="s">
        <v>29912</v>
      </c>
      <c r="C15207" s="16">
        <f>276.56/(1+B2)</f>
        <v>276.56</v>
      </c>
      <c r="D15207" s="17" t="s">
        <v>11</v>
      </c>
      <c r="E15207" s="17" t="s">
        <v>11</v>
      </c>
      <c r="F15207" s="18"/>
      <c r="G15207" s="36" t="str">
        <f>IF(ISNUMBER(F15207),C15207*F15207,"")</f>
        <v/>
      </c>
    </row>
    <row r="15208" spans="1:7" ht="24" customHeight="1" outlineLevel="2" x14ac:dyDescent="0.2">
      <c r="A15208" s="14" t="s">
        <v>29913</v>
      </c>
      <c r="B15208" s="15" t="s">
        <v>29914</v>
      </c>
      <c r="C15208" s="16">
        <f>118.63/(1+B2)</f>
        <v>118.63</v>
      </c>
      <c r="D15208" s="17" t="s">
        <v>11</v>
      </c>
      <c r="E15208" s="17"/>
      <c r="F15208" s="18"/>
      <c r="G15208" s="36" t="str">
        <f>IF(ISNUMBER(F15208),C15208*F15208,"")</f>
        <v/>
      </c>
    </row>
    <row r="15209" spans="1:7" ht="12" customHeight="1" outlineLevel="2" x14ac:dyDescent="0.2">
      <c r="A15209" s="14" t="s">
        <v>29915</v>
      </c>
      <c r="B15209" s="15" t="s">
        <v>29916</v>
      </c>
      <c r="C15209" s="16">
        <f>155.17/(1+B2)</f>
        <v>155.16999999999999</v>
      </c>
      <c r="D15209" s="17" t="s">
        <v>11</v>
      </c>
      <c r="E15209" s="17"/>
      <c r="F15209" s="18"/>
      <c r="G15209" s="36" t="str">
        <f>IF(ISNUMBER(F15209),C15209*F15209,"")</f>
        <v/>
      </c>
    </row>
    <row r="15210" spans="1:7" ht="12" customHeight="1" outlineLevel="2" x14ac:dyDescent="0.2">
      <c r="A15210" s="14" t="s">
        <v>29917</v>
      </c>
      <c r="B15210" s="15" t="s">
        <v>29918</v>
      </c>
      <c r="C15210" s="16">
        <f>200.43/(1+B2)</f>
        <v>200.43</v>
      </c>
      <c r="D15210" s="17" t="s">
        <v>11</v>
      </c>
      <c r="E15210" s="17"/>
      <c r="F15210" s="18"/>
      <c r="G15210" s="36" t="str">
        <f>IF(ISNUMBER(F15210),C15210*F15210,"")</f>
        <v/>
      </c>
    </row>
    <row r="15211" spans="1:7" ht="12" customHeight="1" outlineLevel="2" x14ac:dyDescent="0.2">
      <c r="A15211" s="14" t="s">
        <v>29919</v>
      </c>
      <c r="B15211" s="15" t="s">
        <v>29920</v>
      </c>
      <c r="C15211" s="16">
        <f>200.43/(1+B2)</f>
        <v>200.43</v>
      </c>
      <c r="D15211" s="17" t="s">
        <v>11</v>
      </c>
      <c r="E15211" s="17"/>
      <c r="F15211" s="18"/>
      <c r="G15211" s="36" t="str">
        <f>IF(ISNUMBER(F15211),C15211*F15211,"")</f>
        <v/>
      </c>
    </row>
    <row r="15212" spans="1:7" ht="24" customHeight="1" outlineLevel="2" x14ac:dyDescent="0.2">
      <c r="A15212" s="14" t="s">
        <v>29921</v>
      </c>
      <c r="B15212" s="15" t="s">
        <v>29922</v>
      </c>
      <c r="C15212" s="16">
        <f>272.86/(1+B2)</f>
        <v>272.86</v>
      </c>
      <c r="D15212" s="17" t="s">
        <v>11</v>
      </c>
      <c r="E15212" s="17"/>
      <c r="F15212" s="18"/>
      <c r="G15212" s="36" t="str">
        <f>IF(ISNUMBER(F15212),C15212*F15212,"")</f>
        <v/>
      </c>
    </row>
    <row r="15213" spans="1:7" ht="12" customHeight="1" outlineLevel="2" x14ac:dyDescent="0.2">
      <c r="A15213" s="14" t="s">
        <v>29923</v>
      </c>
      <c r="B15213" s="15" t="s">
        <v>29924</v>
      </c>
      <c r="C15213" s="16">
        <f>272.86/(1+B2)</f>
        <v>272.86</v>
      </c>
      <c r="D15213" s="17" t="s">
        <v>11</v>
      </c>
      <c r="E15213" s="17"/>
      <c r="F15213" s="18"/>
      <c r="G15213" s="36" t="str">
        <f>IF(ISNUMBER(F15213),C15213*F15213,"")</f>
        <v/>
      </c>
    </row>
    <row r="15214" spans="1:7" ht="12" customHeight="1" outlineLevel="2" x14ac:dyDescent="0.2">
      <c r="A15214" s="14" t="s">
        <v>29925</v>
      </c>
      <c r="B15214" s="15" t="s">
        <v>29926</v>
      </c>
      <c r="C15214" s="16">
        <f>351.81/(1+B2)</f>
        <v>351.81</v>
      </c>
      <c r="D15214" s="17" t="s">
        <v>11</v>
      </c>
      <c r="E15214" s="17"/>
      <c r="F15214" s="18"/>
      <c r="G15214" s="36" t="str">
        <f>IF(ISNUMBER(F15214),C15214*F15214,"")</f>
        <v/>
      </c>
    </row>
    <row r="15215" spans="1:7" ht="12" customHeight="1" outlineLevel="2" x14ac:dyDescent="0.2">
      <c r="A15215" s="14" t="s">
        <v>29927</v>
      </c>
      <c r="B15215" s="15" t="s">
        <v>29928</v>
      </c>
      <c r="C15215" s="16">
        <f>351.81/(1+B2)</f>
        <v>351.81</v>
      </c>
      <c r="D15215" s="17" t="s">
        <v>11</v>
      </c>
      <c r="E15215" s="17"/>
      <c r="F15215" s="18"/>
      <c r="G15215" s="36" t="str">
        <f>IF(ISNUMBER(F15215),C15215*F15215,"")</f>
        <v/>
      </c>
    </row>
    <row r="15216" spans="1:7" ht="12" customHeight="1" outlineLevel="2" x14ac:dyDescent="0.2">
      <c r="A15216" s="14" t="s">
        <v>29929</v>
      </c>
      <c r="B15216" s="15" t="s">
        <v>29930</v>
      </c>
      <c r="C15216" s="16">
        <f>317.82/(1+B2)</f>
        <v>317.82</v>
      </c>
      <c r="D15216" s="17" t="s">
        <v>11</v>
      </c>
      <c r="E15216" s="17"/>
      <c r="F15216" s="18"/>
      <c r="G15216" s="36" t="str">
        <f>IF(ISNUMBER(F15216),C15216*F15216,"")</f>
        <v/>
      </c>
    </row>
    <row r="15217" spans="1:7" ht="12" customHeight="1" outlineLevel="2" x14ac:dyDescent="0.2">
      <c r="A15217" s="14" t="s">
        <v>29931</v>
      </c>
      <c r="B15217" s="15" t="s">
        <v>29932</v>
      </c>
      <c r="C15217" s="16">
        <f>317.82/(1+B2)</f>
        <v>317.82</v>
      </c>
      <c r="D15217" s="17" t="s">
        <v>11</v>
      </c>
      <c r="E15217" s="17"/>
      <c r="F15217" s="18"/>
      <c r="G15217" s="36" t="str">
        <f>IF(ISNUMBER(F15217),C15217*F15217,"")</f>
        <v/>
      </c>
    </row>
    <row r="15218" spans="1:7" ht="12" customHeight="1" outlineLevel="2" x14ac:dyDescent="0.2">
      <c r="A15218" s="14" t="s">
        <v>29933</v>
      </c>
      <c r="B15218" s="15" t="s">
        <v>29934</v>
      </c>
      <c r="C15218" s="16">
        <f>69.38/(1+B2)</f>
        <v>69.38</v>
      </c>
      <c r="D15218" s="17" t="s">
        <v>11</v>
      </c>
      <c r="E15218" s="17" t="s">
        <v>14</v>
      </c>
      <c r="F15218" s="18"/>
      <c r="G15218" s="36" t="str">
        <f>IF(ISNUMBER(F15218),C15218*F15218,"")</f>
        <v/>
      </c>
    </row>
    <row r="15219" spans="1:7" ht="12" customHeight="1" outlineLevel="2" x14ac:dyDescent="0.2">
      <c r="A15219" s="14" t="s">
        <v>29935</v>
      </c>
      <c r="B15219" s="15" t="s">
        <v>29936</v>
      </c>
      <c r="C15219" s="16">
        <f>69.38/(1+B2)</f>
        <v>69.38</v>
      </c>
      <c r="D15219" s="17" t="s">
        <v>11</v>
      </c>
      <c r="E15219" s="17" t="s">
        <v>11</v>
      </c>
      <c r="F15219" s="18"/>
      <c r="G15219" s="36" t="str">
        <f>IF(ISNUMBER(F15219),C15219*F15219,"")</f>
        <v/>
      </c>
    </row>
    <row r="15220" spans="1:7" ht="12" customHeight="1" outlineLevel="2" x14ac:dyDescent="0.2">
      <c r="A15220" s="14" t="s">
        <v>29937</v>
      </c>
      <c r="B15220" s="15" t="s">
        <v>29938</v>
      </c>
      <c r="C15220" s="16">
        <f>69.38/(1+B2)</f>
        <v>69.38</v>
      </c>
      <c r="D15220" s="17" t="s">
        <v>11</v>
      </c>
      <c r="E15220" s="17"/>
      <c r="F15220" s="18"/>
      <c r="G15220" s="36" t="str">
        <f>IF(ISNUMBER(F15220),C15220*F15220,"")</f>
        <v/>
      </c>
    </row>
    <row r="15221" spans="1:7" ht="12" customHeight="1" outlineLevel="2" x14ac:dyDescent="0.2">
      <c r="A15221" s="14" t="s">
        <v>29939</v>
      </c>
      <c r="B15221" s="15" t="s">
        <v>29940</v>
      </c>
      <c r="C15221" s="16">
        <f>69.38/(1+B2)</f>
        <v>69.38</v>
      </c>
      <c r="D15221" s="17" t="s">
        <v>11</v>
      </c>
      <c r="E15221" s="17" t="s">
        <v>14</v>
      </c>
      <c r="F15221" s="18"/>
      <c r="G15221" s="36" t="str">
        <f>IF(ISNUMBER(F15221),C15221*F15221,"")</f>
        <v/>
      </c>
    </row>
    <row r="15222" spans="1:7" ht="12" customHeight="1" outlineLevel="2" x14ac:dyDescent="0.2">
      <c r="A15222" s="14" t="s">
        <v>29941</v>
      </c>
      <c r="B15222" s="15" t="s">
        <v>29942</v>
      </c>
      <c r="C15222" s="16">
        <f>69.38/(1+B2)</f>
        <v>69.38</v>
      </c>
      <c r="D15222" s="17" t="s">
        <v>11</v>
      </c>
      <c r="E15222" s="17" t="s">
        <v>11</v>
      </c>
      <c r="F15222" s="18"/>
      <c r="G15222" s="36" t="str">
        <f>IF(ISNUMBER(F15222),C15222*F15222,"")</f>
        <v/>
      </c>
    </row>
    <row r="15223" spans="1:7" s="1" customFormat="1" ht="15.95" customHeight="1" outlineLevel="1" x14ac:dyDescent="0.25">
      <c r="A15223" s="11"/>
      <c r="B15223" s="12" t="s">
        <v>29943</v>
      </c>
      <c r="C15223" s="13"/>
      <c r="D15223" s="13"/>
      <c r="E15223" s="13"/>
      <c r="F15223" s="13"/>
      <c r="G15223" s="35"/>
    </row>
    <row r="15224" spans="1:7" ht="12" customHeight="1" outlineLevel="2" x14ac:dyDescent="0.2">
      <c r="A15224" s="14" t="s">
        <v>29944</v>
      </c>
      <c r="B15224" s="15" t="s">
        <v>29945</v>
      </c>
      <c r="C15224" s="19">
        <f>3610/(1+B2)</f>
        <v>3610</v>
      </c>
      <c r="D15224" s="17" t="s">
        <v>11</v>
      </c>
      <c r="E15224" s="17"/>
      <c r="F15224" s="18"/>
      <c r="G15224" s="36" t="str">
        <f>IF(ISNUMBER(F15224),C15224*F15224,"")</f>
        <v/>
      </c>
    </row>
    <row r="15225" spans="1:7" ht="12" customHeight="1" outlineLevel="2" x14ac:dyDescent="0.2">
      <c r="A15225" s="14" t="s">
        <v>29946</v>
      </c>
      <c r="B15225" s="15" t="s">
        <v>29947</v>
      </c>
      <c r="C15225" s="19">
        <f>3610/(1+B2)</f>
        <v>3610</v>
      </c>
      <c r="D15225" s="17" t="s">
        <v>11</v>
      </c>
      <c r="E15225" s="17"/>
      <c r="F15225" s="18"/>
      <c r="G15225" s="36" t="str">
        <f>IF(ISNUMBER(F15225),C15225*F15225,"")</f>
        <v/>
      </c>
    </row>
    <row r="15226" spans="1:7" ht="24" customHeight="1" outlineLevel="2" x14ac:dyDescent="0.2">
      <c r="A15226" s="14" t="s">
        <v>29948</v>
      </c>
      <c r="B15226" s="15" t="s">
        <v>29949</v>
      </c>
      <c r="C15226" s="19">
        <f>3610/(1+B2)</f>
        <v>3610</v>
      </c>
      <c r="D15226" s="17" t="s">
        <v>11</v>
      </c>
      <c r="E15226" s="17" t="s">
        <v>11</v>
      </c>
      <c r="F15226" s="18"/>
      <c r="G15226" s="36" t="str">
        <f>IF(ISNUMBER(F15226),C15226*F15226,"")</f>
        <v/>
      </c>
    </row>
    <row r="15227" spans="1:7" ht="12" customHeight="1" outlineLevel="2" x14ac:dyDescent="0.2">
      <c r="A15227" s="14" t="s">
        <v>29950</v>
      </c>
      <c r="B15227" s="15" t="s">
        <v>29951</v>
      </c>
      <c r="C15227" s="19">
        <f>3610/(1+B2)</f>
        <v>3610</v>
      </c>
      <c r="D15227" s="17" t="s">
        <v>11</v>
      </c>
      <c r="E15227" s="17" t="s">
        <v>11</v>
      </c>
      <c r="F15227" s="18"/>
      <c r="G15227" s="36" t="str">
        <f>IF(ISNUMBER(F15227),C15227*F15227,"")</f>
        <v/>
      </c>
    </row>
    <row r="15228" spans="1:7" ht="12" customHeight="1" outlineLevel="2" x14ac:dyDescent="0.2">
      <c r="A15228" s="14" t="s">
        <v>29952</v>
      </c>
      <c r="B15228" s="15" t="s">
        <v>29953</v>
      </c>
      <c r="C15228" s="19">
        <f>3610/(1+B2)</f>
        <v>3610</v>
      </c>
      <c r="D15228" s="17" t="s">
        <v>11</v>
      </c>
      <c r="E15228" s="17" t="s">
        <v>11</v>
      </c>
      <c r="F15228" s="18"/>
      <c r="G15228" s="36" t="str">
        <f>IF(ISNUMBER(F15228),C15228*F15228,"")</f>
        <v/>
      </c>
    </row>
    <row r="15229" spans="1:7" ht="12" customHeight="1" outlineLevel="2" x14ac:dyDescent="0.2">
      <c r="A15229" s="14" t="s">
        <v>29954</v>
      </c>
      <c r="B15229" s="15" t="s">
        <v>29955</v>
      </c>
      <c r="C15229" s="19">
        <f>3610/(1+B2)</f>
        <v>3610</v>
      </c>
      <c r="D15229" s="17" t="s">
        <v>11</v>
      </c>
      <c r="E15229" s="17" t="s">
        <v>11</v>
      </c>
      <c r="F15229" s="18"/>
      <c r="G15229" s="36" t="str">
        <f>IF(ISNUMBER(F15229),C15229*F15229,"")</f>
        <v/>
      </c>
    </row>
    <row r="15230" spans="1:7" ht="12" customHeight="1" outlineLevel="2" x14ac:dyDescent="0.2">
      <c r="A15230" s="14" t="s">
        <v>29956</v>
      </c>
      <c r="B15230" s="15" t="s">
        <v>29957</v>
      </c>
      <c r="C15230" s="19">
        <f>3610/(1+B2)</f>
        <v>3610</v>
      </c>
      <c r="D15230" s="17" t="s">
        <v>11</v>
      </c>
      <c r="E15230" s="17"/>
      <c r="F15230" s="18"/>
      <c r="G15230" s="36" t="str">
        <f>IF(ISNUMBER(F15230),C15230*F15230,"")</f>
        <v/>
      </c>
    </row>
    <row r="15231" spans="1:7" ht="12" customHeight="1" outlineLevel="2" x14ac:dyDescent="0.2">
      <c r="A15231" s="14" t="s">
        <v>29958</v>
      </c>
      <c r="B15231" s="15" t="s">
        <v>29959</v>
      </c>
      <c r="C15231" s="19">
        <f>3610/(1+B2)</f>
        <v>3610</v>
      </c>
      <c r="D15231" s="17" t="s">
        <v>11</v>
      </c>
      <c r="E15231" s="17"/>
      <c r="F15231" s="18"/>
      <c r="G15231" s="36" t="str">
        <f>IF(ISNUMBER(F15231),C15231*F15231,"")</f>
        <v/>
      </c>
    </row>
    <row r="15232" spans="1:7" ht="12" customHeight="1" outlineLevel="2" x14ac:dyDescent="0.2">
      <c r="A15232" s="14" t="s">
        <v>29960</v>
      </c>
      <c r="B15232" s="15" t="s">
        <v>29961</v>
      </c>
      <c r="C15232" s="19">
        <f>3610/(1+B2)</f>
        <v>3610</v>
      </c>
      <c r="D15232" s="17" t="s">
        <v>11</v>
      </c>
      <c r="E15232" s="17"/>
      <c r="F15232" s="18"/>
      <c r="G15232" s="36" t="str">
        <f>IF(ISNUMBER(F15232),C15232*F15232,"")</f>
        <v/>
      </c>
    </row>
    <row r="15233" spans="1:7" ht="12" customHeight="1" outlineLevel="2" x14ac:dyDescent="0.2">
      <c r="A15233" s="14" t="s">
        <v>29962</v>
      </c>
      <c r="B15233" s="15" t="s">
        <v>29963</v>
      </c>
      <c r="C15233" s="19">
        <f>3610/(1+B2)</f>
        <v>3610</v>
      </c>
      <c r="D15233" s="17" t="s">
        <v>11</v>
      </c>
      <c r="E15233" s="17"/>
      <c r="F15233" s="18"/>
      <c r="G15233" s="36" t="str">
        <f>IF(ISNUMBER(F15233),C15233*F15233,"")</f>
        <v/>
      </c>
    </row>
    <row r="15234" spans="1:7" ht="12" customHeight="1" outlineLevel="2" x14ac:dyDescent="0.2">
      <c r="A15234" s="14" t="s">
        <v>29964</v>
      </c>
      <c r="B15234" s="15" t="s">
        <v>29965</v>
      </c>
      <c r="C15234" s="19">
        <f>3610/(1+B2)</f>
        <v>3610</v>
      </c>
      <c r="D15234" s="17" t="s">
        <v>11</v>
      </c>
      <c r="E15234" s="17"/>
      <c r="F15234" s="18"/>
      <c r="G15234" s="36" t="str">
        <f>IF(ISNUMBER(F15234),C15234*F15234,"")</f>
        <v/>
      </c>
    </row>
    <row r="15235" spans="1:7" ht="12" customHeight="1" outlineLevel="2" x14ac:dyDescent="0.2">
      <c r="A15235" s="14" t="s">
        <v>29966</v>
      </c>
      <c r="B15235" s="15" t="s">
        <v>29967</v>
      </c>
      <c r="C15235" s="19">
        <f>3610/(1+B2)</f>
        <v>3610</v>
      </c>
      <c r="D15235" s="17" t="s">
        <v>11</v>
      </c>
      <c r="E15235" s="17" t="s">
        <v>11</v>
      </c>
      <c r="F15235" s="18"/>
      <c r="G15235" s="36" t="str">
        <f>IF(ISNUMBER(F15235),C15235*F15235,"")</f>
        <v/>
      </c>
    </row>
    <row r="15236" spans="1:7" ht="12" customHeight="1" outlineLevel="2" x14ac:dyDescent="0.2">
      <c r="A15236" s="14" t="s">
        <v>29968</v>
      </c>
      <c r="B15236" s="15" t="s">
        <v>29969</v>
      </c>
      <c r="C15236" s="19">
        <f>3610/(1+B2)</f>
        <v>3610</v>
      </c>
      <c r="D15236" s="17" t="s">
        <v>11</v>
      </c>
      <c r="E15236" s="17" t="s">
        <v>11</v>
      </c>
      <c r="F15236" s="18"/>
      <c r="G15236" s="36" t="str">
        <f>IF(ISNUMBER(F15236),C15236*F15236,"")</f>
        <v/>
      </c>
    </row>
    <row r="15237" spans="1:7" ht="12" customHeight="1" outlineLevel="2" x14ac:dyDescent="0.2">
      <c r="A15237" s="14" t="s">
        <v>29970</v>
      </c>
      <c r="B15237" s="15" t="s">
        <v>29971</v>
      </c>
      <c r="C15237" s="19">
        <f>3610/(1+B2)</f>
        <v>3610</v>
      </c>
      <c r="D15237" s="17" t="s">
        <v>11</v>
      </c>
      <c r="E15237" s="17" t="s">
        <v>11</v>
      </c>
      <c r="F15237" s="18"/>
      <c r="G15237" s="36" t="str">
        <f>IF(ISNUMBER(F15237),C15237*F15237,"")</f>
        <v/>
      </c>
    </row>
    <row r="15238" spans="1:7" ht="12" customHeight="1" outlineLevel="2" x14ac:dyDescent="0.2">
      <c r="A15238" s="14" t="s">
        <v>29972</v>
      </c>
      <c r="B15238" s="15" t="s">
        <v>29973</v>
      </c>
      <c r="C15238" s="19">
        <f>3610/(1+B2)</f>
        <v>3610</v>
      </c>
      <c r="D15238" s="17" t="s">
        <v>11</v>
      </c>
      <c r="E15238" s="17" t="s">
        <v>11</v>
      </c>
      <c r="F15238" s="18"/>
      <c r="G15238" s="36" t="str">
        <f>IF(ISNUMBER(F15238),C15238*F15238,"")</f>
        <v/>
      </c>
    </row>
    <row r="15239" spans="1:7" ht="12" customHeight="1" outlineLevel="2" x14ac:dyDescent="0.2">
      <c r="A15239" s="14" t="s">
        <v>29974</v>
      </c>
      <c r="B15239" s="15" t="s">
        <v>29975</v>
      </c>
      <c r="C15239" s="19">
        <f>3610/(1+B2)</f>
        <v>3610</v>
      </c>
      <c r="D15239" s="17" t="s">
        <v>11</v>
      </c>
      <c r="E15239" s="17"/>
      <c r="F15239" s="18"/>
      <c r="G15239" s="36" t="str">
        <f>IF(ISNUMBER(F15239),C15239*F15239,"")</f>
        <v/>
      </c>
    </row>
    <row r="15240" spans="1:7" ht="12" customHeight="1" outlineLevel="2" x14ac:dyDescent="0.2">
      <c r="A15240" s="14" t="s">
        <v>29976</v>
      </c>
      <c r="B15240" s="15" t="s">
        <v>29977</v>
      </c>
      <c r="C15240" s="19">
        <f>3610/(1+B2)</f>
        <v>3610</v>
      </c>
      <c r="D15240" s="17" t="s">
        <v>11</v>
      </c>
      <c r="E15240" s="17"/>
      <c r="F15240" s="18"/>
      <c r="G15240" s="36" t="str">
        <f>IF(ISNUMBER(F15240),C15240*F15240,"")</f>
        <v/>
      </c>
    </row>
    <row r="15241" spans="1:7" ht="12" customHeight="1" outlineLevel="2" x14ac:dyDescent="0.2">
      <c r="A15241" s="14" t="s">
        <v>29978</v>
      </c>
      <c r="B15241" s="15" t="s">
        <v>29979</v>
      </c>
      <c r="C15241" s="19">
        <f>3610/(1+B2)</f>
        <v>3610</v>
      </c>
      <c r="D15241" s="17" t="s">
        <v>11</v>
      </c>
      <c r="E15241" s="17"/>
      <c r="F15241" s="18"/>
      <c r="G15241" s="36" t="str">
        <f>IF(ISNUMBER(F15241),C15241*F15241,"")</f>
        <v/>
      </c>
    </row>
    <row r="15242" spans="1:7" ht="12" customHeight="1" outlineLevel="2" x14ac:dyDescent="0.2">
      <c r="A15242" s="14" t="s">
        <v>29980</v>
      </c>
      <c r="B15242" s="15" t="s">
        <v>29981</v>
      </c>
      <c r="C15242" s="19">
        <f>3610/(1+B2)</f>
        <v>3610</v>
      </c>
      <c r="D15242" s="17" t="s">
        <v>11</v>
      </c>
      <c r="E15242" s="17" t="s">
        <v>11</v>
      </c>
      <c r="F15242" s="18"/>
      <c r="G15242" s="36" t="str">
        <f>IF(ISNUMBER(F15242),C15242*F15242,"")</f>
        <v/>
      </c>
    </row>
    <row r="15243" spans="1:7" ht="12" customHeight="1" outlineLevel="2" x14ac:dyDescent="0.2">
      <c r="A15243" s="14" t="s">
        <v>29982</v>
      </c>
      <c r="B15243" s="15" t="s">
        <v>29983</v>
      </c>
      <c r="C15243" s="19">
        <f>3610/(1+B2)</f>
        <v>3610</v>
      </c>
      <c r="D15243" s="17" t="s">
        <v>11</v>
      </c>
      <c r="E15243" s="17" t="s">
        <v>11</v>
      </c>
      <c r="F15243" s="18"/>
      <c r="G15243" s="36" t="str">
        <f>IF(ISNUMBER(F15243),C15243*F15243,"")</f>
        <v/>
      </c>
    </row>
    <row r="15244" spans="1:7" ht="12" customHeight="1" outlineLevel="2" x14ac:dyDescent="0.2">
      <c r="A15244" s="14" t="s">
        <v>29984</v>
      </c>
      <c r="B15244" s="15" t="s">
        <v>29985</v>
      </c>
      <c r="C15244" s="19">
        <f>3610/(1+B2)</f>
        <v>3610</v>
      </c>
      <c r="D15244" s="17" t="s">
        <v>11</v>
      </c>
      <c r="E15244" s="17" t="s">
        <v>11</v>
      </c>
      <c r="F15244" s="18"/>
      <c r="G15244" s="36" t="str">
        <f>IF(ISNUMBER(F15244),C15244*F15244,"")</f>
        <v/>
      </c>
    </row>
    <row r="15245" spans="1:7" ht="12" customHeight="1" outlineLevel="2" x14ac:dyDescent="0.2">
      <c r="A15245" s="14" t="s">
        <v>29986</v>
      </c>
      <c r="B15245" s="15" t="s">
        <v>29987</v>
      </c>
      <c r="C15245" s="19">
        <f>3610/(1+B2)</f>
        <v>3610</v>
      </c>
      <c r="D15245" s="17" t="s">
        <v>11</v>
      </c>
      <c r="E15245" s="17"/>
      <c r="F15245" s="18"/>
      <c r="G15245" s="36" t="str">
        <f>IF(ISNUMBER(F15245),C15245*F15245,"")</f>
        <v/>
      </c>
    </row>
    <row r="15246" spans="1:7" ht="12" customHeight="1" outlineLevel="2" x14ac:dyDescent="0.2">
      <c r="A15246" s="14" t="s">
        <v>29988</v>
      </c>
      <c r="B15246" s="15" t="s">
        <v>29989</v>
      </c>
      <c r="C15246" s="19">
        <f>3610/(1+B2)</f>
        <v>3610</v>
      </c>
      <c r="D15246" s="17" t="s">
        <v>11</v>
      </c>
      <c r="E15246" s="17"/>
      <c r="F15246" s="18"/>
      <c r="G15246" s="36" t="str">
        <f>IF(ISNUMBER(F15246),C15246*F15246,"")</f>
        <v/>
      </c>
    </row>
    <row r="15247" spans="1:7" ht="12" customHeight="1" outlineLevel="2" x14ac:dyDescent="0.2">
      <c r="A15247" s="14" t="s">
        <v>29990</v>
      </c>
      <c r="B15247" s="15" t="s">
        <v>29991</v>
      </c>
      <c r="C15247" s="19">
        <f>4218.75/(1+B2)</f>
        <v>4218.75</v>
      </c>
      <c r="D15247" s="17" t="s">
        <v>11</v>
      </c>
      <c r="E15247" s="17"/>
      <c r="F15247" s="18"/>
      <c r="G15247" s="36" t="str">
        <f>IF(ISNUMBER(F15247),C15247*F15247,"")</f>
        <v/>
      </c>
    </row>
    <row r="15248" spans="1:7" ht="12" customHeight="1" outlineLevel="2" x14ac:dyDescent="0.2">
      <c r="A15248" s="14" t="s">
        <v>29992</v>
      </c>
      <c r="B15248" s="15" t="s">
        <v>29993</v>
      </c>
      <c r="C15248" s="19">
        <f>4218.75/(1+B2)</f>
        <v>4218.75</v>
      </c>
      <c r="D15248" s="17" t="s">
        <v>11</v>
      </c>
      <c r="E15248" s="17"/>
      <c r="F15248" s="18"/>
      <c r="G15248" s="36" t="str">
        <f>IF(ISNUMBER(F15248),C15248*F15248,"")</f>
        <v/>
      </c>
    </row>
    <row r="15249" spans="1:7" ht="12" customHeight="1" outlineLevel="2" x14ac:dyDescent="0.2">
      <c r="A15249" s="14" t="s">
        <v>29994</v>
      </c>
      <c r="B15249" s="15" t="s">
        <v>29995</v>
      </c>
      <c r="C15249" s="19">
        <f>4218.75/(1+B2)</f>
        <v>4218.75</v>
      </c>
      <c r="D15249" s="17" t="s">
        <v>11</v>
      </c>
      <c r="E15249" s="17" t="s">
        <v>11</v>
      </c>
      <c r="F15249" s="18"/>
      <c r="G15249" s="36" t="str">
        <f>IF(ISNUMBER(F15249),C15249*F15249,"")</f>
        <v/>
      </c>
    </row>
    <row r="15250" spans="1:7" ht="12" customHeight="1" outlineLevel="2" x14ac:dyDescent="0.2">
      <c r="A15250" s="14" t="s">
        <v>29996</v>
      </c>
      <c r="B15250" s="15" t="s">
        <v>29997</v>
      </c>
      <c r="C15250" s="19">
        <f>4218.75/(1+B2)</f>
        <v>4218.75</v>
      </c>
      <c r="D15250" s="17" t="s">
        <v>11</v>
      </c>
      <c r="E15250" s="17" t="s">
        <v>11</v>
      </c>
      <c r="F15250" s="18"/>
      <c r="G15250" s="36" t="str">
        <f>IF(ISNUMBER(F15250),C15250*F15250,"")</f>
        <v/>
      </c>
    </row>
    <row r="15251" spans="1:7" ht="12" customHeight="1" outlineLevel="2" x14ac:dyDescent="0.2">
      <c r="A15251" s="14" t="s">
        <v>29998</v>
      </c>
      <c r="B15251" s="15" t="s">
        <v>29999</v>
      </c>
      <c r="C15251" s="19">
        <f>4218.75/(1+B2)</f>
        <v>4218.75</v>
      </c>
      <c r="D15251" s="17" t="s">
        <v>11</v>
      </c>
      <c r="E15251" s="17" t="s">
        <v>11</v>
      </c>
      <c r="F15251" s="18"/>
      <c r="G15251" s="36" t="str">
        <f>IF(ISNUMBER(F15251),C15251*F15251,"")</f>
        <v/>
      </c>
    </row>
    <row r="15252" spans="1:7" ht="12" customHeight="1" outlineLevel="2" x14ac:dyDescent="0.2">
      <c r="A15252" s="14" t="s">
        <v>30000</v>
      </c>
      <c r="B15252" s="15" t="s">
        <v>30001</v>
      </c>
      <c r="C15252" s="19">
        <f>4218.75/(1+B2)</f>
        <v>4218.75</v>
      </c>
      <c r="D15252" s="17" t="s">
        <v>11</v>
      </c>
      <c r="E15252" s="17" t="s">
        <v>11</v>
      </c>
      <c r="F15252" s="18"/>
      <c r="G15252" s="36" t="str">
        <f>IF(ISNUMBER(F15252),C15252*F15252,"")</f>
        <v/>
      </c>
    </row>
    <row r="15253" spans="1:7" ht="12" customHeight="1" outlineLevel="2" x14ac:dyDescent="0.2">
      <c r="A15253" s="14" t="s">
        <v>30002</v>
      </c>
      <c r="B15253" s="15" t="s">
        <v>30003</v>
      </c>
      <c r="C15253" s="19">
        <f>4218.75/(1+B2)</f>
        <v>4218.75</v>
      </c>
      <c r="D15253" s="17" t="s">
        <v>11</v>
      </c>
      <c r="E15253" s="17" t="s">
        <v>11</v>
      </c>
      <c r="F15253" s="18"/>
      <c r="G15253" s="36" t="str">
        <f>IF(ISNUMBER(F15253),C15253*F15253,"")</f>
        <v/>
      </c>
    </row>
    <row r="15254" spans="1:7" ht="12" customHeight="1" outlineLevel="2" x14ac:dyDescent="0.2">
      <c r="A15254" s="14" t="s">
        <v>30004</v>
      </c>
      <c r="B15254" s="15" t="s">
        <v>30005</v>
      </c>
      <c r="C15254" s="19">
        <f>4218.75/(1+B2)</f>
        <v>4218.75</v>
      </c>
      <c r="D15254" s="17" t="s">
        <v>11</v>
      </c>
      <c r="E15254" s="17" t="s">
        <v>11</v>
      </c>
      <c r="F15254" s="18"/>
      <c r="G15254" s="36" t="str">
        <f>IF(ISNUMBER(F15254),C15254*F15254,"")</f>
        <v/>
      </c>
    </row>
    <row r="15255" spans="1:7" ht="12" customHeight="1" outlineLevel="2" x14ac:dyDescent="0.2">
      <c r="A15255" s="14" t="s">
        <v>30006</v>
      </c>
      <c r="B15255" s="15" t="s">
        <v>30007</v>
      </c>
      <c r="C15255" s="19">
        <f>4218.75/(1+B2)</f>
        <v>4218.75</v>
      </c>
      <c r="D15255" s="17" t="s">
        <v>11</v>
      </c>
      <c r="E15255" s="17" t="s">
        <v>11</v>
      </c>
      <c r="F15255" s="18"/>
      <c r="G15255" s="36" t="str">
        <f>IF(ISNUMBER(F15255),C15255*F15255,"")</f>
        <v/>
      </c>
    </row>
    <row r="15256" spans="1:7" ht="12" customHeight="1" outlineLevel="2" x14ac:dyDescent="0.2">
      <c r="A15256" s="14" t="s">
        <v>30008</v>
      </c>
      <c r="B15256" s="15" t="s">
        <v>30009</v>
      </c>
      <c r="C15256" s="19">
        <f>4218.75/(1+B2)</f>
        <v>4218.75</v>
      </c>
      <c r="D15256" s="17" t="s">
        <v>11</v>
      </c>
      <c r="E15256" s="17" t="s">
        <v>11</v>
      </c>
      <c r="F15256" s="18"/>
      <c r="G15256" s="36" t="str">
        <f>IF(ISNUMBER(F15256),C15256*F15256,"")</f>
        <v/>
      </c>
    </row>
    <row r="15257" spans="1:7" ht="12" customHeight="1" outlineLevel="2" x14ac:dyDescent="0.2">
      <c r="A15257" s="14" t="s">
        <v>30010</v>
      </c>
      <c r="B15257" s="15" t="s">
        <v>30011</v>
      </c>
      <c r="C15257" s="19">
        <f>4218.75/(1+B2)</f>
        <v>4218.75</v>
      </c>
      <c r="D15257" s="17" t="s">
        <v>11</v>
      </c>
      <c r="E15257" s="17" t="s">
        <v>11</v>
      </c>
      <c r="F15257" s="18"/>
      <c r="G15257" s="36" t="str">
        <f>IF(ISNUMBER(F15257),C15257*F15257,"")</f>
        <v/>
      </c>
    </row>
    <row r="15258" spans="1:7" s="1" customFormat="1" ht="15.95" customHeight="1" outlineLevel="1" x14ac:dyDescent="0.25">
      <c r="A15258" s="11"/>
      <c r="B15258" s="12" t="s">
        <v>30012</v>
      </c>
      <c r="C15258" s="13"/>
      <c r="D15258" s="13"/>
      <c r="E15258" s="13"/>
      <c r="F15258" s="13"/>
      <c r="G15258" s="35"/>
    </row>
    <row r="15259" spans="1:7" ht="12" customHeight="1" outlineLevel="2" x14ac:dyDescent="0.2">
      <c r="A15259" s="14" t="s">
        <v>30013</v>
      </c>
      <c r="B15259" s="15" t="s">
        <v>30014</v>
      </c>
      <c r="C15259" s="16">
        <f>257.13/(1+B2)</f>
        <v>257.13</v>
      </c>
      <c r="D15259" s="17" t="s">
        <v>11</v>
      </c>
      <c r="E15259" s="17" t="s">
        <v>11</v>
      </c>
      <c r="F15259" s="18"/>
      <c r="G15259" s="36" t="str">
        <f>IF(ISNUMBER(F15259),C15259*F15259,"")</f>
        <v/>
      </c>
    </row>
    <row r="15260" spans="1:7" ht="24" customHeight="1" outlineLevel="2" x14ac:dyDescent="0.2">
      <c r="A15260" s="14" t="s">
        <v>30015</v>
      </c>
      <c r="B15260" s="15" t="s">
        <v>30016</v>
      </c>
      <c r="C15260" s="16">
        <f>257.13/(1+B2)</f>
        <v>257.13</v>
      </c>
      <c r="D15260" s="17" t="s">
        <v>11</v>
      </c>
      <c r="E15260" s="17" t="s">
        <v>53</v>
      </c>
      <c r="F15260" s="18"/>
      <c r="G15260" s="36" t="str">
        <f>IF(ISNUMBER(F15260),C15260*F15260,"")</f>
        <v/>
      </c>
    </row>
    <row r="15261" spans="1:7" ht="12" customHeight="1" outlineLevel="2" x14ac:dyDescent="0.2">
      <c r="A15261" s="14" t="s">
        <v>30017</v>
      </c>
      <c r="B15261" s="15" t="s">
        <v>30018</v>
      </c>
      <c r="C15261" s="16">
        <f>257.13/(1+B2)</f>
        <v>257.13</v>
      </c>
      <c r="D15261" s="17" t="s">
        <v>11</v>
      </c>
      <c r="E15261" s="17" t="s">
        <v>14</v>
      </c>
      <c r="F15261" s="18"/>
      <c r="G15261" s="36" t="str">
        <f>IF(ISNUMBER(F15261),C15261*F15261,"")</f>
        <v/>
      </c>
    </row>
    <row r="15262" spans="1:7" ht="12" customHeight="1" outlineLevel="2" x14ac:dyDescent="0.2">
      <c r="A15262" s="14" t="s">
        <v>30019</v>
      </c>
      <c r="B15262" s="15" t="s">
        <v>30020</v>
      </c>
      <c r="C15262" s="16">
        <f>287.38/(1+B2)</f>
        <v>287.38</v>
      </c>
      <c r="D15262" s="17" t="s">
        <v>11</v>
      </c>
      <c r="E15262" s="17" t="s">
        <v>11</v>
      </c>
      <c r="F15262" s="18"/>
      <c r="G15262" s="36" t="str">
        <f>IF(ISNUMBER(F15262),C15262*F15262,"")</f>
        <v/>
      </c>
    </row>
    <row r="15263" spans="1:7" ht="12" customHeight="1" outlineLevel="2" x14ac:dyDescent="0.2">
      <c r="A15263" s="14" t="s">
        <v>30021</v>
      </c>
      <c r="B15263" s="15" t="s">
        <v>30022</v>
      </c>
      <c r="C15263" s="16">
        <f>287.38/(1+B2)</f>
        <v>287.38</v>
      </c>
      <c r="D15263" s="17" t="s">
        <v>11</v>
      </c>
      <c r="E15263" s="17"/>
      <c r="F15263" s="18"/>
      <c r="G15263" s="36" t="str">
        <f>IF(ISNUMBER(F15263),C15263*F15263,"")</f>
        <v/>
      </c>
    </row>
    <row r="15264" spans="1:7" ht="12" customHeight="1" outlineLevel="2" x14ac:dyDescent="0.2">
      <c r="A15264" s="14" t="s">
        <v>30023</v>
      </c>
      <c r="B15264" s="15" t="s">
        <v>30024</v>
      </c>
      <c r="C15264" s="16">
        <f>287.38/(1+B2)</f>
        <v>287.38</v>
      </c>
      <c r="D15264" s="17" t="s">
        <v>11</v>
      </c>
      <c r="E15264" s="17"/>
      <c r="F15264" s="18"/>
      <c r="G15264" s="36" t="str">
        <f>IF(ISNUMBER(F15264),C15264*F15264,"")</f>
        <v/>
      </c>
    </row>
    <row r="15265" spans="1:7" ht="12" customHeight="1" outlineLevel="2" x14ac:dyDescent="0.2">
      <c r="A15265" s="14" t="s">
        <v>30025</v>
      </c>
      <c r="B15265" s="15" t="s">
        <v>30026</v>
      </c>
      <c r="C15265" s="16">
        <f>217.63/(1+B2)</f>
        <v>217.63</v>
      </c>
      <c r="D15265" s="17" t="s">
        <v>11</v>
      </c>
      <c r="E15265" s="17" t="s">
        <v>14</v>
      </c>
      <c r="F15265" s="18"/>
      <c r="G15265" s="36" t="str">
        <f>IF(ISNUMBER(F15265),C15265*F15265,"")</f>
        <v/>
      </c>
    </row>
    <row r="15266" spans="1:7" ht="12" customHeight="1" outlineLevel="2" x14ac:dyDescent="0.2">
      <c r="A15266" s="14" t="s">
        <v>30027</v>
      </c>
      <c r="B15266" s="15" t="s">
        <v>30028</v>
      </c>
      <c r="C15266" s="16">
        <f>217.63/(1+B2)</f>
        <v>217.63</v>
      </c>
      <c r="D15266" s="17" t="s">
        <v>11</v>
      </c>
      <c r="E15266" s="17" t="s">
        <v>53</v>
      </c>
      <c r="F15266" s="18"/>
      <c r="G15266" s="36" t="str">
        <f>IF(ISNUMBER(F15266),C15266*F15266,"")</f>
        <v/>
      </c>
    </row>
    <row r="15267" spans="1:7" ht="12" customHeight="1" outlineLevel="2" x14ac:dyDescent="0.2">
      <c r="A15267" s="14" t="s">
        <v>30029</v>
      </c>
      <c r="B15267" s="15" t="s">
        <v>30030</v>
      </c>
      <c r="C15267" s="16">
        <f>217.63/(1+B2)</f>
        <v>217.63</v>
      </c>
      <c r="D15267" s="17" t="s">
        <v>11</v>
      </c>
      <c r="E15267" s="17" t="s">
        <v>53</v>
      </c>
      <c r="F15267" s="18"/>
      <c r="G15267" s="36" t="str">
        <f>IF(ISNUMBER(F15267),C15267*F15267,"")</f>
        <v/>
      </c>
    </row>
    <row r="15268" spans="1:7" ht="12" customHeight="1" outlineLevel="2" x14ac:dyDescent="0.2">
      <c r="A15268" s="14" t="s">
        <v>30031</v>
      </c>
      <c r="B15268" s="15" t="s">
        <v>30032</v>
      </c>
      <c r="C15268" s="16">
        <f>217.63/(1+B2)</f>
        <v>217.63</v>
      </c>
      <c r="D15268" s="17" t="s">
        <v>11</v>
      </c>
      <c r="E15268" s="17" t="s">
        <v>14</v>
      </c>
      <c r="F15268" s="18"/>
      <c r="G15268" s="36" t="str">
        <f>IF(ISNUMBER(F15268),C15268*F15268,"")</f>
        <v/>
      </c>
    </row>
    <row r="15269" spans="1:7" ht="12" customHeight="1" outlineLevel="2" x14ac:dyDescent="0.2">
      <c r="A15269" s="14" t="s">
        <v>30033</v>
      </c>
      <c r="B15269" s="15" t="s">
        <v>30034</v>
      </c>
      <c r="C15269" s="16">
        <f>201.38/(1+B2)</f>
        <v>201.38</v>
      </c>
      <c r="D15269" s="17" t="s">
        <v>11</v>
      </c>
      <c r="E15269" s="17" t="s">
        <v>53</v>
      </c>
      <c r="F15269" s="18"/>
      <c r="G15269" s="36" t="str">
        <f>IF(ISNUMBER(F15269),C15269*F15269,"")</f>
        <v/>
      </c>
    </row>
    <row r="15270" spans="1:7" ht="12" customHeight="1" outlineLevel="2" x14ac:dyDescent="0.2">
      <c r="A15270" s="14" t="s">
        <v>30035</v>
      </c>
      <c r="B15270" s="15" t="s">
        <v>30036</v>
      </c>
      <c r="C15270" s="16">
        <f>148.13/(1+B2)</f>
        <v>148.13</v>
      </c>
      <c r="D15270" s="17" t="s">
        <v>11</v>
      </c>
      <c r="E15270" s="17"/>
      <c r="F15270" s="18"/>
      <c r="G15270" s="36" t="str">
        <f>IF(ISNUMBER(F15270),C15270*F15270,"")</f>
        <v/>
      </c>
    </row>
    <row r="15271" spans="1:7" ht="12" customHeight="1" outlineLevel="2" x14ac:dyDescent="0.2">
      <c r="A15271" s="14" t="s">
        <v>30037</v>
      </c>
      <c r="B15271" s="15" t="s">
        <v>30038</v>
      </c>
      <c r="C15271" s="16">
        <f>147.88/(1+B2)</f>
        <v>147.88</v>
      </c>
      <c r="D15271" s="17" t="s">
        <v>11</v>
      </c>
      <c r="E15271" s="17" t="s">
        <v>53</v>
      </c>
      <c r="F15271" s="18"/>
      <c r="G15271" s="36" t="str">
        <f>IF(ISNUMBER(F15271),C15271*F15271,"")</f>
        <v/>
      </c>
    </row>
    <row r="15272" spans="1:7" ht="12" customHeight="1" outlineLevel="2" x14ac:dyDescent="0.2">
      <c r="A15272" s="14" t="s">
        <v>30039</v>
      </c>
      <c r="B15272" s="15" t="s">
        <v>30040</v>
      </c>
      <c r="C15272" s="16">
        <f>226.38/(1+B2)</f>
        <v>226.38</v>
      </c>
      <c r="D15272" s="17" t="s">
        <v>11</v>
      </c>
      <c r="E15272" s="17" t="s">
        <v>53</v>
      </c>
      <c r="F15272" s="18"/>
      <c r="G15272" s="36" t="str">
        <f>IF(ISNUMBER(F15272),C15272*F15272,"")</f>
        <v/>
      </c>
    </row>
    <row r="15273" spans="1:7" ht="12" customHeight="1" outlineLevel="2" x14ac:dyDescent="0.2">
      <c r="A15273" s="14" t="s">
        <v>30041</v>
      </c>
      <c r="B15273" s="15" t="s">
        <v>30042</v>
      </c>
      <c r="C15273" s="16">
        <f>226.38/(1+B2)</f>
        <v>226.38</v>
      </c>
      <c r="D15273" s="17" t="s">
        <v>11</v>
      </c>
      <c r="E15273" s="17" t="s">
        <v>53</v>
      </c>
      <c r="F15273" s="18"/>
      <c r="G15273" s="36" t="str">
        <f>IF(ISNUMBER(F15273),C15273*F15273,"")</f>
        <v/>
      </c>
    </row>
    <row r="15274" spans="1:7" ht="12" customHeight="1" outlineLevel="2" x14ac:dyDescent="0.2">
      <c r="A15274" s="14" t="s">
        <v>30043</v>
      </c>
      <c r="B15274" s="15" t="s">
        <v>30044</v>
      </c>
      <c r="C15274" s="16">
        <f>226.38/(1+B2)</f>
        <v>226.38</v>
      </c>
      <c r="D15274" s="17" t="s">
        <v>11</v>
      </c>
      <c r="E15274" s="17" t="s">
        <v>53</v>
      </c>
      <c r="F15274" s="18"/>
      <c r="G15274" s="36" t="str">
        <f>IF(ISNUMBER(F15274),C15274*F15274,"")</f>
        <v/>
      </c>
    </row>
    <row r="15275" spans="1:7" ht="12" customHeight="1" outlineLevel="2" x14ac:dyDescent="0.2">
      <c r="A15275" s="14" t="s">
        <v>30045</v>
      </c>
      <c r="B15275" s="15" t="s">
        <v>30046</v>
      </c>
      <c r="C15275" s="16">
        <f>191.75/(1+B2)</f>
        <v>191.75</v>
      </c>
      <c r="D15275" s="17" t="s">
        <v>11</v>
      </c>
      <c r="E15275" s="17" t="s">
        <v>14</v>
      </c>
      <c r="F15275" s="18"/>
      <c r="G15275" s="36" t="str">
        <f>IF(ISNUMBER(F15275),C15275*F15275,"")</f>
        <v/>
      </c>
    </row>
    <row r="15276" spans="1:7" ht="12" customHeight="1" outlineLevel="2" x14ac:dyDescent="0.2">
      <c r="A15276" s="14" t="s">
        <v>30047</v>
      </c>
      <c r="B15276" s="15" t="s">
        <v>30048</v>
      </c>
      <c r="C15276" s="16">
        <f>191.75/(1+B2)</f>
        <v>191.75</v>
      </c>
      <c r="D15276" s="17" t="s">
        <v>11</v>
      </c>
      <c r="E15276" s="17" t="s">
        <v>14</v>
      </c>
      <c r="F15276" s="18"/>
      <c r="G15276" s="36" t="str">
        <f>IF(ISNUMBER(F15276),C15276*F15276,"")</f>
        <v/>
      </c>
    </row>
    <row r="15277" spans="1:7" ht="12" customHeight="1" outlineLevel="2" x14ac:dyDescent="0.2">
      <c r="A15277" s="14" t="s">
        <v>30049</v>
      </c>
      <c r="B15277" s="15" t="s">
        <v>30050</v>
      </c>
      <c r="C15277" s="16">
        <f>191.75/(1+B2)</f>
        <v>191.75</v>
      </c>
      <c r="D15277" s="17" t="s">
        <v>11</v>
      </c>
      <c r="E15277" s="17" t="s">
        <v>11</v>
      </c>
      <c r="F15277" s="18"/>
      <c r="G15277" s="36" t="str">
        <f>IF(ISNUMBER(F15277),C15277*F15277,"")</f>
        <v/>
      </c>
    </row>
    <row r="15278" spans="1:7" ht="12" customHeight="1" outlineLevel="2" x14ac:dyDescent="0.2">
      <c r="A15278" s="14" t="s">
        <v>30051</v>
      </c>
      <c r="B15278" s="15" t="s">
        <v>30052</v>
      </c>
      <c r="C15278" s="16">
        <f>191.75/(1+B2)</f>
        <v>191.75</v>
      </c>
      <c r="D15278" s="17" t="s">
        <v>11</v>
      </c>
      <c r="E15278" s="17" t="s">
        <v>11</v>
      </c>
      <c r="F15278" s="18"/>
      <c r="G15278" s="36" t="str">
        <f>IF(ISNUMBER(F15278),C15278*F15278,"")</f>
        <v/>
      </c>
    </row>
    <row r="15279" spans="1:7" ht="12" customHeight="1" outlineLevel="2" x14ac:dyDescent="0.2">
      <c r="A15279" s="14" t="s">
        <v>30053</v>
      </c>
      <c r="B15279" s="15" t="s">
        <v>30054</v>
      </c>
      <c r="C15279" s="16">
        <f>191.75/(1+B2)</f>
        <v>191.75</v>
      </c>
      <c r="D15279" s="17" t="s">
        <v>11</v>
      </c>
      <c r="E15279" s="17" t="s">
        <v>14</v>
      </c>
      <c r="F15279" s="18"/>
      <c r="G15279" s="36" t="str">
        <f>IF(ISNUMBER(F15279),C15279*F15279,"")</f>
        <v/>
      </c>
    </row>
    <row r="15280" spans="1:7" ht="12" customHeight="1" outlineLevel="2" x14ac:dyDescent="0.2">
      <c r="A15280" s="14" t="s">
        <v>30055</v>
      </c>
      <c r="B15280" s="15" t="s">
        <v>30056</v>
      </c>
      <c r="C15280" s="16">
        <f>219.13/(1+B2)</f>
        <v>219.13</v>
      </c>
      <c r="D15280" s="17" t="s">
        <v>11</v>
      </c>
      <c r="E15280" s="17" t="s">
        <v>14</v>
      </c>
      <c r="F15280" s="18"/>
      <c r="G15280" s="36" t="str">
        <f>IF(ISNUMBER(F15280),C15280*F15280,"")</f>
        <v/>
      </c>
    </row>
    <row r="15281" spans="1:7" ht="12" customHeight="1" outlineLevel="2" x14ac:dyDescent="0.2">
      <c r="A15281" s="14" t="s">
        <v>30057</v>
      </c>
      <c r="B15281" s="15" t="s">
        <v>30058</v>
      </c>
      <c r="C15281" s="16">
        <f>219.13/(1+B2)</f>
        <v>219.13</v>
      </c>
      <c r="D15281" s="17" t="s">
        <v>11</v>
      </c>
      <c r="E15281" s="17" t="s">
        <v>14</v>
      </c>
      <c r="F15281" s="18"/>
      <c r="G15281" s="36" t="str">
        <f>IF(ISNUMBER(F15281),C15281*F15281,"")</f>
        <v/>
      </c>
    </row>
    <row r="15282" spans="1:7" ht="12" customHeight="1" outlineLevel="2" x14ac:dyDescent="0.2">
      <c r="A15282" s="14" t="s">
        <v>30059</v>
      </c>
      <c r="B15282" s="15" t="s">
        <v>30060</v>
      </c>
      <c r="C15282" s="16">
        <f>219.13/(1+B2)</f>
        <v>219.13</v>
      </c>
      <c r="D15282" s="17" t="s">
        <v>11</v>
      </c>
      <c r="E15282" s="17" t="s">
        <v>53</v>
      </c>
      <c r="F15282" s="18"/>
      <c r="G15282" s="36" t="str">
        <f>IF(ISNUMBER(F15282),C15282*F15282,"")</f>
        <v/>
      </c>
    </row>
    <row r="15283" spans="1:7" ht="12" customHeight="1" outlineLevel="2" x14ac:dyDescent="0.2">
      <c r="A15283" s="14" t="s">
        <v>30061</v>
      </c>
      <c r="B15283" s="15" t="s">
        <v>30062</v>
      </c>
      <c r="C15283" s="16">
        <f>219.13/(1+B2)</f>
        <v>219.13</v>
      </c>
      <c r="D15283" s="17" t="s">
        <v>11</v>
      </c>
      <c r="E15283" s="17" t="s">
        <v>53</v>
      </c>
      <c r="F15283" s="18"/>
      <c r="G15283" s="36" t="str">
        <f>IF(ISNUMBER(F15283),C15283*F15283,"")</f>
        <v/>
      </c>
    </row>
    <row r="15284" spans="1:7" ht="12" customHeight="1" outlineLevel="2" x14ac:dyDescent="0.2">
      <c r="A15284" s="14" t="s">
        <v>30063</v>
      </c>
      <c r="B15284" s="15" t="s">
        <v>30064</v>
      </c>
      <c r="C15284" s="16">
        <f>256.25/(1+B2)</f>
        <v>256.25</v>
      </c>
      <c r="D15284" s="17" t="s">
        <v>11</v>
      </c>
      <c r="E15284" s="17" t="s">
        <v>53</v>
      </c>
      <c r="F15284" s="18"/>
      <c r="G15284" s="36" t="str">
        <f>IF(ISNUMBER(F15284),C15284*F15284,"")</f>
        <v/>
      </c>
    </row>
    <row r="15285" spans="1:7" ht="12" customHeight="1" outlineLevel="2" x14ac:dyDescent="0.2">
      <c r="A15285" s="14" t="s">
        <v>30065</v>
      </c>
      <c r="B15285" s="15" t="s">
        <v>30066</v>
      </c>
      <c r="C15285" s="16">
        <f>256.25/(1+B2)</f>
        <v>256.25</v>
      </c>
      <c r="D15285" s="17" t="s">
        <v>11</v>
      </c>
      <c r="E15285" s="17" t="s">
        <v>53</v>
      </c>
      <c r="F15285" s="18"/>
      <c r="G15285" s="36" t="str">
        <f>IF(ISNUMBER(F15285),C15285*F15285,"")</f>
        <v/>
      </c>
    </row>
    <row r="15286" spans="1:7" ht="12" customHeight="1" outlineLevel="2" x14ac:dyDescent="0.2">
      <c r="A15286" s="14" t="s">
        <v>30067</v>
      </c>
      <c r="B15286" s="15" t="s">
        <v>30068</v>
      </c>
      <c r="C15286" s="16">
        <f>256.25/(1+B2)</f>
        <v>256.25</v>
      </c>
      <c r="D15286" s="17" t="s">
        <v>11</v>
      </c>
      <c r="E15286" s="17" t="s">
        <v>53</v>
      </c>
      <c r="F15286" s="18"/>
      <c r="G15286" s="36" t="str">
        <f>IF(ISNUMBER(F15286),C15286*F15286,"")</f>
        <v/>
      </c>
    </row>
    <row r="15287" spans="1:7" ht="12" customHeight="1" outlineLevel="2" x14ac:dyDescent="0.2">
      <c r="A15287" s="14" t="s">
        <v>30069</v>
      </c>
      <c r="B15287" s="15" t="s">
        <v>30070</v>
      </c>
      <c r="C15287" s="16">
        <f>289.13/(1+B2)</f>
        <v>289.13</v>
      </c>
      <c r="D15287" s="17" t="s">
        <v>11</v>
      </c>
      <c r="E15287" s="17" t="s">
        <v>53</v>
      </c>
      <c r="F15287" s="18"/>
      <c r="G15287" s="36" t="str">
        <f>IF(ISNUMBER(F15287),C15287*F15287,"")</f>
        <v/>
      </c>
    </row>
    <row r="15288" spans="1:7" ht="12" customHeight="1" outlineLevel="2" x14ac:dyDescent="0.2">
      <c r="A15288" s="14" t="s">
        <v>30071</v>
      </c>
      <c r="B15288" s="15" t="s">
        <v>30072</v>
      </c>
      <c r="C15288" s="16">
        <f>289.13/(1+B2)</f>
        <v>289.13</v>
      </c>
      <c r="D15288" s="17" t="s">
        <v>11</v>
      </c>
      <c r="E15288" s="17" t="s">
        <v>53</v>
      </c>
      <c r="F15288" s="18"/>
      <c r="G15288" s="36" t="str">
        <f>IF(ISNUMBER(F15288),C15288*F15288,"")</f>
        <v/>
      </c>
    </row>
    <row r="15289" spans="1:7" ht="12" customHeight="1" outlineLevel="2" x14ac:dyDescent="0.2">
      <c r="A15289" s="14" t="s">
        <v>30073</v>
      </c>
      <c r="B15289" s="15" t="s">
        <v>30074</v>
      </c>
      <c r="C15289" s="16">
        <f>289.13/(1+B2)</f>
        <v>289.13</v>
      </c>
      <c r="D15289" s="17" t="s">
        <v>11</v>
      </c>
      <c r="E15289" s="17" t="s">
        <v>53</v>
      </c>
      <c r="F15289" s="18"/>
      <c r="G15289" s="36" t="str">
        <f>IF(ISNUMBER(F15289),C15289*F15289,"")</f>
        <v/>
      </c>
    </row>
    <row r="15290" spans="1:7" ht="12" customHeight="1" outlineLevel="2" x14ac:dyDescent="0.2">
      <c r="A15290" s="14" t="s">
        <v>30075</v>
      </c>
      <c r="B15290" s="15" t="s">
        <v>30076</v>
      </c>
      <c r="C15290" s="16">
        <f>289.13/(1+B2)</f>
        <v>289.13</v>
      </c>
      <c r="D15290" s="17" t="s">
        <v>11</v>
      </c>
      <c r="E15290" s="17" t="s">
        <v>53</v>
      </c>
      <c r="F15290" s="18"/>
      <c r="G15290" s="36" t="str">
        <f>IF(ISNUMBER(F15290),C15290*F15290,"")</f>
        <v/>
      </c>
    </row>
    <row r="15291" spans="1:7" ht="12" customHeight="1" outlineLevel="2" x14ac:dyDescent="0.2">
      <c r="A15291" s="14" t="s">
        <v>30077</v>
      </c>
      <c r="B15291" s="15" t="s">
        <v>30078</v>
      </c>
      <c r="C15291" s="16">
        <f>79.93/(1+B2)</f>
        <v>79.930000000000007</v>
      </c>
      <c r="D15291" s="17" t="s">
        <v>11</v>
      </c>
      <c r="E15291" s="17"/>
      <c r="F15291" s="18"/>
      <c r="G15291" s="36" t="str">
        <f>IF(ISNUMBER(F15291),C15291*F15291,"")</f>
        <v/>
      </c>
    </row>
    <row r="15292" spans="1:7" ht="12" customHeight="1" outlineLevel="2" x14ac:dyDescent="0.2">
      <c r="A15292" s="14" t="s">
        <v>30079</v>
      </c>
      <c r="B15292" s="15" t="s">
        <v>30080</v>
      </c>
      <c r="C15292" s="16">
        <f>291.19/(1+B2)</f>
        <v>291.19</v>
      </c>
      <c r="D15292" s="17" t="s">
        <v>11</v>
      </c>
      <c r="E15292" s="17"/>
      <c r="F15292" s="18"/>
      <c r="G15292" s="36" t="str">
        <f>IF(ISNUMBER(F15292),C15292*F15292,"")</f>
        <v/>
      </c>
    </row>
    <row r="15293" spans="1:7" ht="12" customHeight="1" outlineLevel="2" x14ac:dyDescent="0.2">
      <c r="A15293" s="14" t="s">
        <v>30081</v>
      </c>
      <c r="B15293" s="15" t="s">
        <v>30082</v>
      </c>
      <c r="C15293" s="16">
        <f>391.11/(1+B2)</f>
        <v>391.11</v>
      </c>
      <c r="D15293" s="17" t="s">
        <v>11</v>
      </c>
      <c r="E15293" s="17"/>
      <c r="F15293" s="18"/>
      <c r="G15293" s="36" t="str">
        <f>IF(ISNUMBER(F15293),C15293*F15293,"")</f>
        <v/>
      </c>
    </row>
    <row r="15294" spans="1:7" ht="12" customHeight="1" outlineLevel="2" x14ac:dyDescent="0.2">
      <c r="A15294" s="14" t="s">
        <v>30083</v>
      </c>
      <c r="B15294" s="15" t="s">
        <v>30084</v>
      </c>
      <c r="C15294" s="16">
        <f>314.03/(1+B2)</f>
        <v>314.02999999999997</v>
      </c>
      <c r="D15294" s="17" t="s">
        <v>11</v>
      </c>
      <c r="E15294" s="17" t="s">
        <v>11</v>
      </c>
      <c r="F15294" s="18"/>
      <c r="G15294" s="36" t="str">
        <f>IF(ISNUMBER(F15294),C15294*F15294,"")</f>
        <v/>
      </c>
    </row>
    <row r="15295" spans="1:7" ht="12" customHeight="1" outlineLevel="2" x14ac:dyDescent="0.2">
      <c r="A15295" s="14" t="s">
        <v>30085</v>
      </c>
      <c r="B15295" s="15" t="s">
        <v>30086</v>
      </c>
      <c r="C15295" s="16">
        <f>163.13/(1+B2)</f>
        <v>163.13</v>
      </c>
      <c r="D15295" s="17" t="s">
        <v>11</v>
      </c>
      <c r="E15295" s="17"/>
      <c r="F15295" s="18"/>
      <c r="G15295" s="36" t="str">
        <f>IF(ISNUMBER(F15295),C15295*F15295,"")</f>
        <v/>
      </c>
    </row>
    <row r="15296" spans="1:7" ht="12" customHeight="1" outlineLevel="2" x14ac:dyDescent="0.2">
      <c r="A15296" s="14" t="s">
        <v>30087</v>
      </c>
      <c r="B15296" s="15" t="s">
        <v>30088</v>
      </c>
      <c r="C15296" s="16">
        <f>163.13/(1+B2)</f>
        <v>163.13</v>
      </c>
      <c r="D15296" s="17" t="s">
        <v>11</v>
      </c>
      <c r="E15296" s="17"/>
      <c r="F15296" s="18"/>
      <c r="G15296" s="36" t="str">
        <f>IF(ISNUMBER(F15296),C15296*F15296,"")</f>
        <v/>
      </c>
    </row>
    <row r="15297" spans="1:7" ht="12" customHeight="1" outlineLevel="2" x14ac:dyDescent="0.2">
      <c r="A15297" s="14" t="s">
        <v>30089</v>
      </c>
      <c r="B15297" s="15" t="s">
        <v>30090</v>
      </c>
      <c r="C15297" s="16">
        <f>163.13/(1+B2)</f>
        <v>163.13</v>
      </c>
      <c r="D15297" s="17" t="s">
        <v>11</v>
      </c>
      <c r="E15297" s="17"/>
      <c r="F15297" s="18"/>
      <c r="G15297" s="36" t="str">
        <f>IF(ISNUMBER(F15297),C15297*F15297,"")</f>
        <v/>
      </c>
    </row>
    <row r="15298" spans="1:7" ht="12" customHeight="1" outlineLevel="2" x14ac:dyDescent="0.2">
      <c r="A15298" s="14" t="s">
        <v>30091</v>
      </c>
      <c r="B15298" s="15" t="s">
        <v>30092</v>
      </c>
      <c r="C15298" s="16">
        <f>360.28/(1+B2)</f>
        <v>360.28</v>
      </c>
      <c r="D15298" s="17" t="s">
        <v>11</v>
      </c>
      <c r="E15298" s="17"/>
      <c r="F15298" s="18"/>
      <c r="G15298" s="36" t="str">
        <f>IF(ISNUMBER(F15298),C15298*F15298,"")</f>
        <v/>
      </c>
    </row>
    <row r="15299" spans="1:7" s="1" customFormat="1" ht="15.95" customHeight="1" outlineLevel="1" x14ac:dyDescent="0.25">
      <c r="A15299" s="11"/>
      <c r="B15299" s="12" t="s">
        <v>30093</v>
      </c>
      <c r="C15299" s="13"/>
      <c r="D15299" s="13"/>
      <c r="E15299" s="13"/>
      <c r="F15299" s="13"/>
      <c r="G15299" s="35"/>
    </row>
    <row r="15300" spans="1:7" ht="12" customHeight="1" outlineLevel="2" x14ac:dyDescent="0.2">
      <c r="A15300" s="14" t="s">
        <v>30094</v>
      </c>
      <c r="B15300" s="15" t="s">
        <v>30095</v>
      </c>
      <c r="C15300" s="16">
        <f>465.9/(1+B2)</f>
        <v>465.9</v>
      </c>
      <c r="D15300" s="17" t="s">
        <v>11</v>
      </c>
      <c r="E15300" s="17"/>
      <c r="F15300" s="18"/>
      <c r="G15300" s="36" t="str">
        <f>IF(ISNUMBER(F15300),C15300*F15300,"")</f>
        <v/>
      </c>
    </row>
    <row r="15301" spans="1:7" ht="12" customHeight="1" outlineLevel="2" x14ac:dyDescent="0.2">
      <c r="A15301" s="14" t="s">
        <v>30096</v>
      </c>
      <c r="B15301" s="15" t="s">
        <v>30097</v>
      </c>
      <c r="C15301" s="16">
        <f>512.49/(1+B2)</f>
        <v>512.49</v>
      </c>
      <c r="D15301" s="17" t="s">
        <v>11</v>
      </c>
      <c r="E15301" s="17"/>
      <c r="F15301" s="18"/>
      <c r="G15301" s="36" t="str">
        <f>IF(ISNUMBER(F15301),C15301*F15301,"")</f>
        <v/>
      </c>
    </row>
    <row r="15302" spans="1:7" ht="12" customHeight="1" outlineLevel="2" x14ac:dyDescent="0.2">
      <c r="A15302" s="14" t="s">
        <v>30098</v>
      </c>
      <c r="B15302" s="15" t="s">
        <v>30099</v>
      </c>
      <c r="C15302" s="16">
        <f>465.9/(1+B2)</f>
        <v>465.9</v>
      </c>
      <c r="D15302" s="17" t="s">
        <v>11</v>
      </c>
      <c r="E15302" s="17"/>
      <c r="F15302" s="18"/>
      <c r="G15302" s="36" t="str">
        <f>IF(ISNUMBER(F15302),C15302*F15302,"")</f>
        <v/>
      </c>
    </row>
    <row r="15303" spans="1:7" ht="12" customHeight="1" outlineLevel="2" x14ac:dyDescent="0.2">
      <c r="A15303" s="14" t="s">
        <v>30100</v>
      </c>
      <c r="B15303" s="15" t="s">
        <v>30101</v>
      </c>
      <c r="C15303" s="16">
        <f>710/(1+B2)</f>
        <v>710</v>
      </c>
      <c r="D15303" s="17" t="s">
        <v>11</v>
      </c>
      <c r="E15303" s="17" t="s">
        <v>11</v>
      </c>
      <c r="F15303" s="18"/>
      <c r="G15303" s="36" t="str">
        <f>IF(ISNUMBER(F15303),C15303*F15303,"")</f>
        <v/>
      </c>
    </row>
    <row r="15304" spans="1:7" ht="12" customHeight="1" outlineLevel="2" x14ac:dyDescent="0.2">
      <c r="A15304" s="14" t="s">
        <v>30102</v>
      </c>
      <c r="B15304" s="15" t="s">
        <v>30103</v>
      </c>
      <c r="C15304" s="16">
        <f>710/(1+B2)</f>
        <v>710</v>
      </c>
      <c r="D15304" s="17" t="s">
        <v>11</v>
      </c>
      <c r="E15304" s="17" t="s">
        <v>11</v>
      </c>
      <c r="F15304" s="18"/>
      <c r="G15304" s="36" t="str">
        <f>IF(ISNUMBER(F15304),C15304*F15304,"")</f>
        <v/>
      </c>
    </row>
    <row r="15305" spans="1:7" ht="12" customHeight="1" outlineLevel="2" x14ac:dyDescent="0.2">
      <c r="A15305" s="14" t="s">
        <v>30104</v>
      </c>
      <c r="B15305" s="15" t="s">
        <v>30105</v>
      </c>
      <c r="C15305" s="16">
        <f>710/(1+B2)</f>
        <v>710</v>
      </c>
      <c r="D15305" s="17" t="s">
        <v>11</v>
      </c>
      <c r="E15305" s="17" t="s">
        <v>11</v>
      </c>
      <c r="F15305" s="18"/>
      <c r="G15305" s="36" t="str">
        <f>IF(ISNUMBER(F15305),C15305*F15305,"")</f>
        <v/>
      </c>
    </row>
    <row r="15306" spans="1:7" ht="12" customHeight="1" outlineLevel="2" x14ac:dyDescent="0.2">
      <c r="A15306" s="14" t="s">
        <v>30106</v>
      </c>
      <c r="B15306" s="15" t="s">
        <v>30107</v>
      </c>
      <c r="C15306" s="16">
        <f>710/(1+B2)</f>
        <v>710</v>
      </c>
      <c r="D15306" s="17" t="s">
        <v>11</v>
      </c>
      <c r="E15306" s="17"/>
      <c r="F15306" s="18"/>
      <c r="G15306" s="36" t="str">
        <f>IF(ISNUMBER(F15306),C15306*F15306,"")</f>
        <v/>
      </c>
    </row>
    <row r="15307" spans="1:7" ht="12" customHeight="1" outlineLevel="2" x14ac:dyDescent="0.2">
      <c r="A15307" s="14" t="s">
        <v>30108</v>
      </c>
      <c r="B15307" s="15" t="s">
        <v>30109</v>
      </c>
      <c r="C15307" s="16">
        <f>710/(1+B2)</f>
        <v>710</v>
      </c>
      <c r="D15307" s="17" t="s">
        <v>11</v>
      </c>
      <c r="E15307" s="17" t="s">
        <v>11</v>
      </c>
      <c r="F15307" s="18"/>
      <c r="G15307" s="36" t="str">
        <f>IF(ISNUMBER(F15307),C15307*F15307,"")</f>
        <v/>
      </c>
    </row>
    <row r="15308" spans="1:7" ht="12" customHeight="1" outlineLevel="2" x14ac:dyDescent="0.2">
      <c r="A15308" s="14" t="s">
        <v>30110</v>
      </c>
      <c r="B15308" s="15" t="s">
        <v>30111</v>
      </c>
      <c r="C15308" s="16">
        <f>710/(1+B2)</f>
        <v>710</v>
      </c>
      <c r="D15308" s="17" t="s">
        <v>11</v>
      </c>
      <c r="E15308" s="17" t="s">
        <v>11</v>
      </c>
      <c r="F15308" s="18"/>
      <c r="G15308" s="36" t="str">
        <f>IF(ISNUMBER(F15308),C15308*F15308,"")</f>
        <v/>
      </c>
    </row>
    <row r="15309" spans="1:7" ht="12" customHeight="1" outlineLevel="2" x14ac:dyDescent="0.2">
      <c r="A15309" s="14" t="s">
        <v>30112</v>
      </c>
      <c r="B15309" s="15" t="s">
        <v>30113</v>
      </c>
      <c r="C15309" s="16">
        <f>710/(1+B2)</f>
        <v>710</v>
      </c>
      <c r="D15309" s="17" t="s">
        <v>11</v>
      </c>
      <c r="E15309" s="17" t="s">
        <v>11</v>
      </c>
      <c r="F15309" s="18"/>
      <c r="G15309" s="36" t="str">
        <f>IF(ISNUMBER(F15309),C15309*F15309,"")</f>
        <v/>
      </c>
    </row>
    <row r="15310" spans="1:7" ht="12" customHeight="1" outlineLevel="2" x14ac:dyDescent="0.2">
      <c r="A15310" s="14" t="s">
        <v>30114</v>
      </c>
      <c r="B15310" s="15" t="s">
        <v>30115</v>
      </c>
      <c r="C15310" s="16">
        <f>710/(1+B2)</f>
        <v>710</v>
      </c>
      <c r="D15310" s="17" t="s">
        <v>11</v>
      </c>
      <c r="E15310" s="17" t="s">
        <v>11</v>
      </c>
      <c r="F15310" s="18"/>
      <c r="G15310" s="36" t="str">
        <f>IF(ISNUMBER(F15310),C15310*F15310,"")</f>
        <v/>
      </c>
    </row>
    <row r="15311" spans="1:7" ht="12" customHeight="1" outlineLevel="2" x14ac:dyDescent="0.2">
      <c r="A15311" s="14" t="s">
        <v>30116</v>
      </c>
      <c r="B15311" s="15" t="s">
        <v>30117</v>
      </c>
      <c r="C15311" s="16">
        <f>710/(1+B2)</f>
        <v>710</v>
      </c>
      <c r="D15311" s="17" t="s">
        <v>11</v>
      </c>
      <c r="E15311" s="17" t="s">
        <v>11</v>
      </c>
      <c r="F15311" s="18"/>
      <c r="G15311" s="36" t="str">
        <f>IF(ISNUMBER(F15311),C15311*F15311,"")</f>
        <v/>
      </c>
    </row>
    <row r="15312" spans="1:7" ht="12" customHeight="1" outlineLevel="2" x14ac:dyDescent="0.2">
      <c r="A15312" s="14" t="s">
        <v>30118</v>
      </c>
      <c r="B15312" s="15" t="s">
        <v>30119</v>
      </c>
      <c r="C15312" s="16">
        <f>710/(1+B2)</f>
        <v>710</v>
      </c>
      <c r="D15312" s="17" t="s">
        <v>11</v>
      </c>
      <c r="E15312" s="17"/>
      <c r="F15312" s="18"/>
      <c r="G15312" s="36" t="str">
        <f>IF(ISNUMBER(F15312),C15312*F15312,"")</f>
        <v/>
      </c>
    </row>
    <row r="15313" spans="1:7" ht="12" customHeight="1" outlineLevel="2" x14ac:dyDescent="0.2">
      <c r="A15313" s="14" t="s">
        <v>30120</v>
      </c>
      <c r="B15313" s="15" t="s">
        <v>30121</v>
      </c>
      <c r="C15313" s="16">
        <f>710/(1+B2)</f>
        <v>710</v>
      </c>
      <c r="D15313" s="17" t="s">
        <v>11</v>
      </c>
      <c r="E15313" s="17" t="s">
        <v>11</v>
      </c>
      <c r="F15313" s="18"/>
      <c r="G15313" s="36" t="str">
        <f>IF(ISNUMBER(F15313),C15313*F15313,"")</f>
        <v/>
      </c>
    </row>
    <row r="15314" spans="1:7" ht="12" customHeight="1" outlineLevel="2" x14ac:dyDescent="0.2">
      <c r="A15314" s="14" t="s">
        <v>30122</v>
      </c>
      <c r="B15314" s="15" t="s">
        <v>30123</v>
      </c>
      <c r="C15314" s="16">
        <f>710/(1+B2)</f>
        <v>710</v>
      </c>
      <c r="D15314" s="17" t="s">
        <v>11</v>
      </c>
      <c r="E15314" s="17" t="s">
        <v>11</v>
      </c>
      <c r="F15314" s="18"/>
      <c r="G15314" s="36" t="str">
        <f>IF(ISNUMBER(F15314),C15314*F15314,"")</f>
        <v/>
      </c>
    </row>
    <row r="15315" spans="1:7" ht="12" customHeight="1" outlineLevel="2" x14ac:dyDescent="0.2">
      <c r="A15315" s="14" t="s">
        <v>30124</v>
      </c>
      <c r="B15315" s="15" t="s">
        <v>30125</v>
      </c>
      <c r="C15315" s="16">
        <f>710/(1+B2)</f>
        <v>710</v>
      </c>
      <c r="D15315" s="17" t="s">
        <v>11</v>
      </c>
      <c r="E15315" s="17" t="s">
        <v>11</v>
      </c>
      <c r="F15315" s="18"/>
      <c r="G15315" s="36" t="str">
        <f>IF(ISNUMBER(F15315),C15315*F15315,"")</f>
        <v/>
      </c>
    </row>
    <row r="15316" spans="1:7" ht="24" customHeight="1" outlineLevel="2" x14ac:dyDescent="0.2">
      <c r="A15316" s="14" t="s">
        <v>30126</v>
      </c>
      <c r="B15316" s="15" t="s">
        <v>30127</v>
      </c>
      <c r="C15316" s="16">
        <f>870/(1+B2)</f>
        <v>870</v>
      </c>
      <c r="D15316" s="17" t="s">
        <v>11</v>
      </c>
      <c r="E15316" s="17" t="s">
        <v>11</v>
      </c>
      <c r="F15316" s="18"/>
      <c r="G15316" s="36" t="str">
        <f>IF(ISNUMBER(F15316),C15316*F15316,"")</f>
        <v/>
      </c>
    </row>
    <row r="15317" spans="1:7" ht="24" customHeight="1" outlineLevel="2" x14ac:dyDescent="0.2">
      <c r="A15317" s="14" t="s">
        <v>30128</v>
      </c>
      <c r="B15317" s="15" t="s">
        <v>30129</v>
      </c>
      <c r="C15317" s="16">
        <f>870/(1+B2)</f>
        <v>870</v>
      </c>
      <c r="D15317" s="17" t="s">
        <v>11</v>
      </c>
      <c r="E15317" s="17" t="s">
        <v>11</v>
      </c>
      <c r="F15317" s="18"/>
      <c r="G15317" s="36" t="str">
        <f>IF(ISNUMBER(F15317),C15317*F15317,"")</f>
        <v/>
      </c>
    </row>
    <row r="15318" spans="1:7" ht="12" customHeight="1" outlineLevel="2" x14ac:dyDescent="0.2">
      <c r="A15318" s="14" t="s">
        <v>30130</v>
      </c>
      <c r="B15318" s="15" t="s">
        <v>30131</v>
      </c>
      <c r="C15318" s="16">
        <f>870/(1+B2)</f>
        <v>870</v>
      </c>
      <c r="D15318" s="17" t="s">
        <v>11</v>
      </c>
      <c r="E15318" s="17" t="s">
        <v>11</v>
      </c>
      <c r="F15318" s="18"/>
      <c r="G15318" s="36" t="str">
        <f>IF(ISNUMBER(F15318),C15318*F15318,"")</f>
        <v/>
      </c>
    </row>
    <row r="15319" spans="1:7" ht="12" customHeight="1" outlineLevel="2" x14ac:dyDescent="0.2">
      <c r="A15319" s="14" t="s">
        <v>30132</v>
      </c>
      <c r="B15319" s="15" t="s">
        <v>30133</v>
      </c>
      <c r="C15319" s="16">
        <f>870/(1+B2)</f>
        <v>870</v>
      </c>
      <c r="D15319" s="17" t="s">
        <v>11</v>
      </c>
      <c r="E15319" s="17"/>
      <c r="F15319" s="18"/>
      <c r="G15319" s="36" t="str">
        <f>IF(ISNUMBER(F15319),C15319*F15319,"")</f>
        <v/>
      </c>
    </row>
    <row r="15320" spans="1:7" ht="12" customHeight="1" outlineLevel="2" x14ac:dyDescent="0.2">
      <c r="A15320" s="14" t="s">
        <v>30134</v>
      </c>
      <c r="B15320" s="15" t="s">
        <v>30135</v>
      </c>
      <c r="C15320" s="16">
        <f>870/(1+B2)</f>
        <v>870</v>
      </c>
      <c r="D15320" s="17" t="s">
        <v>11</v>
      </c>
      <c r="E15320" s="17"/>
      <c r="F15320" s="18"/>
      <c r="G15320" s="36" t="str">
        <f>IF(ISNUMBER(F15320),C15320*F15320,"")</f>
        <v/>
      </c>
    </row>
    <row r="15321" spans="1:7" ht="12" customHeight="1" outlineLevel="2" x14ac:dyDescent="0.2">
      <c r="A15321" s="14" t="s">
        <v>30136</v>
      </c>
      <c r="B15321" s="15" t="s">
        <v>30137</v>
      </c>
      <c r="C15321" s="16">
        <f>870/(1+B2)</f>
        <v>870</v>
      </c>
      <c r="D15321" s="17" t="s">
        <v>11</v>
      </c>
      <c r="E15321" s="17" t="s">
        <v>11</v>
      </c>
      <c r="F15321" s="18"/>
      <c r="G15321" s="36" t="str">
        <f>IF(ISNUMBER(F15321),C15321*F15321,"")</f>
        <v/>
      </c>
    </row>
    <row r="15322" spans="1:7" ht="12" customHeight="1" outlineLevel="2" x14ac:dyDescent="0.2">
      <c r="A15322" s="14" t="s">
        <v>30138</v>
      </c>
      <c r="B15322" s="15" t="s">
        <v>30139</v>
      </c>
      <c r="C15322" s="16">
        <f>870/(1+B2)</f>
        <v>870</v>
      </c>
      <c r="D15322" s="17" t="s">
        <v>11</v>
      </c>
      <c r="E15322" s="17"/>
      <c r="F15322" s="18"/>
      <c r="G15322" s="36" t="str">
        <f>IF(ISNUMBER(F15322),C15322*F15322,"")</f>
        <v/>
      </c>
    </row>
    <row r="15323" spans="1:7" ht="12" customHeight="1" outlineLevel="2" x14ac:dyDescent="0.2">
      <c r="A15323" s="14" t="s">
        <v>30140</v>
      </c>
      <c r="B15323" s="15" t="s">
        <v>30141</v>
      </c>
      <c r="C15323" s="16">
        <f>870/(1+B2)</f>
        <v>870</v>
      </c>
      <c r="D15323" s="17" t="s">
        <v>11</v>
      </c>
      <c r="E15323" s="17"/>
      <c r="F15323" s="18"/>
      <c r="G15323" s="36" t="str">
        <f>IF(ISNUMBER(F15323),C15323*F15323,"")</f>
        <v/>
      </c>
    </row>
    <row r="15324" spans="1:7" ht="12" customHeight="1" outlineLevel="2" x14ac:dyDescent="0.2">
      <c r="A15324" s="14" t="s">
        <v>30142</v>
      </c>
      <c r="B15324" s="15" t="s">
        <v>30143</v>
      </c>
      <c r="C15324" s="16">
        <f>870/(1+B2)</f>
        <v>870</v>
      </c>
      <c r="D15324" s="17" t="s">
        <v>11</v>
      </c>
      <c r="E15324" s="17"/>
      <c r="F15324" s="18"/>
      <c r="G15324" s="36" t="str">
        <f>IF(ISNUMBER(F15324),C15324*F15324,"")</f>
        <v/>
      </c>
    </row>
    <row r="15325" spans="1:7" ht="12" customHeight="1" outlineLevel="2" x14ac:dyDescent="0.2">
      <c r="A15325" s="14" t="s">
        <v>30144</v>
      </c>
      <c r="B15325" s="15" t="s">
        <v>30145</v>
      </c>
      <c r="C15325" s="16">
        <f>870/(1+B2)</f>
        <v>870</v>
      </c>
      <c r="D15325" s="17" t="s">
        <v>11</v>
      </c>
      <c r="E15325" s="17" t="s">
        <v>11</v>
      </c>
      <c r="F15325" s="18"/>
      <c r="G15325" s="36" t="str">
        <f>IF(ISNUMBER(F15325),C15325*F15325,"")</f>
        <v/>
      </c>
    </row>
    <row r="15326" spans="1:7" ht="12" customHeight="1" outlineLevel="2" x14ac:dyDescent="0.2">
      <c r="A15326" s="14" t="s">
        <v>30146</v>
      </c>
      <c r="B15326" s="15" t="s">
        <v>30147</v>
      </c>
      <c r="C15326" s="16">
        <f>870/(1+B2)</f>
        <v>870</v>
      </c>
      <c r="D15326" s="17" t="s">
        <v>11</v>
      </c>
      <c r="E15326" s="17" t="s">
        <v>11</v>
      </c>
      <c r="F15326" s="18"/>
      <c r="G15326" s="36" t="str">
        <f>IF(ISNUMBER(F15326),C15326*F15326,"")</f>
        <v/>
      </c>
    </row>
    <row r="15327" spans="1:7" ht="12" customHeight="1" outlineLevel="2" x14ac:dyDescent="0.2">
      <c r="A15327" s="14" t="s">
        <v>30148</v>
      </c>
      <c r="B15327" s="15" t="s">
        <v>30149</v>
      </c>
      <c r="C15327" s="16">
        <f>870/(1+B2)</f>
        <v>870</v>
      </c>
      <c r="D15327" s="17" t="s">
        <v>11</v>
      </c>
      <c r="E15327" s="17"/>
      <c r="F15327" s="18"/>
      <c r="G15327" s="36" t="str">
        <f>IF(ISNUMBER(F15327),C15327*F15327,"")</f>
        <v/>
      </c>
    </row>
    <row r="15328" spans="1:7" ht="12" customHeight="1" outlineLevel="2" x14ac:dyDescent="0.2">
      <c r="A15328" s="14" t="s">
        <v>30150</v>
      </c>
      <c r="B15328" s="15" t="s">
        <v>30151</v>
      </c>
      <c r="C15328" s="16">
        <f>870/(1+B2)</f>
        <v>870</v>
      </c>
      <c r="D15328" s="17" t="s">
        <v>11</v>
      </c>
      <c r="E15328" s="17"/>
      <c r="F15328" s="18"/>
      <c r="G15328" s="36" t="str">
        <f>IF(ISNUMBER(F15328),C15328*F15328,"")</f>
        <v/>
      </c>
    </row>
    <row r="15329" spans="1:7" ht="12" customHeight="1" outlineLevel="2" x14ac:dyDescent="0.2">
      <c r="A15329" s="14" t="s">
        <v>30152</v>
      </c>
      <c r="B15329" s="15" t="s">
        <v>30153</v>
      </c>
      <c r="C15329" s="16">
        <f>870/(1+B2)</f>
        <v>870</v>
      </c>
      <c r="D15329" s="17" t="s">
        <v>11</v>
      </c>
      <c r="E15329" s="17" t="s">
        <v>11</v>
      </c>
      <c r="F15329" s="18"/>
      <c r="G15329" s="36" t="str">
        <f>IF(ISNUMBER(F15329),C15329*F15329,"")</f>
        <v/>
      </c>
    </row>
    <row r="15330" spans="1:7" ht="12" customHeight="1" outlineLevel="2" x14ac:dyDescent="0.2">
      <c r="A15330" s="14" t="s">
        <v>30154</v>
      </c>
      <c r="B15330" s="15" t="s">
        <v>30155</v>
      </c>
      <c r="C15330" s="16">
        <f>870/(1+B2)</f>
        <v>870</v>
      </c>
      <c r="D15330" s="17" t="s">
        <v>11</v>
      </c>
      <c r="E15330" s="17" t="s">
        <v>11</v>
      </c>
      <c r="F15330" s="18"/>
      <c r="G15330" s="36" t="str">
        <f>IF(ISNUMBER(F15330),C15330*F15330,"")</f>
        <v/>
      </c>
    </row>
    <row r="15331" spans="1:7" ht="24" customHeight="1" outlineLevel="2" x14ac:dyDescent="0.2">
      <c r="A15331" s="14" t="s">
        <v>30156</v>
      </c>
      <c r="B15331" s="15" t="s">
        <v>30157</v>
      </c>
      <c r="C15331" s="16">
        <f>870/(1+B2)</f>
        <v>870</v>
      </c>
      <c r="D15331" s="17" t="s">
        <v>11</v>
      </c>
      <c r="E15331" s="17" t="s">
        <v>11</v>
      </c>
      <c r="F15331" s="18"/>
      <c r="G15331" s="36" t="str">
        <f>IF(ISNUMBER(F15331),C15331*F15331,"")</f>
        <v/>
      </c>
    </row>
    <row r="15332" spans="1:7" ht="24" customHeight="1" outlineLevel="2" x14ac:dyDescent="0.2">
      <c r="A15332" s="14" t="s">
        <v>30158</v>
      </c>
      <c r="B15332" s="15" t="s">
        <v>30159</v>
      </c>
      <c r="C15332" s="16">
        <f>870/(1+B2)</f>
        <v>870</v>
      </c>
      <c r="D15332" s="17" t="s">
        <v>11</v>
      </c>
      <c r="E15332" s="17"/>
      <c r="F15332" s="18"/>
      <c r="G15332" s="36" t="str">
        <f>IF(ISNUMBER(F15332),C15332*F15332,"")</f>
        <v/>
      </c>
    </row>
    <row r="15333" spans="1:7" ht="24" customHeight="1" outlineLevel="2" x14ac:dyDescent="0.2">
      <c r="A15333" s="14" t="s">
        <v>30160</v>
      </c>
      <c r="B15333" s="15" t="s">
        <v>30161</v>
      </c>
      <c r="C15333" s="16">
        <f>870/(1+B2)</f>
        <v>870</v>
      </c>
      <c r="D15333" s="17" t="s">
        <v>11</v>
      </c>
      <c r="E15333" s="17" t="s">
        <v>11</v>
      </c>
      <c r="F15333" s="18"/>
      <c r="G15333" s="36" t="str">
        <f>IF(ISNUMBER(F15333),C15333*F15333,"")</f>
        <v/>
      </c>
    </row>
    <row r="15334" spans="1:7" ht="24" customHeight="1" outlineLevel="2" x14ac:dyDescent="0.2">
      <c r="A15334" s="14" t="s">
        <v>30162</v>
      </c>
      <c r="B15334" s="15" t="s">
        <v>30163</v>
      </c>
      <c r="C15334" s="16">
        <f>870/(1+B2)</f>
        <v>870</v>
      </c>
      <c r="D15334" s="17" t="s">
        <v>11</v>
      </c>
      <c r="E15334" s="17"/>
      <c r="F15334" s="18"/>
      <c r="G15334" s="36" t="str">
        <f>IF(ISNUMBER(F15334),C15334*F15334,"")</f>
        <v/>
      </c>
    </row>
    <row r="15335" spans="1:7" ht="24" customHeight="1" outlineLevel="2" x14ac:dyDescent="0.2">
      <c r="A15335" s="14" t="s">
        <v>30164</v>
      </c>
      <c r="B15335" s="15" t="s">
        <v>30165</v>
      </c>
      <c r="C15335" s="16">
        <f>870/(1+B2)</f>
        <v>870</v>
      </c>
      <c r="D15335" s="17" t="s">
        <v>11</v>
      </c>
      <c r="E15335" s="17"/>
      <c r="F15335" s="18"/>
      <c r="G15335" s="36" t="str">
        <f>IF(ISNUMBER(F15335),C15335*F15335,"")</f>
        <v/>
      </c>
    </row>
    <row r="15336" spans="1:7" ht="24" customHeight="1" outlineLevel="2" x14ac:dyDescent="0.2">
      <c r="A15336" s="14" t="s">
        <v>30166</v>
      </c>
      <c r="B15336" s="15" t="s">
        <v>30167</v>
      </c>
      <c r="C15336" s="16">
        <f>870/(1+B2)</f>
        <v>870</v>
      </c>
      <c r="D15336" s="17" t="s">
        <v>11</v>
      </c>
      <c r="E15336" s="17"/>
      <c r="F15336" s="18"/>
      <c r="G15336" s="36" t="str">
        <f>IF(ISNUMBER(F15336),C15336*F15336,"")</f>
        <v/>
      </c>
    </row>
    <row r="15337" spans="1:7" ht="24" customHeight="1" outlineLevel="2" x14ac:dyDescent="0.2">
      <c r="A15337" s="14" t="s">
        <v>30168</v>
      </c>
      <c r="B15337" s="15" t="s">
        <v>30169</v>
      </c>
      <c r="C15337" s="16">
        <f>870/(1+B2)</f>
        <v>870</v>
      </c>
      <c r="D15337" s="17" t="s">
        <v>11</v>
      </c>
      <c r="E15337" s="17"/>
      <c r="F15337" s="18"/>
      <c r="G15337" s="36" t="str">
        <f>IF(ISNUMBER(F15337),C15337*F15337,"")</f>
        <v/>
      </c>
    </row>
    <row r="15338" spans="1:7" ht="24" customHeight="1" outlineLevel="2" x14ac:dyDescent="0.2">
      <c r="A15338" s="14" t="s">
        <v>30170</v>
      </c>
      <c r="B15338" s="15" t="s">
        <v>30171</v>
      </c>
      <c r="C15338" s="16">
        <f>870/(1+B2)</f>
        <v>870</v>
      </c>
      <c r="D15338" s="17" t="s">
        <v>11</v>
      </c>
      <c r="E15338" s="17" t="s">
        <v>11</v>
      </c>
      <c r="F15338" s="18"/>
      <c r="G15338" s="36" t="str">
        <f>IF(ISNUMBER(F15338),C15338*F15338,"")</f>
        <v/>
      </c>
    </row>
    <row r="15339" spans="1:7" ht="24" customHeight="1" outlineLevel="2" x14ac:dyDescent="0.2">
      <c r="A15339" s="14" t="s">
        <v>30172</v>
      </c>
      <c r="B15339" s="15" t="s">
        <v>30173</v>
      </c>
      <c r="C15339" s="16">
        <f>870/(1+B2)</f>
        <v>870</v>
      </c>
      <c r="D15339" s="17"/>
      <c r="E15339" s="17" t="s">
        <v>11</v>
      </c>
      <c r="F15339" s="18"/>
      <c r="G15339" s="36" t="str">
        <f>IF(ISNUMBER(F15339),C15339*F15339,"")</f>
        <v/>
      </c>
    </row>
    <row r="15340" spans="1:7" ht="24" customHeight="1" outlineLevel="2" x14ac:dyDescent="0.2">
      <c r="A15340" s="14" t="s">
        <v>30174</v>
      </c>
      <c r="B15340" s="15" t="s">
        <v>30175</v>
      </c>
      <c r="C15340" s="16">
        <f>870/(1+B2)</f>
        <v>870</v>
      </c>
      <c r="D15340" s="17" t="s">
        <v>11</v>
      </c>
      <c r="E15340" s="17" t="s">
        <v>11</v>
      </c>
      <c r="F15340" s="18"/>
      <c r="G15340" s="36" t="str">
        <f>IF(ISNUMBER(F15340),C15340*F15340,"")</f>
        <v/>
      </c>
    </row>
    <row r="15341" spans="1:7" ht="24" customHeight="1" outlineLevel="2" x14ac:dyDescent="0.2">
      <c r="A15341" s="14" t="s">
        <v>30176</v>
      </c>
      <c r="B15341" s="15" t="s">
        <v>30177</v>
      </c>
      <c r="C15341" s="16">
        <f>870/(1+B2)</f>
        <v>870</v>
      </c>
      <c r="D15341" s="17" t="s">
        <v>11</v>
      </c>
      <c r="E15341" s="17"/>
      <c r="F15341" s="18"/>
      <c r="G15341" s="36" t="str">
        <f>IF(ISNUMBER(F15341),C15341*F15341,"")</f>
        <v/>
      </c>
    </row>
    <row r="15342" spans="1:7" ht="24" customHeight="1" outlineLevel="2" x14ac:dyDescent="0.2">
      <c r="A15342" s="14" t="s">
        <v>30178</v>
      </c>
      <c r="B15342" s="15" t="s">
        <v>30179</v>
      </c>
      <c r="C15342" s="16">
        <f>870/(1+B2)</f>
        <v>870</v>
      </c>
      <c r="D15342" s="17" t="s">
        <v>11</v>
      </c>
      <c r="E15342" s="17" t="s">
        <v>11</v>
      </c>
      <c r="F15342" s="18"/>
      <c r="G15342" s="36" t="str">
        <f>IF(ISNUMBER(F15342),C15342*F15342,"")</f>
        <v/>
      </c>
    </row>
    <row r="15343" spans="1:7" ht="12" customHeight="1" outlineLevel="2" x14ac:dyDescent="0.2">
      <c r="A15343" s="14" t="s">
        <v>30180</v>
      </c>
      <c r="B15343" s="15" t="s">
        <v>30181</v>
      </c>
      <c r="C15343" s="16">
        <f>314.98/(1+B2)</f>
        <v>314.98</v>
      </c>
      <c r="D15343" s="17" t="s">
        <v>11</v>
      </c>
      <c r="E15343" s="17" t="s">
        <v>11</v>
      </c>
      <c r="F15343" s="18"/>
      <c r="G15343" s="36" t="str">
        <f>IF(ISNUMBER(F15343),C15343*F15343,"")</f>
        <v/>
      </c>
    </row>
    <row r="15344" spans="1:7" ht="12" customHeight="1" outlineLevel="2" x14ac:dyDescent="0.2">
      <c r="A15344" s="14" t="s">
        <v>30182</v>
      </c>
      <c r="B15344" s="15" t="s">
        <v>30183</v>
      </c>
      <c r="C15344" s="19">
        <f>1046.25/(1+B2)</f>
        <v>1046.25</v>
      </c>
      <c r="D15344" s="17"/>
      <c r="E15344" s="17" t="s">
        <v>11</v>
      </c>
      <c r="F15344" s="18"/>
      <c r="G15344" s="36" t="str">
        <f>IF(ISNUMBER(F15344),C15344*F15344,"")</f>
        <v/>
      </c>
    </row>
    <row r="15345" spans="1:7" ht="12" customHeight="1" outlineLevel="2" x14ac:dyDescent="0.2">
      <c r="A15345" s="14" t="s">
        <v>30184</v>
      </c>
      <c r="B15345" s="15" t="s">
        <v>30185</v>
      </c>
      <c r="C15345" s="19">
        <f>1046.25/(1+B2)</f>
        <v>1046.25</v>
      </c>
      <c r="D15345" s="17" t="s">
        <v>11</v>
      </c>
      <c r="E15345" s="17"/>
      <c r="F15345" s="18"/>
      <c r="G15345" s="36" t="str">
        <f>IF(ISNUMBER(F15345),C15345*F15345,"")</f>
        <v/>
      </c>
    </row>
    <row r="15346" spans="1:7" ht="12" customHeight="1" outlineLevel="2" x14ac:dyDescent="0.2">
      <c r="A15346" s="14" t="s">
        <v>30186</v>
      </c>
      <c r="B15346" s="15" t="s">
        <v>30187</v>
      </c>
      <c r="C15346" s="19">
        <f>1046.25/(1+B2)</f>
        <v>1046.25</v>
      </c>
      <c r="D15346" s="17" t="s">
        <v>11</v>
      </c>
      <c r="E15346" s="17"/>
      <c r="F15346" s="18"/>
      <c r="G15346" s="36" t="str">
        <f>IF(ISNUMBER(F15346),C15346*F15346,"")</f>
        <v/>
      </c>
    </row>
    <row r="15347" spans="1:7" ht="12" customHeight="1" outlineLevel="2" x14ac:dyDescent="0.2">
      <c r="A15347" s="14" t="s">
        <v>30188</v>
      </c>
      <c r="B15347" s="15" t="s">
        <v>30189</v>
      </c>
      <c r="C15347" s="19">
        <f>1046.25/(1+B2)</f>
        <v>1046.25</v>
      </c>
      <c r="D15347" s="17" t="s">
        <v>11</v>
      </c>
      <c r="E15347" s="17" t="s">
        <v>11</v>
      </c>
      <c r="F15347" s="18"/>
      <c r="G15347" s="36" t="str">
        <f>IF(ISNUMBER(F15347),C15347*F15347,"")</f>
        <v/>
      </c>
    </row>
    <row r="15348" spans="1:7" ht="12" customHeight="1" outlineLevel="2" x14ac:dyDescent="0.2">
      <c r="A15348" s="14" t="s">
        <v>30190</v>
      </c>
      <c r="B15348" s="15" t="s">
        <v>30191</v>
      </c>
      <c r="C15348" s="19">
        <f>1046.25/(1+B2)</f>
        <v>1046.25</v>
      </c>
      <c r="D15348" s="17" t="s">
        <v>11</v>
      </c>
      <c r="E15348" s="17" t="s">
        <v>11</v>
      </c>
      <c r="F15348" s="18"/>
      <c r="G15348" s="36" t="str">
        <f>IF(ISNUMBER(F15348),C15348*F15348,"")</f>
        <v/>
      </c>
    </row>
    <row r="15349" spans="1:7" ht="12" customHeight="1" outlineLevel="2" x14ac:dyDescent="0.2">
      <c r="A15349" s="14" t="s">
        <v>30192</v>
      </c>
      <c r="B15349" s="15" t="s">
        <v>30193</v>
      </c>
      <c r="C15349" s="16">
        <f>723.33/(1+B2)</f>
        <v>723.33</v>
      </c>
      <c r="D15349" s="17" t="s">
        <v>11</v>
      </c>
      <c r="E15349" s="17" t="s">
        <v>11</v>
      </c>
      <c r="F15349" s="18"/>
      <c r="G15349" s="36" t="str">
        <f>IF(ISNUMBER(F15349),C15349*F15349,"")</f>
        <v/>
      </c>
    </row>
    <row r="15350" spans="1:7" ht="12" customHeight="1" outlineLevel="2" x14ac:dyDescent="0.2">
      <c r="A15350" s="14" t="s">
        <v>30194</v>
      </c>
      <c r="B15350" s="15" t="s">
        <v>30195</v>
      </c>
      <c r="C15350" s="16">
        <f>604.22/(1+B2)</f>
        <v>604.22</v>
      </c>
      <c r="D15350" s="17" t="s">
        <v>11</v>
      </c>
      <c r="E15350" s="17" t="s">
        <v>11</v>
      </c>
      <c r="F15350" s="18"/>
      <c r="G15350" s="36" t="str">
        <f>IF(ISNUMBER(F15350),C15350*F15350,"")</f>
        <v/>
      </c>
    </row>
    <row r="15351" spans="1:7" ht="12" customHeight="1" outlineLevel="2" x14ac:dyDescent="0.2">
      <c r="A15351" s="14" t="s">
        <v>30196</v>
      </c>
      <c r="B15351" s="15" t="s">
        <v>30197</v>
      </c>
      <c r="C15351" s="16">
        <f>723.33/(1+B2)</f>
        <v>723.33</v>
      </c>
      <c r="D15351" s="17" t="s">
        <v>11</v>
      </c>
      <c r="E15351" s="17" t="s">
        <v>11</v>
      </c>
      <c r="F15351" s="18"/>
      <c r="G15351" s="36" t="str">
        <f>IF(ISNUMBER(F15351),C15351*F15351,"")</f>
        <v/>
      </c>
    </row>
    <row r="15352" spans="1:7" s="1" customFormat="1" ht="15.95" customHeight="1" outlineLevel="1" x14ac:dyDescent="0.25">
      <c r="A15352" s="11"/>
      <c r="B15352" s="12" t="s">
        <v>30198</v>
      </c>
      <c r="C15352" s="13"/>
      <c r="D15352" s="13"/>
      <c r="E15352" s="13"/>
      <c r="F15352" s="13"/>
      <c r="G15352" s="35"/>
    </row>
    <row r="15353" spans="1:7" ht="24" customHeight="1" outlineLevel="2" x14ac:dyDescent="0.2">
      <c r="A15353" s="14" t="s">
        <v>30199</v>
      </c>
      <c r="B15353" s="15" t="s">
        <v>30200</v>
      </c>
      <c r="C15353" s="16">
        <f>609.44/(1+B2)</f>
        <v>609.44000000000005</v>
      </c>
      <c r="D15353" s="17" t="s">
        <v>11</v>
      </c>
      <c r="E15353" s="17"/>
      <c r="F15353" s="18"/>
      <c r="G15353" s="36" t="str">
        <f>IF(ISNUMBER(F15353),C15353*F15353,"")</f>
        <v/>
      </c>
    </row>
    <row r="15354" spans="1:7" ht="12" customHeight="1" outlineLevel="2" x14ac:dyDescent="0.2">
      <c r="A15354" s="14" t="s">
        <v>30201</v>
      </c>
      <c r="B15354" s="15" t="s">
        <v>30202</v>
      </c>
      <c r="C15354" s="16">
        <f>572.88/(1+B2)</f>
        <v>572.88</v>
      </c>
      <c r="D15354" s="17" t="s">
        <v>11</v>
      </c>
      <c r="E15354" s="17"/>
      <c r="F15354" s="18"/>
      <c r="G15354" s="36" t="str">
        <f>IF(ISNUMBER(F15354),C15354*F15354,"")</f>
        <v/>
      </c>
    </row>
    <row r="15355" spans="1:7" ht="12" customHeight="1" outlineLevel="2" x14ac:dyDescent="0.2">
      <c r="A15355" s="14" t="s">
        <v>30203</v>
      </c>
      <c r="B15355" s="15" t="s">
        <v>30204</v>
      </c>
      <c r="C15355" s="19">
        <f>1212.85/(1+B2)</f>
        <v>1212.8499999999999</v>
      </c>
      <c r="D15355" s="17" t="s">
        <v>11</v>
      </c>
      <c r="E15355" s="17"/>
      <c r="F15355" s="18"/>
      <c r="G15355" s="36" t="str">
        <f>IF(ISNUMBER(F15355),C15355*F15355,"")</f>
        <v/>
      </c>
    </row>
    <row r="15356" spans="1:7" ht="12" customHeight="1" outlineLevel="2" x14ac:dyDescent="0.2">
      <c r="A15356" s="14" t="s">
        <v>30205</v>
      </c>
      <c r="B15356" s="15" t="s">
        <v>30206</v>
      </c>
      <c r="C15356" s="16">
        <f>458.75/(1+B2)</f>
        <v>458.75</v>
      </c>
      <c r="D15356" s="17" t="s">
        <v>11</v>
      </c>
      <c r="E15356" s="17"/>
      <c r="F15356" s="18"/>
      <c r="G15356" s="36" t="str">
        <f>IF(ISNUMBER(F15356),C15356*F15356,"")</f>
        <v/>
      </c>
    </row>
    <row r="15357" spans="1:7" ht="12" customHeight="1" outlineLevel="2" x14ac:dyDescent="0.2">
      <c r="A15357" s="14" t="s">
        <v>30207</v>
      </c>
      <c r="B15357" s="15" t="s">
        <v>30208</v>
      </c>
      <c r="C15357" s="16">
        <f>458.75/(1+B2)</f>
        <v>458.75</v>
      </c>
      <c r="D15357" s="17" t="s">
        <v>11</v>
      </c>
      <c r="E15357" s="17" t="s">
        <v>11</v>
      </c>
      <c r="F15357" s="18"/>
      <c r="G15357" s="36" t="str">
        <f>IF(ISNUMBER(F15357),C15357*F15357,"")</f>
        <v/>
      </c>
    </row>
    <row r="15358" spans="1:7" ht="12" customHeight="1" outlineLevel="2" x14ac:dyDescent="0.2">
      <c r="A15358" s="14" t="s">
        <v>30209</v>
      </c>
      <c r="B15358" s="15" t="s">
        <v>30210</v>
      </c>
      <c r="C15358" s="16">
        <f>458.75/(1+B2)</f>
        <v>458.75</v>
      </c>
      <c r="D15358" s="17" t="s">
        <v>11</v>
      </c>
      <c r="E15358" s="17" t="s">
        <v>11</v>
      </c>
      <c r="F15358" s="18"/>
      <c r="G15358" s="36" t="str">
        <f>IF(ISNUMBER(F15358),C15358*F15358,"")</f>
        <v/>
      </c>
    </row>
    <row r="15359" spans="1:7" ht="12" customHeight="1" outlineLevel="2" x14ac:dyDescent="0.2">
      <c r="A15359" s="14" t="s">
        <v>30211</v>
      </c>
      <c r="B15359" s="15" t="s">
        <v>30212</v>
      </c>
      <c r="C15359" s="16">
        <f>458.75/(1+B2)</f>
        <v>458.75</v>
      </c>
      <c r="D15359" s="17" t="s">
        <v>11</v>
      </c>
      <c r="E15359" s="17" t="s">
        <v>11</v>
      </c>
      <c r="F15359" s="18"/>
      <c r="G15359" s="36" t="str">
        <f>IF(ISNUMBER(F15359),C15359*F15359,"")</f>
        <v/>
      </c>
    </row>
    <row r="15360" spans="1:7" ht="12" customHeight="1" outlineLevel="2" x14ac:dyDescent="0.2">
      <c r="A15360" s="14" t="s">
        <v>30213</v>
      </c>
      <c r="B15360" s="15" t="s">
        <v>30214</v>
      </c>
      <c r="C15360" s="16">
        <f>458.75/(1+B2)</f>
        <v>458.75</v>
      </c>
      <c r="D15360" s="17" t="s">
        <v>11</v>
      </c>
      <c r="E15360" s="17" t="s">
        <v>11</v>
      </c>
      <c r="F15360" s="18"/>
      <c r="G15360" s="36" t="str">
        <f>IF(ISNUMBER(F15360),C15360*F15360,"")</f>
        <v/>
      </c>
    </row>
    <row r="15361" spans="1:7" ht="12" customHeight="1" outlineLevel="2" x14ac:dyDescent="0.2">
      <c r="A15361" s="14" t="s">
        <v>30215</v>
      </c>
      <c r="B15361" s="15" t="s">
        <v>30216</v>
      </c>
      <c r="C15361" s="16">
        <f>458.75/(1+B2)</f>
        <v>458.75</v>
      </c>
      <c r="D15361" s="17" t="s">
        <v>11</v>
      </c>
      <c r="E15361" s="17"/>
      <c r="F15361" s="18"/>
      <c r="G15361" s="36" t="str">
        <f>IF(ISNUMBER(F15361),C15361*F15361,"")</f>
        <v/>
      </c>
    </row>
    <row r="15362" spans="1:7" ht="12" customHeight="1" outlineLevel="2" x14ac:dyDescent="0.2">
      <c r="A15362" s="14" t="s">
        <v>30217</v>
      </c>
      <c r="B15362" s="15" t="s">
        <v>30218</v>
      </c>
      <c r="C15362" s="16">
        <f>458.75/(1+B2)</f>
        <v>458.75</v>
      </c>
      <c r="D15362" s="17" t="s">
        <v>11</v>
      </c>
      <c r="E15362" s="17" t="s">
        <v>11</v>
      </c>
      <c r="F15362" s="18"/>
      <c r="G15362" s="36" t="str">
        <f>IF(ISNUMBER(F15362),C15362*F15362,"")</f>
        <v/>
      </c>
    </row>
    <row r="15363" spans="1:7" ht="12" customHeight="1" outlineLevel="2" x14ac:dyDescent="0.2">
      <c r="A15363" s="14" t="s">
        <v>30219</v>
      </c>
      <c r="B15363" s="15" t="s">
        <v>30220</v>
      </c>
      <c r="C15363" s="16">
        <f>458.75/(1+B2)</f>
        <v>458.75</v>
      </c>
      <c r="D15363" s="17" t="s">
        <v>11</v>
      </c>
      <c r="E15363" s="17" t="s">
        <v>11</v>
      </c>
      <c r="F15363" s="18"/>
      <c r="G15363" s="36" t="str">
        <f>IF(ISNUMBER(F15363),C15363*F15363,"")</f>
        <v/>
      </c>
    </row>
    <row r="15364" spans="1:7" ht="12" customHeight="1" outlineLevel="2" x14ac:dyDescent="0.2">
      <c r="A15364" s="14" t="s">
        <v>30221</v>
      </c>
      <c r="B15364" s="15" t="s">
        <v>30222</v>
      </c>
      <c r="C15364" s="16">
        <f>458.75/(1+B2)</f>
        <v>458.75</v>
      </c>
      <c r="D15364" s="17" t="s">
        <v>11</v>
      </c>
      <c r="E15364" s="17"/>
      <c r="F15364" s="18"/>
      <c r="G15364" s="36" t="str">
        <f>IF(ISNUMBER(F15364),C15364*F15364,"")</f>
        <v/>
      </c>
    </row>
    <row r="15365" spans="1:7" ht="12" customHeight="1" outlineLevel="2" x14ac:dyDescent="0.2">
      <c r="A15365" s="14" t="s">
        <v>30223</v>
      </c>
      <c r="B15365" s="15" t="s">
        <v>30224</v>
      </c>
      <c r="C15365" s="16">
        <f>458.75/(1+B2)</f>
        <v>458.75</v>
      </c>
      <c r="D15365" s="17" t="s">
        <v>11</v>
      </c>
      <c r="E15365" s="17" t="s">
        <v>11</v>
      </c>
      <c r="F15365" s="18"/>
      <c r="G15365" s="36" t="str">
        <f>IF(ISNUMBER(F15365),C15365*F15365,"")</f>
        <v/>
      </c>
    </row>
    <row r="15366" spans="1:7" ht="12" customHeight="1" outlineLevel="2" x14ac:dyDescent="0.2">
      <c r="A15366" s="14" t="s">
        <v>30225</v>
      </c>
      <c r="B15366" s="15" t="s">
        <v>30226</v>
      </c>
      <c r="C15366" s="16">
        <f>458.75/(1+B2)</f>
        <v>458.75</v>
      </c>
      <c r="D15366" s="17" t="s">
        <v>11</v>
      </c>
      <c r="E15366" s="17" t="s">
        <v>11</v>
      </c>
      <c r="F15366" s="18"/>
      <c r="G15366" s="36" t="str">
        <f>IF(ISNUMBER(F15366),C15366*F15366,"")</f>
        <v/>
      </c>
    </row>
    <row r="15367" spans="1:7" ht="12" customHeight="1" outlineLevel="2" x14ac:dyDescent="0.2">
      <c r="A15367" s="14" t="s">
        <v>30227</v>
      </c>
      <c r="B15367" s="15" t="s">
        <v>30228</v>
      </c>
      <c r="C15367" s="16">
        <f>458.75/(1+B2)</f>
        <v>458.75</v>
      </c>
      <c r="D15367" s="17" t="s">
        <v>11</v>
      </c>
      <c r="E15367" s="17" t="s">
        <v>11</v>
      </c>
      <c r="F15367" s="18"/>
      <c r="G15367" s="36" t="str">
        <f>IF(ISNUMBER(F15367),C15367*F15367,"")</f>
        <v/>
      </c>
    </row>
    <row r="15368" spans="1:7" ht="12" customHeight="1" outlineLevel="2" x14ac:dyDescent="0.2">
      <c r="A15368" s="14" t="s">
        <v>30229</v>
      </c>
      <c r="B15368" s="15" t="s">
        <v>30230</v>
      </c>
      <c r="C15368" s="16">
        <f>458.75/(1+B2)</f>
        <v>458.75</v>
      </c>
      <c r="D15368" s="17" t="s">
        <v>11</v>
      </c>
      <c r="E15368" s="17" t="s">
        <v>11</v>
      </c>
      <c r="F15368" s="18"/>
      <c r="G15368" s="36" t="str">
        <f>IF(ISNUMBER(F15368),C15368*F15368,"")</f>
        <v/>
      </c>
    </row>
    <row r="15369" spans="1:7" ht="12" customHeight="1" outlineLevel="2" x14ac:dyDescent="0.2">
      <c r="A15369" s="14" t="s">
        <v>30231</v>
      </c>
      <c r="B15369" s="15" t="s">
        <v>30232</v>
      </c>
      <c r="C15369" s="16">
        <f>458.75/(1+B2)</f>
        <v>458.75</v>
      </c>
      <c r="D15369" s="17" t="s">
        <v>11</v>
      </c>
      <c r="E15369" s="17"/>
      <c r="F15369" s="18"/>
      <c r="G15369" s="36" t="str">
        <f>IF(ISNUMBER(F15369),C15369*F15369,"")</f>
        <v/>
      </c>
    </row>
    <row r="15370" spans="1:7" ht="12" customHeight="1" outlineLevel="2" x14ac:dyDescent="0.2">
      <c r="A15370" s="14" t="s">
        <v>30233</v>
      </c>
      <c r="B15370" s="15" t="s">
        <v>30234</v>
      </c>
      <c r="C15370" s="16">
        <f>458.75/(1+B2)</f>
        <v>458.75</v>
      </c>
      <c r="D15370" s="17" t="s">
        <v>11</v>
      </c>
      <c r="E15370" s="17" t="s">
        <v>11</v>
      </c>
      <c r="F15370" s="18"/>
      <c r="G15370" s="36" t="str">
        <f>IF(ISNUMBER(F15370),C15370*F15370,"")</f>
        <v/>
      </c>
    </row>
    <row r="15371" spans="1:7" ht="12" customHeight="1" outlineLevel="2" x14ac:dyDescent="0.2">
      <c r="A15371" s="14" t="s">
        <v>30235</v>
      </c>
      <c r="B15371" s="15" t="s">
        <v>30236</v>
      </c>
      <c r="C15371" s="16">
        <f>575/(1+B2)</f>
        <v>575</v>
      </c>
      <c r="D15371" s="17" t="s">
        <v>11</v>
      </c>
      <c r="E15371" s="17"/>
      <c r="F15371" s="18"/>
      <c r="G15371" s="36" t="str">
        <f>IF(ISNUMBER(F15371),C15371*F15371,"")</f>
        <v/>
      </c>
    </row>
    <row r="15372" spans="1:7" ht="12" customHeight="1" outlineLevel="2" x14ac:dyDescent="0.2">
      <c r="A15372" s="14" t="s">
        <v>30237</v>
      </c>
      <c r="B15372" s="15" t="s">
        <v>30238</v>
      </c>
      <c r="C15372" s="16">
        <f>575/(1+B2)</f>
        <v>575</v>
      </c>
      <c r="D15372" s="17" t="s">
        <v>11</v>
      </c>
      <c r="E15372" s="17"/>
      <c r="F15372" s="18"/>
      <c r="G15372" s="36" t="str">
        <f>IF(ISNUMBER(F15372),C15372*F15372,"")</f>
        <v/>
      </c>
    </row>
    <row r="15373" spans="1:7" ht="12" customHeight="1" outlineLevel="2" x14ac:dyDescent="0.2">
      <c r="A15373" s="14" t="s">
        <v>30239</v>
      </c>
      <c r="B15373" s="15" t="s">
        <v>30240</v>
      </c>
      <c r="C15373" s="16">
        <f>575/(1+B2)</f>
        <v>575</v>
      </c>
      <c r="D15373" s="17" t="s">
        <v>11</v>
      </c>
      <c r="E15373" s="17"/>
      <c r="F15373" s="18"/>
      <c r="G15373" s="36" t="str">
        <f>IF(ISNUMBER(F15373),C15373*F15373,"")</f>
        <v/>
      </c>
    </row>
    <row r="15374" spans="1:7" ht="12" customHeight="1" outlineLevel="2" x14ac:dyDescent="0.2">
      <c r="A15374" s="14" t="s">
        <v>30241</v>
      </c>
      <c r="B15374" s="15" t="s">
        <v>30242</v>
      </c>
      <c r="C15374" s="16">
        <f>575/(1+B2)</f>
        <v>575</v>
      </c>
      <c r="D15374" s="17" t="s">
        <v>11</v>
      </c>
      <c r="E15374" s="17" t="s">
        <v>11</v>
      </c>
      <c r="F15374" s="18"/>
      <c r="G15374" s="36" t="str">
        <f>IF(ISNUMBER(F15374),C15374*F15374,"")</f>
        <v/>
      </c>
    </row>
    <row r="15375" spans="1:7" ht="12" customHeight="1" outlineLevel="2" x14ac:dyDescent="0.2">
      <c r="A15375" s="14" t="s">
        <v>30243</v>
      </c>
      <c r="B15375" s="15" t="s">
        <v>30244</v>
      </c>
      <c r="C15375" s="16">
        <f>575/(1+B2)</f>
        <v>575</v>
      </c>
      <c r="D15375" s="17" t="s">
        <v>11</v>
      </c>
      <c r="E15375" s="17"/>
      <c r="F15375" s="18"/>
      <c r="G15375" s="36" t="str">
        <f>IF(ISNUMBER(F15375),C15375*F15375,"")</f>
        <v/>
      </c>
    </row>
    <row r="15376" spans="1:7" ht="12" customHeight="1" outlineLevel="2" x14ac:dyDescent="0.2">
      <c r="A15376" s="14" t="s">
        <v>30245</v>
      </c>
      <c r="B15376" s="15" t="s">
        <v>30246</v>
      </c>
      <c r="C15376" s="16">
        <f>575/(1+B2)</f>
        <v>575</v>
      </c>
      <c r="D15376" s="17" t="s">
        <v>11</v>
      </c>
      <c r="E15376" s="17"/>
      <c r="F15376" s="18"/>
      <c r="G15376" s="36" t="str">
        <f>IF(ISNUMBER(F15376),C15376*F15376,"")</f>
        <v/>
      </c>
    </row>
    <row r="15377" spans="1:7" ht="12" customHeight="1" outlineLevel="2" x14ac:dyDescent="0.2">
      <c r="A15377" s="14" t="s">
        <v>30247</v>
      </c>
      <c r="B15377" s="15" t="s">
        <v>30248</v>
      </c>
      <c r="C15377" s="16">
        <f>575/(1+B2)</f>
        <v>575</v>
      </c>
      <c r="D15377" s="17" t="s">
        <v>11</v>
      </c>
      <c r="E15377" s="17"/>
      <c r="F15377" s="18"/>
      <c r="G15377" s="36" t="str">
        <f>IF(ISNUMBER(F15377),C15377*F15377,"")</f>
        <v/>
      </c>
    </row>
    <row r="15378" spans="1:7" ht="12" customHeight="1" outlineLevel="2" x14ac:dyDescent="0.2">
      <c r="A15378" s="14" t="s">
        <v>30249</v>
      </c>
      <c r="B15378" s="15" t="s">
        <v>30250</v>
      </c>
      <c r="C15378" s="16">
        <f>575/(1+B2)</f>
        <v>575</v>
      </c>
      <c r="D15378" s="17" t="s">
        <v>11</v>
      </c>
      <c r="E15378" s="17" t="s">
        <v>11</v>
      </c>
      <c r="F15378" s="18"/>
      <c r="G15378" s="36" t="str">
        <f>IF(ISNUMBER(F15378),C15378*F15378,"")</f>
        <v/>
      </c>
    </row>
    <row r="15379" spans="1:7" ht="12" customHeight="1" outlineLevel="2" x14ac:dyDescent="0.2">
      <c r="A15379" s="14" t="s">
        <v>30251</v>
      </c>
      <c r="B15379" s="15" t="s">
        <v>30252</v>
      </c>
      <c r="C15379" s="16">
        <f>575/(1+B2)</f>
        <v>575</v>
      </c>
      <c r="D15379" s="17" t="s">
        <v>11</v>
      </c>
      <c r="E15379" s="17" t="s">
        <v>11</v>
      </c>
      <c r="F15379" s="18"/>
      <c r="G15379" s="36" t="str">
        <f>IF(ISNUMBER(F15379),C15379*F15379,"")</f>
        <v/>
      </c>
    </row>
    <row r="15380" spans="1:7" ht="12" customHeight="1" outlineLevel="2" x14ac:dyDescent="0.2">
      <c r="A15380" s="14" t="s">
        <v>30253</v>
      </c>
      <c r="B15380" s="15" t="s">
        <v>30254</v>
      </c>
      <c r="C15380" s="16">
        <f>575/(1+B2)</f>
        <v>575</v>
      </c>
      <c r="D15380" s="17" t="s">
        <v>11</v>
      </c>
      <c r="E15380" s="17" t="s">
        <v>11</v>
      </c>
      <c r="F15380" s="18"/>
      <c r="G15380" s="36" t="str">
        <f>IF(ISNUMBER(F15380),C15380*F15380,"")</f>
        <v/>
      </c>
    </row>
    <row r="15381" spans="1:7" ht="12" customHeight="1" outlineLevel="2" x14ac:dyDescent="0.2">
      <c r="A15381" s="14" t="s">
        <v>30255</v>
      </c>
      <c r="B15381" s="15" t="s">
        <v>30256</v>
      </c>
      <c r="C15381" s="16">
        <f>575/(1+B2)</f>
        <v>575</v>
      </c>
      <c r="D15381" s="17" t="s">
        <v>11</v>
      </c>
      <c r="E15381" s="17" t="s">
        <v>11</v>
      </c>
      <c r="F15381" s="18"/>
      <c r="G15381" s="36" t="str">
        <f>IF(ISNUMBER(F15381),C15381*F15381,"")</f>
        <v/>
      </c>
    </row>
    <row r="15382" spans="1:7" ht="12" customHeight="1" outlineLevel="2" x14ac:dyDescent="0.2">
      <c r="A15382" s="14" t="s">
        <v>30257</v>
      </c>
      <c r="B15382" s="15" t="s">
        <v>30258</v>
      </c>
      <c r="C15382" s="16">
        <f>575/(1+B2)</f>
        <v>575</v>
      </c>
      <c r="D15382" s="17" t="s">
        <v>11</v>
      </c>
      <c r="E15382" s="17"/>
      <c r="F15382" s="18"/>
      <c r="G15382" s="36" t="str">
        <f>IF(ISNUMBER(F15382),C15382*F15382,"")</f>
        <v/>
      </c>
    </row>
    <row r="15383" spans="1:7" ht="12" customHeight="1" outlineLevel="2" x14ac:dyDescent="0.2">
      <c r="A15383" s="14" t="s">
        <v>30259</v>
      </c>
      <c r="B15383" s="15" t="s">
        <v>30260</v>
      </c>
      <c r="C15383" s="16">
        <f>575/(1+B2)</f>
        <v>575</v>
      </c>
      <c r="D15383" s="17" t="s">
        <v>11</v>
      </c>
      <c r="E15383" s="17"/>
      <c r="F15383" s="18"/>
      <c r="G15383" s="36" t="str">
        <f>IF(ISNUMBER(F15383),C15383*F15383,"")</f>
        <v/>
      </c>
    </row>
    <row r="15384" spans="1:7" ht="12" customHeight="1" outlineLevel="2" x14ac:dyDescent="0.2">
      <c r="A15384" s="14" t="s">
        <v>30261</v>
      </c>
      <c r="B15384" s="15" t="s">
        <v>30262</v>
      </c>
      <c r="C15384" s="16">
        <f>575/(1+B2)</f>
        <v>575</v>
      </c>
      <c r="D15384" s="17" t="s">
        <v>11</v>
      </c>
      <c r="E15384" s="17"/>
      <c r="F15384" s="18"/>
      <c r="G15384" s="36" t="str">
        <f>IF(ISNUMBER(F15384),C15384*F15384,"")</f>
        <v/>
      </c>
    </row>
    <row r="15385" spans="1:7" ht="12" customHeight="1" outlineLevel="2" x14ac:dyDescent="0.2">
      <c r="A15385" s="14" t="s">
        <v>30263</v>
      </c>
      <c r="B15385" s="15" t="s">
        <v>30264</v>
      </c>
      <c r="C15385" s="16">
        <f>575/(1+B2)</f>
        <v>575</v>
      </c>
      <c r="D15385" s="17" t="s">
        <v>11</v>
      </c>
      <c r="E15385" s="17"/>
      <c r="F15385" s="18"/>
      <c r="G15385" s="36" t="str">
        <f>IF(ISNUMBER(F15385),C15385*F15385,"")</f>
        <v/>
      </c>
    </row>
    <row r="15386" spans="1:7" ht="12" customHeight="1" outlineLevel="2" x14ac:dyDescent="0.2">
      <c r="A15386" s="14" t="s">
        <v>30265</v>
      </c>
      <c r="B15386" s="15" t="s">
        <v>30266</v>
      </c>
      <c r="C15386" s="16">
        <f>375/(1+B2)</f>
        <v>375</v>
      </c>
      <c r="D15386" s="17" t="s">
        <v>11</v>
      </c>
      <c r="E15386" s="17" t="s">
        <v>11</v>
      </c>
      <c r="F15386" s="18"/>
      <c r="G15386" s="36" t="str">
        <f>IF(ISNUMBER(F15386),C15386*F15386,"")</f>
        <v/>
      </c>
    </row>
    <row r="15387" spans="1:7" ht="12" customHeight="1" outlineLevel="2" x14ac:dyDescent="0.2">
      <c r="A15387" s="14" t="s">
        <v>30267</v>
      </c>
      <c r="B15387" s="15" t="s">
        <v>30268</v>
      </c>
      <c r="C15387" s="16">
        <f>375/(1+B2)</f>
        <v>375</v>
      </c>
      <c r="D15387" s="17" t="s">
        <v>11</v>
      </c>
      <c r="E15387" s="17" t="s">
        <v>11</v>
      </c>
      <c r="F15387" s="18"/>
      <c r="G15387" s="36" t="str">
        <f>IF(ISNUMBER(F15387),C15387*F15387,"")</f>
        <v/>
      </c>
    </row>
    <row r="15388" spans="1:7" ht="12" customHeight="1" outlineLevel="2" x14ac:dyDescent="0.2">
      <c r="A15388" s="14" t="s">
        <v>30269</v>
      </c>
      <c r="B15388" s="15" t="s">
        <v>30270</v>
      </c>
      <c r="C15388" s="16">
        <f>375/(1+B2)</f>
        <v>375</v>
      </c>
      <c r="D15388" s="17" t="s">
        <v>11</v>
      </c>
      <c r="E15388" s="17" t="s">
        <v>11</v>
      </c>
      <c r="F15388" s="18"/>
      <c r="G15388" s="36" t="str">
        <f>IF(ISNUMBER(F15388),C15388*F15388,"")</f>
        <v/>
      </c>
    </row>
    <row r="15389" spans="1:7" ht="12" customHeight="1" outlineLevel="2" x14ac:dyDescent="0.2">
      <c r="A15389" s="14" t="s">
        <v>30271</v>
      </c>
      <c r="B15389" s="15" t="s">
        <v>30272</v>
      </c>
      <c r="C15389" s="16">
        <f>375/(1+B2)</f>
        <v>375</v>
      </c>
      <c r="D15389" s="17" t="s">
        <v>11</v>
      </c>
      <c r="E15389" s="17" t="s">
        <v>11</v>
      </c>
      <c r="F15389" s="18"/>
      <c r="G15389" s="36" t="str">
        <f>IF(ISNUMBER(F15389),C15389*F15389,"")</f>
        <v/>
      </c>
    </row>
    <row r="15390" spans="1:7" ht="12" customHeight="1" outlineLevel="2" x14ac:dyDescent="0.2">
      <c r="A15390" s="14" t="s">
        <v>30273</v>
      </c>
      <c r="B15390" s="15" t="s">
        <v>30274</v>
      </c>
      <c r="C15390" s="16">
        <f>375/(1+B2)</f>
        <v>375</v>
      </c>
      <c r="D15390" s="17" t="s">
        <v>11</v>
      </c>
      <c r="E15390" s="17" t="s">
        <v>11</v>
      </c>
      <c r="F15390" s="18"/>
      <c r="G15390" s="36" t="str">
        <f>IF(ISNUMBER(F15390),C15390*F15390,"")</f>
        <v/>
      </c>
    </row>
    <row r="15391" spans="1:7" ht="12" customHeight="1" outlineLevel="2" x14ac:dyDescent="0.2">
      <c r="A15391" s="14" t="s">
        <v>30275</v>
      </c>
      <c r="B15391" s="15" t="s">
        <v>30276</v>
      </c>
      <c r="C15391" s="16">
        <f>375/(1+B2)</f>
        <v>375</v>
      </c>
      <c r="D15391" s="17" t="s">
        <v>11</v>
      </c>
      <c r="E15391" s="17" t="s">
        <v>11</v>
      </c>
      <c r="F15391" s="18"/>
      <c r="G15391" s="36" t="str">
        <f>IF(ISNUMBER(F15391),C15391*F15391,"")</f>
        <v/>
      </c>
    </row>
    <row r="15392" spans="1:7" ht="12" customHeight="1" outlineLevel="2" x14ac:dyDescent="0.2">
      <c r="A15392" s="14" t="s">
        <v>30277</v>
      </c>
      <c r="B15392" s="15" t="s">
        <v>30278</v>
      </c>
      <c r="C15392" s="16">
        <f>375/(1+B2)</f>
        <v>375</v>
      </c>
      <c r="D15392" s="17" t="s">
        <v>11</v>
      </c>
      <c r="E15392" s="17" t="s">
        <v>11</v>
      </c>
      <c r="F15392" s="18"/>
      <c r="G15392" s="36" t="str">
        <f>IF(ISNUMBER(F15392),C15392*F15392,"")</f>
        <v/>
      </c>
    </row>
    <row r="15393" spans="1:7" ht="12" customHeight="1" outlineLevel="2" x14ac:dyDescent="0.2">
      <c r="A15393" s="14" t="s">
        <v>30279</v>
      </c>
      <c r="B15393" s="15" t="s">
        <v>30280</v>
      </c>
      <c r="C15393" s="16">
        <f>375/(1+B2)</f>
        <v>375</v>
      </c>
      <c r="D15393" s="17" t="s">
        <v>11</v>
      </c>
      <c r="E15393" s="17" t="s">
        <v>11</v>
      </c>
      <c r="F15393" s="18"/>
      <c r="G15393" s="36" t="str">
        <f>IF(ISNUMBER(F15393),C15393*F15393,"")</f>
        <v/>
      </c>
    </row>
    <row r="15394" spans="1:7" ht="12" customHeight="1" outlineLevel="2" x14ac:dyDescent="0.2">
      <c r="A15394" s="14" t="s">
        <v>30281</v>
      </c>
      <c r="B15394" s="15" t="s">
        <v>30282</v>
      </c>
      <c r="C15394" s="16">
        <f>375/(1+B2)</f>
        <v>375</v>
      </c>
      <c r="D15394" s="17" t="s">
        <v>11</v>
      </c>
      <c r="E15394" s="17"/>
      <c r="F15394" s="18"/>
      <c r="G15394" s="36" t="str">
        <f>IF(ISNUMBER(F15394),C15394*F15394,"")</f>
        <v/>
      </c>
    </row>
    <row r="15395" spans="1:7" ht="12" customHeight="1" outlineLevel="2" x14ac:dyDescent="0.2">
      <c r="A15395" s="14" t="s">
        <v>30283</v>
      </c>
      <c r="B15395" s="15" t="s">
        <v>30284</v>
      </c>
      <c r="C15395" s="16">
        <f>375/(1+B2)</f>
        <v>375</v>
      </c>
      <c r="D15395" s="17" t="s">
        <v>11</v>
      </c>
      <c r="E15395" s="17"/>
      <c r="F15395" s="18"/>
      <c r="G15395" s="36" t="str">
        <f>IF(ISNUMBER(F15395),C15395*F15395,"")</f>
        <v/>
      </c>
    </row>
    <row r="15396" spans="1:7" ht="12" customHeight="1" outlineLevel="2" x14ac:dyDescent="0.2">
      <c r="A15396" s="14" t="s">
        <v>30285</v>
      </c>
      <c r="B15396" s="15" t="s">
        <v>30286</v>
      </c>
      <c r="C15396" s="16">
        <f>375/(1+B2)</f>
        <v>375</v>
      </c>
      <c r="D15396" s="17" t="s">
        <v>11</v>
      </c>
      <c r="E15396" s="17"/>
      <c r="F15396" s="18"/>
      <c r="G15396" s="36" t="str">
        <f>IF(ISNUMBER(F15396),C15396*F15396,"")</f>
        <v/>
      </c>
    </row>
    <row r="15397" spans="1:7" ht="12" customHeight="1" outlineLevel="2" x14ac:dyDescent="0.2">
      <c r="A15397" s="14" t="s">
        <v>30287</v>
      </c>
      <c r="B15397" s="15" t="s">
        <v>30288</v>
      </c>
      <c r="C15397" s="16">
        <f>375/(1+B2)</f>
        <v>375</v>
      </c>
      <c r="D15397" s="17" t="s">
        <v>11</v>
      </c>
      <c r="E15397" s="17"/>
      <c r="F15397" s="18"/>
      <c r="G15397" s="36" t="str">
        <f>IF(ISNUMBER(F15397),C15397*F15397,"")</f>
        <v/>
      </c>
    </row>
    <row r="15398" spans="1:7" ht="12" customHeight="1" outlineLevel="2" x14ac:dyDescent="0.2">
      <c r="A15398" s="14" t="s">
        <v>30289</v>
      </c>
      <c r="B15398" s="15" t="s">
        <v>30290</v>
      </c>
      <c r="C15398" s="16">
        <f>375/(1+B2)</f>
        <v>375</v>
      </c>
      <c r="D15398" s="17" t="s">
        <v>11</v>
      </c>
      <c r="E15398" s="17"/>
      <c r="F15398" s="18"/>
      <c r="G15398" s="36" t="str">
        <f>IF(ISNUMBER(F15398),C15398*F15398,"")</f>
        <v/>
      </c>
    </row>
    <row r="15399" spans="1:7" ht="12" customHeight="1" outlineLevel="2" x14ac:dyDescent="0.2">
      <c r="A15399" s="14" t="s">
        <v>30291</v>
      </c>
      <c r="B15399" s="15" t="s">
        <v>30292</v>
      </c>
      <c r="C15399" s="16">
        <f>375/(1+B2)</f>
        <v>375</v>
      </c>
      <c r="D15399" s="17" t="s">
        <v>11</v>
      </c>
      <c r="E15399" s="17"/>
      <c r="F15399" s="18"/>
      <c r="G15399" s="36" t="str">
        <f>IF(ISNUMBER(F15399),C15399*F15399,"")</f>
        <v/>
      </c>
    </row>
    <row r="15400" spans="1:7" ht="12" customHeight="1" outlineLevel="2" x14ac:dyDescent="0.2">
      <c r="A15400" s="14" t="s">
        <v>30293</v>
      </c>
      <c r="B15400" s="15" t="s">
        <v>30294</v>
      </c>
      <c r="C15400" s="16">
        <f>375/(1+B2)</f>
        <v>375</v>
      </c>
      <c r="D15400" s="17" t="s">
        <v>11</v>
      </c>
      <c r="E15400" s="17" t="s">
        <v>11</v>
      </c>
      <c r="F15400" s="18"/>
      <c r="G15400" s="36" t="str">
        <f>IF(ISNUMBER(F15400),C15400*F15400,"")</f>
        <v/>
      </c>
    </row>
    <row r="15401" spans="1:7" ht="12" customHeight="1" outlineLevel="2" x14ac:dyDescent="0.2">
      <c r="A15401" s="14" t="s">
        <v>30295</v>
      </c>
      <c r="B15401" s="15" t="s">
        <v>30296</v>
      </c>
      <c r="C15401" s="16">
        <f>375/(1+B2)</f>
        <v>375</v>
      </c>
      <c r="D15401" s="17" t="s">
        <v>11</v>
      </c>
      <c r="E15401" s="17" t="s">
        <v>11</v>
      </c>
      <c r="F15401" s="18"/>
      <c r="G15401" s="36" t="str">
        <f>IF(ISNUMBER(F15401),C15401*F15401,"")</f>
        <v/>
      </c>
    </row>
    <row r="15402" spans="1:7" ht="12" customHeight="1" outlineLevel="2" x14ac:dyDescent="0.2">
      <c r="A15402" s="14" t="s">
        <v>30297</v>
      </c>
      <c r="B15402" s="15" t="s">
        <v>30298</v>
      </c>
      <c r="C15402" s="16">
        <f>325/(1+B2)</f>
        <v>325</v>
      </c>
      <c r="D15402" s="17" t="s">
        <v>11</v>
      </c>
      <c r="E15402" s="17"/>
      <c r="F15402" s="18"/>
      <c r="G15402" s="36" t="str">
        <f>IF(ISNUMBER(F15402),C15402*F15402,"")</f>
        <v/>
      </c>
    </row>
    <row r="15403" spans="1:7" ht="12" customHeight="1" outlineLevel="2" x14ac:dyDescent="0.2">
      <c r="A15403" s="14" t="s">
        <v>30299</v>
      </c>
      <c r="B15403" s="15" t="s">
        <v>30300</v>
      </c>
      <c r="C15403" s="16">
        <f>325/(1+B2)</f>
        <v>325</v>
      </c>
      <c r="D15403" s="17" t="s">
        <v>11</v>
      </c>
      <c r="E15403" s="17"/>
      <c r="F15403" s="18"/>
      <c r="G15403" s="36" t="str">
        <f>IF(ISNUMBER(F15403),C15403*F15403,"")</f>
        <v/>
      </c>
    </row>
    <row r="15404" spans="1:7" ht="12" customHeight="1" outlineLevel="2" x14ac:dyDescent="0.2">
      <c r="A15404" s="14" t="s">
        <v>30301</v>
      </c>
      <c r="B15404" s="15" t="s">
        <v>30302</v>
      </c>
      <c r="C15404" s="16">
        <f>325/(1+B2)</f>
        <v>325</v>
      </c>
      <c r="D15404" s="17" t="s">
        <v>11</v>
      </c>
      <c r="E15404" s="17" t="s">
        <v>11</v>
      </c>
      <c r="F15404" s="18"/>
      <c r="G15404" s="36" t="str">
        <f>IF(ISNUMBER(F15404),C15404*F15404,"")</f>
        <v/>
      </c>
    </row>
    <row r="15405" spans="1:7" ht="12" customHeight="1" outlineLevel="2" x14ac:dyDescent="0.2">
      <c r="A15405" s="14" t="s">
        <v>30303</v>
      </c>
      <c r="B15405" s="15" t="s">
        <v>30304</v>
      </c>
      <c r="C15405" s="16">
        <f>325/(1+B2)</f>
        <v>325</v>
      </c>
      <c r="D15405" s="17" t="s">
        <v>11</v>
      </c>
      <c r="E15405" s="17"/>
      <c r="F15405" s="18"/>
      <c r="G15405" s="36" t="str">
        <f>IF(ISNUMBER(F15405),C15405*F15405,"")</f>
        <v/>
      </c>
    </row>
    <row r="15406" spans="1:7" ht="12" customHeight="1" outlineLevel="2" x14ac:dyDescent="0.2">
      <c r="A15406" s="14" t="s">
        <v>30305</v>
      </c>
      <c r="B15406" s="15" t="s">
        <v>30306</v>
      </c>
      <c r="C15406" s="16">
        <f>325/(1+B2)</f>
        <v>325</v>
      </c>
      <c r="D15406" s="17" t="s">
        <v>11</v>
      </c>
      <c r="E15406" s="17" t="s">
        <v>11</v>
      </c>
      <c r="F15406" s="18"/>
      <c r="G15406" s="36" t="str">
        <f>IF(ISNUMBER(F15406),C15406*F15406,"")</f>
        <v/>
      </c>
    </row>
    <row r="15407" spans="1:7" ht="12" customHeight="1" outlineLevel="2" x14ac:dyDescent="0.2">
      <c r="A15407" s="14" t="s">
        <v>30307</v>
      </c>
      <c r="B15407" s="15" t="s">
        <v>30308</v>
      </c>
      <c r="C15407" s="16">
        <f>325/(1+B2)</f>
        <v>325</v>
      </c>
      <c r="D15407" s="17" t="s">
        <v>11</v>
      </c>
      <c r="E15407" s="17" t="s">
        <v>11</v>
      </c>
      <c r="F15407" s="18"/>
      <c r="G15407" s="36" t="str">
        <f>IF(ISNUMBER(F15407),C15407*F15407,"")</f>
        <v/>
      </c>
    </row>
    <row r="15408" spans="1:7" ht="12" customHeight="1" outlineLevel="2" x14ac:dyDescent="0.2">
      <c r="A15408" s="14" t="s">
        <v>30309</v>
      </c>
      <c r="B15408" s="15" t="s">
        <v>30310</v>
      </c>
      <c r="C15408" s="16">
        <f>325/(1+B2)</f>
        <v>325</v>
      </c>
      <c r="D15408" s="17" t="s">
        <v>11</v>
      </c>
      <c r="E15408" s="17" t="s">
        <v>11</v>
      </c>
      <c r="F15408" s="18"/>
      <c r="G15408" s="36" t="str">
        <f>IF(ISNUMBER(F15408),C15408*F15408,"")</f>
        <v/>
      </c>
    </row>
    <row r="15409" spans="1:7" ht="12" customHeight="1" outlineLevel="2" x14ac:dyDescent="0.2">
      <c r="A15409" s="14" t="s">
        <v>30311</v>
      </c>
      <c r="B15409" s="15" t="s">
        <v>30312</v>
      </c>
      <c r="C15409" s="16">
        <f>325/(1+B2)</f>
        <v>325</v>
      </c>
      <c r="D15409" s="17" t="s">
        <v>11</v>
      </c>
      <c r="E15409" s="17"/>
      <c r="F15409" s="18"/>
      <c r="G15409" s="36" t="str">
        <f>IF(ISNUMBER(F15409),C15409*F15409,"")</f>
        <v/>
      </c>
    </row>
    <row r="15410" spans="1:7" ht="12" customHeight="1" outlineLevel="2" x14ac:dyDescent="0.2">
      <c r="A15410" s="14" t="s">
        <v>30313</v>
      </c>
      <c r="B15410" s="15" t="s">
        <v>30314</v>
      </c>
      <c r="C15410" s="16">
        <f>325/(1+B2)</f>
        <v>325</v>
      </c>
      <c r="D15410" s="17" t="s">
        <v>11</v>
      </c>
      <c r="E15410" s="17"/>
      <c r="F15410" s="18"/>
      <c r="G15410" s="36" t="str">
        <f>IF(ISNUMBER(F15410),C15410*F15410,"")</f>
        <v/>
      </c>
    </row>
    <row r="15411" spans="1:7" ht="12" customHeight="1" outlineLevel="2" x14ac:dyDescent="0.2">
      <c r="A15411" s="14" t="s">
        <v>30315</v>
      </c>
      <c r="B15411" s="15" t="s">
        <v>30316</v>
      </c>
      <c r="C15411" s="16">
        <f>325/(1+B2)</f>
        <v>325</v>
      </c>
      <c r="D15411" s="17" t="s">
        <v>11</v>
      </c>
      <c r="E15411" s="17" t="s">
        <v>11</v>
      </c>
      <c r="F15411" s="18"/>
      <c r="G15411" s="36" t="str">
        <f>IF(ISNUMBER(F15411),C15411*F15411,"")</f>
        <v/>
      </c>
    </row>
    <row r="15412" spans="1:7" ht="12" customHeight="1" outlineLevel="2" x14ac:dyDescent="0.2">
      <c r="A15412" s="14" t="s">
        <v>30317</v>
      </c>
      <c r="B15412" s="15" t="s">
        <v>30318</v>
      </c>
      <c r="C15412" s="16">
        <f>325/(1+B2)</f>
        <v>325</v>
      </c>
      <c r="D15412" s="17" t="s">
        <v>11</v>
      </c>
      <c r="E15412" s="17"/>
      <c r="F15412" s="18"/>
      <c r="G15412" s="36" t="str">
        <f>IF(ISNUMBER(F15412),C15412*F15412,"")</f>
        <v/>
      </c>
    </row>
    <row r="15413" spans="1:7" ht="12" customHeight="1" outlineLevel="2" x14ac:dyDescent="0.2">
      <c r="A15413" s="14" t="s">
        <v>30319</v>
      </c>
      <c r="B15413" s="15" t="s">
        <v>30320</v>
      </c>
      <c r="C15413" s="16">
        <f>325/(1+B2)</f>
        <v>325</v>
      </c>
      <c r="D15413" s="17" t="s">
        <v>11</v>
      </c>
      <c r="E15413" s="17"/>
      <c r="F15413" s="18"/>
      <c r="G15413" s="36" t="str">
        <f>IF(ISNUMBER(F15413),C15413*F15413,"")</f>
        <v/>
      </c>
    </row>
    <row r="15414" spans="1:7" ht="12" customHeight="1" outlineLevel="2" x14ac:dyDescent="0.2">
      <c r="A15414" s="14" t="s">
        <v>30321</v>
      </c>
      <c r="B15414" s="15" t="s">
        <v>30322</v>
      </c>
      <c r="C15414" s="16">
        <f>325/(1+B2)</f>
        <v>325</v>
      </c>
      <c r="D15414" s="17" t="s">
        <v>11</v>
      </c>
      <c r="E15414" s="17" t="s">
        <v>11</v>
      </c>
      <c r="F15414" s="18"/>
      <c r="G15414" s="36" t="str">
        <f>IF(ISNUMBER(F15414),C15414*F15414,"")</f>
        <v/>
      </c>
    </row>
    <row r="15415" spans="1:7" ht="12" customHeight="1" outlineLevel="2" x14ac:dyDescent="0.2">
      <c r="A15415" s="14" t="s">
        <v>30323</v>
      </c>
      <c r="B15415" s="15" t="s">
        <v>30324</v>
      </c>
      <c r="C15415" s="16">
        <f>325/(1+B2)</f>
        <v>325</v>
      </c>
      <c r="D15415" s="17" t="s">
        <v>11</v>
      </c>
      <c r="E15415" s="17" t="s">
        <v>11</v>
      </c>
      <c r="F15415" s="18"/>
      <c r="G15415" s="36" t="str">
        <f>IF(ISNUMBER(F15415),C15415*F15415,"")</f>
        <v/>
      </c>
    </row>
    <row r="15416" spans="1:7" ht="12" customHeight="1" outlineLevel="2" x14ac:dyDescent="0.2">
      <c r="A15416" s="14" t="s">
        <v>30325</v>
      </c>
      <c r="B15416" s="15" t="s">
        <v>30326</v>
      </c>
      <c r="C15416" s="16">
        <f>325/(1+B2)</f>
        <v>325</v>
      </c>
      <c r="D15416" s="17" t="s">
        <v>11</v>
      </c>
      <c r="E15416" s="17" t="s">
        <v>11</v>
      </c>
      <c r="F15416" s="18"/>
      <c r="G15416" s="36" t="str">
        <f>IF(ISNUMBER(F15416),C15416*F15416,"")</f>
        <v/>
      </c>
    </row>
    <row r="15417" spans="1:7" ht="12" customHeight="1" outlineLevel="2" x14ac:dyDescent="0.2">
      <c r="A15417" s="14" t="s">
        <v>30327</v>
      </c>
      <c r="B15417" s="15" t="s">
        <v>30328</v>
      </c>
      <c r="C15417" s="16">
        <f>325/(1+B2)</f>
        <v>325</v>
      </c>
      <c r="D15417" s="17" t="s">
        <v>11</v>
      </c>
      <c r="E15417" s="17"/>
      <c r="F15417" s="18"/>
      <c r="G15417" s="36" t="str">
        <f>IF(ISNUMBER(F15417),C15417*F15417,"")</f>
        <v/>
      </c>
    </row>
    <row r="15418" spans="1:7" s="1" customFormat="1" ht="15.95" customHeight="1" outlineLevel="1" x14ac:dyDescent="0.25">
      <c r="A15418" s="11"/>
      <c r="B15418" s="12" t="s">
        <v>30329</v>
      </c>
      <c r="C15418" s="13"/>
      <c r="D15418" s="13"/>
      <c r="E15418" s="13"/>
      <c r="F15418" s="13"/>
      <c r="G15418" s="35"/>
    </row>
    <row r="15419" spans="1:7" ht="12" customHeight="1" outlineLevel="2" x14ac:dyDescent="0.2">
      <c r="A15419" s="14" t="s">
        <v>30330</v>
      </c>
      <c r="B15419" s="15" t="s">
        <v>30331</v>
      </c>
      <c r="C15419" s="19">
        <f>1066.25/(1+B2)</f>
        <v>1066.25</v>
      </c>
      <c r="D15419" s="17" t="s">
        <v>11</v>
      </c>
      <c r="E15419" s="17" t="s">
        <v>11</v>
      </c>
      <c r="F15419" s="18"/>
      <c r="G15419" s="36" t="str">
        <f>IF(ISNUMBER(F15419),C15419*F15419,"")</f>
        <v/>
      </c>
    </row>
    <row r="15420" spans="1:7" ht="12" customHeight="1" outlineLevel="2" x14ac:dyDescent="0.2">
      <c r="A15420" s="14" t="s">
        <v>30332</v>
      </c>
      <c r="B15420" s="15" t="s">
        <v>30333</v>
      </c>
      <c r="C15420" s="19">
        <f>1066.25/(1+B2)</f>
        <v>1066.25</v>
      </c>
      <c r="D15420" s="17" t="s">
        <v>11</v>
      </c>
      <c r="E15420" s="17" t="s">
        <v>11</v>
      </c>
      <c r="F15420" s="18"/>
      <c r="G15420" s="36" t="str">
        <f>IF(ISNUMBER(F15420),C15420*F15420,"")</f>
        <v/>
      </c>
    </row>
    <row r="15421" spans="1:7" ht="12" customHeight="1" outlineLevel="2" x14ac:dyDescent="0.2">
      <c r="A15421" s="14" t="s">
        <v>30334</v>
      </c>
      <c r="B15421" s="15" t="s">
        <v>30335</v>
      </c>
      <c r="C15421" s="19">
        <f>1066.25/(1+B2)</f>
        <v>1066.25</v>
      </c>
      <c r="D15421" s="17" t="s">
        <v>11</v>
      </c>
      <c r="E15421" s="17" t="s">
        <v>11</v>
      </c>
      <c r="F15421" s="18"/>
      <c r="G15421" s="36" t="str">
        <f>IF(ISNUMBER(F15421),C15421*F15421,"")</f>
        <v/>
      </c>
    </row>
    <row r="15422" spans="1:7" ht="12" customHeight="1" outlineLevel="2" x14ac:dyDescent="0.2">
      <c r="A15422" s="14" t="s">
        <v>30336</v>
      </c>
      <c r="B15422" s="15" t="s">
        <v>30337</v>
      </c>
      <c r="C15422" s="19">
        <f>1066.25/(1+B2)</f>
        <v>1066.25</v>
      </c>
      <c r="D15422" s="17" t="s">
        <v>11</v>
      </c>
      <c r="E15422" s="17" t="s">
        <v>11</v>
      </c>
      <c r="F15422" s="18"/>
      <c r="G15422" s="36" t="str">
        <f>IF(ISNUMBER(F15422),C15422*F15422,"")</f>
        <v/>
      </c>
    </row>
    <row r="15423" spans="1:7" ht="12" customHeight="1" outlineLevel="2" x14ac:dyDescent="0.2">
      <c r="A15423" s="14" t="s">
        <v>30338</v>
      </c>
      <c r="B15423" s="15" t="s">
        <v>30339</v>
      </c>
      <c r="C15423" s="19">
        <f>1066.25/(1+B2)</f>
        <v>1066.25</v>
      </c>
      <c r="D15423" s="17" t="s">
        <v>11</v>
      </c>
      <c r="E15423" s="17" t="s">
        <v>11</v>
      </c>
      <c r="F15423" s="18"/>
      <c r="G15423" s="36" t="str">
        <f>IF(ISNUMBER(F15423),C15423*F15423,"")</f>
        <v/>
      </c>
    </row>
    <row r="15424" spans="1:7" ht="12" customHeight="1" outlineLevel="2" x14ac:dyDescent="0.2">
      <c r="A15424" s="14" t="s">
        <v>30340</v>
      </c>
      <c r="B15424" s="15" t="s">
        <v>30341</v>
      </c>
      <c r="C15424" s="19">
        <f>1066.25/(1+B2)</f>
        <v>1066.25</v>
      </c>
      <c r="D15424" s="17" t="s">
        <v>11</v>
      </c>
      <c r="E15424" s="17" t="s">
        <v>11</v>
      </c>
      <c r="F15424" s="18"/>
      <c r="G15424" s="36" t="str">
        <f>IF(ISNUMBER(F15424),C15424*F15424,"")</f>
        <v/>
      </c>
    </row>
    <row r="15425" spans="1:7" ht="12" customHeight="1" outlineLevel="2" x14ac:dyDescent="0.2">
      <c r="A15425" s="14" t="s">
        <v>30342</v>
      </c>
      <c r="B15425" s="15" t="s">
        <v>30343</v>
      </c>
      <c r="C15425" s="19">
        <f>1066.25/(1+B2)</f>
        <v>1066.25</v>
      </c>
      <c r="D15425" s="17" t="s">
        <v>11</v>
      </c>
      <c r="E15425" s="17" t="s">
        <v>11</v>
      </c>
      <c r="F15425" s="18"/>
      <c r="G15425" s="36" t="str">
        <f>IF(ISNUMBER(F15425),C15425*F15425,"")</f>
        <v/>
      </c>
    </row>
    <row r="15426" spans="1:7" ht="12" customHeight="1" outlineLevel="2" x14ac:dyDescent="0.2">
      <c r="A15426" s="14" t="s">
        <v>30344</v>
      </c>
      <c r="B15426" s="15" t="s">
        <v>30345</v>
      </c>
      <c r="C15426" s="19">
        <f>1066.25/(1+B2)</f>
        <v>1066.25</v>
      </c>
      <c r="D15426" s="17" t="s">
        <v>11</v>
      </c>
      <c r="E15426" s="17"/>
      <c r="F15426" s="18"/>
      <c r="G15426" s="36" t="str">
        <f>IF(ISNUMBER(F15426),C15426*F15426,"")</f>
        <v/>
      </c>
    </row>
    <row r="15427" spans="1:7" ht="12" customHeight="1" outlineLevel="2" x14ac:dyDescent="0.2">
      <c r="A15427" s="14" t="s">
        <v>30346</v>
      </c>
      <c r="B15427" s="15" t="s">
        <v>30347</v>
      </c>
      <c r="C15427" s="16">
        <f>857.5/(1+B2)</f>
        <v>857.5</v>
      </c>
      <c r="D15427" s="17" t="s">
        <v>11</v>
      </c>
      <c r="E15427" s="17" t="s">
        <v>11</v>
      </c>
      <c r="F15427" s="18"/>
      <c r="G15427" s="36" t="str">
        <f>IF(ISNUMBER(F15427),C15427*F15427,"")</f>
        <v/>
      </c>
    </row>
    <row r="15428" spans="1:7" ht="12" customHeight="1" outlineLevel="2" x14ac:dyDescent="0.2">
      <c r="A15428" s="14" t="s">
        <v>30348</v>
      </c>
      <c r="B15428" s="15" t="s">
        <v>30349</v>
      </c>
      <c r="C15428" s="16">
        <f>857.5/(1+B2)</f>
        <v>857.5</v>
      </c>
      <c r="D15428" s="17" t="s">
        <v>11</v>
      </c>
      <c r="E15428" s="17" t="s">
        <v>11</v>
      </c>
      <c r="F15428" s="18"/>
      <c r="G15428" s="36" t="str">
        <f>IF(ISNUMBER(F15428),C15428*F15428,"")</f>
        <v/>
      </c>
    </row>
    <row r="15429" spans="1:7" ht="12" customHeight="1" outlineLevel="2" x14ac:dyDescent="0.2">
      <c r="A15429" s="14" t="s">
        <v>30350</v>
      </c>
      <c r="B15429" s="15" t="s">
        <v>30351</v>
      </c>
      <c r="C15429" s="16">
        <f>857.5/(1+B2)</f>
        <v>857.5</v>
      </c>
      <c r="D15429" s="17" t="s">
        <v>11</v>
      </c>
      <c r="E15429" s="17" t="s">
        <v>11</v>
      </c>
      <c r="F15429" s="18"/>
      <c r="G15429" s="36" t="str">
        <f>IF(ISNUMBER(F15429),C15429*F15429,"")</f>
        <v/>
      </c>
    </row>
    <row r="15430" spans="1:7" ht="12" customHeight="1" outlineLevel="2" x14ac:dyDescent="0.2">
      <c r="A15430" s="14" t="s">
        <v>30352</v>
      </c>
      <c r="B15430" s="15" t="s">
        <v>30353</v>
      </c>
      <c r="C15430" s="16">
        <f>783.75/(1+B2)</f>
        <v>783.75</v>
      </c>
      <c r="D15430" s="17" t="s">
        <v>11</v>
      </c>
      <c r="E15430" s="17" t="s">
        <v>11</v>
      </c>
      <c r="F15430" s="18"/>
      <c r="G15430" s="36" t="str">
        <f>IF(ISNUMBER(F15430),C15430*F15430,"")</f>
        <v/>
      </c>
    </row>
    <row r="15431" spans="1:7" ht="12" customHeight="1" outlineLevel="2" x14ac:dyDescent="0.2">
      <c r="A15431" s="14" t="s">
        <v>30354</v>
      </c>
      <c r="B15431" s="15" t="s">
        <v>30355</v>
      </c>
      <c r="C15431" s="16">
        <f>783.75/(1+B2)</f>
        <v>783.75</v>
      </c>
      <c r="D15431" s="17" t="s">
        <v>11</v>
      </c>
      <c r="E15431" s="17"/>
      <c r="F15431" s="18"/>
      <c r="G15431" s="36" t="str">
        <f>IF(ISNUMBER(F15431),C15431*F15431,"")</f>
        <v/>
      </c>
    </row>
    <row r="15432" spans="1:7" ht="12" customHeight="1" outlineLevel="2" x14ac:dyDescent="0.2">
      <c r="A15432" s="14" t="s">
        <v>30356</v>
      </c>
      <c r="B15432" s="15" t="s">
        <v>30357</v>
      </c>
      <c r="C15432" s="16">
        <f>783.75/(1+B2)</f>
        <v>783.75</v>
      </c>
      <c r="D15432" s="17" t="s">
        <v>11</v>
      </c>
      <c r="E15432" s="17" t="s">
        <v>11</v>
      </c>
      <c r="F15432" s="18"/>
      <c r="G15432" s="36" t="str">
        <f>IF(ISNUMBER(F15432),C15432*F15432,"")</f>
        <v/>
      </c>
    </row>
    <row r="15433" spans="1:7" ht="12" customHeight="1" outlineLevel="2" x14ac:dyDescent="0.2">
      <c r="A15433" s="14" t="s">
        <v>30358</v>
      </c>
      <c r="B15433" s="15" t="s">
        <v>30359</v>
      </c>
      <c r="C15433" s="16">
        <f>783.75/(1+B2)</f>
        <v>783.75</v>
      </c>
      <c r="D15433" s="17" t="s">
        <v>11</v>
      </c>
      <c r="E15433" s="17"/>
      <c r="F15433" s="18"/>
      <c r="G15433" s="36" t="str">
        <f>IF(ISNUMBER(F15433),C15433*F15433,"")</f>
        <v/>
      </c>
    </row>
    <row r="15434" spans="1:7" ht="12" customHeight="1" outlineLevel="2" x14ac:dyDescent="0.2">
      <c r="A15434" s="14" t="s">
        <v>30360</v>
      </c>
      <c r="B15434" s="15" t="s">
        <v>30361</v>
      </c>
      <c r="C15434" s="16">
        <f>893.75/(1+B2)</f>
        <v>893.75</v>
      </c>
      <c r="D15434" s="17" t="s">
        <v>11</v>
      </c>
      <c r="E15434" s="17" t="s">
        <v>11</v>
      </c>
      <c r="F15434" s="18"/>
      <c r="G15434" s="36" t="str">
        <f>IF(ISNUMBER(F15434),C15434*F15434,"")</f>
        <v/>
      </c>
    </row>
    <row r="15435" spans="1:7" ht="12" customHeight="1" outlineLevel="2" x14ac:dyDescent="0.2">
      <c r="A15435" s="14" t="s">
        <v>30362</v>
      </c>
      <c r="B15435" s="15" t="s">
        <v>30363</v>
      </c>
      <c r="C15435" s="16">
        <f>893.75/(1+B2)</f>
        <v>893.75</v>
      </c>
      <c r="D15435" s="17" t="s">
        <v>11</v>
      </c>
      <c r="E15435" s="17" t="s">
        <v>11</v>
      </c>
      <c r="F15435" s="18"/>
      <c r="G15435" s="36" t="str">
        <f>IF(ISNUMBER(F15435),C15435*F15435,"")</f>
        <v/>
      </c>
    </row>
    <row r="15436" spans="1:7" ht="12" customHeight="1" outlineLevel="2" x14ac:dyDescent="0.2">
      <c r="A15436" s="14" t="s">
        <v>30364</v>
      </c>
      <c r="B15436" s="15" t="s">
        <v>30365</v>
      </c>
      <c r="C15436" s="16">
        <f>893.75/(1+B2)</f>
        <v>893.75</v>
      </c>
      <c r="D15436" s="17" t="s">
        <v>11</v>
      </c>
      <c r="E15436" s="17" t="s">
        <v>11</v>
      </c>
      <c r="F15436" s="18"/>
      <c r="G15436" s="36" t="str">
        <f>IF(ISNUMBER(F15436),C15436*F15436,"")</f>
        <v/>
      </c>
    </row>
    <row r="15437" spans="1:7" ht="12" customHeight="1" outlineLevel="2" x14ac:dyDescent="0.2">
      <c r="A15437" s="14" t="s">
        <v>30366</v>
      </c>
      <c r="B15437" s="15" t="s">
        <v>30367</v>
      </c>
      <c r="C15437" s="16">
        <f>893.75/(1+B2)</f>
        <v>893.75</v>
      </c>
      <c r="D15437" s="17" t="s">
        <v>11</v>
      </c>
      <c r="E15437" s="17" t="s">
        <v>11</v>
      </c>
      <c r="F15437" s="18"/>
      <c r="G15437" s="36" t="str">
        <f>IF(ISNUMBER(F15437),C15437*F15437,"")</f>
        <v/>
      </c>
    </row>
    <row r="15438" spans="1:7" ht="12" customHeight="1" outlineLevel="2" x14ac:dyDescent="0.2">
      <c r="A15438" s="14" t="s">
        <v>30368</v>
      </c>
      <c r="B15438" s="15" t="s">
        <v>30369</v>
      </c>
      <c r="C15438" s="16">
        <f>893.75/(1+B2)</f>
        <v>893.75</v>
      </c>
      <c r="D15438" s="17" t="s">
        <v>11</v>
      </c>
      <c r="E15438" s="17" t="s">
        <v>11</v>
      </c>
      <c r="F15438" s="18"/>
      <c r="G15438" s="36" t="str">
        <f>IF(ISNUMBER(F15438),C15438*F15438,"")</f>
        <v/>
      </c>
    </row>
    <row r="15439" spans="1:7" ht="12" customHeight="1" outlineLevel="2" x14ac:dyDescent="0.2">
      <c r="A15439" s="14" t="s">
        <v>30370</v>
      </c>
      <c r="B15439" s="15" t="s">
        <v>30371</v>
      </c>
      <c r="C15439" s="16">
        <f>893.75/(1+B2)</f>
        <v>893.75</v>
      </c>
      <c r="D15439" s="17" t="s">
        <v>11</v>
      </c>
      <c r="E15439" s="17" t="s">
        <v>11</v>
      </c>
      <c r="F15439" s="18"/>
      <c r="G15439" s="36" t="str">
        <f>IF(ISNUMBER(F15439),C15439*F15439,"")</f>
        <v/>
      </c>
    </row>
    <row r="15440" spans="1:7" ht="12" customHeight="1" outlineLevel="2" x14ac:dyDescent="0.2">
      <c r="A15440" s="14" t="s">
        <v>30372</v>
      </c>
      <c r="B15440" s="15" t="s">
        <v>30373</v>
      </c>
      <c r="C15440" s="16">
        <f>808.75/(1+B2)</f>
        <v>808.75</v>
      </c>
      <c r="D15440" s="17" t="s">
        <v>11</v>
      </c>
      <c r="E15440" s="17"/>
      <c r="F15440" s="18"/>
      <c r="G15440" s="36" t="str">
        <f>IF(ISNUMBER(F15440),C15440*F15440,"")</f>
        <v/>
      </c>
    </row>
    <row r="15441" spans="1:7" ht="12" customHeight="1" outlineLevel="2" x14ac:dyDescent="0.2">
      <c r="A15441" s="14" t="s">
        <v>30374</v>
      </c>
      <c r="B15441" s="15" t="s">
        <v>30375</v>
      </c>
      <c r="C15441" s="16">
        <f>808.75/(1+B2)</f>
        <v>808.75</v>
      </c>
      <c r="D15441" s="17" t="s">
        <v>11</v>
      </c>
      <c r="E15441" s="17"/>
      <c r="F15441" s="18"/>
      <c r="G15441" s="36" t="str">
        <f>IF(ISNUMBER(F15441),C15441*F15441,"")</f>
        <v/>
      </c>
    </row>
    <row r="15442" spans="1:7" ht="12" customHeight="1" outlineLevel="2" x14ac:dyDescent="0.2">
      <c r="A15442" s="14" t="s">
        <v>30376</v>
      </c>
      <c r="B15442" s="15" t="s">
        <v>30377</v>
      </c>
      <c r="C15442" s="16">
        <f>808.75/(1+B2)</f>
        <v>808.75</v>
      </c>
      <c r="D15442" s="17" t="s">
        <v>11</v>
      </c>
      <c r="E15442" s="17"/>
      <c r="F15442" s="18"/>
      <c r="G15442" s="36" t="str">
        <f>IF(ISNUMBER(F15442),C15442*F15442,"")</f>
        <v/>
      </c>
    </row>
    <row r="15443" spans="1:7" ht="12" customHeight="1" outlineLevel="2" x14ac:dyDescent="0.2">
      <c r="A15443" s="14" t="s">
        <v>30378</v>
      </c>
      <c r="B15443" s="15" t="s">
        <v>30379</v>
      </c>
      <c r="C15443" s="16">
        <f>808.75/(1+B2)</f>
        <v>808.75</v>
      </c>
      <c r="D15443" s="17" t="s">
        <v>11</v>
      </c>
      <c r="E15443" s="17" t="s">
        <v>11</v>
      </c>
      <c r="F15443" s="18"/>
      <c r="G15443" s="36" t="str">
        <f>IF(ISNUMBER(F15443),C15443*F15443,"")</f>
        <v/>
      </c>
    </row>
    <row r="15444" spans="1:7" ht="12" customHeight="1" outlineLevel="2" x14ac:dyDescent="0.2">
      <c r="A15444" s="14" t="s">
        <v>30380</v>
      </c>
      <c r="B15444" s="15" t="s">
        <v>30381</v>
      </c>
      <c r="C15444" s="16">
        <f>635/(1+B2)</f>
        <v>635</v>
      </c>
      <c r="D15444" s="17" t="s">
        <v>11</v>
      </c>
      <c r="E15444" s="17"/>
      <c r="F15444" s="18"/>
      <c r="G15444" s="36" t="str">
        <f>IF(ISNUMBER(F15444),C15444*F15444,"")</f>
        <v/>
      </c>
    </row>
    <row r="15445" spans="1:7" ht="12" customHeight="1" outlineLevel="2" x14ac:dyDescent="0.2">
      <c r="A15445" s="14" t="s">
        <v>30382</v>
      </c>
      <c r="B15445" s="15" t="s">
        <v>30383</v>
      </c>
      <c r="C15445" s="16">
        <f>661.25/(1+B2)</f>
        <v>661.25</v>
      </c>
      <c r="D15445" s="17" t="s">
        <v>11</v>
      </c>
      <c r="E15445" s="17"/>
      <c r="F15445" s="18"/>
      <c r="G15445" s="36" t="str">
        <f>IF(ISNUMBER(F15445),C15445*F15445,"")</f>
        <v/>
      </c>
    </row>
    <row r="15446" spans="1:7" ht="12" customHeight="1" outlineLevel="2" x14ac:dyDescent="0.2">
      <c r="A15446" s="14" t="s">
        <v>30384</v>
      </c>
      <c r="B15446" s="15" t="s">
        <v>30385</v>
      </c>
      <c r="C15446" s="16">
        <f>661.25/(1+B2)</f>
        <v>661.25</v>
      </c>
      <c r="D15446" s="17" t="s">
        <v>11</v>
      </c>
      <c r="E15446" s="17"/>
      <c r="F15446" s="18"/>
      <c r="G15446" s="36" t="str">
        <f>IF(ISNUMBER(F15446),C15446*F15446,"")</f>
        <v/>
      </c>
    </row>
    <row r="15447" spans="1:7" ht="12" customHeight="1" outlineLevel="2" x14ac:dyDescent="0.2">
      <c r="A15447" s="14" t="s">
        <v>30386</v>
      </c>
      <c r="B15447" s="15" t="s">
        <v>30387</v>
      </c>
      <c r="C15447" s="16">
        <f>661.25/(1+B2)</f>
        <v>661.25</v>
      </c>
      <c r="D15447" s="17" t="s">
        <v>11</v>
      </c>
      <c r="E15447" s="17"/>
      <c r="F15447" s="18"/>
      <c r="G15447" s="36" t="str">
        <f>IF(ISNUMBER(F15447),C15447*F15447,"")</f>
        <v/>
      </c>
    </row>
    <row r="15448" spans="1:7" ht="12" customHeight="1" outlineLevel="2" x14ac:dyDescent="0.2">
      <c r="A15448" s="14" t="s">
        <v>30388</v>
      </c>
      <c r="B15448" s="15" t="s">
        <v>30389</v>
      </c>
      <c r="C15448" s="16">
        <f>538.75/(1+B2)</f>
        <v>538.75</v>
      </c>
      <c r="D15448" s="17" t="s">
        <v>11</v>
      </c>
      <c r="E15448" s="17"/>
      <c r="F15448" s="18"/>
      <c r="G15448" s="36" t="str">
        <f>IF(ISNUMBER(F15448),C15448*F15448,"")</f>
        <v/>
      </c>
    </row>
    <row r="15449" spans="1:7" ht="12" customHeight="1" outlineLevel="2" x14ac:dyDescent="0.2">
      <c r="A15449" s="14" t="s">
        <v>30390</v>
      </c>
      <c r="B15449" s="15" t="s">
        <v>30391</v>
      </c>
      <c r="C15449" s="16">
        <f>538.75/(1+B2)</f>
        <v>538.75</v>
      </c>
      <c r="D15449" s="17" t="s">
        <v>11</v>
      </c>
      <c r="E15449" s="17"/>
      <c r="F15449" s="18"/>
      <c r="G15449" s="36" t="str">
        <f>IF(ISNUMBER(F15449),C15449*F15449,"")</f>
        <v/>
      </c>
    </row>
    <row r="15450" spans="1:7" ht="12" customHeight="1" outlineLevel="2" x14ac:dyDescent="0.2">
      <c r="A15450" s="14" t="s">
        <v>30392</v>
      </c>
      <c r="B15450" s="15" t="s">
        <v>30393</v>
      </c>
      <c r="C15450" s="16">
        <f>517.5/(1+B2)</f>
        <v>517.5</v>
      </c>
      <c r="D15450" s="17" t="s">
        <v>11</v>
      </c>
      <c r="E15450" s="17" t="s">
        <v>11</v>
      </c>
      <c r="F15450" s="18"/>
      <c r="G15450" s="36" t="str">
        <f>IF(ISNUMBER(F15450),C15450*F15450,"")</f>
        <v/>
      </c>
    </row>
    <row r="15451" spans="1:7" ht="12" customHeight="1" outlineLevel="2" x14ac:dyDescent="0.2">
      <c r="A15451" s="14" t="s">
        <v>30394</v>
      </c>
      <c r="B15451" s="15" t="s">
        <v>30395</v>
      </c>
      <c r="C15451" s="16">
        <f>538.75/(1+B2)</f>
        <v>538.75</v>
      </c>
      <c r="D15451" s="17" t="s">
        <v>11</v>
      </c>
      <c r="E15451" s="17"/>
      <c r="F15451" s="18"/>
      <c r="G15451" s="36" t="str">
        <f>IF(ISNUMBER(F15451),C15451*F15451,"")</f>
        <v/>
      </c>
    </row>
    <row r="15452" spans="1:7" ht="12" customHeight="1" outlineLevel="2" x14ac:dyDescent="0.2">
      <c r="A15452" s="14" t="s">
        <v>30396</v>
      </c>
      <c r="B15452" s="15" t="s">
        <v>30397</v>
      </c>
      <c r="C15452" s="16">
        <f>538.75/(1+B2)</f>
        <v>538.75</v>
      </c>
      <c r="D15452" s="17" t="s">
        <v>11</v>
      </c>
      <c r="E15452" s="17"/>
      <c r="F15452" s="18"/>
      <c r="G15452" s="36" t="str">
        <f>IF(ISNUMBER(F15452),C15452*F15452,"")</f>
        <v/>
      </c>
    </row>
    <row r="15453" spans="1:7" ht="12" customHeight="1" outlineLevel="2" x14ac:dyDescent="0.2">
      <c r="A15453" s="14" t="s">
        <v>30398</v>
      </c>
      <c r="B15453" s="15" t="s">
        <v>30399</v>
      </c>
      <c r="C15453" s="16">
        <f>517.5/(1+B2)</f>
        <v>517.5</v>
      </c>
      <c r="D15453" s="17" t="s">
        <v>11</v>
      </c>
      <c r="E15453" s="17"/>
      <c r="F15453" s="18"/>
      <c r="G15453" s="36" t="str">
        <f>IF(ISNUMBER(F15453),C15453*F15453,"")</f>
        <v/>
      </c>
    </row>
    <row r="15454" spans="1:7" ht="12" customHeight="1" outlineLevel="2" x14ac:dyDescent="0.2">
      <c r="A15454" s="14" t="s">
        <v>30400</v>
      </c>
      <c r="B15454" s="15" t="s">
        <v>30401</v>
      </c>
      <c r="C15454" s="16">
        <f>67.5/(1+B2)</f>
        <v>67.5</v>
      </c>
      <c r="D15454" s="17" t="s">
        <v>11</v>
      </c>
      <c r="E15454" s="17" t="s">
        <v>14</v>
      </c>
      <c r="F15454" s="18"/>
      <c r="G15454" s="36" t="str">
        <f>IF(ISNUMBER(F15454),C15454*F15454,"")</f>
        <v/>
      </c>
    </row>
    <row r="15455" spans="1:7" ht="12" customHeight="1" outlineLevel="2" x14ac:dyDescent="0.2">
      <c r="A15455" s="14" t="s">
        <v>30402</v>
      </c>
      <c r="B15455" s="15" t="s">
        <v>30403</v>
      </c>
      <c r="C15455" s="16">
        <f>648.75/(1+B2)</f>
        <v>648.75</v>
      </c>
      <c r="D15455" s="17" t="s">
        <v>11</v>
      </c>
      <c r="E15455" s="17"/>
      <c r="F15455" s="18"/>
      <c r="G15455" s="36" t="str">
        <f>IF(ISNUMBER(F15455),C15455*F15455,"")</f>
        <v/>
      </c>
    </row>
    <row r="15456" spans="1:7" ht="12" customHeight="1" outlineLevel="2" x14ac:dyDescent="0.2">
      <c r="A15456" s="14" t="s">
        <v>30404</v>
      </c>
      <c r="B15456" s="15" t="s">
        <v>30405</v>
      </c>
      <c r="C15456" s="16">
        <f>648.75/(1+B2)</f>
        <v>648.75</v>
      </c>
      <c r="D15456" s="17" t="s">
        <v>11</v>
      </c>
      <c r="E15456" s="17" t="s">
        <v>11</v>
      </c>
      <c r="F15456" s="18"/>
      <c r="G15456" s="36" t="str">
        <f>IF(ISNUMBER(F15456),C15456*F15456,"")</f>
        <v/>
      </c>
    </row>
    <row r="15457" spans="1:7" ht="12" customHeight="1" outlineLevel="2" x14ac:dyDescent="0.2">
      <c r="A15457" s="14" t="s">
        <v>30406</v>
      </c>
      <c r="B15457" s="15" t="s">
        <v>30407</v>
      </c>
      <c r="C15457" s="16">
        <f>648.75/(1+B2)</f>
        <v>648.75</v>
      </c>
      <c r="D15457" s="17" t="s">
        <v>11</v>
      </c>
      <c r="E15457" s="17" t="s">
        <v>11</v>
      </c>
      <c r="F15457" s="18"/>
      <c r="G15457" s="36" t="str">
        <f>IF(ISNUMBER(F15457),C15457*F15457,"")</f>
        <v/>
      </c>
    </row>
    <row r="15458" spans="1:7" ht="12" customHeight="1" outlineLevel="2" x14ac:dyDescent="0.2">
      <c r="A15458" s="14" t="s">
        <v>30408</v>
      </c>
      <c r="B15458" s="15" t="s">
        <v>30409</v>
      </c>
      <c r="C15458" s="16">
        <f>648.75/(1+B2)</f>
        <v>648.75</v>
      </c>
      <c r="D15458" s="17" t="s">
        <v>11</v>
      </c>
      <c r="E15458" s="17" t="s">
        <v>11</v>
      </c>
      <c r="F15458" s="18"/>
      <c r="G15458" s="36" t="str">
        <f>IF(ISNUMBER(F15458),C15458*F15458,"")</f>
        <v/>
      </c>
    </row>
    <row r="15459" spans="1:7" ht="12" customHeight="1" outlineLevel="2" x14ac:dyDescent="0.2">
      <c r="A15459" s="14" t="s">
        <v>30410</v>
      </c>
      <c r="B15459" s="15" t="s">
        <v>30411</v>
      </c>
      <c r="C15459" s="16">
        <f>648.75/(1+B2)</f>
        <v>648.75</v>
      </c>
      <c r="D15459" s="17" t="s">
        <v>11</v>
      </c>
      <c r="E15459" s="17" t="s">
        <v>11</v>
      </c>
      <c r="F15459" s="18"/>
      <c r="G15459" s="36" t="str">
        <f>IF(ISNUMBER(F15459),C15459*F15459,"")</f>
        <v/>
      </c>
    </row>
    <row r="15460" spans="1:7" ht="12" customHeight="1" outlineLevel="2" x14ac:dyDescent="0.2">
      <c r="A15460" s="14" t="s">
        <v>30412</v>
      </c>
      <c r="B15460" s="15" t="s">
        <v>30413</v>
      </c>
      <c r="C15460" s="16">
        <f>648.75/(1+B2)</f>
        <v>648.75</v>
      </c>
      <c r="D15460" s="17" t="s">
        <v>11</v>
      </c>
      <c r="E15460" s="17" t="s">
        <v>11</v>
      </c>
      <c r="F15460" s="18"/>
      <c r="G15460" s="36" t="str">
        <f>IF(ISNUMBER(F15460),C15460*F15460,"")</f>
        <v/>
      </c>
    </row>
    <row r="15461" spans="1:7" ht="12" customHeight="1" outlineLevel="2" x14ac:dyDescent="0.2">
      <c r="A15461" s="14" t="s">
        <v>30414</v>
      </c>
      <c r="B15461" s="15" t="s">
        <v>30415</v>
      </c>
      <c r="C15461" s="16">
        <f>648.75/(1+B2)</f>
        <v>648.75</v>
      </c>
      <c r="D15461" s="17" t="s">
        <v>11</v>
      </c>
      <c r="E15461" s="17" t="s">
        <v>11</v>
      </c>
      <c r="F15461" s="18"/>
      <c r="G15461" s="36" t="str">
        <f>IF(ISNUMBER(F15461),C15461*F15461,"")</f>
        <v/>
      </c>
    </row>
    <row r="15462" spans="1:7" ht="12" customHeight="1" outlineLevel="2" x14ac:dyDescent="0.2">
      <c r="A15462" s="14" t="s">
        <v>30416</v>
      </c>
      <c r="B15462" s="15" t="s">
        <v>30417</v>
      </c>
      <c r="C15462" s="16">
        <f>648.75/(1+B2)</f>
        <v>648.75</v>
      </c>
      <c r="D15462" s="17" t="s">
        <v>11</v>
      </c>
      <c r="E15462" s="17"/>
      <c r="F15462" s="18"/>
      <c r="G15462" s="36" t="str">
        <f>IF(ISNUMBER(F15462),C15462*F15462,"")</f>
        <v/>
      </c>
    </row>
    <row r="15463" spans="1:7" ht="12" customHeight="1" outlineLevel="2" x14ac:dyDescent="0.2">
      <c r="A15463" s="14" t="s">
        <v>30418</v>
      </c>
      <c r="B15463" s="15" t="s">
        <v>30419</v>
      </c>
      <c r="C15463" s="16">
        <f>648.75/(1+B2)</f>
        <v>648.75</v>
      </c>
      <c r="D15463" s="17" t="s">
        <v>11</v>
      </c>
      <c r="E15463" s="17" t="s">
        <v>11</v>
      </c>
      <c r="F15463" s="18"/>
      <c r="G15463" s="36" t="str">
        <f>IF(ISNUMBER(F15463),C15463*F15463,"")</f>
        <v/>
      </c>
    </row>
    <row r="15464" spans="1:7" s="1" customFormat="1" ht="15.95" customHeight="1" outlineLevel="1" x14ac:dyDescent="0.25">
      <c r="A15464" s="11"/>
      <c r="B15464" s="12" t="s">
        <v>30420</v>
      </c>
      <c r="C15464" s="13"/>
      <c r="D15464" s="13"/>
      <c r="E15464" s="13"/>
      <c r="F15464" s="13"/>
      <c r="G15464" s="35"/>
    </row>
    <row r="15465" spans="1:7" ht="12" customHeight="1" outlineLevel="2" x14ac:dyDescent="0.2">
      <c r="A15465" s="14" t="s">
        <v>30421</v>
      </c>
      <c r="B15465" s="15" t="s">
        <v>30422</v>
      </c>
      <c r="C15465" s="16">
        <f>825/(1+B2)</f>
        <v>825</v>
      </c>
      <c r="D15465" s="17" t="s">
        <v>11</v>
      </c>
      <c r="E15465" s="17"/>
      <c r="F15465" s="18"/>
      <c r="G15465" s="36" t="str">
        <f>IF(ISNUMBER(F15465),C15465*F15465,"")</f>
        <v/>
      </c>
    </row>
    <row r="15466" spans="1:7" ht="12" customHeight="1" outlineLevel="2" x14ac:dyDescent="0.2">
      <c r="A15466" s="14" t="s">
        <v>30423</v>
      </c>
      <c r="B15466" s="15" t="s">
        <v>30424</v>
      </c>
      <c r="C15466" s="16">
        <f>825/(1+B2)</f>
        <v>825</v>
      </c>
      <c r="D15466" s="17" t="s">
        <v>11</v>
      </c>
      <c r="E15466" s="17"/>
      <c r="F15466" s="18"/>
      <c r="G15466" s="36" t="str">
        <f>IF(ISNUMBER(F15466),C15466*F15466,"")</f>
        <v/>
      </c>
    </row>
    <row r="15467" spans="1:7" ht="12" customHeight="1" outlineLevel="2" x14ac:dyDescent="0.2">
      <c r="A15467" s="14" t="s">
        <v>30425</v>
      </c>
      <c r="B15467" s="15" t="s">
        <v>30426</v>
      </c>
      <c r="C15467" s="19">
        <f>1375/(1+B2)</f>
        <v>1375</v>
      </c>
      <c r="D15467" s="17" t="s">
        <v>11</v>
      </c>
      <c r="E15467" s="17" t="s">
        <v>11</v>
      </c>
      <c r="F15467" s="18"/>
      <c r="G15467" s="36" t="str">
        <f>IF(ISNUMBER(F15467),C15467*F15467,"")</f>
        <v/>
      </c>
    </row>
    <row r="15468" spans="1:7" ht="12" customHeight="1" outlineLevel="2" x14ac:dyDescent="0.2">
      <c r="A15468" s="14" t="s">
        <v>30427</v>
      </c>
      <c r="B15468" s="15" t="s">
        <v>30428</v>
      </c>
      <c r="C15468" s="19">
        <f>1375/(1+B2)</f>
        <v>1375</v>
      </c>
      <c r="D15468" s="17" t="s">
        <v>11</v>
      </c>
      <c r="E15468" s="17" t="s">
        <v>11</v>
      </c>
      <c r="F15468" s="18"/>
      <c r="G15468" s="36" t="str">
        <f>IF(ISNUMBER(F15468),C15468*F15468,"")</f>
        <v/>
      </c>
    </row>
    <row r="15469" spans="1:7" ht="12" customHeight="1" outlineLevel="2" x14ac:dyDescent="0.2">
      <c r="A15469" s="14" t="s">
        <v>30429</v>
      </c>
      <c r="B15469" s="15" t="s">
        <v>30430</v>
      </c>
      <c r="C15469" s="19">
        <f>1375/(1+B2)</f>
        <v>1375</v>
      </c>
      <c r="D15469" s="17" t="s">
        <v>11</v>
      </c>
      <c r="E15469" s="17"/>
      <c r="F15469" s="18"/>
      <c r="G15469" s="36" t="str">
        <f>IF(ISNUMBER(F15469),C15469*F15469,"")</f>
        <v/>
      </c>
    </row>
    <row r="15470" spans="1:7" ht="12" customHeight="1" outlineLevel="2" x14ac:dyDescent="0.2">
      <c r="A15470" s="14" t="s">
        <v>30431</v>
      </c>
      <c r="B15470" s="15" t="s">
        <v>30432</v>
      </c>
      <c r="C15470" s="19">
        <f>1129.5/(1+B2)</f>
        <v>1129.5</v>
      </c>
      <c r="D15470" s="17" t="s">
        <v>11</v>
      </c>
      <c r="E15470" s="17"/>
      <c r="F15470" s="18"/>
      <c r="G15470" s="36" t="str">
        <f>IF(ISNUMBER(F15470),C15470*F15470,"")</f>
        <v/>
      </c>
    </row>
    <row r="15471" spans="1:7" ht="24" customHeight="1" outlineLevel="2" x14ac:dyDescent="0.2">
      <c r="A15471" s="14" t="s">
        <v>30433</v>
      </c>
      <c r="B15471" s="15" t="s">
        <v>30434</v>
      </c>
      <c r="C15471" s="19">
        <f>1301.34/(1+B2)</f>
        <v>1301.3399999999999</v>
      </c>
      <c r="D15471" s="17" t="s">
        <v>11</v>
      </c>
      <c r="E15471" s="17"/>
      <c r="F15471" s="18"/>
      <c r="G15471" s="36" t="str">
        <f>IF(ISNUMBER(F15471),C15471*F15471,"")</f>
        <v/>
      </c>
    </row>
    <row r="15472" spans="1:7" ht="12" customHeight="1" outlineLevel="2" x14ac:dyDescent="0.2">
      <c r="A15472" s="14" t="s">
        <v>30435</v>
      </c>
      <c r="B15472" s="15" t="s">
        <v>30436</v>
      </c>
      <c r="C15472" s="16">
        <f>376.84/(1+B2)</f>
        <v>376.84</v>
      </c>
      <c r="D15472" s="17" t="s">
        <v>11</v>
      </c>
      <c r="E15472" s="17"/>
      <c r="F15472" s="18"/>
      <c r="G15472" s="36" t="str">
        <f>IF(ISNUMBER(F15472),C15472*F15472,"")</f>
        <v/>
      </c>
    </row>
    <row r="15473" spans="1:7" ht="12" customHeight="1" outlineLevel="2" x14ac:dyDescent="0.2">
      <c r="A15473" s="14" t="s">
        <v>30437</v>
      </c>
      <c r="B15473" s="15" t="s">
        <v>30438</v>
      </c>
      <c r="C15473" s="16">
        <f>411.1/(1+B2)</f>
        <v>411.1</v>
      </c>
      <c r="D15473" s="17" t="s">
        <v>11</v>
      </c>
      <c r="E15473" s="17"/>
      <c r="F15473" s="18"/>
      <c r="G15473" s="36" t="str">
        <f>IF(ISNUMBER(F15473),C15473*F15473,"")</f>
        <v/>
      </c>
    </row>
    <row r="15474" spans="1:7" ht="12" customHeight="1" outlineLevel="2" x14ac:dyDescent="0.2">
      <c r="A15474" s="14" t="s">
        <v>30439</v>
      </c>
      <c r="B15474" s="15" t="s">
        <v>30440</v>
      </c>
      <c r="C15474" s="16">
        <f>837.5/(1+B2)</f>
        <v>837.5</v>
      </c>
      <c r="D15474" s="17" t="s">
        <v>11</v>
      </c>
      <c r="E15474" s="17" t="s">
        <v>11</v>
      </c>
      <c r="F15474" s="18"/>
      <c r="G15474" s="36" t="str">
        <f>IF(ISNUMBER(F15474),C15474*F15474,"")</f>
        <v/>
      </c>
    </row>
    <row r="15475" spans="1:7" ht="12" customHeight="1" outlineLevel="2" x14ac:dyDescent="0.2">
      <c r="A15475" s="14" t="s">
        <v>30441</v>
      </c>
      <c r="B15475" s="15" t="s">
        <v>30442</v>
      </c>
      <c r="C15475" s="16">
        <f>837.5/(1+B2)</f>
        <v>837.5</v>
      </c>
      <c r="D15475" s="17" t="s">
        <v>11</v>
      </c>
      <c r="E15475" s="17" t="s">
        <v>11</v>
      </c>
      <c r="F15475" s="18"/>
      <c r="G15475" s="36" t="str">
        <f>IF(ISNUMBER(F15475),C15475*F15475,"")</f>
        <v/>
      </c>
    </row>
    <row r="15476" spans="1:7" ht="12" customHeight="1" outlineLevel="2" x14ac:dyDescent="0.2">
      <c r="A15476" s="14" t="s">
        <v>30443</v>
      </c>
      <c r="B15476" s="15" t="s">
        <v>30444</v>
      </c>
      <c r="C15476" s="16">
        <f>837.5/(1+B2)</f>
        <v>837.5</v>
      </c>
      <c r="D15476" s="17" t="s">
        <v>11</v>
      </c>
      <c r="E15476" s="17"/>
      <c r="F15476" s="18"/>
      <c r="G15476" s="36" t="str">
        <f>IF(ISNUMBER(F15476),C15476*F15476,"")</f>
        <v/>
      </c>
    </row>
    <row r="15477" spans="1:7" ht="12" customHeight="1" outlineLevel="2" x14ac:dyDescent="0.2">
      <c r="A15477" s="14" t="s">
        <v>30445</v>
      </c>
      <c r="B15477" s="15" t="s">
        <v>30446</v>
      </c>
      <c r="C15477" s="16">
        <f>837.5/(1+B2)</f>
        <v>837.5</v>
      </c>
      <c r="D15477" s="17" t="s">
        <v>11</v>
      </c>
      <c r="E15477" s="17" t="s">
        <v>11</v>
      </c>
      <c r="F15477" s="18"/>
      <c r="G15477" s="36" t="str">
        <f>IF(ISNUMBER(F15477),C15477*F15477,"")</f>
        <v/>
      </c>
    </row>
    <row r="15478" spans="1:7" ht="12" customHeight="1" outlineLevel="2" x14ac:dyDescent="0.2">
      <c r="A15478" s="14" t="s">
        <v>30447</v>
      </c>
      <c r="B15478" s="15" t="s">
        <v>30448</v>
      </c>
      <c r="C15478" s="16">
        <f>837.5/(1+B2)</f>
        <v>837.5</v>
      </c>
      <c r="D15478" s="17" t="s">
        <v>11</v>
      </c>
      <c r="E15478" s="17" t="s">
        <v>11</v>
      </c>
      <c r="F15478" s="18"/>
      <c r="G15478" s="36" t="str">
        <f>IF(ISNUMBER(F15478),C15478*F15478,"")</f>
        <v/>
      </c>
    </row>
    <row r="15479" spans="1:7" ht="12" customHeight="1" outlineLevel="2" x14ac:dyDescent="0.2">
      <c r="A15479" s="14" t="s">
        <v>30449</v>
      </c>
      <c r="B15479" s="15" t="s">
        <v>30450</v>
      </c>
      <c r="C15479" s="16">
        <f>837.5/(1+B2)</f>
        <v>837.5</v>
      </c>
      <c r="D15479" s="17" t="s">
        <v>11</v>
      </c>
      <c r="E15479" s="17" t="s">
        <v>11</v>
      </c>
      <c r="F15479" s="18"/>
      <c r="G15479" s="36" t="str">
        <f>IF(ISNUMBER(F15479),C15479*F15479,"")</f>
        <v/>
      </c>
    </row>
    <row r="15480" spans="1:7" ht="12" customHeight="1" outlineLevel="2" x14ac:dyDescent="0.2">
      <c r="A15480" s="14" t="s">
        <v>30451</v>
      </c>
      <c r="B15480" s="15" t="s">
        <v>30452</v>
      </c>
      <c r="C15480" s="16">
        <f>837.5/(1+B2)</f>
        <v>837.5</v>
      </c>
      <c r="D15480" s="17" t="s">
        <v>11</v>
      </c>
      <c r="E15480" s="17"/>
      <c r="F15480" s="18"/>
      <c r="G15480" s="36" t="str">
        <f>IF(ISNUMBER(F15480),C15480*F15480,"")</f>
        <v/>
      </c>
    </row>
    <row r="15481" spans="1:7" ht="12" customHeight="1" outlineLevel="2" x14ac:dyDescent="0.2">
      <c r="A15481" s="14" t="s">
        <v>30453</v>
      </c>
      <c r="B15481" s="15" t="s">
        <v>30454</v>
      </c>
      <c r="C15481" s="16">
        <f>837.5/(1+B2)</f>
        <v>837.5</v>
      </c>
      <c r="D15481" s="17" t="s">
        <v>11</v>
      </c>
      <c r="E15481" s="17" t="s">
        <v>11</v>
      </c>
      <c r="F15481" s="18"/>
      <c r="G15481" s="36" t="str">
        <f>IF(ISNUMBER(F15481),C15481*F15481,"")</f>
        <v/>
      </c>
    </row>
    <row r="15482" spans="1:7" ht="12" customHeight="1" outlineLevel="2" x14ac:dyDescent="0.2">
      <c r="A15482" s="14" t="s">
        <v>30455</v>
      </c>
      <c r="B15482" s="15" t="s">
        <v>30456</v>
      </c>
      <c r="C15482" s="16">
        <f>837.5/(1+B2)</f>
        <v>837.5</v>
      </c>
      <c r="D15482" s="17" t="s">
        <v>11</v>
      </c>
      <c r="E15482" s="17" t="s">
        <v>11</v>
      </c>
      <c r="F15482" s="18"/>
      <c r="G15482" s="36" t="str">
        <f>IF(ISNUMBER(F15482),C15482*F15482,"")</f>
        <v/>
      </c>
    </row>
    <row r="15483" spans="1:7" ht="12" customHeight="1" outlineLevel="2" x14ac:dyDescent="0.2">
      <c r="A15483" s="14" t="s">
        <v>30457</v>
      </c>
      <c r="B15483" s="15" t="s">
        <v>30458</v>
      </c>
      <c r="C15483" s="16">
        <f>837.5/(1+B2)</f>
        <v>837.5</v>
      </c>
      <c r="D15483" s="17" t="s">
        <v>11</v>
      </c>
      <c r="E15483" s="17"/>
      <c r="F15483" s="18"/>
      <c r="G15483" s="36" t="str">
        <f>IF(ISNUMBER(F15483),C15483*F15483,"")</f>
        <v/>
      </c>
    </row>
    <row r="15484" spans="1:7" ht="12" customHeight="1" outlineLevel="2" x14ac:dyDescent="0.2">
      <c r="A15484" s="14" t="s">
        <v>30459</v>
      </c>
      <c r="B15484" s="15" t="s">
        <v>30460</v>
      </c>
      <c r="C15484" s="16">
        <f>837.5/(1+B2)</f>
        <v>837.5</v>
      </c>
      <c r="D15484" s="17" t="s">
        <v>11</v>
      </c>
      <c r="E15484" s="17"/>
      <c r="F15484" s="18"/>
      <c r="G15484" s="36" t="str">
        <f>IF(ISNUMBER(F15484),C15484*F15484,"")</f>
        <v/>
      </c>
    </row>
    <row r="15485" spans="1:7" ht="12" customHeight="1" outlineLevel="2" x14ac:dyDescent="0.2">
      <c r="A15485" s="14" t="s">
        <v>30461</v>
      </c>
      <c r="B15485" s="15" t="s">
        <v>30462</v>
      </c>
      <c r="C15485" s="16">
        <f>837.5/(1+B2)</f>
        <v>837.5</v>
      </c>
      <c r="D15485" s="17" t="s">
        <v>11</v>
      </c>
      <c r="E15485" s="17"/>
      <c r="F15485" s="18"/>
      <c r="G15485" s="36" t="str">
        <f>IF(ISNUMBER(F15485),C15485*F15485,"")</f>
        <v/>
      </c>
    </row>
    <row r="15486" spans="1:7" ht="12" customHeight="1" outlineLevel="2" x14ac:dyDescent="0.2">
      <c r="A15486" s="14" t="s">
        <v>30463</v>
      </c>
      <c r="B15486" s="15" t="s">
        <v>30464</v>
      </c>
      <c r="C15486" s="16">
        <f>837.5/(1+B2)</f>
        <v>837.5</v>
      </c>
      <c r="D15486" s="17" t="s">
        <v>11</v>
      </c>
      <c r="E15486" s="17" t="s">
        <v>11</v>
      </c>
      <c r="F15486" s="18"/>
      <c r="G15486" s="36" t="str">
        <f>IF(ISNUMBER(F15486),C15486*F15486,"")</f>
        <v/>
      </c>
    </row>
    <row r="15487" spans="1:7" ht="12" customHeight="1" outlineLevel="2" x14ac:dyDescent="0.2">
      <c r="A15487" s="14" t="s">
        <v>30465</v>
      </c>
      <c r="B15487" s="15" t="s">
        <v>30466</v>
      </c>
      <c r="C15487" s="16">
        <f>837.5/(1+B2)</f>
        <v>837.5</v>
      </c>
      <c r="D15487" s="17" t="s">
        <v>11</v>
      </c>
      <c r="E15487" s="17" t="s">
        <v>11</v>
      </c>
      <c r="F15487" s="18"/>
      <c r="G15487" s="36" t="str">
        <f>IF(ISNUMBER(F15487),C15487*F15487,"")</f>
        <v/>
      </c>
    </row>
    <row r="15488" spans="1:7" ht="12" customHeight="1" outlineLevel="2" x14ac:dyDescent="0.2">
      <c r="A15488" s="14" t="s">
        <v>30467</v>
      </c>
      <c r="B15488" s="15" t="s">
        <v>30468</v>
      </c>
      <c r="C15488" s="16">
        <f>837.5/(1+B2)</f>
        <v>837.5</v>
      </c>
      <c r="D15488" s="17" t="s">
        <v>11</v>
      </c>
      <c r="E15488" s="17"/>
      <c r="F15488" s="18"/>
      <c r="G15488" s="36" t="str">
        <f>IF(ISNUMBER(F15488),C15488*F15488,"")</f>
        <v/>
      </c>
    </row>
    <row r="15489" spans="1:7" s="1" customFormat="1" ht="15.95" customHeight="1" outlineLevel="1" x14ac:dyDescent="0.25">
      <c r="A15489" s="11"/>
      <c r="B15489" s="12" t="s">
        <v>30469</v>
      </c>
      <c r="C15489" s="13"/>
      <c r="D15489" s="13"/>
      <c r="E15489" s="13"/>
      <c r="F15489" s="13"/>
      <c r="G15489" s="35"/>
    </row>
    <row r="15490" spans="1:7" ht="12" customHeight="1" outlineLevel="2" x14ac:dyDescent="0.2">
      <c r="A15490" s="14" t="s">
        <v>30470</v>
      </c>
      <c r="B15490" s="15" t="s">
        <v>30471</v>
      </c>
      <c r="C15490" s="16">
        <f>189.45/(1+B2)</f>
        <v>189.45</v>
      </c>
      <c r="D15490" s="17" t="s">
        <v>11</v>
      </c>
      <c r="E15490" s="17" t="s">
        <v>14</v>
      </c>
      <c r="F15490" s="18"/>
      <c r="G15490" s="36" t="str">
        <f>IF(ISNUMBER(F15490),C15490*F15490,"")</f>
        <v/>
      </c>
    </row>
    <row r="15491" spans="1:7" ht="12" customHeight="1" outlineLevel="2" x14ac:dyDescent="0.2">
      <c r="A15491" s="14" t="s">
        <v>30472</v>
      </c>
      <c r="B15491" s="15" t="s">
        <v>30473</v>
      </c>
      <c r="C15491" s="16">
        <f>189.45/(1+B2)</f>
        <v>189.45</v>
      </c>
      <c r="D15491" s="17" t="s">
        <v>11</v>
      </c>
      <c r="E15491" s="17" t="s">
        <v>14</v>
      </c>
      <c r="F15491" s="18"/>
      <c r="G15491" s="36" t="str">
        <f>IF(ISNUMBER(F15491),C15491*F15491,"")</f>
        <v/>
      </c>
    </row>
    <row r="15492" spans="1:7" ht="12" customHeight="1" outlineLevel="2" x14ac:dyDescent="0.2">
      <c r="A15492" s="14" t="s">
        <v>30474</v>
      </c>
      <c r="B15492" s="15" t="s">
        <v>30475</v>
      </c>
      <c r="C15492" s="16">
        <f>189.45/(1+B2)</f>
        <v>189.45</v>
      </c>
      <c r="D15492" s="17" t="s">
        <v>11</v>
      </c>
      <c r="E15492" s="17" t="s">
        <v>11</v>
      </c>
      <c r="F15492" s="18"/>
      <c r="G15492" s="36" t="str">
        <f>IF(ISNUMBER(F15492),C15492*F15492,"")</f>
        <v/>
      </c>
    </row>
    <row r="15493" spans="1:7" ht="12" customHeight="1" outlineLevel="2" x14ac:dyDescent="0.2">
      <c r="A15493" s="14" t="s">
        <v>30476</v>
      </c>
      <c r="B15493" s="15" t="s">
        <v>30477</v>
      </c>
      <c r="C15493" s="16">
        <f>189.45/(1+B2)</f>
        <v>189.45</v>
      </c>
      <c r="D15493" s="17" t="s">
        <v>11</v>
      </c>
      <c r="E15493" s="17" t="s">
        <v>11</v>
      </c>
      <c r="F15493" s="18"/>
      <c r="G15493" s="36" t="str">
        <f>IF(ISNUMBER(F15493),C15493*F15493,"")</f>
        <v/>
      </c>
    </row>
    <row r="15494" spans="1:7" ht="12" customHeight="1" outlineLevel="2" x14ac:dyDescent="0.2">
      <c r="A15494" s="14" t="s">
        <v>30478</v>
      </c>
      <c r="B15494" s="15" t="s">
        <v>30479</v>
      </c>
      <c r="C15494" s="16">
        <f>268.53/(1+B2)</f>
        <v>268.52999999999997</v>
      </c>
      <c r="D15494" s="17" t="s">
        <v>11</v>
      </c>
      <c r="E15494" s="17" t="s">
        <v>11</v>
      </c>
      <c r="F15494" s="18"/>
      <c r="G15494" s="36" t="str">
        <f>IF(ISNUMBER(F15494),C15494*F15494,"")</f>
        <v/>
      </c>
    </row>
    <row r="15495" spans="1:7" ht="12" customHeight="1" outlineLevel="2" x14ac:dyDescent="0.2">
      <c r="A15495" s="14" t="s">
        <v>30480</v>
      </c>
      <c r="B15495" s="15" t="s">
        <v>30481</v>
      </c>
      <c r="C15495" s="16">
        <f>268.53/(1+B2)</f>
        <v>268.52999999999997</v>
      </c>
      <c r="D15495" s="17" t="s">
        <v>11</v>
      </c>
      <c r="E15495" s="17" t="s">
        <v>11</v>
      </c>
      <c r="F15495" s="18"/>
      <c r="G15495" s="36" t="str">
        <f>IF(ISNUMBER(F15495),C15495*F15495,"")</f>
        <v/>
      </c>
    </row>
    <row r="15496" spans="1:7" ht="12" customHeight="1" outlineLevel="2" x14ac:dyDescent="0.2">
      <c r="A15496" s="14" t="s">
        <v>30482</v>
      </c>
      <c r="B15496" s="15" t="s">
        <v>30483</v>
      </c>
      <c r="C15496" s="16">
        <f>268.53/(1+B2)</f>
        <v>268.52999999999997</v>
      </c>
      <c r="D15496" s="17" t="s">
        <v>11</v>
      </c>
      <c r="E15496" s="17" t="s">
        <v>11</v>
      </c>
      <c r="F15496" s="18"/>
      <c r="G15496" s="36" t="str">
        <f>IF(ISNUMBER(F15496),C15496*F15496,"")</f>
        <v/>
      </c>
    </row>
    <row r="15497" spans="1:7" ht="12" customHeight="1" outlineLevel="2" x14ac:dyDescent="0.2">
      <c r="A15497" s="14" t="s">
        <v>30484</v>
      </c>
      <c r="B15497" s="15" t="s">
        <v>30485</v>
      </c>
      <c r="C15497" s="16">
        <f>360.96/(1+B2)</f>
        <v>360.96</v>
      </c>
      <c r="D15497" s="17" t="s">
        <v>11</v>
      </c>
      <c r="E15497" s="17" t="s">
        <v>11</v>
      </c>
      <c r="F15497" s="18"/>
      <c r="G15497" s="36" t="str">
        <f>IF(ISNUMBER(F15497),C15497*F15497,"")</f>
        <v/>
      </c>
    </row>
    <row r="15498" spans="1:7" ht="12" customHeight="1" outlineLevel="2" x14ac:dyDescent="0.2">
      <c r="A15498" s="14" t="s">
        <v>30486</v>
      </c>
      <c r="B15498" s="15" t="s">
        <v>30487</v>
      </c>
      <c r="C15498" s="16">
        <f>360.96/(1+B2)</f>
        <v>360.96</v>
      </c>
      <c r="D15498" s="17" t="s">
        <v>11</v>
      </c>
      <c r="E15498" s="17"/>
      <c r="F15498" s="18"/>
      <c r="G15498" s="36" t="str">
        <f>IF(ISNUMBER(F15498),C15498*F15498,"")</f>
        <v/>
      </c>
    </row>
    <row r="15499" spans="1:7" ht="12" customHeight="1" outlineLevel="2" x14ac:dyDescent="0.2">
      <c r="A15499" s="14" t="s">
        <v>30488</v>
      </c>
      <c r="B15499" s="15" t="s">
        <v>30489</v>
      </c>
      <c r="C15499" s="16">
        <f>517.5/(1+B2)</f>
        <v>517.5</v>
      </c>
      <c r="D15499" s="17" t="s">
        <v>11</v>
      </c>
      <c r="E15499" s="17" t="s">
        <v>11</v>
      </c>
      <c r="F15499" s="18"/>
      <c r="G15499" s="36" t="str">
        <f>IF(ISNUMBER(F15499),C15499*F15499,"")</f>
        <v/>
      </c>
    </row>
    <row r="15500" spans="1:7" ht="12" customHeight="1" outlineLevel="2" x14ac:dyDescent="0.2">
      <c r="A15500" s="14" t="s">
        <v>30490</v>
      </c>
      <c r="B15500" s="15" t="s">
        <v>30491</v>
      </c>
      <c r="C15500" s="16">
        <f>517.5/(1+B2)</f>
        <v>517.5</v>
      </c>
      <c r="D15500" s="17" t="s">
        <v>11</v>
      </c>
      <c r="E15500" s="17" t="s">
        <v>11</v>
      </c>
      <c r="F15500" s="18"/>
      <c r="G15500" s="36" t="str">
        <f>IF(ISNUMBER(F15500),C15500*F15500,"")</f>
        <v/>
      </c>
    </row>
    <row r="15501" spans="1:7" ht="12" customHeight="1" outlineLevel="2" x14ac:dyDescent="0.2">
      <c r="A15501" s="14" t="s">
        <v>30492</v>
      </c>
      <c r="B15501" s="15" t="s">
        <v>30493</v>
      </c>
      <c r="C15501" s="16">
        <f>517.5/(1+B2)</f>
        <v>517.5</v>
      </c>
      <c r="D15501" s="17" t="s">
        <v>11</v>
      </c>
      <c r="E15501" s="17" t="s">
        <v>11</v>
      </c>
      <c r="F15501" s="18"/>
      <c r="G15501" s="36" t="str">
        <f>IF(ISNUMBER(F15501),C15501*F15501,"")</f>
        <v/>
      </c>
    </row>
    <row r="15502" spans="1:7" ht="12" customHeight="1" outlineLevel="2" x14ac:dyDescent="0.2">
      <c r="A15502" s="14" t="s">
        <v>30494</v>
      </c>
      <c r="B15502" s="15" t="s">
        <v>30495</v>
      </c>
      <c r="C15502" s="16">
        <f>517.5/(1+B2)</f>
        <v>517.5</v>
      </c>
      <c r="D15502" s="17" t="s">
        <v>11</v>
      </c>
      <c r="E15502" s="17" t="s">
        <v>11</v>
      </c>
      <c r="F15502" s="18"/>
      <c r="G15502" s="36" t="str">
        <f>IF(ISNUMBER(F15502),C15502*F15502,"")</f>
        <v/>
      </c>
    </row>
    <row r="15503" spans="1:7" ht="12" customHeight="1" outlineLevel="2" x14ac:dyDescent="0.2">
      <c r="A15503" s="14" t="s">
        <v>30496</v>
      </c>
      <c r="B15503" s="15" t="s">
        <v>30497</v>
      </c>
      <c r="C15503" s="16">
        <f>343.02/(1+B2)</f>
        <v>343.02</v>
      </c>
      <c r="D15503" s="17" t="s">
        <v>11</v>
      </c>
      <c r="E15503" s="17"/>
      <c r="F15503" s="18"/>
      <c r="G15503" s="36" t="str">
        <f>IF(ISNUMBER(F15503),C15503*F15503,"")</f>
        <v/>
      </c>
    </row>
    <row r="15504" spans="1:7" ht="12" customHeight="1" outlineLevel="2" x14ac:dyDescent="0.2">
      <c r="A15504" s="14" t="s">
        <v>30498</v>
      </c>
      <c r="B15504" s="15" t="s">
        <v>30499</v>
      </c>
      <c r="C15504" s="16">
        <f>210/(1+B2)</f>
        <v>210</v>
      </c>
      <c r="D15504" s="17" t="s">
        <v>11</v>
      </c>
      <c r="E15504" s="17"/>
      <c r="F15504" s="18"/>
      <c r="G15504" s="36" t="str">
        <f>IF(ISNUMBER(F15504),C15504*F15504,"")</f>
        <v/>
      </c>
    </row>
    <row r="15505" spans="1:7" s="1" customFormat="1" ht="15.95" customHeight="1" outlineLevel="1" x14ac:dyDescent="0.25">
      <c r="A15505" s="11"/>
      <c r="B15505" s="12" t="s">
        <v>30500</v>
      </c>
      <c r="C15505" s="13"/>
      <c r="D15505" s="13"/>
      <c r="E15505" s="13"/>
      <c r="F15505" s="13"/>
      <c r="G15505" s="35"/>
    </row>
    <row r="15506" spans="1:7" ht="12" customHeight="1" outlineLevel="2" x14ac:dyDescent="0.2">
      <c r="A15506" s="14" t="s">
        <v>30501</v>
      </c>
      <c r="B15506" s="15" t="s">
        <v>30502</v>
      </c>
      <c r="C15506" s="16">
        <f>829.26/(1+B2)</f>
        <v>829.26</v>
      </c>
      <c r="D15506" s="17" t="s">
        <v>11</v>
      </c>
      <c r="E15506" s="17"/>
      <c r="F15506" s="18"/>
      <c r="G15506" s="36" t="str">
        <f>IF(ISNUMBER(F15506),C15506*F15506,"")</f>
        <v/>
      </c>
    </row>
    <row r="15507" spans="1:7" ht="12" customHeight="1" outlineLevel="2" x14ac:dyDescent="0.2">
      <c r="A15507" s="14" t="s">
        <v>30503</v>
      </c>
      <c r="B15507" s="15" t="s">
        <v>30504</v>
      </c>
      <c r="C15507" s="16">
        <f>829.26/(1+B2)</f>
        <v>829.26</v>
      </c>
      <c r="D15507" s="17" t="s">
        <v>11</v>
      </c>
      <c r="E15507" s="17"/>
      <c r="F15507" s="18"/>
      <c r="G15507" s="36" t="str">
        <f>IF(ISNUMBER(F15507),C15507*F15507,"")</f>
        <v/>
      </c>
    </row>
    <row r="15508" spans="1:7" ht="12" customHeight="1" outlineLevel="2" x14ac:dyDescent="0.2">
      <c r="A15508" s="14" t="s">
        <v>30505</v>
      </c>
      <c r="B15508" s="15" t="s">
        <v>30506</v>
      </c>
      <c r="C15508" s="16">
        <f>980/(1+B2)</f>
        <v>980</v>
      </c>
      <c r="D15508" s="17" t="s">
        <v>11</v>
      </c>
      <c r="E15508" s="17" t="s">
        <v>11</v>
      </c>
      <c r="F15508" s="18"/>
      <c r="G15508" s="36" t="str">
        <f>IF(ISNUMBER(F15508),C15508*F15508,"")</f>
        <v/>
      </c>
    </row>
    <row r="15509" spans="1:7" ht="12" customHeight="1" outlineLevel="2" x14ac:dyDescent="0.2">
      <c r="A15509" s="14" t="s">
        <v>30507</v>
      </c>
      <c r="B15509" s="15" t="s">
        <v>30508</v>
      </c>
      <c r="C15509" s="16">
        <f>980/(1+B2)</f>
        <v>980</v>
      </c>
      <c r="D15509" s="17" t="s">
        <v>11</v>
      </c>
      <c r="E15509" s="17"/>
      <c r="F15509" s="18"/>
      <c r="G15509" s="36" t="str">
        <f>IF(ISNUMBER(F15509),C15509*F15509,"")</f>
        <v/>
      </c>
    </row>
    <row r="15510" spans="1:7" ht="12" customHeight="1" outlineLevel="2" x14ac:dyDescent="0.2">
      <c r="A15510" s="14" t="s">
        <v>30509</v>
      </c>
      <c r="B15510" s="15" t="s">
        <v>30510</v>
      </c>
      <c r="C15510" s="16">
        <f>980/(1+B2)</f>
        <v>980</v>
      </c>
      <c r="D15510" s="17" t="s">
        <v>11</v>
      </c>
      <c r="E15510" s="17"/>
      <c r="F15510" s="18"/>
      <c r="G15510" s="36" t="str">
        <f>IF(ISNUMBER(F15510),C15510*F15510,"")</f>
        <v/>
      </c>
    </row>
    <row r="15511" spans="1:7" ht="12" customHeight="1" outlineLevel="2" x14ac:dyDescent="0.2">
      <c r="A15511" s="14" t="s">
        <v>30511</v>
      </c>
      <c r="B15511" s="15" t="s">
        <v>30512</v>
      </c>
      <c r="C15511" s="16">
        <f>980/(1+B2)</f>
        <v>980</v>
      </c>
      <c r="D15511" s="17" t="s">
        <v>11</v>
      </c>
      <c r="E15511" s="17" t="s">
        <v>11</v>
      </c>
      <c r="F15511" s="18"/>
      <c r="G15511" s="36" t="str">
        <f>IF(ISNUMBER(F15511),C15511*F15511,"")</f>
        <v/>
      </c>
    </row>
    <row r="15512" spans="1:7" ht="12" customHeight="1" outlineLevel="2" x14ac:dyDescent="0.2">
      <c r="A15512" s="14" t="s">
        <v>30513</v>
      </c>
      <c r="B15512" s="15" t="s">
        <v>30514</v>
      </c>
      <c r="C15512" s="16">
        <f>980/(1+B2)</f>
        <v>980</v>
      </c>
      <c r="D15512" s="17" t="s">
        <v>11</v>
      </c>
      <c r="E15512" s="17"/>
      <c r="F15512" s="18"/>
      <c r="G15512" s="36" t="str">
        <f>IF(ISNUMBER(F15512),C15512*F15512,"")</f>
        <v/>
      </c>
    </row>
    <row r="15513" spans="1:7" ht="12" customHeight="1" outlineLevel="2" x14ac:dyDescent="0.2">
      <c r="A15513" s="14" t="s">
        <v>30515</v>
      </c>
      <c r="B15513" s="15" t="s">
        <v>30516</v>
      </c>
      <c r="C15513" s="16">
        <f>980/(1+B2)</f>
        <v>980</v>
      </c>
      <c r="D15513" s="17" t="s">
        <v>11</v>
      </c>
      <c r="E15513" s="17" t="s">
        <v>11</v>
      </c>
      <c r="F15513" s="18"/>
      <c r="G15513" s="36" t="str">
        <f>IF(ISNUMBER(F15513),C15513*F15513,"")</f>
        <v/>
      </c>
    </row>
    <row r="15514" spans="1:7" ht="12" customHeight="1" outlineLevel="2" x14ac:dyDescent="0.2">
      <c r="A15514" s="14" t="s">
        <v>30517</v>
      </c>
      <c r="B15514" s="15" t="s">
        <v>30518</v>
      </c>
      <c r="C15514" s="16">
        <f>980/(1+B2)</f>
        <v>980</v>
      </c>
      <c r="D15514" s="17" t="s">
        <v>11</v>
      </c>
      <c r="E15514" s="17"/>
      <c r="F15514" s="18"/>
      <c r="G15514" s="36" t="str">
        <f>IF(ISNUMBER(F15514),C15514*F15514,"")</f>
        <v/>
      </c>
    </row>
    <row r="15515" spans="1:7" ht="12" customHeight="1" outlineLevel="2" x14ac:dyDescent="0.2">
      <c r="A15515" s="14" t="s">
        <v>30519</v>
      </c>
      <c r="B15515" s="15" t="s">
        <v>30520</v>
      </c>
      <c r="C15515" s="16">
        <f>980/(1+B2)</f>
        <v>980</v>
      </c>
      <c r="D15515" s="17" t="s">
        <v>11</v>
      </c>
      <c r="E15515" s="17"/>
      <c r="F15515" s="18"/>
      <c r="G15515" s="36" t="str">
        <f>IF(ISNUMBER(F15515),C15515*F15515,"")</f>
        <v/>
      </c>
    </row>
    <row r="15516" spans="1:7" ht="12" customHeight="1" outlineLevel="2" x14ac:dyDescent="0.2">
      <c r="A15516" s="14" t="s">
        <v>30521</v>
      </c>
      <c r="B15516" s="15" t="s">
        <v>30522</v>
      </c>
      <c r="C15516" s="16">
        <f>980/(1+B2)</f>
        <v>980</v>
      </c>
      <c r="D15516" s="17" t="s">
        <v>11</v>
      </c>
      <c r="E15516" s="17"/>
      <c r="F15516" s="18"/>
      <c r="G15516" s="36" t="str">
        <f>IF(ISNUMBER(F15516),C15516*F15516,"")</f>
        <v/>
      </c>
    </row>
    <row r="15517" spans="1:7" ht="12" customHeight="1" outlineLevel="2" x14ac:dyDescent="0.2">
      <c r="A15517" s="14" t="s">
        <v>30523</v>
      </c>
      <c r="B15517" s="15" t="s">
        <v>30524</v>
      </c>
      <c r="C15517" s="16">
        <f>980/(1+B2)</f>
        <v>980</v>
      </c>
      <c r="D15517" s="17" t="s">
        <v>11</v>
      </c>
      <c r="E15517" s="17" t="s">
        <v>11</v>
      </c>
      <c r="F15517" s="18"/>
      <c r="G15517" s="36" t="str">
        <f>IF(ISNUMBER(F15517),C15517*F15517,"")</f>
        <v/>
      </c>
    </row>
    <row r="15518" spans="1:7" ht="12" customHeight="1" outlineLevel="2" x14ac:dyDescent="0.2">
      <c r="A15518" s="14" t="s">
        <v>30525</v>
      </c>
      <c r="B15518" s="15" t="s">
        <v>30526</v>
      </c>
      <c r="C15518" s="16">
        <f>882.5/(1+B2)</f>
        <v>882.5</v>
      </c>
      <c r="D15518" s="17" t="s">
        <v>11</v>
      </c>
      <c r="E15518" s="17"/>
      <c r="F15518" s="18"/>
      <c r="G15518" s="36" t="str">
        <f>IF(ISNUMBER(F15518),C15518*F15518,"")</f>
        <v/>
      </c>
    </row>
    <row r="15519" spans="1:7" ht="12" customHeight="1" outlineLevel="2" x14ac:dyDescent="0.2">
      <c r="A15519" s="14" t="s">
        <v>30527</v>
      </c>
      <c r="B15519" s="15" t="s">
        <v>30528</v>
      </c>
      <c r="C15519" s="16">
        <f>882.5/(1+B2)</f>
        <v>882.5</v>
      </c>
      <c r="D15519" s="17" t="s">
        <v>11</v>
      </c>
      <c r="E15519" s="17"/>
      <c r="F15519" s="18"/>
      <c r="G15519" s="36" t="str">
        <f>IF(ISNUMBER(F15519),C15519*F15519,"")</f>
        <v/>
      </c>
    </row>
    <row r="15520" spans="1:7" ht="12" customHeight="1" outlineLevel="2" x14ac:dyDescent="0.2">
      <c r="A15520" s="14" t="s">
        <v>30529</v>
      </c>
      <c r="B15520" s="15" t="s">
        <v>30530</v>
      </c>
      <c r="C15520" s="16">
        <f>882.5/(1+B2)</f>
        <v>882.5</v>
      </c>
      <c r="D15520" s="17" t="s">
        <v>11</v>
      </c>
      <c r="E15520" s="17"/>
      <c r="F15520" s="18"/>
      <c r="G15520" s="36" t="str">
        <f>IF(ISNUMBER(F15520),C15520*F15520,"")</f>
        <v/>
      </c>
    </row>
    <row r="15521" spans="1:7" ht="12" customHeight="1" outlineLevel="2" x14ac:dyDescent="0.2">
      <c r="A15521" s="14" t="s">
        <v>30531</v>
      </c>
      <c r="B15521" s="15" t="s">
        <v>30532</v>
      </c>
      <c r="C15521" s="16">
        <f>882.5/(1+B2)</f>
        <v>882.5</v>
      </c>
      <c r="D15521" s="17" t="s">
        <v>11</v>
      </c>
      <c r="E15521" s="17"/>
      <c r="F15521" s="18"/>
      <c r="G15521" s="36" t="str">
        <f>IF(ISNUMBER(F15521),C15521*F15521,"")</f>
        <v/>
      </c>
    </row>
    <row r="15522" spans="1:7" ht="12" customHeight="1" outlineLevel="2" x14ac:dyDescent="0.2">
      <c r="A15522" s="14" t="s">
        <v>30533</v>
      </c>
      <c r="B15522" s="15" t="s">
        <v>30534</v>
      </c>
      <c r="C15522" s="16">
        <f>551.25/(1+B2)</f>
        <v>551.25</v>
      </c>
      <c r="D15522" s="17" t="s">
        <v>11</v>
      </c>
      <c r="E15522" s="17"/>
      <c r="F15522" s="18"/>
      <c r="G15522" s="36" t="str">
        <f>IF(ISNUMBER(F15522),C15522*F15522,"")</f>
        <v/>
      </c>
    </row>
    <row r="15523" spans="1:7" ht="12" customHeight="1" outlineLevel="2" x14ac:dyDescent="0.2">
      <c r="A15523" s="14" t="s">
        <v>30535</v>
      </c>
      <c r="B15523" s="15" t="s">
        <v>30536</v>
      </c>
      <c r="C15523" s="16">
        <f>551.25/(1+B2)</f>
        <v>551.25</v>
      </c>
      <c r="D15523" s="17" t="s">
        <v>11</v>
      </c>
      <c r="E15523" s="17"/>
      <c r="F15523" s="18"/>
      <c r="G15523" s="36" t="str">
        <f>IF(ISNUMBER(F15523),C15523*F15523,"")</f>
        <v/>
      </c>
    </row>
    <row r="15524" spans="1:7" ht="12" customHeight="1" outlineLevel="2" x14ac:dyDescent="0.2">
      <c r="A15524" s="14" t="s">
        <v>30537</v>
      </c>
      <c r="B15524" s="15" t="s">
        <v>30538</v>
      </c>
      <c r="C15524" s="16">
        <f>502.5/(1+B2)</f>
        <v>502.5</v>
      </c>
      <c r="D15524" s="17" t="s">
        <v>11</v>
      </c>
      <c r="E15524" s="17"/>
      <c r="F15524" s="18"/>
      <c r="G15524" s="36" t="str">
        <f>IF(ISNUMBER(F15524),C15524*F15524,"")</f>
        <v/>
      </c>
    </row>
    <row r="15525" spans="1:7" ht="12" customHeight="1" outlineLevel="2" x14ac:dyDescent="0.2">
      <c r="A15525" s="14" t="s">
        <v>30539</v>
      </c>
      <c r="B15525" s="15" t="s">
        <v>30540</v>
      </c>
      <c r="C15525" s="16">
        <f>502.5/(1+B2)</f>
        <v>502.5</v>
      </c>
      <c r="D15525" s="17" t="s">
        <v>11</v>
      </c>
      <c r="E15525" s="17"/>
      <c r="F15525" s="18"/>
      <c r="G15525" s="36" t="str">
        <f>IF(ISNUMBER(F15525),C15525*F15525,"")</f>
        <v/>
      </c>
    </row>
    <row r="15526" spans="1:7" ht="12" customHeight="1" outlineLevel="2" x14ac:dyDescent="0.2">
      <c r="A15526" s="14" t="s">
        <v>30541</v>
      </c>
      <c r="B15526" s="15" t="s">
        <v>30542</v>
      </c>
      <c r="C15526" s="16">
        <f>502.5/(1+B2)</f>
        <v>502.5</v>
      </c>
      <c r="D15526" s="17" t="s">
        <v>11</v>
      </c>
      <c r="E15526" s="17" t="s">
        <v>11</v>
      </c>
      <c r="F15526" s="18"/>
      <c r="G15526" s="36" t="str">
        <f>IF(ISNUMBER(F15526),C15526*F15526,"")</f>
        <v/>
      </c>
    </row>
    <row r="15527" spans="1:7" ht="12" customHeight="1" outlineLevel="2" x14ac:dyDescent="0.2">
      <c r="A15527" s="14" t="s">
        <v>30543</v>
      </c>
      <c r="B15527" s="15" t="s">
        <v>30544</v>
      </c>
      <c r="C15527" s="16">
        <f>502.5/(1+B2)</f>
        <v>502.5</v>
      </c>
      <c r="D15527" s="17" t="s">
        <v>11</v>
      </c>
      <c r="E15527" s="17" t="s">
        <v>11</v>
      </c>
      <c r="F15527" s="18"/>
      <c r="G15527" s="36" t="str">
        <f>IF(ISNUMBER(F15527),C15527*F15527,"")</f>
        <v/>
      </c>
    </row>
    <row r="15528" spans="1:7" ht="12" customHeight="1" outlineLevel="2" x14ac:dyDescent="0.2">
      <c r="A15528" s="14" t="s">
        <v>30545</v>
      </c>
      <c r="B15528" s="15" t="s">
        <v>30546</v>
      </c>
      <c r="C15528" s="16">
        <f>502.5/(1+B2)</f>
        <v>502.5</v>
      </c>
      <c r="D15528" s="17" t="s">
        <v>11</v>
      </c>
      <c r="E15528" s="17" t="s">
        <v>11</v>
      </c>
      <c r="F15528" s="18"/>
      <c r="G15528" s="36" t="str">
        <f>IF(ISNUMBER(F15528),C15528*F15528,"")</f>
        <v/>
      </c>
    </row>
    <row r="15529" spans="1:7" ht="12" customHeight="1" outlineLevel="2" x14ac:dyDescent="0.2">
      <c r="A15529" s="14" t="s">
        <v>30547</v>
      </c>
      <c r="B15529" s="15" t="s">
        <v>30548</v>
      </c>
      <c r="C15529" s="16">
        <f>502.5/(1+B2)</f>
        <v>502.5</v>
      </c>
      <c r="D15529" s="17" t="s">
        <v>11</v>
      </c>
      <c r="E15529" s="17" t="s">
        <v>11</v>
      </c>
      <c r="F15529" s="18"/>
      <c r="G15529" s="36" t="str">
        <f>IF(ISNUMBER(F15529),C15529*F15529,"")</f>
        <v/>
      </c>
    </row>
    <row r="15530" spans="1:7" ht="12" customHeight="1" outlineLevel="2" x14ac:dyDescent="0.2">
      <c r="A15530" s="14" t="s">
        <v>30549</v>
      </c>
      <c r="B15530" s="15" t="s">
        <v>30550</v>
      </c>
      <c r="C15530" s="16">
        <f>502.5/(1+B2)</f>
        <v>502.5</v>
      </c>
      <c r="D15530" s="17" t="s">
        <v>11</v>
      </c>
      <c r="E15530" s="17"/>
      <c r="F15530" s="18"/>
      <c r="G15530" s="36" t="str">
        <f>IF(ISNUMBER(F15530),C15530*F15530,"")</f>
        <v/>
      </c>
    </row>
    <row r="15531" spans="1:7" ht="12" customHeight="1" outlineLevel="2" x14ac:dyDescent="0.2">
      <c r="A15531" s="14" t="s">
        <v>30551</v>
      </c>
      <c r="B15531" s="15" t="s">
        <v>30552</v>
      </c>
      <c r="C15531" s="16">
        <f>502.5/(1+B2)</f>
        <v>502.5</v>
      </c>
      <c r="D15531" s="17" t="s">
        <v>11</v>
      </c>
      <c r="E15531" s="17" t="s">
        <v>11</v>
      </c>
      <c r="F15531" s="18"/>
      <c r="G15531" s="36" t="str">
        <f>IF(ISNUMBER(F15531),C15531*F15531,"")</f>
        <v/>
      </c>
    </row>
    <row r="15532" spans="1:7" ht="12" customHeight="1" outlineLevel="2" x14ac:dyDescent="0.2">
      <c r="A15532" s="14" t="s">
        <v>30553</v>
      </c>
      <c r="B15532" s="15" t="s">
        <v>30554</v>
      </c>
      <c r="C15532" s="16">
        <f>551.25/(1+B2)</f>
        <v>551.25</v>
      </c>
      <c r="D15532" s="17" t="s">
        <v>11</v>
      </c>
      <c r="E15532" s="17" t="s">
        <v>11</v>
      </c>
      <c r="F15532" s="18"/>
      <c r="G15532" s="36" t="str">
        <f>IF(ISNUMBER(F15532),C15532*F15532,"")</f>
        <v/>
      </c>
    </row>
    <row r="15533" spans="1:7" ht="12" customHeight="1" outlineLevel="2" x14ac:dyDescent="0.2">
      <c r="A15533" s="14" t="s">
        <v>30555</v>
      </c>
      <c r="B15533" s="15" t="s">
        <v>30556</v>
      </c>
      <c r="C15533" s="16">
        <f>551.25/(1+B2)</f>
        <v>551.25</v>
      </c>
      <c r="D15533" s="17" t="s">
        <v>11</v>
      </c>
      <c r="E15533" s="17" t="s">
        <v>11</v>
      </c>
      <c r="F15533" s="18"/>
      <c r="G15533" s="36" t="str">
        <f>IF(ISNUMBER(F15533),C15533*F15533,"")</f>
        <v/>
      </c>
    </row>
    <row r="15534" spans="1:7" ht="12" customHeight="1" outlineLevel="2" x14ac:dyDescent="0.2">
      <c r="A15534" s="14" t="s">
        <v>30557</v>
      </c>
      <c r="B15534" s="15" t="s">
        <v>30558</v>
      </c>
      <c r="C15534" s="16">
        <f>551.25/(1+B2)</f>
        <v>551.25</v>
      </c>
      <c r="D15534" s="17" t="s">
        <v>11</v>
      </c>
      <c r="E15534" s="17"/>
      <c r="F15534" s="18"/>
      <c r="G15534" s="36" t="str">
        <f>IF(ISNUMBER(F15534),C15534*F15534,"")</f>
        <v/>
      </c>
    </row>
    <row r="15535" spans="1:7" ht="12" customHeight="1" outlineLevel="2" x14ac:dyDescent="0.2">
      <c r="A15535" s="14" t="s">
        <v>30559</v>
      </c>
      <c r="B15535" s="15" t="s">
        <v>30560</v>
      </c>
      <c r="C15535" s="16">
        <f>551.25/(1+B2)</f>
        <v>551.25</v>
      </c>
      <c r="D15535" s="17" t="s">
        <v>11</v>
      </c>
      <c r="E15535" s="17"/>
      <c r="F15535" s="18"/>
      <c r="G15535" s="36" t="str">
        <f>IF(ISNUMBER(F15535),C15535*F15535,"")</f>
        <v/>
      </c>
    </row>
    <row r="15536" spans="1:7" ht="12" customHeight="1" outlineLevel="2" x14ac:dyDescent="0.2">
      <c r="A15536" s="14" t="s">
        <v>30561</v>
      </c>
      <c r="B15536" s="15" t="s">
        <v>30562</v>
      </c>
      <c r="C15536" s="16">
        <f>551.25/(1+B2)</f>
        <v>551.25</v>
      </c>
      <c r="D15536" s="17" t="s">
        <v>11</v>
      </c>
      <c r="E15536" s="17"/>
      <c r="F15536" s="18"/>
      <c r="G15536" s="36" t="str">
        <f>IF(ISNUMBER(F15536),C15536*F15536,"")</f>
        <v/>
      </c>
    </row>
    <row r="15537" spans="1:7" ht="12" customHeight="1" outlineLevel="2" x14ac:dyDescent="0.2">
      <c r="A15537" s="14" t="s">
        <v>30563</v>
      </c>
      <c r="B15537" s="15" t="s">
        <v>30564</v>
      </c>
      <c r="C15537" s="16">
        <f>551.25/(1+B2)</f>
        <v>551.25</v>
      </c>
      <c r="D15537" s="17" t="s">
        <v>11</v>
      </c>
      <c r="E15537" s="17"/>
      <c r="F15537" s="18"/>
      <c r="G15537" s="36" t="str">
        <f>IF(ISNUMBER(F15537),C15537*F15537,"")</f>
        <v/>
      </c>
    </row>
    <row r="15538" spans="1:7" ht="12" customHeight="1" outlineLevel="2" x14ac:dyDescent="0.2">
      <c r="A15538" s="14" t="s">
        <v>30565</v>
      </c>
      <c r="B15538" s="15" t="s">
        <v>30566</v>
      </c>
      <c r="C15538" s="16">
        <f>551.25/(1+B2)</f>
        <v>551.25</v>
      </c>
      <c r="D15538" s="17" t="s">
        <v>11</v>
      </c>
      <c r="E15538" s="17" t="s">
        <v>11</v>
      </c>
      <c r="F15538" s="18"/>
      <c r="G15538" s="36" t="str">
        <f>IF(ISNUMBER(F15538),C15538*F15538,"")</f>
        <v/>
      </c>
    </row>
    <row r="15539" spans="1:7" ht="12" customHeight="1" outlineLevel="2" x14ac:dyDescent="0.2">
      <c r="A15539" s="14" t="s">
        <v>30567</v>
      </c>
      <c r="B15539" s="15" t="s">
        <v>30568</v>
      </c>
      <c r="C15539" s="16">
        <f>551.25/(1+B2)</f>
        <v>551.25</v>
      </c>
      <c r="D15539" s="17" t="s">
        <v>11</v>
      </c>
      <c r="E15539" s="17"/>
      <c r="F15539" s="18"/>
      <c r="G15539" s="36" t="str">
        <f>IF(ISNUMBER(F15539),C15539*F15539,"")</f>
        <v/>
      </c>
    </row>
    <row r="15540" spans="1:7" ht="12" customHeight="1" outlineLevel="2" x14ac:dyDescent="0.2">
      <c r="A15540" s="14" t="s">
        <v>30569</v>
      </c>
      <c r="B15540" s="15" t="s">
        <v>30570</v>
      </c>
      <c r="C15540" s="16">
        <f>551.25/(1+B2)</f>
        <v>551.25</v>
      </c>
      <c r="D15540" s="17" t="s">
        <v>11</v>
      </c>
      <c r="E15540" s="17" t="s">
        <v>11</v>
      </c>
      <c r="F15540" s="18"/>
      <c r="G15540" s="36" t="str">
        <f>IF(ISNUMBER(F15540),C15540*F15540,"")</f>
        <v/>
      </c>
    </row>
    <row r="15541" spans="1:7" ht="12" customHeight="1" outlineLevel="2" x14ac:dyDescent="0.2">
      <c r="A15541" s="14" t="s">
        <v>30571</v>
      </c>
      <c r="B15541" s="15" t="s">
        <v>30572</v>
      </c>
      <c r="C15541" s="16">
        <f>551.25/(1+B2)</f>
        <v>551.25</v>
      </c>
      <c r="D15541" s="17" t="s">
        <v>11</v>
      </c>
      <c r="E15541" s="17"/>
      <c r="F15541" s="18"/>
      <c r="G15541" s="36" t="str">
        <f>IF(ISNUMBER(F15541),C15541*F15541,"")</f>
        <v/>
      </c>
    </row>
    <row r="15542" spans="1:7" ht="12" customHeight="1" outlineLevel="2" x14ac:dyDescent="0.2">
      <c r="A15542" s="14" t="s">
        <v>30573</v>
      </c>
      <c r="B15542" s="15" t="s">
        <v>30574</v>
      </c>
      <c r="C15542" s="16">
        <f>551.25/(1+B2)</f>
        <v>551.25</v>
      </c>
      <c r="D15542" s="17" t="s">
        <v>11</v>
      </c>
      <c r="E15542" s="17"/>
      <c r="F15542" s="18"/>
      <c r="G15542" s="36" t="str">
        <f>IF(ISNUMBER(F15542),C15542*F15542,"")</f>
        <v/>
      </c>
    </row>
    <row r="15543" spans="1:7" ht="12" customHeight="1" outlineLevel="2" x14ac:dyDescent="0.2">
      <c r="A15543" s="14" t="s">
        <v>30575</v>
      </c>
      <c r="B15543" s="15" t="s">
        <v>30576</v>
      </c>
      <c r="C15543" s="16">
        <f>551.25/(1+B2)</f>
        <v>551.25</v>
      </c>
      <c r="D15543" s="17" t="s">
        <v>11</v>
      </c>
      <c r="E15543" s="17"/>
      <c r="F15543" s="18"/>
      <c r="G15543" s="36" t="str">
        <f>IF(ISNUMBER(F15543),C15543*F15543,"")</f>
        <v/>
      </c>
    </row>
    <row r="15544" spans="1:7" ht="12" customHeight="1" outlineLevel="2" x14ac:dyDescent="0.2">
      <c r="A15544" s="14" t="s">
        <v>30577</v>
      </c>
      <c r="B15544" s="15" t="s">
        <v>30578</v>
      </c>
      <c r="C15544" s="16">
        <f>551.25/(1+B2)</f>
        <v>551.25</v>
      </c>
      <c r="D15544" s="17" t="s">
        <v>11</v>
      </c>
      <c r="E15544" s="17"/>
      <c r="F15544" s="18"/>
      <c r="G15544" s="36" t="str">
        <f>IF(ISNUMBER(F15544),C15544*F15544,"")</f>
        <v/>
      </c>
    </row>
    <row r="15545" spans="1:7" ht="12" customHeight="1" outlineLevel="2" x14ac:dyDescent="0.2">
      <c r="A15545" s="14" t="s">
        <v>30579</v>
      </c>
      <c r="B15545" s="15" t="s">
        <v>30580</v>
      </c>
      <c r="C15545" s="16">
        <f>551.25/(1+B2)</f>
        <v>551.25</v>
      </c>
      <c r="D15545" s="17" t="s">
        <v>11</v>
      </c>
      <c r="E15545" s="17"/>
      <c r="F15545" s="18"/>
      <c r="G15545" s="36" t="str">
        <f>IF(ISNUMBER(F15545),C15545*F15545,"")</f>
        <v/>
      </c>
    </row>
    <row r="15546" spans="1:7" ht="12" customHeight="1" outlineLevel="2" x14ac:dyDescent="0.2">
      <c r="A15546" s="14" t="s">
        <v>30581</v>
      </c>
      <c r="B15546" s="15" t="s">
        <v>30582</v>
      </c>
      <c r="C15546" s="16">
        <f>551.25/(1+B2)</f>
        <v>551.25</v>
      </c>
      <c r="D15546" s="17" t="s">
        <v>11</v>
      </c>
      <c r="E15546" s="17" t="s">
        <v>11</v>
      </c>
      <c r="F15546" s="18"/>
      <c r="G15546" s="36" t="str">
        <f>IF(ISNUMBER(F15546),C15546*F15546,"")</f>
        <v/>
      </c>
    </row>
    <row r="15547" spans="1:7" ht="12" customHeight="1" outlineLevel="2" x14ac:dyDescent="0.2">
      <c r="A15547" s="14" t="s">
        <v>30583</v>
      </c>
      <c r="B15547" s="15" t="s">
        <v>30584</v>
      </c>
      <c r="C15547" s="16">
        <f>551.25/(1+B2)</f>
        <v>551.25</v>
      </c>
      <c r="D15547" s="17" t="s">
        <v>11</v>
      </c>
      <c r="E15547" s="17"/>
      <c r="F15547" s="18"/>
      <c r="G15547" s="36" t="str">
        <f>IF(ISNUMBER(F15547),C15547*F15547,"")</f>
        <v/>
      </c>
    </row>
    <row r="15548" spans="1:7" ht="12" customHeight="1" outlineLevel="2" x14ac:dyDescent="0.2">
      <c r="A15548" s="14" t="s">
        <v>30585</v>
      </c>
      <c r="B15548" s="15" t="s">
        <v>30586</v>
      </c>
      <c r="C15548" s="16">
        <f>551.25/(1+B2)</f>
        <v>551.25</v>
      </c>
      <c r="D15548" s="17" t="s">
        <v>11</v>
      </c>
      <c r="E15548" s="17"/>
      <c r="F15548" s="18"/>
      <c r="G15548" s="36" t="str">
        <f>IF(ISNUMBER(F15548),C15548*F15548,"")</f>
        <v/>
      </c>
    </row>
    <row r="15549" spans="1:7" s="1" customFormat="1" ht="15.95" customHeight="1" x14ac:dyDescent="0.25">
      <c r="A15549" s="8"/>
      <c r="B15549" s="9" t="s">
        <v>30587</v>
      </c>
      <c r="C15549" s="10"/>
      <c r="D15549" s="10"/>
      <c r="E15549" s="10"/>
      <c r="F15549" s="10"/>
      <c r="G15549" s="34"/>
    </row>
    <row r="15550" spans="1:7" s="1" customFormat="1" ht="15.95" customHeight="1" outlineLevel="1" x14ac:dyDescent="0.25">
      <c r="A15550" s="11"/>
      <c r="B15550" s="12" t="s">
        <v>30588</v>
      </c>
      <c r="C15550" s="13"/>
      <c r="D15550" s="13"/>
      <c r="E15550" s="13"/>
      <c r="F15550" s="13"/>
      <c r="G15550" s="35"/>
    </row>
    <row r="15551" spans="1:7" s="1" customFormat="1" ht="12.95" customHeight="1" outlineLevel="2" x14ac:dyDescent="0.2">
      <c r="A15551" s="20"/>
      <c r="B15551" s="21" t="s">
        <v>30589</v>
      </c>
      <c r="C15551" s="22"/>
      <c r="D15551" s="22"/>
      <c r="E15551" s="22"/>
      <c r="F15551" s="22"/>
      <c r="G15551" s="37"/>
    </row>
    <row r="15552" spans="1:7" ht="12" customHeight="1" outlineLevel="3" x14ac:dyDescent="0.2">
      <c r="A15552" s="14" t="s">
        <v>30590</v>
      </c>
      <c r="B15552" s="15" t="s">
        <v>30591</v>
      </c>
      <c r="C15552" s="19">
        <f>3839.15/(1+B2)</f>
        <v>3839.15</v>
      </c>
      <c r="D15552" s="17" t="s">
        <v>11</v>
      </c>
      <c r="E15552" s="17" t="s">
        <v>11</v>
      </c>
      <c r="F15552" s="18"/>
      <c r="G15552" s="36" t="str">
        <f>IF(ISNUMBER(F15552),C15552*F15552,"")</f>
        <v/>
      </c>
    </row>
    <row r="15553" spans="1:7" ht="24" customHeight="1" outlineLevel="3" x14ac:dyDescent="0.2">
      <c r="A15553" s="14" t="s">
        <v>30592</v>
      </c>
      <c r="B15553" s="15" t="s">
        <v>30593</v>
      </c>
      <c r="C15553" s="19">
        <f>3839.15/(1+B2)</f>
        <v>3839.15</v>
      </c>
      <c r="D15553" s="17" t="s">
        <v>11</v>
      </c>
      <c r="E15553" s="17"/>
      <c r="F15553" s="18"/>
      <c r="G15553" s="36" t="str">
        <f>IF(ISNUMBER(F15553),C15553*F15553,"")</f>
        <v/>
      </c>
    </row>
    <row r="15554" spans="1:7" ht="12" customHeight="1" outlineLevel="3" x14ac:dyDescent="0.2">
      <c r="A15554" s="14" t="s">
        <v>30594</v>
      </c>
      <c r="B15554" s="15" t="s">
        <v>30595</v>
      </c>
      <c r="C15554" s="19">
        <f>3839.15/(1+B2)</f>
        <v>3839.15</v>
      </c>
      <c r="D15554" s="17" t="s">
        <v>11</v>
      </c>
      <c r="E15554" s="17" t="s">
        <v>11</v>
      </c>
      <c r="F15554" s="18"/>
      <c r="G15554" s="36" t="str">
        <f>IF(ISNUMBER(F15554),C15554*F15554,"")</f>
        <v/>
      </c>
    </row>
    <row r="15555" spans="1:7" ht="12" customHeight="1" outlineLevel="3" x14ac:dyDescent="0.2">
      <c r="A15555" s="14" t="s">
        <v>30596</v>
      </c>
      <c r="B15555" s="15" t="s">
        <v>30597</v>
      </c>
      <c r="C15555" s="19">
        <f>3839.15/(1+B2)</f>
        <v>3839.15</v>
      </c>
      <c r="D15555" s="17" t="s">
        <v>11</v>
      </c>
      <c r="E15555" s="17" t="s">
        <v>11</v>
      </c>
      <c r="F15555" s="18"/>
      <c r="G15555" s="36" t="str">
        <f>IF(ISNUMBER(F15555),C15555*F15555,"")</f>
        <v/>
      </c>
    </row>
    <row r="15556" spans="1:7" ht="12" customHeight="1" outlineLevel="3" x14ac:dyDescent="0.2">
      <c r="A15556" s="14" t="s">
        <v>30598</v>
      </c>
      <c r="B15556" s="15" t="s">
        <v>30599</v>
      </c>
      <c r="C15556" s="19">
        <f>3839.15/(1+B2)</f>
        <v>3839.15</v>
      </c>
      <c r="D15556" s="17"/>
      <c r="E15556" s="17" t="s">
        <v>11</v>
      </c>
      <c r="F15556" s="18"/>
      <c r="G15556" s="36" t="str">
        <f>IF(ISNUMBER(F15556),C15556*F15556,"")</f>
        <v/>
      </c>
    </row>
    <row r="15557" spans="1:7" ht="12" customHeight="1" outlineLevel="3" x14ac:dyDescent="0.2">
      <c r="A15557" s="14" t="s">
        <v>30600</v>
      </c>
      <c r="B15557" s="15" t="s">
        <v>30601</v>
      </c>
      <c r="C15557" s="19">
        <f>3839.15/(1+B2)</f>
        <v>3839.15</v>
      </c>
      <c r="D15557" s="17"/>
      <c r="E15557" s="17" t="s">
        <v>11</v>
      </c>
      <c r="F15557" s="18"/>
      <c r="G15557" s="36" t="str">
        <f>IF(ISNUMBER(F15557),C15557*F15557,"")</f>
        <v/>
      </c>
    </row>
    <row r="15558" spans="1:7" ht="12" customHeight="1" outlineLevel="3" x14ac:dyDescent="0.2">
      <c r="A15558" s="14" t="s">
        <v>30602</v>
      </c>
      <c r="B15558" s="15" t="s">
        <v>30603</v>
      </c>
      <c r="C15558" s="19">
        <f>3839.15/(1+B2)</f>
        <v>3839.15</v>
      </c>
      <c r="D15558" s="17" t="s">
        <v>11</v>
      </c>
      <c r="E15558" s="17" t="s">
        <v>11</v>
      </c>
      <c r="F15558" s="18"/>
      <c r="G15558" s="36" t="str">
        <f>IF(ISNUMBER(F15558),C15558*F15558,"")</f>
        <v/>
      </c>
    </row>
    <row r="15559" spans="1:7" ht="12" customHeight="1" outlineLevel="3" x14ac:dyDescent="0.2">
      <c r="A15559" s="14" t="s">
        <v>30604</v>
      </c>
      <c r="B15559" s="15" t="s">
        <v>30605</v>
      </c>
      <c r="C15559" s="19">
        <f>3839.15/(1+B2)</f>
        <v>3839.15</v>
      </c>
      <c r="D15559" s="17" t="s">
        <v>11</v>
      </c>
      <c r="E15559" s="17"/>
      <c r="F15559" s="18"/>
      <c r="G15559" s="36" t="str">
        <f>IF(ISNUMBER(F15559),C15559*F15559,"")</f>
        <v/>
      </c>
    </row>
    <row r="15560" spans="1:7" ht="12" customHeight="1" outlineLevel="3" x14ac:dyDescent="0.2">
      <c r="A15560" s="14" t="s">
        <v>30606</v>
      </c>
      <c r="B15560" s="15" t="s">
        <v>30607</v>
      </c>
      <c r="C15560" s="19">
        <f>3839.15/(1+B2)</f>
        <v>3839.15</v>
      </c>
      <c r="D15560" s="17"/>
      <c r="E15560" s="17" t="s">
        <v>11</v>
      </c>
      <c r="F15560" s="18"/>
      <c r="G15560" s="36" t="str">
        <f>IF(ISNUMBER(F15560),C15560*F15560,"")</f>
        <v/>
      </c>
    </row>
    <row r="15561" spans="1:7" ht="12" customHeight="1" outlineLevel="3" x14ac:dyDescent="0.2">
      <c r="A15561" s="14" t="s">
        <v>30608</v>
      </c>
      <c r="B15561" s="15" t="s">
        <v>30609</v>
      </c>
      <c r="C15561" s="19">
        <f>3839.15/(1+B2)</f>
        <v>3839.15</v>
      </c>
      <c r="D15561" s="17" t="s">
        <v>11</v>
      </c>
      <c r="E15561" s="17"/>
      <c r="F15561" s="18"/>
      <c r="G15561" s="36" t="str">
        <f>IF(ISNUMBER(F15561),C15561*F15561,"")</f>
        <v/>
      </c>
    </row>
    <row r="15562" spans="1:7" ht="12" customHeight="1" outlineLevel="3" x14ac:dyDescent="0.2">
      <c r="A15562" s="14" t="s">
        <v>30610</v>
      </c>
      <c r="B15562" s="15" t="s">
        <v>30611</v>
      </c>
      <c r="C15562" s="19">
        <f>3839.15/(1+B2)</f>
        <v>3839.15</v>
      </c>
      <c r="D15562" s="17" t="s">
        <v>11</v>
      </c>
      <c r="E15562" s="17"/>
      <c r="F15562" s="18"/>
      <c r="G15562" s="36" t="str">
        <f>IF(ISNUMBER(F15562),C15562*F15562,"")</f>
        <v/>
      </c>
    </row>
    <row r="15563" spans="1:7" ht="12" customHeight="1" outlineLevel="3" x14ac:dyDescent="0.2">
      <c r="A15563" s="14" t="s">
        <v>30612</v>
      </c>
      <c r="B15563" s="15" t="s">
        <v>30613</v>
      </c>
      <c r="C15563" s="19">
        <f>3839.15/(1+B2)</f>
        <v>3839.15</v>
      </c>
      <c r="D15563" s="17" t="s">
        <v>11</v>
      </c>
      <c r="E15563" s="17" t="s">
        <v>11</v>
      </c>
      <c r="F15563" s="18"/>
      <c r="G15563" s="36" t="str">
        <f>IF(ISNUMBER(F15563),C15563*F15563,"")</f>
        <v/>
      </c>
    </row>
    <row r="15564" spans="1:7" ht="12" customHeight="1" outlineLevel="3" x14ac:dyDescent="0.2">
      <c r="A15564" s="14" t="s">
        <v>30614</v>
      </c>
      <c r="B15564" s="15" t="s">
        <v>30615</v>
      </c>
      <c r="C15564" s="19">
        <f>3839.15/(1+B2)</f>
        <v>3839.15</v>
      </c>
      <c r="D15564" s="17" t="s">
        <v>11</v>
      </c>
      <c r="E15564" s="17"/>
      <c r="F15564" s="18"/>
      <c r="G15564" s="36" t="str">
        <f>IF(ISNUMBER(F15564),C15564*F15564,"")</f>
        <v/>
      </c>
    </row>
    <row r="15565" spans="1:7" ht="12" customHeight="1" outlineLevel="3" x14ac:dyDescent="0.2">
      <c r="A15565" s="14" t="s">
        <v>30616</v>
      </c>
      <c r="B15565" s="15" t="s">
        <v>30617</v>
      </c>
      <c r="C15565" s="19">
        <f>3839.15/(1+B2)</f>
        <v>3839.15</v>
      </c>
      <c r="D15565" s="17" t="s">
        <v>11</v>
      </c>
      <c r="E15565" s="17"/>
      <c r="F15565" s="18"/>
      <c r="G15565" s="36" t="str">
        <f>IF(ISNUMBER(F15565),C15565*F15565,"")</f>
        <v/>
      </c>
    </row>
    <row r="15566" spans="1:7" ht="12" customHeight="1" outlineLevel="3" x14ac:dyDescent="0.2">
      <c r="A15566" s="14" t="s">
        <v>30618</v>
      </c>
      <c r="B15566" s="15" t="s">
        <v>30619</v>
      </c>
      <c r="C15566" s="19">
        <f>3839.15/(1+B2)</f>
        <v>3839.15</v>
      </c>
      <c r="D15566" s="17" t="s">
        <v>11</v>
      </c>
      <c r="E15566" s="17"/>
      <c r="F15566" s="18"/>
      <c r="G15566" s="36" t="str">
        <f>IF(ISNUMBER(F15566),C15566*F15566,"")</f>
        <v/>
      </c>
    </row>
    <row r="15567" spans="1:7" ht="12" customHeight="1" outlineLevel="3" x14ac:dyDescent="0.2">
      <c r="A15567" s="14" t="s">
        <v>30620</v>
      </c>
      <c r="B15567" s="15" t="s">
        <v>30621</v>
      </c>
      <c r="C15567" s="19">
        <f>3839.15/(1+B2)</f>
        <v>3839.15</v>
      </c>
      <c r="D15567" s="17" t="s">
        <v>11</v>
      </c>
      <c r="E15567" s="17"/>
      <c r="F15567" s="18"/>
      <c r="G15567" s="36" t="str">
        <f>IF(ISNUMBER(F15567),C15567*F15567,"")</f>
        <v/>
      </c>
    </row>
    <row r="15568" spans="1:7" ht="12" customHeight="1" outlineLevel="3" x14ac:dyDescent="0.2">
      <c r="A15568" s="14" t="s">
        <v>30622</v>
      </c>
      <c r="B15568" s="15" t="s">
        <v>30623</v>
      </c>
      <c r="C15568" s="19">
        <f>3839.15/(1+B2)</f>
        <v>3839.15</v>
      </c>
      <c r="D15568" s="17" t="s">
        <v>11</v>
      </c>
      <c r="E15568" s="17"/>
      <c r="F15568" s="18"/>
      <c r="G15568" s="36" t="str">
        <f>IF(ISNUMBER(F15568),C15568*F15568,"")</f>
        <v/>
      </c>
    </row>
    <row r="15569" spans="1:7" ht="12" customHeight="1" outlineLevel="3" x14ac:dyDescent="0.2">
      <c r="A15569" s="14" t="s">
        <v>30624</v>
      </c>
      <c r="B15569" s="15" t="s">
        <v>30625</v>
      </c>
      <c r="C15569" s="19">
        <f>3839.15/(1+B2)</f>
        <v>3839.15</v>
      </c>
      <c r="D15569" s="17" t="s">
        <v>11</v>
      </c>
      <c r="E15569" s="17"/>
      <c r="F15569" s="18"/>
      <c r="G15569" s="36" t="str">
        <f>IF(ISNUMBER(F15569),C15569*F15569,"")</f>
        <v/>
      </c>
    </row>
    <row r="15570" spans="1:7" ht="24" customHeight="1" outlineLevel="3" x14ac:dyDescent="0.2">
      <c r="A15570" s="14" t="s">
        <v>30626</v>
      </c>
      <c r="B15570" s="15" t="s">
        <v>30627</v>
      </c>
      <c r="C15570" s="19">
        <f>3839.15/(1+B2)</f>
        <v>3839.15</v>
      </c>
      <c r="D15570" s="17"/>
      <c r="E15570" s="17" t="s">
        <v>11</v>
      </c>
      <c r="F15570" s="18"/>
      <c r="G15570" s="36" t="str">
        <f>IF(ISNUMBER(F15570),C15570*F15570,"")</f>
        <v/>
      </c>
    </row>
    <row r="15571" spans="1:7" ht="24" customHeight="1" outlineLevel="3" x14ac:dyDescent="0.2">
      <c r="A15571" s="14" t="s">
        <v>30628</v>
      </c>
      <c r="B15571" s="15" t="s">
        <v>30629</v>
      </c>
      <c r="C15571" s="19">
        <f>3839.15/(1+B2)</f>
        <v>3839.15</v>
      </c>
      <c r="D15571" s="17" t="s">
        <v>11</v>
      </c>
      <c r="E15571" s="17"/>
      <c r="F15571" s="18"/>
      <c r="G15571" s="36" t="str">
        <f>IF(ISNUMBER(F15571),C15571*F15571,"")</f>
        <v/>
      </c>
    </row>
    <row r="15572" spans="1:7" ht="12" customHeight="1" outlineLevel="3" x14ac:dyDescent="0.2">
      <c r="A15572" s="14" t="s">
        <v>30630</v>
      </c>
      <c r="B15572" s="15" t="s">
        <v>30631</v>
      </c>
      <c r="C15572" s="19">
        <f>3839.15/(1+B2)</f>
        <v>3839.15</v>
      </c>
      <c r="D15572" s="17"/>
      <c r="E15572" s="17" t="s">
        <v>11</v>
      </c>
      <c r="F15572" s="18"/>
      <c r="G15572" s="36" t="str">
        <f>IF(ISNUMBER(F15572),C15572*F15572,"")</f>
        <v/>
      </c>
    </row>
    <row r="15573" spans="1:7" ht="12" customHeight="1" outlineLevel="3" x14ac:dyDescent="0.2">
      <c r="A15573" s="14" t="s">
        <v>30632</v>
      </c>
      <c r="B15573" s="15" t="s">
        <v>30633</v>
      </c>
      <c r="C15573" s="19">
        <f>3839.15/(1+B2)</f>
        <v>3839.15</v>
      </c>
      <c r="D15573" s="17"/>
      <c r="E15573" s="17" t="s">
        <v>11</v>
      </c>
      <c r="F15573" s="18"/>
      <c r="G15573" s="36" t="str">
        <f>IF(ISNUMBER(F15573),C15573*F15573,"")</f>
        <v/>
      </c>
    </row>
    <row r="15574" spans="1:7" ht="12" customHeight="1" outlineLevel="3" x14ac:dyDescent="0.2">
      <c r="A15574" s="14" t="s">
        <v>30634</v>
      </c>
      <c r="B15574" s="15" t="s">
        <v>30635</v>
      </c>
      <c r="C15574" s="19">
        <f>3839.15/(1+B2)</f>
        <v>3839.15</v>
      </c>
      <c r="D15574" s="17"/>
      <c r="E15574" s="17" t="s">
        <v>11</v>
      </c>
      <c r="F15574" s="18"/>
      <c r="G15574" s="36" t="str">
        <f>IF(ISNUMBER(F15574),C15574*F15574,"")</f>
        <v/>
      </c>
    </row>
    <row r="15575" spans="1:7" ht="12" customHeight="1" outlineLevel="3" x14ac:dyDescent="0.2">
      <c r="A15575" s="14" t="s">
        <v>30636</v>
      </c>
      <c r="B15575" s="15" t="s">
        <v>30637</v>
      </c>
      <c r="C15575" s="19">
        <f>3839.15/(1+B2)</f>
        <v>3839.15</v>
      </c>
      <c r="D15575" s="17" t="s">
        <v>11</v>
      </c>
      <c r="E15575" s="17"/>
      <c r="F15575" s="18"/>
      <c r="G15575" s="36" t="str">
        <f>IF(ISNUMBER(F15575),C15575*F15575,"")</f>
        <v/>
      </c>
    </row>
    <row r="15576" spans="1:7" ht="12" customHeight="1" outlineLevel="3" x14ac:dyDescent="0.2">
      <c r="A15576" s="14" t="s">
        <v>30638</v>
      </c>
      <c r="B15576" s="15" t="s">
        <v>30639</v>
      </c>
      <c r="C15576" s="19">
        <f>3839.15/(1+B2)</f>
        <v>3839.15</v>
      </c>
      <c r="D15576" s="17"/>
      <c r="E15576" s="17" t="s">
        <v>11</v>
      </c>
      <c r="F15576" s="18"/>
      <c r="G15576" s="36" t="str">
        <f>IF(ISNUMBER(F15576),C15576*F15576,"")</f>
        <v/>
      </c>
    </row>
    <row r="15577" spans="1:7" ht="12" customHeight="1" outlineLevel="3" x14ac:dyDescent="0.2">
      <c r="A15577" s="14" t="s">
        <v>30640</v>
      </c>
      <c r="B15577" s="15" t="s">
        <v>30641</v>
      </c>
      <c r="C15577" s="19">
        <f>3839.15/(1+B2)</f>
        <v>3839.15</v>
      </c>
      <c r="D15577" s="17" t="s">
        <v>11</v>
      </c>
      <c r="E15577" s="17"/>
      <c r="F15577" s="18"/>
      <c r="G15577" s="36" t="str">
        <f>IF(ISNUMBER(F15577),C15577*F15577,"")</f>
        <v/>
      </c>
    </row>
    <row r="15578" spans="1:7" ht="12" customHeight="1" outlineLevel="3" x14ac:dyDescent="0.2">
      <c r="A15578" s="14" t="s">
        <v>30642</v>
      </c>
      <c r="B15578" s="15" t="s">
        <v>30643</v>
      </c>
      <c r="C15578" s="19">
        <f>3839.15/(1+B2)</f>
        <v>3839.15</v>
      </c>
      <c r="D15578" s="17"/>
      <c r="E15578" s="17" t="s">
        <v>11</v>
      </c>
      <c r="F15578" s="18"/>
      <c r="G15578" s="36" t="str">
        <f>IF(ISNUMBER(F15578),C15578*F15578,"")</f>
        <v/>
      </c>
    </row>
    <row r="15579" spans="1:7" ht="24" customHeight="1" outlineLevel="3" x14ac:dyDescent="0.2">
      <c r="A15579" s="14" t="s">
        <v>30644</v>
      </c>
      <c r="B15579" s="15" t="s">
        <v>30645</v>
      </c>
      <c r="C15579" s="19">
        <f>3839.15/(1+B2)</f>
        <v>3839.15</v>
      </c>
      <c r="D15579" s="17" t="s">
        <v>11</v>
      </c>
      <c r="E15579" s="17"/>
      <c r="F15579" s="18"/>
      <c r="G15579" s="36" t="str">
        <f>IF(ISNUMBER(F15579),C15579*F15579,"")</f>
        <v/>
      </c>
    </row>
    <row r="15580" spans="1:7" ht="12" customHeight="1" outlineLevel="3" x14ac:dyDescent="0.2">
      <c r="A15580" s="14" t="s">
        <v>30646</v>
      </c>
      <c r="B15580" s="15" t="s">
        <v>30647</v>
      </c>
      <c r="C15580" s="19">
        <f>3839.15/(1+B2)</f>
        <v>3839.15</v>
      </c>
      <c r="D15580" s="17" t="s">
        <v>11</v>
      </c>
      <c r="E15580" s="17"/>
      <c r="F15580" s="18"/>
      <c r="G15580" s="36" t="str">
        <f>IF(ISNUMBER(F15580),C15580*F15580,"")</f>
        <v/>
      </c>
    </row>
    <row r="15581" spans="1:7" ht="12" customHeight="1" outlineLevel="3" x14ac:dyDescent="0.2">
      <c r="A15581" s="14" t="s">
        <v>30648</v>
      </c>
      <c r="B15581" s="15" t="s">
        <v>30649</v>
      </c>
      <c r="C15581" s="19">
        <f>3839.15/(1+B2)</f>
        <v>3839.15</v>
      </c>
      <c r="D15581" s="17" t="s">
        <v>11</v>
      </c>
      <c r="E15581" s="17"/>
      <c r="F15581" s="18"/>
      <c r="G15581" s="36" t="str">
        <f>IF(ISNUMBER(F15581),C15581*F15581,"")</f>
        <v/>
      </c>
    </row>
    <row r="15582" spans="1:7" ht="12" customHeight="1" outlineLevel="3" x14ac:dyDescent="0.2">
      <c r="A15582" s="14" t="s">
        <v>30650</v>
      </c>
      <c r="B15582" s="15" t="s">
        <v>30651</v>
      </c>
      <c r="C15582" s="19">
        <f>3839.15/(1+B2)</f>
        <v>3839.15</v>
      </c>
      <c r="D15582" s="17" t="s">
        <v>11</v>
      </c>
      <c r="E15582" s="17" t="s">
        <v>11</v>
      </c>
      <c r="F15582" s="18"/>
      <c r="G15582" s="36" t="str">
        <f>IF(ISNUMBER(F15582),C15582*F15582,"")</f>
        <v/>
      </c>
    </row>
    <row r="15583" spans="1:7" ht="12" customHeight="1" outlineLevel="3" x14ac:dyDescent="0.2">
      <c r="A15583" s="14" t="s">
        <v>30652</v>
      </c>
      <c r="B15583" s="15" t="s">
        <v>30653</v>
      </c>
      <c r="C15583" s="19">
        <f>3839.15/(1+B2)</f>
        <v>3839.15</v>
      </c>
      <c r="D15583" s="17"/>
      <c r="E15583" s="17" t="s">
        <v>11</v>
      </c>
      <c r="F15583" s="18"/>
      <c r="G15583" s="36" t="str">
        <f>IF(ISNUMBER(F15583),C15583*F15583,"")</f>
        <v/>
      </c>
    </row>
    <row r="15584" spans="1:7" ht="12" customHeight="1" outlineLevel="3" x14ac:dyDescent="0.2">
      <c r="A15584" s="14" t="s">
        <v>30654</v>
      </c>
      <c r="B15584" s="15" t="s">
        <v>30655</v>
      </c>
      <c r="C15584" s="19">
        <f>3839.15/(1+B2)</f>
        <v>3839.15</v>
      </c>
      <c r="D15584" s="17" t="s">
        <v>11</v>
      </c>
      <c r="E15584" s="17" t="s">
        <v>11</v>
      </c>
      <c r="F15584" s="18"/>
      <c r="G15584" s="36" t="str">
        <f>IF(ISNUMBER(F15584),C15584*F15584,"")</f>
        <v/>
      </c>
    </row>
    <row r="15585" spans="1:7" ht="12" customHeight="1" outlineLevel="3" x14ac:dyDescent="0.2">
      <c r="A15585" s="14" t="s">
        <v>30656</v>
      </c>
      <c r="B15585" s="15" t="s">
        <v>30657</v>
      </c>
      <c r="C15585" s="19">
        <f>3839.15/(1+B2)</f>
        <v>3839.15</v>
      </c>
      <c r="D15585" s="17" t="s">
        <v>11</v>
      </c>
      <c r="E15585" s="17" t="s">
        <v>11</v>
      </c>
      <c r="F15585" s="18"/>
      <c r="G15585" s="36" t="str">
        <f>IF(ISNUMBER(F15585),C15585*F15585,"")</f>
        <v/>
      </c>
    </row>
    <row r="15586" spans="1:7" ht="12" customHeight="1" outlineLevel="3" x14ac:dyDescent="0.2">
      <c r="A15586" s="14" t="s">
        <v>30658</v>
      </c>
      <c r="B15586" s="15" t="s">
        <v>30659</v>
      </c>
      <c r="C15586" s="19">
        <f>3839.15/(1+B2)</f>
        <v>3839.15</v>
      </c>
      <c r="D15586" s="17" t="s">
        <v>11</v>
      </c>
      <c r="E15586" s="17" t="s">
        <v>11</v>
      </c>
      <c r="F15586" s="18"/>
      <c r="G15586" s="36" t="str">
        <f>IF(ISNUMBER(F15586),C15586*F15586,"")</f>
        <v/>
      </c>
    </row>
    <row r="15587" spans="1:7" ht="12" customHeight="1" outlineLevel="3" x14ac:dyDescent="0.2">
      <c r="A15587" s="14" t="s">
        <v>30660</v>
      </c>
      <c r="B15587" s="15" t="s">
        <v>30661</v>
      </c>
      <c r="C15587" s="19">
        <f>3839.15/(1+B2)</f>
        <v>3839.15</v>
      </c>
      <c r="D15587" s="17" t="s">
        <v>11</v>
      </c>
      <c r="E15587" s="17"/>
      <c r="F15587" s="18"/>
      <c r="G15587" s="36" t="str">
        <f>IF(ISNUMBER(F15587),C15587*F15587,"")</f>
        <v/>
      </c>
    </row>
    <row r="15588" spans="1:7" ht="12" customHeight="1" outlineLevel="3" x14ac:dyDescent="0.2">
      <c r="A15588" s="14" t="s">
        <v>30662</v>
      </c>
      <c r="B15588" s="15" t="s">
        <v>30663</v>
      </c>
      <c r="C15588" s="19">
        <f>3839.15/(1+B2)</f>
        <v>3839.15</v>
      </c>
      <c r="D15588" s="17" t="s">
        <v>11</v>
      </c>
      <c r="E15588" s="17"/>
      <c r="F15588" s="18"/>
      <c r="G15588" s="36" t="str">
        <f>IF(ISNUMBER(F15588),C15588*F15588,"")</f>
        <v/>
      </c>
    </row>
    <row r="15589" spans="1:7" ht="12" customHeight="1" outlineLevel="3" x14ac:dyDescent="0.2">
      <c r="A15589" s="14" t="s">
        <v>30664</v>
      </c>
      <c r="B15589" s="15" t="s">
        <v>30665</v>
      </c>
      <c r="C15589" s="19">
        <f>3839.15/(1+B2)</f>
        <v>3839.15</v>
      </c>
      <c r="D15589" s="17" t="s">
        <v>11</v>
      </c>
      <c r="E15589" s="17"/>
      <c r="F15589" s="18"/>
      <c r="G15589" s="36" t="str">
        <f>IF(ISNUMBER(F15589),C15589*F15589,"")</f>
        <v/>
      </c>
    </row>
    <row r="15590" spans="1:7" ht="12" customHeight="1" outlineLevel="3" x14ac:dyDescent="0.2">
      <c r="A15590" s="14" t="s">
        <v>30666</v>
      </c>
      <c r="B15590" s="15" t="s">
        <v>30667</v>
      </c>
      <c r="C15590" s="19">
        <f>3839.15/(1+B2)</f>
        <v>3839.15</v>
      </c>
      <c r="D15590" s="17"/>
      <c r="E15590" s="17" t="s">
        <v>11</v>
      </c>
      <c r="F15590" s="18"/>
      <c r="G15590" s="36" t="str">
        <f>IF(ISNUMBER(F15590),C15590*F15590,"")</f>
        <v/>
      </c>
    </row>
    <row r="15591" spans="1:7" ht="12" customHeight="1" outlineLevel="3" x14ac:dyDescent="0.2">
      <c r="A15591" s="14" t="s">
        <v>30668</v>
      </c>
      <c r="B15591" s="15" t="s">
        <v>30669</v>
      </c>
      <c r="C15591" s="19">
        <f>3839.15/(1+B2)</f>
        <v>3839.15</v>
      </c>
      <c r="D15591" s="17" t="s">
        <v>11</v>
      </c>
      <c r="E15591" s="17"/>
      <c r="F15591" s="18"/>
      <c r="G15591" s="36" t="str">
        <f>IF(ISNUMBER(F15591),C15591*F15591,"")</f>
        <v/>
      </c>
    </row>
    <row r="15592" spans="1:7" ht="12" customHeight="1" outlineLevel="3" x14ac:dyDescent="0.2">
      <c r="A15592" s="14" t="s">
        <v>30670</v>
      </c>
      <c r="B15592" s="15" t="s">
        <v>30671</v>
      </c>
      <c r="C15592" s="19">
        <f>3839.15/(1+B2)</f>
        <v>3839.15</v>
      </c>
      <c r="D15592" s="17" t="s">
        <v>11</v>
      </c>
      <c r="E15592" s="17" t="s">
        <v>11</v>
      </c>
      <c r="F15592" s="18"/>
      <c r="G15592" s="36" t="str">
        <f>IF(ISNUMBER(F15592),C15592*F15592,"")</f>
        <v/>
      </c>
    </row>
    <row r="15593" spans="1:7" ht="12" customHeight="1" outlineLevel="3" x14ac:dyDescent="0.2">
      <c r="A15593" s="14" t="s">
        <v>30672</v>
      </c>
      <c r="B15593" s="15" t="s">
        <v>30673</v>
      </c>
      <c r="C15593" s="19">
        <f>3839.15/(1+B2)</f>
        <v>3839.15</v>
      </c>
      <c r="D15593" s="17"/>
      <c r="E15593" s="17" t="s">
        <v>11</v>
      </c>
      <c r="F15593" s="18"/>
      <c r="G15593" s="36" t="str">
        <f>IF(ISNUMBER(F15593),C15593*F15593,"")</f>
        <v/>
      </c>
    </row>
    <row r="15594" spans="1:7" ht="12" customHeight="1" outlineLevel="3" x14ac:dyDescent="0.2">
      <c r="A15594" s="14" t="s">
        <v>30674</v>
      </c>
      <c r="B15594" s="15" t="s">
        <v>30675</v>
      </c>
      <c r="C15594" s="19">
        <f>3839.15/(1+B2)</f>
        <v>3839.15</v>
      </c>
      <c r="D15594" s="17" t="s">
        <v>11</v>
      </c>
      <c r="E15594" s="17"/>
      <c r="F15594" s="18"/>
      <c r="G15594" s="36" t="str">
        <f>IF(ISNUMBER(F15594),C15594*F15594,"")</f>
        <v/>
      </c>
    </row>
    <row r="15595" spans="1:7" ht="12" customHeight="1" outlineLevel="3" x14ac:dyDescent="0.2">
      <c r="A15595" s="14" t="s">
        <v>30676</v>
      </c>
      <c r="B15595" s="15" t="s">
        <v>30677</v>
      </c>
      <c r="C15595" s="19">
        <f>3839.15/(1+B2)</f>
        <v>3839.15</v>
      </c>
      <c r="D15595" s="17" t="s">
        <v>11</v>
      </c>
      <c r="E15595" s="17"/>
      <c r="F15595" s="18"/>
      <c r="G15595" s="36" t="str">
        <f>IF(ISNUMBER(F15595),C15595*F15595,"")</f>
        <v/>
      </c>
    </row>
    <row r="15596" spans="1:7" ht="12" customHeight="1" outlineLevel="3" x14ac:dyDescent="0.2">
      <c r="A15596" s="14" t="s">
        <v>30678</v>
      </c>
      <c r="B15596" s="15" t="s">
        <v>30679</v>
      </c>
      <c r="C15596" s="19">
        <f>3839.15/(1+B2)</f>
        <v>3839.15</v>
      </c>
      <c r="D15596" s="17"/>
      <c r="E15596" s="17" t="s">
        <v>11</v>
      </c>
      <c r="F15596" s="18"/>
      <c r="G15596" s="36" t="str">
        <f>IF(ISNUMBER(F15596),C15596*F15596,"")</f>
        <v/>
      </c>
    </row>
    <row r="15597" spans="1:7" ht="24" customHeight="1" outlineLevel="3" x14ac:dyDescent="0.2">
      <c r="A15597" s="14" t="s">
        <v>30680</v>
      </c>
      <c r="B15597" s="15" t="s">
        <v>30681</v>
      </c>
      <c r="C15597" s="19">
        <f>3839.15/(1+B2)</f>
        <v>3839.15</v>
      </c>
      <c r="D15597" s="17" t="s">
        <v>11</v>
      </c>
      <c r="E15597" s="17"/>
      <c r="F15597" s="18"/>
      <c r="G15597" s="36" t="str">
        <f>IF(ISNUMBER(F15597),C15597*F15597,"")</f>
        <v/>
      </c>
    </row>
    <row r="15598" spans="1:7" ht="24" customHeight="1" outlineLevel="3" x14ac:dyDescent="0.2">
      <c r="A15598" s="14" t="s">
        <v>30682</v>
      </c>
      <c r="B15598" s="15" t="s">
        <v>30683</v>
      </c>
      <c r="C15598" s="19">
        <f>3839.15/(1+B2)</f>
        <v>3839.15</v>
      </c>
      <c r="D15598" s="17" t="s">
        <v>11</v>
      </c>
      <c r="E15598" s="17" t="s">
        <v>11</v>
      </c>
      <c r="F15598" s="18"/>
      <c r="G15598" s="36" t="str">
        <f>IF(ISNUMBER(F15598),C15598*F15598,"")</f>
        <v/>
      </c>
    </row>
    <row r="15599" spans="1:7" ht="12" customHeight="1" outlineLevel="3" x14ac:dyDescent="0.2">
      <c r="A15599" s="14" t="s">
        <v>30684</v>
      </c>
      <c r="B15599" s="15" t="s">
        <v>30685</v>
      </c>
      <c r="C15599" s="19">
        <f>3839.15/(1+B2)</f>
        <v>3839.15</v>
      </c>
      <c r="D15599" s="17"/>
      <c r="E15599" s="17" t="s">
        <v>11</v>
      </c>
      <c r="F15599" s="18"/>
      <c r="G15599" s="36" t="str">
        <f>IF(ISNUMBER(F15599),C15599*F15599,"")</f>
        <v/>
      </c>
    </row>
    <row r="15600" spans="1:7" ht="12" customHeight="1" outlineLevel="3" x14ac:dyDescent="0.2">
      <c r="A15600" s="14" t="s">
        <v>30686</v>
      </c>
      <c r="B15600" s="15" t="s">
        <v>30687</v>
      </c>
      <c r="C15600" s="19">
        <f>3839.15/(1+B2)</f>
        <v>3839.15</v>
      </c>
      <c r="D15600" s="17"/>
      <c r="E15600" s="17" t="s">
        <v>11</v>
      </c>
      <c r="F15600" s="18"/>
      <c r="G15600" s="36" t="str">
        <f>IF(ISNUMBER(F15600),C15600*F15600,"")</f>
        <v/>
      </c>
    </row>
    <row r="15601" spans="1:7" ht="12" customHeight="1" outlineLevel="3" x14ac:dyDescent="0.2">
      <c r="A15601" s="14" t="s">
        <v>30688</v>
      </c>
      <c r="B15601" s="15" t="s">
        <v>30689</v>
      </c>
      <c r="C15601" s="19">
        <f>3839.15/(1+B2)</f>
        <v>3839.15</v>
      </c>
      <c r="D15601" s="17"/>
      <c r="E15601" s="17" t="s">
        <v>11</v>
      </c>
      <c r="F15601" s="18"/>
      <c r="G15601" s="36" t="str">
        <f>IF(ISNUMBER(F15601),C15601*F15601,"")</f>
        <v/>
      </c>
    </row>
    <row r="15602" spans="1:7" ht="12" customHeight="1" outlineLevel="3" x14ac:dyDescent="0.2">
      <c r="A15602" s="14" t="s">
        <v>30690</v>
      </c>
      <c r="B15602" s="15" t="s">
        <v>30691</v>
      </c>
      <c r="C15602" s="19">
        <f>3839.15/(1+B2)</f>
        <v>3839.15</v>
      </c>
      <c r="D15602" s="17" t="s">
        <v>11</v>
      </c>
      <c r="E15602" s="17"/>
      <c r="F15602" s="18"/>
      <c r="G15602" s="36" t="str">
        <f>IF(ISNUMBER(F15602),C15602*F15602,"")</f>
        <v/>
      </c>
    </row>
    <row r="15603" spans="1:7" ht="24" customHeight="1" outlineLevel="3" x14ac:dyDescent="0.2">
      <c r="A15603" s="14" t="s">
        <v>30692</v>
      </c>
      <c r="B15603" s="15" t="s">
        <v>30693</v>
      </c>
      <c r="C15603" s="19">
        <f>3839.15/(1+B2)</f>
        <v>3839.15</v>
      </c>
      <c r="D15603" s="17" t="s">
        <v>11</v>
      </c>
      <c r="E15603" s="17"/>
      <c r="F15603" s="18"/>
      <c r="G15603" s="36" t="str">
        <f>IF(ISNUMBER(F15603),C15603*F15603,"")</f>
        <v/>
      </c>
    </row>
    <row r="15604" spans="1:7" ht="12" customHeight="1" outlineLevel="3" x14ac:dyDescent="0.2">
      <c r="A15604" s="14" t="s">
        <v>30694</v>
      </c>
      <c r="B15604" s="15" t="s">
        <v>30695</v>
      </c>
      <c r="C15604" s="19">
        <f>3839.15/(1+B2)</f>
        <v>3839.15</v>
      </c>
      <c r="D15604" s="17" t="s">
        <v>11</v>
      </c>
      <c r="E15604" s="17"/>
      <c r="F15604" s="18"/>
      <c r="G15604" s="36" t="str">
        <f>IF(ISNUMBER(F15604),C15604*F15604,"")</f>
        <v/>
      </c>
    </row>
    <row r="15605" spans="1:7" ht="12" customHeight="1" outlineLevel="3" x14ac:dyDescent="0.2">
      <c r="A15605" s="14" t="s">
        <v>30696</v>
      </c>
      <c r="B15605" s="15" t="s">
        <v>30697</v>
      </c>
      <c r="C15605" s="19">
        <f>3839.15/(1+B2)</f>
        <v>3839.15</v>
      </c>
      <c r="D15605" s="17" t="s">
        <v>11</v>
      </c>
      <c r="E15605" s="17"/>
      <c r="F15605" s="18"/>
      <c r="G15605" s="36" t="str">
        <f>IF(ISNUMBER(F15605),C15605*F15605,"")</f>
        <v/>
      </c>
    </row>
    <row r="15606" spans="1:7" ht="12" customHeight="1" outlineLevel="3" x14ac:dyDescent="0.2">
      <c r="A15606" s="14" t="s">
        <v>30698</v>
      </c>
      <c r="B15606" s="15" t="s">
        <v>30699</v>
      </c>
      <c r="C15606" s="19">
        <f>3839.15/(1+B2)</f>
        <v>3839.15</v>
      </c>
      <c r="D15606" s="17" t="s">
        <v>11</v>
      </c>
      <c r="E15606" s="17"/>
      <c r="F15606" s="18"/>
      <c r="G15606" s="36" t="str">
        <f>IF(ISNUMBER(F15606),C15606*F15606,"")</f>
        <v/>
      </c>
    </row>
    <row r="15607" spans="1:7" ht="12" customHeight="1" outlineLevel="3" x14ac:dyDescent="0.2">
      <c r="A15607" s="14" t="s">
        <v>30700</v>
      </c>
      <c r="B15607" s="15" t="s">
        <v>30701</v>
      </c>
      <c r="C15607" s="19">
        <f>3839.15/(1+B2)</f>
        <v>3839.15</v>
      </c>
      <c r="D15607" s="17" t="s">
        <v>11</v>
      </c>
      <c r="E15607" s="17"/>
      <c r="F15607" s="18"/>
      <c r="G15607" s="36" t="str">
        <f>IF(ISNUMBER(F15607),C15607*F15607,"")</f>
        <v/>
      </c>
    </row>
    <row r="15608" spans="1:7" s="1" customFormat="1" ht="12.95" customHeight="1" outlineLevel="2" x14ac:dyDescent="0.2">
      <c r="A15608" s="20"/>
      <c r="B15608" s="21" t="s">
        <v>30702</v>
      </c>
      <c r="C15608" s="22"/>
      <c r="D15608" s="22"/>
      <c r="E15608" s="22"/>
      <c r="F15608" s="22"/>
      <c r="G15608" s="37"/>
    </row>
    <row r="15609" spans="1:7" ht="12" customHeight="1" outlineLevel="3" x14ac:dyDescent="0.2">
      <c r="A15609" s="14" t="s">
        <v>30703</v>
      </c>
      <c r="B15609" s="15" t="s">
        <v>30704</v>
      </c>
      <c r="C15609" s="19">
        <f>3839.15/(1+B2)</f>
        <v>3839.15</v>
      </c>
      <c r="D15609" s="17" t="s">
        <v>11</v>
      </c>
      <c r="E15609" s="17" t="s">
        <v>11</v>
      </c>
      <c r="F15609" s="18"/>
      <c r="G15609" s="36" t="str">
        <f>IF(ISNUMBER(F15609),C15609*F15609,"")</f>
        <v/>
      </c>
    </row>
    <row r="15610" spans="1:7" ht="12" customHeight="1" outlineLevel="3" x14ac:dyDescent="0.2">
      <c r="A15610" s="14" t="s">
        <v>30705</v>
      </c>
      <c r="B15610" s="15" t="s">
        <v>30706</v>
      </c>
      <c r="C15610" s="19">
        <f>3839.15/(1+B2)</f>
        <v>3839.15</v>
      </c>
      <c r="D15610" s="17" t="s">
        <v>11</v>
      </c>
      <c r="E15610" s="17"/>
      <c r="F15610" s="18"/>
      <c r="G15610" s="36" t="str">
        <f>IF(ISNUMBER(F15610),C15610*F15610,"")</f>
        <v/>
      </c>
    </row>
    <row r="15611" spans="1:7" ht="12" customHeight="1" outlineLevel="3" x14ac:dyDescent="0.2">
      <c r="A15611" s="14" t="s">
        <v>30707</v>
      </c>
      <c r="B15611" s="15" t="s">
        <v>30708</v>
      </c>
      <c r="C15611" s="19">
        <f>3839.15/(1+B2)</f>
        <v>3839.15</v>
      </c>
      <c r="D15611" s="17"/>
      <c r="E15611" s="17" t="s">
        <v>11</v>
      </c>
      <c r="F15611" s="18"/>
      <c r="G15611" s="36" t="str">
        <f>IF(ISNUMBER(F15611),C15611*F15611,"")</f>
        <v/>
      </c>
    </row>
    <row r="15612" spans="1:7" ht="12" customHeight="1" outlineLevel="3" x14ac:dyDescent="0.2">
      <c r="A15612" s="14" t="s">
        <v>30709</v>
      </c>
      <c r="B15612" s="15" t="s">
        <v>30710</v>
      </c>
      <c r="C15612" s="19">
        <f>4159.17/(1+B2)</f>
        <v>4159.17</v>
      </c>
      <c r="D15612" s="17"/>
      <c r="E15612" s="17" t="s">
        <v>11</v>
      </c>
      <c r="F15612" s="18"/>
      <c r="G15612" s="36" t="str">
        <f>IF(ISNUMBER(F15612),C15612*F15612,"")</f>
        <v/>
      </c>
    </row>
    <row r="15613" spans="1:7" ht="12" customHeight="1" outlineLevel="3" x14ac:dyDescent="0.2">
      <c r="A15613" s="14" t="s">
        <v>30711</v>
      </c>
      <c r="B15613" s="15" t="s">
        <v>30712</v>
      </c>
      <c r="C15613" s="19">
        <f>4159.17/(1+B2)</f>
        <v>4159.17</v>
      </c>
      <c r="D15613" s="17"/>
      <c r="E15613" s="17" t="s">
        <v>11</v>
      </c>
      <c r="F15613" s="18"/>
      <c r="G15613" s="36" t="str">
        <f>IF(ISNUMBER(F15613),C15613*F15613,"")</f>
        <v/>
      </c>
    </row>
    <row r="15614" spans="1:7" ht="12" customHeight="1" outlineLevel="3" x14ac:dyDescent="0.2">
      <c r="A15614" s="14" t="s">
        <v>30713</v>
      </c>
      <c r="B15614" s="15" t="s">
        <v>30714</v>
      </c>
      <c r="C15614" s="19">
        <f>3839.15/(1+B2)</f>
        <v>3839.15</v>
      </c>
      <c r="D15614" s="17"/>
      <c r="E15614" s="17" t="s">
        <v>11</v>
      </c>
      <c r="F15614" s="18"/>
      <c r="G15614" s="36" t="str">
        <f>IF(ISNUMBER(F15614),C15614*F15614,"")</f>
        <v/>
      </c>
    </row>
    <row r="15615" spans="1:7" ht="12" customHeight="1" outlineLevel="3" x14ac:dyDescent="0.2">
      <c r="A15615" s="14" t="s">
        <v>30715</v>
      </c>
      <c r="B15615" s="15" t="s">
        <v>30716</v>
      </c>
      <c r="C15615" s="19">
        <f>3839.15/(1+B2)</f>
        <v>3839.15</v>
      </c>
      <c r="D15615" s="17" t="s">
        <v>11</v>
      </c>
      <c r="E15615" s="17"/>
      <c r="F15615" s="18"/>
      <c r="G15615" s="36" t="str">
        <f>IF(ISNUMBER(F15615),C15615*F15615,"")</f>
        <v/>
      </c>
    </row>
    <row r="15616" spans="1:7" ht="12" customHeight="1" outlineLevel="3" x14ac:dyDescent="0.2">
      <c r="A15616" s="14" t="s">
        <v>30717</v>
      </c>
      <c r="B15616" s="15" t="s">
        <v>30718</v>
      </c>
      <c r="C15616" s="19">
        <f>3839.15/(1+B2)</f>
        <v>3839.15</v>
      </c>
      <c r="D15616" s="17" t="s">
        <v>11</v>
      </c>
      <c r="E15616" s="17"/>
      <c r="F15616" s="18"/>
      <c r="G15616" s="36" t="str">
        <f>IF(ISNUMBER(F15616),C15616*F15616,"")</f>
        <v/>
      </c>
    </row>
    <row r="15617" spans="1:7" ht="12" customHeight="1" outlineLevel="3" x14ac:dyDescent="0.2">
      <c r="A15617" s="14" t="s">
        <v>30719</v>
      </c>
      <c r="B15617" s="15" t="s">
        <v>30720</v>
      </c>
      <c r="C15617" s="19">
        <f>3839.15/(1+B2)</f>
        <v>3839.15</v>
      </c>
      <c r="D15617" s="17" t="s">
        <v>11</v>
      </c>
      <c r="E15617" s="17"/>
      <c r="F15617" s="18"/>
      <c r="G15617" s="36" t="str">
        <f>IF(ISNUMBER(F15617),C15617*F15617,"")</f>
        <v/>
      </c>
    </row>
    <row r="15618" spans="1:7" ht="12" customHeight="1" outlineLevel="3" x14ac:dyDescent="0.2">
      <c r="A15618" s="14" t="s">
        <v>30721</v>
      </c>
      <c r="B15618" s="15" t="s">
        <v>30722</v>
      </c>
      <c r="C15618" s="19">
        <f>3839.15/(1+B2)</f>
        <v>3839.15</v>
      </c>
      <c r="D15618" s="17" t="s">
        <v>11</v>
      </c>
      <c r="E15618" s="17"/>
      <c r="F15618" s="18"/>
      <c r="G15618" s="36" t="str">
        <f>IF(ISNUMBER(F15618),C15618*F15618,"")</f>
        <v/>
      </c>
    </row>
    <row r="15619" spans="1:7" ht="12" customHeight="1" outlineLevel="3" x14ac:dyDescent="0.2">
      <c r="A15619" s="14" t="s">
        <v>30723</v>
      </c>
      <c r="B15619" s="15" t="s">
        <v>30724</v>
      </c>
      <c r="C15619" s="19">
        <f>3839.15/(1+B2)</f>
        <v>3839.15</v>
      </c>
      <c r="D15619" s="17"/>
      <c r="E15619" s="17" t="s">
        <v>11</v>
      </c>
      <c r="F15619" s="18"/>
      <c r="G15619" s="36" t="str">
        <f>IF(ISNUMBER(F15619),C15619*F15619,"")</f>
        <v/>
      </c>
    </row>
    <row r="15620" spans="1:7" ht="24" customHeight="1" outlineLevel="3" x14ac:dyDescent="0.2">
      <c r="A15620" s="14" t="s">
        <v>30725</v>
      </c>
      <c r="B15620" s="15" t="s">
        <v>30726</v>
      </c>
      <c r="C15620" s="19">
        <f>3839.15/(1+B2)</f>
        <v>3839.15</v>
      </c>
      <c r="D15620" s="17" t="s">
        <v>11</v>
      </c>
      <c r="E15620" s="17" t="s">
        <v>11</v>
      </c>
      <c r="F15620" s="18"/>
      <c r="G15620" s="36" t="str">
        <f>IF(ISNUMBER(F15620),C15620*F15620,"")</f>
        <v/>
      </c>
    </row>
    <row r="15621" spans="1:7" ht="12" customHeight="1" outlineLevel="3" x14ac:dyDescent="0.2">
      <c r="A15621" s="14" t="s">
        <v>30727</v>
      </c>
      <c r="B15621" s="15" t="s">
        <v>30728</v>
      </c>
      <c r="C15621" s="19">
        <f>3839.15/(1+B2)</f>
        <v>3839.15</v>
      </c>
      <c r="D15621" s="17" t="s">
        <v>11</v>
      </c>
      <c r="E15621" s="17"/>
      <c r="F15621" s="18"/>
      <c r="G15621" s="36" t="str">
        <f>IF(ISNUMBER(F15621),C15621*F15621,"")</f>
        <v/>
      </c>
    </row>
    <row r="15622" spans="1:7" ht="12" customHeight="1" outlineLevel="3" x14ac:dyDescent="0.2">
      <c r="A15622" s="14" t="s">
        <v>30729</v>
      </c>
      <c r="B15622" s="15" t="s">
        <v>30730</v>
      </c>
      <c r="C15622" s="19">
        <f>3839.15/(1+B2)</f>
        <v>3839.15</v>
      </c>
      <c r="D15622" s="17" t="s">
        <v>11</v>
      </c>
      <c r="E15622" s="17"/>
      <c r="F15622" s="18"/>
      <c r="G15622" s="36" t="str">
        <f>IF(ISNUMBER(F15622),C15622*F15622,"")</f>
        <v/>
      </c>
    </row>
    <row r="15623" spans="1:7" ht="12" customHeight="1" outlineLevel="3" x14ac:dyDescent="0.2">
      <c r="A15623" s="14" t="s">
        <v>30731</v>
      </c>
      <c r="B15623" s="15" t="s">
        <v>30732</v>
      </c>
      <c r="C15623" s="19">
        <f>3839.15/(1+B2)</f>
        <v>3839.15</v>
      </c>
      <c r="D15623" s="17" t="s">
        <v>11</v>
      </c>
      <c r="E15623" s="17"/>
      <c r="F15623" s="18"/>
      <c r="G15623" s="36" t="str">
        <f>IF(ISNUMBER(F15623),C15623*F15623,"")</f>
        <v/>
      </c>
    </row>
    <row r="15624" spans="1:7" ht="12" customHeight="1" outlineLevel="3" x14ac:dyDescent="0.2">
      <c r="A15624" s="14" t="s">
        <v>30733</v>
      </c>
      <c r="B15624" s="15" t="s">
        <v>30734</v>
      </c>
      <c r="C15624" s="19">
        <f>3839.15/(1+B2)</f>
        <v>3839.15</v>
      </c>
      <c r="D15624" s="17" t="s">
        <v>11</v>
      </c>
      <c r="E15624" s="17"/>
      <c r="F15624" s="18"/>
      <c r="G15624" s="36" t="str">
        <f>IF(ISNUMBER(F15624),C15624*F15624,"")</f>
        <v/>
      </c>
    </row>
    <row r="15625" spans="1:7" ht="12" customHeight="1" outlineLevel="3" x14ac:dyDescent="0.2">
      <c r="A15625" s="14" t="s">
        <v>30735</v>
      </c>
      <c r="B15625" s="15" t="s">
        <v>30736</v>
      </c>
      <c r="C15625" s="19">
        <f>3839.15/(1+B2)</f>
        <v>3839.15</v>
      </c>
      <c r="D15625" s="17" t="s">
        <v>11</v>
      </c>
      <c r="E15625" s="17"/>
      <c r="F15625" s="18"/>
      <c r="G15625" s="36" t="str">
        <f>IF(ISNUMBER(F15625),C15625*F15625,"")</f>
        <v/>
      </c>
    </row>
    <row r="15626" spans="1:7" ht="12" customHeight="1" outlineLevel="3" x14ac:dyDescent="0.2">
      <c r="A15626" s="14" t="s">
        <v>30737</v>
      </c>
      <c r="B15626" s="15" t="s">
        <v>30738</v>
      </c>
      <c r="C15626" s="19">
        <f>3839.15/(1+B2)</f>
        <v>3839.15</v>
      </c>
      <c r="D15626" s="17" t="s">
        <v>11</v>
      </c>
      <c r="E15626" s="17"/>
      <c r="F15626" s="18"/>
      <c r="G15626" s="36" t="str">
        <f>IF(ISNUMBER(F15626),C15626*F15626,"")</f>
        <v/>
      </c>
    </row>
    <row r="15627" spans="1:7" ht="12" customHeight="1" outlineLevel="3" x14ac:dyDescent="0.2">
      <c r="A15627" s="14" t="s">
        <v>30739</v>
      </c>
      <c r="B15627" s="15" t="s">
        <v>30740</v>
      </c>
      <c r="C15627" s="19">
        <f>3839.15/(1+B2)</f>
        <v>3839.15</v>
      </c>
      <c r="D15627" s="17" t="s">
        <v>11</v>
      </c>
      <c r="E15627" s="17"/>
      <c r="F15627" s="18"/>
      <c r="G15627" s="36" t="str">
        <f>IF(ISNUMBER(F15627),C15627*F15627,"")</f>
        <v/>
      </c>
    </row>
    <row r="15628" spans="1:7" ht="12" customHeight="1" outlineLevel="3" x14ac:dyDescent="0.2">
      <c r="A15628" s="14" t="s">
        <v>30741</v>
      </c>
      <c r="B15628" s="15" t="s">
        <v>30742</v>
      </c>
      <c r="C15628" s="19">
        <f>3839.15/(1+B2)</f>
        <v>3839.15</v>
      </c>
      <c r="D15628" s="17" t="s">
        <v>11</v>
      </c>
      <c r="E15628" s="17"/>
      <c r="F15628" s="18"/>
      <c r="G15628" s="36" t="str">
        <f>IF(ISNUMBER(F15628),C15628*F15628,"")</f>
        <v/>
      </c>
    </row>
    <row r="15629" spans="1:7" ht="12" customHeight="1" outlineLevel="3" x14ac:dyDescent="0.2">
      <c r="A15629" s="14" t="s">
        <v>30743</v>
      </c>
      <c r="B15629" s="15" t="s">
        <v>30744</v>
      </c>
      <c r="C15629" s="19">
        <f>3839.15/(1+B2)</f>
        <v>3839.15</v>
      </c>
      <c r="D15629" s="17"/>
      <c r="E15629" s="17" t="s">
        <v>11</v>
      </c>
      <c r="F15629" s="18"/>
      <c r="G15629" s="36" t="str">
        <f>IF(ISNUMBER(F15629),C15629*F15629,"")</f>
        <v/>
      </c>
    </row>
    <row r="15630" spans="1:7" ht="12" customHeight="1" outlineLevel="3" x14ac:dyDescent="0.2">
      <c r="A15630" s="14" t="s">
        <v>30745</v>
      </c>
      <c r="B15630" s="15" t="s">
        <v>30746</v>
      </c>
      <c r="C15630" s="19">
        <f>3839.15/(1+B2)</f>
        <v>3839.15</v>
      </c>
      <c r="D15630" s="17"/>
      <c r="E15630" s="17" t="s">
        <v>11</v>
      </c>
      <c r="F15630" s="18"/>
      <c r="G15630" s="36" t="str">
        <f>IF(ISNUMBER(F15630),C15630*F15630,"")</f>
        <v/>
      </c>
    </row>
    <row r="15631" spans="1:7" ht="12" customHeight="1" outlineLevel="3" x14ac:dyDescent="0.2">
      <c r="A15631" s="14" t="s">
        <v>30747</v>
      </c>
      <c r="B15631" s="15" t="s">
        <v>30748</v>
      </c>
      <c r="C15631" s="19">
        <f>3839.15/(1+B2)</f>
        <v>3839.15</v>
      </c>
      <c r="D15631" s="17"/>
      <c r="E15631" s="17" t="s">
        <v>11</v>
      </c>
      <c r="F15631" s="18"/>
      <c r="G15631" s="36" t="str">
        <f>IF(ISNUMBER(F15631),C15631*F15631,"")</f>
        <v/>
      </c>
    </row>
    <row r="15632" spans="1:7" ht="12" customHeight="1" outlineLevel="3" x14ac:dyDescent="0.2">
      <c r="A15632" s="14" t="s">
        <v>30749</v>
      </c>
      <c r="B15632" s="15" t="s">
        <v>30750</v>
      </c>
      <c r="C15632" s="19">
        <f>3839.15/(1+B2)</f>
        <v>3839.15</v>
      </c>
      <c r="D15632" s="17"/>
      <c r="E15632" s="17" t="s">
        <v>11</v>
      </c>
      <c r="F15632" s="18"/>
      <c r="G15632" s="36" t="str">
        <f>IF(ISNUMBER(F15632),C15632*F15632,"")</f>
        <v/>
      </c>
    </row>
    <row r="15633" spans="1:7" ht="12" customHeight="1" outlineLevel="3" x14ac:dyDescent="0.2">
      <c r="A15633" s="14" t="s">
        <v>30751</v>
      </c>
      <c r="B15633" s="15" t="s">
        <v>30752</v>
      </c>
      <c r="C15633" s="19">
        <f>3839.15/(1+B2)</f>
        <v>3839.15</v>
      </c>
      <c r="D15633" s="17"/>
      <c r="E15633" s="17" t="s">
        <v>11</v>
      </c>
      <c r="F15633" s="18"/>
      <c r="G15633" s="36" t="str">
        <f>IF(ISNUMBER(F15633),C15633*F15633,"")</f>
        <v/>
      </c>
    </row>
    <row r="15634" spans="1:7" ht="12" customHeight="1" outlineLevel="3" x14ac:dyDescent="0.2">
      <c r="A15634" s="14" t="s">
        <v>30753</v>
      </c>
      <c r="B15634" s="15" t="s">
        <v>30754</v>
      </c>
      <c r="C15634" s="19">
        <f>3059.12/(1+B2)</f>
        <v>3059.12</v>
      </c>
      <c r="D15634" s="17"/>
      <c r="E15634" s="17" t="s">
        <v>11</v>
      </c>
      <c r="F15634" s="18"/>
      <c r="G15634" s="36" t="str">
        <f>IF(ISNUMBER(F15634),C15634*F15634,"")</f>
        <v/>
      </c>
    </row>
    <row r="15635" spans="1:7" ht="12" customHeight="1" outlineLevel="3" x14ac:dyDescent="0.2">
      <c r="A15635" s="14" t="s">
        <v>30755</v>
      </c>
      <c r="B15635" s="15" t="s">
        <v>30756</v>
      </c>
      <c r="C15635" s="19">
        <f>3839.15/(1+B2)</f>
        <v>3839.15</v>
      </c>
      <c r="D15635" s="17" t="s">
        <v>11</v>
      </c>
      <c r="E15635" s="17"/>
      <c r="F15635" s="18"/>
      <c r="G15635" s="36" t="str">
        <f>IF(ISNUMBER(F15635),C15635*F15635,"")</f>
        <v/>
      </c>
    </row>
    <row r="15636" spans="1:7" ht="12" customHeight="1" outlineLevel="3" x14ac:dyDescent="0.2">
      <c r="A15636" s="14" t="s">
        <v>30757</v>
      </c>
      <c r="B15636" s="15" t="s">
        <v>30758</v>
      </c>
      <c r="C15636" s="19">
        <f>3839.15/(1+B2)</f>
        <v>3839.15</v>
      </c>
      <c r="D15636" s="17"/>
      <c r="E15636" s="17" t="s">
        <v>11</v>
      </c>
      <c r="F15636" s="18"/>
      <c r="G15636" s="36" t="str">
        <f>IF(ISNUMBER(F15636),C15636*F15636,"")</f>
        <v/>
      </c>
    </row>
    <row r="15637" spans="1:7" ht="12" customHeight="1" outlineLevel="3" x14ac:dyDescent="0.2">
      <c r="A15637" s="14" t="s">
        <v>30759</v>
      </c>
      <c r="B15637" s="15" t="s">
        <v>30760</v>
      </c>
      <c r="C15637" s="19">
        <f>3839.15/(1+B2)</f>
        <v>3839.15</v>
      </c>
      <c r="D15637" s="17" t="s">
        <v>11</v>
      </c>
      <c r="E15637" s="17"/>
      <c r="F15637" s="18"/>
      <c r="G15637" s="36" t="str">
        <f>IF(ISNUMBER(F15637),C15637*F15637,"")</f>
        <v/>
      </c>
    </row>
    <row r="15638" spans="1:7" ht="12" customHeight="1" outlineLevel="3" x14ac:dyDescent="0.2">
      <c r="A15638" s="14" t="s">
        <v>30761</v>
      </c>
      <c r="B15638" s="15" t="s">
        <v>30762</v>
      </c>
      <c r="C15638" s="19">
        <f>3839.15/(1+B2)</f>
        <v>3839.15</v>
      </c>
      <c r="D15638" s="17"/>
      <c r="E15638" s="17" t="s">
        <v>11</v>
      </c>
      <c r="F15638" s="18"/>
      <c r="G15638" s="36" t="str">
        <f>IF(ISNUMBER(F15638),C15638*F15638,"")</f>
        <v/>
      </c>
    </row>
    <row r="15639" spans="1:7" ht="12" customHeight="1" outlineLevel="3" x14ac:dyDescent="0.2">
      <c r="A15639" s="14" t="s">
        <v>30763</v>
      </c>
      <c r="B15639" s="15" t="s">
        <v>30764</v>
      </c>
      <c r="C15639" s="19">
        <f>3839.15/(1+B2)</f>
        <v>3839.15</v>
      </c>
      <c r="D15639" s="17" t="s">
        <v>11</v>
      </c>
      <c r="E15639" s="17"/>
      <c r="F15639" s="18"/>
      <c r="G15639" s="36" t="str">
        <f>IF(ISNUMBER(F15639),C15639*F15639,"")</f>
        <v/>
      </c>
    </row>
    <row r="15640" spans="1:7" ht="12" customHeight="1" outlineLevel="3" x14ac:dyDescent="0.2">
      <c r="A15640" s="14" t="s">
        <v>30765</v>
      </c>
      <c r="B15640" s="15" t="s">
        <v>30766</v>
      </c>
      <c r="C15640" s="19">
        <f>3839.15/(1+B2)</f>
        <v>3839.15</v>
      </c>
      <c r="D15640" s="17" t="s">
        <v>11</v>
      </c>
      <c r="E15640" s="17"/>
      <c r="F15640" s="18"/>
      <c r="G15640" s="36" t="str">
        <f>IF(ISNUMBER(F15640),C15640*F15640,"")</f>
        <v/>
      </c>
    </row>
    <row r="15641" spans="1:7" ht="12" customHeight="1" outlineLevel="3" x14ac:dyDescent="0.2">
      <c r="A15641" s="14" t="s">
        <v>30767</v>
      </c>
      <c r="B15641" s="15" t="s">
        <v>30768</v>
      </c>
      <c r="C15641" s="19">
        <f>3839.15/(1+B2)</f>
        <v>3839.15</v>
      </c>
      <c r="D15641" s="17"/>
      <c r="E15641" s="17" t="s">
        <v>11</v>
      </c>
      <c r="F15641" s="18"/>
      <c r="G15641" s="36" t="str">
        <f>IF(ISNUMBER(F15641),C15641*F15641,"")</f>
        <v/>
      </c>
    </row>
    <row r="15642" spans="1:7" ht="24" customHeight="1" outlineLevel="3" x14ac:dyDescent="0.2">
      <c r="A15642" s="14" t="s">
        <v>30769</v>
      </c>
      <c r="B15642" s="15" t="s">
        <v>30770</v>
      </c>
      <c r="C15642" s="19">
        <f>3839.15/(1+B2)</f>
        <v>3839.15</v>
      </c>
      <c r="D15642" s="17" t="s">
        <v>11</v>
      </c>
      <c r="E15642" s="17"/>
      <c r="F15642" s="18"/>
      <c r="G15642" s="36" t="str">
        <f>IF(ISNUMBER(F15642),C15642*F15642,"")</f>
        <v/>
      </c>
    </row>
    <row r="15643" spans="1:7" ht="24" customHeight="1" outlineLevel="3" x14ac:dyDescent="0.2">
      <c r="A15643" s="14" t="s">
        <v>30771</v>
      </c>
      <c r="B15643" s="15" t="s">
        <v>30772</v>
      </c>
      <c r="C15643" s="19">
        <f>3839.15/(1+B2)</f>
        <v>3839.15</v>
      </c>
      <c r="D15643" s="17"/>
      <c r="E15643" s="17" t="s">
        <v>11</v>
      </c>
      <c r="F15643" s="18"/>
      <c r="G15643" s="36" t="str">
        <f>IF(ISNUMBER(F15643),C15643*F15643,"")</f>
        <v/>
      </c>
    </row>
    <row r="15644" spans="1:7" ht="12" customHeight="1" outlineLevel="3" x14ac:dyDescent="0.2">
      <c r="A15644" s="14" t="s">
        <v>30773</v>
      </c>
      <c r="B15644" s="15" t="s">
        <v>30774</v>
      </c>
      <c r="C15644" s="19">
        <f>3839.15/(1+B2)</f>
        <v>3839.15</v>
      </c>
      <c r="D15644" s="17"/>
      <c r="E15644" s="17" t="s">
        <v>11</v>
      </c>
      <c r="F15644" s="18"/>
      <c r="G15644" s="36" t="str">
        <f>IF(ISNUMBER(F15644),C15644*F15644,"")</f>
        <v/>
      </c>
    </row>
    <row r="15645" spans="1:7" ht="24" customHeight="1" outlineLevel="3" x14ac:dyDescent="0.2">
      <c r="A15645" s="14" t="s">
        <v>30775</v>
      </c>
      <c r="B15645" s="15" t="s">
        <v>30776</v>
      </c>
      <c r="C15645" s="19">
        <f>3839.15/(1+B2)</f>
        <v>3839.15</v>
      </c>
      <c r="D15645" s="17"/>
      <c r="E15645" s="17" t="s">
        <v>11</v>
      </c>
      <c r="F15645" s="18"/>
      <c r="G15645" s="36" t="str">
        <f>IF(ISNUMBER(F15645),C15645*F15645,"")</f>
        <v/>
      </c>
    </row>
    <row r="15646" spans="1:7" ht="12" customHeight="1" outlineLevel="3" x14ac:dyDescent="0.2">
      <c r="A15646" s="14" t="s">
        <v>30777</v>
      </c>
      <c r="B15646" s="15" t="s">
        <v>30778</v>
      </c>
      <c r="C15646" s="19">
        <f>3839.15/(1+B2)</f>
        <v>3839.15</v>
      </c>
      <c r="D15646" s="17" t="s">
        <v>11</v>
      </c>
      <c r="E15646" s="17"/>
      <c r="F15646" s="18"/>
      <c r="G15646" s="36" t="str">
        <f>IF(ISNUMBER(F15646),C15646*F15646,"")</f>
        <v/>
      </c>
    </row>
    <row r="15647" spans="1:7" ht="12" customHeight="1" outlineLevel="3" x14ac:dyDescent="0.2">
      <c r="A15647" s="14" t="s">
        <v>30779</v>
      </c>
      <c r="B15647" s="15" t="s">
        <v>30780</v>
      </c>
      <c r="C15647" s="19">
        <f>3839.15/(1+B2)</f>
        <v>3839.15</v>
      </c>
      <c r="D15647" s="17" t="s">
        <v>11</v>
      </c>
      <c r="E15647" s="17"/>
      <c r="F15647" s="18"/>
      <c r="G15647" s="36" t="str">
        <f>IF(ISNUMBER(F15647),C15647*F15647,"")</f>
        <v/>
      </c>
    </row>
    <row r="15648" spans="1:7" ht="24" customHeight="1" outlineLevel="3" x14ac:dyDescent="0.2">
      <c r="A15648" s="14" t="s">
        <v>30781</v>
      </c>
      <c r="B15648" s="15" t="s">
        <v>30782</v>
      </c>
      <c r="C15648" s="19">
        <f>3839.15/(1+B2)</f>
        <v>3839.15</v>
      </c>
      <c r="D15648" s="17"/>
      <c r="E15648" s="17" t="s">
        <v>11</v>
      </c>
      <c r="F15648" s="18"/>
      <c r="G15648" s="36" t="str">
        <f>IF(ISNUMBER(F15648),C15648*F15648,"")</f>
        <v/>
      </c>
    </row>
    <row r="15649" spans="1:7" ht="12" customHeight="1" outlineLevel="3" x14ac:dyDescent="0.2">
      <c r="A15649" s="14" t="s">
        <v>30783</v>
      </c>
      <c r="B15649" s="15" t="s">
        <v>30784</v>
      </c>
      <c r="C15649" s="19">
        <f>3839.15/(1+B2)</f>
        <v>3839.15</v>
      </c>
      <c r="D15649" s="17"/>
      <c r="E15649" s="17" t="s">
        <v>11</v>
      </c>
      <c r="F15649" s="18"/>
      <c r="G15649" s="36" t="str">
        <f>IF(ISNUMBER(F15649),C15649*F15649,"")</f>
        <v/>
      </c>
    </row>
    <row r="15650" spans="1:7" ht="12" customHeight="1" outlineLevel="3" x14ac:dyDescent="0.2">
      <c r="A15650" s="14" t="s">
        <v>30785</v>
      </c>
      <c r="B15650" s="15" t="s">
        <v>30786</v>
      </c>
      <c r="C15650" s="19">
        <f>3839.15/(1+B2)</f>
        <v>3839.15</v>
      </c>
      <c r="D15650" s="17" t="s">
        <v>11</v>
      </c>
      <c r="E15650" s="17"/>
      <c r="F15650" s="18"/>
      <c r="G15650" s="36" t="str">
        <f>IF(ISNUMBER(F15650),C15650*F15650,"")</f>
        <v/>
      </c>
    </row>
    <row r="15651" spans="1:7" ht="12" customHeight="1" outlineLevel="3" x14ac:dyDescent="0.2">
      <c r="A15651" s="14" t="s">
        <v>30787</v>
      </c>
      <c r="B15651" s="15" t="s">
        <v>30788</v>
      </c>
      <c r="C15651" s="19">
        <f>3839.15/(1+B2)</f>
        <v>3839.15</v>
      </c>
      <c r="D15651" s="17" t="s">
        <v>11</v>
      </c>
      <c r="E15651" s="17"/>
      <c r="F15651" s="18"/>
      <c r="G15651" s="36" t="str">
        <f>IF(ISNUMBER(F15651),C15651*F15651,"")</f>
        <v/>
      </c>
    </row>
    <row r="15652" spans="1:7" ht="12" customHeight="1" outlineLevel="3" x14ac:dyDescent="0.2">
      <c r="A15652" s="14" t="s">
        <v>30789</v>
      </c>
      <c r="B15652" s="15" t="s">
        <v>30790</v>
      </c>
      <c r="C15652" s="19">
        <f>3839.15/(1+B2)</f>
        <v>3839.15</v>
      </c>
      <c r="D15652" s="17" t="s">
        <v>11</v>
      </c>
      <c r="E15652" s="17"/>
      <c r="F15652" s="18"/>
      <c r="G15652" s="36" t="str">
        <f>IF(ISNUMBER(F15652),C15652*F15652,"")</f>
        <v/>
      </c>
    </row>
    <row r="15653" spans="1:7" ht="12" customHeight="1" outlineLevel="3" x14ac:dyDescent="0.2">
      <c r="A15653" s="14" t="s">
        <v>30791</v>
      </c>
      <c r="B15653" s="15" t="s">
        <v>30792</v>
      </c>
      <c r="C15653" s="19">
        <f>3839.15/(1+B2)</f>
        <v>3839.15</v>
      </c>
      <c r="D15653" s="17"/>
      <c r="E15653" s="17" t="s">
        <v>11</v>
      </c>
      <c r="F15653" s="18"/>
      <c r="G15653" s="36" t="str">
        <f>IF(ISNUMBER(F15653),C15653*F15653,"")</f>
        <v/>
      </c>
    </row>
    <row r="15654" spans="1:7" ht="12" customHeight="1" outlineLevel="3" x14ac:dyDescent="0.2">
      <c r="A15654" s="14" t="s">
        <v>30793</v>
      </c>
      <c r="B15654" s="15" t="s">
        <v>30794</v>
      </c>
      <c r="C15654" s="19">
        <f>3839.15/(1+B2)</f>
        <v>3839.15</v>
      </c>
      <c r="D15654" s="17" t="s">
        <v>11</v>
      </c>
      <c r="E15654" s="17"/>
      <c r="F15654" s="18"/>
      <c r="G15654" s="36" t="str">
        <f>IF(ISNUMBER(F15654),C15654*F15654,"")</f>
        <v/>
      </c>
    </row>
    <row r="15655" spans="1:7" ht="12" customHeight="1" outlineLevel="3" x14ac:dyDescent="0.2">
      <c r="A15655" s="14" t="s">
        <v>30795</v>
      </c>
      <c r="B15655" s="15" t="s">
        <v>30796</v>
      </c>
      <c r="C15655" s="19">
        <f>3839.15/(1+B2)</f>
        <v>3839.15</v>
      </c>
      <c r="D15655" s="17" t="s">
        <v>11</v>
      </c>
      <c r="E15655" s="17"/>
      <c r="F15655" s="18"/>
      <c r="G15655" s="36" t="str">
        <f>IF(ISNUMBER(F15655),C15655*F15655,"")</f>
        <v/>
      </c>
    </row>
    <row r="15656" spans="1:7" ht="12" customHeight="1" outlineLevel="3" x14ac:dyDescent="0.2">
      <c r="A15656" s="14" t="s">
        <v>30797</v>
      </c>
      <c r="B15656" s="15" t="s">
        <v>30798</v>
      </c>
      <c r="C15656" s="19">
        <f>3839.15/(1+B2)</f>
        <v>3839.15</v>
      </c>
      <c r="D15656" s="17"/>
      <c r="E15656" s="17" t="s">
        <v>11</v>
      </c>
      <c r="F15656" s="18"/>
      <c r="G15656" s="36" t="str">
        <f>IF(ISNUMBER(F15656),C15656*F15656,"")</f>
        <v/>
      </c>
    </row>
    <row r="15657" spans="1:7" ht="12" customHeight="1" outlineLevel="3" x14ac:dyDescent="0.2">
      <c r="A15657" s="14" t="s">
        <v>30799</v>
      </c>
      <c r="B15657" s="15" t="s">
        <v>30800</v>
      </c>
      <c r="C15657" s="19">
        <f>3059.12/(1+B2)</f>
        <v>3059.12</v>
      </c>
      <c r="D15657" s="17" t="s">
        <v>11</v>
      </c>
      <c r="E15657" s="17"/>
      <c r="F15657" s="18"/>
      <c r="G15657" s="36" t="str">
        <f>IF(ISNUMBER(F15657),C15657*F15657,"")</f>
        <v/>
      </c>
    </row>
    <row r="15658" spans="1:7" ht="12" customHeight="1" outlineLevel="3" x14ac:dyDescent="0.2">
      <c r="A15658" s="14" t="s">
        <v>30801</v>
      </c>
      <c r="B15658" s="15" t="s">
        <v>30802</v>
      </c>
      <c r="C15658" s="19">
        <f>3839.15/(1+B2)</f>
        <v>3839.15</v>
      </c>
      <c r="D15658" s="17" t="s">
        <v>11</v>
      </c>
      <c r="E15658" s="17"/>
      <c r="F15658" s="18"/>
      <c r="G15658" s="36" t="str">
        <f>IF(ISNUMBER(F15658),C15658*F15658,"")</f>
        <v/>
      </c>
    </row>
    <row r="15659" spans="1:7" ht="12" customHeight="1" outlineLevel="3" x14ac:dyDescent="0.2">
      <c r="A15659" s="14" t="s">
        <v>30803</v>
      </c>
      <c r="B15659" s="15" t="s">
        <v>30804</v>
      </c>
      <c r="C15659" s="19">
        <f>3839.15/(1+B2)</f>
        <v>3839.15</v>
      </c>
      <c r="D15659" s="17" t="s">
        <v>11</v>
      </c>
      <c r="E15659" s="17"/>
      <c r="F15659" s="18"/>
      <c r="G15659" s="36" t="str">
        <f>IF(ISNUMBER(F15659),C15659*F15659,"")</f>
        <v/>
      </c>
    </row>
    <row r="15660" spans="1:7" ht="12" customHeight="1" outlineLevel="3" x14ac:dyDescent="0.2">
      <c r="A15660" s="14" t="s">
        <v>30805</v>
      </c>
      <c r="B15660" s="15" t="s">
        <v>30806</v>
      </c>
      <c r="C15660" s="19">
        <f>3839.15/(1+B2)</f>
        <v>3839.15</v>
      </c>
      <c r="D15660" s="17"/>
      <c r="E15660" s="17" t="s">
        <v>11</v>
      </c>
      <c r="F15660" s="18"/>
      <c r="G15660" s="36" t="str">
        <f>IF(ISNUMBER(F15660),C15660*F15660,"")</f>
        <v/>
      </c>
    </row>
    <row r="15661" spans="1:7" ht="24" customHeight="1" outlineLevel="3" x14ac:dyDescent="0.2">
      <c r="A15661" s="14" t="s">
        <v>30807</v>
      </c>
      <c r="B15661" s="15" t="s">
        <v>30808</v>
      </c>
      <c r="C15661" s="19">
        <f>3839.15/(1+B2)</f>
        <v>3839.15</v>
      </c>
      <c r="D15661" s="17"/>
      <c r="E15661" s="17" t="s">
        <v>11</v>
      </c>
      <c r="F15661" s="18"/>
      <c r="G15661" s="36" t="str">
        <f>IF(ISNUMBER(F15661),C15661*F15661,"")</f>
        <v/>
      </c>
    </row>
    <row r="15662" spans="1:7" ht="24" customHeight="1" outlineLevel="3" x14ac:dyDescent="0.2">
      <c r="A15662" s="14" t="s">
        <v>30809</v>
      </c>
      <c r="B15662" s="15" t="s">
        <v>30810</v>
      </c>
      <c r="C15662" s="19">
        <f>3839.15/(1+B2)</f>
        <v>3839.15</v>
      </c>
      <c r="D15662" s="17" t="s">
        <v>11</v>
      </c>
      <c r="E15662" s="17"/>
      <c r="F15662" s="18"/>
      <c r="G15662" s="36" t="str">
        <f>IF(ISNUMBER(F15662),C15662*F15662,"")</f>
        <v/>
      </c>
    </row>
    <row r="15663" spans="1:7" ht="12" customHeight="1" outlineLevel="3" x14ac:dyDescent="0.2">
      <c r="A15663" s="14" t="s">
        <v>30811</v>
      </c>
      <c r="B15663" s="15" t="s">
        <v>30812</v>
      </c>
      <c r="C15663" s="19">
        <f>3839.15/(1+B2)</f>
        <v>3839.15</v>
      </c>
      <c r="D15663" s="17" t="s">
        <v>11</v>
      </c>
      <c r="E15663" s="17"/>
      <c r="F15663" s="18"/>
      <c r="G15663" s="36" t="str">
        <f>IF(ISNUMBER(F15663),C15663*F15663,"")</f>
        <v/>
      </c>
    </row>
    <row r="15664" spans="1:7" ht="12" customHeight="1" outlineLevel="3" x14ac:dyDescent="0.2">
      <c r="A15664" s="14" t="s">
        <v>30813</v>
      </c>
      <c r="B15664" s="15" t="s">
        <v>30814</v>
      </c>
      <c r="C15664" s="19">
        <f>3839.15/(1+B2)</f>
        <v>3839.15</v>
      </c>
      <c r="D15664" s="17"/>
      <c r="E15664" s="17" t="s">
        <v>11</v>
      </c>
      <c r="F15664" s="18"/>
      <c r="G15664" s="36" t="str">
        <f>IF(ISNUMBER(F15664),C15664*F15664,"")</f>
        <v/>
      </c>
    </row>
    <row r="15665" spans="1:7" ht="12" customHeight="1" outlineLevel="3" x14ac:dyDescent="0.2">
      <c r="A15665" s="14" t="s">
        <v>30815</v>
      </c>
      <c r="B15665" s="15" t="s">
        <v>30816</v>
      </c>
      <c r="C15665" s="19">
        <f>3839.15/(1+B2)</f>
        <v>3839.15</v>
      </c>
      <c r="D15665" s="17"/>
      <c r="E15665" s="17" t="s">
        <v>11</v>
      </c>
      <c r="F15665" s="18"/>
      <c r="G15665" s="36" t="str">
        <f>IF(ISNUMBER(F15665),C15665*F15665,"")</f>
        <v/>
      </c>
    </row>
    <row r="15666" spans="1:7" ht="12" customHeight="1" outlineLevel="3" x14ac:dyDescent="0.2">
      <c r="A15666" s="14" t="s">
        <v>30817</v>
      </c>
      <c r="B15666" s="15" t="s">
        <v>30818</v>
      </c>
      <c r="C15666" s="19">
        <f>3839.15/(1+B2)</f>
        <v>3839.15</v>
      </c>
      <c r="D15666" s="17"/>
      <c r="E15666" s="17" t="s">
        <v>11</v>
      </c>
      <c r="F15666" s="18"/>
      <c r="G15666" s="36" t="str">
        <f>IF(ISNUMBER(F15666),C15666*F15666,"")</f>
        <v/>
      </c>
    </row>
    <row r="15667" spans="1:7" ht="24" customHeight="1" outlineLevel="3" x14ac:dyDescent="0.2">
      <c r="A15667" s="14" t="s">
        <v>30819</v>
      </c>
      <c r="B15667" s="15" t="s">
        <v>30820</v>
      </c>
      <c r="C15667" s="19">
        <f>3839.15/(1+B2)</f>
        <v>3839.15</v>
      </c>
      <c r="D15667" s="17" t="s">
        <v>11</v>
      </c>
      <c r="E15667" s="17"/>
      <c r="F15667" s="18"/>
      <c r="G15667" s="36" t="str">
        <f>IF(ISNUMBER(F15667),C15667*F15667,"")</f>
        <v/>
      </c>
    </row>
    <row r="15668" spans="1:7" ht="24" customHeight="1" outlineLevel="3" x14ac:dyDescent="0.2">
      <c r="A15668" s="14" t="s">
        <v>30821</v>
      </c>
      <c r="B15668" s="15" t="s">
        <v>30822</v>
      </c>
      <c r="C15668" s="19">
        <f>3839.15/(1+B2)</f>
        <v>3839.15</v>
      </c>
      <c r="D15668" s="17"/>
      <c r="E15668" s="17" t="s">
        <v>11</v>
      </c>
      <c r="F15668" s="18"/>
      <c r="G15668" s="36" t="str">
        <f>IF(ISNUMBER(F15668),C15668*F15668,"")</f>
        <v/>
      </c>
    </row>
    <row r="15669" spans="1:7" ht="24" customHeight="1" outlineLevel="3" x14ac:dyDescent="0.2">
      <c r="A15669" s="14" t="s">
        <v>30823</v>
      </c>
      <c r="B15669" s="15" t="s">
        <v>30824</v>
      </c>
      <c r="C15669" s="19">
        <f>3839.15/(1+B2)</f>
        <v>3839.15</v>
      </c>
      <c r="D15669" s="17"/>
      <c r="E15669" s="17" t="s">
        <v>11</v>
      </c>
      <c r="F15669" s="18"/>
      <c r="G15669" s="36" t="str">
        <f>IF(ISNUMBER(F15669),C15669*F15669,"")</f>
        <v/>
      </c>
    </row>
    <row r="15670" spans="1:7" ht="12" customHeight="1" outlineLevel="3" x14ac:dyDescent="0.2">
      <c r="A15670" s="14" t="s">
        <v>30825</v>
      </c>
      <c r="B15670" s="15" t="s">
        <v>30826</v>
      </c>
      <c r="C15670" s="19">
        <f>3839.15/(1+B2)</f>
        <v>3839.15</v>
      </c>
      <c r="D15670" s="17"/>
      <c r="E15670" s="17" t="s">
        <v>11</v>
      </c>
      <c r="F15670" s="18"/>
      <c r="G15670" s="36" t="str">
        <f>IF(ISNUMBER(F15670),C15670*F15670,"")</f>
        <v/>
      </c>
    </row>
    <row r="15671" spans="1:7" ht="12" customHeight="1" outlineLevel="3" x14ac:dyDescent="0.2">
      <c r="A15671" s="14" t="s">
        <v>30827</v>
      </c>
      <c r="B15671" s="15" t="s">
        <v>30828</v>
      </c>
      <c r="C15671" s="19">
        <f>3839.15/(1+B2)</f>
        <v>3839.15</v>
      </c>
      <c r="D15671" s="17"/>
      <c r="E15671" s="17" t="s">
        <v>11</v>
      </c>
      <c r="F15671" s="18"/>
      <c r="G15671" s="36" t="str">
        <f>IF(ISNUMBER(F15671),C15671*F15671,"")</f>
        <v/>
      </c>
    </row>
    <row r="15672" spans="1:7" ht="12" customHeight="1" outlineLevel="3" x14ac:dyDescent="0.2">
      <c r="A15672" s="14" t="s">
        <v>30829</v>
      </c>
      <c r="B15672" s="15" t="s">
        <v>30830</v>
      </c>
      <c r="C15672" s="19">
        <f>3839.15/(1+B2)</f>
        <v>3839.15</v>
      </c>
      <c r="D15672" s="17"/>
      <c r="E15672" s="17" t="s">
        <v>11</v>
      </c>
      <c r="F15672" s="18"/>
      <c r="G15672" s="36" t="str">
        <f>IF(ISNUMBER(F15672),C15672*F15672,"")</f>
        <v/>
      </c>
    </row>
    <row r="15673" spans="1:7" ht="12" customHeight="1" outlineLevel="3" x14ac:dyDescent="0.2">
      <c r="A15673" s="14" t="s">
        <v>30831</v>
      </c>
      <c r="B15673" s="15" t="s">
        <v>30832</v>
      </c>
      <c r="C15673" s="19">
        <f>3839.15/(1+B2)</f>
        <v>3839.15</v>
      </c>
      <c r="D15673" s="17" t="s">
        <v>11</v>
      </c>
      <c r="E15673" s="17"/>
      <c r="F15673" s="18"/>
      <c r="G15673" s="36" t="str">
        <f>IF(ISNUMBER(F15673),C15673*F15673,"")</f>
        <v/>
      </c>
    </row>
    <row r="15674" spans="1:7" ht="12" customHeight="1" outlineLevel="3" x14ac:dyDescent="0.2">
      <c r="A15674" s="14" t="s">
        <v>30833</v>
      </c>
      <c r="B15674" s="15" t="s">
        <v>30834</v>
      </c>
      <c r="C15674" s="19">
        <f>3839.15/(1+B2)</f>
        <v>3839.15</v>
      </c>
      <c r="D15674" s="17" t="s">
        <v>11</v>
      </c>
      <c r="E15674" s="17"/>
      <c r="F15674" s="18"/>
      <c r="G15674" s="36" t="str">
        <f>IF(ISNUMBER(F15674),C15674*F15674,"")</f>
        <v/>
      </c>
    </row>
    <row r="15675" spans="1:7" s="1" customFormat="1" ht="15.95" customHeight="1" outlineLevel="1" x14ac:dyDescent="0.25">
      <c r="A15675" s="11"/>
      <c r="B15675" s="12" t="s">
        <v>30835</v>
      </c>
      <c r="C15675" s="13"/>
      <c r="D15675" s="13"/>
      <c r="E15675" s="13"/>
      <c r="F15675" s="13"/>
      <c r="G15675" s="35"/>
    </row>
    <row r="15676" spans="1:7" ht="12" customHeight="1" outlineLevel="2" x14ac:dyDescent="0.2">
      <c r="A15676" s="14" t="s">
        <v>30836</v>
      </c>
      <c r="B15676" s="15" t="s">
        <v>30837</v>
      </c>
      <c r="C15676" s="19">
        <f>7000.57/(1+B2)</f>
        <v>7000.57</v>
      </c>
      <c r="D15676" s="17" t="s">
        <v>11</v>
      </c>
      <c r="E15676" s="17"/>
      <c r="F15676" s="18"/>
      <c r="G15676" s="36" t="str">
        <f>IF(ISNUMBER(F15676),C15676*F15676,"")</f>
        <v/>
      </c>
    </row>
    <row r="15677" spans="1:7" ht="12" customHeight="1" outlineLevel="2" x14ac:dyDescent="0.2">
      <c r="A15677" s="14" t="s">
        <v>30838</v>
      </c>
      <c r="B15677" s="15" t="s">
        <v>30839</v>
      </c>
      <c r="C15677" s="19">
        <f>6321.69/(1+B2)</f>
        <v>6321.69</v>
      </c>
      <c r="D15677" s="17" t="s">
        <v>11</v>
      </c>
      <c r="E15677" s="17"/>
      <c r="F15677" s="18"/>
      <c r="G15677" s="36" t="str">
        <f>IF(ISNUMBER(F15677),C15677*F15677,"")</f>
        <v/>
      </c>
    </row>
    <row r="15678" spans="1:7" ht="12" customHeight="1" outlineLevel="2" x14ac:dyDescent="0.2">
      <c r="A15678" s="14" t="s">
        <v>30840</v>
      </c>
      <c r="B15678" s="15" t="s">
        <v>30841</v>
      </c>
      <c r="C15678" s="19">
        <f>11938.78/(1+B2)</f>
        <v>11938.78</v>
      </c>
      <c r="D15678" s="17" t="s">
        <v>11</v>
      </c>
      <c r="E15678" s="17"/>
      <c r="F15678" s="18"/>
      <c r="G15678" s="36" t="str">
        <f>IF(ISNUMBER(F15678),C15678*F15678,"")</f>
        <v/>
      </c>
    </row>
    <row r="15679" spans="1:7" ht="12" customHeight="1" outlineLevel="2" x14ac:dyDescent="0.2">
      <c r="A15679" s="14" t="s">
        <v>30842</v>
      </c>
      <c r="B15679" s="15" t="s">
        <v>30843</v>
      </c>
      <c r="C15679" s="19">
        <f>12101.83/(1+B2)</f>
        <v>12101.83</v>
      </c>
      <c r="D15679" s="17" t="s">
        <v>11</v>
      </c>
      <c r="E15679" s="17"/>
      <c r="F15679" s="18"/>
      <c r="G15679" s="36" t="str">
        <f>IF(ISNUMBER(F15679),C15679*F15679,"")</f>
        <v/>
      </c>
    </row>
    <row r="15680" spans="1:7" ht="12" customHeight="1" outlineLevel="2" x14ac:dyDescent="0.2">
      <c r="A15680" s="14" t="s">
        <v>30844</v>
      </c>
      <c r="B15680" s="15" t="s">
        <v>30845</v>
      </c>
      <c r="C15680" s="19">
        <f>3610/(1+B2)</f>
        <v>3610</v>
      </c>
      <c r="D15680" s="17"/>
      <c r="E15680" s="17" t="s">
        <v>11</v>
      </c>
      <c r="F15680" s="18"/>
      <c r="G15680" s="36" t="str">
        <f>IF(ISNUMBER(F15680),C15680*F15680,"")</f>
        <v/>
      </c>
    </row>
    <row r="15681" spans="1:7" ht="24" customHeight="1" outlineLevel="2" x14ac:dyDescent="0.2">
      <c r="A15681" s="14" t="s">
        <v>30846</v>
      </c>
      <c r="B15681" s="15" t="s">
        <v>30847</v>
      </c>
      <c r="C15681" s="19">
        <f>5605/(1+B2)</f>
        <v>5605</v>
      </c>
      <c r="D15681" s="17"/>
      <c r="E15681" s="17" t="s">
        <v>11</v>
      </c>
      <c r="F15681" s="18"/>
      <c r="G15681" s="36" t="str">
        <f>IF(ISNUMBER(F15681),C15681*F15681,"")</f>
        <v/>
      </c>
    </row>
    <row r="15682" spans="1:7" ht="24" customHeight="1" outlineLevel="2" x14ac:dyDescent="0.2">
      <c r="A15682" s="14" t="s">
        <v>30848</v>
      </c>
      <c r="B15682" s="15" t="s">
        <v>30849</v>
      </c>
      <c r="C15682" s="19">
        <f>5605/(1+B2)</f>
        <v>5605</v>
      </c>
      <c r="D15682" s="17"/>
      <c r="E15682" s="17" t="s">
        <v>11</v>
      </c>
      <c r="F15682" s="18"/>
      <c r="G15682" s="36" t="str">
        <f>IF(ISNUMBER(F15682),C15682*F15682,"")</f>
        <v/>
      </c>
    </row>
    <row r="15683" spans="1:7" ht="24" customHeight="1" outlineLevel="2" x14ac:dyDescent="0.2">
      <c r="A15683" s="14" t="s">
        <v>30850</v>
      </c>
      <c r="B15683" s="15" t="s">
        <v>30851</v>
      </c>
      <c r="C15683" s="19">
        <f>5605/(1+B2)</f>
        <v>5605</v>
      </c>
      <c r="D15683" s="17"/>
      <c r="E15683" s="17" t="s">
        <v>11</v>
      </c>
      <c r="F15683" s="18"/>
      <c r="G15683" s="36" t="str">
        <f>IF(ISNUMBER(F15683),C15683*F15683,"")</f>
        <v/>
      </c>
    </row>
    <row r="15684" spans="1:7" ht="24" customHeight="1" outlineLevel="2" x14ac:dyDescent="0.2">
      <c r="A15684" s="14" t="s">
        <v>30852</v>
      </c>
      <c r="B15684" s="15" t="s">
        <v>30853</v>
      </c>
      <c r="C15684" s="19">
        <f>5605/(1+B2)</f>
        <v>5605</v>
      </c>
      <c r="D15684" s="17"/>
      <c r="E15684" s="17" t="s">
        <v>11</v>
      </c>
      <c r="F15684" s="18"/>
      <c r="G15684" s="36" t="str">
        <f>IF(ISNUMBER(F15684),C15684*F15684,"")</f>
        <v/>
      </c>
    </row>
    <row r="15685" spans="1:7" ht="24" customHeight="1" outlineLevel="2" x14ac:dyDescent="0.2">
      <c r="A15685" s="14" t="s">
        <v>30854</v>
      </c>
      <c r="B15685" s="15" t="s">
        <v>30855</v>
      </c>
      <c r="C15685" s="19">
        <f>5605/(1+B2)</f>
        <v>5605</v>
      </c>
      <c r="D15685" s="17" t="s">
        <v>11</v>
      </c>
      <c r="E15685" s="17" t="s">
        <v>11</v>
      </c>
      <c r="F15685" s="18"/>
      <c r="G15685" s="36" t="str">
        <f>IF(ISNUMBER(F15685),C15685*F15685,"")</f>
        <v/>
      </c>
    </row>
    <row r="15686" spans="1:7" ht="24" customHeight="1" outlineLevel="2" x14ac:dyDescent="0.2">
      <c r="A15686" s="14" t="s">
        <v>30856</v>
      </c>
      <c r="B15686" s="15" t="s">
        <v>30857</v>
      </c>
      <c r="C15686" s="19">
        <f>5605/(1+B2)</f>
        <v>5605</v>
      </c>
      <c r="D15686" s="17"/>
      <c r="E15686" s="17" t="s">
        <v>11</v>
      </c>
      <c r="F15686" s="18"/>
      <c r="G15686" s="36" t="str">
        <f>IF(ISNUMBER(F15686),C15686*F15686,"")</f>
        <v/>
      </c>
    </row>
    <row r="15687" spans="1:7" ht="24" customHeight="1" outlineLevel="2" x14ac:dyDescent="0.2">
      <c r="A15687" s="14" t="s">
        <v>30858</v>
      </c>
      <c r="B15687" s="15" t="s">
        <v>30859</v>
      </c>
      <c r="C15687" s="19">
        <f>5605/(1+B2)</f>
        <v>5605</v>
      </c>
      <c r="D15687" s="17"/>
      <c r="E15687" s="17" t="s">
        <v>11</v>
      </c>
      <c r="F15687" s="18"/>
      <c r="G15687" s="36" t="str">
        <f>IF(ISNUMBER(F15687),C15687*F15687,"")</f>
        <v/>
      </c>
    </row>
    <row r="15688" spans="1:7" ht="24" customHeight="1" outlineLevel="2" x14ac:dyDescent="0.2">
      <c r="A15688" s="14" t="s">
        <v>30860</v>
      </c>
      <c r="B15688" s="15" t="s">
        <v>30861</v>
      </c>
      <c r="C15688" s="19">
        <f>5605/(1+B2)</f>
        <v>5605</v>
      </c>
      <c r="D15688" s="17"/>
      <c r="E15688" s="17" t="s">
        <v>11</v>
      </c>
      <c r="F15688" s="18"/>
      <c r="G15688" s="36" t="str">
        <f>IF(ISNUMBER(F15688),C15688*F15688,"")</f>
        <v/>
      </c>
    </row>
    <row r="15689" spans="1:7" ht="24" customHeight="1" outlineLevel="2" x14ac:dyDescent="0.2">
      <c r="A15689" s="14" t="s">
        <v>30862</v>
      </c>
      <c r="B15689" s="15" t="s">
        <v>30863</v>
      </c>
      <c r="C15689" s="19">
        <f>5605/(1+B2)</f>
        <v>5605</v>
      </c>
      <c r="D15689" s="17"/>
      <c r="E15689" s="17" t="s">
        <v>11</v>
      </c>
      <c r="F15689" s="18"/>
      <c r="G15689" s="36" t="str">
        <f>IF(ISNUMBER(F15689),C15689*F15689,"")</f>
        <v/>
      </c>
    </row>
    <row r="15690" spans="1:7" ht="12" customHeight="1" outlineLevel="2" x14ac:dyDescent="0.2">
      <c r="A15690" s="14" t="s">
        <v>30864</v>
      </c>
      <c r="B15690" s="15" t="s">
        <v>30865</v>
      </c>
      <c r="C15690" s="19">
        <f>5605/(1+B2)</f>
        <v>5605</v>
      </c>
      <c r="D15690" s="17"/>
      <c r="E15690" s="17" t="s">
        <v>11</v>
      </c>
      <c r="F15690" s="18"/>
      <c r="G15690" s="36" t="str">
        <f>IF(ISNUMBER(F15690),C15690*F15690,"")</f>
        <v/>
      </c>
    </row>
    <row r="15691" spans="1:7" ht="24" customHeight="1" outlineLevel="2" x14ac:dyDescent="0.2">
      <c r="A15691" s="14" t="s">
        <v>30866</v>
      </c>
      <c r="B15691" s="15" t="s">
        <v>30867</v>
      </c>
      <c r="C15691" s="19">
        <f>5605/(1+B2)</f>
        <v>5605</v>
      </c>
      <c r="D15691" s="17"/>
      <c r="E15691" s="17" t="s">
        <v>11</v>
      </c>
      <c r="F15691" s="18"/>
      <c r="G15691" s="36" t="str">
        <f>IF(ISNUMBER(F15691),C15691*F15691,"")</f>
        <v/>
      </c>
    </row>
    <row r="15692" spans="1:7" ht="12" customHeight="1" outlineLevel="2" x14ac:dyDescent="0.2">
      <c r="A15692" s="14" t="s">
        <v>30868</v>
      </c>
      <c r="B15692" s="15" t="s">
        <v>30869</v>
      </c>
      <c r="C15692" s="19">
        <f>4785.63/(1+B2)</f>
        <v>4785.63</v>
      </c>
      <c r="D15692" s="17"/>
      <c r="E15692" s="17" t="s">
        <v>11</v>
      </c>
      <c r="F15692" s="18"/>
      <c r="G15692" s="36" t="str">
        <f>IF(ISNUMBER(F15692),C15692*F15692,"")</f>
        <v/>
      </c>
    </row>
    <row r="15693" spans="1:7" ht="12" customHeight="1" outlineLevel="2" x14ac:dyDescent="0.2">
      <c r="A15693" s="14" t="s">
        <v>30870</v>
      </c>
      <c r="B15693" s="15" t="s">
        <v>30871</v>
      </c>
      <c r="C15693" s="19">
        <f>9963.13/(1+B2)</f>
        <v>9963.1299999999992</v>
      </c>
      <c r="D15693" s="17"/>
      <c r="E15693" s="17" t="s">
        <v>11</v>
      </c>
      <c r="F15693" s="18"/>
      <c r="G15693" s="36" t="str">
        <f>IF(ISNUMBER(F15693),C15693*F15693,"")</f>
        <v/>
      </c>
    </row>
    <row r="15694" spans="1:7" ht="12" customHeight="1" outlineLevel="2" x14ac:dyDescent="0.2">
      <c r="A15694" s="14" t="s">
        <v>30872</v>
      </c>
      <c r="B15694" s="15" t="s">
        <v>30873</v>
      </c>
      <c r="C15694" s="19">
        <f>5605/(1+B2)</f>
        <v>5605</v>
      </c>
      <c r="D15694" s="17" t="s">
        <v>11</v>
      </c>
      <c r="E15694" s="17" t="s">
        <v>11</v>
      </c>
      <c r="F15694" s="18"/>
      <c r="G15694" s="36" t="str">
        <f>IF(ISNUMBER(F15694),C15694*F15694,"")</f>
        <v/>
      </c>
    </row>
    <row r="15695" spans="1:7" ht="12" customHeight="1" outlineLevel="2" x14ac:dyDescent="0.2">
      <c r="A15695" s="14" t="s">
        <v>30874</v>
      </c>
      <c r="B15695" s="15" t="s">
        <v>30875</v>
      </c>
      <c r="C15695" s="19">
        <f>5605/(1+B2)</f>
        <v>5605</v>
      </c>
      <c r="D15695" s="17"/>
      <c r="E15695" s="17" t="s">
        <v>11</v>
      </c>
      <c r="F15695" s="18"/>
      <c r="G15695" s="36" t="str">
        <f>IF(ISNUMBER(F15695),C15695*F15695,"")</f>
        <v/>
      </c>
    </row>
    <row r="15696" spans="1:7" ht="12" customHeight="1" outlineLevel="2" x14ac:dyDescent="0.2">
      <c r="A15696" s="14" t="s">
        <v>30876</v>
      </c>
      <c r="B15696" s="15" t="s">
        <v>30877</v>
      </c>
      <c r="C15696" s="19">
        <f>5605/(1+B2)</f>
        <v>5605</v>
      </c>
      <c r="D15696" s="17" t="s">
        <v>11</v>
      </c>
      <c r="E15696" s="17" t="s">
        <v>11</v>
      </c>
      <c r="F15696" s="18"/>
      <c r="G15696" s="36" t="str">
        <f>IF(ISNUMBER(F15696),C15696*F15696,"")</f>
        <v/>
      </c>
    </row>
    <row r="15697" spans="1:7" ht="24" customHeight="1" outlineLevel="2" x14ac:dyDescent="0.2">
      <c r="A15697" s="14" t="s">
        <v>30878</v>
      </c>
      <c r="B15697" s="15" t="s">
        <v>30879</v>
      </c>
      <c r="C15697" s="19">
        <f>5605/(1+B2)</f>
        <v>5605</v>
      </c>
      <c r="D15697" s="17"/>
      <c r="E15697" s="17" t="s">
        <v>11</v>
      </c>
      <c r="F15697" s="18"/>
      <c r="G15697" s="36" t="str">
        <f>IF(ISNUMBER(F15697),C15697*F15697,"")</f>
        <v/>
      </c>
    </row>
    <row r="15698" spans="1:7" ht="24" customHeight="1" outlineLevel="2" x14ac:dyDescent="0.2">
      <c r="A15698" s="14" t="s">
        <v>30880</v>
      </c>
      <c r="B15698" s="15" t="s">
        <v>30881</v>
      </c>
      <c r="C15698" s="19">
        <f>5605/(1+B2)</f>
        <v>5605</v>
      </c>
      <c r="D15698" s="17"/>
      <c r="E15698" s="17" t="s">
        <v>11</v>
      </c>
      <c r="F15698" s="18"/>
      <c r="G15698" s="36" t="str">
        <f>IF(ISNUMBER(F15698),C15698*F15698,"")</f>
        <v/>
      </c>
    </row>
    <row r="15699" spans="1:7" ht="24" customHeight="1" outlineLevel="2" x14ac:dyDescent="0.2">
      <c r="A15699" s="14" t="s">
        <v>30882</v>
      </c>
      <c r="B15699" s="15" t="s">
        <v>30883</v>
      </c>
      <c r="C15699" s="19">
        <f>5605/(1+B2)</f>
        <v>5605</v>
      </c>
      <c r="D15699" s="17"/>
      <c r="E15699" s="17" t="s">
        <v>11</v>
      </c>
      <c r="F15699" s="18"/>
      <c r="G15699" s="36" t="str">
        <f>IF(ISNUMBER(F15699),C15699*F15699,"")</f>
        <v/>
      </c>
    </row>
    <row r="15700" spans="1:7" ht="24" customHeight="1" outlineLevel="2" x14ac:dyDescent="0.2">
      <c r="A15700" s="14" t="s">
        <v>30884</v>
      </c>
      <c r="B15700" s="15" t="s">
        <v>30885</v>
      </c>
      <c r="C15700" s="19">
        <f>5605/(1+B2)</f>
        <v>5605</v>
      </c>
      <c r="D15700" s="17"/>
      <c r="E15700" s="17" t="s">
        <v>11</v>
      </c>
      <c r="F15700" s="18"/>
      <c r="G15700" s="36" t="str">
        <f>IF(ISNUMBER(F15700),C15700*F15700,"")</f>
        <v/>
      </c>
    </row>
    <row r="15701" spans="1:7" ht="24" customHeight="1" outlineLevel="2" x14ac:dyDescent="0.2">
      <c r="A15701" s="14" t="s">
        <v>30886</v>
      </c>
      <c r="B15701" s="15" t="s">
        <v>30887</v>
      </c>
      <c r="C15701" s="19">
        <f>5605/(1+B2)</f>
        <v>5605</v>
      </c>
      <c r="D15701" s="17"/>
      <c r="E15701" s="17" t="s">
        <v>11</v>
      </c>
      <c r="F15701" s="18"/>
      <c r="G15701" s="36" t="str">
        <f>IF(ISNUMBER(F15701),C15701*F15701,"")</f>
        <v/>
      </c>
    </row>
    <row r="15702" spans="1:7" ht="24" customHeight="1" outlineLevel="2" x14ac:dyDescent="0.2">
      <c r="A15702" s="14" t="s">
        <v>30888</v>
      </c>
      <c r="B15702" s="15" t="s">
        <v>30889</v>
      </c>
      <c r="C15702" s="19">
        <f>5605/(1+B2)</f>
        <v>5605</v>
      </c>
      <c r="D15702" s="17"/>
      <c r="E15702" s="17" t="s">
        <v>11</v>
      </c>
      <c r="F15702" s="18"/>
      <c r="G15702" s="36" t="str">
        <f>IF(ISNUMBER(F15702),C15702*F15702,"")</f>
        <v/>
      </c>
    </row>
    <row r="15703" spans="1:7" ht="24" customHeight="1" outlineLevel="2" x14ac:dyDescent="0.2">
      <c r="A15703" s="14" t="s">
        <v>30890</v>
      </c>
      <c r="B15703" s="15" t="s">
        <v>30891</v>
      </c>
      <c r="C15703" s="19">
        <f>5605/(1+B2)</f>
        <v>5605</v>
      </c>
      <c r="D15703" s="17"/>
      <c r="E15703" s="17" t="s">
        <v>11</v>
      </c>
      <c r="F15703" s="18"/>
      <c r="G15703" s="36" t="str">
        <f>IF(ISNUMBER(F15703),C15703*F15703,"")</f>
        <v/>
      </c>
    </row>
    <row r="15704" spans="1:7" ht="12" customHeight="1" outlineLevel="2" x14ac:dyDescent="0.2">
      <c r="A15704" s="14" t="s">
        <v>30892</v>
      </c>
      <c r="B15704" s="15" t="s">
        <v>30893</v>
      </c>
      <c r="C15704" s="19">
        <f>5605/(1+B2)</f>
        <v>5605</v>
      </c>
      <c r="D15704" s="17"/>
      <c r="E15704" s="17" t="s">
        <v>11</v>
      </c>
      <c r="F15704" s="18"/>
      <c r="G15704" s="36" t="str">
        <f>IF(ISNUMBER(F15704),C15704*F15704,"")</f>
        <v/>
      </c>
    </row>
    <row r="15705" spans="1:7" ht="12" customHeight="1" outlineLevel="2" x14ac:dyDescent="0.2">
      <c r="A15705" s="14" t="s">
        <v>30894</v>
      </c>
      <c r="B15705" s="15" t="s">
        <v>30895</v>
      </c>
      <c r="C15705" s="19">
        <f>5605/(1+B2)</f>
        <v>5605</v>
      </c>
      <c r="D15705" s="17"/>
      <c r="E15705" s="17" t="s">
        <v>11</v>
      </c>
      <c r="F15705" s="18"/>
      <c r="G15705" s="36" t="str">
        <f>IF(ISNUMBER(F15705),C15705*F15705,"")</f>
        <v/>
      </c>
    </row>
    <row r="15706" spans="1:7" ht="12" customHeight="1" outlineLevel="2" x14ac:dyDescent="0.2">
      <c r="A15706" s="14" t="s">
        <v>30896</v>
      </c>
      <c r="B15706" s="15" t="s">
        <v>30897</v>
      </c>
      <c r="C15706" s="19">
        <f>5878.13/(1+B2)</f>
        <v>5878.13</v>
      </c>
      <c r="D15706" s="17"/>
      <c r="E15706" s="17" t="s">
        <v>11</v>
      </c>
      <c r="F15706" s="18"/>
      <c r="G15706" s="36" t="str">
        <f>IF(ISNUMBER(F15706),C15706*F15706,"")</f>
        <v/>
      </c>
    </row>
    <row r="15707" spans="1:7" ht="12" customHeight="1" outlineLevel="2" x14ac:dyDescent="0.2">
      <c r="A15707" s="14" t="s">
        <v>30898</v>
      </c>
      <c r="B15707" s="15" t="s">
        <v>30899</v>
      </c>
      <c r="C15707" s="19">
        <f>5878.13/(1+B2)</f>
        <v>5878.13</v>
      </c>
      <c r="D15707" s="17"/>
      <c r="E15707" s="17" t="s">
        <v>11</v>
      </c>
      <c r="F15707" s="18"/>
      <c r="G15707" s="36" t="str">
        <f>IF(ISNUMBER(F15707),C15707*F15707,"")</f>
        <v/>
      </c>
    </row>
    <row r="15708" spans="1:7" ht="24" customHeight="1" outlineLevel="2" x14ac:dyDescent="0.2">
      <c r="A15708" s="14" t="s">
        <v>30900</v>
      </c>
      <c r="B15708" s="15" t="s">
        <v>30901</v>
      </c>
      <c r="C15708" s="19">
        <f>6982.5/(1+B2)</f>
        <v>6982.5</v>
      </c>
      <c r="D15708" s="17"/>
      <c r="E15708" s="17" t="s">
        <v>11</v>
      </c>
      <c r="F15708" s="18"/>
      <c r="G15708" s="36" t="str">
        <f>IF(ISNUMBER(F15708),C15708*F15708,"")</f>
        <v/>
      </c>
    </row>
    <row r="15709" spans="1:7" ht="24" customHeight="1" outlineLevel="2" x14ac:dyDescent="0.2">
      <c r="A15709" s="14" t="s">
        <v>30902</v>
      </c>
      <c r="B15709" s="15" t="s">
        <v>30903</v>
      </c>
      <c r="C15709" s="19">
        <f>6982.5/(1+B2)</f>
        <v>6982.5</v>
      </c>
      <c r="D15709" s="17"/>
      <c r="E15709" s="17" t="s">
        <v>11</v>
      </c>
      <c r="F15709" s="18"/>
      <c r="G15709" s="36" t="str">
        <f>IF(ISNUMBER(F15709),C15709*F15709,"")</f>
        <v/>
      </c>
    </row>
    <row r="15710" spans="1:7" ht="12" customHeight="1" outlineLevel="2" x14ac:dyDescent="0.2">
      <c r="A15710" s="14" t="s">
        <v>30904</v>
      </c>
      <c r="B15710" s="15" t="s">
        <v>30905</v>
      </c>
      <c r="C15710" s="19">
        <f>5985/(1+B2)</f>
        <v>5985</v>
      </c>
      <c r="D15710" s="17"/>
      <c r="E15710" s="17" t="s">
        <v>11</v>
      </c>
      <c r="F15710" s="18"/>
      <c r="G15710" s="36" t="str">
        <f>IF(ISNUMBER(F15710),C15710*F15710,"")</f>
        <v/>
      </c>
    </row>
    <row r="15711" spans="1:7" ht="24" customHeight="1" outlineLevel="2" x14ac:dyDescent="0.2">
      <c r="A15711" s="14" t="s">
        <v>30906</v>
      </c>
      <c r="B15711" s="15" t="s">
        <v>30907</v>
      </c>
      <c r="C15711" s="19">
        <f>6982.5/(1+B2)</f>
        <v>6982.5</v>
      </c>
      <c r="D15711" s="17"/>
      <c r="E15711" s="17" t="s">
        <v>11</v>
      </c>
      <c r="F15711" s="18"/>
      <c r="G15711" s="36" t="str">
        <f>IF(ISNUMBER(F15711),C15711*F15711,"")</f>
        <v/>
      </c>
    </row>
    <row r="15712" spans="1:7" ht="24" customHeight="1" outlineLevel="2" x14ac:dyDescent="0.2">
      <c r="A15712" s="14" t="s">
        <v>30908</v>
      </c>
      <c r="B15712" s="15" t="s">
        <v>30909</v>
      </c>
      <c r="C15712" s="19">
        <f>6982.5/(1+B2)</f>
        <v>6982.5</v>
      </c>
      <c r="D15712" s="17"/>
      <c r="E15712" s="17" t="s">
        <v>11</v>
      </c>
      <c r="F15712" s="18"/>
      <c r="G15712" s="36" t="str">
        <f>IF(ISNUMBER(F15712),C15712*F15712,"")</f>
        <v/>
      </c>
    </row>
    <row r="15713" spans="1:7" ht="12" customHeight="1" outlineLevel="2" x14ac:dyDescent="0.2">
      <c r="A15713" s="14" t="s">
        <v>30910</v>
      </c>
      <c r="B15713" s="15" t="s">
        <v>30911</v>
      </c>
      <c r="C15713" s="19">
        <f>7142.81/(1+B2)</f>
        <v>7142.81</v>
      </c>
      <c r="D15713" s="17"/>
      <c r="E15713" s="17" t="s">
        <v>11</v>
      </c>
      <c r="F15713" s="18"/>
      <c r="G15713" s="36" t="str">
        <f>IF(ISNUMBER(F15713),C15713*F15713,"")</f>
        <v/>
      </c>
    </row>
    <row r="15714" spans="1:7" ht="12" customHeight="1" outlineLevel="2" x14ac:dyDescent="0.2">
      <c r="A15714" s="14" t="s">
        <v>30912</v>
      </c>
      <c r="B15714" s="15" t="s">
        <v>30913</v>
      </c>
      <c r="C15714" s="19">
        <f>6875.63/(1+B2)</f>
        <v>6875.63</v>
      </c>
      <c r="D15714" s="17"/>
      <c r="E15714" s="17" t="s">
        <v>11</v>
      </c>
      <c r="F15714" s="18"/>
      <c r="G15714" s="36" t="str">
        <f>IF(ISNUMBER(F15714),C15714*F15714,"")</f>
        <v/>
      </c>
    </row>
    <row r="15715" spans="1:7" ht="12" customHeight="1" outlineLevel="2" x14ac:dyDescent="0.2">
      <c r="A15715" s="14" t="s">
        <v>30914</v>
      </c>
      <c r="B15715" s="15" t="s">
        <v>30915</v>
      </c>
      <c r="C15715" s="19">
        <f>4959.55/(1+B2)</f>
        <v>4959.55</v>
      </c>
      <c r="D15715" s="17" t="s">
        <v>11</v>
      </c>
      <c r="E15715" s="17"/>
      <c r="F15715" s="18"/>
      <c r="G15715" s="36" t="str">
        <f>IF(ISNUMBER(F15715),C15715*F15715,"")</f>
        <v/>
      </c>
    </row>
    <row r="15716" spans="1:7" ht="12" customHeight="1" outlineLevel="2" x14ac:dyDescent="0.2">
      <c r="A15716" s="14" t="s">
        <v>30916</v>
      </c>
      <c r="B15716" s="15" t="s">
        <v>30917</v>
      </c>
      <c r="C15716" s="19">
        <f>4925.12/(1+B2)</f>
        <v>4925.12</v>
      </c>
      <c r="D15716" s="17" t="s">
        <v>11</v>
      </c>
      <c r="E15716" s="17"/>
      <c r="F15716" s="18"/>
      <c r="G15716" s="36" t="str">
        <f>IF(ISNUMBER(F15716),C15716*F15716,"")</f>
        <v/>
      </c>
    </row>
    <row r="15717" spans="1:7" ht="12" customHeight="1" outlineLevel="2" x14ac:dyDescent="0.2">
      <c r="A15717" s="14" t="s">
        <v>30918</v>
      </c>
      <c r="B15717" s="15" t="s">
        <v>30919</v>
      </c>
      <c r="C15717" s="19">
        <f>5374.32/(1+B2)</f>
        <v>5374.32</v>
      </c>
      <c r="D15717" s="17" t="s">
        <v>11</v>
      </c>
      <c r="E15717" s="17"/>
      <c r="F15717" s="18"/>
      <c r="G15717" s="36" t="str">
        <f>IF(ISNUMBER(F15717),C15717*F15717,"")</f>
        <v/>
      </c>
    </row>
    <row r="15718" spans="1:7" s="1" customFormat="1" ht="15.95" customHeight="1" outlineLevel="1" x14ac:dyDescent="0.25">
      <c r="A15718" s="11"/>
      <c r="B15718" s="12" t="s">
        <v>30920</v>
      </c>
      <c r="C15718" s="13"/>
      <c r="D15718" s="13"/>
      <c r="E15718" s="13"/>
      <c r="F15718" s="13"/>
      <c r="G15718" s="35"/>
    </row>
    <row r="15719" spans="1:7" ht="12" customHeight="1" outlineLevel="2" x14ac:dyDescent="0.2">
      <c r="A15719" s="14" t="s">
        <v>30921</v>
      </c>
      <c r="B15719" s="15" t="s">
        <v>30922</v>
      </c>
      <c r="C15719" s="19">
        <f>3768.34/(1+B2)</f>
        <v>3768.34</v>
      </c>
      <c r="D15719" s="17" t="s">
        <v>11</v>
      </c>
      <c r="E15719" s="17"/>
      <c r="F15719" s="18"/>
      <c r="G15719" s="36" t="str">
        <f>IF(ISNUMBER(F15719),C15719*F15719,"")</f>
        <v/>
      </c>
    </row>
    <row r="15720" spans="1:7" ht="12" customHeight="1" outlineLevel="2" x14ac:dyDescent="0.2">
      <c r="A15720" s="14" t="s">
        <v>30923</v>
      </c>
      <c r="B15720" s="15" t="s">
        <v>30924</v>
      </c>
      <c r="C15720" s="19">
        <f>3768.34/(1+B2)</f>
        <v>3768.34</v>
      </c>
      <c r="D15720" s="17" t="s">
        <v>11</v>
      </c>
      <c r="E15720" s="17"/>
      <c r="F15720" s="18"/>
      <c r="G15720" s="36" t="str">
        <f>IF(ISNUMBER(F15720),C15720*F15720,"")</f>
        <v/>
      </c>
    </row>
    <row r="15721" spans="1:7" ht="12" customHeight="1" outlineLevel="2" x14ac:dyDescent="0.2">
      <c r="A15721" s="14" t="s">
        <v>30925</v>
      </c>
      <c r="B15721" s="15" t="s">
        <v>30926</v>
      </c>
      <c r="C15721" s="19">
        <f>2819.11/(1+B2)</f>
        <v>2819.11</v>
      </c>
      <c r="D15721" s="17"/>
      <c r="E15721" s="17" t="s">
        <v>11</v>
      </c>
      <c r="F15721" s="18"/>
      <c r="G15721" s="36" t="str">
        <f>IF(ISNUMBER(F15721),C15721*F15721,"")</f>
        <v/>
      </c>
    </row>
    <row r="15722" spans="1:7" ht="12" customHeight="1" outlineLevel="2" x14ac:dyDescent="0.2">
      <c r="A15722" s="14" t="s">
        <v>30927</v>
      </c>
      <c r="B15722" s="15" t="s">
        <v>30928</v>
      </c>
      <c r="C15722" s="19">
        <f>2819.11/(1+B2)</f>
        <v>2819.11</v>
      </c>
      <c r="D15722" s="17" t="s">
        <v>11</v>
      </c>
      <c r="E15722" s="17"/>
      <c r="F15722" s="18"/>
      <c r="G15722" s="36" t="str">
        <f>IF(ISNUMBER(F15722),C15722*F15722,"")</f>
        <v/>
      </c>
    </row>
    <row r="15723" spans="1:7" ht="12" customHeight="1" outlineLevel="2" x14ac:dyDescent="0.2">
      <c r="A15723" s="14" t="s">
        <v>30929</v>
      </c>
      <c r="B15723" s="15" t="s">
        <v>30930</v>
      </c>
      <c r="C15723" s="19">
        <f>2819.11/(1+B2)</f>
        <v>2819.11</v>
      </c>
      <c r="D15723" s="17" t="s">
        <v>11</v>
      </c>
      <c r="E15723" s="17"/>
      <c r="F15723" s="18"/>
      <c r="G15723" s="36" t="str">
        <f>IF(ISNUMBER(F15723),C15723*F15723,"")</f>
        <v/>
      </c>
    </row>
    <row r="15724" spans="1:7" ht="12" customHeight="1" outlineLevel="2" x14ac:dyDescent="0.2">
      <c r="A15724" s="14" t="s">
        <v>30931</v>
      </c>
      <c r="B15724" s="15" t="s">
        <v>30932</v>
      </c>
      <c r="C15724" s="19">
        <f>2819.11/(1+B2)</f>
        <v>2819.11</v>
      </c>
      <c r="D15724" s="17" t="s">
        <v>11</v>
      </c>
      <c r="E15724" s="17"/>
      <c r="F15724" s="18"/>
      <c r="G15724" s="36" t="str">
        <f>IF(ISNUMBER(F15724),C15724*F15724,"")</f>
        <v/>
      </c>
    </row>
    <row r="15725" spans="1:7" ht="12" customHeight="1" outlineLevel="2" x14ac:dyDescent="0.2">
      <c r="A15725" s="14" t="s">
        <v>30933</v>
      </c>
      <c r="B15725" s="15" t="s">
        <v>30934</v>
      </c>
      <c r="C15725" s="19">
        <f>4197.31/(1+B2)</f>
        <v>4197.3100000000004</v>
      </c>
      <c r="D15725" s="17" t="s">
        <v>11</v>
      </c>
      <c r="E15725" s="17"/>
      <c r="F15725" s="18"/>
      <c r="G15725" s="36" t="str">
        <f>IF(ISNUMBER(F15725),C15725*F15725,"")</f>
        <v/>
      </c>
    </row>
    <row r="15726" spans="1:7" ht="12" customHeight="1" outlineLevel="2" x14ac:dyDescent="0.2">
      <c r="A15726" s="14" t="s">
        <v>30935</v>
      </c>
      <c r="B15726" s="15" t="s">
        <v>30936</v>
      </c>
      <c r="C15726" s="19">
        <f>1749.07/(1+B2)</f>
        <v>1749.07</v>
      </c>
      <c r="D15726" s="17" t="s">
        <v>11</v>
      </c>
      <c r="E15726" s="17"/>
      <c r="F15726" s="18"/>
      <c r="G15726" s="36" t="str">
        <f>IF(ISNUMBER(F15726),C15726*F15726,"")</f>
        <v/>
      </c>
    </row>
    <row r="15727" spans="1:7" ht="12" customHeight="1" outlineLevel="2" x14ac:dyDescent="0.2">
      <c r="A15727" s="14" t="s">
        <v>30937</v>
      </c>
      <c r="B15727" s="15" t="s">
        <v>30938</v>
      </c>
      <c r="C15727" s="19">
        <f>2169.09/(1+B2)</f>
        <v>2169.09</v>
      </c>
      <c r="D15727" s="17" t="s">
        <v>11</v>
      </c>
      <c r="E15727" s="17"/>
      <c r="F15727" s="18"/>
      <c r="G15727" s="36" t="str">
        <f>IF(ISNUMBER(F15727),C15727*F15727,"")</f>
        <v/>
      </c>
    </row>
    <row r="15728" spans="1:7" ht="12" customHeight="1" outlineLevel="2" x14ac:dyDescent="0.2">
      <c r="A15728" s="14" t="s">
        <v>30939</v>
      </c>
      <c r="B15728" s="15" t="s">
        <v>30940</v>
      </c>
      <c r="C15728" s="19">
        <f>4197.31/(1+B2)</f>
        <v>4197.3100000000004</v>
      </c>
      <c r="D15728" s="17" t="s">
        <v>11</v>
      </c>
      <c r="E15728" s="17"/>
      <c r="F15728" s="18"/>
      <c r="G15728" s="36" t="str">
        <f>IF(ISNUMBER(F15728),C15728*F15728,"")</f>
        <v/>
      </c>
    </row>
    <row r="15729" spans="1:7" ht="12" customHeight="1" outlineLevel="2" x14ac:dyDescent="0.2">
      <c r="A15729" s="14" t="s">
        <v>30941</v>
      </c>
      <c r="B15729" s="15" t="s">
        <v>30942</v>
      </c>
      <c r="C15729" s="19">
        <f>2169.09/(1+B2)</f>
        <v>2169.09</v>
      </c>
      <c r="D15729" s="17" t="s">
        <v>11</v>
      </c>
      <c r="E15729" s="17"/>
      <c r="F15729" s="18"/>
      <c r="G15729" s="36" t="str">
        <f>IF(ISNUMBER(F15729),C15729*F15729,"")</f>
        <v/>
      </c>
    </row>
    <row r="15730" spans="1:7" ht="12" customHeight="1" outlineLevel="2" x14ac:dyDescent="0.2">
      <c r="A15730" s="14" t="s">
        <v>30943</v>
      </c>
      <c r="B15730" s="15" t="s">
        <v>30944</v>
      </c>
      <c r="C15730" s="19">
        <f>2169.09/(1+B2)</f>
        <v>2169.09</v>
      </c>
      <c r="D15730" s="17" t="s">
        <v>11</v>
      </c>
      <c r="E15730" s="17"/>
      <c r="F15730" s="18"/>
      <c r="G15730" s="36" t="str">
        <f>IF(ISNUMBER(F15730),C15730*F15730,"")</f>
        <v/>
      </c>
    </row>
    <row r="15731" spans="1:7" ht="12" customHeight="1" outlineLevel="2" x14ac:dyDescent="0.2">
      <c r="A15731" s="14" t="s">
        <v>30945</v>
      </c>
      <c r="B15731" s="15" t="s">
        <v>30946</v>
      </c>
      <c r="C15731" s="19">
        <f>2169.09/(1+B2)</f>
        <v>2169.09</v>
      </c>
      <c r="D15731" s="17" t="s">
        <v>11</v>
      </c>
      <c r="E15731" s="17" t="s">
        <v>11</v>
      </c>
      <c r="F15731" s="18"/>
      <c r="G15731" s="36" t="str">
        <f>IF(ISNUMBER(F15731),C15731*F15731,"")</f>
        <v/>
      </c>
    </row>
    <row r="15732" spans="1:7" ht="12" customHeight="1" outlineLevel="2" x14ac:dyDescent="0.2">
      <c r="A15732" s="14" t="s">
        <v>30947</v>
      </c>
      <c r="B15732" s="15" t="s">
        <v>30948</v>
      </c>
      <c r="C15732" s="19">
        <f>2169.09/(1+B2)</f>
        <v>2169.09</v>
      </c>
      <c r="D15732" s="17" t="s">
        <v>11</v>
      </c>
      <c r="E15732" s="17"/>
      <c r="F15732" s="18"/>
      <c r="G15732" s="36" t="str">
        <f>IF(ISNUMBER(F15732),C15732*F15732,"")</f>
        <v/>
      </c>
    </row>
    <row r="15733" spans="1:7" ht="12" customHeight="1" outlineLevel="2" x14ac:dyDescent="0.2">
      <c r="A15733" s="14" t="s">
        <v>30949</v>
      </c>
      <c r="B15733" s="15" t="s">
        <v>30950</v>
      </c>
      <c r="C15733" s="19">
        <f>2169.09/(1+B2)</f>
        <v>2169.09</v>
      </c>
      <c r="D15733" s="17"/>
      <c r="E15733" s="17" t="s">
        <v>11</v>
      </c>
      <c r="F15733" s="18"/>
      <c r="G15733" s="36" t="str">
        <f>IF(ISNUMBER(F15733),C15733*F15733,"")</f>
        <v/>
      </c>
    </row>
    <row r="15734" spans="1:7" ht="12" customHeight="1" outlineLevel="2" x14ac:dyDescent="0.2">
      <c r="A15734" s="14" t="s">
        <v>30951</v>
      </c>
      <c r="B15734" s="15" t="s">
        <v>30952</v>
      </c>
      <c r="C15734" s="19">
        <f>2169.09/(1+B2)</f>
        <v>2169.09</v>
      </c>
      <c r="D15734" s="17" t="s">
        <v>11</v>
      </c>
      <c r="E15734" s="17"/>
      <c r="F15734" s="18"/>
      <c r="G15734" s="36" t="str">
        <f>IF(ISNUMBER(F15734),C15734*F15734,"")</f>
        <v/>
      </c>
    </row>
    <row r="15735" spans="1:7" ht="12" customHeight="1" outlineLevel="2" x14ac:dyDescent="0.2">
      <c r="A15735" s="14" t="s">
        <v>30953</v>
      </c>
      <c r="B15735" s="15" t="s">
        <v>30954</v>
      </c>
      <c r="C15735" s="19">
        <f>2169.09/(1+B2)</f>
        <v>2169.09</v>
      </c>
      <c r="D15735" s="17"/>
      <c r="E15735" s="17" t="s">
        <v>11</v>
      </c>
      <c r="F15735" s="18"/>
      <c r="G15735" s="36" t="str">
        <f>IF(ISNUMBER(F15735),C15735*F15735,"")</f>
        <v/>
      </c>
    </row>
    <row r="15736" spans="1:7" ht="12" customHeight="1" outlineLevel="2" x14ac:dyDescent="0.2">
      <c r="A15736" s="14" t="s">
        <v>30955</v>
      </c>
      <c r="B15736" s="15" t="s">
        <v>30956</v>
      </c>
      <c r="C15736" s="19">
        <f>2999.12/(1+B2)</f>
        <v>2999.12</v>
      </c>
      <c r="D15736" s="17" t="s">
        <v>11</v>
      </c>
      <c r="E15736" s="17"/>
      <c r="F15736" s="18"/>
      <c r="G15736" s="36" t="str">
        <f>IF(ISNUMBER(F15736),C15736*F15736,"")</f>
        <v/>
      </c>
    </row>
    <row r="15737" spans="1:7" ht="12" customHeight="1" outlineLevel="2" x14ac:dyDescent="0.2">
      <c r="A15737" s="14" t="s">
        <v>30957</v>
      </c>
      <c r="B15737" s="15" t="s">
        <v>30958</v>
      </c>
      <c r="C15737" s="19">
        <f>3343.41/(1+B2)</f>
        <v>3343.41</v>
      </c>
      <c r="D15737" s="17" t="s">
        <v>11</v>
      </c>
      <c r="E15737" s="17"/>
      <c r="F15737" s="18"/>
      <c r="G15737" s="36" t="str">
        <f>IF(ISNUMBER(F15737),C15737*F15737,"")</f>
        <v/>
      </c>
    </row>
    <row r="15738" spans="1:7" ht="12" customHeight="1" outlineLevel="2" x14ac:dyDescent="0.2">
      <c r="A15738" s="14" t="s">
        <v>30959</v>
      </c>
      <c r="B15738" s="15" t="s">
        <v>30960</v>
      </c>
      <c r="C15738" s="19">
        <f>4156.81/(1+B2)</f>
        <v>4156.8100000000004</v>
      </c>
      <c r="D15738" s="17" t="s">
        <v>11</v>
      </c>
      <c r="E15738" s="17"/>
      <c r="F15738" s="18"/>
      <c r="G15738" s="36" t="str">
        <f>IF(ISNUMBER(F15738),C15738*F15738,"")</f>
        <v/>
      </c>
    </row>
    <row r="15739" spans="1:7" ht="12" customHeight="1" outlineLevel="2" x14ac:dyDescent="0.2">
      <c r="A15739" s="14" t="s">
        <v>30961</v>
      </c>
      <c r="B15739" s="15" t="s">
        <v>30962</v>
      </c>
      <c r="C15739" s="19">
        <f>4156.81/(1+B2)</f>
        <v>4156.8100000000004</v>
      </c>
      <c r="D15739" s="17" t="s">
        <v>11</v>
      </c>
      <c r="E15739" s="17" t="s">
        <v>11</v>
      </c>
      <c r="F15739" s="18"/>
      <c r="G15739" s="36" t="str">
        <f>IF(ISNUMBER(F15739),C15739*F15739,"")</f>
        <v/>
      </c>
    </row>
    <row r="15740" spans="1:7" ht="12" customHeight="1" outlineLevel="2" x14ac:dyDescent="0.2">
      <c r="A15740" s="14" t="s">
        <v>30963</v>
      </c>
      <c r="B15740" s="15" t="s">
        <v>30964</v>
      </c>
      <c r="C15740" s="19">
        <f>4156.81/(1+B2)</f>
        <v>4156.8100000000004</v>
      </c>
      <c r="D15740" s="17" t="s">
        <v>11</v>
      </c>
      <c r="E15740" s="17" t="s">
        <v>11</v>
      </c>
      <c r="F15740" s="18"/>
      <c r="G15740" s="36" t="str">
        <f>IF(ISNUMBER(F15740),C15740*F15740,"")</f>
        <v/>
      </c>
    </row>
    <row r="15741" spans="1:7" ht="12" customHeight="1" outlineLevel="2" x14ac:dyDescent="0.2">
      <c r="A15741" s="14" t="s">
        <v>30965</v>
      </c>
      <c r="B15741" s="15" t="s">
        <v>30966</v>
      </c>
      <c r="C15741" s="19">
        <f>2403/(1+B2)</f>
        <v>2403</v>
      </c>
      <c r="D15741" s="17" t="s">
        <v>11</v>
      </c>
      <c r="E15741" s="17"/>
      <c r="F15741" s="18"/>
      <c r="G15741" s="36" t="str">
        <f>IF(ISNUMBER(F15741),C15741*F15741,"")</f>
        <v/>
      </c>
    </row>
    <row r="15742" spans="1:7" ht="12" customHeight="1" outlineLevel="2" x14ac:dyDescent="0.2">
      <c r="A15742" s="14" t="s">
        <v>30967</v>
      </c>
      <c r="B15742" s="15" t="s">
        <v>30968</v>
      </c>
      <c r="C15742" s="19">
        <f>2403/(1+B2)</f>
        <v>2403</v>
      </c>
      <c r="D15742" s="17"/>
      <c r="E15742" s="17" t="s">
        <v>11</v>
      </c>
      <c r="F15742" s="18"/>
      <c r="G15742" s="36" t="str">
        <f>IF(ISNUMBER(F15742),C15742*F15742,"")</f>
        <v/>
      </c>
    </row>
    <row r="15743" spans="1:7" ht="12" customHeight="1" outlineLevel="2" x14ac:dyDescent="0.2">
      <c r="A15743" s="14" t="s">
        <v>30969</v>
      </c>
      <c r="B15743" s="15" t="s">
        <v>30970</v>
      </c>
      <c r="C15743" s="19">
        <f>2403/(1+B2)</f>
        <v>2403</v>
      </c>
      <c r="D15743" s="17"/>
      <c r="E15743" s="17" t="s">
        <v>11</v>
      </c>
      <c r="F15743" s="18"/>
      <c r="G15743" s="36" t="str">
        <f>IF(ISNUMBER(F15743),C15743*F15743,"")</f>
        <v/>
      </c>
    </row>
    <row r="15744" spans="1:7" ht="24" customHeight="1" outlineLevel="2" x14ac:dyDescent="0.2">
      <c r="A15744" s="14" t="s">
        <v>30971</v>
      </c>
      <c r="B15744" s="15" t="s">
        <v>30972</v>
      </c>
      <c r="C15744" s="19">
        <f>3029.13/(1+B2)</f>
        <v>3029.13</v>
      </c>
      <c r="D15744" s="17" t="s">
        <v>11</v>
      </c>
      <c r="E15744" s="17"/>
      <c r="F15744" s="18"/>
      <c r="G15744" s="36" t="str">
        <f>IF(ISNUMBER(F15744),C15744*F15744,"")</f>
        <v/>
      </c>
    </row>
    <row r="15745" spans="1:7" ht="24" customHeight="1" outlineLevel="2" x14ac:dyDescent="0.2">
      <c r="A15745" s="14" t="s">
        <v>30973</v>
      </c>
      <c r="B15745" s="15" t="s">
        <v>30974</v>
      </c>
      <c r="C15745" s="19">
        <f>2987.4/(1+B2)</f>
        <v>2987.4</v>
      </c>
      <c r="D15745" s="17" t="s">
        <v>11</v>
      </c>
      <c r="E15745" s="17"/>
      <c r="F15745" s="18"/>
      <c r="G15745" s="36" t="str">
        <f>IF(ISNUMBER(F15745),C15745*F15745,"")</f>
        <v/>
      </c>
    </row>
    <row r="15746" spans="1:7" ht="24" customHeight="1" outlineLevel="2" x14ac:dyDescent="0.2">
      <c r="A15746" s="14" t="s">
        <v>30975</v>
      </c>
      <c r="B15746" s="15" t="s">
        <v>30976</v>
      </c>
      <c r="C15746" s="19">
        <f>3031.07/(1+B2)</f>
        <v>3031.07</v>
      </c>
      <c r="D15746" s="17" t="s">
        <v>11</v>
      </c>
      <c r="E15746" s="17"/>
      <c r="F15746" s="18"/>
      <c r="G15746" s="36" t="str">
        <f>IF(ISNUMBER(F15746),C15746*F15746,"")</f>
        <v/>
      </c>
    </row>
    <row r="15747" spans="1:7" ht="12" customHeight="1" outlineLevel="2" x14ac:dyDescent="0.2">
      <c r="A15747" s="14" t="s">
        <v>30977</v>
      </c>
      <c r="B15747" s="15" t="s">
        <v>30978</v>
      </c>
      <c r="C15747" s="19">
        <f>2987.4/(1+B2)</f>
        <v>2987.4</v>
      </c>
      <c r="D15747" s="17" t="s">
        <v>11</v>
      </c>
      <c r="E15747" s="17"/>
      <c r="F15747" s="18"/>
      <c r="G15747" s="36" t="str">
        <f>IF(ISNUMBER(F15747),C15747*F15747,"")</f>
        <v/>
      </c>
    </row>
    <row r="15748" spans="1:7" ht="12" customHeight="1" outlineLevel="2" x14ac:dyDescent="0.2">
      <c r="A15748" s="14" t="s">
        <v>30979</v>
      </c>
      <c r="B15748" s="15" t="s">
        <v>30980</v>
      </c>
      <c r="C15748" s="19">
        <f>4152.22/(1+B2)</f>
        <v>4152.22</v>
      </c>
      <c r="D15748" s="17" t="s">
        <v>11</v>
      </c>
      <c r="E15748" s="17"/>
      <c r="F15748" s="18"/>
      <c r="G15748" s="36" t="str">
        <f>IF(ISNUMBER(F15748),C15748*F15748,"")</f>
        <v/>
      </c>
    </row>
    <row r="15749" spans="1:7" ht="12" customHeight="1" outlineLevel="2" x14ac:dyDescent="0.2">
      <c r="A15749" s="14" t="s">
        <v>30981</v>
      </c>
      <c r="B15749" s="15" t="s">
        <v>30982</v>
      </c>
      <c r="C15749" s="19">
        <f>3989.82/(1+B2)</f>
        <v>3989.82</v>
      </c>
      <c r="D15749" s="17" t="s">
        <v>11</v>
      </c>
      <c r="E15749" s="17"/>
      <c r="F15749" s="18"/>
      <c r="G15749" s="36" t="str">
        <f>IF(ISNUMBER(F15749),C15749*F15749,"")</f>
        <v/>
      </c>
    </row>
    <row r="15750" spans="1:7" ht="12" customHeight="1" outlineLevel="2" x14ac:dyDescent="0.2">
      <c r="A15750" s="14" t="s">
        <v>30983</v>
      </c>
      <c r="B15750" s="15" t="s">
        <v>30984</v>
      </c>
      <c r="C15750" s="19">
        <f>3989.82/(1+B2)</f>
        <v>3989.82</v>
      </c>
      <c r="D15750" s="17" t="s">
        <v>11</v>
      </c>
      <c r="E15750" s="17"/>
      <c r="F15750" s="18"/>
      <c r="G15750" s="36" t="str">
        <f>IF(ISNUMBER(F15750),C15750*F15750,"")</f>
        <v/>
      </c>
    </row>
    <row r="15751" spans="1:7" ht="12" customHeight="1" outlineLevel="2" x14ac:dyDescent="0.2">
      <c r="A15751" s="14" t="s">
        <v>30985</v>
      </c>
      <c r="B15751" s="15" t="s">
        <v>30986</v>
      </c>
      <c r="C15751" s="19">
        <f>4003.83/(1+B2)</f>
        <v>4003.83</v>
      </c>
      <c r="D15751" s="17" t="s">
        <v>11</v>
      </c>
      <c r="E15751" s="17"/>
      <c r="F15751" s="18"/>
      <c r="G15751" s="36" t="str">
        <f>IF(ISNUMBER(F15751),C15751*F15751,"")</f>
        <v/>
      </c>
    </row>
    <row r="15752" spans="1:7" ht="12" customHeight="1" outlineLevel="2" x14ac:dyDescent="0.2">
      <c r="A15752" s="14" t="s">
        <v>30987</v>
      </c>
      <c r="B15752" s="15" t="s">
        <v>30988</v>
      </c>
      <c r="C15752" s="19">
        <f>3321/(1+B2)</f>
        <v>3321</v>
      </c>
      <c r="D15752" s="17" t="s">
        <v>11</v>
      </c>
      <c r="E15752" s="17"/>
      <c r="F15752" s="18"/>
      <c r="G15752" s="36" t="str">
        <f>IF(ISNUMBER(F15752),C15752*F15752,"")</f>
        <v/>
      </c>
    </row>
    <row r="15753" spans="1:7" ht="12" customHeight="1" outlineLevel="2" x14ac:dyDescent="0.2">
      <c r="A15753" s="14" t="s">
        <v>30989</v>
      </c>
      <c r="B15753" s="15" t="s">
        <v>30990</v>
      </c>
      <c r="C15753" s="19">
        <f>3321/(1+B2)</f>
        <v>3321</v>
      </c>
      <c r="D15753" s="17" t="s">
        <v>11</v>
      </c>
      <c r="E15753" s="17"/>
      <c r="F15753" s="18"/>
      <c r="G15753" s="36" t="str">
        <f>IF(ISNUMBER(F15753),C15753*F15753,"")</f>
        <v/>
      </c>
    </row>
    <row r="15754" spans="1:7" ht="12" customHeight="1" outlineLevel="2" x14ac:dyDescent="0.2">
      <c r="A15754" s="14" t="s">
        <v>30991</v>
      </c>
      <c r="B15754" s="15" t="s">
        <v>30992</v>
      </c>
      <c r="C15754" s="19">
        <f>3321/(1+B2)</f>
        <v>3321</v>
      </c>
      <c r="D15754" s="17" t="s">
        <v>11</v>
      </c>
      <c r="E15754" s="17"/>
      <c r="F15754" s="18"/>
      <c r="G15754" s="36" t="str">
        <f>IF(ISNUMBER(F15754),C15754*F15754,"")</f>
        <v/>
      </c>
    </row>
    <row r="15755" spans="1:7" ht="12" customHeight="1" outlineLevel="2" x14ac:dyDescent="0.2">
      <c r="A15755" s="14" t="s">
        <v>30993</v>
      </c>
      <c r="B15755" s="15" t="s">
        <v>30994</v>
      </c>
      <c r="C15755" s="19">
        <f>3321/(1+B2)</f>
        <v>3321</v>
      </c>
      <c r="D15755" s="17" t="s">
        <v>11</v>
      </c>
      <c r="E15755" s="17"/>
      <c r="F15755" s="18"/>
      <c r="G15755" s="36" t="str">
        <f>IF(ISNUMBER(F15755),C15755*F15755,"")</f>
        <v/>
      </c>
    </row>
    <row r="15756" spans="1:7" ht="12" customHeight="1" outlineLevel="2" x14ac:dyDescent="0.2">
      <c r="A15756" s="14" t="s">
        <v>30995</v>
      </c>
      <c r="B15756" s="15" t="s">
        <v>30996</v>
      </c>
      <c r="C15756" s="19">
        <f>3321/(1+B2)</f>
        <v>3321</v>
      </c>
      <c r="D15756" s="17" t="s">
        <v>11</v>
      </c>
      <c r="E15756" s="17"/>
      <c r="F15756" s="18"/>
      <c r="G15756" s="36" t="str">
        <f>IF(ISNUMBER(F15756),C15756*F15756,"")</f>
        <v/>
      </c>
    </row>
    <row r="15757" spans="1:7" ht="12" customHeight="1" outlineLevel="2" x14ac:dyDescent="0.2">
      <c r="A15757" s="14" t="s">
        <v>30997</v>
      </c>
      <c r="B15757" s="15" t="s">
        <v>30998</v>
      </c>
      <c r="C15757" s="19">
        <f>3653.1/(1+B2)</f>
        <v>3653.1</v>
      </c>
      <c r="D15757" s="17" t="s">
        <v>11</v>
      </c>
      <c r="E15757" s="17"/>
      <c r="F15757" s="18"/>
      <c r="G15757" s="36" t="str">
        <f>IF(ISNUMBER(F15757),C15757*F15757,"")</f>
        <v/>
      </c>
    </row>
    <row r="15758" spans="1:7" ht="24" customHeight="1" outlineLevel="2" x14ac:dyDescent="0.2">
      <c r="A15758" s="14" t="s">
        <v>30999</v>
      </c>
      <c r="B15758" s="15" t="s">
        <v>31000</v>
      </c>
      <c r="C15758" s="19">
        <f>3653.1/(1+B2)</f>
        <v>3653.1</v>
      </c>
      <c r="D15758" s="17" t="s">
        <v>11</v>
      </c>
      <c r="E15758" s="17"/>
      <c r="F15758" s="18"/>
      <c r="G15758" s="36" t="str">
        <f>IF(ISNUMBER(F15758),C15758*F15758,"")</f>
        <v/>
      </c>
    </row>
    <row r="15759" spans="1:7" ht="12" customHeight="1" outlineLevel="2" x14ac:dyDescent="0.2">
      <c r="A15759" s="14" t="s">
        <v>31001</v>
      </c>
      <c r="B15759" s="15" t="s">
        <v>31002</v>
      </c>
      <c r="C15759" s="19">
        <f>1000/(1+B2)</f>
        <v>1000</v>
      </c>
      <c r="D15759" s="17" t="s">
        <v>11</v>
      </c>
      <c r="E15759" s="17"/>
      <c r="F15759" s="18"/>
      <c r="G15759" s="36" t="str">
        <f>IF(ISNUMBER(F15759),C15759*F15759,"")</f>
        <v/>
      </c>
    </row>
    <row r="15760" spans="1:7" ht="12" customHeight="1" outlineLevel="2" x14ac:dyDescent="0.2">
      <c r="A15760" s="14" t="s">
        <v>31003</v>
      </c>
      <c r="B15760" s="15" t="s">
        <v>31004</v>
      </c>
      <c r="C15760" s="19">
        <f>1000/(1+B2)</f>
        <v>1000</v>
      </c>
      <c r="D15760" s="17" t="s">
        <v>11</v>
      </c>
      <c r="E15760" s="17"/>
      <c r="F15760" s="18"/>
      <c r="G15760" s="36" t="str">
        <f>IF(ISNUMBER(F15760),C15760*F15760,"")</f>
        <v/>
      </c>
    </row>
    <row r="15761" spans="1:7" ht="12" customHeight="1" outlineLevel="2" x14ac:dyDescent="0.2">
      <c r="A15761" s="14" t="s">
        <v>31005</v>
      </c>
      <c r="B15761" s="15" t="s">
        <v>31006</v>
      </c>
      <c r="C15761" s="19">
        <f>3069.12/(1+B2)</f>
        <v>3069.12</v>
      </c>
      <c r="D15761" s="17" t="s">
        <v>11</v>
      </c>
      <c r="E15761" s="17"/>
      <c r="F15761" s="18"/>
      <c r="G15761" s="36" t="str">
        <f>IF(ISNUMBER(F15761),C15761*F15761,"")</f>
        <v/>
      </c>
    </row>
    <row r="15762" spans="1:7" ht="12" customHeight="1" outlineLevel="2" x14ac:dyDescent="0.2">
      <c r="A15762" s="14" t="s">
        <v>31007</v>
      </c>
      <c r="B15762" s="15" t="s">
        <v>31008</v>
      </c>
      <c r="C15762" s="19">
        <f>3069.12/(1+B2)</f>
        <v>3069.12</v>
      </c>
      <c r="D15762" s="17"/>
      <c r="E15762" s="17" t="s">
        <v>11</v>
      </c>
      <c r="F15762" s="18"/>
      <c r="G15762" s="36" t="str">
        <f>IF(ISNUMBER(F15762),C15762*F15762,"")</f>
        <v/>
      </c>
    </row>
    <row r="15763" spans="1:7" ht="12" customHeight="1" outlineLevel="2" x14ac:dyDescent="0.2">
      <c r="A15763" s="14" t="s">
        <v>31009</v>
      </c>
      <c r="B15763" s="15" t="s">
        <v>31010</v>
      </c>
      <c r="C15763" s="19">
        <f>3069.12/(1+B2)</f>
        <v>3069.12</v>
      </c>
      <c r="D15763" s="17"/>
      <c r="E15763" s="17" t="s">
        <v>11</v>
      </c>
      <c r="F15763" s="18"/>
      <c r="G15763" s="36" t="str">
        <f>IF(ISNUMBER(F15763),C15763*F15763,"")</f>
        <v/>
      </c>
    </row>
    <row r="15764" spans="1:7" ht="12" customHeight="1" outlineLevel="2" x14ac:dyDescent="0.2">
      <c r="A15764" s="14" t="s">
        <v>31011</v>
      </c>
      <c r="B15764" s="15" t="s">
        <v>31012</v>
      </c>
      <c r="C15764" s="19">
        <f>3773.68/(1+B2)</f>
        <v>3773.68</v>
      </c>
      <c r="D15764" s="17" t="s">
        <v>11</v>
      </c>
      <c r="E15764" s="17"/>
      <c r="F15764" s="18"/>
      <c r="G15764" s="36" t="str">
        <f>IF(ISNUMBER(F15764),C15764*F15764,"")</f>
        <v/>
      </c>
    </row>
    <row r="15765" spans="1:7" ht="12" customHeight="1" outlineLevel="2" x14ac:dyDescent="0.2">
      <c r="A15765" s="14" t="s">
        <v>31013</v>
      </c>
      <c r="B15765" s="15" t="s">
        <v>31014</v>
      </c>
      <c r="C15765" s="19">
        <f>3378.51/(1+B2)</f>
        <v>3378.51</v>
      </c>
      <c r="D15765" s="17" t="s">
        <v>11</v>
      </c>
      <c r="E15765" s="17" t="s">
        <v>11</v>
      </c>
      <c r="F15765" s="18"/>
      <c r="G15765" s="36" t="str">
        <f>IF(ISNUMBER(F15765),C15765*F15765,"")</f>
        <v/>
      </c>
    </row>
    <row r="15766" spans="1:7" s="1" customFormat="1" ht="15.95" customHeight="1" x14ac:dyDescent="0.25">
      <c r="A15766" s="8"/>
      <c r="B15766" s="9" t="s">
        <v>31015</v>
      </c>
      <c r="C15766" s="10"/>
      <c r="D15766" s="10"/>
      <c r="E15766" s="10"/>
      <c r="F15766" s="10"/>
      <c r="G15766" s="34"/>
    </row>
    <row r="15767" spans="1:7" s="1" customFormat="1" ht="15.95" customHeight="1" outlineLevel="1" x14ac:dyDescent="0.25">
      <c r="A15767" s="11"/>
      <c r="B15767" s="12" t="s">
        <v>31016</v>
      </c>
      <c r="C15767" s="13"/>
      <c r="D15767" s="13"/>
      <c r="E15767" s="13"/>
      <c r="F15767" s="13"/>
      <c r="G15767" s="35"/>
    </row>
    <row r="15768" spans="1:7" ht="12" customHeight="1" outlineLevel="2" x14ac:dyDescent="0.2">
      <c r="A15768" s="14" t="s">
        <v>31017</v>
      </c>
      <c r="B15768" s="15" t="s">
        <v>31018</v>
      </c>
      <c r="C15768" s="19">
        <f>2654.94/(1+B2)</f>
        <v>2654.94</v>
      </c>
      <c r="D15768" s="17" t="s">
        <v>11</v>
      </c>
      <c r="E15768" s="17" t="s">
        <v>11</v>
      </c>
      <c r="F15768" s="18"/>
      <c r="G15768" s="36" t="str">
        <f>IF(ISNUMBER(F15768),C15768*F15768,"")</f>
        <v/>
      </c>
    </row>
    <row r="15769" spans="1:7" ht="12" customHeight="1" outlineLevel="2" x14ac:dyDescent="0.2">
      <c r="A15769" s="14" t="s">
        <v>31019</v>
      </c>
      <c r="B15769" s="15" t="s">
        <v>31020</v>
      </c>
      <c r="C15769" s="19">
        <f>3891.6/(1+B2)</f>
        <v>3891.6</v>
      </c>
      <c r="D15769" s="17" t="s">
        <v>11</v>
      </c>
      <c r="E15769" s="17" t="s">
        <v>11</v>
      </c>
      <c r="F15769" s="18"/>
      <c r="G15769" s="36" t="str">
        <f>IF(ISNUMBER(F15769),C15769*F15769,"")</f>
        <v/>
      </c>
    </row>
    <row r="15770" spans="1:7" ht="12" customHeight="1" outlineLevel="2" x14ac:dyDescent="0.2">
      <c r="A15770" s="14" t="s">
        <v>31021</v>
      </c>
      <c r="B15770" s="15" t="s">
        <v>31022</v>
      </c>
      <c r="C15770" s="19">
        <f>3344.8/(1+B2)</f>
        <v>3344.8</v>
      </c>
      <c r="D15770" s="17" t="s">
        <v>11</v>
      </c>
      <c r="E15770" s="17"/>
      <c r="F15770" s="18"/>
      <c r="G15770" s="36" t="str">
        <f>IF(ISNUMBER(F15770),C15770*F15770,"")</f>
        <v/>
      </c>
    </row>
    <row r="15771" spans="1:7" ht="12" customHeight="1" outlineLevel="2" x14ac:dyDescent="0.2">
      <c r="A15771" s="14" t="s">
        <v>31023</v>
      </c>
      <c r="B15771" s="15" t="s">
        <v>31024</v>
      </c>
      <c r="C15771" s="19">
        <f>2312.4/(1+B2)</f>
        <v>2312.4</v>
      </c>
      <c r="D15771" s="17" t="s">
        <v>11</v>
      </c>
      <c r="E15771" s="17" t="s">
        <v>11</v>
      </c>
      <c r="F15771" s="18"/>
      <c r="G15771" s="36" t="str">
        <f>IF(ISNUMBER(F15771),C15771*F15771,"")</f>
        <v/>
      </c>
    </row>
    <row r="15772" spans="1:7" ht="12" customHeight="1" outlineLevel="2" x14ac:dyDescent="0.2">
      <c r="A15772" s="14" t="s">
        <v>31025</v>
      </c>
      <c r="B15772" s="15" t="s">
        <v>31026</v>
      </c>
      <c r="C15772" s="19">
        <f>2504.36/(1+B2)</f>
        <v>2504.36</v>
      </c>
      <c r="D15772" s="17" t="s">
        <v>11</v>
      </c>
      <c r="E15772" s="17" t="s">
        <v>11</v>
      </c>
      <c r="F15772" s="18"/>
      <c r="G15772" s="36" t="str">
        <f>IF(ISNUMBER(F15772),C15772*F15772,"")</f>
        <v/>
      </c>
    </row>
    <row r="15773" spans="1:7" ht="12" customHeight="1" outlineLevel="2" x14ac:dyDescent="0.2">
      <c r="A15773" s="14" t="s">
        <v>31027</v>
      </c>
      <c r="B15773" s="15" t="s">
        <v>31028</v>
      </c>
      <c r="C15773" s="19">
        <f>1950.83/(1+B2)</f>
        <v>1950.83</v>
      </c>
      <c r="D15773" s="17" t="s">
        <v>11</v>
      </c>
      <c r="E15773" s="17" t="s">
        <v>11</v>
      </c>
      <c r="F15773" s="18"/>
      <c r="G15773" s="36" t="str">
        <f>IF(ISNUMBER(F15773),C15773*F15773,"")</f>
        <v/>
      </c>
    </row>
    <row r="15774" spans="1:7" ht="12" customHeight="1" outlineLevel="2" x14ac:dyDescent="0.2">
      <c r="A15774" s="14" t="s">
        <v>31029</v>
      </c>
      <c r="B15774" s="15" t="s">
        <v>31030</v>
      </c>
      <c r="C15774" s="19">
        <f>3263.6/(1+B2)</f>
        <v>3263.6</v>
      </c>
      <c r="D15774" s="17" t="s">
        <v>11</v>
      </c>
      <c r="E15774" s="17" t="s">
        <v>11</v>
      </c>
      <c r="F15774" s="18"/>
      <c r="G15774" s="36" t="str">
        <f>IF(ISNUMBER(F15774),C15774*F15774,"")</f>
        <v/>
      </c>
    </row>
    <row r="15775" spans="1:7" ht="12" customHeight="1" outlineLevel="2" x14ac:dyDescent="0.2">
      <c r="A15775" s="14" t="s">
        <v>31031</v>
      </c>
      <c r="B15775" s="15" t="s">
        <v>31032</v>
      </c>
      <c r="C15775" s="19">
        <f>2463.66/(1+B2)</f>
        <v>2463.66</v>
      </c>
      <c r="D15775" s="17" t="s">
        <v>11</v>
      </c>
      <c r="E15775" s="17" t="s">
        <v>11</v>
      </c>
      <c r="F15775" s="18"/>
      <c r="G15775" s="36" t="str">
        <f>IF(ISNUMBER(F15775),C15775*F15775,"")</f>
        <v/>
      </c>
    </row>
    <row r="15776" spans="1:7" ht="12" customHeight="1" outlineLevel="2" x14ac:dyDescent="0.2">
      <c r="A15776" s="14" t="s">
        <v>31033</v>
      </c>
      <c r="B15776" s="15" t="s">
        <v>31034</v>
      </c>
      <c r="C15776" s="19">
        <f>3431.52/(1+B2)</f>
        <v>3431.52</v>
      </c>
      <c r="D15776" s="17" t="s">
        <v>11</v>
      </c>
      <c r="E15776" s="17"/>
      <c r="F15776" s="18"/>
      <c r="G15776" s="36" t="str">
        <f>IF(ISNUMBER(F15776),C15776*F15776,"")</f>
        <v/>
      </c>
    </row>
    <row r="15777" spans="1:7" ht="12" customHeight="1" outlineLevel="2" x14ac:dyDescent="0.2">
      <c r="A15777" s="14" t="s">
        <v>31035</v>
      </c>
      <c r="B15777" s="15" t="s">
        <v>31036</v>
      </c>
      <c r="C15777" s="19">
        <f>2487.78/(1+B2)</f>
        <v>2487.7800000000002</v>
      </c>
      <c r="D15777" s="17" t="s">
        <v>11</v>
      </c>
      <c r="E15777" s="17"/>
      <c r="F15777" s="18"/>
      <c r="G15777" s="36" t="str">
        <f>IF(ISNUMBER(F15777),C15777*F15777,"")</f>
        <v/>
      </c>
    </row>
    <row r="15778" spans="1:7" ht="12" customHeight="1" outlineLevel="2" x14ac:dyDescent="0.2">
      <c r="A15778" s="14" t="s">
        <v>31037</v>
      </c>
      <c r="B15778" s="15" t="s">
        <v>31038</v>
      </c>
      <c r="C15778" s="19">
        <f>2487.78/(1+B2)</f>
        <v>2487.7800000000002</v>
      </c>
      <c r="D15778" s="17" t="s">
        <v>11</v>
      </c>
      <c r="E15778" s="17" t="s">
        <v>11</v>
      </c>
      <c r="F15778" s="18"/>
      <c r="G15778" s="36" t="str">
        <f>IF(ISNUMBER(F15778),C15778*F15778,"")</f>
        <v/>
      </c>
    </row>
    <row r="15779" spans="1:7" ht="12" customHeight="1" outlineLevel="2" x14ac:dyDescent="0.2">
      <c r="A15779" s="14" t="s">
        <v>31039</v>
      </c>
      <c r="B15779" s="15" t="s">
        <v>31040</v>
      </c>
      <c r="C15779" s="19">
        <f>1641.18/(1+B2)</f>
        <v>1641.18</v>
      </c>
      <c r="D15779" s="17" t="s">
        <v>11</v>
      </c>
      <c r="E15779" s="17"/>
      <c r="F15779" s="18"/>
      <c r="G15779" s="36" t="str">
        <f>IF(ISNUMBER(F15779),C15779*F15779,"")</f>
        <v/>
      </c>
    </row>
    <row r="15780" spans="1:7" ht="12" customHeight="1" outlineLevel="2" x14ac:dyDescent="0.2">
      <c r="A15780" s="14" t="s">
        <v>31041</v>
      </c>
      <c r="B15780" s="15" t="s">
        <v>31042</v>
      </c>
      <c r="C15780" s="19">
        <f>2184/(1+B2)</f>
        <v>2184</v>
      </c>
      <c r="D15780" s="17" t="s">
        <v>11</v>
      </c>
      <c r="E15780" s="17" t="s">
        <v>11</v>
      </c>
      <c r="F15780" s="18"/>
      <c r="G15780" s="36" t="str">
        <f>IF(ISNUMBER(F15780),C15780*F15780,"")</f>
        <v/>
      </c>
    </row>
    <row r="15781" spans="1:7" ht="12" customHeight="1" outlineLevel="2" x14ac:dyDescent="0.2">
      <c r="A15781" s="14" t="s">
        <v>31043</v>
      </c>
      <c r="B15781" s="15" t="s">
        <v>31044</v>
      </c>
      <c r="C15781" s="19">
        <f>2087.96/(1+B2)</f>
        <v>2087.96</v>
      </c>
      <c r="D15781" s="17" t="s">
        <v>11</v>
      </c>
      <c r="E15781" s="17" t="s">
        <v>11</v>
      </c>
      <c r="F15781" s="18"/>
      <c r="G15781" s="36" t="str">
        <f>IF(ISNUMBER(F15781),C15781*F15781,"")</f>
        <v/>
      </c>
    </row>
    <row r="15782" spans="1:7" ht="12" customHeight="1" outlineLevel="2" x14ac:dyDescent="0.2">
      <c r="A15782" s="14" t="s">
        <v>31045</v>
      </c>
      <c r="B15782" s="15" t="s">
        <v>31046</v>
      </c>
      <c r="C15782" s="19">
        <f>2210.21/(1+B2)</f>
        <v>2210.21</v>
      </c>
      <c r="D15782" s="17" t="s">
        <v>11</v>
      </c>
      <c r="E15782" s="17"/>
      <c r="F15782" s="18"/>
      <c r="G15782" s="36" t="str">
        <f>IF(ISNUMBER(F15782),C15782*F15782,"")</f>
        <v/>
      </c>
    </row>
    <row r="15783" spans="1:7" ht="12" customHeight="1" outlineLevel="2" x14ac:dyDescent="0.2">
      <c r="A15783" s="14" t="s">
        <v>31047</v>
      </c>
      <c r="B15783" s="15" t="s">
        <v>31048</v>
      </c>
      <c r="C15783" s="19">
        <f>2463.66/(1+B2)</f>
        <v>2463.66</v>
      </c>
      <c r="D15783" s="17" t="s">
        <v>11</v>
      </c>
      <c r="E15783" s="17" t="s">
        <v>11</v>
      </c>
      <c r="F15783" s="18"/>
      <c r="G15783" s="36" t="str">
        <f>IF(ISNUMBER(F15783),C15783*F15783,"")</f>
        <v/>
      </c>
    </row>
    <row r="15784" spans="1:7" ht="12" customHeight="1" outlineLevel="2" x14ac:dyDescent="0.2">
      <c r="A15784" s="14" t="s">
        <v>31049</v>
      </c>
      <c r="B15784" s="15" t="s">
        <v>31050</v>
      </c>
      <c r="C15784" s="19">
        <f>3377.59/(1+B2)</f>
        <v>3377.59</v>
      </c>
      <c r="D15784" s="17" t="s">
        <v>11</v>
      </c>
      <c r="E15784" s="17" t="s">
        <v>11</v>
      </c>
      <c r="F15784" s="18"/>
      <c r="G15784" s="36" t="str">
        <f>IF(ISNUMBER(F15784),C15784*F15784,"")</f>
        <v/>
      </c>
    </row>
    <row r="15785" spans="1:7" ht="12" customHeight="1" outlineLevel="2" x14ac:dyDescent="0.2">
      <c r="A15785" s="14" t="s">
        <v>31051</v>
      </c>
      <c r="B15785" s="15" t="s">
        <v>31052</v>
      </c>
      <c r="C15785" s="19">
        <f>3377.59/(1+B2)</f>
        <v>3377.59</v>
      </c>
      <c r="D15785" s="17" t="s">
        <v>11</v>
      </c>
      <c r="E15785" s="17" t="s">
        <v>11</v>
      </c>
      <c r="F15785" s="18"/>
      <c r="G15785" s="36" t="str">
        <f>IF(ISNUMBER(F15785),C15785*F15785,"")</f>
        <v/>
      </c>
    </row>
    <row r="15786" spans="1:7" ht="12" customHeight="1" outlineLevel="2" x14ac:dyDescent="0.2">
      <c r="A15786" s="14" t="s">
        <v>31053</v>
      </c>
      <c r="B15786" s="15" t="s">
        <v>31054</v>
      </c>
      <c r="C15786" s="19">
        <f>3377.59/(1+B2)</f>
        <v>3377.59</v>
      </c>
      <c r="D15786" s="17" t="s">
        <v>11</v>
      </c>
      <c r="E15786" s="17" t="s">
        <v>11</v>
      </c>
      <c r="F15786" s="18"/>
      <c r="G15786" s="36" t="str">
        <f>IF(ISNUMBER(F15786),C15786*F15786,"")</f>
        <v/>
      </c>
    </row>
    <row r="15787" spans="1:7" ht="12" customHeight="1" outlineLevel="2" x14ac:dyDescent="0.2">
      <c r="A15787" s="14" t="s">
        <v>31055</v>
      </c>
      <c r="B15787" s="15" t="s">
        <v>31056</v>
      </c>
      <c r="C15787" s="19">
        <f>2312.4/(1+B2)</f>
        <v>2312.4</v>
      </c>
      <c r="D15787" s="17" t="s">
        <v>11</v>
      </c>
      <c r="E15787" s="17"/>
      <c r="F15787" s="18"/>
      <c r="G15787" s="36" t="str">
        <f>IF(ISNUMBER(F15787),C15787*F15787,"")</f>
        <v/>
      </c>
    </row>
    <row r="15788" spans="1:7" ht="12" customHeight="1" outlineLevel="2" x14ac:dyDescent="0.2">
      <c r="A15788" s="14" t="s">
        <v>31057</v>
      </c>
      <c r="B15788" s="15" t="s">
        <v>31058</v>
      </c>
      <c r="C15788" s="19">
        <f>3431.52/(1+B2)</f>
        <v>3431.52</v>
      </c>
      <c r="D15788" s="17" t="s">
        <v>11</v>
      </c>
      <c r="E15788" s="17" t="s">
        <v>11</v>
      </c>
      <c r="F15788" s="18"/>
      <c r="G15788" s="36" t="str">
        <f>IF(ISNUMBER(F15788),C15788*F15788,"")</f>
        <v/>
      </c>
    </row>
    <row r="15789" spans="1:7" ht="12" customHeight="1" outlineLevel="2" x14ac:dyDescent="0.2">
      <c r="A15789" s="14" t="s">
        <v>31059</v>
      </c>
      <c r="B15789" s="15" t="s">
        <v>31060</v>
      </c>
      <c r="C15789" s="19">
        <f>2684.28/(1+B2)</f>
        <v>2684.28</v>
      </c>
      <c r="D15789" s="17" t="s">
        <v>11</v>
      </c>
      <c r="E15789" s="17" t="s">
        <v>11</v>
      </c>
      <c r="F15789" s="18"/>
      <c r="G15789" s="36" t="str">
        <f>IF(ISNUMBER(F15789),C15789*F15789,"")</f>
        <v/>
      </c>
    </row>
    <row r="15790" spans="1:7" ht="12" customHeight="1" outlineLevel="2" x14ac:dyDescent="0.2">
      <c r="A15790" s="14" t="s">
        <v>31061</v>
      </c>
      <c r="B15790" s="15" t="s">
        <v>31062</v>
      </c>
      <c r="C15790" s="19">
        <f>3431.5/(1+B2)</f>
        <v>3431.5</v>
      </c>
      <c r="D15790" s="17" t="s">
        <v>11</v>
      </c>
      <c r="E15790" s="17" t="s">
        <v>11</v>
      </c>
      <c r="F15790" s="18"/>
      <c r="G15790" s="36" t="str">
        <f>IF(ISNUMBER(F15790),C15790*F15790,"")</f>
        <v/>
      </c>
    </row>
    <row r="15791" spans="1:7" ht="12" customHeight="1" outlineLevel="2" x14ac:dyDescent="0.2">
      <c r="A15791" s="14" t="s">
        <v>31063</v>
      </c>
      <c r="B15791" s="15" t="s">
        <v>31064</v>
      </c>
      <c r="C15791" s="19">
        <f>2413.13/(1+B2)</f>
        <v>2413.13</v>
      </c>
      <c r="D15791" s="17" t="s">
        <v>11</v>
      </c>
      <c r="E15791" s="17" t="s">
        <v>11</v>
      </c>
      <c r="F15791" s="18"/>
      <c r="G15791" s="36" t="str">
        <f>IF(ISNUMBER(F15791),C15791*F15791,"")</f>
        <v/>
      </c>
    </row>
    <row r="15792" spans="1:7" ht="12" customHeight="1" outlineLevel="2" x14ac:dyDescent="0.2">
      <c r="A15792" s="14" t="s">
        <v>31065</v>
      </c>
      <c r="B15792" s="15" t="s">
        <v>31066</v>
      </c>
      <c r="C15792" s="19">
        <f>2413.13/(1+B2)</f>
        <v>2413.13</v>
      </c>
      <c r="D15792" s="17" t="s">
        <v>11</v>
      </c>
      <c r="E15792" s="17" t="s">
        <v>11</v>
      </c>
      <c r="F15792" s="18"/>
      <c r="G15792" s="36" t="str">
        <f>IF(ISNUMBER(F15792),C15792*F15792,"")</f>
        <v/>
      </c>
    </row>
    <row r="15793" spans="1:7" ht="12" customHeight="1" outlineLevel="2" x14ac:dyDescent="0.2">
      <c r="A15793" s="14" t="s">
        <v>31067</v>
      </c>
      <c r="B15793" s="15" t="s">
        <v>31068</v>
      </c>
      <c r="C15793" s="19">
        <f>3556.62/(1+B2)</f>
        <v>3556.62</v>
      </c>
      <c r="D15793" s="17" t="s">
        <v>11</v>
      </c>
      <c r="E15793" s="17" t="s">
        <v>11</v>
      </c>
      <c r="F15793" s="18"/>
      <c r="G15793" s="36" t="str">
        <f>IF(ISNUMBER(F15793),C15793*F15793,"")</f>
        <v/>
      </c>
    </row>
    <row r="15794" spans="1:7" ht="12" customHeight="1" outlineLevel="2" x14ac:dyDescent="0.2">
      <c r="A15794" s="14" t="s">
        <v>31069</v>
      </c>
      <c r="B15794" s="15" t="s">
        <v>31070</v>
      </c>
      <c r="C15794" s="19">
        <f>3556.62/(1+B2)</f>
        <v>3556.62</v>
      </c>
      <c r="D15794" s="17" t="s">
        <v>11</v>
      </c>
      <c r="E15794" s="17" t="s">
        <v>11</v>
      </c>
      <c r="F15794" s="18"/>
      <c r="G15794" s="36" t="str">
        <f>IF(ISNUMBER(F15794),C15794*F15794,"")</f>
        <v/>
      </c>
    </row>
    <row r="15795" spans="1:7" ht="12" customHeight="1" outlineLevel="2" x14ac:dyDescent="0.2">
      <c r="A15795" s="14" t="s">
        <v>31071</v>
      </c>
      <c r="B15795" s="15" t="s">
        <v>31072</v>
      </c>
      <c r="C15795" s="19">
        <f>3299.52/(1+B2)</f>
        <v>3299.52</v>
      </c>
      <c r="D15795" s="17" t="s">
        <v>11</v>
      </c>
      <c r="E15795" s="17"/>
      <c r="F15795" s="18"/>
      <c r="G15795" s="36" t="str">
        <f>IF(ISNUMBER(F15795),C15795*F15795,"")</f>
        <v/>
      </c>
    </row>
    <row r="15796" spans="1:7" ht="12" customHeight="1" outlineLevel="2" x14ac:dyDescent="0.2">
      <c r="A15796" s="14" t="s">
        <v>31073</v>
      </c>
      <c r="B15796" s="15" t="s">
        <v>31074</v>
      </c>
      <c r="C15796" s="19">
        <f>3377.59/(1+B2)</f>
        <v>3377.59</v>
      </c>
      <c r="D15796" s="17" t="s">
        <v>11</v>
      </c>
      <c r="E15796" s="17"/>
      <c r="F15796" s="18"/>
      <c r="G15796" s="36" t="str">
        <f>IF(ISNUMBER(F15796),C15796*F15796,"")</f>
        <v/>
      </c>
    </row>
    <row r="15797" spans="1:7" ht="12" customHeight="1" outlineLevel="2" x14ac:dyDescent="0.2">
      <c r="A15797" s="14" t="s">
        <v>31075</v>
      </c>
      <c r="B15797" s="15" t="s">
        <v>31076</v>
      </c>
      <c r="C15797" s="19">
        <f>3377.59/(1+B2)</f>
        <v>3377.59</v>
      </c>
      <c r="D15797" s="17" t="s">
        <v>11</v>
      </c>
      <c r="E15797" s="17" t="s">
        <v>11</v>
      </c>
      <c r="F15797" s="18"/>
      <c r="G15797" s="36" t="str">
        <f>IF(ISNUMBER(F15797),C15797*F15797,"")</f>
        <v/>
      </c>
    </row>
    <row r="15798" spans="1:7" ht="12" customHeight="1" outlineLevel="2" x14ac:dyDescent="0.2">
      <c r="A15798" s="14" t="s">
        <v>31077</v>
      </c>
      <c r="B15798" s="15" t="s">
        <v>31078</v>
      </c>
      <c r="C15798" s="19">
        <f>2280.45/(1+B2)</f>
        <v>2280.4499999999998</v>
      </c>
      <c r="D15798" s="17" t="s">
        <v>11</v>
      </c>
      <c r="E15798" s="17"/>
      <c r="F15798" s="18"/>
      <c r="G15798" s="36" t="str">
        <f>IF(ISNUMBER(F15798),C15798*F15798,"")</f>
        <v/>
      </c>
    </row>
    <row r="15799" spans="1:7" ht="24" customHeight="1" outlineLevel="2" x14ac:dyDescent="0.2">
      <c r="A15799" s="14" t="s">
        <v>31079</v>
      </c>
      <c r="B15799" s="15" t="s">
        <v>31080</v>
      </c>
      <c r="C15799" s="19">
        <f>1854.35/(1+B2)</f>
        <v>1854.35</v>
      </c>
      <c r="D15799" s="17" t="s">
        <v>11</v>
      </c>
      <c r="E15799" s="17"/>
      <c r="F15799" s="18"/>
      <c r="G15799" s="36" t="str">
        <f>IF(ISNUMBER(F15799),C15799*F15799,"")</f>
        <v/>
      </c>
    </row>
    <row r="15800" spans="1:7" ht="12" customHeight="1" outlineLevel="2" x14ac:dyDescent="0.2">
      <c r="A15800" s="14" t="s">
        <v>31081</v>
      </c>
      <c r="B15800" s="15" t="s">
        <v>31082</v>
      </c>
      <c r="C15800" s="19">
        <f>3499.97/(1+B2)</f>
        <v>3499.97</v>
      </c>
      <c r="D15800" s="17" t="s">
        <v>11</v>
      </c>
      <c r="E15800" s="17" t="s">
        <v>11</v>
      </c>
      <c r="F15800" s="18"/>
      <c r="G15800" s="36" t="str">
        <f>IF(ISNUMBER(F15800),C15800*F15800,"")</f>
        <v/>
      </c>
    </row>
    <row r="15801" spans="1:7" ht="12" customHeight="1" outlineLevel="2" x14ac:dyDescent="0.2">
      <c r="A15801" s="14" t="s">
        <v>31083</v>
      </c>
      <c r="B15801" s="15" t="s">
        <v>31084</v>
      </c>
      <c r="C15801" s="19">
        <f>1659.71/(1+B2)</f>
        <v>1659.71</v>
      </c>
      <c r="D15801" s="17" t="s">
        <v>11</v>
      </c>
      <c r="E15801" s="17" t="s">
        <v>11</v>
      </c>
      <c r="F15801" s="18"/>
      <c r="G15801" s="36" t="str">
        <f>IF(ISNUMBER(F15801),C15801*F15801,"")</f>
        <v/>
      </c>
    </row>
    <row r="15802" spans="1:7" ht="12" customHeight="1" outlineLevel="2" x14ac:dyDescent="0.2">
      <c r="A15802" s="14" t="s">
        <v>31085</v>
      </c>
      <c r="B15802" s="15" t="s">
        <v>31086</v>
      </c>
      <c r="C15802" s="19">
        <f>2639.52/(1+B2)</f>
        <v>2639.52</v>
      </c>
      <c r="D15802" s="17" t="s">
        <v>11</v>
      </c>
      <c r="E15802" s="17" t="s">
        <v>11</v>
      </c>
      <c r="F15802" s="18"/>
      <c r="G15802" s="36" t="str">
        <f>IF(ISNUMBER(F15802),C15802*F15802,"")</f>
        <v/>
      </c>
    </row>
    <row r="15803" spans="1:7" ht="12" customHeight="1" outlineLevel="2" x14ac:dyDescent="0.2">
      <c r="A15803" s="14" t="s">
        <v>31087</v>
      </c>
      <c r="B15803" s="15" t="s">
        <v>31088</v>
      </c>
      <c r="C15803" s="19">
        <f>2671.34/(1+B2)</f>
        <v>2671.34</v>
      </c>
      <c r="D15803" s="17" t="s">
        <v>11</v>
      </c>
      <c r="E15803" s="17"/>
      <c r="F15803" s="18"/>
      <c r="G15803" s="36" t="str">
        <f>IF(ISNUMBER(F15803),C15803*F15803,"")</f>
        <v/>
      </c>
    </row>
    <row r="15804" spans="1:7" ht="12" customHeight="1" outlineLevel="2" x14ac:dyDescent="0.2">
      <c r="A15804" s="14" t="s">
        <v>31089</v>
      </c>
      <c r="B15804" s="15" t="s">
        <v>31090</v>
      </c>
      <c r="C15804" s="19">
        <f>2639.52/(1+B2)</f>
        <v>2639.52</v>
      </c>
      <c r="D15804" s="17" t="s">
        <v>11</v>
      </c>
      <c r="E15804" s="17" t="s">
        <v>11</v>
      </c>
      <c r="F15804" s="18"/>
      <c r="G15804" s="36" t="str">
        <f>IF(ISNUMBER(F15804),C15804*F15804,"")</f>
        <v/>
      </c>
    </row>
    <row r="15805" spans="1:7" ht="12" customHeight="1" outlineLevel="2" x14ac:dyDescent="0.2">
      <c r="A15805" s="14" t="s">
        <v>31091</v>
      </c>
      <c r="B15805" s="15" t="s">
        <v>31092</v>
      </c>
      <c r="C15805" s="19">
        <f>2259.82/(1+B2)</f>
        <v>2259.8200000000002</v>
      </c>
      <c r="D15805" s="17" t="s">
        <v>11</v>
      </c>
      <c r="E15805" s="17" t="s">
        <v>11</v>
      </c>
      <c r="F15805" s="18"/>
      <c r="G15805" s="36" t="str">
        <f>IF(ISNUMBER(F15805),C15805*F15805,"")</f>
        <v/>
      </c>
    </row>
    <row r="15806" spans="1:7" ht="12" customHeight="1" outlineLevel="2" x14ac:dyDescent="0.2">
      <c r="A15806" s="14" t="s">
        <v>31093</v>
      </c>
      <c r="B15806" s="15" t="s">
        <v>31094</v>
      </c>
      <c r="C15806" s="19">
        <f>3189.64/(1+B2)</f>
        <v>3189.64</v>
      </c>
      <c r="D15806" s="17" t="s">
        <v>11</v>
      </c>
      <c r="E15806" s="17"/>
      <c r="F15806" s="18"/>
      <c r="G15806" s="36" t="str">
        <f>IF(ISNUMBER(F15806),C15806*F15806,"")</f>
        <v/>
      </c>
    </row>
    <row r="15807" spans="1:7" ht="12" customHeight="1" outlineLevel="2" x14ac:dyDescent="0.2">
      <c r="A15807" s="14" t="s">
        <v>31095</v>
      </c>
      <c r="B15807" s="15" t="s">
        <v>31096</v>
      </c>
      <c r="C15807" s="19">
        <f>2661.36/(1+B2)</f>
        <v>2661.36</v>
      </c>
      <c r="D15807" s="17" t="s">
        <v>11</v>
      </c>
      <c r="E15807" s="17" t="s">
        <v>11</v>
      </c>
      <c r="F15807" s="18"/>
      <c r="G15807" s="36" t="str">
        <f>IF(ISNUMBER(F15807),C15807*F15807,"")</f>
        <v/>
      </c>
    </row>
    <row r="15808" spans="1:7" ht="12" customHeight="1" outlineLevel="2" x14ac:dyDescent="0.2">
      <c r="A15808" s="14" t="s">
        <v>31097</v>
      </c>
      <c r="B15808" s="15" t="s">
        <v>31098</v>
      </c>
      <c r="C15808" s="19">
        <f>2661.36/(1+B2)</f>
        <v>2661.36</v>
      </c>
      <c r="D15808" s="17" t="s">
        <v>11</v>
      </c>
      <c r="E15808" s="17" t="s">
        <v>11</v>
      </c>
      <c r="F15808" s="18"/>
      <c r="G15808" s="36" t="str">
        <f>IF(ISNUMBER(F15808),C15808*F15808,"")</f>
        <v/>
      </c>
    </row>
    <row r="15809" spans="1:7" ht="12" customHeight="1" outlineLevel="2" x14ac:dyDescent="0.2">
      <c r="A15809" s="14" t="s">
        <v>31099</v>
      </c>
      <c r="B15809" s="15" t="s">
        <v>31100</v>
      </c>
      <c r="C15809" s="19">
        <f>2977.01/(1+B2)</f>
        <v>2977.01</v>
      </c>
      <c r="D15809" s="17" t="s">
        <v>11</v>
      </c>
      <c r="E15809" s="17" t="s">
        <v>11</v>
      </c>
      <c r="F15809" s="18"/>
      <c r="G15809" s="36" t="str">
        <f>IF(ISNUMBER(F15809),C15809*F15809,"")</f>
        <v/>
      </c>
    </row>
    <row r="15810" spans="1:7" ht="12" customHeight="1" outlineLevel="2" x14ac:dyDescent="0.2">
      <c r="A15810" s="14" t="s">
        <v>31101</v>
      </c>
      <c r="B15810" s="15" t="s">
        <v>31102</v>
      </c>
      <c r="C15810" s="19">
        <f>2977.01/(1+B2)</f>
        <v>2977.01</v>
      </c>
      <c r="D15810" s="17" t="s">
        <v>11</v>
      </c>
      <c r="E15810" s="17" t="s">
        <v>11</v>
      </c>
      <c r="F15810" s="18"/>
      <c r="G15810" s="36" t="str">
        <f>IF(ISNUMBER(F15810),C15810*F15810,"")</f>
        <v/>
      </c>
    </row>
    <row r="15811" spans="1:7" ht="12" customHeight="1" outlineLevel="2" x14ac:dyDescent="0.2">
      <c r="A15811" s="14" t="s">
        <v>31103</v>
      </c>
      <c r="B15811" s="15" t="s">
        <v>31104</v>
      </c>
      <c r="C15811" s="19">
        <f>3189.64/(1+B2)</f>
        <v>3189.64</v>
      </c>
      <c r="D15811" s="17" t="s">
        <v>11</v>
      </c>
      <c r="E15811" s="17" t="s">
        <v>11</v>
      </c>
      <c r="F15811" s="18"/>
      <c r="G15811" s="36" t="str">
        <f>IF(ISNUMBER(F15811),C15811*F15811,"")</f>
        <v/>
      </c>
    </row>
    <row r="15812" spans="1:7" ht="12" customHeight="1" outlineLevel="2" x14ac:dyDescent="0.2">
      <c r="A15812" s="14" t="s">
        <v>31105</v>
      </c>
      <c r="B15812" s="15" t="s">
        <v>31106</v>
      </c>
      <c r="C15812" s="19">
        <f>2977.01/(1+B2)</f>
        <v>2977.01</v>
      </c>
      <c r="D15812" s="17" t="s">
        <v>11</v>
      </c>
      <c r="E15812" s="17" t="s">
        <v>11</v>
      </c>
      <c r="F15812" s="18"/>
      <c r="G15812" s="36" t="str">
        <f>IF(ISNUMBER(F15812),C15812*F15812,"")</f>
        <v/>
      </c>
    </row>
    <row r="15813" spans="1:7" ht="12" customHeight="1" outlineLevel="2" x14ac:dyDescent="0.2">
      <c r="A15813" s="14" t="s">
        <v>31107</v>
      </c>
      <c r="B15813" s="15" t="s">
        <v>31108</v>
      </c>
      <c r="C15813" s="19">
        <f>2977.01/(1+B2)</f>
        <v>2977.01</v>
      </c>
      <c r="D15813" s="17" t="s">
        <v>11</v>
      </c>
      <c r="E15813" s="17"/>
      <c r="F15813" s="18"/>
      <c r="G15813" s="36" t="str">
        <f>IF(ISNUMBER(F15813),C15813*F15813,"")</f>
        <v/>
      </c>
    </row>
    <row r="15814" spans="1:7" ht="12" customHeight="1" outlineLevel="2" x14ac:dyDescent="0.2">
      <c r="A15814" s="14" t="s">
        <v>31109</v>
      </c>
      <c r="B15814" s="15" t="s">
        <v>31110</v>
      </c>
      <c r="C15814" s="19">
        <f>2661.36/(1+B2)</f>
        <v>2661.36</v>
      </c>
      <c r="D15814" s="17" t="s">
        <v>11</v>
      </c>
      <c r="E15814" s="17" t="s">
        <v>11</v>
      </c>
      <c r="F15814" s="18"/>
      <c r="G15814" s="36" t="str">
        <f>IF(ISNUMBER(F15814),C15814*F15814,"")</f>
        <v/>
      </c>
    </row>
    <row r="15815" spans="1:7" ht="12" customHeight="1" outlineLevel="2" x14ac:dyDescent="0.2">
      <c r="A15815" s="14" t="s">
        <v>31111</v>
      </c>
      <c r="B15815" s="15" t="s">
        <v>31112</v>
      </c>
      <c r="C15815" s="19">
        <f>2661.36/(1+B2)</f>
        <v>2661.36</v>
      </c>
      <c r="D15815" s="17" t="s">
        <v>11</v>
      </c>
      <c r="E15815" s="17" t="s">
        <v>11</v>
      </c>
      <c r="F15815" s="18"/>
      <c r="G15815" s="36" t="str">
        <f>IF(ISNUMBER(F15815),C15815*F15815,"")</f>
        <v/>
      </c>
    </row>
    <row r="15816" spans="1:7" ht="12" customHeight="1" outlineLevel="2" x14ac:dyDescent="0.2">
      <c r="A15816" s="14" t="s">
        <v>31113</v>
      </c>
      <c r="B15816" s="15" t="s">
        <v>31114</v>
      </c>
      <c r="C15816" s="19">
        <f>3220.21/(1+B2)</f>
        <v>3220.21</v>
      </c>
      <c r="D15816" s="17" t="s">
        <v>11</v>
      </c>
      <c r="E15816" s="17" t="s">
        <v>11</v>
      </c>
      <c r="F15816" s="18"/>
      <c r="G15816" s="36" t="str">
        <f>IF(ISNUMBER(F15816),C15816*F15816,"")</f>
        <v/>
      </c>
    </row>
    <row r="15817" spans="1:7" ht="12" customHeight="1" outlineLevel="2" x14ac:dyDescent="0.2">
      <c r="A15817" s="14" t="s">
        <v>31115</v>
      </c>
      <c r="B15817" s="15" t="s">
        <v>31116</v>
      </c>
      <c r="C15817" s="19">
        <f>3220.21/(1+B2)</f>
        <v>3220.21</v>
      </c>
      <c r="D15817" s="17" t="s">
        <v>11</v>
      </c>
      <c r="E15817" s="17" t="s">
        <v>11</v>
      </c>
      <c r="F15817" s="18"/>
      <c r="G15817" s="36" t="str">
        <f>IF(ISNUMBER(F15817),C15817*F15817,"")</f>
        <v/>
      </c>
    </row>
    <row r="15818" spans="1:7" ht="12" customHeight="1" outlineLevel="2" x14ac:dyDescent="0.2">
      <c r="A15818" s="14" t="s">
        <v>31117</v>
      </c>
      <c r="B15818" s="15" t="s">
        <v>31118</v>
      </c>
      <c r="C15818" s="19">
        <f>3189.64/(1+B2)</f>
        <v>3189.64</v>
      </c>
      <c r="D15818" s="17" t="s">
        <v>11</v>
      </c>
      <c r="E15818" s="17" t="s">
        <v>11</v>
      </c>
      <c r="F15818" s="18"/>
      <c r="G15818" s="36" t="str">
        <f>IF(ISNUMBER(F15818),C15818*F15818,"")</f>
        <v/>
      </c>
    </row>
    <row r="15819" spans="1:7" ht="12" customHeight="1" outlineLevel="2" x14ac:dyDescent="0.2">
      <c r="A15819" s="14" t="s">
        <v>31119</v>
      </c>
      <c r="B15819" s="15" t="s">
        <v>31120</v>
      </c>
      <c r="C15819" s="19">
        <f>2977.01/(1+B2)</f>
        <v>2977.01</v>
      </c>
      <c r="D15819" s="17" t="s">
        <v>11</v>
      </c>
      <c r="E15819" s="17" t="s">
        <v>11</v>
      </c>
      <c r="F15819" s="18"/>
      <c r="G15819" s="36" t="str">
        <f>IF(ISNUMBER(F15819),C15819*F15819,"")</f>
        <v/>
      </c>
    </row>
    <row r="15820" spans="1:7" ht="12" customHeight="1" outlineLevel="2" x14ac:dyDescent="0.2">
      <c r="A15820" s="14" t="s">
        <v>31121</v>
      </c>
      <c r="B15820" s="15" t="s">
        <v>31122</v>
      </c>
      <c r="C15820" s="19">
        <f>2977.01/(1+B2)</f>
        <v>2977.01</v>
      </c>
      <c r="D15820" s="17" t="s">
        <v>11</v>
      </c>
      <c r="E15820" s="17" t="s">
        <v>11</v>
      </c>
      <c r="F15820" s="18"/>
      <c r="G15820" s="36" t="str">
        <f>IF(ISNUMBER(F15820),C15820*F15820,"")</f>
        <v/>
      </c>
    </row>
    <row r="15821" spans="1:7" s="1" customFormat="1" ht="15.95" customHeight="1" outlineLevel="1" x14ac:dyDescent="0.25">
      <c r="A15821" s="11"/>
      <c r="B15821" s="12" t="s">
        <v>31123</v>
      </c>
      <c r="C15821" s="13"/>
      <c r="D15821" s="13"/>
      <c r="E15821" s="13"/>
      <c r="F15821" s="13"/>
      <c r="G15821" s="35"/>
    </row>
    <row r="15822" spans="1:7" ht="12" customHeight="1" outlineLevel="2" x14ac:dyDescent="0.2">
      <c r="A15822" s="14" t="s">
        <v>31124</v>
      </c>
      <c r="B15822" s="15" t="s">
        <v>31125</v>
      </c>
      <c r="C15822" s="16">
        <f>213.42/(1+B2)</f>
        <v>213.42</v>
      </c>
      <c r="D15822" s="17" t="s">
        <v>11</v>
      </c>
      <c r="E15822" s="17" t="s">
        <v>11</v>
      </c>
      <c r="F15822" s="18"/>
      <c r="G15822" s="36" t="str">
        <f>IF(ISNUMBER(F15822),C15822*F15822,"")</f>
        <v/>
      </c>
    </row>
    <row r="15823" spans="1:7" ht="12" customHeight="1" outlineLevel="2" x14ac:dyDescent="0.2">
      <c r="A15823" s="14" t="s">
        <v>31126</v>
      </c>
      <c r="B15823" s="15" t="s">
        <v>31127</v>
      </c>
      <c r="C15823" s="16">
        <f>203.7/(1+B2)</f>
        <v>203.7</v>
      </c>
      <c r="D15823" s="17" t="s">
        <v>11</v>
      </c>
      <c r="E15823" s="17" t="s">
        <v>11</v>
      </c>
      <c r="F15823" s="18"/>
      <c r="G15823" s="36" t="str">
        <f>IF(ISNUMBER(F15823),C15823*F15823,"")</f>
        <v/>
      </c>
    </row>
    <row r="15824" spans="1:7" ht="12" customHeight="1" outlineLevel="2" x14ac:dyDescent="0.2">
      <c r="A15824" s="14" t="s">
        <v>31128</v>
      </c>
      <c r="B15824" s="15" t="s">
        <v>31129</v>
      </c>
      <c r="C15824" s="16">
        <f>406.62/(1+B2)</f>
        <v>406.62</v>
      </c>
      <c r="D15824" s="17" t="s">
        <v>11</v>
      </c>
      <c r="E15824" s="17" t="s">
        <v>11</v>
      </c>
      <c r="F15824" s="18"/>
      <c r="G15824" s="36" t="str">
        <f>IF(ISNUMBER(F15824),C15824*F15824,"")</f>
        <v/>
      </c>
    </row>
    <row r="15825" spans="1:7" ht="12" customHeight="1" outlineLevel="2" x14ac:dyDescent="0.2">
      <c r="A15825" s="14" t="s">
        <v>31130</v>
      </c>
      <c r="B15825" s="15" t="s">
        <v>31131</v>
      </c>
      <c r="C15825" s="16">
        <f>291.72/(1+B2)</f>
        <v>291.72000000000003</v>
      </c>
      <c r="D15825" s="17" t="s">
        <v>11</v>
      </c>
      <c r="E15825" s="17" t="s">
        <v>14</v>
      </c>
      <c r="F15825" s="18"/>
      <c r="G15825" s="36" t="str">
        <f>IF(ISNUMBER(F15825),C15825*F15825,"")</f>
        <v/>
      </c>
    </row>
    <row r="15826" spans="1:7" ht="12" customHeight="1" outlineLevel="2" x14ac:dyDescent="0.2">
      <c r="A15826" s="14" t="s">
        <v>31132</v>
      </c>
      <c r="B15826" s="15" t="s">
        <v>31133</v>
      </c>
      <c r="C15826" s="16">
        <f>228.3/(1+B2)</f>
        <v>228.3</v>
      </c>
      <c r="D15826" s="17" t="s">
        <v>11</v>
      </c>
      <c r="E15826" s="17"/>
      <c r="F15826" s="18"/>
      <c r="G15826" s="36" t="str">
        <f>IF(ISNUMBER(F15826),C15826*F15826,"")</f>
        <v/>
      </c>
    </row>
    <row r="15827" spans="1:7" ht="12" customHeight="1" outlineLevel="2" x14ac:dyDescent="0.2">
      <c r="A15827" s="14" t="s">
        <v>31134</v>
      </c>
      <c r="B15827" s="15" t="s">
        <v>31135</v>
      </c>
      <c r="C15827" s="16">
        <f>163.43/(1+B2)</f>
        <v>163.43</v>
      </c>
      <c r="D15827" s="17" t="s">
        <v>11</v>
      </c>
      <c r="E15827" s="17" t="s">
        <v>11</v>
      </c>
      <c r="F15827" s="18"/>
      <c r="G15827" s="36" t="str">
        <f>IF(ISNUMBER(F15827),C15827*F15827,"")</f>
        <v/>
      </c>
    </row>
    <row r="15828" spans="1:7" ht="12" customHeight="1" outlineLevel="2" x14ac:dyDescent="0.2">
      <c r="A15828" s="14" t="s">
        <v>31136</v>
      </c>
      <c r="B15828" s="15" t="s">
        <v>31137</v>
      </c>
      <c r="C15828" s="16">
        <f>218.7/(1+B2)</f>
        <v>218.7</v>
      </c>
      <c r="D15828" s="17" t="s">
        <v>11</v>
      </c>
      <c r="E15828" s="17"/>
      <c r="F15828" s="18"/>
      <c r="G15828" s="36" t="str">
        <f>IF(ISNUMBER(F15828),C15828*F15828,"")</f>
        <v/>
      </c>
    </row>
    <row r="15829" spans="1:7" ht="12" customHeight="1" outlineLevel="2" x14ac:dyDescent="0.2">
      <c r="A15829" s="14" t="s">
        <v>31138</v>
      </c>
      <c r="B15829" s="15" t="s">
        <v>31139</v>
      </c>
      <c r="C15829" s="16">
        <f>221.16/(1+B2)</f>
        <v>221.16</v>
      </c>
      <c r="D15829" s="17" t="s">
        <v>11</v>
      </c>
      <c r="E15829" s="17"/>
      <c r="F15829" s="18"/>
      <c r="G15829" s="36" t="str">
        <f>IF(ISNUMBER(F15829),C15829*F15829,"")</f>
        <v/>
      </c>
    </row>
    <row r="15830" spans="1:7" ht="12" customHeight="1" outlineLevel="2" x14ac:dyDescent="0.2">
      <c r="A15830" s="14" t="s">
        <v>31140</v>
      </c>
      <c r="B15830" s="15" t="s">
        <v>31141</v>
      </c>
      <c r="C15830" s="16">
        <f>356.46/(1+B2)</f>
        <v>356.46</v>
      </c>
      <c r="D15830" s="17" t="s">
        <v>11</v>
      </c>
      <c r="E15830" s="17"/>
      <c r="F15830" s="18"/>
      <c r="G15830" s="36" t="str">
        <f>IF(ISNUMBER(F15830),C15830*F15830,"")</f>
        <v/>
      </c>
    </row>
    <row r="15831" spans="1:7" ht="12" customHeight="1" outlineLevel="2" x14ac:dyDescent="0.2">
      <c r="A15831" s="14" t="s">
        <v>31142</v>
      </c>
      <c r="B15831" s="15" t="s">
        <v>31143</v>
      </c>
      <c r="C15831" s="16">
        <f>144.72/(1+B2)</f>
        <v>144.72</v>
      </c>
      <c r="D15831" s="17" t="s">
        <v>11</v>
      </c>
      <c r="E15831" s="17"/>
      <c r="F15831" s="18"/>
      <c r="G15831" s="36" t="str">
        <f>IF(ISNUMBER(F15831),C15831*F15831,"")</f>
        <v/>
      </c>
    </row>
    <row r="15832" spans="1:7" ht="12" customHeight="1" outlineLevel="2" x14ac:dyDescent="0.2">
      <c r="A15832" s="14" t="s">
        <v>31144</v>
      </c>
      <c r="B15832" s="15" t="s">
        <v>31145</v>
      </c>
      <c r="C15832" s="16">
        <f>219.48/(1+B2)</f>
        <v>219.48</v>
      </c>
      <c r="D15832" s="17" t="s">
        <v>11</v>
      </c>
      <c r="E15832" s="17" t="s">
        <v>11</v>
      </c>
      <c r="F15832" s="18"/>
      <c r="G15832" s="36" t="str">
        <f>IF(ISNUMBER(F15832),C15832*F15832,"")</f>
        <v/>
      </c>
    </row>
    <row r="15833" spans="1:7" ht="12" customHeight="1" outlineLevel="2" x14ac:dyDescent="0.2">
      <c r="A15833" s="14" t="s">
        <v>31146</v>
      </c>
      <c r="B15833" s="15" t="s">
        <v>31147</v>
      </c>
      <c r="C15833" s="16">
        <f>276.9/(1+B2)</f>
        <v>276.89999999999998</v>
      </c>
      <c r="D15833" s="17" t="s">
        <v>11</v>
      </c>
      <c r="E15833" s="17"/>
      <c r="F15833" s="18"/>
      <c r="G15833" s="36" t="str">
        <f>IF(ISNUMBER(F15833),C15833*F15833,"")</f>
        <v/>
      </c>
    </row>
    <row r="15834" spans="1:7" s="1" customFormat="1" ht="15.95" customHeight="1" outlineLevel="1" x14ac:dyDescent="0.25">
      <c r="A15834" s="11"/>
      <c r="B15834" s="12" t="s">
        <v>31148</v>
      </c>
      <c r="C15834" s="13"/>
      <c r="D15834" s="13"/>
      <c r="E15834" s="13"/>
      <c r="F15834" s="13"/>
      <c r="G15834" s="35"/>
    </row>
    <row r="15835" spans="1:7" ht="12" customHeight="1" outlineLevel="2" x14ac:dyDescent="0.2">
      <c r="A15835" s="14" t="s">
        <v>31149</v>
      </c>
      <c r="B15835" s="15" t="s">
        <v>31150</v>
      </c>
      <c r="C15835" s="19">
        <f>1377.23/(1+B2)</f>
        <v>1377.23</v>
      </c>
      <c r="D15835" s="17" t="s">
        <v>11</v>
      </c>
      <c r="E15835" s="17"/>
      <c r="F15835" s="18"/>
      <c r="G15835" s="36" t="str">
        <f>IF(ISNUMBER(F15835),C15835*F15835,"")</f>
        <v/>
      </c>
    </row>
    <row r="15836" spans="1:7" ht="24" customHeight="1" outlineLevel="2" x14ac:dyDescent="0.2">
      <c r="A15836" s="14" t="s">
        <v>31151</v>
      </c>
      <c r="B15836" s="15" t="s">
        <v>31152</v>
      </c>
      <c r="C15836" s="16">
        <f>967.79/(1+B2)</f>
        <v>967.79</v>
      </c>
      <c r="D15836" s="17" t="s">
        <v>11</v>
      </c>
      <c r="E15836" s="17" t="s">
        <v>11</v>
      </c>
      <c r="F15836" s="18"/>
      <c r="G15836" s="36" t="str">
        <f>IF(ISNUMBER(F15836),C15836*F15836,"")</f>
        <v/>
      </c>
    </row>
    <row r="15837" spans="1:7" s="1" customFormat="1" ht="15.95" customHeight="1" outlineLevel="1" x14ac:dyDescent="0.25">
      <c r="A15837" s="11"/>
      <c r="B15837" s="12" t="s">
        <v>31153</v>
      </c>
      <c r="C15837" s="13"/>
      <c r="D15837" s="13"/>
      <c r="E15837" s="13"/>
      <c r="F15837" s="13"/>
      <c r="G15837" s="35"/>
    </row>
    <row r="15838" spans="1:7" ht="12" customHeight="1" outlineLevel="2" x14ac:dyDescent="0.2">
      <c r="A15838" s="14" t="s">
        <v>31154</v>
      </c>
      <c r="B15838" s="15" t="s">
        <v>31155</v>
      </c>
      <c r="C15838" s="19">
        <f>1336.61/(1+B2)</f>
        <v>1336.61</v>
      </c>
      <c r="D15838" s="17" t="s">
        <v>11</v>
      </c>
      <c r="E15838" s="17" t="s">
        <v>11</v>
      </c>
      <c r="F15838" s="18"/>
      <c r="G15838" s="36" t="str">
        <f>IF(ISNUMBER(F15838),C15838*F15838,"")</f>
        <v/>
      </c>
    </row>
    <row r="15839" spans="1:7" ht="12" customHeight="1" outlineLevel="2" x14ac:dyDescent="0.2">
      <c r="A15839" s="14" t="s">
        <v>31156</v>
      </c>
      <c r="B15839" s="15" t="s">
        <v>31157</v>
      </c>
      <c r="C15839" s="19">
        <f>1035.5/(1+B2)</f>
        <v>1035.5</v>
      </c>
      <c r="D15839" s="17" t="s">
        <v>11</v>
      </c>
      <c r="E15839" s="17" t="s">
        <v>11</v>
      </c>
      <c r="F15839" s="18"/>
      <c r="G15839" s="36" t="str">
        <f>IF(ISNUMBER(F15839),C15839*F15839,"")</f>
        <v/>
      </c>
    </row>
    <row r="15840" spans="1:7" ht="12" customHeight="1" outlineLevel="2" x14ac:dyDescent="0.2">
      <c r="A15840" s="14" t="s">
        <v>31158</v>
      </c>
      <c r="B15840" s="15" t="s">
        <v>31159</v>
      </c>
      <c r="C15840" s="19">
        <f>1035.5/(1+B2)</f>
        <v>1035.5</v>
      </c>
      <c r="D15840" s="17" t="s">
        <v>11</v>
      </c>
      <c r="E15840" s="17" t="s">
        <v>11</v>
      </c>
      <c r="F15840" s="18"/>
      <c r="G15840" s="36" t="str">
        <f>IF(ISNUMBER(F15840),C15840*F15840,"")</f>
        <v/>
      </c>
    </row>
    <row r="15841" spans="1:7" ht="12" customHeight="1" outlineLevel="2" x14ac:dyDescent="0.2">
      <c r="A15841" s="14" t="s">
        <v>31160</v>
      </c>
      <c r="B15841" s="15" t="s">
        <v>31161</v>
      </c>
      <c r="C15841" s="19">
        <f>1035.5/(1+B2)</f>
        <v>1035.5</v>
      </c>
      <c r="D15841" s="17" t="s">
        <v>11</v>
      </c>
      <c r="E15841" s="17" t="s">
        <v>11</v>
      </c>
      <c r="F15841" s="18"/>
      <c r="G15841" s="36" t="str">
        <f>IF(ISNUMBER(F15841),C15841*F15841,"")</f>
        <v/>
      </c>
    </row>
    <row r="15842" spans="1:7" ht="12" customHeight="1" outlineLevel="2" x14ac:dyDescent="0.2">
      <c r="A15842" s="14" t="s">
        <v>31162</v>
      </c>
      <c r="B15842" s="15" t="s">
        <v>31163</v>
      </c>
      <c r="C15842" s="19">
        <f>1336.61/(1+B2)</f>
        <v>1336.61</v>
      </c>
      <c r="D15842" s="17" t="s">
        <v>11</v>
      </c>
      <c r="E15842" s="17" t="s">
        <v>11</v>
      </c>
      <c r="F15842" s="18"/>
      <c r="G15842" s="36" t="str">
        <f>IF(ISNUMBER(F15842),C15842*F15842,"")</f>
        <v/>
      </c>
    </row>
    <row r="15843" spans="1:7" ht="12" customHeight="1" outlineLevel="2" x14ac:dyDescent="0.2">
      <c r="A15843" s="14" t="s">
        <v>31164</v>
      </c>
      <c r="B15843" s="15" t="s">
        <v>31165</v>
      </c>
      <c r="C15843" s="19">
        <f>1336.61/(1+B2)</f>
        <v>1336.61</v>
      </c>
      <c r="D15843" s="17" t="s">
        <v>11</v>
      </c>
      <c r="E15843" s="17" t="s">
        <v>11</v>
      </c>
      <c r="F15843" s="18"/>
      <c r="G15843" s="36" t="str">
        <f>IF(ISNUMBER(F15843),C15843*F15843,"")</f>
        <v/>
      </c>
    </row>
    <row r="15844" spans="1:7" ht="12" customHeight="1" outlineLevel="2" x14ac:dyDescent="0.2">
      <c r="A15844" s="14" t="s">
        <v>31166</v>
      </c>
      <c r="B15844" s="15" t="s">
        <v>31167</v>
      </c>
      <c r="C15844" s="19">
        <f>1902.1/(1+B2)</f>
        <v>1902.1</v>
      </c>
      <c r="D15844" s="17" t="s">
        <v>11</v>
      </c>
      <c r="E15844" s="17" t="s">
        <v>11</v>
      </c>
      <c r="F15844" s="18"/>
      <c r="G15844" s="36" t="str">
        <f>IF(ISNUMBER(F15844),C15844*F15844,"")</f>
        <v/>
      </c>
    </row>
    <row r="15845" spans="1:7" ht="12" customHeight="1" outlineLevel="2" x14ac:dyDescent="0.2">
      <c r="A15845" s="14" t="s">
        <v>31168</v>
      </c>
      <c r="B15845" s="15" t="s">
        <v>31169</v>
      </c>
      <c r="C15845" s="19">
        <f>1902.1/(1+B2)</f>
        <v>1902.1</v>
      </c>
      <c r="D15845" s="17" t="s">
        <v>11</v>
      </c>
      <c r="E15845" s="17" t="s">
        <v>11</v>
      </c>
      <c r="F15845" s="18"/>
      <c r="G15845" s="36" t="str">
        <f>IF(ISNUMBER(F15845),C15845*F15845,"")</f>
        <v/>
      </c>
    </row>
    <row r="15846" spans="1:7" ht="12" customHeight="1" outlineLevel="2" x14ac:dyDescent="0.2">
      <c r="A15846" s="14" t="s">
        <v>31170</v>
      </c>
      <c r="B15846" s="15" t="s">
        <v>31171</v>
      </c>
      <c r="C15846" s="19">
        <f>2181.17/(1+B2)</f>
        <v>2181.17</v>
      </c>
      <c r="D15846" s="17" t="s">
        <v>11</v>
      </c>
      <c r="E15846" s="17" t="s">
        <v>11</v>
      </c>
      <c r="F15846" s="18"/>
      <c r="G15846" s="36" t="str">
        <f>IF(ISNUMBER(F15846),C15846*F15846,"")</f>
        <v/>
      </c>
    </row>
    <row r="15847" spans="1:7" ht="12" customHeight="1" outlineLevel="2" x14ac:dyDescent="0.2">
      <c r="A15847" s="14" t="s">
        <v>31172</v>
      </c>
      <c r="B15847" s="15" t="s">
        <v>31173</v>
      </c>
      <c r="C15847" s="16">
        <f>576/(1+B2)</f>
        <v>576</v>
      </c>
      <c r="D15847" s="17" t="s">
        <v>11</v>
      </c>
      <c r="E15847" s="17"/>
      <c r="F15847" s="18"/>
      <c r="G15847" s="36" t="str">
        <f>IF(ISNUMBER(F15847),C15847*F15847,"")</f>
        <v/>
      </c>
    </row>
    <row r="15848" spans="1:7" ht="12" customHeight="1" outlineLevel="2" x14ac:dyDescent="0.2">
      <c r="A15848" s="14" t="s">
        <v>31174</v>
      </c>
      <c r="B15848" s="15" t="s">
        <v>31175</v>
      </c>
      <c r="C15848" s="19">
        <f>1255.82/(1+B2)</f>
        <v>1255.82</v>
      </c>
      <c r="D15848" s="17" t="s">
        <v>11</v>
      </c>
      <c r="E15848" s="17"/>
      <c r="F15848" s="18"/>
      <c r="G15848" s="36" t="str">
        <f>IF(ISNUMBER(F15848),C15848*F15848,"")</f>
        <v/>
      </c>
    </row>
    <row r="15849" spans="1:7" ht="12" customHeight="1" outlineLevel="2" x14ac:dyDescent="0.2">
      <c r="A15849" s="14" t="s">
        <v>31176</v>
      </c>
      <c r="B15849" s="15" t="s">
        <v>31177</v>
      </c>
      <c r="C15849" s="19">
        <f>1255.82/(1+B2)</f>
        <v>1255.82</v>
      </c>
      <c r="D15849" s="17" t="s">
        <v>11</v>
      </c>
      <c r="E15849" s="17" t="s">
        <v>11</v>
      </c>
      <c r="F15849" s="18"/>
      <c r="G15849" s="36" t="str">
        <f>IF(ISNUMBER(F15849),C15849*F15849,"")</f>
        <v/>
      </c>
    </row>
    <row r="15850" spans="1:7" ht="12" customHeight="1" outlineLevel="2" x14ac:dyDescent="0.2">
      <c r="A15850" s="14" t="s">
        <v>31178</v>
      </c>
      <c r="B15850" s="15" t="s">
        <v>31179</v>
      </c>
      <c r="C15850" s="19">
        <f>1255.82/(1+B2)</f>
        <v>1255.82</v>
      </c>
      <c r="D15850" s="17" t="s">
        <v>11</v>
      </c>
      <c r="E15850" s="17" t="s">
        <v>11</v>
      </c>
      <c r="F15850" s="18"/>
      <c r="G15850" s="36" t="str">
        <f>IF(ISNUMBER(F15850),C15850*F15850,"")</f>
        <v/>
      </c>
    </row>
    <row r="15851" spans="1:7" ht="12" customHeight="1" outlineLevel="2" x14ac:dyDescent="0.2">
      <c r="A15851" s="14" t="s">
        <v>31180</v>
      </c>
      <c r="B15851" s="15" t="s">
        <v>31181</v>
      </c>
      <c r="C15851" s="19">
        <f>1569.06/(1+B2)</f>
        <v>1569.06</v>
      </c>
      <c r="D15851" s="17" t="s">
        <v>11</v>
      </c>
      <c r="E15851" s="17" t="s">
        <v>11</v>
      </c>
      <c r="F15851" s="18"/>
      <c r="G15851" s="36" t="str">
        <f>IF(ISNUMBER(F15851),C15851*F15851,"")</f>
        <v/>
      </c>
    </row>
    <row r="15852" spans="1:7" ht="12" customHeight="1" outlineLevel="2" x14ac:dyDescent="0.2">
      <c r="A15852" s="14" t="s">
        <v>31182</v>
      </c>
      <c r="B15852" s="15" t="s">
        <v>31183</v>
      </c>
      <c r="C15852" s="19">
        <f>1569.06/(1+B2)</f>
        <v>1569.06</v>
      </c>
      <c r="D15852" s="17" t="s">
        <v>11</v>
      </c>
      <c r="E15852" s="17" t="s">
        <v>11</v>
      </c>
      <c r="F15852" s="18"/>
      <c r="G15852" s="36" t="str">
        <f>IF(ISNUMBER(F15852),C15852*F15852,"")</f>
        <v/>
      </c>
    </row>
    <row r="15853" spans="1:7" ht="12" customHeight="1" outlineLevel="2" x14ac:dyDescent="0.2">
      <c r="A15853" s="14" t="s">
        <v>31184</v>
      </c>
      <c r="B15853" s="15" t="s">
        <v>31185</v>
      </c>
      <c r="C15853" s="19">
        <f>1569.06/(1+B2)</f>
        <v>1569.06</v>
      </c>
      <c r="D15853" s="17" t="s">
        <v>11</v>
      </c>
      <c r="E15853" s="17" t="s">
        <v>11</v>
      </c>
      <c r="F15853" s="18"/>
      <c r="G15853" s="36" t="str">
        <f>IF(ISNUMBER(F15853),C15853*F15853,"")</f>
        <v/>
      </c>
    </row>
    <row r="15854" spans="1:7" ht="12" customHeight="1" outlineLevel="2" x14ac:dyDescent="0.2">
      <c r="A15854" s="14" t="s">
        <v>31186</v>
      </c>
      <c r="B15854" s="15" t="s">
        <v>31187</v>
      </c>
      <c r="C15854" s="19">
        <f>1569.06/(1+B2)</f>
        <v>1569.06</v>
      </c>
      <c r="D15854" s="17" t="s">
        <v>11</v>
      </c>
      <c r="E15854" s="17" t="s">
        <v>11</v>
      </c>
      <c r="F15854" s="18"/>
      <c r="G15854" s="36" t="str">
        <f>IF(ISNUMBER(F15854),C15854*F15854,"")</f>
        <v/>
      </c>
    </row>
    <row r="15855" spans="1:7" ht="12" customHeight="1" outlineLevel="2" x14ac:dyDescent="0.2">
      <c r="A15855" s="14" t="s">
        <v>31188</v>
      </c>
      <c r="B15855" s="15" t="s">
        <v>31189</v>
      </c>
      <c r="C15855" s="19">
        <f>1569.06/(1+B2)</f>
        <v>1569.06</v>
      </c>
      <c r="D15855" s="17" t="s">
        <v>11</v>
      </c>
      <c r="E15855" s="17" t="s">
        <v>11</v>
      </c>
      <c r="F15855" s="18"/>
      <c r="G15855" s="36" t="str">
        <f>IF(ISNUMBER(F15855),C15855*F15855,"")</f>
        <v/>
      </c>
    </row>
    <row r="15856" spans="1:7" ht="12" customHeight="1" outlineLevel="2" x14ac:dyDescent="0.2">
      <c r="A15856" s="14" t="s">
        <v>31190</v>
      </c>
      <c r="B15856" s="15" t="s">
        <v>31191</v>
      </c>
      <c r="C15856" s="16">
        <f>113.36/(1+B2)</f>
        <v>113.36</v>
      </c>
      <c r="D15856" s="17" t="s">
        <v>11</v>
      </c>
      <c r="E15856" s="17" t="s">
        <v>11</v>
      </c>
      <c r="F15856" s="18"/>
      <c r="G15856" s="36" t="str">
        <f>IF(ISNUMBER(F15856),C15856*F15856,"")</f>
        <v/>
      </c>
    </row>
    <row r="15857" spans="1:7" ht="12" customHeight="1" outlineLevel="2" x14ac:dyDescent="0.2">
      <c r="A15857" s="14" t="s">
        <v>31192</v>
      </c>
      <c r="B15857" s="15" t="s">
        <v>31193</v>
      </c>
      <c r="C15857" s="16">
        <f>57.1/(1+B2)</f>
        <v>57.1</v>
      </c>
      <c r="D15857" s="17" t="s">
        <v>11</v>
      </c>
      <c r="E15857" s="17"/>
      <c r="F15857" s="18"/>
      <c r="G15857" s="36" t="str">
        <f>IF(ISNUMBER(F15857),C15857*F15857,"")</f>
        <v/>
      </c>
    </row>
    <row r="15858" spans="1:7" ht="12" customHeight="1" outlineLevel="2" x14ac:dyDescent="0.2">
      <c r="A15858" s="14" t="s">
        <v>31194</v>
      </c>
      <c r="B15858" s="15" t="s">
        <v>31195</v>
      </c>
      <c r="C15858" s="16">
        <f>272.54/(1+B2)</f>
        <v>272.54000000000002</v>
      </c>
      <c r="D15858" s="17" t="s">
        <v>11</v>
      </c>
      <c r="E15858" s="17"/>
      <c r="F15858" s="18"/>
      <c r="G15858" s="36" t="str">
        <f>IF(ISNUMBER(F15858),C15858*F15858,"")</f>
        <v/>
      </c>
    </row>
    <row r="15859" spans="1:7" ht="12" customHeight="1" outlineLevel="2" x14ac:dyDescent="0.2">
      <c r="A15859" s="14" t="s">
        <v>31196</v>
      </c>
      <c r="B15859" s="15" t="s">
        <v>31197</v>
      </c>
      <c r="C15859" s="16">
        <f>54.79/(1+B2)</f>
        <v>54.79</v>
      </c>
      <c r="D15859" s="17" t="s">
        <v>11</v>
      </c>
      <c r="E15859" s="17"/>
      <c r="F15859" s="18"/>
      <c r="G15859" s="36" t="str">
        <f>IF(ISNUMBER(F15859),C15859*F15859,"")</f>
        <v/>
      </c>
    </row>
    <row r="15860" spans="1:7" ht="12" customHeight="1" outlineLevel="2" x14ac:dyDescent="0.2">
      <c r="A15860" s="14" t="s">
        <v>31198</v>
      </c>
      <c r="B15860" s="15" t="s">
        <v>31199</v>
      </c>
      <c r="C15860" s="16">
        <f>290.96/(1+B2)</f>
        <v>290.95999999999998</v>
      </c>
      <c r="D15860" s="17" t="s">
        <v>11</v>
      </c>
      <c r="E15860" s="17"/>
      <c r="F15860" s="18"/>
      <c r="G15860" s="36" t="str">
        <f>IF(ISNUMBER(F15860),C15860*F15860,"")</f>
        <v/>
      </c>
    </row>
    <row r="15861" spans="1:7" ht="12" customHeight="1" outlineLevel="2" x14ac:dyDescent="0.2">
      <c r="A15861" s="14" t="s">
        <v>31200</v>
      </c>
      <c r="B15861" s="15" t="s">
        <v>31201</v>
      </c>
      <c r="C15861" s="16">
        <f>98.23/(1+B2)</f>
        <v>98.23</v>
      </c>
      <c r="D15861" s="17" t="s">
        <v>11</v>
      </c>
      <c r="E15861" s="17"/>
      <c r="F15861" s="18"/>
      <c r="G15861" s="36" t="str">
        <f>IF(ISNUMBER(F15861),C15861*F15861,"")</f>
        <v/>
      </c>
    </row>
    <row r="15862" spans="1:7" ht="12" customHeight="1" outlineLevel="2" x14ac:dyDescent="0.2">
      <c r="A15862" s="14" t="s">
        <v>31202</v>
      </c>
      <c r="B15862" s="15" t="s">
        <v>31203</v>
      </c>
      <c r="C15862" s="16">
        <f>136.53/(1+B2)</f>
        <v>136.53</v>
      </c>
      <c r="D15862" s="17" t="s">
        <v>11</v>
      </c>
      <c r="E15862" s="17"/>
      <c r="F15862" s="18"/>
      <c r="G15862" s="36" t="str">
        <f>IF(ISNUMBER(F15862),C15862*F15862,"")</f>
        <v/>
      </c>
    </row>
    <row r="15863" spans="1:7" ht="12" customHeight="1" outlineLevel="2" x14ac:dyDescent="0.2">
      <c r="A15863" s="14" t="s">
        <v>31204</v>
      </c>
      <c r="B15863" s="15" t="s">
        <v>31205</v>
      </c>
      <c r="C15863" s="16">
        <f>136.53/(1+B2)</f>
        <v>136.53</v>
      </c>
      <c r="D15863" s="17" t="s">
        <v>14</v>
      </c>
      <c r="E15863" s="17" t="s">
        <v>11</v>
      </c>
      <c r="F15863" s="18"/>
      <c r="G15863" s="36" t="str">
        <f>IF(ISNUMBER(F15863),C15863*F15863,"")</f>
        <v/>
      </c>
    </row>
    <row r="15864" spans="1:7" ht="12" customHeight="1" outlineLevel="2" x14ac:dyDescent="0.2">
      <c r="A15864" s="14" t="s">
        <v>31206</v>
      </c>
      <c r="B15864" s="15" t="s">
        <v>31207</v>
      </c>
      <c r="C15864" s="16">
        <f>136.53/(1+B2)</f>
        <v>136.53</v>
      </c>
      <c r="D15864" s="17" t="s">
        <v>11</v>
      </c>
      <c r="E15864" s="17"/>
      <c r="F15864" s="18"/>
      <c r="G15864" s="36" t="str">
        <f>IF(ISNUMBER(F15864),C15864*F15864,"")</f>
        <v/>
      </c>
    </row>
    <row r="15865" spans="1:7" ht="12" customHeight="1" outlineLevel="2" x14ac:dyDescent="0.2">
      <c r="A15865" s="14" t="s">
        <v>31208</v>
      </c>
      <c r="B15865" s="15" t="s">
        <v>31209</v>
      </c>
      <c r="C15865" s="16">
        <f>151.2/(1+B2)</f>
        <v>151.19999999999999</v>
      </c>
      <c r="D15865" s="17" t="s">
        <v>11</v>
      </c>
      <c r="E15865" s="17"/>
      <c r="F15865" s="18"/>
      <c r="G15865" s="36" t="str">
        <f>IF(ISNUMBER(F15865),C15865*F15865,"")</f>
        <v/>
      </c>
    </row>
    <row r="15866" spans="1:7" ht="12" customHeight="1" outlineLevel="2" x14ac:dyDescent="0.2">
      <c r="A15866" s="14" t="s">
        <v>31210</v>
      </c>
      <c r="B15866" s="15" t="s">
        <v>31211</v>
      </c>
      <c r="C15866" s="16">
        <f>151.2/(1+B2)</f>
        <v>151.19999999999999</v>
      </c>
      <c r="D15866" s="17" t="s">
        <v>11</v>
      </c>
      <c r="E15866" s="17"/>
      <c r="F15866" s="18"/>
      <c r="G15866" s="36" t="str">
        <f>IF(ISNUMBER(F15866),C15866*F15866,"")</f>
        <v/>
      </c>
    </row>
    <row r="15867" spans="1:7" ht="12" customHeight="1" outlineLevel="2" x14ac:dyDescent="0.2">
      <c r="A15867" s="14" t="s">
        <v>31212</v>
      </c>
      <c r="B15867" s="15" t="s">
        <v>31213</v>
      </c>
      <c r="C15867" s="16">
        <f>151.2/(1+B2)</f>
        <v>151.19999999999999</v>
      </c>
      <c r="D15867" s="17" t="s">
        <v>11</v>
      </c>
      <c r="E15867" s="17" t="s">
        <v>11</v>
      </c>
      <c r="F15867" s="18"/>
      <c r="G15867" s="36" t="str">
        <f>IF(ISNUMBER(F15867),C15867*F15867,"")</f>
        <v/>
      </c>
    </row>
    <row r="15868" spans="1:7" ht="12" customHeight="1" outlineLevel="2" x14ac:dyDescent="0.2">
      <c r="A15868" s="14" t="s">
        <v>31214</v>
      </c>
      <c r="B15868" s="15" t="s">
        <v>31215</v>
      </c>
      <c r="C15868" s="16">
        <f>208.8/(1+B2)</f>
        <v>208.8</v>
      </c>
      <c r="D15868" s="17" t="s">
        <v>11</v>
      </c>
      <c r="E15868" s="17" t="s">
        <v>11</v>
      </c>
      <c r="F15868" s="18"/>
      <c r="G15868" s="36" t="str">
        <f>IF(ISNUMBER(F15868),C15868*F15868,"")</f>
        <v/>
      </c>
    </row>
    <row r="15869" spans="1:7" ht="12" customHeight="1" outlineLevel="2" x14ac:dyDescent="0.2">
      <c r="A15869" s="14" t="s">
        <v>31216</v>
      </c>
      <c r="B15869" s="15" t="s">
        <v>31217</v>
      </c>
      <c r="C15869" s="16">
        <f>208.8/(1+B2)</f>
        <v>208.8</v>
      </c>
      <c r="D15869" s="17" t="s">
        <v>11</v>
      </c>
      <c r="E15869" s="17" t="s">
        <v>11</v>
      </c>
      <c r="F15869" s="18"/>
      <c r="G15869" s="36" t="str">
        <f>IF(ISNUMBER(F15869),C15869*F15869,"")</f>
        <v/>
      </c>
    </row>
    <row r="15870" spans="1:7" ht="12" customHeight="1" outlineLevel="2" x14ac:dyDescent="0.2">
      <c r="A15870" s="14" t="s">
        <v>31218</v>
      </c>
      <c r="B15870" s="15" t="s">
        <v>31219</v>
      </c>
      <c r="C15870" s="16">
        <f>208.8/(1+B2)</f>
        <v>208.8</v>
      </c>
      <c r="D15870" s="17" t="s">
        <v>11</v>
      </c>
      <c r="E15870" s="17" t="s">
        <v>11</v>
      </c>
      <c r="F15870" s="18"/>
      <c r="G15870" s="36" t="str">
        <f>IF(ISNUMBER(F15870),C15870*F15870,"")</f>
        <v/>
      </c>
    </row>
    <row r="15871" spans="1:7" ht="12" customHeight="1" outlineLevel="2" x14ac:dyDescent="0.2">
      <c r="A15871" s="14" t="s">
        <v>31220</v>
      </c>
      <c r="B15871" s="15" t="s">
        <v>31221</v>
      </c>
      <c r="C15871" s="16">
        <f>114.79/(1+B2)</f>
        <v>114.79</v>
      </c>
      <c r="D15871" s="17" t="s">
        <v>14</v>
      </c>
      <c r="E15871" s="17"/>
      <c r="F15871" s="18"/>
      <c r="G15871" s="36" t="str">
        <f>IF(ISNUMBER(F15871),C15871*F15871,"")</f>
        <v/>
      </c>
    </row>
    <row r="15872" spans="1:7" ht="12" customHeight="1" outlineLevel="2" x14ac:dyDescent="0.2">
      <c r="A15872" s="14" t="s">
        <v>31222</v>
      </c>
      <c r="B15872" s="15" t="s">
        <v>31223</v>
      </c>
      <c r="C15872" s="19">
        <f>2606.4/(1+B2)</f>
        <v>2606.4</v>
      </c>
      <c r="D15872" s="17" t="s">
        <v>11</v>
      </c>
      <c r="E15872" s="17" t="s">
        <v>11</v>
      </c>
      <c r="F15872" s="18"/>
      <c r="G15872" s="36" t="str">
        <f>IF(ISNUMBER(F15872),C15872*F15872,"")</f>
        <v/>
      </c>
    </row>
    <row r="15873" spans="1:7" ht="12" customHeight="1" outlineLevel="2" x14ac:dyDescent="0.2">
      <c r="A15873" s="14" t="s">
        <v>31224</v>
      </c>
      <c r="B15873" s="15" t="s">
        <v>31225</v>
      </c>
      <c r="C15873" s="19">
        <f>2606.4/(1+B2)</f>
        <v>2606.4</v>
      </c>
      <c r="D15873" s="17" t="s">
        <v>11</v>
      </c>
      <c r="E15873" s="17" t="s">
        <v>11</v>
      </c>
      <c r="F15873" s="18"/>
      <c r="G15873" s="36" t="str">
        <f>IF(ISNUMBER(F15873),C15873*F15873,"")</f>
        <v/>
      </c>
    </row>
    <row r="15874" spans="1:7" ht="12" customHeight="1" outlineLevel="2" x14ac:dyDescent="0.2">
      <c r="A15874" s="14" t="s">
        <v>31226</v>
      </c>
      <c r="B15874" s="15" t="s">
        <v>31227</v>
      </c>
      <c r="C15874" s="19">
        <f>2606.4/(1+B2)</f>
        <v>2606.4</v>
      </c>
      <c r="D15874" s="17" t="s">
        <v>11</v>
      </c>
      <c r="E15874" s="17" t="s">
        <v>11</v>
      </c>
      <c r="F15874" s="18"/>
      <c r="G15874" s="36" t="str">
        <f>IF(ISNUMBER(F15874),C15874*F15874,"")</f>
        <v/>
      </c>
    </row>
    <row r="15875" spans="1:7" ht="12" customHeight="1" outlineLevel="2" x14ac:dyDescent="0.2">
      <c r="A15875" s="14" t="s">
        <v>31228</v>
      </c>
      <c r="B15875" s="15" t="s">
        <v>31229</v>
      </c>
      <c r="C15875" s="19">
        <f>2247.26/(1+B2)</f>
        <v>2247.2600000000002</v>
      </c>
      <c r="D15875" s="17" t="s">
        <v>11</v>
      </c>
      <c r="E15875" s="17" t="s">
        <v>11</v>
      </c>
      <c r="F15875" s="18"/>
      <c r="G15875" s="36" t="str">
        <f>IF(ISNUMBER(F15875),C15875*F15875,"")</f>
        <v/>
      </c>
    </row>
    <row r="15876" spans="1:7" ht="12" customHeight="1" outlineLevel="2" x14ac:dyDescent="0.2">
      <c r="A15876" s="14" t="s">
        <v>31230</v>
      </c>
      <c r="B15876" s="15" t="s">
        <v>31231</v>
      </c>
      <c r="C15876" s="19">
        <f>2247.26/(1+B2)</f>
        <v>2247.2600000000002</v>
      </c>
      <c r="D15876" s="17" t="s">
        <v>11</v>
      </c>
      <c r="E15876" s="17" t="s">
        <v>11</v>
      </c>
      <c r="F15876" s="18"/>
      <c r="G15876" s="36" t="str">
        <f>IF(ISNUMBER(F15876),C15876*F15876,"")</f>
        <v/>
      </c>
    </row>
    <row r="15877" spans="1:7" ht="12" customHeight="1" outlineLevel="2" x14ac:dyDescent="0.2">
      <c r="A15877" s="14" t="s">
        <v>31232</v>
      </c>
      <c r="B15877" s="15" t="s">
        <v>31233</v>
      </c>
      <c r="C15877" s="19">
        <f>2247.26/(1+B2)</f>
        <v>2247.2600000000002</v>
      </c>
      <c r="D15877" s="17" t="s">
        <v>11</v>
      </c>
      <c r="E15877" s="17" t="s">
        <v>11</v>
      </c>
      <c r="F15877" s="18"/>
      <c r="G15877" s="36" t="str">
        <f>IF(ISNUMBER(F15877),C15877*F15877,"")</f>
        <v/>
      </c>
    </row>
    <row r="15878" spans="1:7" ht="12" customHeight="1" outlineLevel="2" x14ac:dyDescent="0.2">
      <c r="A15878" s="14" t="s">
        <v>31234</v>
      </c>
      <c r="B15878" s="15" t="s">
        <v>31235</v>
      </c>
      <c r="C15878" s="19">
        <f>2247.26/(1+B2)</f>
        <v>2247.2600000000002</v>
      </c>
      <c r="D15878" s="17" t="s">
        <v>11</v>
      </c>
      <c r="E15878" s="17" t="s">
        <v>11</v>
      </c>
      <c r="F15878" s="18"/>
      <c r="G15878" s="36" t="str">
        <f>IF(ISNUMBER(F15878),C15878*F15878,"")</f>
        <v/>
      </c>
    </row>
    <row r="15879" spans="1:7" ht="12" customHeight="1" outlineLevel="2" x14ac:dyDescent="0.2">
      <c r="A15879" s="14" t="s">
        <v>31236</v>
      </c>
      <c r="B15879" s="15" t="s">
        <v>31237</v>
      </c>
      <c r="C15879" s="19">
        <f>1274.4/(1+B2)</f>
        <v>1274.4000000000001</v>
      </c>
      <c r="D15879" s="17" t="s">
        <v>11</v>
      </c>
      <c r="E15879" s="17" t="s">
        <v>11</v>
      </c>
      <c r="F15879" s="18"/>
      <c r="G15879" s="36" t="str">
        <f>IF(ISNUMBER(F15879),C15879*F15879,"")</f>
        <v/>
      </c>
    </row>
    <row r="15880" spans="1:7" ht="12" customHeight="1" outlineLevel="2" x14ac:dyDescent="0.2">
      <c r="A15880" s="14" t="s">
        <v>31238</v>
      </c>
      <c r="B15880" s="15" t="s">
        <v>31239</v>
      </c>
      <c r="C15880" s="19">
        <f>1274.4/(1+B2)</f>
        <v>1274.4000000000001</v>
      </c>
      <c r="D15880" s="17" t="s">
        <v>11</v>
      </c>
      <c r="E15880" s="17" t="s">
        <v>11</v>
      </c>
      <c r="F15880" s="18"/>
      <c r="G15880" s="36" t="str">
        <f>IF(ISNUMBER(F15880),C15880*F15880,"")</f>
        <v/>
      </c>
    </row>
    <row r="15881" spans="1:7" ht="12" customHeight="1" outlineLevel="2" x14ac:dyDescent="0.2">
      <c r="A15881" s="14" t="s">
        <v>31240</v>
      </c>
      <c r="B15881" s="15" t="s">
        <v>31241</v>
      </c>
      <c r="C15881" s="19">
        <f>1274.4/(1+B2)</f>
        <v>1274.4000000000001</v>
      </c>
      <c r="D15881" s="17" t="s">
        <v>11</v>
      </c>
      <c r="E15881" s="17" t="s">
        <v>11</v>
      </c>
      <c r="F15881" s="18"/>
      <c r="G15881" s="36" t="str">
        <f>IF(ISNUMBER(F15881),C15881*F15881,"")</f>
        <v/>
      </c>
    </row>
    <row r="15882" spans="1:7" ht="12" customHeight="1" outlineLevel="2" x14ac:dyDescent="0.2">
      <c r="A15882" s="14" t="s">
        <v>31242</v>
      </c>
      <c r="B15882" s="15" t="s">
        <v>31243</v>
      </c>
      <c r="C15882" s="19">
        <f>1349.05/(1+B2)</f>
        <v>1349.05</v>
      </c>
      <c r="D15882" s="17" t="s">
        <v>11</v>
      </c>
      <c r="E15882" s="17" t="s">
        <v>11</v>
      </c>
      <c r="F15882" s="18"/>
      <c r="G15882" s="36" t="str">
        <f>IF(ISNUMBER(F15882),C15882*F15882,"")</f>
        <v/>
      </c>
    </row>
    <row r="15883" spans="1:7" ht="12" customHeight="1" outlineLevel="2" x14ac:dyDescent="0.2">
      <c r="A15883" s="14" t="s">
        <v>31244</v>
      </c>
      <c r="B15883" s="15" t="s">
        <v>31245</v>
      </c>
      <c r="C15883" s="19">
        <f>1449.08/(1+B2)</f>
        <v>1449.08</v>
      </c>
      <c r="D15883" s="17" t="s">
        <v>11</v>
      </c>
      <c r="E15883" s="17"/>
      <c r="F15883" s="18"/>
      <c r="G15883" s="36" t="str">
        <f>IF(ISNUMBER(F15883),C15883*F15883,"")</f>
        <v/>
      </c>
    </row>
    <row r="15884" spans="1:7" ht="12" customHeight="1" outlineLevel="2" x14ac:dyDescent="0.2">
      <c r="A15884" s="14" t="s">
        <v>31246</v>
      </c>
      <c r="B15884" s="15" t="s">
        <v>31247</v>
      </c>
      <c r="C15884" s="16">
        <f>988.2/(1+B2)</f>
        <v>988.2</v>
      </c>
      <c r="D15884" s="17" t="s">
        <v>11</v>
      </c>
      <c r="E15884" s="17" t="s">
        <v>11</v>
      </c>
      <c r="F15884" s="18"/>
      <c r="G15884" s="36" t="str">
        <f>IF(ISNUMBER(F15884),C15884*F15884,"")</f>
        <v/>
      </c>
    </row>
    <row r="15885" spans="1:7" ht="12" customHeight="1" outlineLevel="2" x14ac:dyDescent="0.2">
      <c r="A15885" s="14" t="s">
        <v>31248</v>
      </c>
      <c r="B15885" s="15" t="s">
        <v>31249</v>
      </c>
      <c r="C15885" s="16">
        <f>988.2/(1+B2)</f>
        <v>988.2</v>
      </c>
      <c r="D15885" s="17" t="s">
        <v>11</v>
      </c>
      <c r="E15885" s="17" t="s">
        <v>11</v>
      </c>
      <c r="F15885" s="18"/>
      <c r="G15885" s="36" t="str">
        <f>IF(ISNUMBER(F15885),C15885*F15885,"")</f>
        <v/>
      </c>
    </row>
    <row r="15886" spans="1:7" ht="12" customHeight="1" outlineLevel="2" x14ac:dyDescent="0.2">
      <c r="A15886" s="14" t="s">
        <v>31250</v>
      </c>
      <c r="B15886" s="15" t="s">
        <v>31251</v>
      </c>
      <c r="C15886" s="16">
        <f>988.2/(1+B2)</f>
        <v>988.2</v>
      </c>
      <c r="D15886" s="17" t="s">
        <v>11</v>
      </c>
      <c r="E15886" s="17" t="s">
        <v>11</v>
      </c>
      <c r="F15886" s="18"/>
      <c r="G15886" s="36" t="str">
        <f>IF(ISNUMBER(F15886),C15886*F15886,"")</f>
        <v/>
      </c>
    </row>
    <row r="15887" spans="1:7" ht="12" customHeight="1" outlineLevel="2" x14ac:dyDescent="0.2">
      <c r="A15887" s="14" t="s">
        <v>31252</v>
      </c>
      <c r="B15887" s="15" t="s">
        <v>31253</v>
      </c>
      <c r="C15887" s="19">
        <f>1068.72/(1+B2)</f>
        <v>1068.72</v>
      </c>
      <c r="D15887" s="17" t="s">
        <v>11</v>
      </c>
      <c r="E15887" s="17"/>
      <c r="F15887" s="18"/>
      <c r="G15887" s="36" t="str">
        <f>IF(ISNUMBER(F15887),C15887*F15887,"")</f>
        <v/>
      </c>
    </row>
    <row r="15888" spans="1:7" ht="12" customHeight="1" outlineLevel="2" x14ac:dyDescent="0.2">
      <c r="A15888" s="14" t="s">
        <v>31254</v>
      </c>
      <c r="B15888" s="15" t="s">
        <v>31255</v>
      </c>
      <c r="C15888" s="19">
        <f>1068.72/(1+B2)</f>
        <v>1068.72</v>
      </c>
      <c r="D15888" s="17" t="s">
        <v>11</v>
      </c>
      <c r="E15888" s="17"/>
      <c r="F15888" s="18"/>
      <c r="G15888" s="36" t="str">
        <f>IF(ISNUMBER(F15888),C15888*F15888,"")</f>
        <v/>
      </c>
    </row>
    <row r="15889" spans="1:7" ht="12" customHeight="1" outlineLevel="2" x14ac:dyDescent="0.2">
      <c r="A15889" s="14" t="s">
        <v>31256</v>
      </c>
      <c r="B15889" s="15" t="s">
        <v>31257</v>
      </c>
      <c r="C15889" s="19">
        <f>1328.4/(1+B2)</f>
        <v>1328.4</v>
      </c>
      <c r="D15889" s="17" t="s">
        <v>11</v>
      </c>
      <c r="E15889" s="17"/>
      <c r="F15889" s="18"/>
      <c r="G15889" s="36" t="str">
        <f>IF(ISNUMBER(F15889),C15889*F15889,"")</f>
        <v/>
      </c>
    </row>
    <row r="15890" spans="1:7" ht="12" customHeight="1" outlineLevel="2" x14ac:dyDescent="0.2">
      <c r="A15890" s="14" t="s">
        <v>31258</v>
      </c>
      <c r="B15890" s="15" t="s">
        <v>31259</v>
      </c>
      <c r="C15890" s="19">
        <f>1932.48/(1+B2)</f>
        <v>1932.48</v>
      </c>
      <c r="D15890" s="17" t="s">
        <v>11</v>
      </c>
      <c r="E15890" s="17"/>
      <c r="F15890" s="18"/>
      <c r="G15890" s="36" t="str">
        <f>IF(ISNUMBER(F15890),C15890*F15890,"")</f>
        <v/>
      </c>
    </row>
    <row r="15891" spans="1:7" ht="12" customHeight="1" outlineLevel="2" x14ac:dyDescent="0.2">
      <c r="A15891" s="14" t="s">
        <v>31260</v>
      </c>
      <c r="B15891" s="15" t="s">
        <v>31261</v>
      </c>
      <c r="C15891" s="19">
        <f>1932.48/(1+B2)</f>
        <v>1932.48</v>
      </c>
      <c r="D15891" s="17" t="s">
        <v>11</v>
      </c>
      <c r="E15891" s="17" t="s">
        <v>11</v>
      </c>
      <c r="F15891" s="18"/>
      <c r="G15891" s="36" t="str">
        <f>IF(ISNUMBER(F15891),C15891*F15891,"")</f>
        <v/>
      </c>
    </row>
    <row r="15892" spans="1:7" ht="12" customHeight="1" outlineLevel="2" x14ac:dyDescent="0.2">
      <c r="A15892" s="14" t="s">
        <v>31262</v>
      </c>
      <c r="B15892" s="15" t="s">
        <v>31263</v>
      </c>
      <c r="C15892" s="19">
        <f>1932.48/(1+B2)</f>
        <v>1932.48</v>
      </c>
      <c r="D15892" s="17" t="s">
        <v>11</v>
      </c>
      <c r="E15892" s="17" t="s">
        <v>11</v>
      </c>
      <c r="F15892" s="18"/>
      <c r="G15892" s="36" t="str">
        <f>IF(ISNUMBER(F15892),C15892*F15892,"")</f>
        <v/>
      </c>
    </row>
    <row r="15893" spans="1:7" ht="12" customHeight="1" outlineLevel="2" x14ac:dyDescent="0.2">
      <c r="A15893" s="14" t="s">
        <v>31264</v>
      </c>
      <c r="B15893" s="15" t="s">
        <v>31265</v>
      </c>
      <c r="C15893" s="19">
        <f>1932.48/(1+B2)</f>
        <v>1932.48</v>
      </c>
      <c r="D15893" s="17" t="s">
        <v>11</v>
      </c>
      <c r="E15893" s="17" t="s">
        <v>11</v>
      </c>
      <c r="F15893" s="18"/>
      <c r="G15893" s="36" t="str">
        <f>IF(ISNUMBER(F15893),C15893*F15893,"")</f>
        <v/>
      </c>
    </row>
    <row r="15894" spans="1:7" s="1" customFormat="1" ht="15.95" customHeight="1" outlineLevel="1" x14ac:dyDescent="0.25">
      <c r="A15894" s="11"/>
      <c r="B15894" s="12" t="s">
        <v>31266</v>
      </c>
      <c r="C15894" s="13"/>
      <c r="D15894" s="13"/>
      <c r="E15894" s="13"/>
      <c r="F15894" s="13"/>
      <c r="G15894" s="35"/>
    </row>
    <row r="15895" spans="1:7" ht="12" customHeight="1" outlineLevel="2" x14ac:dyDescent="0.2">
      <c r="A15895" s="14" t="s">
        <v>31267</v>
      </c>
      <c r="B15895" s="15" t="s">
        <v>31268</v>
      </c>
      <c r="C15895" s="19">
        <f>1209.6/(1+B2)</f>
        <v>1209.5999999999999</v>
      </c>
      <c r="D15895" s="17" t="s">
        <v>11</v>
      </c>
      <c r="E15895" s="17" t="s">
        <v>11</v>
      </c>
      <c r="F15895" s="18"/>
      <c r="G15895" s="36" t="str">
        <f>IF(ISNUMBER(F15895),C15895*F15895,"")</f>
        <v/>
      </c>
    </row>
    <row r="15896" spans="1:7" ht="12" customHeight="1" outlineLevel="2" x14ac:dyDescent="0.2">
      <c r="A15896" s="14" t="s">
        <v>31269</v>
      </c>
      <c r="B15896" s="15" t="s">
        <v>31270</v>
      </c>
      <c r="C15896" s="19">
        <f>1209.6/(1+B2)</f>
        <v>1209.5999999999999</v>
      </c>
      <c r="D15896" s="17" t="s">
        <v>11</v>
      </c>
      <c r="E15896" s="17" t="s">
        <v>11</v>
      </c>
      <c r="F15896" s="18"/>
      <c r="G15896" s="36" t="str">
        <f>IF(ISNUMBER(F15896),C15896*F15896,"")</f>
        <v/>
      </c>
    </row>
    <row r="15897" spans="1:7" ht="12" customHeight="1" outlineLevel="2" x14ac:dyDescent="0.2">
      <c r="A15897" s="14" t="s">
        <v>31271</v>
      </c>
      <c r="B15897" s="15" t="s">
        <v>31272</v>
      </c>
      <c r="C15897" s="19">
        <f>1209.6/(1+B2)</f>
        <v>1209.5999999999999</v>
      </c>
      <c r="D15897" s="17" t="s">
        <v>11</v>
      </c>
      <c r="E15897" s="17" t="s">
        <v>11</v>
      </c>
      <c r="F15897" s="18"/>
      <c r="G15897" s="36" t="str">
        <f>IF(ISNUMBER(F15897),C15897*F15897,"")</f>
        <v/>
      </c>
    </row>
    <row r="15898" spans="1:7" ht="12" customHeight="1" outlineLevel="2" x14ac:dyDescent="0.2">
      <c r="A15898" s="14" t="s">
        <v>31273</v>
      </c>
      <c r="B15898" s="15" t="s">
        <v>31274</v>
      </c>
      <c r="C15898" s="19">
        <f>2567.12/(1+B2)</f>
        <v>2567.12</v>
      </c>
      <c r="D15898" s="17" t="s">
        <v>11</v>
      </c>
      <c r="E15898" s="17" t="s">
        <v>11</v>
      </c>
      <c r="F15898" s="18"/>
      <c r="G15898" s="36" t="str">
        <f>IF(ISNUMBER(F15898),C15898*F15898,"")</f>
        <v/>
      </c>
    </row>
    <row r="15899" spans="1:7" ht="12" customHeight="1" outlineLevel="2" x14ac:dyDescent="0.2">
      <c r="A15899" s="14" t="s">
        <v>31275</v>
      </c>
      <c r="B15899" s="15" t="s">
        <v>31276</v>
      </c>
      <c r="C15899" s="19">
        <f>2567.12/(1+B2)</f>
        <v>2567.12</v>
      </c>
      <c r="D15899" s="17" t="s">
        <v>11</v>
      </c>
      <c r="E15899" s="17" t="s">
        <v>11</v>
      </c>
      <c r="F15899" s="18"/>
      <c r="G15899" s="36" t="str">
        <f>IF(ISNUMBER(F15899),C15899*F15899,"")</f>
        <v/>
      </c>
    </row>
    <row r="15900" spans="1:7" ht="12" customHeight="1" outlineLevel="2" x14ac:dyDescent="0.2">
      <c r="A15900" s="14" t="s">
        <v>31277</v>
      </c>
      <c r="B15900" s="15" t="s">
        <v>31278</v>
      </c>
      <c r="C15900" s="19">
        <f>2567.12/(1+B2)</f>
        <v>2567.12</v>
      </c>
      <c r="D15900" s="17" t="s">
        <v>11</v>
      </c>
      <c r="E15900" s="17"/>
      <c r="F15900" s="18"/>
      <c r="G15900" s="36" t="str">
        <f>IF(ISNUMBER(F15900),C15900*F15900,"")</f>
        <v/>
      </c>
    </row>
    <row r="15901" spans="1:7" ht="12" customHeight="1" outlineLevel="2" x14ac:dyDescent="0.2">
      <c r="A15901" s="14" t="s">
        <v>31279</v>
      </c>
      <c r="B15901" s="15" t="s">
        <v>31280</v>
      </c>
      <c r="C15901" s="19">
        <f>2567.12/(1+B2)</f>
        <v>2567.12</v>
      </c>
      <c r="D15901" s="17" t="s">
        <v>11</v>
      </c>
      <c r="E15901" s="17" t="s">
        <v>11</v>
      </c>
      <c r="F15901" s="18"/>
      <c r="G15901" s="36" t="str">
        <f>IF(ISNUMBER(F15901),C15901*F15901,"")</f>
        <v/>
      </c>
    </row>
    <row r="15902" spans="1:7" ht="12" customHeight="1" outlineLevel="2" x14ac:dyDescent="0.2">
      <c r="A15902" s="14" t="s">
        <v>31281</v>
      </c>
      <c r="B15902" s="15" t="s">
        <v>31282</v>
      </c>
      <c r="C15902" s="19">
        <f>2567.12/(1+B2)</f>
        <v>2567.12</v>
      </c>
      <c r="D15902" s="17" t="s">
        <v>11</v>
      </c>
      <c r="E15902" s="17"/>
      <c r="F15902" s="18"/>
      <c r="G15902" s="36" t="str">
        <f>IF(ISNUMBER(F15902),C15902*F15902,"")</f>
        <v/>
      </c>
    </row>
    <row r="15903" spans="1:7" ht="24" customHeight="1" outlineLevel="2" x14ac:dyDescent="0.2">
      <c r="A15903" s="14" t="s">
        <v>31283</v>
      </c>
      <c r="B15903" s="15" t="s">
        <v>31284</v>
      </c>
      <c r="C15903" s="19">
        <f>6459.26/(1+B2)</f>
        <v>6459.26</v>
      </c>
      <c r="D15903" s="17" t="s">
        <v>11</v>
      </c>
      <c r="E15903" s="17" t="s">
        <v>11</v>
      </c>
      <c r="F15903" s="18"/>
      <c r="G15903" s="36" t="str">
        <f>IF(ISNUMBER(F15903),C15903*F15903,"")</f>
        <v/>
      </c>
    </row>
    <row r="15904" spans="1:7" ht="24" customHeight="1" outlineLevel="2" x14ac:dyDescent="0.2">
      <c r="A15904" s="14" t="s">
        <v>31285</v>
      </c>
      <c r="B15904" s="15" t="s">
        <v>31286</v>
      </c>
      <c r="C15904" s="19">
        <f>5274.5/(1+B2)</f>
        <v>5274.5</v>
      </c>
      <c r="D15904" s="17" t="s">
        <v>11</v>
      </c>
      <c r="E15904" s="17" t="s">
        <v>11</v>
      </c>
      <c r="F15904" s="18"/>
      <c r="G15904" s="36" t="str">
        <f>IF(ISNUMBER(F15904),C15904*F15904,"")</f>
        <v/>
      </c>
    </row>
    <row r="15905" spans="1:7" ht="24" customHeight="1" outlineLevel="2" x14ac:dyDescent="0.2">
      <c r="A15905" s="14" t="s">
        <v>31287</v>
      </c>
      <c r="B15905" s="15" t="s">
        <v>31288</v>
      </c>
      <c r="C15905" s="19">
        <f>3816/(1+B2)</f>
        <v>3816</v>
      </c>
      <c r="D15905" s="17" t="s">
        <v>11</v>
      </c>
      <c r="E15905" s="17" t="s">
        <v>11</v>
      </c>
      <c r="F15905" s="18"/>
      <c r="G15905" s="36" t="str">
        <f>IF(ISNUMBER(F15905),C15905*F15905,"")</f>
        <v/>
      </c>
    </row>
    <row r="15906" spans="1:7" ht="12" customHeight="1" outlineLevel="2" x14ac:dyDescent="0.2">
      <c r="A15906" s="14" t="s">
        <v>31289</v>
      </c>
      <c r="B15906" s="15" t="s">
        <v>31290</v>
      </c>
      <c r="C15906" s="19">
        <f>2727.67/(1+B2)</f>
        <v>2727.67</v>
      </c>
      <c r="D15906" s="17" t="s">
        <v>11</v>
      </c>
      <c r="E15906" s="17"/>
      <c r="F15906" s="18"/>
      <c r="G15906" s="36" t="str">
        <f>IF(ISNUMBER(F15906),C15906*F15906,"")</f>
        <v/>
      </c>
    </row>
    <row r="15907" spans="1:7" ht="24" customHeight="1" outlineLevel="2" x14ac:dyDescent="0.2">
      <c r="A15907" s="14" t="s">
        <v>31291</v>
      </c>
      <c r="B15907" s="15" t="s">
        <v>31292</v>
      </c>
      <c r="C15907" s="19">
        <f>2805/(1+B2)</f>
        <v>2805</v>
      </c>
      <c r="D15907" s="17" t="s">
        <v>11</v>
      </c>
      <c r="E15907" s="17" t="s">
        <v>11</v>
      </c>
      <c r="F15907" s="18"/>
      <c r="G15907" s="36" t="str">
        <f>IF(ISNUMBER(F15907),C15907*F15907,"")</f>
        <v/>
      </c>
    </row>
    <row r="15908" spans="1:7" ht="12" customHeight="1" outlineLevel="2" x14ac:dyDescent="0.2">
      <c r="A15908" s="14" t="s">
        <v>31293</v>
      </c>
      <c r="B15908" s="15" t="s">
        <v>31294</v>
      </c>
      <c r="C15908" s="19">
        <f>2687/(1+B2)</f>
        <v>2687</v>
      </c>
      <c r="D15908" s="17"/>
      <c r="E15908" s="17" t="s">
        <v>11</v>
      </c>
      <c r="F15908" s="18"/>
      <c r="G15908" s="36" t="str">
        <f>IF(ISNUMBER(F15908),C15908*F15908,"")</f>
        <v/>
      </c>
    </row>
    <row r="15909" spans="1:7" ht="24" customHeight="1" outlineLevel="2" x14ac:dyDescent="0.2">
      <c r="A15909" s="14" t="s">
        <v>31295</v>
      </c>
      <c r="B15909" s="15" t="s">
        <v>31296</v>
      </c>
      <c r="C15909" s="19">
        <f>3722.29/(1+B2)</f>
        <v>3722.29</v>
      </c>
      <c r="D15909" s="17" t="s">
        <v>11</v>
      </c>
      <c r="E15909" s="17" t="s">
        <v>11</v>
      </c>
      <c r="F15909" s="18"/>
      <c r="G15909" s="36" t="str">
        <f>IF(ISNUMBER(F15909),C15909*F15909,"")</f>
        <v/>
      </c>
    </row>
    <row r="15910" spans="1:7" ht="24" customHeight="1" outlineLevel="2" x14ac:dyDescent="0.2">
      <c r="A15910" s="14" t="s">
        <v>31297</v>
      </c>
      <c r="B15910" s="15" t="s">
        <v>31298</v>
      </c>
      <c r="C15910" s="19">
        <f>3315/(1+B2)</f>
        <v>3315</v>
      </c>
      <c r="D15910" s="17" t="s">
        <v>11</v>
      </c>
      <c r="E15910" s="17" t="s">
        <v>11</v>
      </c>
      <c r="F15910" s="18"/>
      <c r="G15910" s="36" t="str">
        <f>IF(ISNUMBER(F15910),C15910*F15910,"")</f>
        <v/>
      </c>
    </row>
    <row r="15911" spans="1:7" ht="24" customHeight="1" outlineLevel="2" x14ac:dyDescent="0.2">
      <c r="A15911" s="14" t="s">
        <v>31299</v>
      </c>
      <c r="B15911" s="15" t="s">
        <v>31300</v>
      </c>
      <c r="C15911" s="19">
        <f>4026/(1+B2)</f>
        <v>4026</v>
      </c>
      <c r="D15911" s="17" t="s">
        <v>11</v>
      </c>
      <c r="E15911" s="17" t="s">
        <v>11</v>
      </c>
      <c r="F15911" s="18"/>
      <c r="G15911" s="36" t="str">
        <f>IF(ISNUMBER(F15911),C15911*F15911,"")</f>
        <v/>
      </c>
    </row>
    <row r="15912" spans="1:7" ht="24" customHeight="1" outlineLevel="2" x14ac:dyDescent="0.2">
      <c r="A15912" s="14" t="s">
        <v>31301</v>
      </c>
      <c r="B15912" s="15" t="s">
        <v>31302</v>
      </c>
      <c r="C15912" s="19">
        <f>5123.8/(1+B2)</f>
        <v>5123.8</v>
      </c>
      <c r="D15912" s="17" t="s">
        <v>11</v>
      </c>
      <c r="E15912" s="17" t="s">
        <v>11</v>
      </c>
      <c r="F15912" s="18"/>
      <c r="G15912" s="36" t="str">
        <f>IF(ISNUMBER(F15912),C15912*F15912,"")</f>
        <v/>
      </c>
    </row>
    <row r="15913" spans="1:7" ht="24" customHeight="1" outlineLevel="2" x14ac:dyDescent="0.2">
      <c r="A15913" s="14" t="s">
        <v>31303</v>
      </c>
      <c r="B15913" s="15" t="s">
        <v>31304</v>
      </c>
      <c r="C15913" s="19">
        <f>4563/(1+B2)</f>
        <v>4563</v>
      </c>
      <c r="D15913" s="17" t="s">
        <v>11</v>
      </c>
      <c r="E15913" s="17"/>
      <c r="F15913" s="18"/>
      <c r="G15913" s="36" t="str">
        <f>IF(ISNUMBER(F15913),C15913*F15913,"")</f>
        <v/>
      </c>
    </row>
    <row r="15914" spans="1:7" ht="24" customHeight="1" outlineLevel="2" x14ac:dyDescent="0.2">
      <c r="A15914" s="14" t="s">
        <v>31305</v>
      </c>
      <c r="B15914" s="15" t="s">
        <v>31306</v>
      </c>
      <c r="C15914" s="19">
        <f>4039/(1+B2)</f>
        <v>4039</v>
      </c>
      <c r="D15914" s="17" t="s">
        <v>11</v>
      </c>
      <c r="E15914" s="17"/>
      <c r="F15914" s="18"/>
      <c r="G15914" s="36" t="str">
        <f>IF(ISNUMBER(F15914),C15914*F15914,"")</f>
        <v/>
      </c>
    </row>
    <row r="15915" spans="1:7" ht="12" customHeight="1" outlineLevel="2" x14ac:dyDescent="0.2">
      <c r="A15915" s="14" t="s">
        <v>31307</v>
      </c>
      <c r="B15915" s="15" t="s">
        <v>31308</v>
      </c>
      <c r="C15915" s="19">
        <f>4162.17/(1+B2)</f>
        <v>4162.17</v>
      </c>
      <c r="D15915" s="17" t="s">
        <v>11</v>
      </c>
      <c r="E15915" s="17"/>
      <c r="F15915" s="18"/>
      <c r="G15915" s="36" t="str">
        <f>IF(ISNUMBER(F15915),C15915*F15915,"")</f>
        <v/>
      </c>
    </row>
    <row r="15916" spans="1:7" ht="12" customHeight="1" outlineLevel="2" x14ac:dyDescent="0.2">
      <c r="A15916" s="14" t="s">
        <v>31309</v>
      </c>
      <c r="B15916" s="15" t="s">
        <v>31310</v>
      </c>
      <c r="C15916" s="19">
        <f>2347.2/(1+B2)</f>
        <v>2347.1999999999998</v>
      </c>
      <c r="D15916" s="17" t="s">
        <v>11</v>
      </c>
      <c r="E15916" s="17" t="s">
        <v>11</v>
      </c>
      <c r="F15916" s="18"/>
      <c r="G15916" s="36" t="str">
        <f>IF(ISNUMBER(F15916),C15916*F15916,"")</f>
        <v/>
      </c>
    </row>
    <row r="15917" spans="1:7" ht="12" customHeight="1" outlineLevel="2" x14ac:dyDescent="0.2">
      <c r="A15917" s="14" t="s">
        <v>31311</v>
      </c>
      <c r="B15917" s="15" t="s">
        <v>31312</v>
      </c>
      <c r="C15917" s="19">
        <f>3621.6/(1+B2)</f>
        <v>3621.6</v>
      </c>
      <c r="D15917" s="17" t="s">
        <v>11</v>
      </c>
      <c r="E15917" s="17"/>
      <c r="F15917" s="18"/>
      <c r="G15917" s="36" t="str">
        <f>IF(ISNUMBER(F15917),C15917*F15917,"")</f>
        <v/>
      </c>
    </row>
    <row r="15918" spans="1:7" ht="24" customHeight="1" outlineLevel="2" x14ac:dyDescent="0.2">
      <c r="A15918" s="14" t="s">
        <v>31313</v>
      </c>
      <c r="B15918" s="15" t="s">
        <v>31314</v>
      </c>
      <c r="C15918" s="19">
        <f>3124.8/(1+B2)</f>
        <v>3124.8</v>
      </c>
      <c r="D15918" s="17" t="s">
        <v>11</v>
      </c>
      <c r="E15918" s="17" t="s">
        <v>11</v>
      </c>
      <c r="F15918" s="18"/>
      <c r="G15918" s="36" t="str">
        <f>IF(ISNUMBER(F15918),C15918*F15918,"")</f>
        <v/>
      </c>
    </row>
    <row r="15919" spans="1:7" ht="12" customHeight="1" outlineLevel="2" x14ac:dyDescent="0.2">
      <c r="A15919" s="14" t="s">
        <v>31315</v>
      </c>
      <c r="B15919" s="15" t="s">
        <v>31316</v>
      </c>
      <c r="C15919" s="19">
        <f>1982.6/(1+B2)</f>
        <v>1982.6</v>
      </c>
      <c r="D15919" s="17" t="s">
        <v>11</v>
      </c>
      <c r="E15919" s="17" t="s">
        <v>11</v>
      </c>
      <c r="F15919" s="18"/>
      <c r="G15919" s="36" t="str">
        <f>IF(ISNUMBER(F15919),C15919*F15919,"")</f>
        <v/>
      </c>
    </row>
    <row r="15920" spans="1:7" ht="12" customHeight="1" outlineLevel="2" x14ac:dyDescent="0.2">
      <c r="A15920" s="14" t="s">
        <v>31317</v>
      </c>
      <c r="B15920" s="15" t="s">
        <v>31318</v>
      </c>
      <c r="C15920" s="19">
        <f>1982.6/(1+B2)</f>
        <v>1982.6</v>
      </c>
      <c r="D15920" s="17" t="s">
        <v>11</v>
      </c>
      <c r="E15920" s="17" t="s">
        <v>11</v>
      </c>
      <c r="F15920" s="18"/>
      <c r="G15920" s="36" t="str">
        <f>IF(ISNUMBER(F15920),C15920*F15920,"")</f>
        <v/>
      </c>
    </row>
    <row r="15921" spans="1:7" ht="12" customHeight="1" outlineLevel="2" x14ac:dyDescent="0.2">
      <c r="A15921" s="14" t="s">
        <v>31319</v>
      </c>
      <c r="B15921" s="15" t="s">
        <v>31320</v>
      </c>
      <c r="C15921" s="16">
        <f>237.48/(1+B2)</f>
        <v>237.48</v>
      </c>
      <c r="D15921" s="17" t="s">
        <v>11</v>
      </c>
      <c r="E15921" s="17" t="s">
        <v>11</v>
      </c>
      <c r="F15921" s="18"/>
      <c r="G15921" s="36" t="str">
        <f>IF(ISNUMBER(F15921),C15921*F15921,"")</f>
        <v/>
      </c>
    </row>
    <row r="15922" spans="1:7" ht="12" customHeight="1" outlineLevel="2" x14ac:dyDescent="0.2">
      <c r="A15922" s="14" t="s">
        <v>31321</v>
      </c>
      <c r="B15922" s="15" t="s">
        <v>31322</v>
      </c>
      <c r="C15922" s="16">
        <f>250.94/(1+B2)</f>
        <v>250.94</v>
      </c>
      <c r="D15922" s="17" t="s">
        <v>11</v>
      </c>
      <c r="E15922" s="17" t="s">
        <v>11</v>
      </c>
      <c r="F15922" s="18"/>
      <c r="G15922" s="36" t="str">
        <f>IF(ISNUMBER(F15922),C15922*F15922,"")</f>
        <v/>
      </c>
    </row>
    <row r="15923" spans="1:7" ht="12" customHeight="1" outlineLevel="2" x14ac:dyDescent="0.2">
      <c r="A15923" s="14" t="s">
        <v>31323</v>
      </c>
      <c r="B15923" s="15" t="s">
        <v>31324</v>
      </c>
      <c r="C15923" s="16">
        <f>237.48/(1+B2)</f>
        <v>237.48</v>
      </c>
      <c r="D15923" s="17" t="s">
        <v>11</v>
      </c>
      <c r="E15923" s="17"/>
      <c r="F15923" s="18"/>
      <c r="G15923" s="36" t="str">
        <f>IF(ISNUMBER(F15923),C15923*F15923,"")</f>
        <v/>
      </c>
    </row>
    <row r="15924" spans="1:7" ht="12" customHeight="1" outlineLevel="2" x14ac:dyDescent="0.2">
      <c r="A15924" s="14" t="s">
        <v>31325</v>
      </c>
      <c r="B15924" s="15" t="s">
        <v>31326</v>
      </c>
      <c r="C15924" s="16">
        <f>250.94/(1+B2)</f>
        <v>250.94</v>
      </c>
      <c r="D15924" s="17" t="s">
        <v>11</v>
      </c>
      <c r="E15924" s="17"/>
      <c r="F15924" s="18"/>
      <c r="G15924" s="36" t="str">
        <f>IF(ISNUMBER(F15924),C15924*F15924,"")</f>
        <v/>
      </c>
    </row>
    <row r="15925" spans="1:7" ht="12" customHeight="1" outlineLevel="2" x14ac:dyDescent="0.2">
      <c r="A15925" s="14" t="s">
        <v>31327</v>
      </c>
      <c r="B15925" s="15" t="s">
        <v>31328</v>
      </c>
      <c r="C15925" s="16">
        <f>348.54/(1+B2)</f>
        <v>348.54</v>
      </c>
      <c r="D15925" s="17" t="s">
        <v>11</v>
      </c>
      <c r="E15925" s="17"/>
      <c r="F15925" s="18"/>
      <c r="G15925" s="36" t="str">
        <f>IF(ISNUMBER(F15925),C15925*F15925,"")</f>
        <v/>
      </c>
    </row>
    <row r="15926" spans="1:7" ht="12" customHeight="1" outlineLevel="2" x14ac:dyDescent="0.2">
      <c r="A15926" s="14" t="s">
        <v>31329</v>
      </c>
      <c r="B15926" s="15" t="s">
        <v>31330</v>
      </c>
      <c r="C15926" s="16">
        <f>338.4/(1+B2)</f>
        <v>338.4</v>
      </c>
      <c r="D15926" s="17" t="s">
        <v>11</v>
      </c>
      <c r="E15926" s="17"/>
      <c r="F15926" s="18"/>
      <c r="G15926" s="36" t="str">
        <f>IF(ISNUMBER(F15926),C15926*F15926,"")</f>
        <v/>
      </c>
    </row>
    <row r="15927" spans="1:7" ht="12" customHeight="1" outlineLevel="2" x14ac:dyDescent="0.2">
      <c r="A15927" s="14" t="s">
        <v>31331</v>
      </c>
      <c r="B15927" s="15" t="s">
        <v>31332</v>
      </c>
      <c r="C15927" s="16">
        <f>420.14/(1+B2)</f>
        <v>420.14</v>
      </c>
      <c r="D15927" s="17" t="s">
        <v>11</v>
      </c>
      <c r="E15927" s="17"/>
      <c r="F15927" s="18"/>
      <c r="G15927" s="36" t="str">
        <f>IF(ISNUMBER(F15927),C15927*F15927,"")</f>
        <v/>
      </c>
    </row>
    <row r="15928" spans="1:7" ht="12" customHeight="1" outlineLevel="2" x14ac:dyDescent="0.2">
      <c r="A15928" s="14" t="s">
        <v>31333</v>
      </c>
      <c r="B15928" s="15" t="s">
        <v>31334</v>
      </c>
      <c r="C15928" s="16">
        <f>516.21/(1+B2)</f>
        <v>516.21</v>
      </c>
      <c r="D15928" s="17" t="s">
        <v>11</v>
      </c>
      <c r="E15928" s="17" t="s">
        <v>11</v>
      </c>
      <c r="F15928" s="18"/>
      <c r="G15928" s="36" t="str">
        <f>IF(ISNUMBER(F15928),C15928*F15928,"")</f>
        <v/>
      </c>
    </row>
    <row r="15929" spans="1:7" ht="12" customHeight="1" outlineLevel="2" x14ac:dyDescent="0.2">
      <c r="A15929" s="14" t="s">
        <v>31335</v>
      </c>
      <c r="B15929" s="15" t="s">
        <v>31336</v>
      </c>
      <c r="C15929" s="16">
        <f>516.21/(1+B2)</f>
        <v>516.21</v>
      </c>
      <c r="D15929" s="17" t="s">
        <v>11</v>
      </c>
      <c r="E15929" s="17" t="s">
        <v>11</v>
      </c>
      <c r="F15929" s="18"/>
      <c r="G15929" s="36" t="str">
        <f>IF(ISNUMBER(F15929),C15929*F15929,"")</f>
        <v/>
      </c>
    </row>
    <row r="15930" spans="1:7" ht="12" customHeight="1" outlineLevel="2" x14ac:dyDescent="0.2">
      <c r="A15930" s="14" t="s">
        <v>31337</v>
      </c>
      <c r="B15930" s="15" t="s">
        <v>31338</v>
      </c>
      <c r="C15930" s="16">
        <f>734.4/(1+B2)</f>
        <v>734.4</v>
      </c>
      <c r="D15930" s="17" t="s">
        <v>11</v>
      </c>
      <c r="E15930" s="17" t="s">
        <v>11</v>
      </c>
      <c r="F15930" s="18"/>
      <c r="G15930" s="36" t="str">
        <f>IF(ISNUMBER(F15930),C15930*F15930,"")</f>
        <v/>
      </c>
    </row>
    <row r="15931" spans="1:7" ht="12" customHeight="1" outlineLevel="2" x14ac:dyDescent="0.2">
      <c r="A15931" s="14" t="s">
        <v>31339</v>
      </c>
      <c r="B15931" s="15" t="s">
        <v>31340</v>
      </c>
      <c r="C15931" s="16">
        <f>734.4/(1+B2)</f>
        <v>734.4</v>
      </c>
      <c r="D15931" s="17" t="s">
        <v>11</v>
      </c>
      <c r="E15931" s="17" t="s">
        <v>11</v>
      </c>
      <c r="F15931" s="18"/>
      <c r="G15931" s="36" t="str">
        <f>IF(ISNUMBER(F15931),C15931*F15931,"")</f>
        <v/>
      </c>
    </row>
    <row r="15932" spans="1:7" ht="12" customHeight="1" outlineLevel="2" x14ac:dyDescent="0.2">
      <c r="A15932" s="14" t="s">
        <v>31341</v>
      </c>
      <c r="B15932" s="15" t="s">
        <v>31342</v>
      </c>
      <c r="C15932" s="16">
        <f>734.4/(1+B2)</f>
        <v>734.4</v>
      </c>
      <c r="D15932" s="17" t="s">
        <v>11</v>
      </c>
      <c r="E15932" s="17"/>
      <c r="F15932" s="18"/>
      <c r="G15932" s="36" t="str">
        <f>IF(ISNUMBER(F15932),C15932*F15932,"")</f>
        <v/>
      </c>
    </row>
    <row r="15933" spans="1:7" ht="12" customHeight="1" outlineLevel="2" x14ac:dyDescent="0.2">
      <c r="A15933" s="14" t="s">
        <v>31343</v>
      </c>
      <c r="B15933" s="15" t="s">
        <v>31344</v>
      </c>
      <c r="C15933" s="16">
        <f>734.4/(1+B2)</f>
        <v>734.4</v>
      </c>
      <c r="D15933" s="17" t="s">
        <v>11</v>
      </c>
      <c r="E15933" s="17" t="s">
        <v>14</v>
      </c>
      <c r="F15933" s="18"/>
      <c r="G15933" s="36" t="str">
        <f>IF(ISNUMBER(F15933),C15933*F15933,"")</f>
        <v/>
      </c>
    </row>
    <row r="15934" spans="1:7" ht="12" customHeight="1" outlineLevel="2" x14ac:dyDescent="0.2">
      <c r="A15934" s="14" t="s">
        <v>31345</v>
      </c>
      <c r="B15934" s="15" t="s">
        <v>31346</v>
      </c>
      <c r="C15934" s="16">
        <f>734.4/(1+B2)</f>
        <v>734.4</v>
      </c>
      <c r="D15934" s="17" t="s">
        <v>11</v>
      </c>
      <c r="E15934" s="17" t="s">
        <v>11</v>
      </c>
      <c r="F15934" s="18"/>
      <c r="G15934" s="36" t="str">
        <f>IF(ISNUMBER(F15934),C15934*F15934,"")</f>
        <v/>
      </c>
    </row>
    <row r="15935" spans="1:7" ht="12" customHeight="1" outlineLevel="2" x14ac:dyDescent="0.2">
      <c r="A15935" s="14" t="s">
        <v>31347</v>
      </c>
      <c r="B15935" s="15" t="s">
        <v>31348</v>
      </c>
      <c r="C15935" s="16">
        <f>554.4/(1+B2)</f>
        <v>554.4</v>
      </c>
      <c r="D15935" s="17" t="s">
        <v>11</v>
      </c>
      <c r="E15935" s="17" t="s">
        <v>11</v>
      </c>
      <c r="F15935" s="18"/>
      <c r="G15935" s="36" t="str">
        <f>IF(ISNUMBER(F15935),C15935*F15935,"")</f>
        <v/>
      </c>
    </row>
    <row r="15936" spans="1:7" ht="12" customHeight="1" outlineLevel="2" x14ac:dyDescent="0.2">
      <c r="A15936" s="14" t="s">
        <v>31349</v>
      </c>
      <c r="B15936" s="15" t="s">
        <v>31350</v>
      </c>
      <c r="C15936" s="16">
        <f>554.4/(1+B2)</f>
        <v>554.4</v>
      </c>
      <c r="D15936" s="17" t="s">
        <v>11</v>
      </c>
      <c r="E15936" s="17" t="s">
        <v>14</v>
      </c>
      <c r="F15936" s="18"/>
      <c r="G15936" s="36" t="str">
        <f>IF(ISNUMBER(F15936),C15936*F15936,"")</f>
        <v/>
      </c>
    </row>
    <row r="15937" spans="1:7" ht="12" customHeight="1" outlineLevel="2" x14ac:dyDescent="0.2">
      <c r="A15937" s="14" t="s">
        <v>31351</v>
      </c>
      <c r="B15937" s="15" t="s">
        <v>31352</v>
      </c>
      <c r="C15937" s="16">
        <f>554.4/(1+B2)</f>
        <v>554.4</v>
      </c>
      <c r="D15937" s="17" t="s">
        <v>11</v>
      </c>
      <c r="E15937" s="17" t="s">
        <v>53</v>
      </c>
      <c r="F15937" s="18"/>
      <c r="G15937" s="36" t="str">
        <f>IF(ISNUMBER(F15937),C15937*F15937,"")</f>
        <v/>
      </c>
    </row>
    <row r="15938" spans="1:7" ht="12" customHeight="1" outlineLevel="2" x14ac:dyDescent="0.2">
      <c r="A15938" s="14" t="s">
        <v>31353</v>
      </c>
      <c r="B15938" s="15" t="s">
        <v>31354</v>
      </c>
      <c r="C15938" s="16">
        <f>554.4/(1+B2)</f>
        <v>554.4</v>
      </c>
      <c r="D15938" s="17" t="s">
        <v>11</v>
      </c>
      <c r="E15938" s="17"/>
      <c r="F15938" s="18"/>
      <c r="G15938" s="36" t="str">
        <f>IF(ISNUMBER(F15938),C15938*F15938,"")</f>
        <v/>
      </c>
    </row>
    <row r="15939" spans="1:7" ht="12" customHeight="1" outlineLevel="2" x14ac:dyDescent="0.2">
      <c r="A15939" s="14" t="s">
        <v>31355</v>
      </c>
      <c r="B15939" s="15" t="s">
        <v>31356</v>
      </c>
      <c r="C15939" s="16">
        <f>554.4/(1+B2)</f>
        <v>554.4</v>
      </c>
      <c r="D15939" s="17" t="s">
        <v>11</v>
      </c>
      <c r="E15939" s="17" t="s">
        <v>14</v>
      </c>
      <c r="F15939" s="18"/>
      <c r="G15939" s="36" t="str">
        <f>IF(ISNUMBER(F15939),C15939*F15939,"")</f>
        <v/>
      </c>
    </row>
    <row r="15940" spans="1:7" ht="12" customHeight="1" outlineLevel="2" x14ac:dyDescent="0.2">
      <c r="A15940" s="14" t="s">
        <v>31357</v>
      </c>
      <c r="B15940" s="15" t="s">
        <v>31358</v>
      </c>
      <c r="C15940" s="16">
        <f>734.4/(1+B2)</f>
        <v>734.4</v>
      </c>
      <c r="D15940" s="17" t="s">
        <v>11</v>
      </c>
      <c r="E15940" s="17" t="s">
        <v>11</v>
      </c>
      <c r="F15940" s="18"/>
      <c r="G15940" s="36" t="str">
        <f>IF(ISNUMBER(F15940),C15940*F15940,"")</f>
        <v/>
      </c>
    </row>
    <row r="15941" spans="1:7" ht="12" customHeight="1" outlineLevel="2" x14ac:dyDescent="0.2">
      <c r="A15941" s="14" t="s">
        <v>31359</v>
      </c>
      <c r="B15941" s="15" t="s">
        <v>31360</v>
      </c>
      <c r="C15941" s="16">
        <f>734.4/(1+B2)</f>
        <v>734.4</v>
      </c>
      <c r="D15941" s="17" t="s">
        <v>11</v>
      </c>
      <c r="E15941" s="17" t="s">
        <v>11</v>
      </c>
      <c r="F15941" s="18"/>
      <c r="G15941" s="36" t="str">
        <f>IF(ISNUMBER(F15941),C15941*F15941,"")</f>
        <v/>
      </c>
    </row>
    <row r="15942" spans="1:7" ht="12" customHeight="1" outlineLevel="2" x14ac:dyDescent="0.2">
      <c r="A15942" s="14" t="s">
        <v>31361</v>
      </c>
      <c r="B15942" s="15" t="s">
        <v>31362</v>
      </c>
      <c r="C15942" s="16">
        <f>734.4/(1+B2)</f>
        <v>734.4</v>
      </c>
      <c r="D15942" s="17" t="s">
        <v>11</v>
      </c>
      <c r="E15942" s="17" t="s">
        <v>14</v>
      </c>
      <c r="F15942" s="18"/>
      <c r="G15942" s="36" t="str">
        <f>IF(ISNUMBER(F15942),C15942*F15942,"")</f>
        <v/>
      </c>
    </row>
    <row r="15943" spans="1:7" ht="12" customHeight="1" outlineLevel="2" x14ac:dyDescent="0.2">
      <c r="A15943" s="14" t="s">
        <v>31363</v>
      </c>
      <c r="B15943" s="15" t="s">
        <v>31364</v>
      </c>
      <c r="C15943" s="16">
        <f>734.4/(1+B2)</f>
        <v>734.4</v>
      </c>
      <c r="D15943" s="17" t="s">
        <v>11</v>
      </c>
      <c r="E15943" s="17"/>
      <c r="F15943" s="18"/>
      <c r="G15943" s="36" t="str">
        <f>IF(ISNUMBER(F15943),C15943*F15943,"")</f>
        <v/>
      </c>
    </row>
    <row r="15944" spans="1:7" ht="12" customHeight="1" outlineLevel="2" x14ac:dyDescent="0.2">
      <c r="A15944" s="14" t="s">
        <v>31365</v>
      </c>
      <c r="B15944" s="15" t="s">
        <v>31366</v>
      </c>
      <c r="C15944" s="16">
        <f>734.4/(1+B2)</f>
        <v>734.4</v>
      </c>
      <c r="D15944" s="17" t="s">
        <v>11</v>
      </c>
      <c r="E15944" s="17" t="s">
        <v>11</v>
      </c>
      <c r="F15944" s="18"/>
      <c r="G15944" s="36" t="str">
        <f>IF(ISNUMBER(F15944),C15944*F15944,"")</f>
        <v/>
      </c>
    </row>
    <row r="15945" spans="1:7" ht="12" customHeight="1" outlineLevel="2" x14ac:dyDescent="0.2">
      <c r="A15945" s="14" t="s">
        <v>31367</v>
      </c>
      <c r="B15945" s="15" t="s">
        <v>31368</v>
      </c>
      <c r="C15945" s="16">
        <f>734.4/(1+B2)</f>
        <v>734.4</v>
      </c>
      <c r="D15945" s="17" t="s">
        <v>11</v>
      </c>
      <c r="E15945" s="17"/>
      <c r="F15945" s="18"/>
      <c r="G15945" s="36" t="str">
        <f>IF(ISNUMBER(F15945),C15945*F15945,"")</f>
        <v/>
      </c>
    </row>
    <row r="15946" spans="1:7" ht="12" customHeight="1" outlineLevel="2" x14ac:dyDescent="0.2">
      <c r="A15946" s="14" t="s">
        <v>31369</v>
      </c>
      <c r="B15946" s="15" t="s">
        <v>31370</v>
      </c>
      <c r="C15946" s="16">
        <f>734.4/(1+B2)</f>
        <v>734.4</v>
      </c>
      <c r="D15946" s="17" t="s">
        <v>11</v>
      </c>
      <c r="E15946" s="17" t="s">
        <v>11</v>
      </c>
      <c r="F15946" s="18"/>
      <c r="G15946" s="36" t="str">
        <f>IF(ISNUMBER(F15946),C15946*F15946,"")</f>
        <v/>
      </c>
    </row>
    <row r="15947" spans="1:7" ht="12" customHeight="1" outlineLevel="2" x14ac:dyDescent="0.2">
      <c r="A15947" s="14" t="s">
        <v>31371</v>
      </c>
      <c r="B15947" s="15" t="s">
        <v>31372</v>
      </c>
      <c r="C15947" s="16">
        <f>734.4/(1+B2)</f>
        <v>734.4</v>
      </c>
      <c r="D15947" s="17" t="s">
        <v>11</v>
      </c>
      <c r="E15947" s="17" t="s">
        <v>11</v>
      </c>
      <c r="F15947" s="18"/>
      <c r="G15947" s="36" t="str">
        <f>IF(ISNUMBER(F15947),C15947*F15947,"")</f>
        <v/>
      </c>
    </row>
    <row r="15948" spans="1:7" ht="12" customHeight="1" outlineLevel="2" x14ac:dyDescent="0.2">
      <c r="A15948" s="14" t="s">
        <v>31373</v>
      </c>
      <c r="B15948" s="15" t="s">
        <v>31374</v>
      </c>
      <c r="C15948" s="16">
        <f>554.4/(1+B2)</f>
        <v>554.4</v>
      </c>
      <c r="D15948" s="17" t="s">
        <v>11</v>
      </c>
      <c r="E15948" s="17" t="s">
        <v>53</v>
      </c>
      <c r="F15948" s="18"/>
      <c r="G15948" s="36" t="str">
        <f>IF(ISNUMBER(F15948),C15948*F15948,"")</f>
        <v/>
      </c>
    </row>
    <row r="15949" spans="1:7" ht="12" customHeight="1" outlineLevel="2" x14ac:dyDescent="0.2">
      <c r="A15949" s="14" t="s">
        <v>31375</v>
      </c>
      <c r="B15949" s="15" t="s">
        <v>31376</v>
      </c>
      <c r="C15949" s="16">
        <f>554.4/(1+B2)</f>
        <v>554.4</v>
      </c>
      <c r="D15949" s="17" t="s">
        <v>11</v>
      </c>
      <c r="E15949" s="17" t="s">
        <v>14</v>
      </c>
      <c r="F15949" s="18"/>
      <c r="G15949" s="36" t="str">
        <f>IF(ISNUMBER(F15949),C15949*F15949,"")</f>
        <v/>
      </c>
    </row>
    <row r="15950" spans="1:7" ht="12" customHeight="1" outlineLevel="2" x14ac:dyDescent="0.2">
      <c r="A15950" s="14" t="s">
        <v>31377</v>
      </c>
      <c r="B15950" s="15" t="s">
        <v>31378</v>
      </c>
      <c r="C15950" s="16">
        <f>554.4/(1+B2)</f>
        <v>554.4</v>
      </c>
      <c r="D15950" s="17" t="s">
        <v>11</v>
      </c>
      <c r="E15950" s="17" t="s">
        <v>14</v>
      </c>
      <c r="F15950" s="18"/>
      <c r="G15950" s="36" t="str">
        <f>IF(ISNUMBER(F15950),C15950*F15950,"")</f>
        <v/>
      </c>
    </row>
    <row r="15951" spans="1:7" ht="12" customHeight="1" outlineLevel="2" x14ac:dyDescent="0.2">
      <c r="A15951" s="14" t="s">
        <v>31379</v>
      </c>
      <c r="B15951" s="15" t="s">
        <v>31380</v>
      </c>
      <c r="C15951" s="16">
        <f>554.4/(1+B2)</f>
        <v>554.4</v>
      </c>
      <c r="D15951" s="17" t="s">
        <v>11</v>
      </c>
      <c r="E15951" s="17" t="s">
        <v>14</v>
      </c>
      <c r="F15951" s="18"/>
      <c r="G15951" s="36" t="str">
        <f>IF(ISNUMBER(F15951),C15951*F15951,"")</f>
        <v/>
      </c>
    </row>
    <row r="15952" spans="1:7" ht="12" customHeight="1" outlineLevel="2" x14ac:dyDescent="0.2">
      <c r="A15952" s="14" t="s">
        <v>31381</v>
      </c>
      <c r="B15952" s="15" t="s">
        <v>31382</v>
      </c>
      <c r="C15952" s="16">
        <f>554.4/(1+B2)</f>
        <v>554.4</v>
      </c>
      <c r="D15952" s="17" t="s">
        <v>11</v>
      </c>
      <c r="E15952" s="17" t="s">
        <v>53</v>
      </c>
      <c r="F15952" s="18"/>
      <c r="G15952" s="36" t="str">
        <f>IF(ISNUMBER(F15952),C15952*F15952,"")</f>
        <v/>
      </c>
    </row>
    <row r="15953" spans="1:7" ht="12" customHeight="1" outlineLevel="2" x14ac:dyDescent="0.2">
      <c r="A15953" s="14" t="s">
        <v>31383</v>
      </c>
      <c r="B15953" s="15" t="s">
        <v>31384</v>
      </c>
      <c r="C15953" s="19">
        <f>1739.07/(1+B2)</f>
        <v>1739.07</v>
      </c>
      <c r="D15953" s="17" t="s">
        <v>11</v>
      </c>
      <c r="E15953" s="17" t="s">
        <v>53</v>
      </c>
      <c r="F15953" s="18"/>
      <c r="G15953" s="36" t="str">
        <f>IF(ISNUMBER(F15953),C15953*F15953,"")</f>
        <v/>
      </c>
    </row>
    <row r="15954" spans="1:7" ht="12" customHeight="1" outlineLevel="2" x14ac:dyDescent="0.2">
      <c r="A15954" s="14" t="s">
        <v>31385</v>
      </c>
      <c r="B15954" s="15" t="s">
        <v>31386</v>
      </c>
      <c r="C15954" s="19">
        <f>1739.07/(1+B2)</f>
        <v>1739.07</v>
      </c>
      <c r="D15954" s="17" t="s">
        <v>11</v>
      </c>
      <c r="E15954" s="17"/>
      <c r="F15954" s="18"/>
      <c r="G15954" s="36" t="str">
        <f>IF(ISNUMBER(F15954),C15954*F15954,"")</f>
        <v/>
      </c>
    </row>
    <row r="15955" spans="1:7" ht="12" customHeight="1" outlineLevel="2" x14ac:dyDescent="0.2">
      <c r="A15955" s="14" t="s">
        <v>31387</v>
      </c>
      <c r="B15955" s="15" t="s">
        <v>31388</v>
      </c>
      <c r="C15955" s="19">
        <f>1739.07/(1+B2)</f>
        <v>1739.07</v>
      </c>
      <c r="D15955" s="17" t="s">
        <v>11</v>
      </c>
      <c r="E15955" s="17" t="s">
        <v>11</v>
      </c>
      <c r="F15955" s="18"/>
      <c r="G15955" s="36" t="str">
        <f>IF(ISNUMBER(F15955),C15955*F15955,"")</f>
        <v/>
      </c>
    </row>
    <row r="15956" spans="1:7" ht="12" customHeight="1" outlineLevel="2" x14ac:dyDescent="0.2">
      <c r="A15956" s="14" t="s">
        <v>31389</v>
      </c>
      <c r="B15956" s="15" t="s">
        <v>31390</v>
      </c>
      <c r="C15956" s="16">
        <f>961.68/(1+B2)</f>
        <v>961.68</v>
      </c>
      <c r="D15956" s="17" t="s">
        <v>11</v>
      </c>
      <c r="E15956" s="17"/>
      <c r="F15956" s="18"/>
      <c r="G15956" s="36" t="str">
        <f>IF(ISNUMBER(F15956),C15956*F15956,"")</f>
        <v/>
      </c>
    </row>
    <row r="15957" spans="1:7" s="1" customFormat="1" ht="15.95" customHeight="1" outlineLevel="1" x14ac:dyDescent="0.25">
      <c r="A15957" s="11"/>
      <c r="B15957" s="12" t="s">
        <v>31391</v>
      </c>
      <c r="C15957" s="13"/>
      <c r="D15957" s="13"/>
      <c r="E15957" s="13"/>
      <c r="F15957" s="13"/>
      <c r="G15957" s="35"/>
    </row>
    <row r="15958" spans="1:7" ht="12" customHeight="1" outlineLevel="2" x14ac:dyDescent="0.2">
      <c r="A15958" s="14" t="s">
        <v>31392</v>
      </c>
      <c r="B15958" s="15" t="s">
        <v>31393</v>
      </c>
      <c r="C15958" s="16">
        <f>422.14/(1+B2)</f>
        <v>422.14</v>
      </c>
      <c r="D15958" s="17" t="s">
        <v>11</v>
      </c>
      <c r="E15958" s="17"/>
      <c r="F15958" s="18"/>
      <c r="G15958" s="36" t="str">
        <f>IF(ISNUMBER(F15958),C15958*F15958,"")</f>
        <v/>
      </c>
    </row>
    <row r="15959" spans="1:7" ht="12" customHeight="1" outlineLevel="2" x14ac:dyDescent="0.2">
      <c r="A15959" s="14" t="s">
        <v>31394</v>
      </c>
      <c r="B15959" s="15" t="s">
        <v>31395</v>
      </c>
      <c r="C15959" s="16">
        <f>799.03/(1+B2)</f>
        <v>799.03</v>
      </c>
      <c r="D15959" s="17" t="s">
        <v>11</v>
      </c>
      <c r="E15959" s="17" t="s">
        <v>11</v>
      </c>
      <c r="F15959" s="18"/>
      <c r="G15959" s="36" t="str">
        <f>IF(ISNUMBER(F15959),C15959*F15959,"")</f>
        <v/>
      </c>
    </row>
    <row r="15960" spans="1:7" ht="12" customHeight="1" outlineLevel="2" x14ac:dyDescent="0.2">
      <c r="A15960" s="14" t="s">
        <v>31396</v>
      </c>
      <c r="B15960" s="15" t="s">
        <v>31397</v>
      </c>
      <c r="C15960" s="16">
        <f>729.03/(1+B2)</f>
        <v>729.03</v>
      </c>
      <c r="D15960" s="17" t="s">
        <v>11</v>
      </c>
      <c r="E15960" s="17" t="s">
        <v>11</v>
      </c>
      <c r="F15960" s="18"/>
      <c r="G15960" s="36" t="str">
        <f>IF(ISNUMBER(F15960),C15960*F15960,"")</f>
        <v/>
      </c>
    </row>
    <row r="15961" spans="1:7" ht="12" customHeight="1" outlineLevel="2" x14ac:dyDescent="0.2">
      <c r="A15961" s="14" t="s">
        <v>31398</v>
      </c>
      <c r="B15961" s="15" t="s">
        <v>31399</v>
      </c>
      <c r="C15961" s="16">
        <f>263.76/(1+B2)</f>
        <v>263.76</v>
      </c>
      <c r="D15961" s="17" t="s">
        <v>11</v>
      </c>
      <c r="E15961" s="17" t="s">
        <v>11</v>
      </c>
      <c r="F15961" s="18"/>
      <c r="G15961" s="36" t="str">
        <f>IF(ISNUMBER(F15961),C15961*F15961,"")</f>
        <v/>
      </c>
    </row>
    <row r="15962" spans="1:7" ht="12" customHeight="1" outlineLevel="2" x14ac:dyDescent="0.2">
      <c r="A15962" s="14" t="s">
        <v>31400</v>
      </c>
      <c r="B15962" s="15" t="s">
        <v>31401</v>
      </c>
      <c r="C15962" s="16">
        <f>755.76/(1+B2)</f>
        <v>755.76</v>
      </c>
      <c r="D15962" s="17" t="s">
        <v>11</v>
      </c>
      <c r="E15962" s="17"/>
      <c r="F15962" s="18"/>
      <c r="G15962" s="36" t="str">
        <f>IF(ISNUMBER(F15962),C15962*F15962,"")</f>
        <v/>
      </c>
    </row>
    <row r="15963" spans="1:7" ht="12" customHeight="1" outlineLevel="2" x14ac:dyDescent="0.2">
      <c r="A15963" s="14" t="s">
        <v>31402</v>
      </c>
      <c r="B15963" s="15" t="s">
        <v>31403</v>
      </c>
      <c r="C15963" s="16">
        <f>693.05/(1+B2)</f>
        <v>693.05</v>
      </c>
      <c r="D15963" s="17" t="s">
        <v>11</v>
      </c>
      <c r="E15963" s="17"/>
      <c r="F15963" s="18"/>
      <c r="G15963" s="36" t="str">
        <f>IF(ISNUMBER(F15963),C15963*F15963,"")</f>
        <v/>
      </c>
    </row>
    <row r="15964" spans="1:7" ht="12" customHeight="1" outlineLevel="2" x14ac:dyDescent="0.2">
      <c r="A15964" s="14" t="s">
        <v>31404</v>
      </c>
      <c r="B15964" s="15" t="s">
        <v>31405</v>
      </c>
      <c r="C15964" s="16">
        <f>467.64/(1+B2)</f>
        <v>467.64</v>
      </c>
      <c r="D15964" s="17" t="s">
        <v>11</v>
      </c>
      <c r="E15964" s="17"/>
      <c r="F15964" s="18"/>
      <c r="G15964" s="36" t="str">
        <f>IF(ISNUMBER(F15964),C15964*F15964,"")</f>
        <v/>
      </c>
    </row>
    <row r="15965" spans="1:7" ht="12" customHeight="1" outlineLevel="2" x14ac:dyDescent="0.2">
      <c r="A15965" s="14" t="s">
        <v>31406</v>
      </c>
      <c r="B15965" s="15" t="s">
        <v>31407</v>
      </c>
      <c r="C15965" s="16">
        <f>467.64/(1+B2)</f>
        <v>467.64</v>
      </c>
      <c r="D15965" s="17" t="s">
        <v>11</v>
      </c>
      <c r="E15965" s="17" t="s">
        <v>11</v>
      </c>
      <c r="F15965" s="18"/>
      <c r="G15965" s="36" t="str">
        <f>IF(ISNUMBER(F15965),C15965*F15965,"")</f>
        <v/>
      </c>
    </row>
    <row r="15966" spans="1:7" ht="12" customHeight="1" outlineLevel="2" x14ac:dyDescent="0.2">
      <c r="A15966" s="14" t="s">
        <v>31408</v>
      </c>
      <c r="B15966" s="15" t="s">
        <v>31409</v>
      </c>
      <c r="C15966" s="19">
        <f>1008.4/(1+B2)</f>
        <v>1008.4</v>
      </c>
      <c r="D15966" s="17" t="s">
        <v>11</v>
      </c>
      <c r="E15966" s="17"/>
      <c r="F15966" s="18"/>
      <c r="G15966" s="36" t="str">
        <f>IF(ISNUMBER(F15966),C15966*F15966,"")</f>
        <v/>
      </c>
    </row>
    <row r="15967" spans="1:7" ht="12" customHeight="1" outlineLevel="2" x14ac:dyDescent="0.2">
      <c r="A15967" s="14" t="s">
        <v>31410</v>
      </c>
      <c r="B15967" s="15" t="s">
        <v>31411</v>
      </c>
      <c r="C15967" s="19">
        <f>1008.4/(1+B2)</f>
        <v>1008.4</v>
      </c>
      <c r="D15967" s="17" t="s">
        <v>11</v>
      </c>
      <c r="E15967" s="17" t="s">
        <v>11</v>
      </c>
      <c r="F15967" s="18"/>
      <c r="G15967" s="36" t="str">
        <f>IF(ISNUMBER(F15967),C15967*F15967,"")</f>
        <v/>
      </c>
    </row>
    <row r="15968" spans="1:7" ht="12" customHeight="1" outlineLevel="2" x14ac:dyDescent="0.2">
      <c r="A15968" s="14" t="s">
        <v>31412</v>
      </c>
      <c r="B15968" s="15" t="s">
        <v>31413</v>
      </c>
      <c r="C15968" s="19">
        <f>1008.4/(1+B2)</f>
        <v>1008.4</v>
      </c>
      <c r="D15968" s="17" t="s">
        <v>11</v>
      </c>
      <c r="E15968" s="17" t="s">
        <v>11</v>
      </c>
      <c r="F15968" s="18"/>
      <c r="G15968" s="36" t="str">
        <f>IF(ISNUMBER(F15968),C15968*F15968,"")</f>
        <v/>
      </c>
    </row>
    <row r="15969" spans="1:7" ht="12" customHeight="1" outlineLevel="2" x14ac:dyDescent="0.2">
      <c r="A15969" s="14" t="s">
        <v>31414</v>
      </c>
      <c r="B15969" s="15" t="s">
        <v>31415</v>
      </c>
      <c r="C15969" s="16">
        <f>890.43/(1+B2)</f>
        <v>890.43</v>
      </c>
      <c r="D15969" s="17" t="s">
        <v>11</v>
      </c>
      <c r="E15969" s="17" t="s">
        <v>11</v>
      </c>
      <c r="F15969" s="18"/>
      <c r="G15969" s="36" t="str">
        <f>IF(ISNUMBER(F15969),C15969*F15969,"")</f>
        <v/>
      </c>
    </row>
    <row r="15970" spans="1:7" ht="12" customHeight="1" outlineLevel="2" x14ac:dyDescent="0.2">
      <c r="A15970" s="14" t="s">
        <v>31416</v>
      </c>
      <c r="B15970" s="15" t="s">
        <v>31417</v>
      </c>
      <c r="C15970" s="19">
        <f>1428.79/(1+B2)</f>
        <v>1428.79</v>
      </c>
      <c r="D15970" s="17" t="s">
        <v>11</v>
      </c>
      <c r="E15970" s="17" t="s">
        <v>11</v>
      </c>
      <c r="F15970" s="18"/>
      <c r="G15970" s="36" t="str">
        <f>IF(ISNUMBER(F15970),C15970*F15970,"")</f>
        <v/>
      </c>
    </row>
    <row r="15971" spans="1:7" ht="12" customHeight="1" outlineLevel="2" x14ac:dyDescent="0.2">
      <c r="A15971" s="14" t="s">
        <v>31418</v>
      </c>
      <c r="B15971" s="15" t="s">
        <v>31419</v>
      </c>
      <c r="C15971" s="19">
        <f>1285.93/(1+B2)</f>
        <v>1285.93</v>
      </c>
      <c r="D15971" s="17" t="s">
        <v>11</v>
      </c>
      <c r="E15971" s="17" t="s">
        <v>11</v>
      </c>
      <c r="F15971" s="18"/>
      <c r="G15971" s="36" t="str">
        <f>IF(ISNUMBER(F15971),C15971*F15971,"")</f>
        <v/>
      </c>
    </row>
    <row r="15972" spans="1:7" ht="12" customHeight="1" outlineLevel="2" x14ac:dyDescent="0.2">
      <c r="A15972" s="14" t="s">
        <v>31420</v>
      </c>
      <c r="B15972" s="15" t="s">
        <v>31421</v>
      </c>
      <c r="C15972" s="19">
        <f>1428.79/(1+B2)</f>
        <v>1428.79</v>
      </c>
      <c r="D15972" s="17" t="s">
        <v>11</v>
      </c>
      <c r="E15972" s="17" t="s">
        <v>11</v>
      </c>
      <c r="F15972" s="18"/>
      <c r="G15972" s="36" t="str">
        <f>IF(ISNUMBER(F15972),C15972*F15972,"")</f>
        <v/>
      </c>
    </row>
    <row r="15973" spans="1:7" ht="12" customHeight="1" outlineLevel="2" x14ac:dyDescent="0.2">
      <c r="A15973" s="14" t="s">
        <v>31422</v>
      </c>
      <c r="B15973" s="15" t="s">
        <v>31423</v>
      </c>
      <c r="C15973" s="16">
        <f>956.9/(1+B2)</f>
        <v>956.9</v>
      </c>
      <c r="D15973" s="17" t="s">
        <v>11</v>
      </c>
      <c r="E15973" s="17"/>
      <c r="F15973" s="18"/>
      <c r="G15973" s="36" t="str">
        <f>IF(ISNUMBER(F15973),C15973*F15973,"")</f>
        <v/>
      </c>
    </row>
    <row r="15974" spans="1:7" ht="12" customHeight="1" outlineLevel="2" x14ac:dyDescent="0.2">
      <c r="A15974" s="14" t="s">
        <v>31424</v>
      </c>
      <c r="B15974" s="15" t="s">
        <v>31425</v>
      </c>
      <c r="C15974" s="16">
        <f>391.7/(1+B2)</f>
        <v>391.7</v>
      </c>
      <c r="D15974" s="17" t="s">
        <v>11</v>
      </c>
      <c r="E15974" s="17"/>
      <c r="F15974" s="18"/>
      <c r="G15974" s="36" t="str">
        <f>IF(ISNUMBER(F15974),C15974*F15974,"")</f>
        <v/>
      </c>
    </row>
    <row r="15975" spans="1:7" ht="12" customHeight="1" outlineLevel="2" x14ac:dyDescent="0.2">
      <c r="A15975" s="14" t="s">
        <v>31426</v>
      </c>
      <c r="B15975" s="15" t="s">
        <v>31427</v>
      </c>
      <c r="C15975" s="19">
        <f>1112.78/(1+B2)</f>
        <v>1112.78</v>
      </c>
      <c r="D15975" s="17" t="s">
        <v>11</v>
      </c>
      <c r="E15975" s="17"/>
      <c r="F15975" s="18"/>
      <c r="G15975" s="36" t="str">
        <f>IF(ISNUMBER(F15975),C15975*F15975,"")</f>
        <v/>
      </c>
    </row>
    <row r="15976" spans="1:7" ht="12" customHeight="1" outlineLevel="2" x14ac:dyDescent="0.2">
      <c r="A15976" s="14" t="s">
        <v>31428</v>
      </c>
      <c r="B15976" s="15" t="s">
        <v>31429</v>
      </c>
      <c r="C15976" s="19">
        <f>1674.82/(1+B2)</f>
        <v>1674.82</v>
      </c>
      <c r="D15976" s="17" t="s">
        <v>11</v>
      </c>
      <c r="E15976" s="17" t="s">
        <v>11</v>
      </c>
      <c r="F15976" s="18"/>
      <c r="G15976" s="36" t="str">
        <f>IF(ISNUMBER(F15976),C15976*F15976,"")</f>
        <v/>
      </c>
    </row>
    <row r="15977" spans="1:7" ht="12" customHeight="1" outlineLevel="2" x14ac:dyDescent="0.2">
      <c r="A15977" s="14" t="s">
        <v>31430</v>
      </c>
      <c r="B15977" s="15" t="s">
        <v>31431</v>
      </c>
      <c r="C15977" s="19">
        <f>1664.76/(1+B2)</f>
        <v>1664.76</v>
      </c>
      <c r="D15977" s="17" t="s">
        <v>11</v>
      </c>
      <c r="E15977" s="17"/>
      <c r="F15977" s="18"/>
      <c r="G15977" s="36" t="str">
        <f>IF(ISNUMBER(F15977),C15977*F15977,"")</f>
        <v/>
      </c>
    </row>
    <row r="15978" spans="1:7" ht="12" customHeight="1" outlineLevel="2" x14ac:dyDescent="0.2">
      <c r="A15978" s="14" t="s">
        <v>31432</v>
      </c>
      <c r="B15978" s="15" t="s">
        <v>31433</v>
      </c>
      <c r="C15978" s="19">
        <f>1664.76/(1+B2)</f>
        <v>1664.76</v>
      </c>
      <c r="D15978" s="17" t="s">
        <v>11</v>
      </c>
      <c r="E15978" s="17" t="s">
        <v>11</v>
      </c>
      <c r="F15978" s="18"/>
      <c r="G15978" s="36" t="str">
        <f>IF(ISNUMBER(F15978),C15978*F15978,"")</f>
        <v/>
      </c>
    </row>
    <row r="15979" spans="1:7" ht="12" customHeight="1" outlineLevel="2" x14ac:dyDescent="0.2">
      <c r="A15979" s="14" t="s">
        <v>31434</v>
      </c>
      <c r="B15979" s="15" t="s">
        <v>31435</v>
      </c>
      <c r="C15979" s="19">
        <f>1664.76/(1+B2)</f>
        <v>1664.76</v>
      </c>
      <c r="D15979" s="17" t="s">
        <v>11</v>
      </c>
      <c r="E15979" s="17" t="s">
        <v>11</v>
      </c>
      <c r="F15979" s="18"/>
      <c r="G15979" s="36" t="str">
        <f>IF(ISNUMBER(F15979),C15979*F15979,"")</f>
        <v/>
      </c>
    </row>
    <row r="15980" spans="1:7" ht="12" customHeight="1" outlineLevel="2" x14ac:dyDescent="0.2">
      <c r="A15980" s="14" t="s">
        <v>31436</v>
      </c>
      <c r="B15980" s="15" t="s">
        <v>31437</v>
      </c>
      <c r="C15980" s="19">
        <f>1664.76/(1+B2)</f>
        <v>1664.76</v>
      </c>
      <c r="D15980" s="17" t="s">
        <v>11</v>
      </c>
      <c r="E15980" s="17"/>
      <c r="F15980" s="18"/>
      <c r="G15980" s="36" t="str">
        <f>IF(ISNUMBER(F15980),C15980*F15980,"")</f>
        <v/>
      </c>
    </row>
    <row r="15981" spans="1:7" ht="12" customHeight="1" outlineLevel="2" x14ac:dyDescent="0.2">
      <c r="A15981" s="14" t="s">
        <v>31438</v>
      </c>
      <c r="B15981" s="15" t="s">
        <v>31439</v>
      </c>
      <c r="C15981" s="19">
        <f>1525.08/(1+B2)</f>
        <v>1525.08</v>
      </c>
      <c r="D15981" s="17" t="s">
        <v>11</v>
      </c>
      <c r="E15981" s="17" t="s">
        <v>11</v>
      </c>
      <c r="F15981" s="18"/>
      <c r="G15981" s="36" t="str">
        <f>IF(ISNUMBER(F15981),C15981*F15981,"")</f>
        <v/>
      </c>
    </row>
    <row r="15982" spans="1:7" ht="12" customHeight="1" outlineLevel="2" x14ac:dyDescent="0.2">
      <c r="A15982" s="14" t="s">
        <v>31440</v>
      </c>
      <c r="B15982" s="15" t="s">
        <v>31441</v>
      </c>
      <c r="C15982" s="19">
        <f>1034.76/(1+B2)</f>
        <v>1034.76</v>
      </c>
      <c r="D15982" s="17" t="s">
        <v>11</v>
      </c>
      <c r="E15982" s="17" t="s">
        <v>11</v>
      </c>
      <c r="F15982" s="18"/>
      <c r="G15982" s="36" t="str">
        <f>IF(ISNUMBER(F15982),C15982*F15982,"")</f>
        <v/>
      </c>
    </row>
    <row r="15983" spans="1:7" ht="12" customHeight="1" outlineLevel="2" x14ac:dyDescent="0.2">
      <c r="A15983" s="14" t="s">
        <v>31442</v>
      </c>
      <c r="B15983" s="15" t="s">
        <v>31443</v>
      </c>
      <c r="C15983" s="19">
        <f>1034.76/(1+B2)</f>
        <v>1034.76</v>
      </c>
      <c r="D15983" s="17" t="s">
        <v>11</v>
      </c>
      <c r="E15983" s="17"/>
      <c r="F15983" s="18"/>
      <c r="G15983" s="36" t="str">
        <f>IF(ISNUMBER(F15983),C15983*F15983,"")</f>
        <v/>
      </c>
    </row>
    <row r="15984" spans="1:7" ht="12" customHeight="1" outlineLevel="2" x14ac:dyDescent="0.2">
      <c r="A15984" s="14" t="s">
        <v>31444</v>
      </c>
      <c r="B15984" s="15" t="s">
        <v>31445</v>
      </c>
      <c r="C15984" s="19">
        <f>1292.03/(1+B2)</f>
        <v>1292.03</v>
      </c>
      <c r="D15984" s="17" t="s">
        <v>11</v>
      </c>
      <c r="E15984" s="17" t="s">
        <v>11</v>
      </c>
      <c r="F15984" s="18"/>
      <c r="G15984" s="36" t="str">
        <f>IF(ISNUMBER(F15984),C15984*F15984,"")</f>
        <v/>
      </c>
    </row>
    <row r="15985" spans="1:7" ht="12" customHeight="1" outlineLevel="2" x14ac:dyDescent="0.2">
      <c r="A15985" s="14" t="s">
        <v>31446</v>
      </c>
      <c r="B15985" s="15" t="s">
        <v>31447</v>
      </c>
      <c r="C15985" s="19">
        <f>1292.03/(1+B2)</f>
        <v>1292.03</v>
      </c>
      <c r="D15985" s="17" t="s">
        <v>11</v>
      </c>
      <c r="E15985" s="17" t="s">
        <v>11</v>
      </c>
      <c r="F15985" s="18"/>
      <c r="G15985" s="36" t="str">
        <f>IF(ISNUMBER(F15985),C15985*F15985,"")</f>
        <v/>
      </c>
    </row>
    <row r="15986" spans="1:7" ht="12" customHeight="1" outlineLevel="2" x14ac:dyDescent="0.2">
      <c r="A15986" s="14" t="s">
        <v>31448</v>
      </c>
      <c r="B15986" s="15" t="s">
        <v>31449</v>
      </c>
      <c r="C15986" s="19">
        <f>1292.03/(1+B2)</f>
        <v>1292.03</v>
      </c>
      <c r="D15986" s="17" t="s">
        <v>11</v>
      </c>
      <c r="E15986" s="17" t="s">
        <v>11</v>
      </c>
      <c r="F15986" s="18"/>
      <c r="G15986" s="36" t="str">
        <f>IF(ISNUMBER(F15986),C15986*F15986,"")</f>
        <v/>
      </c>
    </row>
    <row r="15987" spans="1:7" ht="12" customHeight="1" outlineLevel="2" x14ac:dyDescent="0.2">
      <c r="A15987" s="14" t="s">
        <v>31450</v>
      </c>
      <c r="B15987" s="15" t="s">
        <v>31451</v>
      </c>
      <c r="C15987" s="19">
        <f>1801.68/(1+B2)</f>
        <v>1801.68</v>
      </c>
      <c r="D15987" s="17" t="s">
        <v>11</v>
      </c>
      <c r="E15987" s="17" t="s">
        <v>11</v>
      </c>
      <c r="F15987" s="18"/>
      <c r="G15987" s="36" t="str">
        <f>IF(ISNUMBER(F15987),C15987*F15987,"")</f>
        <v/>
      </c>
    </row>
    <row r="15988" spans="1:7" ht="12" customHeight="1" outlineLevel="2" x14ac:dyDescent="0.2">
      <c r="A15988" s="14" t="s">
        <v>31452</v>
      </c>
      <c r="B15988" s="15" t="s">
        <v>31453</v>
      </c>
      <c r="C15988" s="19">
        <f>1801.68/(1+B2)</f>
        <v>1801.68</v>
      </c>
      <c r="D15988" s="17" t="s">
        <v>11</v>
      </c>
      <c r="E15988" s="17" t="s">
        <v>11</v>
      </c>
      <c r="F15988" s="18"/>
      <c r="G15988" s="36" t="str">
        <f>IF(ISNUMBER(F15988),C15988*F15988,"")</f>
        <v/>
      </c>
    </row>
    <row r="15989" spans="1:7" ht="12" customHeight="1" outlineLevel="2" x14ac:dyDescent="0.2">
      <c r="A15989" s="14" t="s">
        <v>31454</v>
      </c>
      <c r="B15989" s="15" t="s">
        <v>31455</v>
      </c>
      <c r="C15989" s="19">
        <f>1098.45/(1+B2)</f>
        <v>1098.45</v>
      </c>
      <c r="D15989" s="17" t="s">
        <v>11</v>
      </c>
      <c r="E15989" s="17" t="s">
        <v>11</v>
      </c>
      <c r="F15989" s="18"/>
      <c r="G15989" s="36" t="str">
        <f>IF(ISNUMBER(F15989),C15989*F15989,"")</f>
        <v/>
      </c>
    </row>
    <row r="15990" spans="1:7" ht="12" customHeight="1" outlineLevel="2" x14ac:dyDescent="0.2">
      <c r="A15990" s="14" t="s">
        <v>31456</v>
      </c>
      <c r="B15990" s="15" t="s">
        <v>31457</v>
      </c>
      <c r="C15990" s="19">
        <f>1801.68/(1+B2)</f>
        <v>1801.68</v>
      </c>
      <c r="D15990" s="17" t="s">
        <v>11</v>
      </c>
      <c r="E15990" s="17" t="s">
        <v>11</v>
      </c>
      <c r="F15990" s="18"/>
      <c r="G15990" s="36" t="str">
        <f>IF(ISNUMBER(F15990),C15990*F15990,"")</f>
        <v/>
      </c>
    </row>
    <row r="15991" spans="1:7" ht="12" customHeight="1" outlineLevel="2" x14ac:dyDescent="0.2">
      <c r="A15991" s="14" t="s">
        <v>31458</v>
      </c>
      <c r="B15991" s="15" t="s">
        <v>31459</v>
      </c>
      <c r="C15991" s="19">
        <f>2135.33/(1+B2)</f>
        <v>2135.33</v>
      </c>
      <c r="D15991" s="17" t="s">
        <v>11</v>
      </c>
      <c r="E15991" s="17"/>
      <c r="F15991" s="18"/>
      <c r="G15991" s="36" t="str">
        <f>IF(ISNUMBER(F15991),C15991*F15991,"")</f>
        <v/>
      </c>
    </row>
    <row r="15992" spans="1:7" ht="12" customHeight="1" outlineLevel="2" x14ac:dyDescent="0.2">
      <c r="A15992" s="14" t="s">
        <v>31460</v>
      </c>
      <c r="B15992" s="15" t="s">
        <v>31461</v>
      </c>
      <c r="C15992" s="19">
        <f>1457.2/(1+B2)</f>
        <v>1457.2</v>
      </c>
      <c r="D15992" s="17" t="s">
        <v>11</v>
      </c>
      <c r="E15992" s="17"/>
      <c r="F15992" s="18"/>
      <c r="G15992" s="36" t="str">
        <f>IF(ISNUMBER(F15992),C15992*F15992,"")</f>
        <v/>
      </c>
    </row>
    <row r="15993" spans="1:7" ht="12" customHeight="1" outlineLevel="2" x14ac:dyDescent="0.2">
      <c r="A15993" s="14" t="s">
        <v>31462</v>
      </c>
      <c r="B15993" s="15" t="s">
        <v>31463</v>
      </c>
      <c r="C15993" s="19">
        <f>1515.37/(1+B2)</f>
        <v>1515.37</v>
      </c>
      <c r="D15993" s="17" t="s">
        <v>11</v>
      </c>
      <c r="E15993" s="17"/>
      <c r="F15993" s="18"/>
      <c r="G15993" s="36" t="str">
        <f>IF(ISNUMBER(F15993),C15993*F15993,"")</f>
        <v/>
      </c>
    </row>
    <row r="15994" spans="1:7" ht="12" customHeight="1" outlineLevel="2" x14ac:dyDescent="0.2">
      <c r="A15994" s="14" t="s">
        <v>31464</v>
      </c>
      <c r="B15994" s="15" t="s">
        <v>31465</v>
      </c>
      <c r="C15994" s="19">
        <f>1180.2/(1+B2)</f>
        <v>1180.2</v>
      </c>
      <c r="D15994" s="17" t="s">
        <v>11</v>
      </c>
      <c r="E15994" s="17" t="s">
        <v>11</v>
      </c>
      <c r="F15994" s="18"/>
      <c r="G15994" s="36" t="str">
        <f>IF(ISNUMBER(F15994),C15994*F15994,"")</f>
        <v/>
      </c>
    </row>
    <row r="15995" spans="1:7" s="1" customFormat="1" ht="15.95" customHeight="1" outlineLevel="1" x14ac:dyDescent="0.25">
      <c r="A15995" s="11"/>
      <c r="B15995" s="12" t="s">
        <v>31466</v>
      </c>
      <c r="C15995" s="13"/>
      <c r="D15995" s="13"/>
      <c r="E15995" s="13"/>
      <c r="F15995" s="13"/>
      <c r="G15995" s="35"/>
    </row>
    <row r="15996" spans="1:7" ht="12" customHeight="1" outlineLevel="2" x14ac:dyDescent="0.2">
      <c r="A15996" s="14" t="s">
        <v>31467</v>
      </c>
      <c r="B15996" s="15" t="s">
        <v>31468</v>
      </c>
      <c r="C15996" s="19">
        <f>1029.04/(1+B2)</f>
        <v>1029.04</v>
      </c>
      <c r="D15996" s="17" t="s">
        <v>11</v>
      </c>
      <c r="E15996" s="17" t="s">
        <v>11</v>
      </c>
      <c r="F15996" s="18"/>
      <c r="G15996" s="36" t="str">
        <f>IF(ISNUMBER(F15996),C15996*F15996,"")</f>
        <v/>
      </c>
    </row>
    <row r="15997" spans="1:7" ht="12" customHeight="1" outlineLevel="2" x14ac:dyDescent="0.2">
      <c r="A15997" s="14" t="s">
        <v>31469</v>
      </c>
      <c r="B15997" s="15" t="s">
        <v>31470</v>
      </c>
      <c r="C15997" s="19">
        <f>1029.04/(1+B2)</f>
        <v>1029.04</v>
      </c>
      <c r="D15997" s="17" t="s">
        <v>11</v>
      </c>
      <c r="E15997" s="17"/>
      <c r="F15997" s="18"/>
      <c r="G15997" s="36" t="str">
        <f>IF(ISNUMBER(F15997),C15997*F15997,"")</f>
        <v/>
      </c>
    </row>
    <row r="15998" spans="1:7" ht="12" customHeight="1" outlineLevel="2" x14ac:dyDescent="0.2">
      <c r="A15998" s="14" t="s">
        <v>31471</v>
      </c>
      <c r="B15998" s="15" t="s">
        <v>31472</v>
      </c>
      <c r="C15998" s="19">
        <f>1029.04/(1+B2)</f>
        <v>1029.04</v>
      </c>
      <c r="D15998" s="17" t="s">
        <v>11</v>
      </c>
      <c r="E15998" s="17" t="s">
        <v>11</v>
      </c>
      <c r="F15998" s="18"/>
      <c r="G15998" s="36" t="str">
        <f>IF(ISNUMBER(F15998),C15998*F15998,"")</f>
        <v/>
      </c>
    </row>
    <row r="15999" spans="1:7" ht="12" customHeight="1" outlineLevel="2" x14ac:dyDescent="0.2">
      <c r="A15999" s="14" t="s">
        <v>31473</v>
      </c>
      <c r="B15999" s="15" t="s">
        <v>31474</v>
      </c>
      <c r="C15999" s="19">
        <f>1083.36/(1+B2)</f>
        <v>1083.3599999999999</v>
      </c>
      <c r="D15999" s="17" t="s">
        <v>11</v>
      </c>
      <c r="E15999" s="17"/>
      <c r="F15999" s="18"/>
      <c r="G15999" s="36" t="str">
        <f>IF(ISNUMBER(F15999),C15999*F15999,"")</f>
        <v/>
      </c>
    </row>
    <row r="16000" spans="1:7" ht="12" customHeight="1" outlineLevel="2" x14ac:dyDescent="0.2">
      <c r="A16000" s="14" t="s">
        <v>31475</v>
      </c>
      <c r="B16000" s="15" t="s">
        <v>31476</v>
      </c>
      <c r="C16000" s="19">
        <f>1083.36/(1+B2)</f>
        <v>1083.3599999999999</v>
      </c>
      <c r="D16000" s="17" t="s">
        <v>11</v>
      </c>
      <c r="E16000" s="17"/>
      <c r="F16000" s="18"/>
      <c r="G16000" s="36" t="str">
        <f>IF(ISNUMBER(F16000),C16000*F16000,"")</f>
        <v/>
      </c>
    </row>
    <row r="16001" spans="1:7" ht="12" customHeight="1" outlineLevel="2" x14ac:dyDescent="0.2">
      <c r="A16001" s="14" t="s">
        <v>31477</v>
      </c>
      <c r="B16001" s="15" t="s">
        <v>31478</v>
      </c>
      <c r="C16001" s="19">
        <f>1083.36/(1+B2)</f>
        <v>1083.3599999999999</v>
      </c>
      <c r="D16001" s="17" t="s">
        <v>11</v>
      </c>
      <c r="E16001" s="17"/>
      <c r="F16001" s="18"/>
      <c r="G16001" s="36" t="str">
        <f>IF(ISNUMBER(F16001),C16001*F16001,"")</f>
        <v/>
      </c>
    </row>
    <row r="16002" spans="1:7" ht="24" customHeight="1" outlineLevel="2" x14ac:dyDescent="0.2">
      <c r="A16002" s="14" t="s">
        <v>31479</v>
      </c>
      <c r="B16002" s="15" t="s">
        <v>31480</v>
      </c>
      <c r="C16002" s="19">
        <f>1238.4/(1+B2)</f>
        <v>1238.4000000000001</v>
      </c>
      <c r="D16002" s="17" t="s">
        <v>11</v>
      </c>
      <c r="E16002" s="17" t="s">
        <v>11</v>
      </c>
      <c r="F16002" s="18"/>
      <c r="G16002" s="36" t="str">
        <f>IF(ISNUMBER(F16002),C16002*F16002,"")</f>
        <v/>
      </c>
    </row>
    <row r="16003" spans="1:7" ht="24" customHeight="1" outlineLevel="2" x14ac:dyDescent="0.2">
      <c r="A16003" s="14" t="s">
        <v>31481</v>
      </c>
      <c r="B16003" s="15" t="s">
        <v>31482</v>
      </c>
      <c r="C16003" s="19">
        <f>1238.4/(1+B2)</f>
        <v>1238.4000000000001</v>
      </c>
      <c r="D16003" s="17" t="s">
        <v>11</v>
      </c>
      <c r="E16003" s="17"/>
      <c r="F16003" s="18"/>
      <c r="G16003" s="36" t="str">
        <f>IF(ISNUMBER(F16003),C16003*F16003,"")</f>
        <v/>
      </c>
    </row>
    <row r="16004" spans="1:7" ht="24" customHeight="1" outlineLevel="2" x14ac:dyDescent="0.2">
      <c r="A16004" s="14" t="s">
        <v>31483</v>
      </c>
      <c r="B16004" s="15" t="s">
        <v>31484</v>
      </c>
      <c r="C16004" s="19">
        <f>1238.4/(1+B2)</f>
        <v>1238.4000000000001</v>
      </c>
      <c r="D16004" s="17" t="s">
        <v>11</v>
      </c>
      <c r="E16004" s="17" t="s">
        <v>11</v>
      </c>
      <c r="F16004" s="18"/>
      <c r="G16004" s="36" t="str">
        <f>IF(ISNUMBER(F16004),C16004*F16004,"")</f>
        <v/>
      </c>
    </row>
    <row r="16005" spans="1:7" ht="12" customHeight="1" outlineLevel="2" x14ac:dyDescent="0.2">
      <c r="A16005" s="14" t="s">
        <v>31485</v>
      </c>
      <c r="B16005" s="15" t="s">
        <v>31486</v>
      </c>
      <c r="C16005" s="16">
        <f>643.6/(1+B2)</f>
        <v>643.6</v>
      </c>
      <c r="D16005" s="17" t="s">
        <v>11</v>
      </c>
      <c r="E16005" s="17"/>
      <c r="F16005" s="18"/>
      <c r="G16005" s="36" t="str">
        <f>IF(ISNUMBER(F16005),C16005*F16005,"")</f>
        <v/>
      </c>
    </row>
    <row r="16006" spans="1:7" ht="12" customHeight="1" outlineLevel="2" x14ac:dyDescent="0.2">
      <c r="A16006" s="14" t="s">
        <v>31487</v>
      </c>
      <c r="B16006" s="15" t="s">
        <v>31488</v>
      </c>
      <c r="C16006" s="16">
        <f>807.07/(1+B2)</f>
        <v>807.07</v>
      </c>
      <c r="D16006" s="17" t="s">
        <v>11</v>
      </c>
      <c r="E16006" s="17"/>
      <c r="F16006" s="18"/>
      <c r="G16006" s="36" t="str">
        <f>IF(ISNUMBER(F16006),C16006*F16006,"")</f>
        <v/>
      </c>
    </row>
    <row r="16007" spans="1:7" ht="12" customHeight="1" outlineLevel="2" x14ac:dyDescent="0.2">
      <c r="A16007" s="14" t="s">
        <v>31489</v>
      </c>
      <c r="B16007" s="15" t="s">
        <v>31490</v>
      </c>
      <c r="C16007" s="16">
        <f>330.48/(1+B2)</f>
        <v>330.48</v>
      </c>
      <c r="D16007" s="17" t="s">
        <v>11</v>
      </c>
      <c r="E16007" s="17" t="s">
        <v>11</v>
      </c>
      <c r="F16007" s="18"/>
      <c r="G16007" s="36" t="str">
        <f>IF(ISNUMBER(F16007),C16007*F16007,"")</f>
        <v/>
      </c>
    </row>
    <row r="16008" spans="1:7" ht="12" customHeight="1" outlineLevel="2" x14ac:dyDescent="0.2">
      <c r="A16008" s="14" t="s">
        <v>31491</v>
      </c>
      <c r="B16008" s="15" t="s">
        <v>31492</v>
      </c>
      <c r="C16008" s="16">
        <f>330.48/(1+B2)</f>
        <v>330.48</v>
      </c>
      <c r="D16008" s="17" t="s">
        <v>11</v>
      </c>
      <c r="E16008" s="17" t="s">
        <v>11</v>
      </c>
      <c r="F16008" s="18"/>
      <c r="G16008" s="36" t="str">
        <f>IF(ISNUMBER(F16008),C16008*F16008,"")</f>
        <v/>
      </c>
    </row>
    <row r="16009" spans="1:7" ht="12" customHeight="1" outlineLevel="2" x14ac:dyDescent="0.2">
      <c r="A16009" s="14" t="s">
        <v>31493</v>
      </c>
      <c r="B16009" s="15" t="s">
        <v>31494</v>
      </c>
      <c r="C16009" s="16">
        <f>330.48/(1+B2)</f>
        <v>330.48</v>
      </c>
      <c r="D16009" s="17" t="s">
        <v>11</v>
      </c>
      <c r="E16009" s="17"/>
      <c r="F16009" s="18"/>
      <c r="G16009" s="36" t="str">
        <f>IF(ISNUMBER(F16009),C16009*F16009,"")</f>
        <v/>
      </c>
    </row>
    <row r="16010" spans="1:7" ht="12" customHeight="1" outlineLevel="2" x14ac:dyDescent="0.2">
      <c r="A16010" s="14" t="s">
        <v>31495</v>
      </c>
      <c r="B16010" s="15" t="s">
        <v>31496</v>
      </c>
      <c r="C16010" s="16">
        <f>477.36/(1+B2)</f>
        <v>477.36</v>
      </c>
      <c r="D16010" s="17" t="s">
        <v>11</v>
      </c>
      <c r="E16010" s="17"/>
      <c r="F16010" s="18"/>
      <c r="G16010" s="36" t="str">
        <f>IF(ISNUMBER(F16010),C16010*F16010,"")</f>
        <v/>
      </c>
    </row>
    <row r="16011" spans="1:7" ht="12" customHeight="1" outlineLevel="2" x14ac:dyDescent="0.2">
      <c r="A16011" s="14" t="s">
        <v>31497</v>
      </c>
      <c r="B16011" s="15" t="s">
        <v>31498</v>
      </c>
      <c r="C16011" s="16">
        <f>477.36/(1+B2)</f>
        <v>477.36</v>
      </c>
      <c r="D16011" s="17" t="s">
        <v>11</v>
      </c>
      <c r="E16011" s="17"/>
      <c r="F16011" s="18"/>
      <c r="G16011" s="36" t="str">
        <f>IF(ISNUMBER(F16011),C16011*F16011,"")</f>
        <v/>
      </c>
    </row>
    <row r="16012" spans="1:7" ht="12" customHeight="1" outlineLevel="2" x14ac:dyDescent="0.2">
      <c r="A16012" s="14" t="s">
        <v>31499</v>
      </c>
      <c r="B16012" s="15" t="s">
        <v>31500</v>
      </c>
      <c r="C16012" s="16">
        <f>477.36/(1+B2)</f>
        <v>477.36</v>
      </c>
      <c r="D16012" s="17" t="s">
        <v>11</v>
      </c>
      <c r="E16012" s="17"/>
      <c r="F16012" s="18"/>
      <c r="G16012" s="36" t="str">
        <f>IF(ISNUMBER(F16012),C16012*F16012,"")</f>
        <v/>
      </c>
    </row>
    <row r="16013" spans="1:7" ht="12" customHeight="1" outlineLevel="2" x14ac:dyDescent="0.2">
      <c r="A16013" s="14" t="s">
        <v>31501</v>
      </c>
      <c r="B16013" s="15" t="s">
        <v>31502</v>
      </c>
      <c r="C16013" s="16">
        <f>144/(1+B2)</f>
        <v>144</v>
      </c>
      <c r="D16013" s="17" t="s">
        <v>11</v>
      </c>
      <c r="E16013" s="17" t="s">
        <v>11</v>
      </c>
      <c r="F16013" s="18"/>
      <c r="G16013" s="36" t="str">
        <f>IF(ISNUMBER(F16013),C16013*F16013,"")</f>
        <v/>
      </c>
    </row>
    <row r="16014" spans="1:7" ht="12" customHeight="1" outlineLevel="2" x14ac:dyDescent="0.2">
      <c r="A16014" s="14" t="s">
        <v>31503</v>
      </c>
      <c r="B16014" s="15" t="s">
        <v>31504</v>
      </c>
      <c r="C16014" s="16">
        <f>165.6/(1+B2)</f>
        <v>165.6</v>
      </c>
      <c r="D16014" s="17" t="s">
        <v>11</v>
      </c>
      <c r="E16014" s="17" t="s">
        <v>11</v>
      </c>
      <c r="F16014" s="18"/>
      <c r="G16014" s="36" t="str">
        <f>IF(ISNUMBER(F16014),C16014*F16014,"")</f>
        <v/>
      </c>
    </row>
    <row r="16015" spans="1:7" ht="12" customHeight="1" outlineLevel="2" x14ac:dyDescent="0.2">
      <c r="A16015" s="14" t="s">
        <v>31505</v>
      </c>
      <c r="B16015" s="15" t="s">
        <v>31506</v>
      </c>
      <c r="C16015" s="16">
        <f>165.6/(1+B2)</f>
        <v>165.6</v>
      </c>
      <c r="D16015" s="17" t="s">
        <v>11</v>
      </c>
      <c r="E16015" s="17"/>
      <c r="F16015" s="18"/>
      <c r="G16015" s="36" t="str">
        <f>IF(ISNUMBER(F16015),C16015*F16015,"")</f>
        <v/>
      </c>
    </row>
    <row r="16016" spans="1:7" ht="12" customHeight="1" outlineLevel="2" x14ac:dyDescent="0.2">
      <c r="A16016" s="14" t="s">
        <v>31507</v>
      </c>
      <c r="B16016" s="15" t="s">
        <v>31508</v>
      </c>
      <c r="C16016" s="16">
        <f>208.8/(1+B2)</f>
        <v>208.8</v>
      </c>
      <c r="D16016" s="17" t="s">
        <v>11</v>
      </c>
      <c r="E16016" s="17" t="s">
        <v>11</v>
      </c>
      <c r="F16016" s="18"/>
      <c r="G16016" s="36" t="str">
        <f>IF(ISNUMBER(F16016),C16016*F16016,"")</f>
        <v/>
      </c>
    </row>
    <row r="16017" spans="1:7" ht="12" customHeight="1" outlineLevel="2" x14ac:dyDescent="0.2">
      <c r="A16017" s="14" t="s">
        <v>31509</v>
      </c>
      <c r="B16017" s="15" t="s">
        <v>31510</v>
      </c>
      <c r="C16017" s="16">
        <f>178.61/(1+B2)</f>
        <v>178.61</v>
      </c>
      <c r="D16017" s="17" t="s">
        <v>11</v>
      </c>
      <c r="E16017" s="17"/>
      <c r="F16017" s="18"/>
      <c r="G16017" s="36" t="str">
        <f>IF(ISNUMBER(F16017),C16017*F16017,"")</f>
        <v/>
      </c>
    </row>
    <row r="16018" spans="1:7" ht="12" customHeight="1" outlineLevel="2" x14ac:dyDescent="0.2">
      <c r="A16018" s="14" t="s">
        <v>31511</v>
      </c>
      <c r="B16018" s="15" t="s">
        <v>31512</v>
      </c>
      <c r="C16018" s="16">
        <f>178.61/(1+B2)</f>
        <v>178.61</v>
      </c>
      <c r="D16018" s="17" t="s">
        <v>11</v>
      </c>
      <c r="E16018" s="17"/>
      <c r="F16018" s="18"/>
      <c r="G16018" s="36" t="str">
        <f>IF(ISNUMBER(F16018),C16018*F16018,"")</f>
        <v/>
      </c>
    </row>
    <row r="16019" spans="1:7" ht="12" customHeight="1" outlineLevel="2" x14ac:dyDescent="0.2">
      <c r="A16019" s="14" t="s">
        <v>31513</v>
      </c>
      <c r="B16019" s="15" t="s">
        <v>31514</v>
      </c>
      <c r="C16019" s="16">
        <f>178.61/(1+B2)</f>
        <v>178.61</v>
      </c>
      <c r="D16019" s="17" t="s">
        <v>11</v>
      </c>
      <c r="E16019" s="17"/>
      <c r="F16019" s="18"/>
      <c r="G16019" s="36" t="str">
        <f>IF(ISNUMBER(F16019),C16019*F16019,"")</f>
        <v/>
      </c>
    </row>
    <row r="16020" spans="1:7" ht="12" customHeight="1" outlineLevel="2" x14ac:dyDescent="0.2">
      <c r="A16020" s="14" t="s">
        <v>31515</v>
      </c>
      <c r="B16020" s="15" t="s">
        <v>31516</v>
      </c>
      <c r="C16020" s="16">
        <f>219.24/(1+B2)</f>
        <v>219.24</v>
      </c>
      <c r="D16020" s="17" t="s">
        <v>11</v>
      </c>
      <c r="E16020" s="17"/>
      <c r="F16020" s="18"/>
      <c r="G16020" s="36" t="str">
        <f>IF(ISNUMBER(F16020),C16020*F16020,"")</f>
        <v/>
      </c>
    </row>
    <row r="16021" spans="1:7" ht="12" customHeight="1" outlineLevel="2" x14ac:dyDescent="0.2">
      <c r="A16021" s="14" t="s">
        <v>31517</v>
      </c>
      <c r="B16021" s="15" t="s">
        <v>31518</v>
      </c>
      <c r="C16021" s="16">
        <f>219.24/(1+B2)</f>
        <v>219.24</v>
      </c>
      <c r="D16021" s="17" t="s">
        <v>11</v>
      </c>
      <c r="E16021" s="17"/>
      <c r="F16021" s="18"/>
      <c r="G16021" s="36" t="str">
        <f>IF(ISNUMBER(F16021),C16021*F16021,"")</f>
        <v/>
      </c>
    </row>
    <row r="16022" spans="1:7" ht="12" customHeight="1" outlineLevel="2" x14ac:dyDescent="0.2">
      <c r="A16022" s="14" t="s">
        <v>31519</v>
      </c>
      <c r="B16022" s="15" t="s">
        <v>31520</v>
      </c>
      <c r="C16022" s="16">
        <f>219.24/(1+B2)</f>
        <v>219.24</v>
      </c>
      <c r="D16022" s="17" t="s">
        <v>11</v>
      </c>
      <c r="E16022" s="17" t="s">
        <v>11</v>
      </c>
      <c r="F16022" s="18"/>
      <c r="G16022" s="36" t="str">
        <f>IF(ISNUMBER(F16022),C16022*F16022,"")</f>
        <v/>
      </c>
    </row>
    <row r="16023" spans="1:7" ht="12" customHeight="1" outlineLevel="2" x14ac:dyDescent="0.2">
      <c r="A16023" s="14" t="s">
        <v>31521</v>
      </c>
      <c r="B16023" s="15" t="s">
        <v>31522</v>
      </c>
      <c r="C16023" s="16">
        <f>219.24/(1+B2)</f>
        <v>219.24</v>
      </c>
      <c r="D16023" s="17" t="s">
        <v>11</v>
      </c>
      <c r="E16023" s="17" t="s">
        <v>11</v>
      </c>
      <c r="F16023" s="18"/>
      <c r="G16023" s="36" t="str">
        <f>IF(ISNUMBER(F16023),C16023*F16023,"")</f>
        <v/>
      </c>
    </row>
    <row r="16024" spans="1:7" ht="12" customHeight="1" outlineLevel="2" x14ac:dyDescent="0.2">
      <c r="A16024" s="14" t="s">
        <v>31523</v>
      </c>
      <c r="B16024" s="15" t="s">
        <v>31524</v>
      </c>
      <c r="C16024" s="16">
        <f>209.66/(1+B2)</f>
        <v>209.66</v>
      </c>
      <c r="D16024" s="17" t="s">
        <v>11</v>
      </c>
      <c r="E16024" s="17"/>
      <c r="F16024" s="18"/>
      <c r="G16024" s="36" t="str">
        <f>IF(ISNUMBER(F16024),C16024*F16024,"")</f>
        <v/>
      </c>
    </row>
    <row r="16025" spans="1:7" ht="12" customHeight="1" outlineLevel="2" x14ac:dyDescent="0.2">
      <c r="A16025" s="14" t="s">
        <v>31525</v>
      </c>
      <c r="B16025" s="15" t="s">
        <v>31526</v>
      </c>
      <c r="C16025" s="16">
        <f>209.66/(1+B2)</f>
        <v>209.66</v>
      </c>
      <c r="D16025" s="17" t="s">
        <v>11</v>
      </c>
      <c r="E16025" s="17" t="s">
        <v>11</v>
      </c>
      <c r="F16025" s="18"/>
      <c r="G16025" s="36" t="str">
        <f>IF(ISNUMBER(F16025),C16025*F16025,"")</f>
        <v/>
      </c>
    </row>
    <row r="16026" spans="1:7" ht="12" customHeight="1" outlineLevel="2" x14ac:dyDescent="0.2">
      <c r="A16026" s="14" t="s">
        <v>31527</v>
      </c>
      <c r="B16026" s="15" t="s">
        <v>31528</v>
      </c>
      <c r="C16026" s="16">
        <f>209.66/(1+B2)</f>
        <v>209.66</v>
      </c>
      <c r="D16026" s="17" t="s">
        <v>11</v>
      </c>
      <c r="E16026" s="17"/>
      <c r="F16026" s="18"/>
      <c r="G16026" s="36" t="str">
        <f>IF(ISNUMBER(F16026),C16026*F16026,"")</f>
        <v/>
      </c>
    </row>
    <row r="16027" spans="1:7" ht="12" customHeight="1" outlineLevel="2" x14ac:dyDescent="0.2">
      <c r="A16027" s="14" t="s">
        <v>31529</v>
      </c>
      <c r="B16027" s="15" t="s">
        <v>31530</v>
      </c>
      <c r="C16027" s="16">
        <f>209.66/(1+B2)</f>
        <v>209.66</v>
      </c>
      <c r="D16027" s="17" t="s">
        <v>11</v>
      </c>
      <c r="E16027" s="17"/>
      <c r="F16027" s="18"/>
      <c r="G16027" s="36" t="str">
        <f>IF(ISNUMBER(F16027),C16027*F16027,"")</f>
        <v/>
      </c>
    </row>
    <row r="16028" spans="1:7" ht="12" customHeight="1" outlineLevel="2" x14ac:dyDescent="0.2">
      <c r="A16028" s="14" t="s">
        <v>31531</v>
      </c>
      <c r="B16028" s="15" t="s">
        <v>31532</v>
      </c>
      <c r="C16028" s="16">
        <f>289.01/(1+B2)</f>
        <v>289.01</v>
      </c>
      <c r="D16028" s="17" t="s">
        <v>11</v>
      </c>
      <c r="E16028" s="17" t="s">
        <v>11</v>
      </c>
      <c r="F16028" s="18"/>
      <c r="G16028" s="36" t="str">
        <f>IF(ISNUMBER(F16028),C16028*F16028,"")</f>
        <v/>
      </c>
    </row>
    <row r="16029" spans="1:7" ht="12" customHeight="1" outlineLevel="2" x14ac:dyDescent="0.2">
      <c r="A16029" s="14" t="s">
        <v>31533</v>
      </c>
      <c r="B16029" s="15" t="s">
        <v>31534</v>
      </c>
      <c r="C16029" s="16">
        <f>289.01/(1+B2)</f>
        <v>289.01</v>
      </c>
      <c r="D16029" s="17" t="s">
        <v>11</v>
      </c>
      <c r="E16029" s="17" t="s">
        <v>11</v>
      </c>
      <c r="F16029" s="18"/>
      <c r="G16029" s="36" t="str">
        <f>IF(ISNUMBER(F16029),C16029*F16029,"")</f>
        <v/>
      </c>
    </row>
    <row r="16030" spans="1:7" ht="12" customHeight="1" outlineLevel="2" x14ac:dyDescent="0.2">
      <c r="A16030" s="14" t="s">
        <v>31535</v>
      </c>
      <c r="B16030" s="15" t="s">
        <v>31536</v>
      </c>
      <c r="C16030" s="16">
        <f>289.01/(1+B2)</f>
        <v>289.01</v>
      </c>
      <c r="D16030" s="17" t="s">
        <v>11</v>
      </c>
      <c r="E16030" s="17"/>
      <c r="F16030" s="18"/>
      <c r="G16030" s="36" t="str">
        <f>IF(ISNUMBER(F16030),C16030*F16030,"")</f>
        <v/>
      </c>
    </row>
    <row r="16031" spans="1:7" ht="12" customHeight="1" outlineLevel="2" x14ac:dyDescent="0.2">
      <c r="A16031" s="14" t="s">
        <v>31537</v>
      </c>
      <c r="B16031" s="15" t="s">
        <v>31538</v>
      </c>
      <c r="C16031" s="16">
        <f>369.01/(1+B2)</f>
        <v>369.01</v>
      </c>
      <c r="D16031" s="17" t="s">
        <v>11</v>
      </c>
      <c r="E16031" s="17"/>
      <c r="F16031" s="18"/>
      <c r="G16031" s="36" t="str">
        <f>IF(ISNUMBER(F16031),C16031*F16031,"")</f>
        <v/>
      </c>
    </row>
    <row r="16032" spans="1:7" ht="12" customHeight="1" outlineLevel="2" x14ac:dyDescent="0.2">
      <c r="A16032" s="14" t="s">
        <v>31539</v>
      </c>
      <c r="B16032" s="15" t="s">
        <v>31540</v>
      </c>
      <c r="C16032" s="16">
        <f>369.01/(1+B2)</f>
        <v>369.01</v>
      </c>
      <c r="D16032" s="17" t="s">
        <v>11</v>
      </c>
      <c r="E16032" s="17" t="s">
        <v>11</v>
      </c>
      <c r="F16032" s="18"/>
      <c r="G16032" s="36" t="str">
        <f>IF(ISNUMBER(F16032),C16032*F16032,"")</f>
        <v/>
      </c>
    </row>
    <row r="16033" spans="1:7" ht="12" customHeight="1" outlineLevel="2" x14ac:dyDescent="0.2">
      <c r="A16033" s="14" t="s">
        <v>31541</v>
      </c>
      <c r="B16033" s="15" t="s">
        <v>31542</v>
      </c>
      <c r="C16033" s="16">
        <f>369.01/(1+B2)</f>
        <v>369.01</v>
      </c>
      <c r="D16033" s="17" t="s">
        <v>11</v>
      </c>
      <c r="E16033" s="17" t="s">
        <v>11</v>
      </c>
      <c r="F16033" s="18"/>
      <c r="G16033" s="36" t="str">
        <f>IF(ISNUMBER(F16033),C16033*F16033,"")</f>
        <v/>
      </c>
    </row>
    <row r="16034" spans="1:7" ht="12" customHeight="1" outlineLevel="2" x14ac:dyDescent="0.2">
      <c r="A16034" s="14" t="s">
        <v>31543</v>
      </c>
      <c r="B16034" s="15" t="s">
        <v>31544</v>
      </c>
      <c r="C16034" s="16">
        <f>644.56/(1+B2)</f>
        <v>644.55999999999995</v>
      </c>
      <c r="D16034" s="17" t="s">
        <v>11</v>
      </c>
      <c r="E16034" s="17"/>
      <c r="F16034" s="18"/>
      <c r="G16034" s="36" t="str">
        <f>IF(ISNUMBER(F16034),C16034*F16034,"")</f>
        <v/>
      </c>
    </row>
    <row r="16035" spans="1:7" ht="12" customHeight="1" outlineLevel="2" x14ac:dyDescent="0.2">
      <c r="A16035" s="14" t="s">
        <v>31545</v>
      </c>
      <c r="B16035" s="15" t="s">
        <v>31546</v>
      </c>
      <c r="C16035" s="16">
        <f>999.04/(1+B2)</f>
        <v>999.04</v>
      </c>
      <c r="D16035" s="17" t="s">
        <v>11</v>
      </c>
      <c r="E16035" s="17" t="s">
        <v>11</v>
      </c>
      <c r="F16035" s="18"/>
      <c r="G16035" s="36" t="str">
        <f>IF(ISNUMBER(F16035),C16035*F16035,"")</f>
        <v/>
      </c>
    </row>
    <row r="16036" spans="1:7" ht="12" customHeight="1" outlineLevel="2" x14ac:dyDescent="0.2">
      <c r="A16036" s="14" t="s">
        <v>31547</v>
      </c>
      <c r="B16036" s="15" t="s">
        <v>31548</v>
      </c>
      <c r="C16036" s="16">
        <f>999.04/(1+B2)</f>
        <v>999.04</v>
      </c>
      <c r="D16036" s="17" t="s">
        <v>11</v>
      </c>
      <c r="E16036" s="17"/>
      <c r="F16036" s="18"/>
      <c r="G16036" s="36" t="str">
        <f>IF(ISNUMBER(F16036),C16036*F16036,"")</f>
        <v/>
      </c>
    </row>
    <row r="16037" spans="1:7" ht="12" customHeight="1" outlineLevel="2" x14ac:dyDescent="0.2">
      <c r="A16037" s="14" t="s">
        <v>31549</v>
      </c>
      <c r="B16037" s="15" t="s">
        <v>31550</v>
      </c>
      <c r="C16037" s="16">
        <f>999.04/(1+B2)</f>
        <v>999.04</v>
      </c>
      <c r="D16037" s="17" t="s">
        <v>11</v>
      </c>
      <c r="E16037" s="17" t="s">
        <v>11</v>
      </c>
      <c r="F16037" s="18"/>
      <c r="G16037" s="36" t="str">
        <f>IF(ISNUMBER(F16037),C16037*F16037,"")</f>
        <v/>
      </c>
    </row>
    <row r="16038" spans="1:7" ht="12" customHeight="1" outlineLevel="2" x14ac:dyDescent="0.2">
      <c r="A16038" s="14" t="s">
        <v>31551</v>
      </c>
      <c r="B16038" s="15" t="s">
        <v>31552</v>
      </c>
      <c r="C16038" s="16">
        <f>619.02/(1+B2)</f>
        <v>619.02</v>
      </c>
      <c r="D16038" s="17" t="s">
        <v>11</v>
      </c>
      <c r="E16038" s="17" t="s">
        <v>11</v>
      </c>
      <c r="F16038" s="18"/>
      <c r="G16038" s="36" t="str">
        <f>IF(ISNUMBER(F16038),C16038*F16038,"")</f>
        <v/>
      </c>
    </row>
    <row r="16039" spans="1:7" ht="12" customHeight="1" outlineLevel="2" x14ac:dyDescent="0.2">
      <c r="A16039" s="14" t="s">
        <v>31553</v>
      </c>
      <c r="B16039" s="15" t="s">
        <v>31554</v>
      </c>
      <c r="C16039" s="16">
        <f>619.02/(1+B2)</f>
        <v>619.02</v>
      </c>
      <c r="D16039" s="17" t="s">
        <v>11</v>
      </c>
      <c r="E16039" s="17" t="s">
        <v>11</v>
      </c>
      <c r="F16039" s="18"/>
      <c r="G16039" s="36" t="str">
        <f>IF(ISNUMBER(F16039),C16039*F16039,"")</f>
        <v/>
      </c>
    </row>
    <row r="16040" spans="1:7" ht="12" customHeight="1" outlineLevel="2" x14ac:dyDescent="0.2">
      <c r="A16040" s="14" t="s">
        <v>31555</v>
      </c>
      <c r="B16040" s="15" t="s">
        <v>31556</v>
      </c>
      <c r="C16040" s="16">
        <f>619.02/(1+B2)</f>
        <v>619.02</v>
      </c>
      <c r="D16040" s="17" t="s">
        <v>11</v>
      </c>
      <c r="E16040" s="17"/>
      <c r="F16040" s="18"/>
      <c r="G16040" s="36" t="str">
        <f>IF(ISNUMBER(F16040),C16040*F16040,"")</f>
        <v/>
      </c>
    </row>
    <row r="16041" spans="1:7" ht="12" customHeight="1" outlineLevel="2" x14ac:dyDescent="0.2">
      <c r="A16041" s="14" t="s">
        <v>31557</v>
      </c>
      <c r="B16041" s="15" t="s">
        <v>31558</v>
      </c>
      <c r="C16041" s="16">
        <f>847.44/(1+B2)</f>
        <v>847.44</v>
      </c>
      <c r="D16041" s="17" t="s">
        <v>11</v>
      </c>
      <c r="E16041" s="17"/>
      <c r="F16041" s="18"/>
      <c r="G16041" s="36" t="str">
        <f>IF(ISNUMBER(F16041),C16041*F16041,"")</f>
        <v/>
      </c>
    </row>
    <row r="16042" spans="1:7" ht="12" customHeight="1" outlineLevel="2" x14ac:dyDescent="0.2">
      <c r="A16042" s="14" t="s">
        <v>31559</v>
      </c>
      <c r="B16042" s="15" t="s">
        <v>31560</v>
      </c>
      <c r="C16042" s="16">
        <f>847.44/(1+B2)</f>
        <v>847.44</v>
      </c>
      <c r="D16042" s="17" t="s">
        <v>11</v>
      </c>
      <c r="E16042" s="17" t="s">
        <v>11</v>
      </c>
      <c r="F16042" s="18"/>
      <c r="G16042" s="36" t="str">
        <f>IF(ISNUMBER(F16042),C16042*F16042,"")</f>
        <v/>
      </c>
    </row>
    <row r="16043" spans="1:7" ht="12" customHeight="1" outlineLevel="2" x14ac:dyDescent="0.2">
      <c r="A16043" s="14" t="s">
        <v>31561</v>
      </c>
      <c r="B16043" s="15" t="s">
        <v>31562</v>
      </c>
      <c r="C16043" s="16">
        <f>847.44/(1+B2)</f>
        <v>847.44</v>
      </c>
      <c r="D16043" s="17" t="s">
        <v>11</v>
      </c>
      <c r="E16043" s="17"/>
      <c r="F16043" s="18"/>
      <c r="G16043" s="36" t="str">
        <f>IF(ISNUMBER(F16043),C16043*F16043,"")</f>
        <v/>
      </c>
    </row>
    <row r="16044" spans="1:7" ht="12" customHeight="1" outlineLevel="2" x14ac:dyDescent="0.2">
      <c r="A16044" s="14" t="s">
        <v>31563</v>
      </c>
      <c r="B16044" s="15" t="s">
        <v>31564</v>
      </c>
      <c r="C16044" s="16">
        <f>739.32/(1+B2)</f>
        <v>739.32</v>
      </c>
      <c r="D16044" s="17" t="s">
        <v>11</v>
      </c>
      <c r="E16044" s="17" t="s">
        <v>11</v>
      </c>
      <c r="F16044" s="18"/>
      <c r="G16044" s="36" t="str">
        <f>IF(ISNUMBER(F16044),C16044*F16044,"")</f>
        <v/>
      </c>
    </row>
    <row r="16045" spans="1:7" ht="12" customHeight="1" outlineLevel="2" x14ac:dyDescent="0.2">
      <c r="A16045" s="14" t="s">
        <v>31565</v>
      </c>
      <c r="B16045" s="15" t="s">
        <v>31566</v>
      </c>
      <c r="C16045" s="16">
        <f>739.32/(1+B2)</f>
        <v>739.32</v>
      </c>
      <c r="D16045" s="17" t="s">
        <v>11</v>
      </c>
      <c r="E16045" s="17"/>
      <c r="F16045" s="18"/>
      <c r="G16045" s="36" t="str">
        <f>IF(ISNUMBER(F16045),C16045*F16045,"")</f>
        <v/>
      </c>
    </row>
    <row r="16046" spans="1:7" ht="12" customHeight="1" outlineLevel="2" x14ac:dyDescent="0.2">
      <c r="A16046" s="14" t="s">
        <v>31567</v>
      </c>
      <c r="B16046" s="15" t="s">
        <v>31568</v>
      </c>
      <c r="C16046" s="16">
        <f>897.21/(1+B2)</f>
        <v>897.21</v>
      </c>
      <c r="D16046" s="17" t="s">
        <v>11</v>
      </c>
      <c r="E16046" s="17"/>
      <c r="F16046" s="18"/>
      <c r="G16046" s="36" t="str">
        <f>IF(ISNUMBER(F16046),C16046*F16046,"")</f>
        <v/>
      </c>
    </row>
    <row r="16047" spans="1:7" ht="12" customHeight="1" outlineLevel="2" x14ac:dyDescent="0.2">
      <c r="A16047" s="14" t="s">
        <v>31569</v>
      </c>
      <c r="B16047" s="15" t="s">
        <v>31570</v>
      </c>
      <c r="C16047" s="16">
        <f>897.21/(1+B2)</f>
        <v>897.21</v>
      </c>
      <c r="D16047" s="17" t="s">
        <v>11</v>
      </c>
      <c r="E16047" s="17"/>
      <c r="F16047" s="18"/>
      <c r="G16047" s="36" t="str">
        <f>IF(ISNUMBER(F16047),C16047*F16047,"")</f>
        <v/>
      </c>
    </row>
    <row r="16048" spans="1:7" ht="12" customHeight="1" outlineLevel="2" x14ac:dyDescent="0.2">
      <c r="A16048" s="14" t="s">
        <v>31571</v>
      </c>
      <c r="B16048" s="15" t="s">
        <v>31572</v>
      </c>
      <c r="C16048" s="16">
        <f>897.21/(1+B2)</f>
        <v>897.21</v>
      </c>
      <c r="D16048" s="17" t="s">
        <v>11</v>
      </c>
      <c r="E16048" s="17" t="s">
        <v>11</v>
      </c>
      <c r="F16048" s="18"/>
      <c r="G16048" s="36" t="str">
        <f>IF(ISNUMBER(F16048),C16048*F16048,"")</f>
        <v/>
      </c>
    </row>
    <row r="16049" spans="1:7" ht="12" customHeight="1" outlineLevel="2" x14ac:dyDescent="0.2">
      <c r="A16049" s="14" t="s">
        <v>31573</v>
      </c>
      <c r="B16049" s="15" t="s">
        <v>31574</v>
      </c>
      <c r="C16049" s="19">
        <f>1240.98/(1+B2)</f>
        <v>1240.98</v>
      </c>
      <c r="D16049" s="17" t="s">
        <v>11</v>
      </c>
      <c r="E16049" s="17"/>
      <c r="F16049" s="18"/>
      <c r="G16049" s="36" t="str">
        <f>IF(ISNUMBER(F16049),C16049*F16049,"")</f>
        <v/>
      </c>
    </row>
    <row r="16050" spans="1:7" ht="12" customHeight="1" outlineLevel="2" x14ac:dyDescent="0.2">
      <c r="A16050" s="14" t="s">
        <v>31575</v>
      </c>
      <c r="B16050" s="15" t="s">
        <v>31576</v>
      </c>
      <c r="C16050" s="19">
        <f>1240.98/(1+B2)</f>
        <v>1240.98</v>
      </c>
      <c r="D16050" s="17" t="s">
        <v>11</v>
      </c>
      <c r="E16050" s="17"/>
      <c r="F16050" s="18"/>
      <c r="G16050" s="36" t="str">
        <f>IF(ISNUMBER(F16050),C16050*F16050,"")</f>
        <v/>
      </c>
    </row>
    <row r="16051" spans="1:7" ht="12" customHeight="1" outlineLevel="2" x14ac:dyDescent="0.2">
      <c r="A16051" s="14" t="s">
        <v>31577</v>
      </c>
      <c r="B16051" s="15" t="s">
        <v>31578</v>
      </c>
      <c r="C16051" s="19">
        <f>1240.98/(1+B2)</f>
        <v>1240.98</v>
      </c>
      <c r="D16051" s="17" t="s">
        <v>11</v>
      </c>
      <c r="E16051" s="17"/>
      <c r="F16051" s="18"/>
      <c r="G16051" s="36" t="str">
        <f>IF(ISNUMBER(F16051),C16051*F16051,"")</f>
        <v/>
      </c>
    </row>
    <row r="16052" spans="1:7" ht="12" customHeight="1" outlineLevel="2" x14ac:dyDescent="0.2">
      <c r="A16052" s="14" t="s">
        <v>31579</v>
      </c>
      <c r="B16052" s="15" t="s">
        <v>31580</v>
      </c>
      <c r="C16052" s="19">
        <f>1704.18/(1+B2)</f>
        <v>1704.18</v>
      </c>
      <c r="D16052" s="17" t="s">
        <v>11</v>
      </c>
      <c r="E16052" s="17"/>
      <c r="F16052" s="18"/>
      <c r="G16052" s="36" t="str">
        <f>IF(ISNUMBER(F16052),C16052*F16052,"")</f>
        <v/>
      </c>
    </row>
    <row r="16053" spans="1:7" ht="12" customHeight="1" outlineLevel="2" x14ac:dyDescent="0.2">
      <c r="A16053" s="14" t="s">
        <v>31581</v>
      </c>
      <c r="B16053" s="15" t="s">
        <v>31582</v>
      </c>
      <c r="C16053" s="19">
        <f>1704.18/(1+B2)</f>
        <v>1704.18</v>
      </c>
      <c r="D16053" s="17" t="s">
        <v>11</v>
      </c>
      <c r="E16053" s="17"/>
      <c r="F16053" s="18"/>
      <c r="G16053" s="36" t="str">
        <f>IF(ISNUMBER(F16053),C16053*F16053,"")</f>
        <v/>
      </c>
    </row>
    <row r="16054" spans="1:7" ht="12" customHeight="1" outlineLevel="2" x14ac:dyDescent="0.2">
      <c r="A16054" s="14" t="s">
        <v>31583</v>
      </c>
      <c r="B16054" s="15" t="s">
        <v>31584</v>
      </c>
      <c r="C16054" s="19">
        <f>1704.18/(1+B2)</f>
        <v>1704.18</v>
      </c>
      <c r="D16054" s="17" t="s">
        <v>11</v>
      </c>
      <c r="E16054" s="17"/>
      <c r="F16054" s="18"/>
      <c r="G16054" s="36" t="str">
        <f>IF(ISNUMBER(F16054),C16054*F16054,"")</f>
        <v/>
      </c>
    </row>
    <row r="16055" spans="1:7" ht="12" customHeight="1" outlineLevel="2" x14ac:dyDescent="0.2">
      <c r="A16055" s="14" t="s">
        <v>31585</v>
      </c>
      <c r="B16055" s="15" t="s">
        <v>31586</v>
      </c>
      <c r="C16055" s="16">
        <f>806.4/(1+B2)</f>
        <v>806.4</v>
      </c>
      <c r="D16055" s="17" t="s">
        <v>11</v>
      </c>
      <c r="E16055" s="17"/>
      <c r="F16055" s="18"/>
      <c r="G16055" s="36" t="str">
        <f>IF(ISNUMBER(F16055),C16055*F16055,"")</f>
        <v/>
      </c>
    </row>
    <row r="16056" spans="1:7" ht="12" customHeight="1" outlineLevel="2" x14ac:dyDescent="0.2">
      <c r="A16056" s="14" t="s">
        <v>31587</v>
      </c>
      <c r="B16056" s="15" t="s">
        <v>31588</v>
      </c>
      <c r="C16056" s="16">
        <f>806.4/(1+B2)</f>
        <v>806.4</v>
      </c>
      <c r="D16056" s="17" t="s">
        <v>11</v>
      </c>
      <c r="E16056" s="17"/>
      <c r="F16056" s="18"/>
      <c r="G16056" s="36" t="str">
        <f>IF(ISNUMBER(F16056),C16056*F16056,"")</f>
        <v/>
      </c>
    </row>
    <row r="16057" spans="1:7" ht="12" customHeight="1" outlineLevel="2" x14ac:dyDescent="0.2">
      <c r="A16057" s="14" t="s">
        <v>31589</v>
      </c>
      <c r="B16057" s="15" t="s">
        <v>31590</v>
      </c>
      <c r="C16057" s="16">
        <f>806.4/(1+B2)</f>
        <v>806.4</v>
      </c>
      <c r="D16057" s="17" t="s">
        <v>11</v>
      </c>
      <c r="E16057" s="17"/>
      <c r="F16057" s="18"/>
      <c r="G16057" s="36" t="str">
        <f>IF(ISNUMBER(F16057),C16057*F16057,"")</f>
        <v/>
      </c>
    </row>
    <row r="16058" spans="1:7" ht="12" customHeight="1" outlineLevel="2" x14ac:dyDescent="0.2">
      <c r="A16058" s="14" t="s">
        <v>31591</v>
      </c>
      <c r="B16058" s="15" t="s">
        <v>31592</v>
      </c>
      <c r="C16058" s="19">
        <f>1565.31/(1+B2)</f>
        <v>1565.31</v>
      </c>
      <c r="D16058" s="17" t="s">
        <v>11</v>
      </c>
      <c r="E16058" s="17"/>
      <c r="F16058" s="18"/>
      <c r="G16058" s="36" t="str">
        <f>IF(ISNUMBER(F16058),C16058*F16058,"")</f>
        <v/>
      </c>
    </row>
    <row r="16059" spans="1:7" ht="12" customHeight="1" outlineLevel="2" x14ac:dyDescent="0.2">
      <c r="A16059" s="14" t="s">
        <v>31593</v>
      </c>
      <c r="B16059" s="15" t="s">
        <v>31594</v>
      </c>
      <c r="C16059" s="19">
        <f>1565.31/(1+B2)</f>
        <v>1565.31</v>
      </c>
      <c r="D16059" s="17" t="s">
        <v>11</v>
      </c>
      <c r="E16059" s="17"/>
      <c r="F16059" s="18"/>
      <c r="G16059" s="36" t="str">
        <f>IF(ISNUMBER(F16059),C16059*F16059,"")</f>
        <v/>
      </c>
    </row>
    <row r="16060" spans="1:7" ht="12" customHeight="1" outlineLevel="2" x14ac:dyDescent="0.2">
      <c r="A16060" s="14" t="s">
        <v>31595</v>
      </c>
      <c r="B16060" s="15" t="s">
        <v>31596</v>
      </c>
      <c r="C16060" s="19">
        <f>1565.31/(1+B2)</f>
        <v>1565.31</v>
      </c>
      <c r="D16060" s="17" t="s">
        <v>11</v>
      </c>
      <c r="E16060" s="17"/>
      <c r="F16060" s="18"/>
      <c r="G16060" s="36" t="str">
        <f>IF(ISNUMBER(F16060),C16060*F16060,"")</f>
        <v/>
      </c>
    </row>
    <row r="16061" spans="1:7" ht="12" customHeight="1" outlineLevel="2" x14ac:dyDescent="0.2">
      <c r="A16061" s="14" t="s">
        <v>31597</v>
      </c>
      <c r="B16061" s="15" t="s">
        <v>31598</v>
      </c>
      <c r="C16061" s="19">
        <f>1987.2/(1+B2)</f>
        <v>1987.2</v>
      </c>
      <c r="D16061" s="17" t="s">
        <v>11</v>
      </c>
      <c r="E16061" s="17"/>
      <c r="F16061" s="18"/>
      <c r="G16061" s="36" t="str">
        <f>IF(ISNUMBER(F16061),C16061*F16061,"")</f>
        <v/>
      </c>
    </row>
    <row r="16062" spans="1:7" ht="12" customHeight="1" outlineLevel="2" x14ac:dyDescent="0.2">
      <c r="A16062" s="14" t="s">
        <v>31599</v>
      </c>
      <c r="B16062" s="15" t="s">
        <v>31600</v>
      </c>
      <c r="C16062" s="19">
        <f>1987.2/(1+B2)</f>
        <v>1987.2</v>
      </c>
      <c r="D16062" s="17" t="s">
        <v>11</v>
      </c>
      <c r="E16062" s="17"/>
      <c r="F16062" s="18"/>
      <c r="G16062" s="36" t="str">
        <f>IF(ISNUMBER(F16062),C16062*F16062,"")</f>
        <v/>
      </c>
    </row>
    <row r="16063" spans="1:7" ht="12" customHeight="1" outlineLevel="2" x14ac:dyDescent="0.2">
      <c r="A16063" s="14" t="s">
        <v>31601</v>
      </c>
      <c r="B16063" s="15" t="s">
        <v>31602</v>
      </c>
      <c r="C16063" s="19">
        <f>1987.2/(1+B2)</f>
        <v>1987.2</v>
      </c>
      <c r="D16063" s="17" t="s">
        <v>11</v>
      </c>
      <c r="E16063" s="17"/>
      <c r="F16063" s="18"/>
      <c r="G16063" s="36" t="str">
        <f>IF(ISNUMBER(F16063),C16063*F16063,"")</f>
        <v/>
      </c>
    </row>
    <row r="16064" spans="1:7" ht="12" customHeight="1" outlineLevel="2" x14ac:dyDescent="0.2">
      <c r="A16064" s="14" t="s">
        <v>31603</v>
      </c>
      <c r="B16064" s="15" t="s">
        <v>31604</v>
      </c>
      <c r="C16064" s="16">
        <f>802.27/(1+B2)</f>
        <v>802.27</v>
      </c>
      <c r="D16064" s="17" t="s">
        <v>11</v>
      </c>
      <c r="E16064" s="17"/>
      <c r="F16064" s="18"/>
      <c r="G16064" s="36" t="str">
        <f>IF(ISNUMBER(F16064),C16064*F16064,"")</f>
        <v/>
      </c>
    </row>
    <row r="16065" spans="1:7" ht="12" customHeight="1" outlineLevel="2" x14ac:dyDescent="0.2">
      <c r="A16065" s="14" t="s">
        <v>31605</v>
      </c>
      <c r="B16065" s="15" t="s">
        <v>31606</v>
      </c>
      <c r="C16065" s="16">
        <f>802.27/(1+B2)</f>
        <v>802.27</v>
      </c>
      <c r="D16065" s="17" t="s">
        <v>11</v>
      </c>
      <c r="E16065" s="17"/>
      <c r="F16065" s="18"/>
      <c r="G16065" s="36" t="str">
        <f>IF(ISNUMBER(F16065),C16065*F16065,"")</f>
        <v/>
      </c>
    </row>
    <row r="16066" spans="1:7" ht="12" customHeight="1" outlineLevel="2" x14ac:dyDescent="0.2">
      <c r="A16066" s="14" t="s">
        <v>31607</v>
      </c>
      <c r="B16066" s="15" t="s">
        <v>31608</v>
      </c>
      <c r="C16066" s="19">
        <f>1456.68/(1+B2)</f>
        <v>1456.68</v>
      </c>
      <c r="D16066" s="17" t="s">
        <v>11</v>
      </c>
      <c r="E16066" s="17"/>
      <c r="F16066" s="18"/>
      <c r="G16066" s="36" t="str">
        <f>IF(ISNUMBER(F16066),C16066*F16066,"")</f>
        <v/>
      </c>
    </row>
    <row r="16067" spans="1:7" ht="12" customHeight="1" outlineLevel="2" x14ac:dyDescent="0.2">
      <c r="A16067" s="14" t="s">
        <v>31609</v>
      </c>
      <c r="B16067" s="15" t="s">
        <v>31610</v>
      </c>
      <c r="C16067" s="19">
        <f>1456.68/(1+B2)</f>
        <v>1456.68</v>
      </c>
      <c r="D16067" s="17" t="s">
        <v>11</v>
      </c>
      <c r="E16067" s="17"/>
      <c r="F16067" s="18"/>
      <c r="G16067" s="36" t="str">
        <f>IF(ISNUMBER(F16067),C16067*F16067,"")</f>
        <v/>
      </c>
    </row>
    <row r="16068" spans="1:7" ht="12" customHeight="1" outlineLevel="2" x14ac:dyDescent="0.2">
      <c r="A16068" s="14" t="s">
        <v>31611</v>
      </c>
      <c r="B16068" s="15" t="s">
        <v>31612</v>
      </c>
      <c r="C16068" s="16">
        <f>469.02/(1+B2)</f>
        <v>469.02</v>
      </c>
      <c r="D16068" s="17" t="s">
        <v>11</v>
      </c>
      <c r="E16068" s="17" t="s">
        <v>11</v>
      </c>
      <c r="F16068" s="18"/>
      <c r="G16068" s="36" t="str">
        <f>IF(ISNUMBER(F16068),C16068*F16068,"")</f>
        <v/>
      </c>
    </row>
    <row r="16069" spans="1:7" ht="12" customHeight="1" outlineLevel="2" x14ac:dyDescent="0.2">
      <c r="A16069" s="14" t="s">
        <v>31613</v>
      </c>
      <c r="B16069" s="15" t="s">
        <v>31614</v>
      </c>
      <c r="C16069" s="16">
        <f>699.03/(1+B2)</f>
        <v>699.03</v>
      </c>
      <c r="D16069" s="17" t="s">
        <v>11</v>
      </c>
      <c r="E16069" s="17" t="s">
        <v>11</v>
      </c>
      <c r="F16069" s="18"/>
      <c r="G16069" s="36" t="str">
        <f>IF(ISNUMBER(F16069),C16069*F16069,"")</f>
        <v/>
      </c>
    </row>
    <row r="16070" spans="1:7" ht="12" customHeight="1" outlineLevel="2" x14ac:dyDescent="0.2">
      <c r="A16070" s="14" t="s">
        <v>31615</v>
      </c>
      <c r="B16070" s="15" t="s">
        <v>31616</v>
      </c>
      <c r="C16070" s="16">
        <f>439.2/(1+B2)</f>
        <v>439.2</v>
      </c>
      <c r="D16070" s="17" t="s">
        <v>11</v>
      </c>
      <c r="E16070" s="17" t="s">
        <v>11</v>
      </c>
      <c r="F16070" s="18"/>
      <c r="G16070" s="36" t="str">
        <f>IF(ISNUMBER(F16070),C16070*F16070,"")</f>
        <v/>
      </c>
    </row>
    <row r="16071" spans="1:7" ht="12" customHeight="1" outlineLevel="2" x14ac:dyDescent="0.2">
      <c r="A16071" s="14" t="s">
        <v>31617</v>
      </c>
      <c r="B16071" s="15" t="s">
        <v>31618</v>
      </c>
      <c r="C16071" s="16">
        <f>439.2/(1+B2)</f>
        <v>439.2</v>
      </c>
      <c r="D16071" s="17" t="s">
        <v>11</v>
      </c>
      <c r="E16071" s="17" t="s">
        <v>11</v>
      </c>
      <c r="F16071" s="18"/>
      <c r="G16071" s="36" t="str">
        <f>IF(ISNUMBER(F16071),C16071*F16071,"")</f>
        <v/>
      </c>
    </row>
    <row r="16072" spans="1:7" ht="12" customHeight="1" outlineLevel="2" x14ac:dyDescent="0.2">
      <c r="A16072" s="14" t="s">
        <v>31619</v>
      </c>
      <c r="B16072" s="15" t="s">
        <v>31620</v>
      </c>
      <c r="C16072" s="16">
        <f>508.3/(1+B2)</f>
        <v>508.3</v>
      </c>
      <c r="D16072" s="17" t="s">
        <v>11</v>
      </c>
      <c r="E16072" s="17" t="s">
        <v>11</v>
      </c>
      <c r="F16072" s="18"/>
      <c r="G16072" s="36" t="str">
        <f>IF(ISNUMBER(F16072),C16072*F16072,"")</f>
        <v/>
      </c>
    </row>
    <row r="16073" spans="1:7" ht="12" customHeight="1" outlineLevel="2" x14ac:dyDescent="0.2">
      <c r="A16073" s="14" t="s">
        <v>31621</v>
      </c>
      <c r="B16073" s="15" t="s">
        <v>31622</v>
      </c>
      <c r="C16073" s="16">
        <f>508.3/(1+B2)</f>
        <v>508.3</v>
      </c>
      <c r="D16073" s="17" t="s">
        <v>11</v>
      </c>
      <c r="E16073" s="17" t="s">
        <v>11</v>
      </c>
      <c r="F16073" s="18"/>
      <c r="G16073" s="36" t="str">
        <f>IF(ISNUMBER(F16073),C16073*F16073,"")</f>
        <v/>
      </c>
    </row>
    <row r="16074" spans="1:7" ht="12" customHeight="1" outlineLevel="2" x14ac:dyDescent="0.2">
      <c r="A16074" s="14" t="s">
        <v>31623</v>
      </c>
      <c r="B16074" s="15" t="s">
        <v>31624</v>
      </c>
      <c r="C16074" s="16">
        <f>446.67/(1+B2)</f>
        <v>446.67</v>
      </c>
      <c r="D16074" s="17" t="s">
        <v>11</v>
      </c>
      <c r="E16074" s="17"/>
      <c r="F16074" s="18"/>
      <c r="G16074" s="36" t="str">
        <f>IF(ISNUMBER(F16074),C16074*F16074,"")</f>
        <v/>
      </c>
    </row>
    <row r="16075" spans="1:7" ht="12" customHeight="1" outlineLevel="2" x14ac:dyDescent="0.2">
      <c r="A16075" s="14" t="s">
        <v>31625</v>
      </c>
      <c r="B16075" s="15" t="s">
        <v>31626</v>
      </c>
      <c r="C16075" s="16">
        <f>446.67/(1+B2)</f>
        <v>446.67</v>
      </c>
      <c r="D16075" s="17" t="s">
        <v>11</v>
      </c>
      <c r="E16075" s="17" t="s">
        <v>11</v>
      </c>
      <c r="F16075" s="18"/>
      <c r="G16075" s="36" t="str">
        <f>IF(ISNUMBER(F16075),C16075*F16075,"")</f>
        <v/>
      </c>
    </row>
    <row r="16076" spans="1:7" ht="12" customHeight="1" outlineLevel="2" x14ac:dyDescent="0.2">
      <c r="A16076" s="14" t="s">
        <v>31627</v>
      </c>
      <c r="B16076" s="15" t="s">
        <v>31628</v>
      </c>
      <c r="C16076" s="16">
        <f>302.7/(1+B2)</f>
        <v>302.7</v>
      </c>
      <c r="D16076" s="17" t="s">
        <v>11</v>
      </c>
      <c r="E16076" s="17"/>
      <c r="F16076" s="18"/>
      <c r="G16076" s="36" t="str">
        <f>IF(ISNUMBER(F16076),C16076*F16076,"")</f>
        <v/>
      </c>
    </row>
    <row r="16077" spans="1:7" ht="12" customHeight="1" outlineLevel="2" x14ac:dyDescent="0.2">
      <c r="A16077" s="14" t="s">
        <v>31629</v>
      </c>
      <c r="B16077" s="15" t="s">
        <v>31630</v>
      </c>
      <c r="C16077" s="16">
        <f>448.61/(1+B2)</f>
        <v>448.61</v>
      </c>
      <c r="D16077" s="17" t="s">
        <v>11</v>
      </c>
      <c r="E16077" s="17"/>
      <c r="F16077" s="18"/>
      <c r="G16077" s="36" t="str">
        <f>IF(ISNUMBER(F16077),C16077*F16077,"")</f>
        <v/>
      </c>
    </row>
    <row r="16078" spans="1:7" ht="12" customHeight="1" outlineLevel="2" x14ac:dyDescent="0.2">
      <c r="A16078" s="14" t="s">
        <v>31631</v>
      </c>
      <c r="B16078" s="15" t="s">
        <v>31632</v>
      </c>
      <c r="C16078" s="16">
        <f>434.4/(1+B2)</f>
        <v>434.4</v>
      </c>
      <c r="D16078" s="17" t="s">
        <v>11</v>
      </c>
      <c r="E16078" s="17"/>
      <c r="F16078" s="18"/>
      <c r="G16078" s="36" t="str">
        <f>IF(ISNUMBER(F16078),C16078*F16078,"")</f>
        <v/>
      </c>
    </row>
    <row r="16079" spans="1:7" s="1" customFormat="1" ht="15.95" customHeight="1" outlineLevel="1" x14ac:dyDescent="0.25">
      <c r="A16079" s="11"/>
      <c r="B16079" s="12" t="s">
        <v>31633</v>
      </c>
      <c r="C16079" s="13"/>
      <c r="D16079" s="13"/>
      <c r="E16079" s="13"/>
      <c r="F16079" s="13"/>
      <c r="G16079" s="35"/>
    </row>
    <row r="16080" spans="1:7" ht="12" customHeight="1" outlineLevel="2" x14ac:dyDescent="0.2">
      <c r="A16080" s="14" t="s">
        <v>31634</v>
      </c>
      <c r="B16080" s="15" t="s">
        <v>31635</v>
      </c>
      <c r="C16080" s="16">
        <f>621/(1+B2)</f>
        <v>621</v>
      </c>
      <c r="D16080" s="17" t="s">
        <v>11</v>
      </c>
      <c r="E16080" s="17"/>
      <c r="F16080" s="18"/>
      <c r="G16080" s="36" t="str">
        <f>IF(ISNUMBER(F16080),C16080*F16080,"")</f>
        <v/>
      </c>
    </row>
    <row r="16081" spans="1:7" ht="12" customHeight="1" outlineLevel="2" x14ac:dyDescent="0.2">
      <c r="A16081" s="14" t="s">
        <v>31636</v>
      </c>
      <c r="B16081" s="15" t="s">
        <v>31637</v>
      </c>
      <c r="C16081" s="16">
        <f>664.32/(1+B2)</f>
        <v>664.32</v>
      </c>
      <c r="D16081" s="17" t="s">
        <v>11</v>
      </c>
      <c r="E16081" s="17"/>
      <c r="F16081" s="18"/>
      <c r="G16081" s="36" t="str">
        <f>IF(ISNUMBER(F16081),C16081*F16081,"")</f>
        <v/>
      </c>
    </row>
    <row r="16082" spans="1:7" ht="12" customHeight="1" outlineLevel="2" x14ac:dyDescent="0.2">
      <c r="A16082" s="14" t="s">
        <v>31638</v>
      </c>
      <c r="B16082" s="15" t="s">
        <v>31639</v>
      </c>
      <c r="C16082" s="16">
        <f>664.32/(1+B2)</f>
        <v>664.32</v>
      </c>
      <c r="D16082" s="17" t="s">
        <v>11</v>
      </c>
      <c r="E16082" s="17" t="s">
        <v>11</v>
      </c>
      <c r="F16082" s="18"/>
      <c r="G16082" s="36" t="str">
        <f>IF(ISNUMBER(F16082),C16082*F16082,"")</f>
        <v/>
      </c>
    </row>
    <row r="16083" spans="1:7" ht="12" customHeight="1" outlineLevel="2" x14ac:dyDescent="0.2">
      <c r="A16083" s="14" t="s">
        <v>31640</v>
      </c>
      <c r="B16083" s="15" t="s">
        <v>31641</v>
      </c>
      <c r="C16083" s="16">
        <f>664.32/(1+B2)</f>
        <v>664.32</v>
      </c>
      <c r="D16083" s="17" t="s">
        <v>11</v>
      </c>
      <c r="E16083" s="17"/>
      <c r="F16083" s="18"/>
      <c r="G16083" s="36" t="str">
        <f>IF(ISNUMBER(F16083),C16083*F16083,"")</f>
        <v/>
      </c>
    </row>
    <row r="16084" spans="1:7" ht="12" customHeight="1" outlineLevel="2" x14ac:dyDescent="0.2">
      <c r="A16084" s="14" t="s">
        <v>31642</v>
      </c>
      <c r="B16084" s="15" t="s">
        <v>31643</v>
      </c>
      <c r="C16084" s="16">
        <f>861.66/(1+B2)</f>
        <v>861.66</v>
      </c>
      <c r="D16084" s="17" t="s">
        <v>11</v>
      </c>
      <c r="E16084" s="17"/>
      <c r="F16084" s="18"/>
      <c r="G16084" s="36" t="str">
        <f>IF(ISNUMBER(F16084),C16084*F16084,"")</f>
        <v/>
      </c>
    </row>
    <row r="16085" spans="1:7" ht="12" customHeight="1" outlineLevel="2" x14ac:dyDescent="0.2">
      <c r="A16085" s="14" t="s">
        <v>31644</v>
      </c>
      <c r="B16085" s="15" t="s">
        <v>31645</v>
      </c>
      <c r="C16085" s="19">
        <f>1068.12/(1+B2)</f>
        <v>1068.1199999999999</v>
      </c>
      <c r="D16085" s="17" t="s">
        <v>11</v>
      </c>
      <c r="E16085" s="17"/>
      <c r="F16085" s="18"/>
      <c r="G16085" s="36" t="str">
        <f>IF(ISNUMBER(F16085),C16085*F16085,"")</f>
        <v/>
      </c>
    </row>
    <row r="16086" spans="1:7" ht="12" customHeight="1" outlineLevel="2" x14ac:dyDescent="0.2">
      <c r="A16086" s="14" t="s">
        <v>31646</v>
      </c>
      <c r="B16086" s="15" t="s">
        <v>31647</v>
      </c>
      <c r="C16086" s="19">
        <f>1017.24/(1+B2)</f>
        <v>1017.24</v>
      </c>
      <c r="D16086" s="17" t="s">
        <v>11</v>
      </c>
      <c r="E16086" s="17"/>
      <c r="F16086" s="18"/>
      <c r="G16086" s="36" t="str">
        <f>IF(ISNUMBER(F16086),C16086*F16086,"")</f>
        <v/>
      </c>
    </row>
    <row r="16087" spans="1:7" ht="12" customHeight="1" outlineLevel="2" x14ac:dyDescent="0.2">
      <c r="A16087" s="14" t="s">
        <v>31648</v>
      </c>
      <c r="B16087" s="15" t="s">
        <v>31649</v>
      </c>
      <c r="C16087" s="19">
        <f>1352.04/(1+B2)</f>
        <v>1352.04</v>
      </c>
      <c r="D16087" s="17" t="s">
        <v>11</v>
      </c>
      <c r="E16087" s="17" t="s">
        <v>11</v>
      </c>
      <c r="F16087" s="18"/>
      <c r="G16087" s="36" t="str">
        <f>IF(ISNUMBER(F16087),C16087*F16087,"")</f>
        <v/>
      </c>
    </row>
    <row r="16088" spans="1:7" ht="12" customHeight="1" outlineLevel="2" x14ac:dyDescent="0.2">
      <c r="A16088" s="14" t="s">
        <v>31650</v>
      </c>
      <c r="B16088" s="15" t="s">
        <v>31651</v>
      </c>
      <c r="C16088" s="19">
        <f>1352.04/(1+B2)</f>
        <v>1352.04</v>
      </c>
      <c r="D16088" s="17" t="s">
        <v>11</v>
      </c>
      <c r="E16088" s="17"/>
      <c r="F16088" s="18"/>
      <c r="G16088" s="36" t="str">
        <f>IF(ISNUMBER(F16088),C16088*F16088,"")</f>
        <v/>
      </c>
    </row>
    <row r="16089" spans="1:7" ht="12" customHeight="1" outlineLevel="2" x14ac:dyDescent="0.2">
      <c r="A16089" s="14" t="s">
        <v>31652</v>
      </c>
      <c r="B16089" s="15" t="s">
        <v>31653</v>
      </c>
      <c r="C16089" s="16">
        <f>680.28/(1+B2)</f>
        <v>680.28</v>
      </c>
      <c r="D16089" s="17" t="s">
        <v>11</v>
      </c>
      <c r="E16089" s="17" t="s">
        <v>11</v>
      </c>
      <c r="F16089" s="18"/>
      <c r="G16089" s="36" t="str">
        <f>IF(ISNUMBER(F16089),C16089*F16089,"")</f>
        <v/>
      </c>
    </row>
    <row r="16090" spans="1:7" ht="24" customHeight="1" outlineLevel="2" x14ac:dyDescent="0.2">
      <c r="A16090" s="14" t="s">
        <v>31654</v>
      </c>
      <c r="B16090" s="15" t="s">
        <v>31655</v>
      </c>
      <c r="C16090" s="19">
        <f>1247.93/(1+B2)</f>
        <v>1247.93</v>
      </c>
      <c r="D16090" s="17" t="s">
        <v>11</v>
      </c>
      <c r="E16090" s="17" t="s">
        <v>11</v>
      </c>
      <c r="F16090" s="18"/>
      <c r="G16090" s="36" t="str">
        <f>IF(ISNUMBER(F16090),C16090*F16090,"")</f>
        <v/>
      </c>
    </row>
    <row r="16091" spans="1:7" ht="24" customHeight="1" outlineLevel="2" x14ac:dyDescent="0.2">
      <c r="A16091" s="14" t="s">
        <v>31656</v>
      </c>
      <c r="B16091" s="15" t="s">
        <v>31657</v>
      </c>
      <c r="C16091" s="19">
        <f>1247.93/(1+B2)</f>
        <v>1247.93</v>
      </c>
      <c r="D16091" s="17" t="s">
        <v>11</v>
      </c>
      <c r="E16091" s="17" t="s">
        <v>11</v>
      </c>
      <c r="F16091" s="18"/>
      <c r="G16091" s="36" t="str">
        <f>IF(ISNUMBER(F16091),C16091*F16091,"")</f>
        <v/>
      </c>
    </row>
    <row r="16092" spans="1:7" ht="24" customHeight="1" outlineLevel="2" x14ac:dyDescent="0.2">
      <c r="A16092" s="14" t="s">
        <v>31658</v>
      </c>
      <c r="B16092" s="15" t="s">
        <v>31659</v>
      </c>
      <c r="C16092" s="19">
        <f>1247.93/(1+B2)</f>
        <v>1247.93</v>
      </c>
      <c r="D16092" s="17" t="s">
        <v>11</v>
      </c>
      <c r="E16092" s="17" t="s">
        <v>11</v>
      </c>
      <c r="F16092" s="18"/>
      <c r="G16092" s="36" t="str">
        <f>IF(ISNUMBER(F16092),C16092*F16092,"")</f>
        <v/>
      </c>
    </row>
    <row r="16093" spans="1:7" ht="12" customHeight="1" outlineLevel="2" x14ac:dyDescent="0.2">
      <c r="A16093" s="14" t="s">
        <v>31660</v>
      </c>
      <c r="B16093" s="15" t="s">
        <v>31661</v>
      </c>
      <c r="C16093" s="16">
        <f>870.59/(1+B2)</f>
        <v>870.59</v>
      </c>
      <c r="D16093" s="17" t="s">
        <v>11</v>
      </c>
      <c r="E16093" s="17" t="s">
        <v>11</v>
      </c>
      <c r="F16093" s="18"/>
      <c r="G16093" s="36" t="str">
        <f>IF(ISNUMBER(F16093),C16093*F16093,"")</f>
        <v/>
      </c>
    </row>
    <row r="16094" spans="1:7" ht="12" customHeight="1" outlineLevel="2" x14ac:dyDescent="0.2">
      <c r="A16094" s="14" t="s">
        <v>31662</v>
      </c>
      <c r="B16094" s="15" t="s">
        <v>31663</v>
      </c>
      <c r="C16094" s="16">
        <f>967.31/(1+B2)</f>
        <v>967.31</v>
      </c>
      <c r="D16094" s="17" t="s">
        <v>11</v>
      </c>
      <c r="E16094" s="17" t="s">
        <v>11</v>
      </c>
      <c r="F16094" s="18"/>
      <c r="G16094" s="36" t="str">
        <f>IF(ISNUMBER(F16094),C16094*F16094,"")</f>
        <v/>
      </c>
    </row>
    <row r="16095" spans="1:7" ht="12" customHeight="1" outlineLevel="2" x14ac:dyDescent="0.2">
      <c r="A16095" s="14" t="s">
        <v>31664</v>
      </c>
      <c r="B16095" s="15" t="s">
        <v>31665</v>
      </c>
      <c r="C16095" s="19">
        <f>1013.04/(1+B2)</f>
        <v>1013.04</v>
      </c>
      <c r="D16095" s="17" t="s">
        <v>11</v>
      </c>
      <c r="E16095" s="17" t="s">
        <v>11</v>
      </c>
      <c r="F16095" s="18"/>
      <c r="G16095" s="36" t="str">
        <f>IF(ISNUMBER(F16095),C16095*F16095,"")</f>
        <v/>
      </c>
    </row>
    <row r="16096" spans="1:7" ht="12" customHeight="1" outlineLevel="2" x14ac:dyDescent="0.2">
      <c r="A16096" s="14" t="s">
        <v>31666</v>
      </c>
      <c r="B16096" s="15" t="s">
        <v>31667</v>
      </c>
      <c r="C16096" s="19">
        <f>1167.86/(1+B2)</f>
        <v>1167.8599999999999</v>
      </c>
      <c r="D16096" s="17" t="s">
        <v>11</v>
      </c>
      <c r="E16096" s="17" t="s">
        <v>11</v>
      </c>
      <c r="F16096" s="18"/>
      <c r="G16096" s="36" t="str">
        <f>IF(ISNUMBER(F16096),C16096*F16096,"")</f>
        <v/>
      </c>
    </row>
    <row r="16097" spans="1:7" ht="12" customHeight="1" outlineLevel="2" x14ac:dyDescent="0.2">
      <c r="A16097" s="14" t="s">
        <v>31668</v>
      </c>
      <c r="B16097" s="15" t="s">
        <v>31669</v>
      </c>
      <c r="C16097" s="19">
        <f>1167.86/(1+B2)</f>
        <v>1167.8599999999999</v>
      </c>
      <c r="D16097" s="17" t="s">
        <v>11</v>
      </c>
      <c r="E16097" s="17" t="s">
        <v>11</v>
      </c>
      <c r="F16097" s="18"/>
      <c r="G16097" s="36" t="str">
        <f>IF(ISNUMBER(F16097),C16097*F16097,"")</f>
        <v/>
      </c>
    </row>
    <row r="16098" spans="1:7" ht="12" customHeight="1" outlineLevel="2" x14ac:dyDescent="0.2">
      <c r="A16098" s="14" t="s">
        <v>31670</v>
      </c>
      <c r="B16098" s="15" t="s">
        <v>31671</v>
      </c>
      <c r="C16098" s="16">
        <f>867.05/(1+B2)</f>
        <v>867.05</v>
      </c>
      <c r="D16098" s="17" t="s">
        <v>11</v>
      </c>
      <c r="E16098" s="17" t="s">
        <v>11</v>
      </c>
      <c r="F16098" s="18"/>
      <c r="G16098" s="36" t="str">
        <f>IF(ISNUMBER(F16098),C16098*F16098,"")</f>
        <v/>
      </c>
    </row>
    <row r="16099" spans="1:7" ht="12" customHeight="1" outlineLevel="2" x14ac:dyDescent="0.2">
      <c r="A16099" s="14" t="s">
        <v>31672</v>
      </c>
      <c r="B16099" s="15" t="s">
        <v>31673</v>
      </c>
      <c r="C16099" s="16">
        <f>867.05/(1+B2)</f>
        <v>867.05</v>
      </c>
      <c r="D16099" s="17" t="s">
        <v>11</v>
      </c>
      <c r="E16099" s="17" t="s">
        <v>11</v>
      </c>
      <c r="F16099" s="18"/>
      <c r="G16099" s="36" t="str">
        <f>IF(ISNUMBER(F16099),C16099*F16099,"")</f>
        <v/>
      </c>
    </row>
    <row r="16100" spans="1:7" ht="12" customHeight="1" outlineLevel="2" x14ac:dyDescent="0.2">
      <c r="A16100" s="14" t="s">
        <v>31674</v>
      </c>
      <c r="B16100" s="15" t="s">
        <v>31675</v>
      </c>
      <c r="C16100" s="16">
        <f>867.05/(1+B2)</f>
        <v>867.05</v>
      </c>
      <c r="D16100" s="17" t="s">
        <v>11</v>
      </c>
      <c r="E16100" s="17" t="s">
        <v>11</v>
      </c>
      <c r="F16100" s="18"/>
      <c r="G16100" s="36" t="str">
        <f>IF(ISNUMBER(F16100),C16100*F16100,"")</f>
        <v/>
      </c>
    </row>
    <row r="16101" spans="1:7" ht="12" customHeight="1" outlineLevel="2" x14ac:dyDescent="0.2">
      <c r="A16101" s="14" t="s">
        <v>31676</v>
      </c>
      <c r="B16101" s="15" t="s">
        <v>31677</v>
      </c>
      <c r="C16101" s="19">
        <f>1048.92/(1+B2)</f>
        <v>1048.92</v>
      </c>
      <c r="D16101" s="17" t="s">
        <v>11</v>
      </c>
      <c r="E16101" s="17"/>
      <c r="F16101" s="18"/>
      <c r="G16101" s="36" t="str">
        <f>IF(ISNUMBER(F16101),C16101*F16101,"")</f>
        <v/>
      </c>
    </row>
    <row r="16102" spans="1:7" ht="12" customHeight="1" outlineLevel="2" x14ac:dyDescent="0.2">
      <c r="A16102" s="14" t="s">
        <v>31678</v>
      </c>
      <c r="B16102" s="15" t="s">
        <v>31679</v>
      </c>
      <c r="C16102" s="16">
        <f>689.1/(1+B2)</f>
        <v>689.1</v>
      </c>
      <c r="D16102" s="17" t="s">
        <v>11</v>
      </c>
      <c r="E16102" s="17"/>
      <c r="F16102" s="18"/>
      <c r="G16102" s="36" t="str">
        <f>IF(ISNUMBER(F16102),C16102*F16102,"")</f>
        <v/>
      </c>
    </row>
    <row r="16103" spans="1:7" ht="12" customHeight="1" outlineLevel="2" x14ac:dyDescent="0.2">
      <c r="A16103" s="14" t="s">
        <v>31680</v>
      </c>
      <c r="B16103" s="15" t="s">
        <v>31681</v>
      </c>
      <c r="C16103" s="16">
        <f>689.1/(1+B2)</f>
        <v>689.1</v>
      </c>
      <c r="D16103" s="17" t="s">
        <v>11</v>
      </c>
      <c r="E16103" s="17" t="s">
        <v>11</v>
      </c>
      <c r="F16103" s="18"/>
      <c r="G16103" s="36" t="str">
        <f>IF(ISNUMBER(F16103),C16103*F16103,"")</f>
        <v/>
      </c>
    </row>
    <row r="16104" spans="1:7" ht="12" customHeight="1" outlineLevel="2" x14ac:dyDescent="0.2">
      <c r="A16104" s="14" t="s">
        <v>31682</v>
      </c>
      <c r="B16104" s="15" t="s">
        <v>31683</v>
      </c>
      <c r="C16104" s="16">
        <f>689.1/(1+B2)</f>
        <v>689.1</v>
      </c>
      <c r="D16104" s="17" t="s">
        <v>11</v>
      </c>
      <c r="E16104" s="17"/>
      <c r="F16104" s="18"/>
      <c r="G16104" s="36" t="str">
        <f>IF(ISNUMBER(F16104),C16104*F16104,"")</f>
        <v/>
      </c>
    </row>
    <row r="16105" spans="1:7" ht="12" customHeight="1" outlineLevel="2" x14ac:dyDescent="0.2">
      <c r="A16105" s="14" t="s">
        <v>31684</v>
      </c>
      <c r="B16105" s="15" t="s">
        <v>31685</v>
      </c>
      <c r="C16105" s="16">
        <f>912.6/(1+B2)</f>
        <v>912.6</v>
      </c>
      <c r="D16105" s="17" t="s">
        <v>11</v>
      </c>
      <c r="E16105" s="17" t="s">
        <v>11</v>
      </c>
      <c r="F16105" s="18"/>
      <c r="G16105" s="36" t="str">
        <f>IF(ISNUMBER(F16105),C16105*F16105,"")</f>
        <v/>
      </c>
    </row>
    <row r="16106" spans="1:7" ht="12" customHeight="1" outlineLevel="2" x14ac:dyDescent="0.2">
      <c r="A16106" s="14" t="s">
        <v>31686</v>
      </c>
      <c r="B16106" s="15" t="s">
        <v>31687</v>
      </c>
      <c r="C16106" s="16">
        <f>661.2/(1+B2)</f>
        <v>661.2</v>
      </c>
      <c r="D16106" s="17" t="s">
        <v>11</v>
      </c>
      <c r="E16106" s="17"/>
      <c r="F16106" s="18"/>
      <c r="G16106" s="36" t="str">
        <f>IF(ISNUMBER(F16106),C16106*F16106,"")</f>
        <v/>
      </c>
    </row>
    <row r="16107" spans="1:7" ht="12" customHeight="1" outlineLevel="2" x14ac:dyDescent="0.2">
      <c r="A16107" s="14" t="s">
        <v>31688</v>
      </c>
      <c r="B16107" s="15" t="s">
        <v>31689</v>
      </c>
      <c r="C16107" s="16">
        <f>601.09/(1+B2)</f>
        <v>601.09</v>
      </c>
      <c r="D16107" s="17" t="s">
        <v>11</v>
      </c>
      <c r="E16107" s="17"/>
      <c r="F16107" s="18"/>
      <c r="G16107" s="36" t="str">
        <f>IF(ISNUMBER(F16107),C16107*F16107,"")</f>
        <v/>
      </c>
    </row>
    <row r="16108" spans="1:7" ht="12" customHeight="1" outlineLevel="2" x14ac:dyDescent="0.2">
      <c r="A16108" s="14" t="s">
        <v>31690</v>
      </c>
      <c r="B16108" s="15" t="s">
        <v>31691</v>
      </c>
      <c r="C16108" s="16">
        <f>912.6/(1+B2)</f>
        <v>912.6</v>
      </c>
      <c r="D16108" s="17" t="s">
        <v>11</v>
      </c>
      <c r="E16108" s="17"/>
      <c r="F16108" s="18"/>
      <c r="G16108" s="36" t="str">
        <f>IF(ISNUMBER(F16108),C16108*F16108,"")</f>
        <v/>
      </c>
    </row>
    <row r="16109" spans="1:7" ht="12" customHeight="1" outlineLevel="2" x14ac:dyDescent="0.2">
      <c r="A16109" s="14" t="s">
        <v>31692</v>
      </c>
      <c r="B16109" s="15" t="s">
        <v>31693</v>
      </c>
      <c r="C16109" s="19">
        <f>1179.29/(1+B2)</f>
        <v>1179.29</v>
      </c>
      <c r="D16109" s="17" t="s">
        <v>11</v>
      </c>
      <c r="E16109" s="17"/>
      <c r="F16109" s="18"/>
      <c r="G16109" s="36" t="str">
        <f>IF(ISNUMBER(F16109),C16109*F16109,"")</f>
        <v/>
      </c>
    </row>
    <row r="16110" spans="1:7" ht="12" customHeight="1" outlineLevel="2" x14ac:dyDescent="0.2">
      <c r="A16110" s="14" t="s">
        <v>31694</v>
      </c>
      <c r="B16110" s="15" t="s">
        <v>31695</v>
      </c>
      <c r="C16110" s="19">
        <f>1061.38/(1+B2)</f>
        <v>1061.3800000000001</v>
      </c>
      <c r="D16110" s="17" t="s">
        <v>11</v>
      </c>
      <c r="E16110" s="17" t="s">
        <v>11</v>
      </c>
      <c r="F16110" s="18"/>
      <c r="G16110" s="36" t="str">
        <f>IF(ISNUMBER(F16110),C16110*F16110,"")</f>
        <v/>
      </c>
    </row>
    <row r="16111" spans="1:7" ht="12" customHeight="1" outlineLevel="2" x14ac:dyDescent="0.2">
      <c r="A16111" s="14" t="s">
        <v>31696</v>
      </c>
      <c r="B16111" s="15" t="s">
        <v>31697</v>
      </c>
      <c r="C16111" s="19">
        <f>1061.38/(1+B2)</f>
        <v>1061.3800000000001</v>
      </c>
      <c r="D16111" s="17" t="s">
        <v>11</v>
      </c>
      <c r="E16111" s="17" t="s">
        <v>11</v>
      </c>
      <c r="F16111" s="18"/>
      <c r="G16111" s="36" t="str">
        <f>IF(ISNUMBER(F16111),C16111*F16111,"")</f>
        <v/>
      </c>
    </row>
    <row r="16112" spans="1:7" ht="12" customHeight="1" outlineLevel="2" x14ac:dyDescent="0.2">
      <c r="A16112" s="14" t="s">
        <v>31698</v>
      </c>
      <c r="B16112" s="15" t="s">
        <v>31699</v>
      </c>
      <c r="C16112" s="19">
        <f>1179.29/(1+B2)</f>
        <v>1179.29</v>
      </c>
      <c r="D16112" s="17" t="s">
        <v>11</v>
      </c>
      <c r="E16112" s="17"/>
      <c r="F16112" s="18"/>
      <c r="G16112" s="36" t="str">
        <f>IF(ISNUMBER(F16112),C16112*F16112,"")</f>
        <v/>
      </c>
    </row>
    <row r="16113" spans="1:7" s="1" customFormat="1" ht="15.95" customHeight="1" outlineLevel="1" x14ac:dyDescent="0.25">
      <c r="A16113" s="11"/>
      <c r="B16113" s="12" t="s">
        <v>31700</v>
      </c>
      <c r="C16113" s="13"/>
      <c r="D16113" s="13"/>
      <c r="E16113" s="13"/>
      <c r="F16113" s="13"/>
      <c r="G16113" s="35"/>
    </row>
    <row r="16114" spans="1:7" ht="12" customHeight="1" outlineLevel="2" x14ac:dyDescent="0.2">
      <c r="A16114" s="14" t="s">
        <v>31701</v>
      </c>
      <c r="B16114" s="15" t="s">
        <v>31702</v>
      </c>
      <c r="C16114" s="16">
        <f>94.53/(1+B2)</f>
        <v>94.53</v>
      </c>
      <c r="D16114" s="17" t="s">
        <v>11</v>
      </c>
      <c r="E16114" s="17"/>
      <c r="F16114" s="18"/>
      <c r="G16114" s="36" t="str">
        <f>IF(ISNUMBER(F16114),C16114*F16114,"")</f>
        <v/>
      </c>
    </row>
    <row r="16115" spans="1:7" ht="12" customHeight="1" outlineLevel="2" x14ac:dyDescent="0.2">
      <c r="A16115" s="14" t="s">
        <v>31703</v>
      </c>
      <c r="B16115" s="15" t="s">
        <v>31704</v>
      </c>
      <c r="C16115" s="16">
        <f>94.53/(1+B2)</f>
        <v>94.53</v>
      </c>
      <c r="D16115" s="17" t="s">
        <v>11</v>
      </c>
      <c r="E16115" s="17" t="s">
        <v>11</v>
      </c>
      <c r="F16115" s="18"/>
      <c r="G16115" s="36" t="str">
        <f>IF(ISNUMBER(F16115),C16115*F16115,"")</f>
        <v/>
      </c>
    </row>
    <row r="16116" spans="1:7" ht="12" customHeight="1" outlineLevel="2" x14ac:dyDescent="0.2">
      <c r="A16116" s="14" t="s">
        <v>31705</v>
      </c>
      <c r="B16116" s="15" t="s">
        <v>31706</v>
      </c>
      <c r="C16116" s="16">
        <f>79.39/(1+B2)</f>
        <v>79.39</v>
      </c>
      <c r="D16116" s="17" t="s">
        <v>11</v>
      </c>
      <c r="E16116" s="17"/>
      <c r="F16116" s="18"/>
      <c r="G16116" s="36" t="str">
        <f>IF(ISNUMBER(F16116),C16116*F16116,"")</f>
        <v/>
      </c>
    </row>
    <row r="16117" spans="1:7" ht="12" customHeight="1" outlineLevel="2" x14ac:dyDescent="0.2">
      <c r="A16117" s="14" t="s">
        <v>31707</v>
      </c>
      <c r="B16117" s="15" t="s">
        <v>31708</v>
      </c>
      <c r="C16117" s="16">
        <f>107.99/(1+B2)</f>
        <v>107.99</v>
      </c>
      <c r="D16117" s="17" t="s">
        <v>11</v>
      </c>
      <c r="E16117" s="17"/>
      <c r="F16117" s="18"/>
      <c r="G16117" s="36" t="str">
        <f>IF(ISNUMBER(F16117),C16117*F16117,"")</f>
        <v/>
      </c>
    </row>
    <row r="16118" spans="1:7" ht="12" customHeight="1" outlineLevel="2" x14ac:dyDescent="0.2">
      <c r="A16118" s="14" t="s">
        <v>31709</v>
      </c>
      <c r="B16118" s="15" t="s">
        <v>31710</v>
      </c>
      <c r="C16118" s="16">
        <f>117.94/(1+B2)</f>
        <v>117.94</v>
      </c>
      <c r="D16118" s="17" t="s">
        <v>11</v>
      </c>
      <c r="E16118" s="17"/>
      <c r="F16118" s="18"/>
      <c r="G16118" s="36" t="str">
        <f>IF(ISNUMBER(F16118),C16118*F16118,"")</f>
        <v/>
      </c>
    </row>
    <row r="16119" spans="1:7" ht="12" customHeight="1" outlineLevel="2" x14ac:dyDescent="0.2">
      <c r="A16119" s="14" t="s">
        <v>31711</v>
      </c>
      <c r="B16119" s="15" t="s">
        <v>31712</v>
      </c>
      <c r="C16119" s="16">
        <f>131.75/(1+B2)</f>
        <v>131.75</v>
      </c>
      <c r="D16119" s="17" t="s">
        <v>11</v>
      </c>
      <c r="E16119" s="17"/>
      <c r="F16119" s="18"/>
      <c r="G16119" s="36" t="str">
        <f>IF(ISNUMBER(F16119),C16119*F16119,"")</f>
        <v/>
      </c>
    </row>
    <row r="16120" spans="1:7" ht="12" customHeight="1" outlineLevel="2" x14ac:dyDescent="0.2">
      <c r="A16120" s="14" t="s">
        <v>31713</v>
      </c>
      <c r="B16120" s="15" t="s">
        <v>31714</v>
      </c>
      <c r="C16120" s="16">
        <f>75.24/(1+B2)</f>
        <v>75.239999999999995</v>
      </c>
      <c r="D16120" s="17" t="s">
        <v>53</v>
      </c>
      <c r="E16120" s="17" t="s">
        <v>11</v>
      </c>
      <c r="F16120" s="18"/>
      <c r="G16120" s="36" t="str">
        <f>IF(ISNUMBER(F16120),C16120*F16120,"")</f>
        <v/>
      </c>
    </row>
    <row r="16121" spans="1:7" ht="12" customHeight="1" outlineLevel="2" x14ac:dyDescent="0.2">
      <c r="A16121" s="14" t="s">
        <v>31715</v>
      </c>
      <c r="B16121" s="15" t="s">
        <v>31716</v>
      </c>
      <c r="C16121" s="16">
        <f>97.32/(1+B2)</f>
        <v>97.32</v>
      </c>
      <c r="D16121" s="17" t="s">
        <v>11</v>
      </c>
      <c r="E16121" s="17" t="s">
        <v>11</v>
      </c>
      <c r="F16121" s="18"/>
      <c r="G16121" s="36" t="str">
        <f>IF(ISNUMBER(F16121),C16121*F16121,"")</f>
        <v/>
      </c>
    </row>
    <row r="16122" spans="1:7" ht="12" customHeight="1" outlineLevel="2" x14ac:dyDescent="0.2">
      <c r="A16122" s="14" t="s">
        <v>31717</v>
      </c>
      <c r="B16122" s="15" t="s">
        <v>31718</v>
      </c>
      <c r="C16122" s="16">
        <f>377.96/(1+B2)</f>
        <v>377.96</v>
      </c>
      <c r="D16122" s="17" t="s">
        <v>11</v>
      </c>
      <c r="E16122" s="17" t="s">
        <v>11</v>
      </c>
      <c r="F16122" s="18"/>
      <c r="G16122" s="36" t="str">
        <f>IF(ISNUMBER(F16122),C16122*F16122,"")</f>
        <v/>
      </c>
    </row>
    <row r="16123" spans="1:7" ht="12" customHeight="1" outlineLevel="2" x14ac:dyDescent="0.2">
      <c r="A16123" s="14" t="s">
        <v>31719</v>
      </c>
      <c r="B16123" s="15" t="s">
        <v>31720</v>
      </c>
      <c r="C16123" s="16">
        <f>235.86/(1+B2)</f>
        <v>235.86</v>
      </c>
      <c r="D16123" s="17" t="s">
        <v>11</v>
      </c>
      <c r="E16123" s="17" t="s">
        <v>11</v>
      </c>
      <c r="F16123" s="18"/>
      <c r="G16123" s="36" t="str">
        <f>IF(ISNUMBER(F16123),C16123*F16123,"")</f>
        <v/>
      </c>
    </row>
    <row r="16124" spans="1:7" ht="12" customHeight="1" outlineLevel="2" x14ac:dyDescent="0.2">
      <c r="A16124" s="14" t="s">
        <v>31721</v>
      </c>
      <c r="B16124" s="15" t="s">
        <v>31722</v>
      </c>
      <c r="C16124" s="16">
        <f>235.86/(1+B2)</f>
        <v>235.86</v>
      </c>
      <c r="D16124" s="17" t="s">
        <v>11</v>
      </c>
      <c r="E16124" s="17"/>
      <c r="F16124" s="18"/>
      <c r="G16124" s="36" t="str">
        <f>IF(ISNUMBER(F16124),C16124*F16124,"")</f>
        <v/>
      </c>
    </row>
    <row r="16125" spans="1:7" ht="12" customHeight="1" outlineLevel="2" x14ac:dyDescent="0.2">
      <c r="A16125" s="14" t="s">
        <v>31723</v>
      </c>
      <c r="B16125" s="15" t="s">
        <v>31724</v>
      </c>
      <c r="C16125" s="16">
        <f>189.67/(1+B2)</f>
        <v>189.67</v>
      </c>
      <c r="D16125" s="17" t="s">
        <v>14</v>
      </c>
      <c r="E16125" s="17" t="s">
        <v>11</v>
      </c>
      <c r="F16125" s="18"/>
      <c r="G16125" s="36" t="str">
        <f>IF(ISNUMBER(F16125),C16125*F16125,"")</f>
        <v/>
      </c>
    </row>
    <row r="16126" spans="1:7" ht="12" customHeight="1" outlineLevel="2" x14ac:dyDescent="0.2">
      <c r="A16126" s="14" t="s">
        <v>31725</v>
      </c>
      <c r="B16126" s="15" t="s">
        <v>31726</v>
      </c>
      <c r="C16126" s="16">
        <f>112.08/(1+B2)</f>
        <v>112.08</v>
      </c>
      <c r="D16126" s="17" t="s">
        <v>14</v>
      </c>
      <c r="E16126" s="17" t="s">
        <v>14</v>
      </c>
      <c r="F16126" s="18"/>
      <c r="G16126" s="36" t="str">
        <f>IF(ISNUMBER(F16126),C16126*F16126,"")</f>
        <v/>
      </c>
    </row>
    <row r="16127" spans="1:7" ht="12" customHeight="1" outlineLevel="2" x14ac:dyDescent="0.2">
      <c r="A16127" s="14" t="s">
        <v>31727</v>
      </c>
      <c r="B16127" s="15" t="s">
        <v>31728</v>
      </c>
      <c r="C16127" s="16">
        <f>74.43/(1+B2)</f>
        <v>74.430000000000007</v>
      </c>
      <c r="D16127" s="17" t="s">
        <v>11</v>
      </c>
      <c r="E16127" s="17"/>
      <c r="F16127" s="18"/>
      <c r="G16127" s="36" t="str">
        <f>IF(ISNUMBER(F16127),C16127*F16127,"")</f>
        <v/>
      </c>
    </row>
    <row r="16128" spans="1:7" ht="12" customHeight="1" outlineLevel="2" x14ac:dyDescent="0.2">
      <c r="A16128" s="14" t="s">
        <v>31729</v>
      </c>
      <c r="B16128" s="15" t="s">
        <v>31730</v>
      </c>
      <c r="C16128" s="16">
        <f>31.39/(1+B2)</f>
        <v>31.39</v>
      </c>
      <c r="D16128" s="17" t="s">
        <v>53</v>
      </c>
      <c r="E16128" s="17"/>
      <c r="F16128" s="18"/>
      <c r="G16128" s="36" t="str">
        <f>IF(ISNUMBER(F16128),C16128*F16128,"")</f>
        <v/>
      </c>
    </row>
    <row r="16129" spans="1:7" ht="12" customHeight="1" outlineLevel="2" x14ac:dyDescent="0.2">
      <c r="A16129" s="14" t="s">
        <v>31731</v>
      </c>
      <c r="B16129" s="15" t="s">
        <v>31732</v>
      </c>
      <c r="C16129" s="16">
        <f>77.71/(1+B2)</f>
        <v>77.709999999999994</v>
      </c>
      <c r="D16129" s="17" t="s">
        <v>14</v>
      </c>
      <c r="E16129" s="17" t="s">
        <v>11</v>
      </c>
      <c r="F16129" s="18"/>
      <c r="G16129" s="36" t="str">
        <f>IF(ISNUMBER(F16129),C16129*F16129,"")</f>
        <v/>
      </c>
    </row>
    <row r="16130" spans="1:7" ht="12" customHeight="1" outlineLevel="2" x14ac:dyDescent="0.2">
      <c r="A16130" s="14" t="s">
        <v>31733</v>
      </c>
      <c r="B16130" s="15" t="s">
        <v>31734</v>
      </c>
      <c r="C16130" s="16">
        <f>132.45/(1+B2)</f>
        <v>132.44999999999999</v>
      </c>
      <c r="D16130" s="17" t="s">
        <v>11</v>
      </c>
      <c r="E16130" s="17" t="s">
        <v>11</v>
      </c>
      <c r="F16130" s="18"/>
      <c r="G16130" s="36" t="str">
        <f>IF(ISNUMBER(F16130),C16130*F16130,"")</f>
        <v/>
      </c>
    </row>
    <row r="16131" spans="1:7" ht="12" customHeight="1" outlineLevel="2" x14ac:dyDescent="0.2">
      <c r="A16131" s="14" t="s">
        <v>31735</v>
      </c>
      <c r="B16131" s="15" t="s">
        <v>31736</v>
      </c>
      <c r="C16131" s="16">
        <f>70.38/(1+B2)</f>
        <v>70.38</v>
      </c>
      <c r="D16131" s="17" t="s">
        <v>14</v>
      </c>
      <c r="E16131" s="17"/>
      <c r="F16131" s="18"/>
      <c r="G16131" s="36" t="str">
        <f>IF(ISNUMBER(F16131),C16131*F16131,"")</f>
        <v/>
      </c>
    </row>
    <row r="16132" spans="1:7" ht="12" customHeight="1" outlineLevel="2" x14ac:dyDescent="0.2">
      <c r="A16132" s="14" t="s">
        <v>31737</v>
      </c>
      <c r="B16132" s="15" t="s">
        <v>31738</v>
      </c>
      <c r="C16132" s="16">
        <f>99/(1+B2)</f>
        <v>99</v>
      </c>
      <c r="D16132" s="17" t="s">
        <v>14</v>
      </c>
      <c r="E16132" s="17" t="s">
        <v>11</v>
      </c>
      <c r="F16132" s="18"/>
      <c r="G16132" s="36" t="str">
        <f>IF(ISNUMBER(F16132),C16132*F16132,"")</f>
        <v/>
      </c>
    </row>
    <row r="16133" spans="1:7" ht="12" customHeight="1" outlineLevel="2" x14ac:dyDescent="0.2">
      <c r="A16133" s="14" t="s">
        <v>31739</v>
      </c>
      <c r="B16133" s="15" t="s">
        <v>31740</v>
      </c>
      <c r="C16133" s="16">
        <f>130.74/(1+B2)</f>
        <v>130.74</v>
      </c>
      <c r="D16133" s="17" t="s">
        <v>14</v>
      </c>
      <c r="E16133" s="17" t="s">
        <v>11</v>
      </c>
      <c r="F16133" s="18"/>
      <c r="G16133" s="36" t="str">
        <f>IF(ISNUMBER(F16133),C16133*F16133,"")</f>
        <v/>
      </c>
    </row>
    <row r="16134" spans="1:7" ht="24" customHeight="1" outlineLevel="2" x14ac:dyDescent="0.2">
      <c r="A16134" s="14" t="s">
        <v>31741</v>
      </c>
      <c r="B16134" s="15" t="s">
        <v>31742</v>
      </c>
      <c r="C16134" s="16">
        <f>93.85/(1+B2)</f>
        <v>93.85</v>
      </c>
      <c r="D16134" s="17" t="s">
        <v>11</v>
      </c>
      <c r="E16134" s="17"/>
      <c r="F16134" s="18"/>
      <c r="G16134" s="36" t="str">
        <f>IF(ISNUMBER(F16134),C16134*F16134,"")</f>
        <v/>
      </c>
    </row>
    <row r="16135" spans="1:7" ht="12" customHeight="1" outlineLevel="2" x14ac:dyDescent="0.2">
      <c r="A16135" s="14" t="s">
        <v>31743</v>
      </c>
      <c r="B16135" s="15" t="s">
        <v>31744</v>
      </c>
      <c r="C16135" s="16">
        <f>673.66/(1+B2)</f>
        <v>673.66</v>
      </c>
      <c r="D16135" s="17" t="s">
        <v>11</v>
      </c>
      <c r="E16135" s="17" t="s">
        <v>11</v>
      </c>
      <c r="F16135" s="18"/>
      <c r="G16135" s="36" t="str">
        <f>IF(ISNUMBER(F16135),C16135*F16135,"")</f>
        <v/>
      </c>
    </row>
    <row r="16136" spans="1:7" ht="12" customHeight="1" outlineLevel="2" x14ac:dyDescent="0.2">
      <c r="A16136" s="14" t="s">
        <v>31745</v>
      </c>
      <c r="B16136" s="15" t="s">
        <v>31746</v>
      </c>
      <c r="C16136" s="16">
        <f>129.89/(1+B2)</f>
        <v>129.88999999999999</v>
      </c>
      <c r="D16136" s="17" t="s">
        <v>11</v>
      </c>
      <c r="E16136" s="17"/>
      <c r="F16136" s="18"/>
      <c r="G16136" s="36" t="str">
        <f>IF(ISNUMBER(F16136),C16136*F16136,"")</f>
        <v/>
      </c>
    </row>
    <row r="16137" spans="1:7" ht="24" customHeight="1" outlineLevel="2" x14ac:dyDescent="0.2">
      <c r="A16137" s="14" t="s">
        <v>31747</v>
      </c>
      <c r="B16137" s="15" t="s">
        <v>31748</v>
      </c>
      <c r="C16137" s="16">
        <f>422.85/(1+B2)</f>
        <v>422.85</v>
      </c>
      <c r="D16137" s="17" t="s">
        <v>11</v>
      </c>
      <c r="E16137" s="17"/>
      <c r="F16137" s="18"/>
      <c r="G16137" s="36" t="str">
        <f>IF(ISNUMBER(F16137),C16137*F16137,"")</f>
        <v/>
      </c>
    </row>
    <row r="16138" spans="1:7" ht="12" customHeight="1" outlineLevel="2" x14ac:dyDescent="0.2">
      <c r="A16138" s="14" t="s">
        <v>31749</v>
      </c>
      <c r="B16138" s="15" t="s">
        <v>31750</v>
      </c>
      <c r="C16138" s="16">
        <f>182.96/(1+B2)</f>
        <v>182.96</v>
      </c>
      <c r="D16138" s="17" t="s">
        <v>11</v>
      </c>
      <c r="E16138" s="17" t="s">
        <v>11</v>
      </c>
      <c r="F16138" s="18"/>
      <c r="G16138" s="36" t="str">
        <f>IF(ISNUMBER(F16138),C16138*F16138,"")</f>
        <v/>
      </c>
    </row>
    <row r="16139" spans="1:7" ht="12" customHeight="1" outlineLevel="2" x14ac:dyDescent="0.2">
      <c r="A16139" s="14" t="s">
        <v>31751</v>
      </c>
      <c r="B16139" s="15" t="s">
        <v>31752</v>
      </c>
      <c r="C16139" s="16">
        <f>99.7/(1+B2)</f>
        <v>99.7</v>
      </c>
      <c r="D16139" s="17" t="s">
        <v>14</v>
      </c>
      <c r="E16139" s="17"/>
      <c r="F16139" s="18"/>
      <c r="G16139" s="36" t="str">
        <f>IF(ISNUMBER(F16139),C16139*F16139,"")</f>
        <v/>
      </c>
    </row>
    <row r="16140" spans="1:7" ht="12" customHeight="1" outlineLevel="2" x14ac:dyDescent="0.2">
      <c r="A16140" s="14" t="s">
        <v>31753</v>
      </c>
      <c r="B16140" s="15" t="s">
        <v>31754</v>
      </c>
      <c r="C16140" s="16">
        <f>110.78/(1+B2)</f>
        <v>110.78</v>
      </c>
      <c r="D16140" s="17" t="s">
        <v>11</v>
      </c>
      <c r="E16140" s="17" t="s">
        <v>11</v>
      </c>
      <c r="F16140" s="18"/>
      <c r="G16140" s="36" t="str">
        <f>IF(ISNUMBER(F16140),C16140*F16140,"")</f>
        <v/>
      </c>
    </row>
    <row r="16141" spans="1:7" ht="12" customHeight="1" outlineLevel="2" x14ac:dyDescent="0.2">
      <c r="A16141" s="14" t="s">
        <v>31755</v>
      </c>
      <c r="B16141" s="15" t="s">
        <v>31756</v>
      </c>
      <c r="C16141" s="16">
        <f>110.78/(1+B2)</f>
        <v>110.78</v>
      </c>
      <c r="D16141" s="17" t="s">
        <v>11</v>
      </c>
      <c r="E16141" s="17"/>
      <c r="F16141" s="18"/>
      <c r="G16141" s="36" t="str">
        <f>IF(ISNUMBER(F16141),C16141*F16141,"")</f>
        <v/>
      </c>
    </row>
    <row r="16142" spans="1:7" ht="12" customHeight="1" outlineLevel="2" x14ac:dyDescent="0.2">
      <c r="A16142" s="14" t="s">
        <v>31757</v>
      </c>
      <c r="B16142" s="15" t="s">
        <v>31758</v>
      </c>
      <c r="C16142" s="16">
        <f>110.78/(1+B2)</f>
        <v>110.78</v>
      </c>
      <c r="D16142" s="17" t="s">
        <v>11</v>
      </c>
      <c r="E16142" s="17" t="s">
        <v>11</v>
      </c>
      <c r="F16142" s="18"/>
      <c r="G16142" s="36" t="str">
        <f>IF(ISNUMBER(F16142),C16142*F16142,"")</f>
        <v/>
      </c>
    </row>
    <row r="16143" spans="1:7" ht="12" customHeight="1" outlineLevel="2" x14ac:dyDescent="0.2">
      <c r="A16143" s="14" t="s">
        <v>31759</v>
      </c>
      <c r="B16143" s="15" t="s">
        <v>31760</v>
      </c>
      <c r="C16143" s="16">
        <f>131.13/(1+B2)</f>
        <v>131.13</v>
      </c>
      <c r="D16143" s="17" t="s">
        <v>11</v>
      </c>
      <c r="E16143" s="17"/>
      <c r="F16143" s="18"/>
      <c r="G16143" s="36" t="str">
        <f>IF(ISNUMBER(F16143),C16143*F16143,"")</f>
        <v/>
      </c>
    </row>
    <row r="16144" spans="1:7" ht="12" customHeight="1" outlineLevel="2" x14ac:dyDescent="0.2">
      <c r="A16144" s="14" t="s">
        <v>31761</v>
      </c>
      <c r="B16144" s="15" t="s">
        <v>31762</v>
      </c>
      <c r="C16144" s="16">
        <f>131.13/(1+B2)</f>
        <v>131.13</v>
      </c>
      <c r="D16144" s="17" t="s">
        <v>11</v>
      </c>
      <c r="E16144" s="17"/>
      <c r="F16144" s="18"/>
      <c r="G16144" s="36" t="str">
        <f>IF(ISNUMBER(F16144),C16144*F16144,"")</f>
        <v/>
      </c>
    </row>
    <row r="16145" spans="1:7" ht="12" customHeight="1" outlineLevel="2" x14ac:dyDescent="0.2">
      <c r="A16145" s="14" t="s">
        <v>31763</v>
      </c>
      <c r="B16145" s="15" t="s">
        <v>31764</v>
      </c>
      <c r="C16145" s="16">
        <f>131.13/(1+B2)</f>
        <v>131.13</v>
      </c>
      <c r="D16145" s="17" t="s">
        <v>11</v>
      </c>
      <c r="E16145" s="17" t="s">
        <v>11</v>
      </c>
      <c r="F16145" s="18"/>
      <c r="G16145" s="36" t="str">
        <f>IF(ISNUMBER(F16145),C16145*F16145,"")</f>
        <v/>
      </c>
    </row>
    <row r="16146" spans="1:7" ht="12" customHeight="1" outlineLevel="2" x14ac:dyDescent="0.2">
      <c r="A16146" s="14" t="s">
        <v>31765</v>
      </c>
      <c r="B16146" s="15" t="s">
        <v>31766</v>
      </c>
      <c r="C16146" s="16">
        <f>143.76/(1+B2)</f>
        <v>143.76</v>
      </c>
      <c r="D16146" s="17" t="s">
        <v>14</v>
      </c>
      <c r="E16146" s="17"/>
      <c r="F16146" s="18"/>
      <c r="G16146" s="36" t="str">
        <f>IF(ISNUMBER(F16146),C16146*F16146,"")</f>
        <v/>
      </c>
    </row>
    <row r="16147" spans="1:7" ht="12" customHeight="1" outlineLevel="2" x14ac:dyDescent="0.2">
      <c r="A16147" s="14" t="s">
        <v>31767</v>
      </c>
      <c r="B16147" s="15" t="s">
        <v>31768</v>
      </c>
      <c r="C16147" s="16">
        <f>143.76/(1+B2)</f>
        <v>143.76</v>
      </c>
      <c r="D16147" s="17" t="s">
        <v>14</v>
      </c>
      <c r="E16147" s="17"/>
      <c r="F16147" s="18"/>
      <c r="G16147" s="36" t="str">
        <f>IF(ISNUMBER(F16147),C16147*F16147,"")</f>
        <v/>
      </c>
    </row>
    <row r="16148" spans="1:7" ht="12" customHeight="1" outlineLevel="2" x14ac:dyDescent="0.2">
      <c r="A16148" s="14" t="s">
        <v>31769</v>
      </c>
      <c r="B16148" s="15" t="s">
        <v>31770</v>
      </c>
      <c r="C16148" s="16">
        <f>143.76/(1+B2)</f>
        <v>143.76</v>
      </c>
      <c r="D16148" s="17" t="s">
        <v>14</v>
      </c>
      <c r="E16148" s="17"/>
      <c r="F16148" s="18"/>
      <c r="G16148" s="36" t="str">
        <f>IF(ISNUMBER(F16148),C16148*F16148,"")</f>
        <v/>
      </c>
    </row>
    <row r="16149" spans="1:7" ht="12" customHeight="1" outlineLevel="2" x14ac:dyDescent="0.2">
      <c r="A16149" s="14" t="s">
        <v>31771</v>
      </c>
      <c r="B16149" s="15" t="s">
        <v>31772</v>
      </c>
      <c r="C16149" s="16">
        <f>179.95/(1+B2)</f>
        <v>179.95</v>
      </c>
      <c r="D16149" s="17" t="s">
        <v>14</v>
      </c>
      <c r="E16149" s="17"/>
      <c r="F16149" s="18"/>
      <c r="G16149" s="36" t="str">
        <f>IF(ISNUMBER(F16149),C16149*F16149,"")</f>
        <v/>
      </c>
    </row>
    <row r="16150" spans="1:7" ht="12" customHeight="1" outlineLevel="2" x14ac:dyDescent="0.2">
      <c r="A16150" s="14" t="s">
        <v>31773</v>
      </c>
      <c r="B16150" s="15" t="s">
        <v>31774</v>
      </c>
      <c r="C16150" s="16">
        <f>236.98/(1+B2)</f>
        <v>236.98</v>
      </c>
      <c r="D16150" s="17" t="s">
        <v>11</v>
      </c>
      <c r="E16150" s="17"/>
      <c r="F16150" s="18"/>
      <c r="G16150" s="36" t="str">
        <f>IF(ISNUMBER(F16150),C16150*F16150,"")</f>
        <v/>
      </c>
    </row>
    <row r="16151" spans="1:7" ht="12" customHeight="1" outlineLevel="2" x14ac:dyDescent="0.2">
      <c r="A16151" s="14" t="s">
        <v>31775</v>
      </c>
      <c r="B16151" s="15" t="s">
        <v>31776</v>
      </c>
      <c r="C16151" s="16">
        <f>236.98/(1+B2)</f>
        <v>236.98</v>
      </c>
      <c r="D16151" s="17" t="s">
        <v>11</v>
      </c>
      <c r="E16151" s="17"/>
      <c r="F16151" s="18"/>
      <c r="G16151" s="36" t="str">
        <f>IF(ISNUMBER(F16151),C16151*F16151,"")</f>
        <v/>
      </c>
    </row>
    <row r="16152" spans="1:7" ht="12" customHeight="1" outlineLevel="2" x14ac:dyDescent="0.2">
      <c r="A16152" s="14" t="s">
        <v>31777</v>
      </c>
      <c r="B16152" s="15" t="s">
        <v>31778</v>
      </c>
      <c r="C16152" s="16">
        <f>245.7/(1+B2)</f>
        <v>245.7</v>
      </c>
      <c r="D16152" s="17" t="s">
        <v>11</v>
      </c>
      <c r="E16152" s="17"/>
      <c r="F16152" s="18"/>
      <c r="G16152" s="36" t="str">
        <f>IF(ISNUMBER(F16152),C16152*F16152,"")</f>
        <v/>
      </c>
    </row>
    <row r="16153" spans="1:7" ht="12" customHeight="1" outlineLevel="2" x14ac:dyDescent="0.2">
      <c r="A16153" s="14" t="s">
        <v>31779</v>
      </c>
      <c r="B16153" s="15" t="s">
        <v>31780</v>
      </c>
      <c r="C16153" s="16">
        <f>245.7/(1+B2)</f>
        <v>245.7</v>
      </c>
      <c r="D16153" s="17" t="s">
        <v>11</v>
      </c>
      <c r="E16153" s="17"/>
      <c r="F16153" s="18"/>
      <c r="G16153" s="36" t="str">
        <f>IF(ISNUMBER(F16153),C16153*F16153,"")</f>
        <v/>
      </c>
    </row>
    <row r="16154" spans="1:7" ht="12" customHeight="1" outlineLevel="2" x14ac:dyDescent="0.2">
      <c r="A16154" s="14" t="s">
        <v>31781</v>
      </c>
      <c r="B16154" s="15" t="s">
        <v>31782</v>
      </c>
      <c r="C16154" s="16">
        <f>187.43/(1+B2)</f>
        <v>187.43</v>
      </c>
      <c r="D16154" s="17" t="s">
        <v>11</v>
      </c>
      <c r="E16154" s="17"/>
      <c r="F16154" s="18"/>
      <c r="G16154" s="36" t="str">
        <f>IF(ISNUMBER(F16154),C16154*F16154,"")</f>
        <v/>
      </c>
    </row>
    <row r="16155" spans="1:7" ht="12" customHeight="1" outlineLevel="2" x14ac:dyDescent="0.2">
      <c r="A16155" s="14" t="s">
        <v>31783</v>
      </c>
      <c r="B16155" s="15" t="s">
        <v>31784</v>
      </c>
      <c r="C16155" s="16">
        <f>187.43/(1+B2)</f>
        <v>187.43</v>
      </c>
      <c r="D16155" s="17" t="s">
        <v>11</v>
      </c>
      <c r="E16155" s="17"/>
      <c r="F16155" s="18"/>
      <c r="G16155" s="36" t="str">
        <f>IF(ISNUMBER(F16155),C16155*F16155,"")</f>
        <v/>
      </c>
    </row>
    <row r="16156" spans="1:7" ht="12" customHeight="1" outlineLevel="2" x14ac:dyDescent="0.2">
      <c r="A16156" s="14" t="s">
        <v>31785</v>
      </c>
      <c r="B16156" s="15" t="s">
        <v>31786</v>
      </c>
      <c r="C16156" s="16">
        <f>187.43/(1+B2)</f>
        <v>187.43</v>
      </c>
      <c r="D16156" s="17" t="s">
        <v>11</v>
      </c>
      <c r="E16156" s="17"/>
      <c r="F16156" s="18"/>
      <c r="G16156" s="36" t="str">
        <f>IF(ISNUMBER(F16156),C16156*F16156,"")</f>
        <v/>
      </c>
    </row>
    <row r="16157" spans="1:7" ht="12" customHeight="1" outlineLevel="2" x14ac:dyDescent="0.2">
      <c r="A16157" s="14" t="s">
        <v>31787</v>
      </c>
      <c r="B16157" s="15" t="s">
        <v>31788</v>
      </c>
      <c r="C16157" s="16">
        <f>208.74/(1+B2)</f>
        <v>208.74</v>
      </c>
      <c r="D16157" s="17" t="s">
        <v>11</v>
      </c>
      <c r="E16157" s="17"/>
      <c r="F16157" s="18"/>
      <c r="G16157" s="36" t="str">
        <f>IF(ISNUMBER(F16157),C16157*F16157,"")</f>
        <v/>
      </c>
    </row>
    <row r="16158" spans="1:7" ht="12" customHeight="1" outlineLevel="2" x14ac:dyDescent="0.2">
      <c r="A16158" s="14" t="s">
        <v>31789</v>
      </c>
      <c r="B16158" s="15" t="s">
        <v>31790</v>
      </c>
      <c r="C16158" s="16">
        <f>208.74/(1+B2)</f>
        <v>208.74</v>
      </c>
      <c r="D16158" s="17" t="s">
        <v>11</v>
      </c>
      <c r="E16158" s="17"/>
      <c r="F16158" s="18"/>
      <c r="G16158" s="36" t="str">
        <f>IF(ISNUMBER(F16158),C16158*F16158,"")</f>
        <v/>
      </c>
    </row>
    <row r="16159" spans="1:7" ht="12" customHeight="1" outlineLevel="2" x14ac:dyDescent="0.2">
      <c r="A16159" s="14" t="s">
        <v>31791</v>
      </c>
      <c r="B16159" s="15" t="s">
        <v>31792</v>
      </c>
      <c r="C16159" s="16">
        <f>231.93/(1+B2)</f>
        <v>231.93</v>
      </c>
      <c r="D16159" s="17" t="s">
        <v>11</v>
      </c>
      <c r="E16159" s="17"/>
      <c r="F16159" s="18"/>
      <c r="G16159" s="36" t="str">
        <f>IF(ISNUMBER(F16159),C16159*F16159,"")</f>
        <v/>
      </c>
    </row>
    <row r="16160" spans="1:7" ht="12" customHeight="1" outlineLevel="2" x14ac:dyDescent="0.2">
      <c r="A16160" s="14" t="s">
        <v>31793</v>
      </c>
      <c r="B16160" s="15" t="s">
        <v>31794</v>
      </c>
      <c r="C16160" s="16">
        <f>233.89/(1+B2)</f>
        <v>233.89</v>
      </c>
      <c r="D16160" s="17" t="s">
        <v>11</v>
      </c>
      <c r="E16160" s="17"/>
      <c r="F16160" s="18"/>
      <c r="G16160" s="36" t="str">
        <f>IF(ISNUMBER(F16160),C16160*F16160,"")</f>
        <v/>
      </c>
    </row>
    <row r="16161" spans="1:7" ht="12" customHeight="1" outlineLevel="2" x14ac:dyDescent="0.2">
      <c r="A16161" s="14" t="s">
        <v>31795</v>
      </c>
      <c r="B16161" s="15" t="s">
        <v>31796</v>
      </c>
      <c r="C16161" s="16">
        <f>233.89/(1+B2)</f>
        <v>233.89</v>
      </c>
      <c r="D16161" s="17" t="s">
        <v>11</v>
      </c>
      <c r="E16161" s="17"/>
      <c r="F16161" s="18"/>
      <c r="G16161" s="36" t="str">
        <f>IF(ISNUMBER(F16161),C16161*F16161,"")</f>
        <v/>
      </c>
    </row>
    <row r="16162" spans="1:7" ht="12" customHeight="1" outlineLevel="2" x14ac:dyDescent="0.2">
      <c r="A16162" s="14" t="s">
        <v>31797</v>
      </c>
      <c r="B16162" s="15" t="s">
        <v>31798</v>
      </c>
      <c r="C16162" s="16">
        <f>233.89/(1+B2)</f>
        <v>233.89</v>
      </c>
      <c r="D16162" s="17" t="s">
        <v>11</v>
      </c>
      <c r="E16162" s="17"/>
      <c r="F16162" s="18"/>
      <c r="G16162" s="36" t="str">
        <f>IF(ISNUMBER(F16162),C16162*F16162,"")</f>
        <v/>
      </c>
    </row>
    <row r="16163" spans="1:7" ht="12" customHeight="1" outlineLevel="2" x14ac:dyDescent="0.2">
      <c r="A16163" s="14" t="s">
        <v>31799</v>
      </c>
      <c r="B16163" s="15" t="s">
        <v>31800</v>
      </c>
      <c r="C16163" s="16">
        <f>128.5/(1+B2)</f>
        <v>128.5</v>
      </c>
      <c r="D16163" s="17" t="s">
        <v>11</v>
      </c>
      <c r="E16163" s="17"/>
      <c r="F16163" s="18"/>
      <c r="G16163" s="36" t="str">
        <f>IF(ISNUMBER(F16163),C16163*F16163,"")</f>
        <v/>
      </c>
    </row>
    <row r="16164" spans="1:7" s="1" customFormat="1" ht="15.95" customHeight="1" outlineLevel="1" x14ac:dyDescent="0.25">
      <c r="A16164" s="11"/>
      <c r="B16164" s="12" t="s">
        <v>31801</v>
      </c>
      <c r="C16164" s="13"/>
      <c r="D16164" s="13"/>
      <c r="E16164" s="13"/>
      <c r="F16164" s="13"/>
      <c r="G16164" s="35"/>
    </row>
    <row r="16165" spans="1:7" ht="12" customHeight="1" outlineLevel="2" x14ac:dyDescent="0.2">
      <c r="A16165" s="14" t="s">
        <v>31802</v>
      </c>
      <c r="B16165" s="15" t="s">
        <v>31803</v>
      </c>
      <c r="C16165" s="16">
        <f>907.74/(1+B2)</f>
        <v>907.74</v>
      </c>
      <c r="D16165" s="17" t="s">
        <v>11</v>
      </c>
      <c r="E16165" s="17"/>
      <c r="F16165" s="18"/>
      <c r="G16165" s="36" t="str">
        <f>IF(ISNUMBER(F16165),C16165*F16165,"")</f>
        <v/>
      </c>
    </row>
    <row r="16166" spans="1:7" ht="24" customHeight="1" outlineLevel="2" x14ac:dyDescent="0.2">
      <c r="A16166" s="14" t="s">
        <v>31804</v>
      </c>
      <c r="B16166" s="15" t="s">
        <v>31805</v>
      </c>
      <c r="C16166" s="19">
        <f>1252.8/(1+B2)</f>
        <v>1252.8</v>
      </c>
      <c r="D16166" s="17" t="s">
        <v>11</v>
      </c>
      <c r="E16166" s="17"/>
      <c r="F16166" s="18"/>
      <c r="G16166" s="36" t="str">
        <f>IF(ISNUMBER(F16166),C16166*F16166,"")</f>
        <v/>
      </c>
    </row>
    <row r="16167" spans="1:7" ht="24" customHeight="1" outlineLevel="2" x14ac:dyDescent="0.2">
      <c r="A16167" s="14" t="s">
        <v>31806</v>
      </c>
      <c r="B16167" s="15" t="s">
        <v>31807</v>
      </c>
      <c r="C16167" s="19">
        <f>1180.8/(1+B2)</f>
        <v>1180.8</v>
      </c>
      <c r="D16167" s="17" t="s">
        <v>11</v>
      </c>
      <c r="E16167" s="17" t="s">
        <v>11</v>
      </c>
      <c r="F16167" s="18"/>
      <c r="G16167" s="36" t="str">
        <f>IF(ISNUMBER(F16167),C16167*F16167,"")</f>
        <v/>
      </c>
    </row>
    <row r="16168" spans="1:7" ht="24" customHeight="1" outlineLevel="2" x14ac:dyDescent="0.2">
      <c r="A16168" s="14" t="s">
        <v>31808</v>
      </c>
      <c r="B16168" s="15" t="s">
        <v>31809</v>
      </c>
      <c r="C16168" s="19">
        <f>1180.8/(1+B2)</f>
        <v>1180.8</v>
      </c>
      <c r="D16168" s="17" t="s">
        <v>11</v>
      </c>
      <c r="E16168" s="17" t="s">
        <v>11</v>
      </c>
      <c r="F16168" s="18"/>
      <c r="G16168" s="36" t="str">
        <f>IF(ISNUMBER(F16168),C16168*F16168,"")</f>
        <v/>
      </c>
    </row>
    <row r="16169" spans="1:7" ht="12" customHeight="1" outlineLevel="2" x14ac:dyDescent="0.2">
      <c r="A16169" s="14" t="s">
        <v>31810</v>
      </c>
      <c r="B16169" s="15" t="s">
        <v>31811</v>
      </c>
      <c r="C16169" s="19">
        <f>1180.8/(1+B2)</f>
        <v>1180.8</v>
      </c>
      <c r="D16169" s="17" t="s">
        <v>11</v>
      </c>
      <c r="E16169" s="17" t="s">
        <v>11</v>
      </c>
      <c r="F16169" s="18"/>
      <c r="G16169" s="36" t="str">
        <f>IF(ISNUMBER(F16169),C16169*F16169,"")</f>
        <v/>
      </c>
    </row>
    <row r="16170" spans="1:7" ht="24" customHeight="1" outlineLevel="2" x14ac:dyDescent="0.2">
      <c r="A16170" s="14" t="s">
        <v>31812</v>
      </c>
      <c r="B16170" s="15" t="s">
        <v>31813</v>
      </c>
      <c r="C16170" s="19">
        <f>1180.8/(1+B2)</f>
        <v>1180.8</v>
      </c>
      <c r="D16170" s="17" t="s">
        <v>11</v>
      </c>
      <c r="E16170" s="17"/>
      <c r="F16170" s="18"/>
      <c r="G16170" s="36" t="str">
        <f>IF(ISNUMBER(F16170),C16170*F16170,"")</f>
        <v/>
      </c>
    </row>
    <row r="16171" spans="1:7" ht="24" customHeight="1" outlineLevel="2" x14ac:dyDescent="0.2">
      <c r="A16171" s="14" t="s">
        <v>31814</v>
      </c>
      <c r="B16171" s="15" t="s">
        <v>31815</v>
      </c>
      <c r="C16171" s="19">
        <f>1660.5/(1+B2)</f>
        <v>1660.5</v>
      </c>
      <c r="D16171" s="17" t="s">
        <v>11</v>
      </c>
      <c r="E16171" s="17" t="s">
        <v>11</v>
      </c>
      <c r="F16171" s="18"/>
      <c r="G16171" s="36" t="str">
        <f>IF(ISNUMBER(F16171),C16171*F16171,"")</f>
        <v/>
      </c>
    </row>
    <row r="16172" spans="1:7" ht="24" customHeight="1" outlineLevel="2" x14ac:dyDescent="0.2">
      <c r="A16172" s="14" t="s">
        <v>31816</v>
      </c>
      <c r="B16172" s="15" t="s">
        <v>31817</v>
      </c>
      <c r="C16172" s="19">
        <f>1977.84/(1+B2)</f>
        <v>1977.84</v>
      </c>
      <c r="D16172" s="17" t="s">
        <v>11</v>
      </c>
      <c r="E16172" s="17"/>
      <c r="F16172" s="18"/>
      <c r="G16172" s="36" t="str">
        <f>IF(ISNUMBER(F16172),C16172*F16172,"")</f>
        <v/>
      </c>
    </row>
    <row r="16173" spans="1:7" ht="24" customHeight="1" outlineLevel="2" x14ac:dyDescent="0.2">
      <c r="A16173" s="14" t="s">
        <v>31818</v>
      </c>
      <c r="B16173" s="15" t="s">
        <v>31819</v>
      </c>
      <c r="C16173" s="19">
        <f>1879.2/(1+B2)</f>
        <v>1879.2</v>
      </c>
      <c r="D16173" s="17" t="s">
        <v>11</v>
      </c>
      <c r="E16173" s="17"/>
      <c r="F16173" s="18"/>
      <c r="G16173" s="36" t="str">
        <f>IF(ISNUMBER(F16173),C16173*F16173,"")</f>
        <v/>
      </c>
    </row>
    <row r="16174" spans="1:7" ht="12" customHeight="1" outlineLevel="2" x14ac:dyDescent="0.2">
      <c r="A16174" s="14" t="s">
        <v>31820</v>
      </c>
      <c r="B16174" s="15" t="s">
        <v>31821</v>
      </c>
      <c r="C16174" s="19">
        <f>1123.2/(1+B2)</f>
        <v>1123.2</v>
      </c>
      <c r="D16174" s="17" t="s">
        <v>11</v>
      </c>
      <c r="E16174" s="17"/>
      <c r="F16174" s="18"/>
      <c r="G16174" s="36" t="str">
        <f>IF(ISNUMBER(F16174),C16174*F16174,"")</f>
        <v/>
      </c>
    </row>
    <row r="16175" spans="1:7" ht="12" customHeight="1" outlineLevel="2" x14ac:dyDescent="0.2">
      <c r="A16175" s="14" t="s">
        <v>31822</v>
      </c>
      <c r="B16175" s="15" t="s">
        <v>31823</v>
      </c>
      <c r="C16175" s="19">
        <f>1123.2/(1+B2)</f>
        <v>1123.2</v>
      </c>
      <c r="D16175" s="17" t="s">
        <v>11</v>
      </c>
      <c r="E16175" s="17"/>
      <c r="F16175" s="18"/>
      <c r="G16175" s="36" t="str">
        <f>IF(ISNUMBER(F16175),C16175*F16175,"")</f>
        <v/>
      </c>
    </row>
    <row r="16176" spans="1:7" ht="12" customHeight="1" outlineLevel="2" x14ac:dyDescent="0.2">
      <c r="A16176" s="14" t="s">
        <v>31824</v>
      </c>
      <c r="B16176" s="15" t="s">
        <v>31825</v>
      </c>
      <c r="C16176" s="19">
        <f>1845/(1+B2)</f>
        <v>1845</v>
      </c>
      <c r="D16176" s="17" t="s">
        <v>11</v>
      </c>
      <c r="E16176" s="17"/>
      <c r="F16176" s="18"/>
      <c r="G16176" s="36" t="str">
        <f>IF(ISNUMBER(F16176),C16176*F16176,"")</f>
        <v/>
      </c>
    </row>
    <row r="16177" spans="1:7" ht="24" customHeight="1" outlineLevel="2" x14ac:dyDescent="0.2">
      <c r="A16177" s="14" t="s">
        <v>31826</v>
      </c>
      <c r="B16177" s="15" t="s">
        <v>31827</v>
      </c>
      <c r="C16177" s="19">
        <f>2836.8/(1+B2)</f>
        <v>2836.8</v>
      </c>
      <c r="D16177" s="17" t="s">
        <v>11</v>
      </c>
      <c r="E16177" s="17"/>
      <c r="F16177" s="18"/>
      <c r="G16177" s="36" t="str">
        <f>IF(ISNUMBER(F16177),C16177*F16177,"")</f>
        <v/>
      </c>
    </row>
    <row r="16178" spans="1:7" ht="24" customHeight="1" outlineLevel="2" x14ac:dyDescent="0.2">
      <c r="A16178" s="14" t="s">
        <v>31828</v>
      </c>
      <c r="B16178" s="15" t="s">
        <v>31829</v>
      </c>
      <c r="C16178" s="19">
        <f>2836.8/(1+B2)</f>
        <v>2836.8</v>
      </c>
      <c r="D16178" s="17" t="s">
        <v>11</v>
      </c>
      <c r="E16178" s="17"/>
      <c r="F16178" s="18"/>
      <c r="G16178" s="36" t="str">
        <f>IF(ISNUMBER(F16178),C16178*F16178,"")</f>
        <v/>
      </c>
    </row>
    <row r="16179" spans="1:7" ht="24" customHeight="1" outlineLevel="2" x14ac:dyDescent="0.2">
      <c r="A16179" s="14" t="s">
        <v>31830</v>
      </c>
      <c r="B16179" s="15" t="s">
        <v>31831</v>
      </c>
      <c r="C16179" s="19">
        <f>1429.6/(1+B2)</f>
        <v>1429.6</v>
      </c>
      <c r="D16179" s="17" t="s">
        <v>11</v>
      </c>
      <c r="E16179" s="17" t="s">
        <v>11</v>
      </c>
      <c r="F16179" s="18"/>
      <c r="G16179" s="36" t="str">
        <f>IF(ISNUMBER(F16179),C16179*F16179,"")</f>
        <v/>
      </c>
    </row>
    <row r="16180" spans="1:7" ht="24" customHeight="1" outlineLevel="2" x14ac:dyDescent="0.2">
      <c r="A16180" s="14" t="s">
        <v>31832</v>
      </c>
      <c r="B16180" s="15" t="s">
        <v>31833</v>
      </c>
      <c r="C16180" s="19">
        <f>1429.6/(1+B2)</f>
        <v>1429.6</v>
      </c>
      <c r="D16180" s="17" t="s">
        <v>11</v>
      </c>
      <c r="E16180" s="17" t="s">
        <v>11</v>
      </c>
      <c r="F16180" s="18"/>
      <c r="G16180" s="36" t="str">
        <f>IF(ISNUMBER(F16180),C16180*F16180,"")</f>
        <v/>
      </c>
    </row>
    <row r="16181" spans="1:7" ht="24" customHeight="1" outlineLevel="2" x14ac:dyDescent="0.2">
      <c r="A16181" s="14" t="s">
        <v>31834</v>
      </c>
      <c r="B16181" s="15" t="s">
        <v>31835</v>
      </c>
      <c r="C16181" s="19">
        <f>1429.6/(1+B2)</f>
        <v>1429.6</v>
      </c>
      <c r="D16181" s="17" t="s">
        <v>11</v>
      </c>
      <c r="E16181" s="17" t="s">
        <v>11</v>
      </c>
      <c r="F16181" s="18"/>
      <c r="G16181" s="36" t="str">
        <f>IF(ISNUMBER(F16181),C16181*F16181,"")</f>
        <v/>
      </c>
    </row>
    <row r="16182" spans="1:7" ht="12" customHeight="1" outlineLevel="2" x14ac:dyDescent="0.2">
      <c r="A16182" s="14" t="s">
        <v>31836</v>
      </c>
      <c r="B16182" s="15" t="s">
        <v>31837</v>
      </c>
      <c r="C16182" s="19">
        <f>1779.07/(1+B2)</f>
        <v>1779.07</v>
      </c>
      <c r="D16182" s="17" t="s">
        <v>11</v>
      </c>
      <c r="E16182" s="17" t="s">
        <v>11</v>
      </c>
      <c r="F16182" s="18"/>
      <c r="G16182" s="36" t="str">
        <f>IF(ISNUMBER(F16182),C16182*F16182,"")</f>
        <v/>
      </c>
    </row>
    <row r="16183" spans="1:7" ht="24" customHeight="1" outlineLevel="2" x14ac:dyDescent="0.2">
      <c r="A16183" s="14" t="s">
        <v>31838</v>
      </c>
      <c r="B16183" s="15" t="s">
        <v>31839</v>
      </c>
      <c r="C16183" s="19">
        <f>1779.07/(1+B2)</f>
        <v>1779.07</v>
      </c>
      <c r="D16183" s="17" t="s">
        <v>11</v>
      </c>
      <c r="E16183" s="17" t="s">
        <v>11</v>
      </c>
      <c r="F16183" s="18"/>
      <c r="G16183" s="36" t="str">
        <f>IF(ISNUMBER(F16183),C16183*F16183,"")</f>
        <v/>
      </c>
    </row>
    <row r="16184" spans="1:7" ht="24" customHeight="1" outlineLevel="2" x14ac:dyDescent="0.2">
      <c r="A16184" s="14" t="s">
        <v>31840</v>
      </c>
      <c r="B16184" s="15" t="s">
        <v>31841</v>
      </c>
      <c r="C16184" s="19">
        <f>1779.07/(1+B2)</f>
        <v>1779.07</v>
      </c>
      <c r="D16184" s="17" t="s">
        <v>11</v>
      </c>
      <c r="E16184" s="17" t="s">
        <v>11</v>
      </c>
      <c r="F16184" s="18"/>
      <c r="G16184" s="36" t="str">
        <f>IF(ISNUMBER(F16184),C16184*F16184,"")</f>
        <v/>
      </c>
    </row>
    <row r="16185" spans="1:7" ht="12" customHeight="1" outlineLevel="2" x14ac:dyDescent="0.2">
      <c r="A16185" s="14" t="s">
        <v>31842</v>
      </c>
      <c r="B16185" s="15" t="s">
        <v>31843</v>
      </c>
      <c r="C16185" s="16">
        <f>805.2/(1+B2)</f>
        <v>805.2</v>
      </c>
      <c r="D16185" s="17" t="s">
        <v>11</v>
      </c>
      <c r="E16185" s="17" t="s">
        <v>11</v>
      </c>
      <c r="F16185" s="18"/>
      <c r="G16185" s="36" t="str">
        <f>IF(ISNUMBER(F16185),C16185*F16185,"")</f>
        <v/>
      </c>
    </row>
    <row r="16186" spans="1:7" ht="24" customHeight="1" outlineLevel="2" x14ac:dyDescent="0.2">
      <c r="A16186" s="14" t="s">
        <v>31844</v>
      </c>
      <c r="B16186" s="15" t="s">
        <v>31845</v>
      </c>
      <c r="C16186" s="16">
        <f>805.2/(1+B2)</f>
        <v>805.2</v>
      </c>
      <c r="D16186" s="17" t="s">
        <v>11</v>
      </c>
      <c r="E16186" s="17" t="s">
        <v>11</v>
      </c>
      <c r="F16186" s="18"/>
      <c r="G16186" s="36" t="str">
        <f>IF(ISNUMBER(F16186),C16186*F16186,"")</f>
        <v/>
      </c>
    </row>
    <row r="16187" spans="1:7" ht="24" customHeight="1" outlineLevel="2" x14ac:dyDescent="0.2">
      <c r="A16187" s="14" t="s">
        <v>31846</v>
      </c>
      <c r="B16187" s="15" t="s">
        <v>31847</v>
      </c>
      <c r="C16187" s="16">
        <f>805.2/(1+B2)</f>
        <v>805.2</v>
      </c>
      <c r="D16187" s="17" t="s">
        <v>11</v>
      </c>
      <c r="E16187" s="17"/>
      <c r="F16187" s="18"/>
      <c r="G16187" s="36" t="str">
        <f>IF(ISNUMBER(F16187),C16187*F16187,"")</f>
        <v/>
      </c>
    </row>
    <row r="16188" spans="1:7" ht="24" customHeight="1" outlineLevel="2" x14ac:dyDescent="0.2">
      <c r="A16188" s="14" t="s">
        <v>31848</v>
      </c>
      <c r="B16188" s="15" t="s">
        <v>31849</v>
      </c>
      <c r="C16188" s="19">
        <f>1742.4/(1+B2)</f>
        <v>1742.4</v>
      </c>
      <c r="D16188" s="17" t="s">
        <v>11</v>
      </c>
      <c r="E16188" s="17"/>
      <c r="F16188" s="18"/>
      <c r="G16188" s="36" t="str">
        <f>IF(ISNUMBER(F16188),C16188*F16188,"")</f>
        <v/>
      </c>
    </row>
    <row r="16189" spans="1:7" ht="24" customHeight="1" outlineLevel="2" x14ac:dyDescent="0.2">
      <c r="A16189" s="14" t="s">
        <v>31850</v>
      </c>
      <c r="B16189" s="15" t="s">
        <v>31851</v>
      </c>
      <c r="C16189" s="19">
        <f>1766.23/(1+B2)</f>
        <v>1766.23</v>
      </c>
      <c r="D16189" s="17" t="s">
        <v>11</v>
      </c>
      <c r="E16189" s="17"/>
      <c r="F16189" s="18"/>
      <c r="G16189" s="36" t="str">
        <f>IF(ISNUMBER(F16189),C16189*F16189,"")</f>
        <v/>
      </c>
    </row>
    <row r="16190" spans="1:7" ht="24" customHeight="1" outlineLevel="2" x14ac:dyDescent="0.2">
      <c r="A16190" s="14" t="s">
        <v>31852</v>
      </c>
      <c r="B16190" s="15" t="s">
        <v>31853</v>
      </c>
      <c r="C16190" s="19">
        <f>1766.23/(1+B2)</f>
        <v>1766.23</v>
      </c>
      <c r="D16190" s="17" t="s">
        <v>11</v>
      </c>
      <c r="E16190" s="17" t="s">
        <v>11</v>
      </c>
      <c r="F16190" s="18"/>
      <c r="G16190" s="36" t="str">
        <f>IF(ISNUMBER(F16190),C16190*F16190,"")</f>
        <v/>
      </c>
    </row>
    <row r="16191" spans="1:7" ht="24" customHeight="1" outlineLevel="2" x14ac:dyDescent="0.2">
      <c r="A16191" s="14" t="s">
        <v>31854</v>
      </c>
      <c r="B16191" s="15" t="s">
        <v>31855</v>
      </c>
      <c r="C16191" s="19">
        <f>1766.23/(1+B2)</f>
        <v>1766.23</v>
      </c>
      <c r="D16191" s="17" t="s">
        <v>11</v>
      </c>
      <c r="E16191" s="17"/>
      <c r="F16191" s="18"/>
      <c r="G16191" s="36" t="str">
        <f>IF(ISNUMBER(F16191),C16191*F16191,"")</f>
        <v/>
      </c>
    </row>
    <row r="16192" spans="1:7" ht="24" customHeight="1" outlineLevel="2" x14ac:dyDescent="0.2">
      <c r="A16192" s="14" t="s">
        <v>31856</v>
      </c>
      <c r="B16192" s="15" t="s">
        <v>31857</v>
      </c>
      <c r="C16192" s="19">
        <f>1586.3/(1+B2)</f>
        <v>1586.3</v>
      </c>
      <c r="D16192" s="17" t="s">
        <v>11</v>
      </c>
      <c r="E16192" s="17" t="s">
        <v>11</v>
      </c>
      <c r="F16192" s="18"/>
      <c r="G16192" s="36" t="str">
        <f>IF(ISNUMBER(F16192),C16192*F16192,"")</f>
        <v/>
      </c>
    </row>
    <row r="16193" spans="1:7" ht="24" customHeight="1" outlineLevel="2" x14ac:dyDescent="0.2">
      <c r="A16193" s="14" t="s">
        <v>31858</v>
      </c>
      <c r="B16193" s="15" t="s">
        <v>31859</v>
      </c>
      <c r="C16193" s="19">
        <f>1586.3/(1+B2)</f>
        <v>1586.3</v>
      </c>
      <c r="D16193" s="17" t="s">
        <v>11</v>
      </c>
      <c r="E16193" s="17" t="s">
        <v>11</v>
      </c>
      <c r="F16193" s="18"/>
      <c r="G16193" s="36" t="str">
        <f>IF(ISNUMBER(F16193),C16193*F16193,"")</f>
        <v/>
      </c>
    </row>
    <row r="16194" spans="1:7" ht="24" customHeight="1" outlineLevel="2" x14ac:dyDescent="0.2">
      <c r="A16194" s="14" t="s">
        <v>31860</v>
      </c>
      <c r="B16194" s="15" t="s">
        <v>31861</v>
      </c>
      <c r="C16194" s="19">
        <f>1586.3/(1+B2)</f>
        <v>1586.3</v>
      </c>
      <c r="D16194" s="17" t="s">
        <v>11</v>
      </c>
      <c r="E16194" s="17" t="s">
        <v>11</v>
      </c>
      <c r="F16194" s="18"/>
      <c r="G16194" s="36" t="str">
        <f>IF(ISNUMBER(F16194),C16194*F16194,"")</f>
        <v/>
      </c>
    </row>
    <row r="16195" spans="1:7" ht="24" customHeight="1" outlineLevel="2" x14ac:dyDescent="0.2">
      <c r="A16195" s="14" t="s">
        <v>31862</v>
      </c>
      <c r="B16195" s="15" t="s">
        <v>31863</v>
      </c>
      <c r="C16195" s="19">
        <f>1123.2/(1+B2)</f>
        <v>1123.2</v>
      </c>
      <c r="D16195" s="17" t="s">
        <v>11</v>
      </c>
      <c r="E16195" s="17" t="s">
        <v>11</v>
      </c>
      <c r="F16195" s="18"/>
      <c r="G16195" s="36" t="str">
        <f>IF(ISNUMBER(F16195),C16195*F16195,"")</f>
        <v/>
      </c>
    </row>
    <row r="16196" spans="1:7" ht="12" customHeight="1" outlineLevel="2" x14ac:dyDescent="0.2">
      <c r="A16196" s="14" t="s">
        <v>31864</v>
      </c>
      <c r="B16196" s="15" t="s">
        <v>31865</v>
      </c>
      <c r="C16196" s="19">
        <f>2289.09/(1+B2)</f>
        <v>2289.09</v>
      </c>
      <c r="D16196" s="17" t="s">
        <v>11</v>
      </c>
      <c r="E16196" s="17"/>
      <c r="F16196" s="18"/>
      <c r="G16196" s="36" t="str">
        <f>IF(ISNUMBER(F16196),C16196*F16196,"")</f>
        <v/>
      </c>
    </row>
    <row r="16197" spans="1:7" ht="12" customHeight="1" outlineLevel="2" x14ac:dyDescent="0.2">
      <c r="A16197" s="14" t="s">
        <v>31866</v>
      </c>
      <c r="B16197" s="15" t="s">
        <v>31867</v>
      </c>
      <c r="C16197" s="19">
        <f>2289.09/(1+B2)</f>
        <v>2289.09</v>
      </c>
      <c r="D16197" s="17" t="s">
        <v>11</v>
      </c>
      <c r="E16197" s="17" t="s">
        <v>11</v>
      </c>
      <c r="F16197" s="18"/>
      <c r="G16197" s="36" t="str">
        <f>IF(ISNUMBER(F16197),C16197*F16197,"")</f>
        <v/>
      </c>
    </row>
    <row r="16198" spans="1:7" ht="12" customHeight="1" outlineLevel="2" x14ac:dyDescent="0.2">
      <c r="A16198" s="14" t="s">
        <v>31868</v>
      </c>
      <c r="B16198" s="15" t="s">
        <v>31869</v>
      </c>
      <c r="C16198" s="19">
        <f>2289.09/(1+B2)</f>
        <v>2289.09</v>
      </c>
      <c r="D16198" s="17" t="s">
        <v>11</v>
      </c>
      <c r="E16198" s="17" t="s">
        <v>11</v>
      </c>
      <c r="F16198" s="18"/>
      <c r="G16198" s="36" t="str">
        <f>IF(ISNUMBER(F16198),C16198*F16198,"")</f>
        <v/>
      </c>
    </row>
    <row r="16199" spans="1:7" ht="24" customHeight="1" outlineLevel="2" x14ac:dyDescent="0.2">
      <c r="A16199" s="14" t="s">
        <v>31870</v>
      </c>
      <c r="B16199" s="15" t="s">
        <v>31871</v>
      </c>
      <c r="C16199" s="16">
        <f>950.4/(1+B2)</f>
        <v>950.4</v>
      </c>
      <c r="D16199" s="17" t="s">
        <v>11</v>
      </c>
      <c r="E16199" s="17" t="s">
        <v>11</v>
      </c>
      <c r="F16199" s="18"/>
      <c r="G16199" s="36" t="str">
        <f>IF(ISNUMBER(F16199),C16199*F16199,"")</f>
        <v/>
      </c>
    </row>
    <row r="16200" spans="1:7" ht="24" customHeight="1" outlineLevel="2" x14ac:dyDescent="0.2">
      <c r="A16200" s="14" t="s">
        <v>31872</v>
      </c>
      <c r="B16200" s="15" t="s">
        <v>31873</v>
      </c>
      <c r="C16200" s="16">
        <f>969.04/(1+B2)</f>
        <v>969.04</v>
      </c>
      <c r="D16200" s="17" t="s">
        <v>11</v>
      </c>
      <c r="E16200" s="17" t="s">
        <v>11</v>
      </c>
      <c r="F16200" s="18"/>
      <c r="G16200" s="36" t="str">
        <f>IF(ISNUMBER(F16200),C16200*F16200,"")</f>
        <v/>
      </c>
    </row>
    <row r="16201" spans="1:7" ht="24" customHeight="1" outlineLevel="2" x14ac:dyDescent="0.2">
      <c r="A16201" s="14" t="s">
        <v>31874</v>
      </c>
      <c r="B16201" s="15" t="s">
        <v>31875</v>
      </c>
      <c r="C16201" s="19">
        <f>1944/(1+B2)</f>
        <v>1944</v>
      </c>
      <c r="D16201" s="17" t="s">
        <v>11</v>
      </c>
      <c r="E16201" s="17"/>
      <c r="F16201" s="18"/>
      <c r="G16201" s="36" t="str">
        <f>IF(ISNUMBER(F16201),C16201*F16201,"")</f>
        <v/>
      </c>
    </row>
    <row r="16202" spans="1:7" ht="24" customHeight="1" outlineLevel="2" x14ac:dyDescent="0.2">
      <c r="A16202" s="14" t="s">
        <v>31876</v>
      </c>
      <c r="B16202" s="15" t="s">
        <v>31877</v>
      </c>
      <c r="C16202" s="19">
        <f>1944/(1+B2)</f>
        <v>1944</v>
      </c>
      <c r="D16202" s="17" t="s">
        <v>11</v>
      </c>
      <c r="E16202" s="17"/>
      <c r="F16202" s="18"/>
      <c r="G16202" s="36" t="str">
        <f>IF(ISNUMBER(F16202),C16202*F16202,"")</f>
        <v/>
      </c>
    </row>
    <row r="16203" spans="1:7" ht="12" customHeight="1" outlineLevel="2" x14ac:dyDescent="0.2">
      <c r="A16203" s="14" t="s">
        <v>31878</v>
      </c>
      <c r="B16203" s="15" t="s">
        <v>31879</v>
      </c>
      <c r="C16203" s="19">
        <f>1173.6/(1+B2)</f>
        <v>1173.5999999999999</v>
      </c>
      <c r="D16203" s="17" t="s">
        <v>11</v>
      </c>
      <c r="E16203" s="17"/>
      <c r="F16203" s="18"/>
      <c r="G16203" s="36" t="str">
        <f>IF(ISNUMBER(F16203),C16203*F16203,"")</f>
        <v/>
      </c>
    </row>
    <row r="16204" spans="1:7" ht="24" customHeight="1" outlineLevel="2" x14ac:dyDescent="0.2">
      <c r="A16204" s="14" t="s">
        <v>31880</v>
      </c>
      <c r="B16204" s="15" t="s">
        <v>31881</v>
      </c>
      <c r="C16204" s="19">
        <f>1173.6/(1+B2)</f>
        <v>1173.5999999999999</v>
      </c>
      <c r="D16204" s="17" t="s">
        <v>11</v>
      </c>
      <c r="E16204" s="17"/>
      <c r="F16204" s="18"/>
      <c r="G16204" s="36" t="str">
        <f>IF(ISNUMBER(F16204),C16204*F16204,"")</f>
        <v/>
      </c>
    </row>
    <row r="16205" spans="1:7" ht="24" customHeight="1" outlineLevel="2" x14ac:dyDescent="0.2">
      <c r="A16205" s="14" t="s">
        <v>31882</v>
      </c>
      <c r="B16205" s="15" t="s">
        <v>31883</v>
      </c>
      <c r="C16205" s="19">
        <f>1173.6/(1+B2)</f>
        <v>1173.5999999999999</v>
      </c>
      <c r="D16205" s="17" t="s">
        <v>11</v>
      </c>
      <c r="E16205" s="17"/>
      <c r="F16205" s="18"/>
      <c r="G16205" s="36" t="str">
        <f>IF(ISNUMBER(F16205),C16205*F16205,"")</f>
        <v/>
      </c>
    </row>
    <row r="16206" spans="1:7" ht="12" customHeight="1" outlineLevel="2" x14ac:dyDescent="0.2">
      <c r="A16206" s="14" t="s">
        <v>31884</v>
      </c>
      <c r="B16206" s="15" t="s">
        <v>31885</v>
      </c>
      <c r="C16206" s="19">
        <f>2700/(1+B2)</f>
        <v>2700</v>
      </c>
      <c r="D16206" s="17" t="s">
        <v>11</v>
      </c>
      <c r="E16206" s="17" t="s">
        <v>11</v>
      </c>
      <c r="F16206" s="18"/>
      <c r="G16206" s="36" t="str">
        <f>IF(ISNUMBER(F16206),C16206*F16206,"")</f>
        <v/>
      </c>
    </row>
    <row r="16207" spans="1:7" ht="24" customHeight="1" outlineLevel="2" x14ac:dyDescent="0.2">
      <c r="A16207" s="14" t="s">
        <v>31886</v>
      </c>
      <c r="B16207" s="15" t="s">
        <v>31887</v>
      </c>
      <c r="C16207" s="19">
        <f>2700/(1+B2)</f>
        <v>2700</v>
      </c>
      <c r="D16207" s="17" t="s">
        <v>11</v>
      </c>
      <c r="E16207" s="17" t="s">
        <v>11</v>
      </c>
      <c r="F16207" s="18"/>
      <c r="G16207" s="36" t="str">
        <f>IF(ISNUMBER(F16207),C16207*F16207,"")</f>
        <v/>
      </c>
    </row>
    <row r="16208" spans="1:7" ht="24" customHeight="1" outlineLevel="2" x14ac:dyDescent="0.2">
      <c r="A16208" s="14" t="s">
        <v>31888</v>
      </c>
      <c r="B16208" s="15" t="s">
        <v>31889</v>
      </c>
      <c r="C16208" s="19">
        <f>2700/(1+B2)</f>
        <v>2700</v>
      </c>
      <c r="D16208" s="17" t="s">
        <v>11</v>
      </c>
      <c r="E16208" s="17" t="s">
        <v>11</v>
      </c>
      <c r="F16208" s="18"/>
      <c r="G16208" s="36" t="str">
        <f>IF(ISNUMBER(F16208),C16208*F16208,"")</f>
        <v/>
      </c>
    </row>
    <row r="16209" spans="1:7" ht="12" customHeight="1" outlineLevel="2" x14ac:dyDescent="0.2">
      <c r="A16209" s="14" t="s">
        <v>31890</v>
      </c>
      <c r="B16209" s="15" t="s">
        <v>31891</v>
      </c>
      <c r="C16209" s="19">
        <f>1469.06/(1+B2)</f>
        <v>1469.06</v>
      </c>
      <c r="D16209" s="17" t="s">
        <v>11</v>
      </c>
      <c r="E16209" s="17" t="s">
        <v>11</v>
      </c>
      <c r="F16209" s="18"/>
      <c r="G16209" s="36" t="str">
        <f>IF(ISNUMBER(F16209),C16209*F16209,"")</f>
        <v/>
      </c>
    </row>
    <row r="16210" spans="1:7" ht="12" customHeight="1" outlineLevel="2" x14ac:dyDescent="0.2">
      <c r="A16210" s="14" t="s">
        <v>31892</v>
      </c>
      <c r="B16210" s="15" t="s">
        <v>31893</v>
      </c>
      <c r="C16210" s="19">
        <f>1469.06/(1+B2)</f>
        <v>1469.06</v>
      </c>
      <c r="D16210" s="17" t="s">
        <v>11</v>
      </c>
      <c r="E16210" s="17" t="s">
        <v>11</v>
      </c>
      <c r="F16210" s="18"/>
      <c r="G16210" s="36" t="str">
        <f>IF(ISNUMBER(F16210),C16210*F16210,"")</f>
        <v/>
      </c>
    </row>
    <row r="16211" spans="1:7" ht="12" customHeight="1" outlineLevel="2" x14ac:dyDescent="0.2">
      <c r="A16211" s="14" t="s">
        <v>31894</v>
      </c>
      <c r="B16211" s="15" t="s">
        <v>31895</v>
      </c>
      <c r="C16211" s="19">
        <f>1469.06/(1+B2)</f>
        <v>1469.06</v>
      </c>
      <c r="D16211" s="17" t="s">
        <v>11</v>
      </c>
      <c r="E16211" s="17" t="s">
        <v>11</v>
      </c>
      <c r="F16211" s="18"/>
      <c r="G16211" s="36" t="str">
        <f>IF(ISNUMBER(F16211),C16211*F16211,"")</f>
        <v/>
      </c>
    </row>
    <row r="16212" spans="1:7" ht="12" customHeight="1" outlineLevel="2" x14ac:dyDescent="0.2">
      <c r="A16212" s="14" t="s">
        <v>31896</v>
      </c>
      <c r="B16212" s="15" t="s">
        <v>31897</v>
      </c>
      <c r="C16212" s="19">
        <f>1806.21/(1+B2)</f>
        <v>1806.21</v>
      </c>
      <c r="D16212" s="17" t="s">
        <v>11</v>
      </c>
      <c r="E16212" s="17" t="s">
        <v>11</v>
      </c>
      <c r="F16212" s="18"/>
      <c r="G16212" s="36" t="str">
        <f>IF(ISNUMBER(F16212),C16212*F16212,"")</f>
        <v/>
      </c>
    </row>
    <row r="16213" spans="1:7" ht="12" customHeight="1" outlineLevel="2" x14ac:dyDescent="0.2">
      <c r="A16213" s="14" t="s">
        <v>31898</v>
      </c>
      <c r="B16213" s="15" t="s">
        <v>31899</v>
      </c>
      <c r="C16213" s="19">
        <f>1806.21/(1+B2)</f>
        <v>1806.21</v>
      </c>
      <c r="D16213" s="17" t="s">
        <v>11</v>
      </c>
      <c r="E16213" s="17" t="s">
        <v>11</v>
      </c>
      <c r="F16213" s="18"/>
      <c r="G16213" s="36" t="str">
        <f>IF(ISNUMBER(F16213),C16213*F16213,"")</f>
        <v/>
      </c>
    </row>
    <row r="16214" spans="1:7" ht="12" customHeight="1" outlineLevel="2" x14ac:dyDescent="0.2">
      <c r="A16214" s="14" t="s">
        <v>31900</v>
      </c>
      <c r="B16214" s="15" t="s">
        <v>31901</v>
      </c>
      <c r="C16214" s="19">
        <f>1806.21/(1+B2)</f>
        <v>1806.21</v>
      </c>
      <c r="D16214" s="17" t="s">
        <v>11</v>
      </c>
      <c r="E16214" s="17" t="s">
        <v>11</v>
      </c>
      <c r="F16214" s="18"/>
      <c r="G16214" s="36" t="str">
        <f>IF(ISNUMBER(F16214),C16214*F16214,"")</f>
        <v/>
      </c>
    </row>
    <row r="16215" spans="1:7" ht="12" customHeight="1" outlineLevel="2" x14ac:dyDescent="0.2">
      <c r="A16215" s="14" t="s">
        <v>31902</v>
      </c>
      <c r="B16215" s="15" t="s">
        <v>31903</v>
      </c>
      <c r="C16215" s="19">
        <f>2021.76/(1+B2)</f>
        <v>2021.76</v>
      </c>
      <c r="D16215" s="17" t="s">
        <v>11</v>
      </c>
      <c r="E16215" s="17"/>
      <c r="F16215" s="18"/>
      <c r="G16215" s="36" t="str">
        <f>IF(ISNUMBER(F16215),C16215*F16215,"")</f>
        <v/>
      </c>
    </row>
    <row r="16216" spans="1:7" ht="12" customHeight="1" outlineLevel="2" x14ac:dyDescent="0.2">
      <c r="A16216" s="14" t="s">
        <v>31904</v>
      </c>
      <c r="B16216" s="15" t="s">
        <v>31905</v>
      </c>
      <c r="C16216" s="19">
        <f>2021.76/(1+B2)</f>
        <v>2021.76</v>
      </c>
      <c r="D16216" s="17" t="s">
        <v>11</v>
      </c>
      <c r="E16216" s="17" t="s">
        <v>11</v>
      </c>
      <c r="F16216" s="18"/>
      <c r="G16216" s="36" t="str">
        <f>IF(ISNUMBER(F16216),C16216*F16216,"")</f>
        <v/>
      </c>
    </row>
    <row r="16217" spans="1:7" ht="12" customHeight="1" outlineLevel="2" x14ac:dyDescent="0.2">
      <c r="A16217" s="14" t="s">
        <v>31906</v>
      </c>
      <c r="B16217" s="15" t="s">
        <v>31907</v>
      </c>
      <c r="C16217" s="19">
        <f>2021.76/(1+B2)</f>
        <v>2021.76</v>
      </c>
      <c r="D16217" s="17" t="s">
        <v>11</v>
      </c>
      <c r="E16217" s="17" t="s">
        <v>11</v>
      </c>
      <c r="F16217" s="18"/>
      <c r="G16217" s="36" t="str">
        <f>IF(ISNUMBER(F16217),C16217*F16217,"")</f>
        <v/>
      </c>
    </row>
    <row r="16218" spans="1:7" ht="12" customHeight="1" outlineLevel="2" x14ac:dyDescent="0.2">
      <c r="A16218" s="14" t="s">
        <v>31908</v>
      </c>
      <c r="B16218" s="15" t="s">
        <v>31909</v>
      </c>
      <c r="C16218" s="19">
        <f>1806.21/(1+B2)</f>
        <v>1806.21</v>
      </c>
      <c r="D16218" s="17" t="s">
        <v>11</v>
      </c>
      <c r="E16218" s="17" t="s">
        <v>11</v>
      </c>
      <c r="F16218" s="18"/>
      <c r="G16218" s="36" t="str">
        <f>IF(ISNUMBER(F16218),C16218*F16218,"")</f>
        <v/>
      </c>
    </row>
    <row r="16219" spans="1:7" ht="12" customHeight="1" outlineLevel="2" x14ac:dyDescent="0.2">
      <c r="A16219" s="14" t="s">
        <v>31910</v>
      </c>
      <c r="B16219" s="15" t="s">
        <v>31911</v>
      </c>
      <c r="C16219" s="19">
        <f>1806.21/(1+B2)</f>
        <v>1806.21</v>
      </c>
      <c r="D16219" s="17" t="s">
        <v>11</v>
      </c>
      <c r="E16219" s="17" t="s">
        <v>11</v>
      </c>
      <c r="F16219" s="18"/>
      <c r="G16219" s="36" t="str">
        <f>IF(ISNUMBER(F16219),C16219*F16219,"")</f>
        <v/>
      </c>
    </row>
    <row r="16220" spans="1:7" ht="12" customHeight="1" outlineLevel="2" x14ac:dyDescent="0.2">
      <c r="A16220" s="14" t="s">
        <v>31912</v>
      </c>
      <c r="B16220" s="15" t="s">
        <v>31913</v>
      </c>
      <c r="C16220" s="19">
        <f>1806.21/(1+B2)</f>
        <v>1806.21</v>
      </c>
      <c r="D16220" s="17" t="s">
        <v>11</v>
      </c>
      <c r="E16220" s="17" t="s">
        <v>11</v>
      </c>
      <c r="F16220" s="18"/>
      <c r="G16220" s="36" t="str">
        <f>IF(ISNUMBER(F16220),C16220*F16220,"")</f>
        <v/>
      </c>
    </row>
    <row r="16221" spans="1:7" ht="12" customHeight="1" outlineLevel="2" x14ac:dyDescent="0.2">
      <c r="A16221" s="14" t="s">
        <v>31914</v>
      </c>
      <c r="B16221" s="15" t="s">
        <v>31915</v>
      </c>
      <c r="C16221" s="19">
        <f>2090.59/(1+B2)</f>
        <v>2090.59</v>
      </c>
      <c r="D16221" s="17" t="s">
        <v>11</v>
      </c>
      <c r="E16221" s="17" t="s">
        <v>11</v>
      </c>
      <c r="F16221" s="18"/>
      <c r="G16221" s="36" t="str">
        <f>IF(ISNUMBER(F16221),C16221*F16221,"")</f>
        <v/>
      </c>
    </row>
    <row r="16222" spans="1:7" ht="12" customHeight="1" outlineLevel="2" x14ac:dyDescent="0.2">
      <c r="A16222" s="14" t="s">
        <v>31916</v>
      </c>
      <c r="B16222" s="15" t="s">
        <v>31917</v>
      </c>
      <c r="C16222" s="19">
        <f>2090.59/(1+B2)</f>
        <v>2090.59</v>
      </c>
      <c r="D16222" s="17" t="s">
        <v>11</v>
      </c>
      <c r="E16222" s="17" t="s">
        <v>11</v>
      </c>
      <c r="F16222" s="18"/>
      <c r="G16222" s="36" t="str">
        <f>IF(ISNUMBER(F16222),C16222*F16222,"")</f>
        <v/>
      </c>
    </row>
    <row r="16223" spans="1:7" ht="12" customHeight="1" outlineLevel="2" x14ac:dyDescent="0.2">
      <c r="A16223" s="14" t="s">
        <v>31918</v>
      </c>
      <c r="B16223" s="15" t="s">
        <v>31919</v>
      </c>
      <c r="C16223" s="19">
        <f>2388.67/(1+B2)</f>
        <v>2388.67</v>
      </c>
      <c r="D16223" s="17" t="s">
        <v>11</v>
      </c>
      <c r="E16223" s="17" t="s">
        <v>11</v>
      </c>
      <c r="F16223" s="18"/>
      <c r="G16223" s="36" t="str">
        <f>IF(ISNUMBER(F16223),C16223*F16223,"")</f>
        <v/>
      </c>
    </row>
    <row r="16224" spans="1:7" ht="12" customHeight="1" outlineLevel="2" x14ac:dyDescent="0.2">
      <c r="A16224" s="14" t="s">
        <v>31920</v>
      </c>
      <c r="B16224" s="15" t="s">
        <v>31921</v>
      </c>
      <c r="C16224" s="19">
        <f>2388.67/(1+B2)</f>
        <v>2388.67</v>
      </c>
      <c r="D16224" s="17" t="s">
        <v>11</v>
      </c>
      <c r="E16224" s="17" t="s">
        <v>11</v>
      </c>
      <c r="F16224" s="18"/>
      <c r="G16224" s="36" t="str">
        <f>IF(ISNUMBER(F16224),C16224*F16224,"")</f>
        <v/>
      </c>
    </row>
    <row r="16225" spans="1:7" ht="12" customHeight="1" outlineLevel="2" x14ac:dyDescent="0.2">
      <c r="A16225" s="14" t="s">
        <v>31922</v>
      </c>
      <c r="B16225" s="15" t="s">
        <v>31923</v>
      </c>
      <c r="C16225" s="19">
        <f>2388.67/(1+B2)</f>
        <v>2388.67</v>
      </c>
      <c r="D16225" s="17" t="s">
        <v>11</v>
      </c>
      <c r="E16225" s="17" t="s">
        <v>11</v>
      </c>
      <c r="F16225" s="18"/>
      <c r="G16225" s="36" t="str">
        <f>IF(ISNUMBER(F16225),C16225*F16225,"")</f>
        <v/>
      </c>
    </row>
    <row r="16226" spans="1:7" ht="12" customHeight="1" outlineLevel="2" x14ac:dyDescent="0.2">
      <c r="A16226" s="14" t="s">
        <v>31924</v>
      </c>
      <c r="B16226" s="15" t="s">
        <v>31925</v>
      </c>
      <c r="C16226" s="19">
        <f>2036.79/(1+B2)</f>
        <v>2036.79</v>
      </c>
      <c r="D16226" s="17" t="s">
        <v>11</v>
      </c>
      <c r="E16226" s="17" t="s">
        <v>11</v>
      </c>
      <c r="F16226" s="18"/>
      <c r="G16226" s="36" t="str">
        <f>IF(ISNUMBER(F16226),C16226*F16226,"")</f>
        <v/>
      </c>
    </row>
    <row r="16227" spans="1:7" ht="12" customHeight="1" outlineLevel="2" x14ac:dyDescent="0.2">
      <c r="A16227" s="14" t="s">
        <v>31926</v>
      </c>
      <c r="B16227" s="15" t="s">
        <v>31927</v>
      </c>
      <c r="C16227" s="19">
        <f>2036.79/(1+B2)</f>
        <v>2036.79</v>
      </c>
      <c r="D16227" s="17" t="s">
        <v>11</v>
      </c>
      <c r="E16227" s="17" t="s">
        <v>11</v>
      </c>
      <c r="F16227" s="18"/>
      <c r="G16227" s="36" t="str">
        <f>IF(ISNUMBER(F16227),C16227*F16227,"")</f>
        <v/>
      </c>
    </row>
    <row r="16228" spans="1:7" ht="12" customHeight="1" outlineLevel="2" x14ac:dyDescent="0.2">
      <c r="A16228" s="14" t="s">
        <v>31928</v>
      </c>
      <c r="B16228" s="15" t="s">
        <v>31929</v>
      </c>
      <c r="C16228" s="19">
        <f>2036.79/(1+B2)</f>
        <v>2036.79</v>
      </c>
      <c r="D16228" s="17" t="s">
        <v>11</v>
      </c>
      <c r="E16228" s="17" t="s">
        <v>11</v>
      </c>
      <c r="F16228" s="18"/>
      <c r="G16228" s="36" t="str">
        <f>IF(ISNUMBER(F16228),C16228*F16228,"")</f>
        <v/>
      </c>
    </row>
    <row r="16229" spans="1:7" ht="12" customHeight="1" outlineLevel="2" x14ac:dyDescent="0.2">
      <c r="A16229" s="14" t="s">
        <v>31930</v>
      </c>
      <c r="B16229" s="15" t="s">
        <v>31931</v>
      </c>
      <c r="C16229" s="19">
        <f>2029.08/(1+B2)</f>
        <v>2029.08</v>
      </c>
      <c r="D16229" s="17" t="s">
        <v>11</v>
      </c>
      <c r="E16229" s="17" t="s">
        <v>11</v>
      </c>
      <c r="F16229" s="18"/>
      <c r="G16229" s="36" t="str">
        <f>IF(ISNUMBER(F16229),C16229*F16229,"")</f>
        <v/>
      </c>
    </row>
    <row r="16230" spans="1:7" ht="12" customHeight="1" outlineLevel="2" x14ac:dyDescent="0.2">
      <c r="A16230" s="14" t="s">
        <v>31932</v>
      </c>
      <c r="B16230" s="15" t="s">
        <v>31933</v>
      </c>
      <c r="C16230" s="19">
        <f>2029.08/(1+B2)</f>
        <v>2029.08</v>
      </c>
      <c r="D16230" s="17" t="s">
        <v>11</v>
      </c>
      <c r="E16230" s="17" t="s">
        <v>11</v>
      </c>
      <c r="F16230" s="18"/>
      <c r="G16230" s="36" t="str">
        <f>IF(ISNUMBER(F16230),C16230*F16230,"")</f>
        <v/>
      </c>
    </row>
    <row r="16231" spans="1:7" ht="12" customHeight="1" outlineLevel="2" x14ac:dyDescent="0.2">
      <c r="A16231" s="14" t="s">
        <v>31934</v>
      </c>
      <c r="B16231" s="15" t="s">
        <v>31935</v>
      </c>
      <c r="C16231" s="19">
        <f>2029.08/(1+B2)</f>
        <v>2029.08</v>
      </c>
      <c r="D16231" s="17" t="s">
        <v>11</v>
      </c>
      <c r="E16231" s="17" t="s">
        <v>11</v>
      </c>
      <c r="F16231" s="18"/>
      <c r="G16231" s="36" t="str">
        <f>IF(ISNUMBER(F16231),C16231*F16231,"")</f>
        <v/>
      </c>
    </row>
    <row r="16232" spans="1:7" ht="24" customHeight="1" outlineLevel="2" x14ac:dyDescent="0.2">
      <c r="A16232" s="14" t="s">
        <v>31936</v>
      </c>
      <c r="B16232" s="15" t="s">
        <v>31937</v>
      </c>
      <c r="C16232" s="19">
        <f>2217.6/(1+B2)</f>
        <v>2217.6</v>
      </c>
      <c r="D16232" s="17" t="s">
        <v>11</v>
      </c>
      <c r="E16232" s="17" t="s">
        <v>11</v>
      </c>
      <c r="F16232" s="18"/>
      <c r="G16232" s="36" t="str">
        <f>IF(ISNUMBER(F16232),C16232*F16232,"")</f>
        <v/>
      </c>
    </row>
    <row r="16233" spans="1:7" ht="24" customHeight="1" outlineLevel="2" x14ac:dyDescent="0.2">
      <c r="A16233" s="14" t="s">
        <v>31938</v>
      </c>
      <c r="B16233" s="15" t="s">
        <v>31939</v>
      </c>
      <c r="C16233" s="19">
        <f>2217.6/(1+B2)</f>
        <v>2217.6</v>
      </c>
      <c r="D16233" s="17" t="s">
        <v>11</v>
      </c>
      <c r="E16233" s="17" t="s">
        <v>11</v>
      </c>
      <c r="F16233" s="18"/>
      <c r="G16233" s="36" t="str">
        <f>IF(ISNUMBER(F16233),C16233*F16233,"")</f>
        <v/>
      </c>
    </row>
    <row r="16234" spans="1:7" ht="24" customHeight="1" outlineLevel="2" x14ac:dyDescent="0.2">
      <c r="A16234" s="14" t="s">
        <v>31940</v>
      </c>
      <c r="B16234" s="15" t="s">
        <v>31941</v>
      </c>
      <c r="C16234" s="19">
        <f>2217.6/(1+B2)</f>
        <v>2217.6</v>
      </c>
      <c r="D16234" s="17" t="s">
        <v>11</v>
      </c>
      <c r="E16234" s="17" t="s">
        <v>11</v>
      </c>
      <c r="F16234" s="18"/>
      <c r="G16234" s="36" t="str">
        <f>IF(ISNUMBER(F16234),C16234*F16234,"")</f>
        <v/>
      </c>
    </row>
    <row r="16235" spans="1:7" ht="12" customHeight="1" outlineLevel="2" x14ac:dyDescent="0.2">
      <c r="A16235" s="14" t="s">
        <v>31942</v>
      </c>
      <c r="B16235" s="15" t="s">
        <v>31943</v>
      </c>
      <c r="C16235" s="19">
        <f>2419.1/(1+B2)</f>
        <v>2419.1</v>
      </c>
      <c r="D16235" s="17" t="s">
        <v>11</v>
      </c>
      <c r="E16235" s="17" t="s">
        <v>11</v>
      </c>
      <c r="F16235" s="18"/>
      <c r="G16235" s="36" t="str">
        <f>IF(ISNUMBER(F16235),C16235*F16235,"")</f>
        <v/>
      </c>
    </row>
    <row r="16236" spans="1:7" ht="12" customHeight="1" outlineLevel="2" x14ac:dyDescent="0.2">
      <c r="A16236" s="14" t="s">
        <v>31944</v>
      </c>
      <c r="B16236" s="15" t="s">
        <v>31945</v>
      </c>
      <c r="C16236" s="19">
        <f>2419.1/(1+B2)</f>
        <v>2419.1</v>
      </c>
      <c r="D16236" s="17" t="s">
        <v>11</v>
      </c>
      <c r="E16236" s="17" t="s">
        <v>11</v>
      </c>
      <c r="F16236" s="18"/>
      <c r="G16236" s="36" t="str">
        <f>IF(ISNUMBER(F16236),C16236*F16236,"")</f>
        <v/>
      </c>
    </row>
    <row r="16237" spans="1:7" ht="24" customHeight="1" outlineLevel="2" x14ac:dyDescent="0.2">
      <c r="A16237" s="14" t="s">
        <v>31946</v>
      </c>
      <c r="B16237" s="15" t="s">
        <v>31947</v>
      </c>
      <c r="C16237" s="19">
        <f>2198.09/(1+B2)</f>
        <v>2198.09</v>
      </c>
      <c r="D16237" s="17" t="s">
        <v>11</v>
      </c>
      <c r="E16237" s="17" t="s">
        <v>11</v>
      </c>
      <c r="F16237" s="18"/>
      <c r="G16237" s="36" t="str">
        <f>IF(ISNUMBER(F16237),C16237*F16237,"")</f>
        <v/>
      </c>
    </row>
    <row r="16238" spans="1:7" ht="12" customHeight="1" outlineLevel="2" x14ac:dyDescent="0.2">
      <c r="A16238" s="14" t="s">
        <v>31948</v>
      </c>
      <c r="B16238" s="15" t="s">
        <v>31949</v>
      </c>
      <c r="C16238" s="19">
        <f>1550.02/(1+B2)</f>
        <v>1550.02</v>
      </c>
      <c r="D16238" s="17" t="s">
        <v>11</v>
      </c>
      <c r="E16238" s="17" t="s">
        <v>11</v>
      </c>
      <c r="F16238" s="18"/>
      <c r="G16238" s="36" t="str">
        <f>IF(ISNUMBER(F16238),C16238*F16238,"")</f>
        <v/>
      </c>
    </row>
    <row r="16239" spans="1:7" ht="12" customHeight="1" outlineLevel="2" x14ac:dyDescent="0.2">
      <c r="A16239" s="14" t="s">
        <v>31950</v>
      </c>
      <c r="B16239" s="15" t="s">
        <v>31951</v>
      </c>
      <c r="C16239" s="19">
        <f>1550.02/(1+B2)</f>
        <v>1550.02</v>
      </c>
      <c r="D16239" s="17" t="s">
        <v>11</v>
      </c>
      <c r="E16239" s="17" t="s">
        <v>11</v>
      </c>
      <c r="F16239" s="18"/>
      <c r="G16239" s="36" t="str">
        <f>IF(ISNUMBER(F16239),C16239*F16239,"")</f>
        <v/>
      </c>
    </row>
    <row r="16240" spans="1:7" ht="12" customHeight="1" outlineLevel="2" x14ac:dyDescent="0.2">
      <c r="A16240" s="14" t="s">
        <v>31952</v>
      </c>
      <c r="B16240" s="15" t="s">
        <v>31953</v>
      </c>
      <c r="C16240" s="19">
        <f>1550.02/(1+B2)</f>
        <v>1550.02</v>
      </c>
      <c r="D16240" s="17" t="s">
        <v>11</v>
      </c>
      <c r="E16240" s="17" t="s">
        <v>11</v>
      </c>
      <c r="F16240" s="18"/>
      <c r="G16240" s="36" t="str">
        <f>IF(ISNUMBER(F16240),C16240*F16240,"")</f>
        <v/>
      </c>
    </row>
    <row r="16241" spans="1:7" ht="12" customHeight="1" outlineLevel="2" x14ac:dyDescent="0.2">
      <c r="A16241" s="14" t="s">
        <v>31954</v>
      </c>
      <c r="B16241" s="15" t="s">
        <v>31955</v>
      </c>
      <c r="C16241" s="19">
        <f>2079.08/(1+B2)</f>
        <v>2079.08</v>
      </c>
      <c r="D16241" s="17" t="s">
        <v>11</v>
      </c>
      <c r="E16241" s="17" t="s">
        <v>11</v>
      </c>
      <c r="F16241" s="18"/>
      <c r="G16241" s="36" t="str">
        <f>IF(ISNUMBER(F16241),C16241*F16241,"")</f>
        <v/>
      </c>
    </row>
    <row r="16242" spans="1:7" ht="12" customHeight="1" outlineLevel="2" x14ac:dyDescent="0.2">
      <c r="A16242" s="14" t="s">
        <v>31956</v>
      </c>
      <c r="B16242" s="15" t="s">
        <v>31957</v>
      </c>
      <c r="C16242" s="19">
        <f>2309.09/(1+B2)</f>
        <v>2309.09</v>
      </c>
      <c r="D16242" s="17" t="s">
        <v>11</v>
      </c>
      <c r="E16242" s="17" t="s">
        <v>11</v>
      </c>
      <c r="F16242" s="18"/>
      <c r="G16242" s="36" t="str">
        <f>IF(ISNUMBER(F16242),C16242*F16242,"")</f>
        <v/>
      </c>
    </row>
    <row r="16243" spans="1:7" ht="12" customHeight="1" outlineLevel="2" x14ac:dyDescent="0.2">
      <c r="A16243" s="14" t="s">
        <v>31958</v>
      </c>
      <c r="B16243" s="15" t="s">
        <v>31959</v>
      </c>
      <c r="C16243" s="19">
        <f>2309.09/(1+B2)</f>
        <v>2309.09</v>
      </c>
      <c r="D16243" s="17" t="s">
        <v>11</v>
      </c>
      <c r="E16243" s="17" t="s">
        <v>11</v>
      </c>
      <c r="F16243" s="18"/>
      <c r="G16243" s="36" t="str">
        <f>IF(ISNUMBER(F16243),C16243*F16243,"")</f>
        <v/>
      </c>
    </row>
    <row r="16244" spans="1:7" ht="12" customHeight="1" outlineLevel="2" x14ac:dyDescent="0.2">
      <c r="A16244" s="14" t="s">
        <v>31960</v>
      </c>
      <c r="B16244" s="15" t="s">
        <v>31961</v>
      </c>
      <c r="C16244" s="19">
        <f>2309.09/(1+B2)</f>
        <v>2309.09</v>
      </c>
      <c r="D16244" s="17" t="s">
        <v>11</v>
      </c>
      <c r="E16244" s="17" t="s">
        <v>11</v>
      </c>
      <c r="F16244" s="18"/>
      <c r="G16244" s="36" t="str">
        <f>IF(ISNUMBER(F16244),C16244*F16244,"")</f>
        <v/>
      </c>
    </row>
    <row r="16245" spans="1:7" ht="12" customHeight="1" outlineLevel="2" x14ac:dyDescent="0.2">
      <c r="A16245" s="14" t="s">
        <v>31962</v>
      </c>
      <c r="B16245" s="15" t="s">
        <v>31963</v>
      </c>
      <c r="C16245" s="19">
        <f>1953.5/(1+B2)</f>
        <v>1953.5</v>
      </c>
      <c r="D16245" s="17" t="s">
        <v>11</v>
      </c>
      <c r="E16245" s="17" t="s">
        <v>11</v>
      </c>
      <c r="F16245" s="18"/>
      <c r="G16245" s="36" t="str">
        <f>IF(ISNUMBER(F16245),C16245*F16245,"")</f>
        <v/>
      </c>
    </row>
    <row r="16246" spans="1:7" ht="12" customHeight="1" outlineLevel="2" x14ac:dyDescent="0.2">
      <c r="A16246" s="14" t="s">
        <v>31964</v>
      </c>
      <c r="B16246" s="15" t="s">
        <v>31965</v>
      </c>
      <c r="C16246" s="19">
        <f>1953.5/(1+B2)</f>
        <v>1953.5</v>
      </c>
      <c r="D16246" s="17" t="s">
        <v>11</v>
      </c>
      <c r="E16246" s="17" t="s">
        <v>11</v>
      </c>
      <c r="F16246" s="18"/>
      <c r="G16246" s="36" t="str">
        <f>IF(ISNUMBER(F16246),C16246*F16246,"")</f>
        <v/>
      </c>
    </row>
    <row r="16247" spans="1:7" ht="12" customHeight="1" outlineLevel="2" x14ac:dyDescent="0.2">
      <c r="A16247" s="14" t="s">
        <v>31966</v>
      </c>
      <c r="B16247" s="15" t="s">
        <v>31967</v>
      </c>
      <c r="C16247" s="19">
        <f>1953.5/(1+B2)</f>
        <v>1953.5</v>
      </c>
      <c r="D16247" s="17" t="s">
        <v>11</v>
      </c>
      <c r="E16247" s="17" t="s">
        <v>11</v>
      </c>
      <c r="F16247" s="18"/>
      <c r="G16247" s="36" t="str">
        <f>IF(ISNUMBER(F16247),C16247*F16247,"")</f>
        <v/>
      </c>
    </row>
    <row r="16248" spans="1:7" ht="12" customHeight="1" outlineLevel="2" x14ac:dyDescent="0.2">
      <c r="A16248" s="14" t="s">
        <v>31968</v>
      </c>
      <c r="B16248" s="15" t="s">
        <v>31969</v>
      </c>
      <c r="C16248" s="19">
        <f>2269.09/(1+B2)</f>
        <v>2269.09</v>
      </c>
      <c r="D16248" s="17" t="s">
        <v>11</v>
      </c>
      <c r="E16248" s="17" t="s">
        <v>11</v>
      </c>
      <c r="F16248" s="18"/>
      <c r="G16248" s="36" t="str">
        <f>IF(ISNUMBER(F16248),C16248*F16248,"")</f>
        <v/>
      </c>
    </row>
    <row r="16249" spans="1:7" ht="12" customHeight="1" outlineLevel="2" x14ac:dyDescent="0.2">
      <c r="A16249" s="14" t="s">
        <v>31970</v>
      </c>
      <c r="B16249" s="15" t="s">
        <v>31971</v>
      </c>
      <c r="C16249" s="19">
        <f>2269.09/(1+B2)</f>
        <v>2269.09</v>
      </c>
      <c r="D16249" s="17" t="s">
        <v>11</v>
      </c>
      <c r="E16249" s="17" t="s">
        <v>11</v>
      </c>
      <c r="F16249" s="18"/>
      <c r="G16249" s="36" t="str">
        <f>IF(ISNUMBER(F16249),C16249*F16249,"")</f>
        <v/>
      </c>
    </row>
    <row r="16250" spans="1:7" ht="12" customHeight="1" outlineLevel="2" x14ac:dyDescent="0.2">
      <c r="A16250" s="14" t="s">
        <v>31972</v>
      </c>
      <c r="B16250" s="15" t="s">
        <v>31973</v>
      </c>
      <c r="C16250" s="19">
        <f>2269.09/(1+B2)</f>
        <v>2269.09</v>
      </c>
      <c r="D16250" s="17" t="s">
        <v>11</v>
      </c>
      <c r="E16250" s="17" t="s">
        <v>11</v>
      </c>
      <c r="F16250" s="18"/>
      <c r="G16250" s="36" t="str">
        <f>IF(ISNUMBER(F16250),C16250*F16250,"")</f>
        <v/>
      </c>
    </row>
    <row r="16251" spans="1:7" ht="12" customHeight="1" outlineLevel="2" x14ac:dyDescent="0.2">
      <c r="A16251" s="14" t="s">
        <v>31974</v>
      </c>
      <c r="B16251" s="15" t="s">
        <v>31975</v>
      </c>
      <c r="C16251" s="19">
        <f>2613.31/(1+B2)</f>
        <v>2613.31</v>
      </c>
      <c r="D16251" s="17" t="s">
        <v>11</v>
      </c>
      <c r="E16251" s="17" t="s">
        <v>11</v>
      </c>
      <c r="F16251" s="18"/>
      <c r="G16251" s="36" t="str">
        <f>IF(ISNUMBER(F16251),C16251*F16251,"")</f>
        <v/>
      </c>
    </row>
    <row r="16252" spans="1:7" ht="12" customHeight="1" outlineLevel="2" x14ac:dyDescent="0.2">
      <c r="A16252" s="14" t="s">
        <v>31976</v>
      </c>
      <c r="B16252" s="15" t="s">
        <v>31977</v>
      </c>
      <c r="C16252" s="19">
        <f>2613.31/(1+B2)</f>
        <v>2613.31</v>
      </c>
      <c r="D16252" s="17" t="s">
        <v>11</v>
      </c>
      <c r="E16252" s="17" t="s">
        <v>11</v>
      </c>
      <c r="F16252" s="18"/>
      <c r="G16252" s="36" t="str">
        <f>IF(ISNUMBER(F16252),C16252*F16252,"")</f>
        <v/>
      </c>
    </row>
    <row r="16253" spans="1:7" ht="12" customHeight="1" outlineLevel="2" x14ac:dyDescent="0.2">
      <c r="A16253" s="14" t="s">
        <v>31978</v>
      </c>
      <c r="B16253" s="15" t="s">
        <v>31979</v>
      </c>
      <c r="C16253" s="19">
        <f>2613.31/(1+B2)</f>
        <v>2613.31</v>
      </c>
      <c r="D16253" s="17" t="s">
        <v>11</v>
      </c>
      <c r="E16253" s="17" t="s">
        <v>11</v>
      </c>
      <c r="F16253" s="18"/>
      <c r="G16253" s="36" t="str">
        <f>IF(ISNUMBER(F16253),C16253*F16253,"")</f>
        <v/>
      </c>
    </row>
    <row r="16254" spans="1:7" ht="12" customHeight="1" outlineLevel="2" x14ac:dyDescent="0.2">
      <c r="A16254" s="14" t="s">
        <v>31980</v>
      </c>
      <c r="B16254" s="15" t="s">
        <v>31981</v>
      </c>
      <c r="C16254" s="19">
        <f>2229.09/(1+B2)</f>
        <v>2229.09</v>
      </c>
      <c r="D16254" s="17"/>
      <c r="E16254" s="17" t="s">
        <v>11</v>
      </c>
      <c r="F16254" s="18"/>
      <c r="G16254" s="36" t="str">
        <f>IF(ISNUMBER(F16254),C16254*F16254,"")</f>
        <v/>
      </c>
    </row>
    <row r="16255" spans="1:7" ht="12" customHeight="1" outlineLevel="2" x14ac:dyDescent="0.2">
      <c r="A16255" s="14" t="s">
        <v>31982</v>
      </c>
      <c r="B16255" s="15" t="s">
        <v>31983</v>
      </c>
      <c r="C16255" s="19">
        <f>2229.09/(1+B2)</f>
        <v>2229.09</v>
      </c>
      <c r="D16255" s="17" t="s">
        <v>11</v>
      </c>
      <c r="E16255" s="17" t="s">
        <v>11</v>
      </c>
      <c r="F16255" s="18"/>
      <c r="G16255" s="36" t="str">
        <f>IF(ISNUMBER(F16255),C16255*F16255,"")</f>
        <v/>
      </c>
    </row>
    <row r="16256" spans="1:7" ht="12" customHeight="1" outlineLevel="2" x14ac:dyDescent="0.2">
      <c r="A16256" s="14" t="s">
        <v>31984</v>
      </c>
      <c r="B16256" s="15" t="s">
        <v>31985</v>
      </c>
      <c r="C16256" s="19">
        <f>2229.09/(1+B2)</f>
        <v>2229.09</v>
      </c>
      <c r="D16256" s="17" t="s">
        <v>11</v>
      </c>
      <c r="E16256" s="17" t="s">
        <v>11</v>
      </c>
      <c r="F16256" s="18"/>
      <c r="G16256" s="36" t="str">
        <f>IF(ISNUMBER(F16256),C16256*F16256,"")</f>
        <v/>
      </c>
    </row>
    <row r="16257" spans="1:7" ht="12" customHeight="1" outlineLevel="2" x14ac:dyDescent="0.2">
      <c r="A16257" s="14" t="s">
        <v>31986</v>
      </c>
      <c r="B16257" s="15" t="s">
        <v>31987</v>
      </c>
      <c r="C16257" s="19">
        <f>2799.11/(1+B2)</f>
        <v>2799.11</v>
      </c>
      <c r="D16257" s="17" t="s">
        <v>11</v>
      </c>
      <c r="E16257" s="17" t="s">
        <v>11</v>
      </c>
      <c r="F16257" s="18"/>
      <c r="G16257" s="36" t="str">
        <f>IF(ISNUMBER(F16257),C16257*F16257,"")</f>
        <v/>
      </c>
    </row>
    <row r="16258" spans="1:7" ht="12" customHeight="1" outlineLevel="2" x14ac:dyDescent="0.2">
      <c r="A16258" s="14" t="s">
        <v>31988</v>
      </c>
      <c r="B16258" s="15" t="s">
        <v>31989</v>
      </c>
      <c r="C16258" s="19">
        <f>2799.11/(1+B2)</f>
        <v>2799.11</v>
      </c>
      <c r="D16258" s="17" t="s">
        <v>11</v>
      </c>
      <c r="E16258" s="17" t="s">
        <v>11</v>
      </c>
      <c r="F16258" s="18"/>
      <c r="G16258" s="36" t="str">
        <f>IF(ISNUMBER(F16258),C16258*F16258,"")</f>
        <v/>
      </c>
    </row>
    <row r="16259" spans="1:7" ht="12" customHeight="1" outlineLevel="2" x14ac:dyDescent="0.2">
      <c r="A16259" s="14" t="s">
        <v>31990</v>
      </c>
      <c r="B16259" s="15" t="s">
        <v>31991</v>
      </c>
      <c r="C16259" s="19">
        <f>2799.11/(1+B2)</f>
        <v>2799.11</v>
      </c>
      <c r="D16259" s="17" t="s">
        <v>11</v>
      </c>
      <c r="E16259" s="17" t="s">
        <v>11</v>
      </c>
      <c r="F16259" s="18"/>
      <c r="G16259" s="36" t="str">
        <f>IF(ISNUMBER(F16259),C16259*F16259,"")</f>
        <v/>
      </c>
    </row>
    <row r="16260" spans="1:7" ht="12" customHeight="1" outlineLevel="2" x14ac:dyDescent="0.2">
      <c r="A16260" s="14" t="s">
        <v>31992</v>
      </c>
      <c r="B16260" s="15" t="s">
        <v>31993</v>
      </c>
      <c r="C16260" s="19">
        <f>3258.86/(1+B2)</f>
        <v>3258.86</v>
      </c>
      <c r="D16260" s="17" t="s">
        <v>11</v>
      </c>
      <c r="E16260" s="17" t="s">
        <v>11</v>
      </c>
      <c r="F16260" s="18"/>
      <c r="G16260" s="36" t="str">
        <f>IF(ISNUMBER(F16260),C16260*F16260,"")</f>
        <v/>
      </c>
    </row>
    <row r="16261" spans="1:7" ht="12" customHeight="1" outlineLevel="2" x14ac:dyDescent="0.2">
      <c r="A16261" s="14" t="s">
        <v>31994</v>
      </c>
      <c r="B16261" s="15" t="s">
        <v>31995</v>
      </c>
      <c r="C16261" s="19">
        <f>3258.86/(1+B2)</f>
        <v>3258.86</v>
      </c>
      <c r="D16261" s="17" t="s">
        <v>11</v>
      </c>
      <c r="E16261" s="17" t="s">
        <v>11</v>
      </c>
      <c r="F16261" s="18"/>
      <c r="G16261" s="36" t="str">
        <f>IF(ISNUMBER(F16261),C16261*F16261,"")</f>
        <v/>
      </c>
    </row>
    <row r="16262" spans="1:7" ht="12" customHeight="1" outlineLevel="2" x14ac:dyDescent="0.2">
      <c r="A16262" s="14" t="s">
        <v>31996</v>
      </c>
      <c r="B16262" s="15" t="s">
        <v>31997</v>
      </c>
      <c r="C16262" s="19">
        <f>3258.86/(1+B2)</f>
        <v>3258.86</v>
      </c>
      <c r="D16262" s="17" t="s">
        <v>11</v>
      </c>
      <c r="E16262" s="17" t="s">
        <v>11</v>
      </c>
      <c r="F16262" s="18"/>
      <c r="G16262" s="36" t="str">
        <f>IF(ISNUMBER(F16262),C16262*F16262,"")</f>
        <v/>
      </c>
    </row>
    <row r="16263" spans="1:7" ht="24" customHeight="1" outlineLevel="2" x14ac:dyDescent="0.2">
      <c r="A16263" s="14" t="s">
        <v>31998</v>
      </c>
      <c r="B16263" s="15" t="s">
        <v>31999</v>
      </c>
      <c r="C16263" s="19">
        <f>1591.2/(1+B2)</f>
        <v>1591.2</v>
      </c>
      <c r="D16263" s="17" t="s">
        <v>11</v>
      </c>
      <c r="E16263" s="17"/>
      <c r="F16263" s="18"/>
      <c r="G16263" s="36" t="str">
        <f>IF(ISNUMBER(F16263),C16263*F16263,"")</f>
        <v/>
      </c>
    </row>
    <row r="16264" spans="1:7" ht="24" customHeight="1" outlineLevel="2" x14ac:dyDescent="0.2">
      <c r="A16264" s="14" t="s">
        <v>32000</v>
      </c>
      <c r="B16264" s="15" t="s">
        <v>32001</v>
      </c>
      <c r="C16264" s="19">
        <f>1965.6/(1+B2)</f>
        <v>1965.6</v>
      </c>
      <c r="D16264" s="17" t="s">
        <v>11</v>
      </c>
      <c r="E16264" s="17" t="s">
        <v>11</v>
      </c>
      <c r="F16264" s="18"/>
      <c r="G16264" s="36" t="str">
        <f>IF(ISNUMBER(F16264),C16264*F16264,"")</f>
        <v/>
      </c>
    </row>
    <row r="16265" spans="1:7" ht="24" customHeight="1" outlineLevel="2" x14ac:dyDescent="0.2">
      <c r="A16265" s="14" t="s">
        <v>32002</v>
      </c>
      <c r="B16265" s="15" t="s">
        <v>32003</v>
      </c>
      <c r="C16265" s="19">
        <f>1965.6/(1+B2)</f>
        <v>1965.6</v>
      </c>
      <c r="D16265" s="17" t="s">
        <v>11</v>
      </c>
      <c r="E16265" s="17" t="s">
        <v>11</v>
      </c>
      <c r="F16265" s="18"/>
      <c r="G16265" s="36" t="str">
        <f>IF(ISNUMBER(F16265),C16265*F16265,"")</f>
        <v/>
      </c>
    </row>
    <row r="16266" spans="1:7" s="1" customFormat="1" ht="15.95" customHeight="1" outlineLevel="1" x14ac:dyDescent="0.25">
      <c r="A16266" s="11"/>
      <c r="B16266" s="12" t="s">
        <v>32004</v>
      </c>
      <c r="C16266" s="13"/>
      <c r="D16266" s="13"/>
      <c r="E16266" s="13"/>
      <c r="F16266" s="13"/>
      <c r="G16266" s="35"/>
    </row>
    <row r="16267" spans="1:7" ht="12" customHeight="1" outlineLevel="2" x14ac:dyDescent="0.2">
      <c r="A16267" s="14" t="s">
        <v>32005</v>
      </c>
      <c r="B16267" s="15" t="s">
        <v>32006</v>
      </c>
      <c r="C16267" s="16">
        <f>100.98/(1+B2)</f>
        <v>100.98</v>
      </c>
      <c r="D16267" s="17" t="s">
        <v>11</v>
      </c>
      <c r="E16267" s="17"/>
      <c r="F16267" s="18"/>
      <c r="G16267" s="36" t="str">
        <f>IF(ISNUMBER(F16267),C16267*F16267,"")</f>
        <v/>
      </c>
    </row>
    <row r="16268" spans="1:7" ht="12" customHeight="1" outlineLevel="2" x14ac:dyDescent="0.2">
      <c r="A16268" s="14" t="s">
        <v>32007</v>
      </c>
      <c r="B16268" s="15" t="s">
        <v>32008</v>
      </c>
      <c r="C16268" s="16">
        <f>352.94/(1+B2)</f>
        <v>352.94</v>
      </c>
      <c r="D16268" s="17" t="s">
        <v>11</v>
      </c>
      <c r="E16268" s="17"/>
      <c r="F16268" s="18"/>
      <c r="G16268" s="36" t="str">
        <f>IF(ISNUMBER(F16268),C16268*F16268,"")</f>
        <v/>
      </c>
    </row>
    <row r="16269" spans="1:7" ht="12" customHeight="1" outlineLevel="2" x14ac:dyDescent="0.2">
      <c r="A16269" s="14" t="s">
        <v>32009</v>
      </c>
      <c r="B16269" s="15" t="s">
        <v>32010</v>
      </c>
      <c r="C16269" s="16">
        <f>462.85/(1+B2)</f>
        <v>462.85</v>
      </c>
      <c r="D16269" s="17" t="s">
        <v>11</v>
      </c>
      <c r="E16269" s="17"/>
      <c r="F16269" s="18"/>
      <c r="G16269" s="36" t="str">
        <f>IF(ISNUMBER(F16269),C16269*F16269,"")</f>
        <v/>
      </c>
    </row>
    <row r="16270" spans="1:7" ht="12" customHeight="1" outlineLevel="2" x14ac:dyDescent="0.2">
      <c r="A16270" s="14" t="s">
        <v>32011</v>
      </c>
      <c r="B16270" s="15" t="s">
        <v>32012</v>
      </c>
      <c r="C16270" s="16">
        <f>97.7/(1+B2)</f>
        <v>97.7</v>
      </c>
      <c r="D16270" s="17" t="s">
        <v>11</v>
      </c>
      <c r="E16270" s="17"/>
      <c r="F16270" s="18"/>
      <c r="G16270" s="36" t="str">
        <f>IF(ISNUMBER(F16270),C16270*F16270,"")</f>
        <v/>
      </c>
    </row>
    <row r="16271" spans="1:7" ht="12" customHeight="1" outlineLevel="2" x14ac:dyDescent="0.2">
      <c r="A16271" s="14" t="s">
        <v>32013</v>
      </c>
      <c r="B16271" s="15" t="s">
        <v>32014</v>
      </c>
      <c r="C16271" s="16">
        <f>115.11/(1+B2)</f>
        <v>115.11</v>
      </c>
      <c r="D16271" s="17" t="s">
        <v>11</v>
      </c>
      <c r="E16271" s="17"/>
      <c r="F16271" s="18"/>
      <c r="G16271" s="36" t="str">
        <f>IF(ISNUMBER(F16271),C16271*F16271,"")</f>
        <v/>
      </c>
    </row>
    <row r="16272" spans="1:7" ht="12" customHeight="1" outlineLevel="2" x14ac:dyDescent="0.2">
      <c r="A16272" s="14" t="s">
        <v>32015</v>
      </c>
      <c r="B16272" s="15" t="s">
        <v>32016</v>
      </c>
      <c r="C16272" s="16">
        <f>351.7/(1+B2)</f>
        <v>351.7</v>
      </c>
      <c r="D16272" s="17" t="s">
        <v>11</v>
      </c>
      <c r="E16272" s="17"/>
      <c r="F16272" s="18"/>
      <c r="G16272" s="36" t="str">
        <f>IF(ISNUMBER(F16272),C16272*F16272,"")</f>
        <v/>
      </c>
    </row>
    <row r="16273" spans="1:7" ht="12" customHeight="1" outlineLevel="2" x14ac:dyDescent="0.2">
      <c r="A16273" s="14" t="s">
        <v>32017</v>
      </c>
      <c r="B16273" s="15" t="s">
        <v>32018</v>
      </c>
      <c r="C16273" s="16">
        <f>547.2/(1+B2)</f>
        <v>547.20000000000005</v>
      </c>
      <c r="D16273" s="17" t="s">
        <v>11</v>
      </c>
      <c r="E16273" s="17"/>
      <c r="F16273" s="18"/>
      <c r="G16273" s="36" t="str">
        <f>IF(ISNUMBER(F16273),C16273*F16273,"")</f>
        <v/>
      </c>
    </row>
    <row r="16274" spans="1:7" ht="12" customHeight="1" outlineLevel="2" x14ac:dyDescent="0.2">
      <c r="A16274" s="14" t="s">
        <v>32019</v>
      </c>
      <c r="B16274" s="15" t="s">
        <v>32020</v>
      </c>
      <c r="C16274" s="16">
        <f>358.33/(1+B2)</f>
        <v>358.33</v>
      </c>
      <c r="D16274" s="17" t="s">
        <v>11</v>
      </c>
      <c r="E16274" s="17"/>
      <c r="F16274" s="18"/>
      <c r="G16274" s="36" t="str">
        <f>IF(ISNUMBER(F16274),C16274*F16274,"")</f>
        <v/>
      </c>
    </row>
    <row r="16275" spans="1:7" ht="12" customHeight="1" outlineLevel="2" x14ac:dyDescent="0.2">
      <c r="A16275" s="14" t="s">
        <v>32021</v>
      </c>
      <c r="B16275" s="15" t="s">
        <v>32022</v>
      </c>
      <c r="C16275" s="16">
        <f>327.9/(1+B2)</f>
        <v>327.9</v>
      </c>
      <c r="D16275" s="17" t="s">
        <v>11</v>
      </c>
      <c r="E16275" s="17"/>
      <c r="F16275" s="18"/>
      <c r="G16275" s="36" t="str">
        <f>IF(ISNUMBER(F16275),C16275*F16275,"")</f>
        <v/>
      </c>
    </row>
    <row r="16276" spans="1:7" ht="12" customHeight="1" outlineLevel="2" x14ac:dyDescent="0.2">
      <c r="A16276" s="14" t="s">
        <v>32023</v>
      </c>
      <c r="B16276" s="15" t="s">
        <v>32024</v>
      </c>
      <c r="C16276" s="16">
        <f>358.33/(1+B2)</f>
        <v>358.33</v>
      </c>
      <c r="D16276" s="17" t="s">
        <v>11</v>
      </c>
      <c r="E16276" s="17"/>
      <c r="F16276" s="18"/>
      <c r="G16276" s="36" t="str">
        <f>IF(ISNUMBER(F16276),C16276*F16276,"")</f>
        <v/>
      </c>
    </row>
    <row r="16277" spans="1:7" ht="12" customHeight="1" outlineLevel="2" x14ac:dyDescent="0.2">
      <c r="A16277" s="14" t="s">
        <v>32025</v>
      </c>
      <c r="B16277" s="15" t="s">
        <v>32026</v>
      </c>
      <c r="C16277" s="16">
        <f>298.56/(1+B2)</f>
        <v>298.56</v>
      </c>
      <c r="D16277" s="17" t="s">
        <v>11</v>
      </c>
      <c r="E16277" s="17" t="s">
        <v>11</v>
      </c>
      <c r="F16277" s="18"/>
      <c r="G16277" s="36" t="str">
        <f>IF(ISNUMBER(F16277),C16277*F16277,"")</f>
        <v/>
      </c>
    </row>
    <row r="16278" spans="1:7" ht="12" customHeight="1" outlineLevel="2" x14ac:dyDescent="0.2">
      <c r="A16278" s="14" t="s">
        <v>32027</v>
      </c>
      <c r="B16278" s="15" t="s">
        <v>32028</v>
      </c>
      <c r="C16278" s="16">
        <f>298.56/(1+B2)</f>
        <v>298.56</v>
      </c>
      <c r="D16278" s="17" t="s">
        <v>11</v>
      </c>
      <c r="E16278" s="17"/>
      <c r="F16278" s="18"/>
      <c r="G16278" s="36" t="str">
        <f>IF(ISNUMBER(F16278),C16278*F16278,"")</f>
        <v/>
      </c>
    </row>
    <row r="16279" spans="1:7" ht="12" customHeight="1" outlineLevel="2" x14ac:dyDescent="0.2">
      <c r="A16279" s="14" t="s">
        <v>32029</v>
      </c>
      <c r="B16279" s="15" t="s">
        <v>32030</v>
      </c>
      <c r="C16279" s="16">
        <f>425.34/(1+B2)</f>
        <v>425.34</v>
      </c>
      <c r="D16279" s="17" t="s">
        <v>11</v>
      </c>
      <c r="E16279" s="17"/>
      <c r="F16279" s="18"/>
      <c r="G16279" s="36" t="str">
        <f>IF(ISNUMBER(F16279),C16279*F16279,"")</f>
        <v/>
      </c>
    </row>
    <row r="16280" spans="1:7" ht="12" customHeight="1" outlineLevel="2" x14ac:dyDescent="0.2">
      <c r="A16280" s="14" t="s">
        <v>32031</v>
      </c>
      <c r="B16280" s="15" t="s">
        <v>32032</v>
      </c>
      <c r="C16280" s="16">
        <f>425.34/(1+B2)</f>
        <v>425.34</v>
      </c>
      <c r="D16280" s="17" t="s">
        <v>11</v>
      </c>
      <c r="E16280" s="17" t="s">
        <v>11</v>
      </c>
      <c r="F16280" s="18"/>
      <c r="G16280" s="36" t="str">
        <f>IF(ISNUMBER(F16280),C16280*F16280,"")</f>
        <v/>
      </c>
    </row>
    <row r="16281" spans="1:7" ht="12" customHeight="1" outlineLevel="2" x14ac:dyDescent="0.2">
      <c r="A16281" s="14" t="s">
        <v>32033</v>
      </c>
      <c r="B16281" s="15" t="s">
        <v>32034</v>
      </c>
      <c r="C16281" s="16">
        <f>425.34/(1+B2)</f>
        <v>425.34</v>
      </c>
      <c r="D16281" s="17" t="s">
        <v>11</v>
      </c>
      <c r="E16281" s="17"/>
      <c r="F16281" s="18"/>
      <c r="G16281" s="36" t="str">
        <f>IF(ISNUMBER(F16281),C16281*F16281,"")</f>
        <v/>
      </c>
    </row>
    <row r="16282" spans="1:7" ht="12" customHeight="1" outlineLevel="2" x14ac:dyDescent="0.2">
      <c r="A16282" s="14" t="s">
        <v>32035</v>
      </c>
      <c r="B16282" s="15" t="s">
        <v>32036</v>
      </c>
      <c r="C16282" s="16">
        <f>375/(1+B2)</f>
        <v>375</v>
      </c>
      <c r="D16282" s="17" t="s">
        <v>11</v>
      </c>
      <c r="E16282" s="17"/>
      <c r="F16282" s="18"/>
      <c r="G16282" s="36" t="str">
        <f>IF(ISNUMBER(F16282),C16282*F16282,"")</f>
        <v/>
      </c>
    </row>
    <row r="16283" spans="1:7" ht="12" customHeight="1" outlineLevel="2" x14ac:dyDescent="0.2">
      <c r="A16283" s="14" t="s">
        <v>32037</v>
      </c>
      <c r="B16283" s="15" t="s">
        <v>32038</v>
      </c>
      <c r="C16283" s="16">
        <f>375/(1+B2)</f>
        <v>375</v>
      </c>
      <c r="D16283" s="17" t="s">
        <v>11</v>
      </c>
      <c r="E16283" s="17"/>
      <c r="F16283" s="18"/>
      <c r="G16283" s="36" t="str">
        <f>IF(ISNUMBER(F16283),C16283*F16283,"")</f>
        <v/>
      </c>
    </row>
    <row r="16284" spans="1:7" ht="12" customHeight="1" outlineLevel="2" x14ac:dyDescent="0.2">
      <c r="A16284" s="14" t="s">
        <v>32039</v>
      </c>
      <c r="B16284" s="15" t="s">
        <v>32040</v>
      </c>
      <c r="C16284" s="16">
        <f>444.42/(1+B2)</f>
        <v>444.42</v>
      </c>
      <c r="D16284" s="17" t="s">
        <v>11</v>
      </c>
      <c r="E16284" s="17"/>
      <c r="F16284" s="18"/>
      <c r="G16284" s="36" t="str">
        <f>IF(ISNUMBER(F16284),C16284*F16284,"")</f>
        <v/>
      </c>
    </row>
    <row r="16285" spans="1:7" ht="12" customHeight="1" outlineLevel="2" x14ac:dyDescent="0.2">
      <c r="A16285" s="14" t="s">
        <v>32041</v>
      </c>
      <c r="B16285" s="15" t="s">
        <v>32042</v>
      </c>
      <c r="C16285" s="16">
        <f>444.42/(1+B2)</f>
        <v>444.42</v>
      </c>
      <c r="D16285" s="17" t="s">
        <v>11</v>
      </c>
      <c r="E16285" s="17"/>
      <c r="F16285" s="18"/>
      <c r="G16285" s="36" t="str">
        <f>IF(ISNUMBER(F16285),C16285*F16285,"")</f>
        <v/>
      </c>
    </row>
    <row r="16286" spans="1:7" ht="12" customHeight="1" outlineLevel="2" x14ac:dyDescent="0.2">
      <c r="A16286" s="14" t="s">
        <v>32043</v>
      </c>
      <c r="B16286" s="15" t="s">
        <v>32044</v>
      </c>
      <c r="C16286" s="16">
        <f>444.42/(1+B2)</f>
        <v>444.42</v>
      </c>
      <c r="D16286" s="17" t="s">
        <v>11</v>
      </c>
      <c r="E16286" s="17" t="s">
        <v>11</v>
      </c>
      <c r="F16286" s="18"/>
      <c r="G16286" s="36" t="str">
        <f>IF(ISNUMBER(F16286),C16286*F16286,"")</f>
        <v/>
      </c>
    </row>
    <row r="16287" spans="1:7" ht="12" customHeight="1" outlineLevel="2" x14ac:dyDescent="0.2">
      <c r="A16287" s="14" t="s">
        <v>32045</v>
      </c>
      <c r="B16287" s="15" t="s">
        <v>32046</v>
      </c>
      <c r="C16287" s="16">
        <f>392.79/(1+B2)</f>
        <v>392.79</v>
      </c>
      <c r="D16287" s="17" t="s">
        <v>11</v>
      </c>
      <c r="E16287" s="17"/>
      <c r="F16287" s="18"/>
      <c r="G16287" s="36" t="str">
        <f>IF(ISNUMBER(F16287),C16287*F16287,"")</f>
        <v/>
      </c>
    </row>
    <row r="16288" spans="1:7" s="1" customFormat="1" ht="15.95" customHeight="1" outlineLevel="1" x14ac:dyDescent="0.25">
      <c r="A16288" s="11"/>
      <c r="B16288" s="12" t="s">
        <v>32047</v>
      </c>
      <c r="C16288" s="13"/>
      <c r="D16288" s="13"/>
      <c r="E16288" s="13"/>
      <c r="F16288" s="13"/>
      <c r="G16288" s="35"/>
    </row>
    <row r="16289" spans="1:7" ht="12" customHeight="1" outlineLevel="2" x14ac:dyDescent="0.2">
      <c r="A16289" s="14" t="s">
        <v>32048</v>
      </c>
      <c r="B16289" s="15" t="s">
        <v>32049</v>
      </c>
      <c r="C16289" s="19">
        <f>2230.4/(1+B2)</f>
        <v>2230.4</v>
      </c>
      <c r="D16289" s="17" t="s">
        <v>11</v>
      </c>
      <c r="E16289" s="17" t="s">
        <v>11</v>
      </c>
      <c r="F16289" s="18"/>
      <c r="G16289" s="36" t="str">
        <f>IF(ISNUMBER(F16289),C16289*F16289,"")</f>
        <v/>
      </c>
    </row>
    <row r="16290" spans="1:7" ht="12" customHeight="1" outlineLevel="2" x14ac:dyDescent="0.2">
      <c r="A16290" s="14" t="s">
        <v>32050</v>
      </c>
      <c r="B16290" s="15" t="s">
        <v>32051</v>
      </c>
      <c r="C16290" s="19">
        <f>2230.4/(1+B2)</f>
        <v>2230.4</v>
      </c>
      <c r="D16290" s="17" t="s">
        <v>11</v>
      </c>
      <c r="E16290" s="17" t="s">
        <v>11</v>
      </c>
      <c r="F16290" s="18"/>
      <c r="G16290" s="36" t="str">
        <f>IF(ISNUMBER(F16290),C16290*F16290,"")</f>
        <v/>
      </c>
    </row>
    <row r="16291" spans="1:7" ht="12" customHeight="1" outlineLevel="2" x14ac:dyDescent="0.2">
      <c r="A16291" s="14" t="s">
        <v>32052</v>
      </c>
      <c r="B16291" s="15" t="s">
        <v>32053</v>
      </c>
      <c r="C16291" s="19">
        <f>2230.4/(1+B2)</f>
        <v>2230.4</v>
      </c>
      <c r="D16291" s="17" t="s">
        <v>11</v>
      </c>
      <c r="E16291" s="17" t="s">
        <v>11</v>
      </c>
      <c r="F16291" s="18"/>
      <c r="G16291" s="36" t="str">
        <f>IF(ISNUMBER(F16291),C16291*F16291,"")</f>
        <v/>
      </c>
    </row>
    <row r="16292" spans="1:7" ht="12" customHeight="1" outlineLevel="2" x14ac:dyDescent="0.2">
      <c r="A16292" s="14" t="s">
        <v>32054</v>
      </c>
      <c r="B16292" s="15" t="s">
        <v>32055</v>
      </c>
      <c r="C16292" s="19">
        <f>2592.74/(1+B2)</f>
        <v>2592.7399999999998</v>
      </c>
      <c r="D16292" s="17" t="s">
        <v>11</v>
      </c>
      <c r="E16292" s="17" t="s">
        <v>11</v>
      </c>
      <c r="F16292" s="18"/>
      <c r="G16292" s="36" t="str">
        <f>IF(ISNUMBER(F16292),C16292*F16292,"")</f>
        <v/>
      </c>
    </row>
    <row r="16293" spans="1:7" ht="12" customHeight="1" outlineLevel="2" x14ac:dyDescent="0.2">
      <c r="A16293" s="14" t="s">
        <v>32056</v>
      </c>
      <c r="B16293" s="15" t="s">
        <v>32057</v>
      </c>
      <c r="C16293" s="19">
        <f>2592.74/(1+B2)</f>
        <v>2592.7399999999998</v>
      </c>
      <c r="D16293" s="17"/>
      <c r="E16293" s="17" t="s">
        <v>11</v>
      </c>
      <c r="F16293" s="18"/>
      <c r="G16293" s="36" t="str">
        <f>IF(ISNUMBER(F16293),C16293*F16293,"")</f>
        <v/>
      </c>
    </row>
    <row r="16294" spans="1:7" ht="12" customHeight="1" outlineLevel="2" x14ac:dyDescent="0.2">
      <c r="A16294" s="14" t="s">
        <v>32058</v>
      </c>
      <c r="B16294" s="15" t="s">
        <v>32059</v>
      </c>
      <c r="C16294" s="19">
        <f>2332.8/(1+B2)</f>
        <v>2332.8000000000002</v>
      </c>
      <c r="D16294" s="17" t="s">
        <v>11</v>
      </c>
      <c r="E16294" s="17" t="s">
        <v>11</v>
      </c>
      <c r="F16294" s="18"/>
      <c r="G16294" s="36" t="str">
        <f>IF(ISNUMBER(F16294),C16294*F16294,"")</f>
        <v/>
      </c>
    </row>
    <row r="16295" spans="1:7" ht="12" customHeight="1" outlineLevel="2" x14ac:dyDescent="0.2">
      <c r="A16295" s="14" t="s">
        <v>32060</v>
      </c>
      <c r="B16295" s="15" t="s">
        <v>32061</v>
      </c>
      <c r="C16295" s="19">
        <f>2332.8/(1+B2)</f>
        <v>2332.8000000000002</v>
      </c>
      <c r="D16295" s="17" t="s">
        <v>11</v>
      </c>
      <c r="E16295" s="17"/>
      <c r="F16295" s="18"/>
      <c r="G16295" s="36" t="str">
        <f>IF(ISNUMBER(F16295),C16295*F16295,"")</f>
        <v/>
      </c>
    </row>
    <row r="16296" spans="1:7" ht="12" customHeight="1" outlineLevel="2" x14ac:dyDescent="0.2">
      <c r="A16296" s="14" t="s">
        <v>32062</v>
      </c>
      <c r="B16296" s="15" t="s">
        <v>32063</v>
      </c>
      <c r="C16296" s="19">
        <f>2332.8/(1+B2)</f>
        <v>2332.8000000000002</v>
      </c>
      <c r="D16296" s="17" t="s">
        <v>11</v>
      </c>
      <c r="E16296" s="17" t="s">
        <v>11</v>
      </c>
      <c r="F16296" s="18"/>
      <c r="G16296" s="36" t="str">
        <f>IF(ISNUMBER(F16296),C16296*F16296,"")</f>
        <v/>
      </c>
    </row>
    <row r="16297" spans="1:7" ht="12" customHeight="1" outlineLevel="2" x14ac:dyDescent="0.2">
      <c r="A16297" s="14" t="s">
        <v>32064</v>
      </c>
      <c r="B16297" s="15" t="s">
        <v>32065</v>
      </c>
      <c r="C16297" s="19">
        <f>2577.6/(1+B2)</f>
        <v>2577.6</v>
      </c>
      <c r="D16297" s="17" t="s">
        <v>11</v>
      </c>
      <c r="E16297" s="17" t="s">
        <v>11</v>
      </c>
      <c r="F16297" s="18"/>
      <c r="G16297" s="36" t="str">
        <f>IF(ISNUMBER(F16297),C16297*F16297,"")</f>
        <v/>
      </c>
    </row>
    <row r="16298" spans="1:7" ht="12" customHeight="1" outlineLevel="2" x14ac:dyDescent="0.2">
      <c r="A16298" s="14" t="s">
        <v>32066</v>
      </c>
      <c r="B16298" s="15" t="s">
        <v>32067</v>
      </c>
      <c r="C16298" s="19">
        <f>2577.6/(1+B2)</f>
        <v>2577.6</v>
      </c>
      <c r="D16298" s="17" t="s">
        <v>11</v>
      </c>
      <c r="E16298" s="17" t="s">
        <v>11</v>
      </c>
      <c r="F16298" s="18"/>
      <c r="G16298" s="36" t="str">
        <f>IF(ISNUMBER(F16298),C16298*F16298,"")</f>
        <v/>
      </c>
    </row>
    <row r="16299" spans="1:7" ht="12" customHeight="1" outlineLevel="2" x14ac:dyDescent="0.2">
      <c r="A16299" s="14" t="s">
        <v>32068</v>
      </c>
      <c r="B16299" s="15" t="s">
        <v>32069</v>
      </c>
      <c r="C16299" s="19">
        <f>2577.6/(1+B2)</f>
        <v>2577.6</v>
      </c>
      <c r="D16299" s="17" t="s">
        <v>11</v>
      </c>
      <c r="E16299" s="17" t="s">
        <v>11</v>
      </c>
      <c r="F16299" s="18"/>
      <c r="G16299" s="36" t="str">
        <f>IF(ISNUMBER(F16299),C16299*F16299,"")</f>
        <v/>
      </c>
    </row>
    <row r="16300" spans="1:7" ht="12" customHeight="1" outlineLevel="2" x14ac:dyDescent="0.2">
      <c r="A16300" s="14" t="s">
        <v>32070</v>
      </c>
      <c r="B16300" s="15" t="s">
        <v>32071</v>
      </c>
      <c r="C16300" s="19">
        <f>2379.1/(1+B2)</f>
        <v>2379.1</v>
      </c>
      <c r="D16300" s="17" t="s">
        <v>11</v>
      </c>
      <c r="E16300" s="17"/>
      <c r="F16300" s="18"/>
      <c r="G16300" s="36" t="str">
        <f>IF(ISNUMBER(F16300),C16300*F16300,"")</f>
        <v/>
      </c>
    </row>
    <row r="16301" spans="1:7" ht="12" customHeight="1" outlineLevel="2" x14ac:dyDescent="0.2">
      <c r="A16301" s="14" t="s">
        <v>32072</v>
      </c>
      <c r="B16301" s="15" t="s">
        <v>32073</v>
      </c>
      <c r="C16301" s="19">
        <f>2379.1/(1+B2)</f>
        <v>2379.1</v>
      </c>
      <c r="D16301" s="17" t="s">
        <v>11</v>
      </c>
      <c r="E16301" s="17"/>
      <c r="F16301" s="18"/>
      <c r="G16301" s="36" t="str">
        <f>IF(ISNUMBER(F16301),C16301*F16301,"")</f>
        <v/>
      </c>
    </row>
    <row r="16302" spans="1:7" ht="12" customHeight="1" outlineLevel="2" x14ac:dyDescent="0.2">
      <c r="A16302" s="14" t="s">
        <v>32074</v>
      </c>
      <c r="B16302" s="15" t="s">
        <v>32075</v>
      </c>
      <c r="C16302" s="19">
        <f>2789.11/(1+B2)</f>
        <v>2789.11</v>
      </c>
      <c r="D16302" s="17" t="s">
        <v>11</v>
      </c>
      <c r="E16302" s="17"/>
      <c r="F16302" s="18"/>
      <c r="G16302" s="36" t="str">
        <f>IF(ISNUMBER(F16302),C16302*F16302,"")</f>
        <v/>
      </c>
    </row>
    <row r="16303" spans="1:7" ht="12" customHeight="1" outlineLevel="2" x14ac:dyDescent="0.2">
      <c r="A16303" s="14" t="s">
        <v>32076</v>
      </c>
      <c r="B16303" s="15" t="s">
        <v>32077</v>
      </c>
      <c r="C16303" s="19">
        <f>2659.11/(1+B2)</f>
        <v>2659.11</v>
      </c>
      <c r="D16303" s="17" t="s">
        <v>11</v>
      </c>
      <c r="E16303" s="17"/>
      <c r="F16303" s="18"/>
      <c r="G16303" s="36" t="str">
        <f>IF(ISNUMBER(F16303),C16303*F16303,"")</f>
        <v/>
      </c>
    </row>
    <row r="16304" spans="1:7" ht="12" customHeight="1" outlineLevel="2" x14ac:dyDescent="0.2">
      <c r="A16304" s="14" t="s">
        <v>32078</v>
      </c>
      <c r="B16304" s="15" t="s">
        <v>32079</v>
      </c>
      <c r="C16304" s="19">
        <f>2769.11/(1+B2)</f>
        <v>2769.11</v>
      </c>
      <c r="D16304" s="17" t="s">
        <v>11</v>
      </c>
      <c r="E16304" s="17"/>
      <c r="F16304" s="18"/>
      <c r="G16304" s="36" t="str">
        <f>IF(ISNUMBER(F16304),C16304*F16304,"")</f>
        <v/>
      </c>
    </row>
    <row r="16305" spans="1:7" ht="12" customHeight="1" outlineLevel="2" x14ac:dyDescent="0.2">
      <c r="A16305" s="14" t="s">
        <v>32080</v>
      </c>
      <c r="B16305" s="15" t="s">
        <v>32081</v>
      </c>
      <c r="C16305" s="19">
        <f>2629.11/(1+B2)</f>
        <v>2629.11</v>
      </c>
      <c r="D16305" s="17" t="s">
        <v>11</v>
      </c>
      <c r="E16305" s="17"/>
      <c r="F16305" s="18"/>
      <c r="G16305" s="36" t="str">
        <f>IF(ISNUMBER(F16305),C16305*F16305,"")</f>
        <v/>
      </c>
    </row>
    <row r="16306" spans="1:7" ht="12" customHeight="1" outlineLevel="2" x14ac:dyDescent="0.2">
      <c r="A16306" s="14" t="s">
        <v>32082</v>
      </c>
      <c r="B16306" s="15" t="s">
        <v>32083</v>
      </c>
      <c r="C16306" s="19">
        <f>3359.13/(1+B2)</f>
        <v>3359.13</v>
      </c>
      <c r="D16306" s="17" t="s">
        <v>11</v>
      </c>
      <c r="E16306" s="17"/>
      <c r="F16306" s="18"/>
      <c r="G16306" s="36" t="str">
        <f>IF(ISNUMBER(F16306),C16306*F16306,"")</f>
        <v/>
      </c>
    </row>
    <row r="16307" spans="1:7" ht="12" customHeight="1" outlineLevel="2" x14ac:dyDescent="0.2">
      <c r="A16307" s="14" t="s">
        <v>32084</v>
      </c>
      <c r="B16307" s="15" t="s">
        <v>32085</v>
      </c>
      <c r="C16307" s="19">
        <f>3359.13/(1+B2)</f>
        <v>3359.13</v>
      </c>
      <c r="D16307" s="17" t="s">
        <v>11</v>
      </c>
      <c r="E16307" s="17"/>
      <c r="F16307" s="18"/>
      <c r="G16307" s="36" t="str">
        <f>IF(ISNUMBER(F16307),C16307*F16307,"")</f>
        <v/>
      </c>
    </row>
    <row r="16308" spans="1:7" ht="12" customHeight="1" outlineLevel="2" x14ac:dyDescent="0.2">
      <c r="A16308" s="14" t="s">
        <v>32086</v>
      </c>
      <c r="B16308" s="15" t="s">
        <v>32087</v>
      </c>
      <c r="C16308" s="19">
        <f>1719.07/(1+B2)</f>
        <v>1719.07</v>
      </c>
      <c r="D16308" s="17" t="s">
        <v>11</v>
      </c>
      <c r="E16308" s="17"/>
      <c r="F16308" s="18"/>
      <c r="G16308" s="36" t="str">
        <f>IF(ISNUMBER(F16308),C16308*F16308,"")</f>
        <v/>
      </c>
    </row>
    <row r="16309" spans="1:7" ht="12" customHeight="1" outlineLevel="2" x14ac:dyDescent="0.2">
      <c r="A16309" s="14" t="s">
        <v>32088</v>
      </c>
      <c r="B16309" s="15" t="s">
        <v>32089</v>
      </c>
      <c r="C16309" s="19">
        <f>1719.07/(1+B2)</f>
        <v>1719.07</v>
      </c>
      <c r="D16309" s="17" t="s">
        <v>11</v>
      </c>
      <c r="E16309" s="17" t="s">
        <v>11</v>
      </c>
      <c r="F16309" s="18"/>
      <c r="G16309" s="36" t="str">
        <f>IF(ISNUMBER(F16309),C16309*F16309,"")</f>
        <v/>
      </c>
    </row>
    <row r="16310" spans="1:7" ht="12" customHeight="1" outlineLevel="2" x14ac:dyDescent="0.2">
      <c r="A16310" s="14" t="s">
        <v>32090</v>
      </c>
      <c r="B16310" s="15" t="s">
        <v>32091</v>
      </c>
      <c r="C16310" s="19">
        <f>1719.07/(1+B2)</f>
        <v>1719.07</v>
      </c>
      <c r="D16310" s="17" t="s">
        <v>11</v>
      </c>
      <c r="E16310" s="17" t="s">
        <v>11</v>
      </c>
      <c r="F16310" s="18"/>
      <c r="G16310" s="36" t="str">
        <f>IF(ISNUMBER(F16310),C16310*F16310,"")</f>
        <v/>
      </c>
    </row>
    <row r="16311" spans="1:7" ht="12" customHeight="1" outlineLevel="2" x14ac:dyDescent="0.2">
      <c r="A16311" s="14" t="s">
        <v>32092</v>
      </c>
      <c r="B16311" s="15" t="s">
        <v>32093</v>
      </c>
      <c r="C16311" s="19">
        <f>1317.6/(1+B2)</f>
        <v>1317.6</v>
      </c>
      <c r="D16311" s="17" t="s">
        <v>11</v>
      </c>
      <c r="E16311" s="17" t="s">
        <v>11</v>
      </c>
      <c r="F16311" s="18"/>
      <c r="G16311" s="36" t="str">
        <f>IF(ISNUMBER(F16311),C16311*F16311,"")</f>
        <v/>
      </c>
    </row>
    <row r="16312" spans="1:7" ht="12" customHeight="1" outlineLevel="2" x14ac:dyDescent="0.2">
      <c r="A16312" s="14" t="s">
        <v>32094</v>
      </c>
      <c r="B16312" s="15" t="s">
        <v>32095</v>
      </c>
      <c r="C16312" s="19">
        <f>1319.05/(1+B2)</f>
        <v>1319.05</v>
      </c>
      <c r="D16312" s="17" t="s">
        <v>11</v>
      </c>
      <c r="E16312" s="17" t="s">
        <v>11</v>
      </c>
      <c r="F16312" s="18"/>
      <c r="G16312" s="36" t="str">
        <f>IF(ISNUMBER(F16312),C16312*F16312,"")</f>
        <v/>
      </c>
    </row>
    <row r="16313" spans="1:7" ht="12" customHeight="1" outlineLevel="2" x14ac:dyDescent="0.2">
      <c r="A16313" s="14" t="s">
        <v>32096</v>
      </c>
      <c r="B16313" s="15" t="s">
        <v>32097</v>
      </c>
      <c r="C16313" s="19">
        <f>1319.05/(1+B2)</f>
        <v>1319.05</v>
      </c>
      <c r="D16313" s="17" t="s">
        <v>11</v>
      </c>
      <c r="E16313" s="17" t="s">
        <v>11</v>
      </c>
      <c r="F16313" s="18"/>
      <c r="G16313" s="36" t="str">
        <f>IF(ISNUMBER(F16313),C16313*F16313,"")</f>
        <v/>
      </c>
    </row>
    <row r="16314" spans="1:7" ht="12" customHeight="1" outlineLevel="2" x14ac:dyDescent="0.2">
      <c r="A16314" s="14" t="s">
        <v>32098</v>
      </c>
      <c r="B16314" s="15" t="s">
        <v>32099</v>
      </c>
      <c r="C16314" s="19">
        <f>1319.05/(1+B2)</f>
        <v>1319.05</v>
      </c>
      <c r="D16314" s="17" t="s">
        <v>11</v>
      </c>
      <c r="E16314" s="17" t="s">
        <v>11</v>
      </c>
      <c r="F16314" s="18"/>
      <c r="G16314" s="36" t="str">
        <f>IF(ISNUMBER(F16314),C16314*F16314,"")</f>
        <v/>
      </c>
    </row>
    <row r="16315" spans="1:7" ht="12" customHeight="1" outlineLevel="2" x14ac:dyDescent="0.2">
      <c r="A16315" s="14" t="s">
        <v>32100</v>
      </c>
      <c r="B16315" s="15" t="s">
        <v>32101</v>
      </c>
      <c r="C16315" s="19">
        <f>1319.05/(1+B2)</f>
        <v>1319.05</v>
      </c>
      <c r="D16315" s="17" t="s">
        <v>11</v>
      </c>
      <c r="E16315" s="17" t="s">
        <v>11</v>
      </c>
      <c r="F16315" s="18"/>
      <c r="G16315" s="36" t="str">
        <f>IF(ISNUMBER(F16315),C16315*F16315,"")</f>
        <v/>
      </c>
    </row>
    <row r="16316" spans="1:7" ht="12" customHeight="1" outlineLevel="2" x14ac:dyDescent="0.2">
      <c r="A16316" s="14" t="s">
        <v>32102</v>
      </c>
      <c r="B16316" s="15" t="s">
        <v>32103</v>
      </c>
      <c r="C16316" s="19">
        <f>1920.24/(1+B2)</f>
        <v>1920.24</v>
      </c>
      <c r="D16316" s="17" t="s">
        <v>11</v>
      </c>
      <c r="E16316" s="17"/>
      <c r="F16316" s="18"/>
      <c r="G16316" s="36" t="str">
        <f>IF(ISNUMBER(F16316),C16316*F16316,"")</f>
        <v/>
      </c>
    </row>
    <row r="16317" spans="1:7" ht="12" customHeight="1" outlineLevel="2" x14ac:dyDescent="0.2">
      <c r="A16317" s="14" t="s">
        <v>32104</v>
      </c>
      <c r="B16317" s="15" t="s">
        <v>32105</v>
      </c>
      <c r="C16317" s="19">
        <f>1920.24/(1+B2)</f>
        <v>1920.24</v>
      </c>
      <c r="D16317" s="17" t="s">
        <v>11</v>
      </c>
      <c r="E16317" s="17" t="s">
        <v>11</v>
      </c>
      <c r="F16317" s="18"/>
      <c r="G16317" s="36" t="str">
        <f>IF(ISNUMBER(F16317),C16317*F16317,"")</f>
        <v/>
      </c>
    </row>
    <row r="16318" spans="1:7" ht="12" customHeight="1" outlineLevel="2" x14ac:dyDescent="0.2">
      <c r="A16318" s="14" t="s">
        <v>32106</v>
      </c>
      <c r="B16318" s="15" t="s">
        <v>32107</v>
      </c>
      <c r="C16318" s="19">
        <f>1920.24/(1+B2)</f>
        <v>1920.24</v>
      </c>
      <c r="D16318" s="17" t="s">
        <v>11</v>
      </c>
      <c r="E16318" s="17" t="s">
        <v>11</v>
      </c>
      <c r="F16318" s="18"/>
      <c r="G16318" s="36" t="str">
        <f>IF(ISNUMBER(F16318),C16318*F16318,"")</f>
        <v/>
      </c>
    </row>
    <row r="16319" spans="1:7" ht="12" customHeight="1" outlineLevel="2" x14ac:dyDescent="0.2">
      <c r="A16319" s="14" t="s">
        <v>32108</v>
      </c>
      <c r="B16319" s="15" t="s">
        <v>32109</v>
      </c>
      <c r="C16319" s="19">
        <f>1920.24/(1+B2)</f>
        <v>1920.24</v>
      </c>
      <c r="D16319" s="17" t="s">
        <v>11</v>
      </c>
      <c r="E16319" s="17" t="s">
        <v>11</v>
      </c>
      <c r="F16319" s="18"/>
      <c r="G16319" s="36" t="str">
        <f>IF(ISNUMBER(F16319),C16319*F16319,"")</f>
        <v/>
      </c>
    </row>
    <row r="16320" spans="1:7" ht="12" customHeight="1" outlineLevel="2" x14ac:dyDescent="0.2">
      <c r="A16320" s="14" t="s">
        <v>32110</v>
      </c>
      <c r="B16320" s="15" t="s">
        <v>32111</v>
      </c>
      <c r="C16320" s="19">
        <f>1739.07/(1+B2)</f>
        <v>1739.07</v>
      </c>
      <c r="D16320" s="17" t="s">
        <v>11</v>
      </c>
      <c r="E16320" s="17"/>
      <c r="F16320" s="18"/>
      <c r="G16320" s="36" t="str">
        <f>IF(ISNUMBER(F16320),C16320*F16320,"")</f>
        <v/>
      </c>
    </row>
    <row r="16321" spans="1:7" ht="12" customHeight="1" outlineLevel="2" x14ac:dyDescent="0.2">
      <c r="A16321" s="14" t="s">
        <v>32112</v>
      </c>
      <c r="B16321" s="15" t="s">
        <v>32113</v>
      </c>
      <c r="C16321" s="19">
        <f>1739.07/(1+B2)</f>
        <v>1739.07</v>
      </c>
      <c r="D16321" s="17" t="s">
        <v>11</v>
      </c>
      <c r="E16321" s="17"/>
      <c r="F16321" s="18"/>
      <c r="G16321" s="36" t="str">
        <f>IF(ISNUMBER(F16321),C16321*F16321,"")</f>
        <v/>
      </c>
    </row>
    <row r="16322" spans="1:7" ht="12" customHeight="1" outlineLevel="2" x14ac:dyDescent="0.2">
      <c r="A16322" s="14" t="s">
        <v>32114</v>
      </c>
      <c r="B16322" s="15" t="s">
        <v>32115</v>
      </c>
      <c r="C16322" s="19">
        <f>1862.14/(1+B2)</f>
        <v>1862.14</v>
      </c>
      <c r="D16322" s="17" t="s">
        <v>11</v>
      </c>
      <c r="E16322" s="17"/>
      <c r="F16322" s="18"/>
      <c r="G16322" s="36" t="str">
        <f>IF(ISNUMBER(F16322),C16322*F16322,"")</f>
        <v/>
      </c>
    </row>
    <row r="16323" spans="1:7" ht="12" customHeight="1" outlineLevel="2" x14ac:dyDescent="0.2">
      <c r="A16323" s="14" t="s">
        <v>32116</v>
      </c>
      <c r="B16323" s="15" t="s">
        <v>32117</v>
      </c>
      <c r="C16323" s="19">
        <f>1862.14/(1+B2)</f>
        <v>1862.14</v>
      </c>
      <c r="D16323" s="17" t="s">
        <v>11</v>
      </c>
      <c r="E16323" s="17" t="s">
        <v>11</v>
      </c>
      <c r="F16323" s="18"/>
      <c r="G16323" s="36" t="str">
        <f>IF(ISNUMBER(F16323),C16323*F16323,"")</f>
        <v/>
      </c>
    </row>
    <row r="16324" spans="1:7" ht="12" customHeight="1" outlineLevel="2" x14ac:dyDescent="0.2">
      <c r="A16324" s="14" t="s">
        <v>32118</v>
      </c>
      <c r="B16324" s="15" t="s">
        <v>32119</v>
      </c>
      <c r="C16324" s="19">
        <f>1862.14/(1+B2)</f>
        <v>1862.14</v>
      </c>
      <c r="D16324" s="17" t="s">
        <v>11</v>
      </c>
      <c r="E16324" s="17" t="s">
        <v>11</v>
      </c>
      <c r="F16324" s="18"/>
      <c r="G16324" s="36" t="str">
        <f>IF(ISNUMBER(F16324),C16324*F16324,"")</f>
        <v/>
      </c>
    </row>
    <row r="16325" spans="1:7" ht="12" customHeight="1" outlineLevel="2" x14ac:dyDescent="0.2">
      <c r="A16325" s="14" t="s">
        <v>32120</v>
      </c>
      <c r="B16325" s="15" t="s">
        <v>32121</v>
      </c>
      <c r="C16325" s="19">
        <f>1862.14/(1+B2)</f>
        <v>1862.14</v>
      </c>
      <c r="D16325" s="17" t="s">
        <v>11</v>
      </c>
      <c r="E16325" s="17" t="s">
        <v>11</v>
      </c>
      <c r="F16325" s="18"/>
      <c r="G16325" s="36" t="str">
        <f>IF(ISNUMBER(F16325),C16325*F16325,"")</f>
        <v/>
      </c>
    </row>
    <row r="16326" spans="1:7" ht="12" customHeight="1" outlineLevel="2" x14ac:dyDescent="0.2">
      <c r="A16326" s="14" t="s">
        <v>32122</v>
      </c>
      <c r="B16326" s="15" t="s">
        <v>32123</v>
      </c>
      <c r="C16326" s="19">
        <f>1739.07/(1+B2)</f>
        <v>1739.07</v>
      </c>
      <c r="D16326" s="17" t="s">
        <v>11</v>
      </c>
      <c r="E16326" s="17" t="s">
        <v>11</v>
      </c>
      <c r="F16326" s="18"/>
      <c r="G16326" s="36" t="str">
        <f>IF(ISNUMBER(F16326),C16326*F16326,"")</f>
        <v/>
      </c>
    </row>
    <row r="16327" spans="1:7" ht="12" customHeight="1" outlineLevel="2" x14ac:dyDescent="0.2">
      <c r="A16327" s="14" t="s">
        <v>32124</v>
      </c>
      <c r="B16327" s="15" t="s">
        <v>32125</v>
      </c>
      <c r="C16327" s="19">
        <f>1739.07/(1+B2)</f>
        <v>1739.07</v>
      </c>
      <c r="D16327" s="17" t="s">
        <v>11</v>
      </c>
      <c r="E16327" s="17"/>
      <c r="F16327" s="18"/>
      <c r="G16327" s="36" t="str">
        <f>IF(ISNUMBER(F16327),C16327*F16327,"")</f>
        <v/>
      </c>
    </row>
    <row r="16328" spans="1:7" ht="12" customHeight="1" outlineLevel="2" x14ac:dyDescent="0.2">
      <c r="A16328" s="14" t="s">
        <v>32126</v>
      </c>
      <c r="B16328" s="15" t="s">
        <v>32127</v>
      </c>
      <c r="C16328" s="19">
        <f>1879.08/(1+B2)</f>
        <v>1879.08</v>
      </c>
      <c r="D16328" s="17" t="s">
        <v>11</v>
      </c>
      <c r="E16328" s="17" t="s">
        <v>11</v>
      </c>
      <c r="F16328" s="18"/>
      <c r="G16328" s="36" t="str">
        <f>IF(ISNUMBER(F16328),C16328*F16328,"")</f>
        <v/>
      </c>
    </row>
    <row r="16329" spans="1:7" ht="12" customHeight="1" outlineLevel="2" x14ac:dyDescent="0.2">
      <c r="A16329" s="14" t="s">
        <v>32128</v>
      </c>
      <c r="B16329" s="15" t="s">
        <v>32129</v>
      </c>
      <c r="C16329" s="19">
        <f>1879.08/(1+B2)</f>
        <v>1879.08</v>
      </c>
      <c r="D16329" s="17" t="s">
        <v>11</v>
      </c>
      <c r="E16329" s="17" t="s">
        <v>11</v>
      </c>
      <c r="F16329" s="18"/>
      <c r="G16329" s="36" t="str">
        <f>IF(ISNUMBER(F16329),C16329*F16329,"")</f>
        <v/>
      </c>
    </row>
    <row r="16330" spans="1:7" ht="12" customHeight="1" outlineLevel="2" x14ac:dyDescent="0.2">
      <c r="A16330" s="14" t="s">
        <v>32130</v>
      </c>
      <c r="B16330" s="15" t="s">
        <v>32131</v>
      </c>
      <c r="C16330" s="19">
        <f>1879.08/(1+B2)</f>
        <v>1879.08</v>
      </c>
      <c r="D16330" s="17" t="s">
        <v>11</v>
      </c>
      <c r="E16330" s="17"/>
      <c r="F16330" s="18"/>
      <c r="G16330" s="36" t="str">
        <f>IF(ISNUMBER(F16330),C16330*F16330,"")</f>
        <v/>
      </c>
    </row>
    <row r="16331" spans="1:7" ht="12" customHeight="1" outlineLevel="2" x14ac:dyDescent="0.2">
      <c r="A16331" s="14" t="s">
        <v>32132</v>
      </c>
      <c r="B16331" s="15" t="s">
        <v>32133</v>
      </c>
      <c r="C16331" s="19">
        <f>2169.09/(1+B2)</f>
        <v>2169.09</v>
      </c>
      <c r="D16331" s="17" t="s">
        <v>11</v>
      </c>
      <c r="E16331" s="17"/>
      <c r="F16331" s="18"/>
      <c r="G16331" s="36" t="str">
        <f>IF(ISNUMBER(F16331),C16331*F16331,"")</f>
        <v/>
      </c>
    </row>
    <row r="16332" spans="1:7" ht="12" customHeight="1" outlineLevel="2" x14ac:dyDescent="0.2">
      <c r="A16332" s="14" t="s">
        <v>32134</v>
      </c>
      <c r="B16332" s="15" t="s">
        <v>32135</v>
      </c>
      <c r="C16332" s="19">
        <f>2169.09/(1+B2)</f>
        <v>2169.09</v>
      </c>
      <c r="D16332" s="17" t="s">
        <v>11</v>
      </c>
      <c r="E16332" s="17" t="s">
        <v>11</v>
      </c>
      <c r="F16332" s="18"/>
      <c r="G16332" s="36" t="str">
        <f>IF(ISNUMBER(F16332),C16332*F16332,"")</f>
        <v/>
      </c>
    </row>
    <row r="16333" spans="1:7" ht="12" customHeight="1" outlineLevel="2" x14ac:dyDescent="0.2">
      <c r="A16333" s="14" t="s">
        <v>32136</v>
      </c>
      <c r="B16333" s="15" t="s">
        <v>32137</v>
      </c>
      <c r="C16333" s="19">
        <f>2169.09/(1+B2)</f>
        <v>2169.09</v>
      </c>
      <c r="D16333" s="17" t="s">
        <v>11</v>
      </c>
      <c r="E16333" s="17"/>
      <c r="F16333" s="18"/>
      <c r="G16333" s="36" t="str">
        <f>IF(ISNUMBER(F16333),C16333*F16333,"")</f>
        <v/>
      </c>
    </row>
    <row r="16334" spans="1:7" ht="12" customHeight="1" outlineLevel="2" x14ac:dyDescent="0.2">
      <c r="A16334" s="14" t="s">
        <v>32138</v>
      </c>
      <c r="B16334" s="15" t="s">
        <v>32139</v>
      </c>
      <c r="C16334" s="19">
        <f>2169.09/(1+B2)</f>
        <v>2169.09</v>
      </c>
      <c r="D16334" s="17" t="s">
        <v>11</v>
      </c>
      <c r="E16334" s="17" t="s">
        <v>11</v>
      </c>
      <c r="F16334" s="18"/>
      <c r="G16334" s="36" t="str">
        <f>IF(ISNUMBER(F16334),C16334*F16334,"")</f>
        <v/>
      </c>
    </row>
    <row r="16335" spans="1:7" ht="12" customHeight="1" outlineLevel="2" x14ac:dyDescent="0.2">
      <c r="A16335" s="14" t="s">
        <v>32140</v>
      </c>
      <c r="B16335" s="15" t="s">
        <v>32141</v>
      </c>
      <c r="C16335" s="19">
        <f>2529.1/(1+B2)</f>
        <v>2529.1</v>
      </c>
      <c r="D16335" s="17" t="s">
        <v>11</v>
      </c>
      <c r="E16335" s="17"/>
      <c r="F16335" s="18"/>
      <c r="G16335" s="36" t="str">
        <f>IF(ISNUMBER(F16335),C16335*F16335,"")</f>
        <v/>
      </c>
    </row>
    <row r="16336" spans="1:7" ht="12" customHeight="1" outlineLevel="2" x14ac:dyDescent="0.2">
      <c r="A16336" s="14" t="s">
        <v>32142</v>
      </c>
      <c r="B16336" s="15" t="s">
        <v>32143</v>
      </c>
      <c r="C16336" s="19">
        <f>2529.1/(1+B2)</f>
        <v>2529.1</v>
      </c>
      <c r="D16336" s="17" t="s">
        <v>11</v>
      </c>
      <c r="E16336" s="17"/>
      <c r="F16336" s="18"/>
      <c r="G16336" s="36" t="str">
        <f>IF(ISNUMBER(F16336),C16336*F16336,"")</f>
        <v/>
      </c>
    </row>
    <row r="16337" spans="1:7" ht="12" customHeight="1" outlineLevel="2" x14ac:dyDescent="0.2">
      <c r="A16337" s="14" t="s">
        <v>32144</v>
      </c>
      <c r="B16337" s="15" t="s">
        <v>32145</v>
      </c>
      <c r="C16337" s="19">
        <f>2141.57/(1+B2)</f>
        <v>2141.5700000000002</v>
      </c>
      <c r="D16337" s="17" t="s">
        <v>11</v>
      </c>
      <c r="E16337" s="17"/>
      <c r="F16337" s="18"/>
      <c r="G16337" s="36" t="str">
        <f>IF(ISNUMBER(F16337),C16337*F16337,"")</f>
        <v/>
      </c>
    </row>
    <row r="16338" spans="1:7" ht="12" customHeight="1" outlineLevel="2" x14ac:dyDescent="0.2">
      <c r="A16338" s="14" t="s">
        <v>32146</v>
      </c>
      <c r="B16338" s="15" t="s">
        <v>32147</v>
      </c>
      <c r="C16338" s="19">
        <f>2141.57/(1+B2)</f>
        <v>2141.5700000000002</v>
      </c>
      <c r="D16338" s="17" t="s">
        <v>11</v>
      </c>
      <c r="E16338" s="17"/>
      <c r="F16338" s="18"/>
      <c r="G16338" s="36" t="str">
        <f>IF(ISNUMBER(F16338),C16338*F16338,"")</f>
        <v/>
      </c>
    </row>
    <row r="16339" spans="1:7" ht="12" customHeight="1" outlineLevel="2" x14ac:dyDescent="0.2">
      <c r="A16339" s="14" t="s">
        <v>32148</v>
      </c>
      <c r="B16339" s="15" t="s">
        <v>32149</v>
      </c>
      <c r="C16339" s="19">
        <f>2141.57/(1+B2)</f>
        <v>2141.5700000000002</v>
      </c>
      <c r="D16339" s="17" t="s">
        <v>11</v>
      </c>
      <c r="E16339" s="17"/>
      <c r="F16339" s="18"/>
      <c r="G16339" s="36" t="str">
        <f>IF(ISNUMBER(F16339),C16339*F16339,"")</f>
        <v/>
      </c>
    </row>
    <row r="16340" spans="1:7" ht="12" customHeight="1" outlineLevel="2" x14ac:dyDescent="0.2">
      <c r="A16340" s="14" t="s">
        <v>32150</v>
      </c>
      <c r="B16340" s="15" t="s">
        <v>32151</v>
      </c>
      <c r="C16340" s="19">
        <f>2141.57/(1+B2)</f>
        <v>2141.5700000000002</v>
      </c>
      <c r="D16340" s="17" t="s">
        <v>11</v>
      </c>
      <c r="E16340" s="17"/>
      <c r="F16340" s="18"/>
      <c r="G16340" s="36" t="str">
        <f>IF(ISNUMBER(F16340),C16340*F16340,"")</f>
        <v/>
      </c>
    </row>
    <row r="16341" spans="1:7" ht="12" customHeight="1" outlineLevel="2" x14ac:dyDescent="0.2">
      <c r="A16341" s="14" t="s">
        <v>32152</v>
      </c>
      <c r="B16341" s="15" t="s">
        <v>32153</v>
      </c>
      <c r="C16341" s="19">
        <f>2282.74/(1+B2)</f>
        <v>2282.7399999999998</v>
      </c>
      <c r="D16341" s="17" t="s">
        <v>11</v>
      </c>
      <c r="E16341" s="17" t="s">
        <v>11</v>
      </c>
      <c r="F16341" s="18"/>
      <c r="G16341" s="36" t="str">
        <f>IF(ISNUMBER(F16341),C16341*F16341,"")</f>
        <v/>
      </c>
    </row>
    <row r="16342" spans="1:7" ht="24" customHeight="1" outlineLevel="2" x14ac:dyDescent="0.2">
      <c r="A16342" s="14" t="s">
        <v>32154</v>
      </c>
      <c r="B16342" s="15" t="s">
        <v>32155</v>
      </c>
      <c r="C16342" s="19">
        <f>2282.74/(1+B2)</f>
        <v>2282.7399999999998</v>
      </c>
      <c r="D16342" s="17" t="s">
        <v>11</v>
      </c>
      <c r="E16342" s="17"/>
      <c r="F16342" s="18"/>
      <c r="G16342" s="36" t="str">
        <f>IF(ISNUMBER(F16342),C16342*F16342,"")</f>
        <v/>
      </c>
    </row>
    <row r="16343" spans="1:7" ht="24" customHeight="1" outlineLevel="2" x14ac:dyDescent="0.2">
      <c r="A16343" s="14" t="s">
        <v>32156</v>
      </c>
      <c r="B16343" s="15" t="s">
        <v>32157</v>
      </c>
      <c r="C16343" s="19">
        <f>2282.74/(1+B2)</f>
        <v>2282.7399999999998</v>
      </c>
      <c r="D16343" s="17" t="s">
        <v>11</v>
      </c>
      <c r="E16343" s="17" t="s">
        <v>11</v>
      </c>
      <c r="F16343" s="18"/>
      <c r="G16343" s="36" t="str">
        <f>IF(ISNUMBER(F16343),C16343*F16343,"")</f>
        <v/>
      </c>
    </row>
    <row r="16344" spans="1:7" ht="12" customHeight="1" outlineLevel="2" x14ac:dyDescent="0.2">
      <c r="A16344" s="14" t="s">
        <v>32158</v>
      </c>
      <c r="B16344" s="15" t="s">
        <v>32159</v>
      </c>
      <c r="C16344" s="19">
        <f>2282.74/(1+B2)</f>
        <v>2282.7399999999998</v>
      </c>
      <c r="D16344" s="17" t="s">
        <v>11</v>
      </c>
      <c r="E16344" s="17"/>
      <c r="F16344" s="18"/>
      <c r="G16344" s="36" t="str">
        <f>IF(ISNUMBER(F16344),C16344*F16344,"")</f>
        <v/>
      </c>
    </row>
    <row r="16345" spans="1:7" ht="12" customHeight="1" outlineLevel="2" x14ac:dyDescent="0.2">
      <c r="A16345" s="14" t="s">
        <v>32160</v>
      </c>
      <c r="B16345" s="15" t="s">
        <v>32161</v>
      </c>
      <c r="C16345" s="19">
        <f>2282.74/(1+B2)</f>
        <v>2282.7399999999998</v>
      </c>
      <c r="D16345" s="17" t="s">
        <v>11</v>
      </c>
      <c r="E16345" s="17"/>
      <c r="F16345" s="18"/>
      <c r="G16345" s="36" t="str">
        <f>IF(ISNUMBER(F16345),C16345*F16345,"")</f>
        <v/>
      </c>
    </row>
    <row r="16346" spans="1:7" ht="12" customHeight="1" outlineLevel="2" x14ac:dyDescent="0.2">
      <c r="A16346" s="14" t="s">
        <v>32162</v>
      </c>
      <c r="B16346" s="15" t="s">
        <v>32163</v>
      </c>
      <c r="C16346" s="19">
        <f>1814.4/(1+B2)</f>
        <v>1814.4</v>
      </c>
      <c r="D16346" s="17" t="s">
        <v>11</v>
      </c>
      <c r="E16346" s="17"/>
      <c r="F16346" s="18"/>
      <c r="G16346" s="36" t="str">
        <f>IF(ISNUMBER(F16346),C16346*F16346,"")</f>
        <v/>
      </c>
    </row>
    <row r="16347" spans="1:7" ht="12" customHeight="1" outlineLevel="2" x14ac:dyDescent="0.2">
      <c r="A16347" s="14" t="s">
        <v>32164</v>
      </c>
      <c r="B16347" s="15" t="s">
        <v>32165</v>
      </c>
      <c r="C16347" s="19">
        <f>1814.4/(1+B2)</f>
        <v>1814.4</v>
      </c>
      <c r="D16347" s="17" t="s">
        <v>11</v>
      </c>
      <c r="E16347" s="17"/>
      <c r="F16347" s="18"/>
      <c r="G16347" s="36" t="str">
        <f>IF(ISNUMBER(F16347),C16347*F16347,"")</f>
        <v/>
      </c>
    </row>
    <row r="16348" spans="1:7" ht="12" customHeight="1" outlineLevel="2" x14ac:dyDescent="0.2">
      <c r="A16348" s="14" t="s">
        <v>32166</v>
      </c>
      <c r="B16348" s="15" t="s">
        <v>32167</v>
      </c>
      <c r="C16348" s="19">
        <f>1814.4/(1+B2)</f>
        <v>1814.4</v>
      </c>
      <c r="D16348" s="17" t="s">
        <v>11</v>
      </c>
      <c r="E16348" s="17"/>
      <c r="F16348" s="18"/>
      <c r="G16348" s="36" t="str">
        <f>IF(ISNUMBER(F16348),C16348*F16348,"")</f>
        <v/>
      </c>
    </row>
    <row r="16349" spans="1:7" ht="12" customHeight="1" outlineLevel="2" x14ac:dyDescent="0.2">
      <c r="A16349" s="14" t="s">
        <v>32168</v>
      </c>
      <c r="B16349" s="15" t="s">
        <v>32169</v>
      </c>
      <c r="C16349" s="19">
        <f>1814.4/(1+B2)</f>
        <v>1814.4</v>
      </c>
      <c r="D16349" s="17" t="s">
        <v>11</v>
      </c>
      <c r="E16349" s="17"/>
      <c r="F16349" s="18"/>
      <c r="G16349" s="36" t="str">
        <f>IF(ISNUMBER(F16349),C16349*F16349,"")</f>
        <v/>
      </c>
    </row>
    <row r="16350" spans="1:7" ht="12" customHeight="1" outlineLevel="2" x14ac:dyDescent="0.2">
      <c r="A16350" s="14" t="s">
        <v>32170</v>
      </c>
      <c r="B16350" s="15" t="s">
        <v>32171</v>
      </c>
      <c r="C16350" s="19">
        <f>2152.8/(1+B2)</f>
        <v>2152.8000000000002</v>
      </c>
      <c r="D16350" s="17" t="s">
        <v>11</v>
      </c>
      <c r="E16350" s="17"/>
      <c r="F16350" s="18"/>
      <c r="G16350" s="36" t="str">
        <f>IF(ISNUMBER(F16350),C16350*F16350,"")</f>
        <v/>
      </c>
    </row>
    <row r="16351" spans="1:7" ht="12" customHeight="1" outlineLevel="2" x14ac:dyDescent="0.2">
      <c r="A16351" s="14" t="s">
        <v>32172</v>
      </c>
      <c r="B16351" s="15" t="s">
        <v>32173</v>
      </c>
      <c r="C16351" s="19">
        <f>2152.8/(1+B2)</f>
        <v>2152.8000000000002</v>
      </c>
      <c r="D16351" s="17" t="s">
        <v>11</v>
      </c>
      <c r="E16351" s="17"/>
      <c r="F16351" s="18"/>
      <c r="G16351" s="36" t="str">
        <f>IF(ISNUMBER(F16351),C16351*F16351,"")</f>
        <v/>
      </c>
    </row>
    <row r="16352" spans="1:7" ht="12" customHeight="1" outlineLevel="2" x14ac:dyDescent="0.2">
      <c r="A16352" s="14" t="s">
        <v>32174</v>
      </c>
      <c r="B16352" s="15" t="s">
        <v>32175</v>
      </c>
      <c r="C16352" s="19">
        <f>2152.8/(1+B2)</f>
        <v>2152.8000000000002</v>
      </c>
      <c r="D16352" s="17" t="s">
        <v>11</v>
      </c>
      <c r="E16352" s="17" t="s">
        <v>11</v>
      </c>
      <c r="F16352" s="18"/>
      <c r="G16352" s="36" t="str">
        <f>IF(ISNUMBER(F16352),C16352*F16352,"")</f>
        <v/>
      </c>
    </row>
    <row r="16353" spans="1:7" ht="12" customHeight="1" outlineLevel="2" x14ac:dyDescent="0.2">
      <c r="A16353" s="14" t="s">
        <v>32176</v>
      </c>
      <c r="B16353" s="15" t="s">
        <v>32177</v>
      </c>
      <c r="C16353" s="19">
        <f>2152.8/(1+B2)</f>
        <v>2152.8000000000002</v>
      </c>
      <c r="D16353" s="17" t="s">
        <v>11</v>
      </c>
      <c r="E16353" s="17"/>
      <c r="F16353" s="18"/>
      <c r="G16353" s="36" t="str">
        <f>IF(ISNUMBER(F16353),C16353*F16353,"")</f>
        <v/>
      </c>
    </row>
    <row r="16354" spans="1:7" ht="12" customHeight="1" outlineLevel="2" x14ac:dyDescent="0.2">
      <c r="A16354" s="14" t="s">
        <v>32178</v>
      </c>
      <c r="B16354" s="15" t="s">
        <v>32179</v>
      </c>
      <c r="C16354" s="19">
        <f>2152.8/(1+B2)</f>
        <v>2152.8000000000002</v>
      </c>
      <c r="D16354" s="17" t="s">
        <v>11</v>
      </c>
      <c r="E16354" s="17" t="s">
        <v>11</v>
      </c>
      <c r="F16354" s="18"/>
      <c r="G16354" s="36" t="str">
        <f>IF(ISNUMBER(F16354),C16354*F16354,"")</f>
        <v/>
      </c>
    </row>
    <row r="16355" spans="1:7" ht="12" customHeight="1" outlineLevel="2" x14ac:dyDescent="0.2">
      <c r="A16355" s="14" t="s">
        <v>32180</v>
      </c>
      <c r="B16355" s="15" t="s">
        <v>32181</v>
      </c>
      <c r="C16355" s="19">
        <f>2152.8/(1+B2)</f>
        <v>2152.8000000000002</v>
      </c>
      <c r="D16355" s="17" t="s">
        <v>11</v>
      </c>
      <c r="E16355" s="17"/>
      <c r="F16355" s="18"/>
      <c r="G16355" s="36" t="str">
        <f>IF(ISNUMBER(F16355),C16355*F16355,"")</f>
        <v/>
      </c>
    </row>
    <row r="16356" spans="1:7" ht="24" customHeight="1" outlineLevel="2" x14ac:dyDescent="0.2">
      <c r="A16356" s="14" t="s">
        <v>32182</v>
      </c>
      <c r="B16356" s="15" t="s">
        <v>32183</v>
      </c>
      <c r="C16356" s="19">
        <f>2408.28/(1+B2)</f>
        <v>2408.2800000000002</v>
      </c>
      <c r="D16356" s="17" t="s">
        <v>11</v>
      </c>
      <c r="E16356" s="17"/>
      <c r="F16356" s="18"/>
      <c r="G16356" s="36" t="str">
        <f>IF(ISNUMBER(F16356),C16356*F16356,"")</f>
        <v/>
      </c>
    </row>
    <row r="16357" spans="1:7" ht="12" customHeight="1" outlineLevel="2" x14ac:dyDescent="0.2">
      <c r="A16357" s="14" t="s">
        <v>32184</v>
      </c>
      <c r="B16357" s="15" t="s">
        <v>32185</v>
      </c>
      <c r="C16357" s="19">
        <f>2408.28/(1+B2)</f>
        <v>2408.2800000000002</v>
      </c>
      <c r="D16357" s="17" t="s">
        <v>11</v>
      </c>
      <c r="E16357" s="17"/>
      <c r="F16357" s="18"/>
      <c r="G16357" s="36" t="str">
        <f>IF(ISNUMBER(F16357),C16357*F16357,"")</f>
        <v/>
      </c>
    </row>
    <row r="16358" spans="1:7" ht="12" customHeight="1" outlineLevel="2" x14ac:dyDescent="0.2">
      <c r="A16358" s="14" t="s">
        <v>32186</v>
      </c>
      <c r="B16358" s="15" t="s">
        <v>32187</v>
      </c>
      <c r="C16358" s="19">
        <f>2408.28/(1+B2)</f>
        <v>2408.2800000000002</v>
      </c>
      <c r="D16358" s="17" t="s">
        <v>11</v>
      </c>
      <c r="E16358" s="17" t="s">
        <v>11</v>
      </c>
      <c r="F16358" s="18"/>
      <c r="G16358" s="36" t="str">
        <f>IF(ISNUMBER(F16358),C16358*F16358,"")</f>
        <v/>
      </c>
    </row>
    <row r="16359" spans="1:7" ht="12" customHeight="1" outlineLevel="2" x14ac:dyDescent="0.2">
      <c r="A16359" s="14" t="s">
        <v>32188</v>
      </c>
      <c r="B16359" s="15" t="s">
        <v>32189</v>
      </c>
      <c r="C16359" s="19">
        <f>2002.17/(1+B2)</f>
        <v>2002.17</v>
      </c>
      <c r="D16359" s="17" t="s">
        <v>11</v>
      </c>
      <c r="E16359" s="17"/>
      <c r="F16359" s="18"/>
      <c r="G16359" s="36" t="str">
        <f>IF(ISNUMBER(F16359),C16359*F16359,"")</f>
        <v/>
      </c>
    </row>
    <row r="16360" spans="1:7" ht="12" customHeight="1" outlineLevel="2" x14ac:dyDescent="0.2">
      <c r="A16360" s="14" t="s">
        <v>32190</v>
      </c>
      <c r="B16360" s="15" t="s">
        <v>32191</v>
      </c>
      <c r="C16360" s="19">
        <f>2002.17/(1+B2)</f>
        <v>2002.17</v>
      </c>
      <c r="D16360" s="17" t="s">
        <v>11</v>
      </c>
      <c r="E16360" s="17" t="s">
        <v>11</v>
      </c>
      <c r="F16360" s="18"/>
      <c r="G16360" s="36" t="str">
        <f>IF(ISNUMBER(F16360),C16360*F16360,"")</f>
        <v/>
      </c>
    </row>
    <row r="16361" spans="1:7" ht="12" customHeight="1" outlineLevel="2" x14ac:dyDescent="0.2">
      <c r="A16361" s="14" t="s">
        <v>32192</v>
      </c>
      <c r="B16361" s="15" t="s">
        <v>32193</v>
      </c>
      <c r="C16361" s="19">
        <f>2002.17/(1+B2)</f>
        <v>2002.17</v>
      </c>
      <c r="D16361" s="17" t="s">
        <v>11</v>
      </c>
      <c r="E16361" s="17"/>
      <c r="F16361" s="18"/>
      <c r="G16361" s="36" t="str">
        <f>IF(ISNUMBER(F16361),C16361*F16361,"")</f>
        <v/>
      </c>
    </row>
    <row r="16362" spans="1:7" ht="12" customHeight="1" outlineLevel="2" x14ac:dyDescent="0.2">
      <c r="A16362" s="14" t="s">
        <v>32194</v>
      </c>
      <c r="B16362" s="15" t="s">
        <v>32195</v>
      </c>
      <c r="C16362" s="19">
        <f>2642.4/(1+B2)</f>
        <v>2642.4</v>
      </c>
      <c r="D16362" s="17" t="s">
        <v>11</v>
      </c>
      <c r="E16362" s="17"/>
      <c r="F16362" s="18"/>
      <c r="G16362" s="36" t="str">
        <f>IF(ISNUMBER(F16362),C16362*F16362,"")</f>
        <v/>
      </c>
    </row>
    <row r="16363" spans="1:7" ht="12" customHeight="1" outlineLevel="2" x14ac:dyDescent="0.2">
      <c r="A16363" s="14" t="s">
        <v>32196</v>
      </c>
      <c r="B16363" s="15" t="s">
        <v>32197</v>
      </c>
      <c r="C16363" s="19">
        <f>2642.4/(1+B2)</f>
        <v>2642.4</v>
      </c>
      <c r="D16363" s="17" t="s">
        <v>11</v>
      </c>
      <c r="E16363" s="17"/>
      <c r="F16363" s="18"/>
      <c r="G16363" s="36" t="str">
        <f>IF(ISNUMBER(F16363),C16363*F16363,"")</f>
        <v/>
      </c>
    </row>
    <row r="16364" spans="1:7" ht="12" customHeight="1" outlineLevel="2" x14ac:dyDescent="0.2">
      <c r="A16364" s="14" t="s">
        <v>32198</v>
      </c>
      <c r="B16364" s="15" t="s">
        <v>32199</v>
      </c>
      <c r="C16364" s="19">
        <f>2642.4/(1+B2)</f>
        <v>2642.4</v>
      </c>
      <c r="D16364" s="17" t="s">
        <v>11</v>
      </c>
      <c r="E16364" s="17"/>
      <c r="F16364" s="18"/>
      <c r="G16364" s="36" t="str">
        <f>IF(ISNUMBER(F16364),C16364*F16364,"")</f>
        <v/>
      </c>
    </row>
    <row r="16365" spans="1:7" s="1" customFormat="1" ht="15.95" customHeight="1" outlineLevel="1" x14ac:dyDescent="0.25">
      <c r="A16365" s="11"/>
      <c r="B16365" s="12" t="s">
        <v>32200</v>
      </c>
      <c r="C16365" s="13"/>
      <c r="D16365" s="13"/>
      <c r="E16365" s="13"/>
      <c r="F16365" s="13"/>
      <c r="G16365" s="35"/>
    </row>
    <row r="16366" spans="1:7" ht="12" customHeight="1" outlineLevel="2" x14ac:dyDescent="0.2">
      <c r="A16366" s="14" t="s">
        <v>32201</v>
      </c>
      <c r="B16366" s="15" t="s">
        <v>32202</v>
      </c>
      <c r="C16366" s="19">
        <f>1008/(1+B2)</f>
        <v>1008</v>
      </c>
      <c r="D16366" s="17" t="s">
        <v>11</v>
      </c>
      <c r="E16366" s="17" t="s">
        <v>11</v>
      </c>
      <c r="F16366" s="18"/>
      <c r="G16366" s="36" t="str">
        <f>IF(ISNUMBER(F16366),C16366*F16366,"")</f>
        <v/>
      </c>
    </row>
    <row r="16367" spans="1:7" ht="12" customHeight="1" outlineLevel="2" x14ac:dyDescent="0.2">
      <c r="A16367" s="14" t="s">
        <v>32203</v>
      </c>
      <c r="B16367" s="15" t="s">
        <v>32204</v>
      </c>
      <c r="C16367" s="19">
        <f>1864.8/(1+B2)</f>
        <v>1864.8</v>
      </c>
      <c r="D16367" s="17" t="s">
        <v>11</v>
      </c>
      <c r="E16367" s="17" t="s">
        <v>11</v>
      </c>
      <c r="F16367" s="18"/>
      <c r="G16367" s="36" t="str">
        <f>IF(ISNUMBER(F16367),C16367*F16367,"")</f>
        <v/>
      </c>
    </row>
    <row r="16368" spans="1:7" ht="12" customHeight="1" outlineLevel="2" x14ac:dyDescent="0.2">
      <c r="A16368" s="14" t="s">
        <v>32205</v>
      </c>
      <c r="B16368" s="15" t="s">
        <v>32206</v>
      </c>
      <c r="C16368" s="19">
        <f>1864.8/(1+B2)</f>
        <v>1864.8</v>
      </c>
      <c r="D16368" s="17" t="s">
        <v>11</v>
      </c>
      <c r="E16368" s="17" t="s">
        <v>11</v>
      </c>
      <c r="F16368" s="18"/>
      <c r="G16368" s="36" t="str">
        <f>IF(ISNUMBER(F16368),C16368*F16368,"")</f>
        <v/>
      </c>
    </row>
    <row r="16369" spans="1:7" ht="12" customHeight="1" outlineLevel="2" x14ac:dyDescent="0.2">
      <c r="A16369" s="14" t="s">
        <v>32207</v>
      </c>
      <c r="B16369" s="15" t="s">
        <v>32208</v>
      </c>
      <c r="C16369" s="19">
        <f>1864.8/(1+B2)</f>
        <v>1864.8</v>
      </c>
      <c r="D16369" s="17" t="s">
        <v>11</v>
      </c>
      <c r="E16369" s="17"/>
      <c r="F16369" s="18"/>
      <c r="G16369" s="36" t="str">
        <f>IF(ISNUMBER(F16369),C16369*F16369,"")</f>
        <v/>
      </c>
    </row>
    <row r="16370" spans="1:7" ht="12" customHeight="1" outlineLevel="2" x14ac:dyDescent="0.2">
      <c r="A16370" s="14" t="s">
        <v>32209</v>
      </c>
      <c r="B16370" s="15" t="s">
        <v>32210</v>
      </c>
      <c r="C16370" s="19">
        <f>2649.6/(1+B2)</f>
        <v>2649.6</v>
      </c>
      <c r="D16370" s="17" t="s">
        <v>11</v>
      </c>
      <c r="E16370" s="17" t="s">
        <v>11</v>
      </c>
      <c r="F16370" s="18"/>
      <c r="G16370" s="36" t="str">
        <f>IF(ISNUMBER(F16370),C16370*F16370,"")</f>
        <v/>
      </c>
    </row>
    <row r="16371" spans="1:7" s="1" customFormat="1" ht="15.95" customHeight="1" x14ac:dyDescent="0.25">
      <c r="A16371" s="8"/>
      <c r="B16371" s="9" t="s">
        <v>32211</v>
      </c>
      <c r="C16371" s="10"/>
      <c r="D16371" s="10"/>
      <c r="E16371" s="10"/>
      <c r="F16371" s="10"/>
      <c r="G16371" s="34"/>
    </row>
    <row r="16372" spans="1:7" s="1" customFormat="1" ht="15.95" customHeight="1" outlineLevel="1" x14ac:dyDescent="0.25">
      <c r="A16372" s="11"/>
      <c r="B16372" s="12" t="s">
        <v>32212</v>
      </c>
      <c r="C16372" s="13"/>
      <c r="D16372" s="13"/>
      <c r="E16372" s="13"/>
      <c r="F16372" s="13"/>
      <c r="G16372" s="35"/>
    </row>
    <row r="16373" spans="1:7" ht="24" customHeight="1" outlineLevel="2" x14ac:dyDescent="0.2">
      <c r="A16373" s="14" t="s">
        <v>32213</v>
      </c>
      <c r="B16373" s="15" t="s">
        <v>32214</v>
      </c>
      <c r="C16373" s="16">
        <f>57.1/(1+B2)</f>
        <v>57.1</v>
      </c>
      <c r="D16373" s="17" t="s">
        <v>11</v>
      </c>
      <c r="E16373" s="17" t="s">
        <v>11</v>
      </c>
      <c r="F16373" s="18"/>
      <c r="G16373" s="36" t="str">
        <f>IF(ISNUMBER(F16373),C16373*F16373,"")</f>
        <v/>
      </c>
    </row>
    <row r="16374" spans="1:7" ht="12" customHeight="1" outlineLevel="2" x14ac:dyDescent="0.2">
      <c r="A16374" s="14" t="s">
        <v>32215</v>
      </c>
      <c r="B16374" s="15" t="s">
        <v>32216</v>
      </c>
      <c r="C16374" s="16">
        <f>639.21/(1+B2)</f>
        <v>639.21</v>
      </c>
      <c r="D16374" s="17" t="s">
        <v>11</v>
      </c>
      <c r="E16374" s="17"/>
      <c r="F16374" s="18"/>
      <c r="G16374" s="36" t="str">
        <f>IF(ISNUMBER(F16374),C16374*F16374,"")</f>
        <v/>
      </c>
    </row>
    <row r="16375" spans="1:7" ht="12" customHeight="1" outlineLevel="2" x14ac:dyDescent="0.2">
      <c r="A16375" s="14" t="s">
        <v>32217</v>
      </c>
      <c r="B16375" s="15" t="s">
        <v>32218</v>
      </c>
      <c r="C16375" s="16">
        <f>138.68/(1+B2)</f>
        <v>138.68</v>
      </c>
      <c r="D16375" s="17" t="s">
        <v>11</v>
      </c>
      <c r="E16375" s="17"/>
      <c r="F16375" s="18"/>
      <c r="G16375" s="36" t="str">
        <f>IF(ISNUMBER(F16375),C16375*F16375,"")</f>
        <v/>
      </c>
    </row>
    <row r="16376" spans="1:7" ht="12" customHeight="1" outlineLevel="2" x14ac:dyDescent="0.2">
      <c r="A16376" s="14" t="s">
        <v>32219</v>
      </c>
      <c r="B16376" s="15" t="s">
        <v>32220</v>
      </c>
      <c r="C16376" s="16">
        <f>123.21/(1+B2)</f>
        <v>123.21</v>
      </c>
      <c r="D16376" s="17" t="s">
        <v>11</v>
      </c>
      <c r="E16376" s="17" t="s">
        <v>14</v>
      </c>
      <c r="F16376" s="18"/>
      <c r="G16376" s="36" t="str">
        <f>IF(ISNUMBER(F16376),C16376*F16376,"")</f>
        <v/>
      </c>
    </row>
    <row r="16377" spans="1:7" ht="12" customHeight="1" outlineLevel="2" x14ac:dyDescent="0.2">
      <c r="A16377" s="14" t="s">
        <v>32221</v>
      </c>
      <c r="B16377" s="15" t="s">
        <v>32222</v>
      </c>
      <c r="C16377" s="16">
        <f>149.78/(1+B2)</f>
        <v>149.78</v>
      </c>
      <c r="D16377" s="17" t="s">
        <v>11</v>
      </c>
      <c r="E16377" s="17" t="s">
        <v>11</v>
      </c>
      <c r="F16377" s="18"/>
      <c r="G16377" s="36" t="str">
        <f>IF(ISNUMBER(F16377),C16377*F16377,"")</f>
        <v/>
      </c>
    </row>
    <row r="16378" spans="1:7" ht="12" customHeight="1" outlineLevel="2" x14ac:dyDescent="0.2">
      <c r="A16378" s="14" t="s">
        <v>32223</v>
      </c>
      <c r="B16378" s="15" t="s">
        <v>32224</v>
      </c>
      <c r="C16378" s="16">
        <f>68.52/(1+B2)</f>
        <v>68.52</v>
      </c>
      <c r="D16378" s="17" t="s">
        <v>11</v>
      </c>
      <c r="E16378" s="17" t="s">
        <v>14</v>
      </c>
      <c r="F16378" s="18"/>
      <c r="G16378" s="36" t="str">
        <f>IF(ISNUMBER(F16378),C16378*F16378,"")</f>
        <v/>
      </c>
    </row>
    <row r="16379" spans="1:7" ht="12" customHeight="1" outlineLevel="2" x14ac:dyDescent="0.2">
      <c r="A16379" s="14" t="s">
        <v>32225</v>
      </c>
      <c r="B16379" s="15" t="s">
        <v>32226</v>
      </c>
      <c r="C16379" s="16">
        <f>124.48/(1+B2)</f>
        <v>124.48</v>
      </c>
      <c r="D16379" s="17" t="s">
        <v>11</v>
      </c>
      <c r="E16379" s="17"/>
      <c r="F16379" s="18"/>
      <c r="G16379" s="36" t="str">
        <f>IF(ISNUMBER(F16379),C16379*F16379,"")</f>
        <v/>
      </c>
    </row>
    <row r="16380" spans="1:7" ht="12" customHeight="1" outlineLevel="2" x14ac:dyDescent="0.2">
      <c r="A16380" s="14" t="s">
        <v>32227</v>
      </c>
      <c r="B16380" s="15" t="s">
        <v>32228</v>
      </c>
      <c r="C16380" s="16">
        <f>91.34/(1+B2)</f>
        <v>91.34</v>
      </c>
      <c r="D16380" s="17" t="s">
        <v>11</v>
      </c>
      <c r="E16380" s="17"/>
      <c r="F16380" s="18"/>
      <c r="G16380" s="36" t="str">
        <f>IF(ISNUMBER(F16380),C16380*F16380,"")</f>
        <v/>
      </c>
    </row>
    <row r="16381" spans="1:7" ht="12" customHeight="1" outlineLevel="2" x14ac:dyDescent="0.2">
      <c r="A16381" s="14" t="s">
        <v>32229</v>
      </c>
      <c r="B16381" s="15" t="s">
        <v>32230</v>
      </c>
      <c r="C16381" s="16">
        <f>84.5/(1+B2)</f>
        <v>84.5</v>
      </c>
      <c r="D16381" s="17" t="s">
        <v>11</v>
      </c>
      <c r="E16381" s="17" t="s">
        <v>11</v>
      </c>
      <c r="F16381" s="18"/>
      <c r="G16381" s="36" t="str">
        <f>IF(ISNUMBER(F16381),C16381*F16381,"")</f>
        <v/>
      </c>
    </row>
    <row r="16382" spans="1:7" ht="12" customHeight="1" outlineLevel="2" x14ac:dyDescent="0.2">
      <c r="A16382" s="14" t="s">
        <v>32231</v>
      </c>
      <c r="B16382" s="15" t="s">
        <v>32232</v>
      </c>
      <c r="C16382" s="16">
        <f>201.16/(1+B2)</f>
        <v>201.16</v>
      </c>
      <c r="D16382" s="17" t="s">
        <v>11</v>
      </c>
      <c r="E16382" s="17" t="s">
        <v>11</v>
      </c>
      <c r="F16382" s="18"/>
      <c r="G16382" s="36" t="str">
        <f>IF(ISNUMBER(F16382),C16382*F16382,"")</f>
        <v/>
      </c>
    </row>
    <row r="16383" spans="1:7" ht="12" customHeight="1" outlineLevel="2" x14ac:dyDescent="0.2">
      <c r="A16383" s="14" t="s">
        <v>32233</v>
      </c>
      <c r="B16383" s="15" t="s">
        <v>32234</v>
      </c>
      <c r="C16383" s="16">
        <f>103.92/(1+B2)</f>
        <v>103.92</v>
      </c>
      <c r="D16383" s="17" t="s">
        <v>11</v>
      </c>
      <c r="E16383" s="17" t="s">
        <v>11</v>
      </c>
      <c r="F16383" s="18"/>
      <c r="G16383" s="36" t="str">
        <f>IF(ISNUMBER(F16383),C16383*F16383,"")</f>
        <v/>
      </c>
    </row>
    <row r="16384" spans="1:7" ht="12" customHeight="1" outlineLevel="2" x14ac:dyDescent="0.2">
      <c r="A16384" s="14" t="s">
        <v>32235</v>
      </c>
      <c r="B16384" s="15" t="s">
        <v>32236</v>
      </c>
      <c r="C16384" s="16">
        <f>159.86/(1+B2)</f>
        <v>159.86000000000001</v>
      </c>
      <c r="D16384" s="17" t="s">
        <v>11</v>
      </c>
      <c r="E16384" s="17" t="s">
        <v>11</v>
      </c>
      <c r="F16384" s="18"/>
      <c r="G16384" s="36" t="str">
        <f>IF(ISNUMBER(F16384),C16384*F16384,"")</f>
        <v/>
      </c>
    </row>
    <row r="16385" spans="1:7" ht="12" customHeight="1" outlineLevel="2" x14ac:dyDescent="0.2">
      <c r="A16385" s="14" t="s">
        <v>32237</v>
      </c>
      <c r="B16385" s="15" t="s">
        <v>32238</v>
      </c>
      <c r="C16385" s="16">
        <f>238.56/(1+B2)</f>
        <v>238.56</v>
      </c>
      <c r="D16385" s="17" t="s">
        <v>11</v>
      </c>
      <c r="E16385" s="17"/>
      <c r="F16385" s="18"/>
      <c r="G16385" s="36" t="str">
        <f>IF(ISNUMBER(F16385),C16385*F16385,"")</f>
        <v/>
      </c>
    </row>
    <row r="16386" spans="1:7" ht="12" customHeight="1" outlineLevel="2" x14ac:dyDescent="0.2">
      <c r="A16386" s="14" t="s">
        <v>32239</v>
      </c>
      <c r="B16386" s="15" t="s">
        <v>32240</v>
      </c>
      <c r="C16386" s="16">
        <f>238.85/(1+B2)</f>
        <v>238.85</v>
      </c>
      <c r="D16386" s="17" t="s">
        <v>11</v>
      </c>
      <c r="E16386" s="17"/>
      <c r="F16386" s="18"/>
      <c r="G16386" s="36" t="str">
        <f>IF(ISNUMBER(F16386),C16386*F16386,"")</f>
        <v/>
      </c>
    </row>
    <row r="16387" spans="1:7" ht="12" customHeight="1" outlineLevel="2" x14ac:dyDescent="0.2">
      <c r="A16387" s="14" t="s">
        <v>32241</v>
      </c>
      <c r="B16387" s="15" t="s">
        <v>32242</v>
      </c>
      <c r="C16387" s="16">
        <f>121.94/(1+B2)</f>
        <v>121.94</v>
      </c>
      <c r="D16387" s="17" t="s">
        <v>11</v>
      </c>
      <c r="E16387" s="17"/>
      <c r="F16387" s="18"/>
      <c r="G16387" s="36" t="str">
        <f>IF(ISNUMBER(F16387),C16387*F16387,"")</f>
        <v/>
      </c>
    </row>
    <row r="16388" spans="1:7" ht="12" customHeight="1" outlineLevel="2" x14ac:dyDescent="0.2">
      <c r="A16388" s="14" t="s">
        <v>32243</v>
      </c>
      <c r="B16388" s="15" t="s">
        <v>32244</v>
      </c>
      <c r="C16388" s="16">
        <f>180.64/(1+B2)</f>
        <v>180.64</v>
      </c>
      <c r="D16388" s="17" t="s">
        <v>11</v>
      </c>
      <c r="E16388" s="17"/>
      <c r="F16388" s="18"/>
      <c r="G16388" s="36" t="str">
        <f>IF(ISNUMBER(F16388),C16388*F16388,"")</f>
        <v/>
      </c>
    </row>
    <row r="16389" spans="1:7" ht="12" customHeight="1" outlineLevel="2" x14ac:dyDescent="0.2">
      <c r="A16389" s="14" t="s">
        <v>32245</v>
      </c>
      <c r="B16389" s="15" t="s">
        <v>32246</v>
      </c>
      <c r="C16389" s="16">
        <f>208.69/(1+B2)</f>
        <v>208.69</v>
      </c>
      <c r="D16389" s="17" t="s">
        <v>14</v>
      </c>
      <c r="E16389" s="17"/>
      <c r="F16389" s="18"/>
      <c r="G16389" s="36" t="str">
        <f>IF(ISNUMBER(F16389),C16389*F16389,"")</f>
        <v/>
      </c>
    </row>
    <row r="16390" spans="1:7" ht="12" customHeight="1" outlineLevel="2" x14ac:dyDescent="0.2">
      <c r="A16390" s="14" t="s">
        <v>32247</v>
      </c>
      <c r="B16390" s="15" t="s">
        <v>32248</v>
      </c>
      <c r="C16390" s="16">
        <f>100.07/(1+B2)</f>
        <v>100.07</v>
      </c>
      <c r="D16390" s="17" t="s">
        <v>11</v>
      </c>
      <c r="E16390" s="17"/>
      <c r="F16390" s="18"/>
      <c r="G16390" s="36" t="str">
        <f>IF(ISNUMBER(F16390),C16390*F16390,"")</f>
        <v/>
      </c>
    </row>
    <row r="16391" spans="1:7" ht="12" customHeight="1" outlineLevel="2" x14ac:dyDescent="0.2">
      <c r="A16391" s="14" t="s">
        <v>32249</v>
      </c>
      <c r="B16391" s="15" t="s">
        <v>32250</v>
      </c>
      <c r="C16391" s="16">
        <f>97.62/(1+B2)</f>
        <v>97.62</v>
      </c>
      <c r="D16391" s="17" t="s">
        <v>11</v>
      </c>
      <c r="E16391" s="17" t="s">
        <v>11</v>
      </c>
      <c r="F16391" s="18"/>
      <c r="G16391" s="36" t="str">
        <f>IF(ISNUMBER(F16391),C16391*F16391,"")</f>
        <v/>
      </c>
    </row>
    <row r="16392" spans="1:7" ht="12" customHeight="1" outlineLevel="2" x14ac:dyDescent="0.2">
      <c r="A16392" s="14" t="s">
        <v>32251</v>
      </c>
      <c r="B16392" s="15" t="s">
        <v>32252</v>
      </c>
      <c r="C16392" s="16">
        <f>113.05/(1+B2)</f>
        <v>113.05</v>
      </c>
      <c r="D16392" s="17" t="s">
        <v>11</v>
      </c>
      <c r="E16392" s="17" t="s">
        <v>11</v>
      </c>
      <c r="F16392" s="18"/>
      <c r="G16392" s="36" t="str">
        <f>IF(ISNUMBER(F16392),C16392*F16392,"")</f>
        <v/>
      </c>
    </row>
    <row r="16393" spans="1:7" ht="12" customHeight="1" outlineLevel="2" x14ac:dyDescent="0.2">
      <c r="A16393" s="14" t="s">
        <v>32253</v>
      </c>
      <c r="B16393" s="15" t="s">
        <v>32254</v>
      </c>
      <c r="C16393" s="16">
        <f>223.48/(1+B2)</f>
        <v>223.48</v>
      </c>
      <c r="D16393" s="17" t="s">
        <v>11</v>
      </c>
      <c r="E16393" s="17" t="s">
        <v>14</v>
      </c>
      <c r="F16393" s="18"/>
      <c r="G16393" s="36" t="str">
        <f>IF(ISNUMBER(F16393),C16393*F16393,"")</f>
        <v/>
      </c>
    </row>
    <row r="16394" spans="1:7" ht="12" customHeight="1" outlineLevel="2" x14ac:dyDescent="0.2">
      <c r="A16394" s="14" t="s">
        <v>32255</v>
      </c>
      <c r="B16394" s="15" t="s">
        <v>32256</v>
      </c>
      <c r="C16394" s="16">
        <f>143.88/(1+B2)</f>
        <v>143.88</v>
      </c>
      <c r="D16394" s="17" t="s">
        <v>11</v>
      </c>
      <c r="E16394" s="17" t="s">
        <v>14</v>
      </c>
      <c r="F16394" s="18"/>
      <c r="G16394" s="36" t="str">
        <f>IF(ISNUMBER(F16394),C16394*F16394,"")</f>
        <v/>
      </c>
    </row>
    <row r="16395" spans="1:7" ht="12" customHeight="1" outlineLevel="2" x14ac:dyDescent="0.2">
      <c r="A16395" s="14" t="s">
        <v>32257</v>
      </c>
      <c r="B16395" s="15" t="s">
        <v>32258</v>
      </c>
      <c r="C16395" s="16">
        <f>365.41/(1+B2)</f>
        <v>365.41</v>
      </c>
      <c r="D16395" s="17" t="s">
        <v>11</v>
      </c>
      <c r="E16395" s="17" t="s">
        <v>11</v>
      </c>
      <c r="F16395" s="18"/>
      <c r="G16395" s="36" t="str">
        <f>IF(ISNUMBER(F16395),C16395*F16395,"")</f>
        <v/>
      </c>
    </row>
    <row r="16396" spans="1:7" ht="24" customHeight="1" outlineLevel="2" x14ac:dyDescent="0.2">
      <c r="A16396" s="14" t="s">
        <v>32259</v>
      </c>
      <c r="B16396" s="15" t="s">
        <v>32260</v>
      </c>
      <c r="C16396" s="16">
        <f>200.36/(1+B2)</f>
        <v>200.36</v>
      </c>
      <c r="D16396" s="17" t="s">
        <v>11</v>
      </c>
      <c r="E16396" s="17"/>
      <c r="F16396" s="18"/>
      <c r="G16396" s="36" t="str">
        <f>IF(ISNUMBER(F16396),C16396*F16396,"")</f>
        <v/>
      </c>
    </row>
    <row r="16397" spans="1:7" ht="12" customHeight="1" outlineLevel="2" x14ac:dyDescent="0.2">
      <c r="A16397" s="14" t="s">
        <v>32261</v>
      </c>
      <c r="B16397" s="15" t="s">
        <v>32262</v>
      </c>
      <c r="C16397" s="16">
        <f>149.59/(1+B2)</f>
        <v>149.59</v>
      </c>
      <c r="D16397" s="17" t="s">
        <v>11</v>
      </c>
      <c r="E16397" s="17" t="s">
        <v>11</v>
      </c>
      <c r="F16397" s="18"/>
      <c r="G16397" s="36" t="str">
        <f>IF(ISNUMBER(F16397),C16397*F16397,"")</f>
        <v/>
      </c>
    </row>
    <row r="16398" spans="1:7" ht="12" customHeight="1" outlineLevel="2" x14ac:dyDescent="0.2">
      <c r="A16398" s="14" t="s">
        <v>32263</v>
      </c>
      <c r="B16398" s="15" t="s">
        <v>32264</v>
      </c>
      <c r="C16398" s="16">
        <f>220.43/(1+B2)</f>
        <v>220.43</v>
      </c>
      <c r="D16398" s="17" t="s">
        <v>11</v>
      </c>
      <c r="E16398" s="17" t="s">
        <v>11</v>
      </c>
      <c r="F16398" s="18"/>
      <c r="G16398" s="36" t="str">
        <f>IF(ISNUMBER(F16398),C16398*F16398,"")</f>
        <v/>
      </c>
    </row>
    <row r="16399" spans="1:7" ht="12" customHeight="1" outlineLevel="2" x14ac:dyDescent="0.2">
      <c r="A16399" s="14" t="s">
        <v>32265</v>
      </c>
      <c r="B16399" s="15" t="s">
        <v>32266</v>
      </c>
      <c r="C16399" s="16">
        <f>90.22/(1+B2)</f>
        <v>90.22</v>
      </c>
      <c r="D16399" s="17" t="s">
        <v>11</v>
      </c>
      <c r="E16399" s="17" t="s">
        <v>11</v>
      </c>
      <c r="F16399" s="18"/>
      <c r="G16399" s="36" t="str">
        <f>IF(ISNUMBER(F16399),C16399*F16399,"")</f>
        <v/>
      </c>
    </row>
    <row r="16400" spans="1:7" ht="12" customHeight="1" outlineLevel="2" x14ac:dyDescent="0.2">
      <c r="A16400" s="14" t="s">
        <v>32267</v>
      </c>
      <c r="B16400" s="15" t="s">
        <v>32268</v>
      </c>
      <c r="C16400" s="16">
        <f>61.9/(1+B2)</f>
        <v>61.9</v>
      </c>
      <c r="D16400" s="17" t="s">
        <v>11</v>
      </c>
      <c r="E16400" s="17"/>
      <c r="F16400" s="18"/>
      <c r="G16400" s="36" t="str">
        <f>IF(ISNUMBER(F16400),C16400*F16400,"")</f>
        <v/>
      </c>
    </row>
    <row r="16401" spans="1:7" ht="12" customHeight="1" outlineLevel="2" x14ac:dyDescent="0.2">
      <c r="A16401" s="14" t="s">
        <v>32269</v>
      </c>
      <c r="B16401" s="15" t="s">
        <v>32270</v>
      </c>
      <c r="C16401" s="16">
        <f>201.14/(1+B2)</f>
        <v>201.14</v>
      </c>
      <c r="D16401" s="17" t="s">
        <v>11</v>
      </c>
      <c r="E16401" s="17" t="s">
        <v>11</v>
      </c>
      <c r="F16401" s="18"/>
      <c r="G16401" s="36" t="str">
        <f>IF(ISNUMBER(F16401),C16401*F16401,"")</f>
        <v/>
      </c>
    </row>
    <row r="16402" spans="1:7" ht="12" customHeight="1" outlineLevel="2" x14ac:dyDescent="0.2">
      <c r="A16402" s="14" t="s">
        <v>32271</v>
      </c>
      <c r="B16402" s="15" t="s">
        <v>32272</v>
      </c>
      <c r="C16402" s="16">
        <f>148.45/(1+B2)</f>
        <v>148.44999999999999</v>
      </c>
      <c r="D16402" s="17" t="s">
        <v>11</v>
      </c>
      <c r="E16402" s="17" t="s">
        <v>11</v>
      </c>
      <c r="F16402" s="18"/>
      <c r="G16402" s="36" t="str">
        <f>IF(ISNUMBER(F16402),C16402*F16402,"")</f>
        <v/>
      </c>
    </row>
    <row r="16403" spans="1:7" ht="12" customHeight="1" outlineLevel="2" x14ac:dyDescent="0.2">
      <c r="A16403" s="14" t="s">
        <v>32273</v>
      </c>
      <c r="B16403" s="15" t="s">
        <v>32274</v>
      </c>
      <c r="C16403" s="16">
        <f>146.17/(1+B2)</f>
        <v>146.16999999999999</v>
      </c>
      <c r="D16403" s="17" t="s">
        <v>11</v>
      </c>
      <c r="E16403" s="17" t="s">
        <v>53</v>
      </c>
      <c r="F16403" s="18"/>
      <c r="G16403" s="36" t="str">
        <f>IF(ISNUMBER(F16403),C16403*F16403,"")</f>
        <v/>
      </c>
    </row>
    <row r="16404" spans="1:7" s="1" customFormat="1" ht="15.95" customHeight="1" outlineLevel="1" x14ac:dyDescent="0.25">
      <c r="A16404" s="11"/>
      <c r="B16404" s="12" t="s">
        <v>32275</v>
      </c>
      <c r="C16404" s="13"/>
      <c r="D16404" s="13"/>
      <c r="E16404" s="13"/>
      <c r="F16404" s="13"/>
      <c r="G16404" s="35"/>
    </row>
    <row r="16405" spans="1:7" ht="12" customHeight="1" outlineLevel="2" x14ac:dyDescent="0.2">
      <c r="A16405" s="14" t="s">
        <v>32276</v>
      </c>
      <c r="B16405" s="15" t="s">
        <v>32277</v>
      </c>
      <c r="C16405" s="16">
        <f>26.33/(1+B2)</f>
        <v>26.33</v>
      </c>
      <c r="D16405" s="17" t="s">
        <v>11</v>
      </c>
      <c r="E16405" s="17"/>
      <c r="F16405" s="18"/>
      <c r="G16405" s="36" t="str">
        <f>IF(ISNUMBER(F16405),C16405*F16405,"")</f>
        <v/>
      </c>
    </row>
    <row r="16406" spans="1:7" ht="12" customHeight="1" outlineLevel="2" x14ac:dyDescent="0.2">
      <c r="A16406" s="14" t="s">
        <v>32278</v>
      </c>
      <c r="B16406" s="15" t="s">
        <v>32279</v>
      </c>
      <c r="C16406" s="16">
        <f>26.33/(1+B2)</f>
        <v>26.33</v>
      </c>
      <c r="D16406" s="17" t="s">
        <v>11</v>
      </c>
      <c r="E16406" s="17"/>
      <c r="F16406" s="18"/>
      <c r="G16406" s="36" t="str">
        <f>IF(ISNUMBER(F16406),C16406*F16406,"")</f>
        <v/>
      </c>
    </row>
    <row r="16407" spans="1:7" ht="12" customHeight="1" outlineLevel="2" x14ac:dyDescent="0.2">
      <c r="A16407" s="14" t="s">
        <v>32280</v>
      </c>
      <c r="B16407" s="15" t="s">
        <v>32281</v>
      </c>
      <c r="C16407" s="16">
        <f>11.9/(1+B2)</f>
        <v>11.9</v>
      </c>
      <c r="D16407" s="17" t="s">
        <v>11</v>
      </c>
      <c r="E16407" s="17"/>
      <c r="F16407" s="18"/>
      <c r="G16407" s="36" t="str">
        <f>IF(ISNUMBER(F16407),C16407*F16407,"")</f>
        <v/>
      </c>
    </row>
    <row r="16408" spans="1:7" ht="12" customHeight="1" outlineLevel="2" x14ac:dyDescent="0.2">
      <c r="A16408" s="14" t="s">
        <v>32282</v>
      </c>
      <c r="B16408" s="15" t="s">
        <v>32283</v>
      </c>
      <c r="C16408" s="16">
        <f>7.76/(1+B2)</f>
        <v>7.76</v>
      </c>
      <c r="D16408" s="17" t="s">
        <v>106</v>
      </c>
      <c r="E16408" s="17"/>
      <c r="F16408" s="18"/>
      <c r="G16408" s="36" t="str">
        <f>IF(ISNUMBER(F16408),C16408*F16408,"")</f>
        <v/>
      </c>
    </row>
    <row r="16409" spans="1:7" ht="12" customHeight="1" outlineLevel="2" x14ac:dyDescent="0.2">
      <c r="A16409" s="14" t="s">
        <v>32284</v>
      </c>
      <c r="B16409" s="15" t="s">
        <v>32285</v>
      </c>
      <c r="C16409" s="16">
        <f>5.28/(1+B2)</f>
        <v>5.28</v>
      </c>
      <c r="D16409" s="17" t="s">
        <v>106</v>
      </c>
      <c r="E16409" s="17"/>
      <c r="F16409" s="18"/>
      <c r="G16409" s="36" t="str">
        <f>IF(ISNUMBER(F16409),C16409*F16409,"")</f>
        <v/>
      </c>
    </row>
    <row r="16410" spans="1:7" ht="12" customHeight="1" outlineLevel="2" x14ac:dyDescent="0.2">
      <c r="A16410" s="14" t="s">
        <v>32286</v>
      </c>
      <c r="B16410" s="15" t="s">
        <v>32287</v>
      </c>
      <c r="C16410" s="16">
        <f>52.55/(1+B2)</f>
        <v>52.55</v>
      </c>
      <c r="D16410" s="17" t="s">
        <v>11</v>
      </c>
      <c r="E16410" s="17"/>
      <c r="F16410" s="18"/>
      <c r="G16410" s="36" t="str">
        <f>IF(ISNUMBER(F16410),C16410*F16410,"")</f>
        <v/>
      </c>
    </row>
    <row r="16411" spans="1:7" ht="12" customHeight="1" outlineLevel="2" x14ac:dyDescent="0.2">
      <c r="A16411" s="14" t="s">
        <v>32288</v>
      </c>
      <c r="B16411" s="15" t="s">
        <v>32289</v>
      </c>
      <c r="C16411" s="16">
        <f>52.55/(1+B2)</f>
        <v>52.55</v>
      </c>
      <c r="D16411" s="17" t="s">
        <v>11</v>
      </c>
      <c r="E16411" s="17"/>
      <c r="F16411" s="18"/>
      <c r="G16411" s="36" t="str">
        <f>IF(ISNUMBER(F16411),C16411*F16411,"")</f>
        <v/>
      </c>
    </row>
    <row r="16412" spans="1:7" ht="12" customHeight="1" outlineLevel="2" x14ac:dyDescent="0.2">
      <c r="A16412" s="14" t="s">
        <v>32290</v>
      </c>
      <c r="B16412" s="15" t="s">
        <v>32291</v>
      </c>
      <c r="C16412" s="16">
        <f>79.93/(1+B2)</f>
        <v>79.930000000000007</v>
      </c>
      <c r="D16412" s="17" t="s">
        <v>11</v>
      </c>
      <c r="E16412" s="17"/>
      <c r="F16412" s="18"/>
      <c r="G16412" s="36" t="str">
        <f>IF(ISNUMBER(F16412),C16412*F16412,"")</f>
        <v/>
      </c>
    </row>
    <row r="16413" spans="1:7" ht="24" customHeight="1" outlineLevel="2" x14ac:dyDescent="0.2">
      <c r="A16413" s="14" t="s">
        <v>32292</v>
      </c>
      <c r="B16413" s="15" t="s">
        <v>32293</v>
      </c>
      <c r="C16413" s="16">
        <f>120.78/(1+B2)</f>
        <v>120.78</v>
      </c>
      <c r="D16413" s="17" t="s">
        <v>11</v>
      </c>
      <c r="E16413" s="17"/>
      <c r="F16413" s="18"/>
      <c r="G16413" s="36" t="str">
        <f>IF(ISNUMBER(F16413),C16413*F16413,"")</f>
        <v/>
      </c>
    </row>
    <row r="16414" spans="1:7" ht="24" customHeight="1" outlineLevel="2" x14ac:dyDescent="0.2">
      <c r="A16414" s="14" t="s">
        <v>32294</v>
      </c>
      <c r="B16414" s="15" t="s">
        <v>32295</v>
      </c>
      <c r="C16414" s="16">
        <f>91.5/(1+B2)</f>
        <v>91.5</v>
      </c>
      <c r="D16414" s="17" t="s">
        <v>11</v>
      </c>
      <c r="E16414" s="17"/>
      <c r="F16414" s="18"/>
      <c r="G16414" s="36" t="str">
        <f>IF(ISNUMBER(F16414),C16414*F16414,"")</f>
        <v/>
      </c>
    </row>
    <row r="16415" spans="1:7" ht="12" customHeight="1" outlineLevel="2" x14ac:dyDescent="0.2">
      <c r="A16415" s="14" t="s">
        <v>32296</v>
      </c>
      <c r="B16415" s="15" t="s">
        <v>32297</v>
      </c>
      <c r="C16415" s="16">
        <f>75.72/(1+B2)</f>
        <v>75.72</v>
      </c>
      <c r="D16415" s="17" t="s">
        <v>11</v>
      </c>
      <c r="E16415" s="17"/>
      <c r="F16415" s="18"/>
      <c r="G16415" s="36" t="str">
        <f>IF(ISNUMBER(F16415),C16415*F16415,"")</f>
        <v/>
      </c>
    </row>
    <row r="16416" spans="1:7" ht="12" customHeight="1" outlineLevel="2" x14ac:dyDescent="0.2">
      <c r="A16416" s="14" t="s">
        <v>32298</v>
      </c>
      <c r="B16416" s="15" t="s">
        <v>32299</v>
      </c>
      <c r="C16416" s="16">
        <f>137.46/(1+B2)</f>
        <v>137.46</v>
      </c>
      <c r="D16416" s="17" t="s">
        <v>14</v>
      </c>
      <c r="E16416" s="17"/>
      <c r="F16416" s="18"/>
      <c r="G16416" s="36" t="str">
        <f>IF(ISNUMBER(F16416),C16416*F16416,"")</f>
        <v/>
      </c>
    </row>
    <row r="16417" spans="1:7" ht="12" customHeight="1" outlineLevel="2" x14ac:dyDescent="0.2">
      <c r="A16417" s="14" t="s">
        <v>32300</v>
      </c>
      <c r="B16417" s="15" t="s">
        <v>32301</v>
      </c>
      <c r="C16417" s="16">
        <f>68.52/(1+B2)</f>
        <v>68.52</v>
      </c>
      <c r="D16417" s="17" t="s">
        <v>14</v>
      </c>
      <c r="E16417" s="17"/>
      <c r="F16417" s="18"/>
      <c r="G16417" s="36" t="str">
        <f>IF(ISNUMBER(F16417),C16417*F16417,"")</f>
        <v/>
      </c>
    </row>
    <row r="16418" spans="1:7" ht="12" customHeight="1" outlineLevel="2" x14ac:dyDescent="0.2">
      <c r="A16418" s="14" t="s">
        <v>32302</v>
      </c>
      <c r="B16418" s="15" t="s">
        <v>32303</v>
      </c>
      <c r="C16418" s="16">
        <f>69.66/(1+B2)</f>
        <v>69.66</v>
      </c>
      <c r="D16418" s="17" t="s">
        <v>11</v>
      </c>
      <c r="E16418" s="17"/>
      <c r="F16418" s="18"/>
      <c r="G16418" s="36" t="str">
        <f>IF(ISNUMBER(F16418),C16418*F16418,"")</f>
        <v/>
      </c>
    </row>
    <row r="16419" spans="1:7" ht="12" customHeight="1" outlineLevel="2" x14ac:dyDescent="0.2">
      <c r="A16419" s="14" t="s">
        <v>32304</v>
      </c>
      <c r="B16419" s="15" t="s">
        <v>32305</v>
      </c>
      <c r="C16419" s="16">
        <f>91.74/(1+B2)</f>
        <v>91.74</v>
      </c>
      <c r="D16419" s="17" t="s">
        <v>14</v>
      </c>
      <c r="E16419" s="17"/>
      <c r="F16419" s="18"/>
      <c r="G16419" s="36" t="str">
        <f>IF(ISNUMBER(F16419),C16419*F16419,"")</f>
        <v/>
      </c>
    </row>
    <row r="16420" spans="1:7" ht="12" customHeight="1" outlineLevel="2" x14ac:dyDescent="0.2">
      <c r="A16420" s="14" t="s">
        <v>32306</v>
      </c>
      <c r="B16420" s="15" t="s">
        <v>32307</v>
      </c>
      <c r="C16420" s="16">
        <f>63.95/(1+B2)</f>
        <v>63.95</v>
      </c>
      <c r="D16420" s="17" t="s">
        <v>11</v>
      </c>
      <c r="E16420" s="17" t="s">
        <v>11</v>
      </c>
      <c r="F16420" s="18"/>
      <c r="G16420" s="36" t="str">
        <f>IF(ISNUMBER(F16420),C16420*F16420,"")</f>
        <v/>
      </c>
    </row>
    <row r="16421" spans="1:7" ht="12" customHeight="1" outlineLevel="2" x14ac:dyDescent="0.2">
      <c r="A16421" s="14" t="s">
        <v>32308</v>
      </c>
      <c r="B16421" s="15" t="s">
        <v>32309</v>
      </c>
      <c r="C16421" s="16">
        <f>437.54/(1+B2)</f>
        <v>437.54</v>
      </c>
      <c r="D16421" s="17" t="s">
        <v>11</v>
      </c>
      <c r="E16421" s="17"/>
      <c r="F16421" s="18"/>
      <c r="G16421" s="36" t="str">
        <f>IF(ISNUMBER(F16421),C16421*F16421,"")</f>
        <v/>
      </c>
    </row>
    <row r="16422" spans="1:7" ht="12" customHeight="1" outlineLevel="2" x14ac:dyDescent="0.2">
      <c r="A16422" s="14" t="s">
        <v>32310</v>
      </c>
      <c r="B16422" s="15" t="s">
        <v>32311</v>
      </c>
      <c r="C16422" s="16">
        <f>437.54/(1+B2)</f>
        <v>437.54</v>
      </c>
      <c r="D16422" s="17" t="s">
        <v>11</v>
      </c>
      <c r="E16422" s="17"/>
      <c r="F16422" s="18"/>
      <c r="G16422" s="36" t="str">
        <f>IF(ISNUMBER(F16422),C16422*F16422,"")</f>
        <v/>
      </c>
    </row>
    <row r="16423" spans="1:7" ht="12" customHeight="1" outlineLevel="2" x14ac:dyDescent="0.2">
      <c r="A16423" s="14" t="s">
        <v>32312</v>
      </c>
      <c r="B16423" s="15" t="s">
        <v>32313</v>
      </c>
      <c r="C16423" s="16">
        <f>309.34/(1+B2)</f>
        <v>309.33999999999997</v>
      </c>
      <c r="D16423" s="17" t="s">
        <v>11</v>
      </c>
      <c r="E16423" s="17"/>
      <c r="F16423" s="18"/>
      <c r="G16423" s="36" t="str">
        <f>IF(ISNUMBER(F16423),C16423*F16423,"")</f>
        <v/>
      </c>
    </row>
    <row r="16424" spans="1:7" ht="12" customHeight="1" outlineLevel="2" x14ac:dyDescent="0.2">
      <c r="A16424" s="14" t="s">
        <v>32314</v>
      </c>
      <c r="B16424" s="15" t="s">
        <v>32315</v>
      </c>
      <c r="C16424" s="16">
        <f>357.79/(1+B2)</f>
        <v>357.79</v>
      </c>
      <c r="D16424" s="17" t="s">
        <v>11</v>
      </c>
      <c r="E16424" s="17"/>
      <c r="F16424" s="18"/>
      <c r="G16424" s="36" t="str">
        <f>IF(ISNUMBER(F16424),C16424*F16424,"")</f>
        <v/>
      </c>
    </row>
    <row r="16425" spans="1:7" ht="12" customHeight="1" outlineLevel="2" x14ac:dyDescent="0.2">
      <c r="A16425" s="14" t="s">
        <v>32316</v>
      </c>
      <c r="B16425" s="15" t="s">
        <v>32317</v>
      </c>
      <c r="C16425" s="16">
        <f>481.36/(1+B2)</f>
        <v>481.36</v>
      </c>
      <c r="D16425" s="17" t="s">
        <v>11</v>
      </c>
      <c r="E16425" s="17" t="s">
        <v>11</v>
      </c>
      <c r="F16425" s="18"/>
      <c r="G16425" s="36" t="str">
        <f>IF(ISNUMBER(F16425),C16425*F16425,"")</f>
        <v/>
      </c>
    </row>
    <row r="16426" spans="1:7" ht="12" customHeight="1" outlineLevel="2" x14ac:dyDescent="0.2">
      <c r="A16426" s="14" t="s">
        <v>32318</v>
      </c>
      <c r="B16426" s="15" t="s">
        <v>32319</v>
      </c>
      <c r="C16426" s="16">
        <f>335.68/(1+B2)</f>
        <v>335.68</v>
      </c>
      <c r="D16426" s="17" t="s">
        <v>11</v>
      </c>
      <c r="E16426" s="17"/>
      <c r="F16426" s="18"/>
      <c r="G16426" s="36" t="str">
        <f>IF(ISNUMBER(F16426),C16426*F16426,"")</f>
        <v/>
      </c>
    </row>
    <row r="16427" spans="1:7" ht="12" customHeight="1" outlineLevel="2" x14ac:dyDescent="0.2">
      <c r="A16427" s="14" t="s">
        <v>32320</v>
      </c>
      <c r="B16427" s="15" t="s">
        <v>32321</v>
      </c>
      <c r="C16427" s="16">
        <f>335.21/(1+B2)</f>
        <v>335.21</v>
      </c>
      <c r="D16427" s="17" t="s">
        <v>11</v>
      </c>
      <c r="E16427" s="17"/>
      <c r="F16427" s="18"/>
      <c r="G16427" s="36" t="str">
        <f>IF(ISNUMBER(F16427),C16427*F16427,"")</f>
        <v/>
      </c>
    </row>
    <row r="16428" spans="1:7" ht="12" customHeight="1" outlineLevel="2" x14ac:dyDescent="0.2">
      <c r="A16428" s="14" t="s">
        <v>32322</v>
      </c>
      <c r="B16428" s="15" t="s">
        <v>32323</v>
      </c>
      <c r="C16428" s="16">
        <f>297.7/(1+B2)</f>
        <v>297.7</v>
      </c>
      <c r="D16428" s="17" t="s">
        <v>11</v>
      </c>
      <c r="E16428" s="17"/>
      <c r="F16428" s="18"/>
      <c r="G16428" s="36" t="str">
        <f>IF(ISNUMBER(F16428),C16428*F16428,"")</f>
        <v/>
      </c>
    </row>
    <row r="16429" spans="1:7" ht="24" customHeight="1" outlineLevel="2" x14ac:dyDescent="0.2">
      <c r="A16429" s="14" t="s">
        <v>32324</v>
      </c>
      <c r="B16429" s="15" t="s">
        <v>32325</v>
      </c>
      <c r="C16429" s="16">
        <f>326.59/(1+B2)</f>
        <v>326.58999999999997</v>
      </c>
      <c r="D16429" s="17" t="s">
        <v>11</v>
      </c>
      <c r="E16429" s="17"/>
      <c r="F16429" s="18"/>
      <c r="G16429" s="36" t="str">
        <f>IF(ISNUMBER(F16429),C16429*F16429,"")</f>
        <v/>
      </c>
    </row>
    <row r="16430" spans="1:7" ht="12" customHeight="1" outlineLevel="2" x14ac:dyDescent="0.2">
      <c r="A16430" s="14" t="s">
        <v>32326</v>
      </c>
      <c r="B16430" s="15" t="s">
        <v>32327</v>
      </c>
      <c r="C16430" s="16">
        <f>310.87/(1+B2)</f>
        <v>310.87</v>
      </c>
      <c r="D16430" s="17" t="s">
        <v>11</v>
      </c>
      <c r="E16430" s="17"/>
      <c r="F16430" s="18"/>
      <c r="G16430" s="36" t="str">
        <f>IF(ISNUMBER(F16430),C16430*F16430,"")</f>
        <v/>
      </c>
    </row>
    <row r="16431" spans="1:7" ht="12" customHeight="1" outlineLevel="2" x14ac:dyDescent="0.2">
      <c r="A16431" s="14" t="s">
        <v>32328</v>
      </c>
      <c r="B16431" s="15" t="s">
        <v>32329</v>
      </c>
      <c r="C16431" s="16">
        <f>358.74/(1+B2)</f>
        <v>358.74</v>
      </c>
      <c r="D16431" s="17" t="s">
        <v>11</v>
      </c>
      <c r="E16431" s="17"/>
      <c r="F16431" s="18"/>
      <c r="G16431" s="36" t="str">
        <f>IF(ISNUMBER(F16431),C16431*F16431,"")</f>
        <v/>
      </c>
    </row>
    <row r="16432" spans="1:7" ht="24" customHeight="1" outlineLevel="2" x14ac:dyDescent="0.2">
      <c r="A16432" s="14" t="s">
        <v>32330</v>
      </c>
      <c r="B16432" s="15" t="s">
        <v>32331</v>
      </c>
      <c r="C16432" s="16">
        <f>336.86/(1+B2)</f>
        <v>336.86</v>
      </c>
      <c r="D16432" s="17" t="s">
        <v>11</v>
      </c>
      <c r="E16432" s="17" t="s">
        <v>11</v>
      </c>
      <c r="F16432" s="18"/>
      <c r="G16432" s="36" t="str">
        <f>IF(ISNUMBER(F16432),C16432*F16432,"")</f>
        <v/>
      </c>
    </row>
    <row r="16433" spans="1:7" ht="24" customHeight="1" outlineLevel="2" x14ac:dyDescent="0.2">
      <c r="A16433" s="14" t="s">
        <v>32332</v>
      </c>
      <c r="B16433" s="15" t="s">
        <v>32333</v>
      </c>
      <c r="C16433" s="16">
        <f>156.05/(1+B2)</f>
        <v>156.05000000000001</v>
      </c>
      <c r="D16433" s="17" t="s">
        <v>14</v>
      </c>
      <c r="E16433" s="17"/>
      <c r="F16433" s="18"/>
      <c r="G16433" s="36" t="str">
        <f>IF(ISNUMBER(F16433),C16433*F16433,"")</f>
        <v/>
      </c>
    </row>
    <row r="16434" spans="1:7" ht="12" customHeight="1" outlineLevel="2" x14ac:dyDescent="0.2">
      <c r="A16434" s="14" t="s">
        <v>32334</v>
      </c>
      <c r="B16434" s="15" t="s">
        <v>32335</v>
      </c>
      <c r="C16434" s="16">
        <f>209.66/(1+B2)</f>
        <v>209.66</v>
      </c>
      <c r="D16434" s="17" t="s">
        <v>11</v>
      </c>
      <c r="E16434" s="17"/>
      <c r="F16434" s="18"/>
      <c r="G16434" s="36" t="str">
        <f>IF(ISNUMBER(F16434),C16434*F16434,"")</f>
        <v/>
      </c>
    </row>
    <row r="16435" spans="1:7" ht="24" customHeight="1" outlineLevel="2" x14ac:dyDescent="0.2">
      <c r="A16435" s="14" t="s">
        <v>32336</v>
      </c>
      <c r="B16435" s="15" t="s">
        <v>32337</v>
      </c>
      <c r="C16435" s="16">
        <f>154.37/(1+B2)</f>
        <v>154.37</v>
      </c>
      <c r="D16435" s="17" t="s">
        <v>11</v>
      </c>
      <c r="E16435" s="17"/>
      <c r="F16435" s="18"/>
      <c r="G16435" s="36" t="str">
        <f>IF(ISNUMBER(F16435),C16435*F16435,"")</f>
        <v/>
      </c>
    </row>
    <row r="16436" spans="1:7" ht="12" customHeight="1" outlineLevel="2" x14ac:dyDescent="0.2">
      <c r="A16436" s="14" t="s">
        <v>32338</v>
      </c>
      <c r="B16436" s="15" t="s">
        <v>32339</v>
      </c>
      <c r="C16436" s="16">
        <f>108.48/(1+B2)</f>
        <v>108.48</v>
      </c>
      <c r="D16436" s="17" t="s">
        <v>14</v>
      </c>
      <c r="E16436" s="17"/>
      <c r="F16436" s="18"/>
      <c r="G16436" s="36" t="str">
        <f>IF(ISNUMBER(F16436),C16436*F16436,"")</f>
        <v/>
      </c>
    </row>
    <row r="16437" spans="1:7" ht="12" customHeight="1" outlineLevel="2" x14ac:dyDescent="0.2">
      <c r="A16437" s="14" t="s">
        <v>32340</v>
      </c>
      <c r="B16437" s="15" t="s">
        <v>32341</v>
      </c>
      <c r="C16437" s="16">
        <f>108.48/(1+B2)</f>
        <v>108.48</v>
      </c>
      <c r="D16437" s="17" t="s">
        <v>14</v>
      </c>
      <c r="E16437" s="17"/>
      <c r="F16437" s="18"/>
      <c r="G16437" s="36" t="str">
        <f>IF(ISNUMBER(F16437),C16437*F16437,"")</f>
        <v/>
      </c>
    </row>
    <row r="16438" spans="1:7" ht="12" customHeight="1" outlineLevel="2" x14ac:dyDescent="0.2">
      <c r="A16438" s="14" t="s">
        <v>32342</v>
      </c>
      <c r="B16438" s="15" t="s">
        <v>32343</v>
      </c>
      <c r="C16438" s="16">
        <f>90.22/(1+B2)</f>
        <v>90.22</v>
      </c>
      <c r="D16438" s="17" t="s">
        <v>14</v>
      </c>
      <c r="E16438" s="17"/>
      <c r="F16438" s="18"/>
      <c r="G16438" s="36" t="str">
        <f>IF(ISNUMBER(F16438),C16438*F16438,"")</f>
        <v/>
      </c>
    </row>
    <row r="16439" spans="1:7" ht="12" customHeight="1" outlineLevel="2" x14ac:dyDescent="0.2">
      <c r="A16439" s="14" t="s">
        <v>32344</v>
      </c>
      <c r="B16439" s="15" t="s">
        <v>32345</v>
      </c>
      <c r="C16439" s="16">
        <f>246.26/(1+B2)</f>
        <v>246.26</v>
      </c>
      <c r="D16439" s="17" t="s">
        <v>11</v>
      </c>
      <c r="E16439" s="17"/>
      <c r="F16439" s="18"/>
      <c r="G16439" s="36" t="str">
        <f>IF(ISNUMBER(F16439),C16439*F16439,"")</f>
        <v/>
      </c>
    </row>
    <row r="16440" spans="1:7" ht="12" customHeight="1" outlineLevel="2" x14ac:dyDescent="0.2">
      <c r="A16440" s="14" t="s">
        <v>32346</v>
      </c>
      <c r="B16440" s="15" t="s">
        <v>32347</v>
      </c>
      <c r="C16440" s="16">
        <f>246.26/(1+B2)</f>
        <v>246.26</v>
      </c>
      <c r="D16440" s="17" t="s">
        <v>11</v>
      </c>
      <c r="E16440" s="17"/>
      <c r="F16440" s="18"/>
      <c r="G16440" s="36" t="str">
        <f>IF(ISNUMBER(F16440),C16440*F16440,"")</f>
        <v/>
      </c>
    </row>
    <row r="16441" spans="1:7" ht="24" customHeight="1" outlineLevel="2" x14ac:dyDescent="0.2">
      <c r="A16441" s="14" t="s">
        <v>32348</v>
      </c>
      <c r="B16441" s="15" t="s">
        <v>32349</v>
      </c>
      <c r="C16441" s="16">
        <f>206.87/(1+B2)</f>
        <v>206.87</v>
      </c>
      <c r="D16441" s="17" t="s">
        <v>11</v>
      </c>
      <c r="E16441" s="17"/>
      <c r="F16441" s="18"/>
      <c r="G16441" s="36" t="str">
        <f>IF(ISNUMBER(F16441),C16441*F16441,"")</f>
        <v/>
      </c>
    </row>
    <row r="16442" spans="1:7" ht="12" customHeight="1" outlineLevel="2" x14ac:dyDescent="0.2">
      <c r="A16442" s="14" t="s">
        <v>32350</v>
      </c>
      <c r="B16442" s="15" t="s">
        <v>32351</v>
      </c>
      <c r="C16442" s="16">
        <f>12.62/(1+B2)</f>
        <v>12.62</v>
      </c>
      <c r="D16442" s="17" t="s">
        <v>11</v>
      </c>
      <c r="E16442" s="17"/>
      <c r="F16442" s="18"/>
      <c r="G16442" s="36" t="str">
        <f>IF(ISNUMBER(F16442),C16442*F16442,"")</f>
        <v/>
      </c>
    </row>
    <row r="16443" spans="1:7" ht="12" customHeight="1" outlineLevel="2" x14ac:dyDescent="0.2">
      <c r="A16443" s="14" t="s">
        <v>32352</v>
      </c>
      <c r="B16443" s="15" t="s">
        <v>32353</v>
      </c>
      <c r="C16443" s="16">
        <f>14.84/(1+B2)</f>
        <v>14.84</v>
      </c>
      <c r="D16443" s="17" t="s">
        <v>14</v>
      </c>
      <c r="E16443" s="17"/>
      <c r="F16443" s="18"/>
      <c r="G16443" s="36" t="str">
        <f>IF(ISNUMBER(F16443),C16443*F16443,"")</f>
        <v/>
      </c>
    </row>
    <row r="16444" spans="1:7" ht="12" customHeight="1" outlineLevel="2" x14ac:dyDescent="0.2">
      <c r="A16444" s="14" t="s">
        <v>32354</v>
      </c>
      <c r="B16444" s="15" t="s">
        <v>32355</v>
      </c>
      <c r="C16444" s="16">
        <f>9.13/(1+B2)</f>
        <v>9.1300000000000008</v>
      </c>
      <c r="D16444" s="17" t="s">
        <v>53</v>
      </c>
      <c r="E16444" s="17"/>
      <c r="F16444" s="18"/>
      <c r="G16444" s="36" t="str">
        <f>IF(ISNUMBER(F16444),C16444*F16444,"")</f>
        <v/>
      </c>
    </row>
    <row r="16445" spans="1:7" ht="12" customHeight="1" outlineLevel="2" x14ac:dyDescent="0.2">
      <c r="A16445" s="14" t="s">
        <v>32356</v>
      </c>
      <c r="B16445" s="15" t="s">
        <v>32357</v>
      </c>
      <c r="C16445" s="16">
        <f>91.74/(1+B2)</f>
        <v>91.74</v>
      </c>
      <c r="D16445" s="17" t="s">
        <v>11</v>
      </c>
      <c r="E16445" s="17"/>
      <c r="F16445" s="18"/>
      <c r="G16445" s="36" t="str">
        <f>IF(ISNUMBER(F16445),C16445*F16445,"")</f>
        <v/>
      </c>
    </row>
    <row r="16446" spans="1:7" ht="12" customHeight="1" outlineLevel="2" x14ac:dyDescent="0.2">
      <c r="A16446" s="14" t="s">
        <v>32358</v>
      </c>
      <c r="B16446" s="15" t="s">
        <v>32359</v>
      </c>
      <c r="C16446" s="16">
        <f>79.98/(1+B2)</f>
        <v>79.98</v>
      </c>
      <c r="D16446" s="17" t="s">
        <v>11</v>
      </c>
      <c r="E16446" s="17"/>
      <c r="F16446" s="18"/>
      <c r="G16446" s="36" t="str">
        <f>IF(ISNUMBER(F16446),C16446*F16446,"")</f>
        <v/>
      </c>
    </row>
    <row r="16447" spans="1:7" ht="12" customHeight="1" outlineLevel="2" x14ac:dyDescent="0.2">
      <c r="A16447" s="14" t="s">
        <v>32360</v>
      </c>
      <c r="B16447" s="15" t="s">
        <v>32361</v>
      </c>
      <c r="C16447" s="16">
        <f>79.98/(1+B2)</f>
        <v>79.98</v>
      </c>
      <c r="D16447" s="17" t="s">
        <v>11</v>
      </c>
      <c r="E16447" s="17"/>
      <c r="F16447" s="18"/>
      <c r="G16447" s="36" t="str">
        <f>IF(ISNUMBER(F16447),C16447*F16447,"")</f>
        <v/>
      </c>
    </row>
    <row r="16448" spans="1:7" ht="12" customHeight="1" outlineLevel="2" x14ac:dyDescent="0.2">
      <c r="A16448" s="14" t="s">
        <v>32362</v>
      </c>
      <c r="B16448" s="15" t="s">
        <v>32363</v>
      </c>
      <c r="C16448" s="16">
        <f>70.57/(1+B2)</f>
        <v>70.569999999999993</v>
      </c>
      <c r="D16448" s="17" t="s">
        <v>11</v>
      </c>
      <c r="E16448" s="17"/>
      <c r="F16448" s="18"/>
      <c r="G16448" s="36" t="str">
        <f>IF(ISNUMBER(F16448),C16448*F16448,"")</f>
        <v/>
      </c>
    </row>
    <row r="16449" spans="1:7" ht="12" customHeight="1" outlineLevel="2" x14ac:dyDescent="0.2">
      <c r="A16449" s="14" t="s">
        <v>32364</v>
      </c>
      <c r="B16449" s="15" t="s">
        <v>32365</v>
      </c>
      <c r="C16449" s="16">
        <f>66.23/(1+B2)</f>
        <v>66.23</v>
      </c>
      <c r="D16449" s="17" t="s">
        <v>11</v>
      </c>
      <c r="E16449" s="17"/>
      <c r="F16449" s="18"/>
      <c r="G16449" s="36" t="str">
        <f>IF(ISNUMBER(F16449),C16449*F16449,"")</f>
        <v/>
      </c>
    </row>
    <row r="16450" spans="1:7" ht="12" customHeight="1" outlineLevel="2" x14ac:dyDescent="0.2">
      <c r="A16450" s="14" t="s">
        <v>32366</v>
      </c>
      <c r="B16450" s="15" t="s">
        <v>32367</v>
      </c>
      <c r="C16450" s="16">
        <f>329.34/(1+B2)</f>
        <v>329.34</v>
      </c>
      <c r="D16450" s="17" t="s">
        <v>11</v>
      </c>
      <c r="E16450" s="17"/>
      <c r="F16450" s="18"/>
      <c r="G16450" s="36" t="str">
        <f>IF(ISNUMBER(F16450),C16450*F16450,"")</f>
        <v/>
      </c>
    </row>
    <row r="16451" spans="1:7" ht="12" customHeight="1" outlineLevel="2" x14ac:dyDescent="0.2">
      <c r="A16451" s="14" t="s">
        <v>32368</v>
      </c>
      <c r="B16451" s="15" t="s">
        <v>32369</v>
      </c>
      <c r="C16451" s="16">
        <f>66.23/(1+B2)</f>
        <v>66.23</v>
      </c>
      <c r="D16451" s="17" t="s">
        <v>14</v>
      </c>
      <c r="E16451" s="17"/>
      <c r="F16451" s="18"/>
      <c r="G16451" s="36" t="str">
        <f>IF(ISNUMBER(F16451),C16451*F16451,"")</f>
        <v/>
      </c>
    </row>
    <row r="16452" spans="1:7" ht="12" customHeight="1" outlineLevel="2" x14ac:dyDescent="0.2">
      <c r="A16452" s="14" t="s">
        <v>32370</v>
      </c>
      <c r="B16452" s="15" t="s">
        <v>32371</v>
      </c>
      <c r="C16452" s="16">
        <f>41.11/(1+B2)</f>
        <v>41.11</v>
      </c>
      <c r="D16452" s="17" t="s">
        <v>14</v>
      </c>
      <c r="E16452" s="17"/>
      <c r="F16452" s="18"/>
      <c r="G16452" s="36" t="str">
        <f>IF(ISNUMBER(F16452),C16452*F16452,"")</f>
        <v/>
      </c>
    </row>
    <row r="16453" spans="1:7" ht="12" customHeight="1" outlineLevel="2" x14ac:dyDescent="0.2">
      <c r="A16453" s="14" t="s">
        <v>32372</v>
      </c>
      <c r="B16453" s="15" t="s">
        <v>32373</v>
      </c>
      <c r="C16453" s="16">
        <f>329.34/(1+B2)</f>
        <v>329.34</v>
      </c>
      <c r="D16453" s="17" t="s">
        <v>11</v>
      </c>
      <c r="E16453" s="17"/>
      <c r="F16453" s="18"/>
      <c r="G16453" s="36" t="str">
        <f>IF(ISNUMBER(F16453),C16453*F16453,"")</f>
        <v/>
      </c>
    </row>
    <row r="16454" spans="1:7" ht="12" customHeight="1" outlineLevel="2" x14ac:dyDescent="0.2">
      <c r="A16454" s="14" t="s">
        <v>32374</v>
      </c>
      <c r="B16454" s="15" t="s">
        <v>32375</v>
      </c>
      <c r="C16454" s="16">
        <f>248.94/(1+B2)</f>
        <v>248.94</v>
      </c>
      <c r="D16454" s="17" t="s">
        <v>11</v>
      </c>
      <c r="E16454" s="17"/>
      <c r="F16454" s="18"/>
      <c r="G16454" s="36" t="str">
        <f>IF(ISNUMBER(F16454),C16454*F16454,"")</f>
        <v/>
      </c>
    </row>
    <row r="16455" spans="1:7" ht="12" customHeight="1" outlineLevel="2" x14ac:dyDescent="0.2">
      <c r="A16455" s="14" t="s">
        <v>32376</v>
      </c>
      <c r="B16455" s="15" t="s">
        <v>32377</v>
      </c>
      <c r="C16455" s="16">
        <f>332.44/(1+B2)</f>
        <v>332.44</v>
      </c>
      <c r="D16455" s="17" t="s">
        <v>11</v>
      </c>
      <c r="E16455" s="17"/>
      <c r="F16455" s="18"/>
      <c r="G16455" s="36" t="str">
        <f>IF(ISNUMBER(F16455),C16455*F16455,"")</f>
        <v/>
      </c>
    </row>
    <row r="16456" spans="1:7" ht="12" customHeight="1" outlineLevel="2" x14ac:dyDescent="0.2">
      <c r="A16456" s="14" t="s">
        <v>32378</v>
      </c>
      <c r="B16456" s="15" t="s">
        <v>32379</v>
      </c>
      <c r="C16456" s="16">
        <f>309.2/(1+B2)</f>
        <v>309.2</v>
      </c>
      <c r="D16456" s="17" t="s">
        <v>11</v>
      </c>
      <c r="E16456" s="17"/>
      <c r="F16456" s="18"/>
      <c r="G16456" s="36" t="str">
        <f>IF(ISNUMBER(F16456),C16456*F16456,"")</f>
        <v/>
      </c>
    </row>
    <row r="16457" spans="1:7" ht="12" customHeight="1" outlineLevel="2" x14ac:dyDescent="0.2">
      <c r="A16457" s="14" t="s">
        <v>32380</v>
      </c>
      <c r="B16457" s="15" t="s">
        <v>32381</v>
      </c>
      <c r="C16457" s="16">
        <f>192.78/(1+B2)</f>
        <v>192.78</v>
      </c>
      <c r="D16457" s="17" t="s">
        <v>11</v>
      </c>
      <c r="E16457" s="17"/>
      <c r="F16457" s="18"/>
      <c r="G16457" s="36" t="str">
        <f>IF(ISNUMBER(F16457),C16457*F16457,"")</f>
        <v/>
      </c>
    </row>
    <row r="16458" spans="1:7" ht="12" customHeight="1" outlineLevel="2" x14ac:dyDescent="0.2">
      <c r="A16458" s="14" t="s">
        <v>32382</v>
      </c>
      <c r="B16458" s="15" t="s">
        <v>32383</v>
      </c>
      <c r="C16458" s="16">
        <f>76.45/(1+B2)</f>
        <v>76.45</v>
      </c>
      <c r="D16458" s="17" t="s">
        <v>11</v>
      </c>
      <c r="E16458" s="17"/>
      <c r="F16458" s="18"/>
      <c r="G16458" s="36" t="str">
        <f>IF(ISNUMBER(F16458),C16458*F16458,"")</f>
        <v/>
      </c>
    </row>
    <row r="16459" spans="1:7" ht="12" customHeight="1" outlineLevel="2" x14ac:dyDescent="0.2">
      <c r="A16459" s="14" t="s">
        <v>32384</v>
      </c>
      <c r="B16459" s="15" t="s">
        <v>32385</v>
      </c>
      <c r="C16459" s="16">
        <f>76.45/(1+B2)</f>
        <v>76.45</v>
      </c>
      <c r="D16459" s="17" t="s">
        <v>11</v>
      </c>
      <c r="E16459" s="17"/>
      <c r="F16459" s="18"/>
      <c r="G16459" s="36" t="str">
        <f>IF(ISNUMBER(F16459),C16459*F16459,"")</f>
        <v/>
      </c>
    </row>
    <row r="16460" spans="1:7" ht="12" customHeight="1" outlineLevel="2" x14ac:dyDescent="0.2">
      <c r="A16460" s="14" t="s">
        <v>32386</v>
      </c>
      <c r="B16460" s="15" t="s">
        <v>32387</v>
      </c>
      <c r="C16460" s="16">
        <f>63.3/(1+B2)</f>
        <v>63.3</v>
      </c>
      <c r="D16460" s="17" t="s">
        <v>11</v>
      </c>
      <c r="E16460" s="17"/>
      <c r="F16460" s="18"/>
      <c r="G16460" s="36" t="str">
        <f>IF(ISNUMBER(F16460),C16460*F16460,"")</f>
        <v/>
      </c>
    </row>
    <row r="16461" spans="1:7" ht="12" customHeight="1" outlineLevel="2" x14ac:dyDescent="0.2">
      <c r="A16461" s="14" t="s">
        <v>32388</v>
      </c>
      <c r="B16461" s="15" t="s">
        <v>32389</v>
      </c>
      <c r="C16461" s="16">
        <f>371.12/(1+B2)</f>
        <v>371.12</v>
      </c>
      <c r="D16461" s="17" t="s">
        <v>11</v>
      </c>
      <c r="E16461" s="17"/>
      <c r="F16461" s="18"/>
      <c r="G16461" s="36" t="str">
        <f>IF(ISNUMBER(F16461),C16461*F16461,"")</f>
        <v/>
      </c>
    </row>
    <row r="16462" spans="1:7" ht="12" customHeight="1" outlineLevel="2" x14ac:dyDescent="0.2">
      <c r="A16462" s="14" t="s">
        <v>32390</v>
      </c>
      <c r="B16462" s="15" t="s">
        <v>32391</v>
      </c>
      <c r="C16462" s="16">
        <f>58.81/(1+B2)</f>
        <v>58.81</v>
      </c>
      <c r="D16462" s="17" t="s">
        <v>11</v>
      </c>
      <c r="E16462" s="17"/>
      <c r="F16462" s="18"/>
      <c r="G16462" s="36" t="str">
        <f>IF(ISNUMBER(F16462),C16462*F16462,"")</f>
        <v/>
      </c>
    </row>
    <row r="16463" spans="1:7" ht="12" customHeight="1" outlineLevel="2" x14ac:dyDescent="0.2">
      <c r="A16463" s="14" t="s">
        <v>32392</v>
      </c>
      <c r="B16463" s="15" t="s">
        <v>32393</v>
      </c>
      <c r="C16463" s="16">
        <f>43.39/(1+B2)</f>
        <v>43.39</v>
      </c>
      <c r="D16463" s="17" t="s">
        <v>11</v>
      </c>
      <c r="E16463" s="17"/>
      <c r="F16463" s="18"/>
      <c r="G16463" s="36" t="str">
        <f>IF(ISNUMBER(F16463),C16463*F16463,"")</f>
        <v/>
      </c>
    </row>
    <row r="16464" spans="1:7" ht="12" customHeight="1" outlineLevel="2" x14ac:dyDescent="0.2">
      <c r="A16464" s="14" t="s">
        <v>32394</v>
      </c>
      <c r="B16464" s="15" t="s">
        <v>32395</v>
      </c>
      <c r="C16464" s="16">
        <f>371.12/(1+B2)</f>
        <v>371.12</v>
      </c>
      <c r="D16464" s="17" t="s">
        <v>11</v>
      </c>
      <c r="E16464" s="17"/>
      <c r="F16464" s="18"/>
      <c r="G16464" s="36" t="str">
        <f>IF(ISNUMBER(F16464),C16464*F16464,"")</f>
        <v/>
      </c>
    </row>
    <row r="16465" spans="1:7" ht="12" customHeight="1" outlineLevel="2" x14ac:dyDescent="0.2">
      <c r="A16465" s="14" t="s">
        <v>32396</v>
      </c>
      <c r="B16465" s="15" t="s">
        <v>32397</v>
      </c>
      <c r="C16465" s="16">
        <f>264.92/(1+B2)</f>
        <v>264.92</v>
      </c>
      <c r="D16465" s="17" t="s">
        <v>11</v>
      </c>
      <c r="E16465" s="17"/>
      <c r="F16465" s="18"/>
      <c r="G16465" s="36" t="str">
        <f>IF(ISNUMBER(F16465),C16465*F16465,"")</f>
        <v/>
      </c>
    </row>
    <row r="16466" spans="1:7" ht="12" customHeight="1" outlineLevel="2" x14ac:dyDescent="0.2">
      <c r="A16466" s="14" t="s">
        <v>32398</v>
      </c>
      <c r="B16466" s="15" t="s">
        <v>32399</v>
      </c>
      <c r="C16466" s="16">
        <f>85.2/(1+B2)</f>
        <v>85.2</v>
      </c>
      <c r="D16466" s="17" t="s">
        <v>14</v>
      </c>
      <c r="E16466" s="17"/>
      <c r="F16466" s="18"/>
      <c r="G16466" s="36" t="str">
        <f>IF(ISNUMBER(F16466),C16466*F16466,"")</f>
        <v/>
      </c>
    </row>
    <row r="16467" spans="1:7" ht="12" customHeight="1" outlineLevel="2" x14ac:dyDescent="0.2">
      <c r="A16467" s="14" t="s">
        <v>32400</v>
      </c>
      <c r="B16467" s="15" t="s">
        <v>32401</v>
      </c>
      <c r="C16467" s="16">
        <f>91.74/(1+B2)</f>
        <v>91.74</v>
      </c>
      <c r="D16467" s="17" t="s">
        <v>11</v>
      </c>
      <c r="E16467" s="17"/>
      <c r="F16467" s="18"/>
      <c r="G16467" s="36" t="str">
        <f>IF(ISNUMBER(F16467),C16467*F16467,"")</f>
        <v/>
      </c>
    </row>
    <row r="16468" spans="1:7" ht="12" customHeight="1" outlineLevel="2" x14ac:dyDescent="0.2">
      <c r="A16468" s="14" t="s">
        <v>32402</v>
      </c>
      <c r="B16468" s="15" t="s">
        <v>32403</v>
      </c>
      <c r="C16468" s="16">
        <f>63.95/(1+B2)</f>
        <v>63.95</v>
      </c>
      <c r="D16468" s="17" t="s">
        <v>11</v>
      </c>
      <c r="E16468" s="17"/>
      <c r="F16468" s="18"/>
      <c r="G16468" s="36" t="str">
        <f>IF(ISNUMBER(F16468),C16468*F16468,"")</f>
        <v/>
      </c>
    </row>
    <row r="16469" spans="1:7" ht="12" customHeight="1" outlineLevel="2" x14ac:dyDescent="0.2">
      <c r="A16469" s="14" t="s">
        <v>32404</v>
      </c>
      <c r="B16469" s="15" t="s">
        <v>32405</v>
      </c>
      <c r="C16469" s="16">
        <f>184.49/(1+B2)</f>
        <v>184.49</v>
      </c>
      <c r="D16469" s="17" t="s">
        <v>11</v>
      </c>
      <c r="E16469" s="17"/>
      <c r="F16469" s="18"/>
      <c r="G16469" s="36" t="str">
        <f>IF(ISNUMBER(F16469),C16469*F16469,"")</f>
        <v/>
      </c>
    </row>
    <row r="16470" spans="1:7" ht="12" customHeight="1" outlineLevel="2" x14ac:dyDescent="0.2">
      <c r="A16470" s="14" t="s">
        <v>32406</v>
      </c>
      <c r="B16470" s="15" t="s">
        <v>32407</v>
      </c>
      <c r="C16470" s="16">
        <f>237.59/(1+B2)</f>
        <v>237.59</v>
      </c>
      <c r="D16470" s="17" t="s">
        <v>11</v>
      </c>
      <c r="E16470" s="17"/>
      <c r="F16470" s="18"/>
      <c r="G16470" s="36" t="str">
        <f>IF(ISNUMBER(F16470),C16470*F16470,"")</f>
        <v/>
      </c>
    </row>
    <row r="16471" spans="1:7" ht="12" customHeight="1" outlineLevel="2" x14ac:dyDescent="0.2">
      <c r="A16471" s="14" t="s">
        <v>32408</v>
      </c>
      <c r="B16471" s="15" t="s">
        <v>32409</v>
      </c>
      <c r="C16471" s="16">
        <f>199.84/(1+B2)</f>
        <v>199.84</v>
      </c>
      <c r="D16471" s="17" t="s">
        <v>11</v>
      </c>
      <c r="E16471" s="17"/>
      <c r="F16471" s="18"/>
      <c r="G16471" s="36" t="str">
        <f>IF(ISNUMBER(F16471),C16471*F16471,"")</f>
        <v/>
      </c>
    </row>
    <row r="16472" spans="1:7" s="1" customFormat="1" ht="15.95" customHeight="1" outlineLevel="1" x14ac:dyDescent="0.25">
      <c r="A16472" s="11"/>
      <c r="B16472" s="12" t="s">
        <v>32410</v>
      </c>
      <c r="C16472" s="13"/>
      <c r="D16472" s="13"/>
      <c r="E16472" s="13"/>
      <c r="F16472" s="13"/>
      <c r="G16472" s="35"/>
    </row>
    <row r="16473" spans="1:7" ht="12" customHeight="1" outlineLevel="2" x14ac:dyDescent="0.2">
      <c r="A16473" s="14" t="s">
        <v>32411</v>
      </c>
      <c r="B16473" s="15" t="s">
        <v>32412</v>
      </c>
      <c r="C16473" s="16">
        <f>34.04/(1+B2)</f>
        <v>34.04</v>
      </c>
      <c r="D16473" s="17" t="s">
        <v>11</v>
      </c>
      <c r="E16473" s="17"/>
      <c r="F16473" s="18"/>
      <c r="G16473" s="36" t="str">
        <f>IF(ISNUMBER(F16473),C16473*F16473,"")</f>
        <v/>
      </c>
    </row>
    <row r="16474" spans="1:7" ht="12" customHeight="1" outlineLevel="2" x14ac:dyDescent="0.2">
      <c r="A16474" s="14" t="s">
        <v>32413</v>
      </c>
      <c r="B16474" s="15" t="s">
        <v>32414</v>
      </c>
      <c r="C16474" s="16">
        <f>354.78/(1+B2)</f>
        <v>354.78</v>
      </c>
      <c r="D16474" s="17" t="s">
        <v>11</v>
      </c>
      <c r="E16474" s="17"/>
      <c r="F16474" s="18"/>
      <c r="G16474" s="36" t="str">
        <f>IF(ISNUMBER(F16474),C16474*F16474,"")</f>
        <v/>
      </c>
    </row>
    <row r="16475" spans="1:7" ht="24" customHeight="1" outlineLevel="2" x14ac:dyDescent="0.2">
      <c r="A16475" s="14" t="s">
        <v>32415</v>
      </c>
      <c r="B16475" s="15" t="s">
        <v>32416</v>
      </c>
      <c r="C16475" s="16">
        <f>450.79/(1+B2)</f>
        <v>450.79</v>
      </c>
      <c r="D16475" s="17" t="s">
        <v>11</v>
      </c>
      <c r="E16475" s="17"/>
      <c r="F16475" s="18"/>
      <c r="G16475" s="36" t="str">
        <f>IF(ISNUMBER(F16475),C16475*F16475,"")</f>
        <v/>
      </c>
    </row>
    <row r="16476" spans="1:7" ht="12" customHeight="1" outlineLevel="2" x14ac:dyDescent="0.2">
      <c r="A16476" s="14" t="s">
        <v>32417</v>
      </c>
      <c r="B16476" s="15" t="s">
        <v>32418</v>
      </c>
      <c r="C16476" s="16">
        <f>201.82/(1+B2)</f>
        <v>201.82</v>
      </c>
      <c r="D16476" s="17" t="s">
        <v>11</v>
      </c>
      <c r="E16476" s="17"/>
      <c r="F16476" s="18"/>
      <c r="G16476" s="36" t="str">
        <f>IF(ISNUMBER(F16476),C16476*F16476,"")</f>
        <v/>
      </c>
    </row>
    <row r="16477" spans="1:7" ht="12" customHeight="1" outlineLevel="2" x14ac:dyDescent="0.2">
      <c r="A16477" s="14" t="s">
        <v>32419</v>
      </c>
      <c r="B16477" s="15" t="s">
        <v>32420</v>
      </c>
      <c r="C16477" s="16">
        <f>248.43/(1+B2)</f>
        <v>248.43</v>
      </c>
      <c r="D16477" s="17" t="s">
        <v>11</v>
      </c>
      <c r="E16477" s="17"/>
      <c r="F16477" s="18"/>
      <c r="G16477" s="36" t="str">
        <f>IF(ISNUMBER(F16477),C16477*F16477,"")</f>
        <v/>
      </c>
    </row>
    <row r="16478" spans="1:7" ht="12" customHeight="1" outlineLevel="2" x14ac:dyDescent="0.2">
      <c r="A16478" s="14" t="s">
        <v>32421</v>
      </c>
      <c r="B16478" s="15" t="s">
        <v>32422</v>
      </c>
      <c r="C16478" s="16">
        <f>248.43/(1+B2)</f>
        <v>248.43</v>
      </c>
      <c r="D16478" s="17" t="s">
        <v>11</v>
      </c>
      <c r="E16478" s="17"/>
      <c r="F16478" s="18"/>
      <c r="G16478" s="36" t="str">
        <f>IF(ISNUMBER(F16478),C16478*F16478,"")</f>
        <v/>
      </c>
    </row>
    <row r="16479" spans="1:7" ht="12" customHeight="1" outlineLevel="2" x14ac:dyDescent="0.2">
      <c r="A16479" s="14" t="s">
        <v>32423</v>
      </c>
      <c r="B16479" s="15" t="s">
        <v>32424</v>
      </c>
      <c r="C16479" s="16">
        <f>269.75/(1+B2)</f>
        <v>269.75</v>
      </c>
      <c r="D16479" s="17" t="s">
        <v>11</v>
      </c>
      <c r="E16479" s="17" t="s">
        <v>11</v>
      </c>
      <c r="F16479" s="18"/>
      <c r="G16479" s="36" t="str">
        <f>IF(ISNUMBER(F16479),C16479*F16479,"")</f>
        <v/>
      </c>
    </row>
    <row r="16480" spans="1:7" ht="12" customHeight="1" outlineLevel="2" x14ac:dyDescent="0.2">
      <c r="A16480" s="14" t="s">
        <v>32425</v>
      </c>
      <c r="B16480" s="15" t="s">
        <v>32426</v>
      </c>
      <c r="C16480" s="16">
        <f>208.14/(1+B2)</f>
        <v>208.14</v>
      </c>
      <c r="D16480" s="17" t="s">
        <v>14</v>
      </c>
      <c r="E16480" s="17"/>
      <c r="F16480" s="18"/>
      <c r="G16480" s="36" t="str">
        <f>IF(ISNUMBER(F16480),C16480*F16480,"")</f>
        <v/>
      </c>
    </row>
    <row r="16481" spans="1:7" ht="12" customHeight="1" outlineLevel="2" x14ac:dyDescent="0.2">
      <c r="A16481" s="14" t="s">
        <v>32427</v>
      </c>
      <c r="B16481" s="15" t="s">
        <v>32428</v>
      </c>
      <c r="C16481" s="16">
        <f>233.3/(1+B2)</f>
        <v>233.3</v>
      </c>
      <c r="D16481" s="17" t="s">
        <v>14</v>
      </c>
      <c r="E16481" s="17"/>
      <c r="F16481" s="18"/>
      <c r="G16481" s="36" t="str">
        <f>IF(ISNUMBER(F16481),C16481*F16481,"")</f>
        <v/>
      </c>
    </row>
    <row r="16482" spans="1:7" ht="12" customHeight="1" outlineLevel="2" x14ac:dyDescent="0.2">
      <c r="A16482" s="14" t="s">
        <v>32429</v>
      </c>
      <c r="B16482" s="15" t="s">
        <v>32430</v>
      </c>
      <c r="C16482" s="16">
        <f>214.82/(1+B2)</f>
        <v>214.82</v>
      </c>
      <c r="D16482" s="17" t="s">
        <v>11</v>
      </c>
      <c r="E16482" s="17" t="s">
        <v>11</v>
      </c>
      <c r="F16482" s="18"/>
      <c r="G16482" s="36" t="str">
        <f>IF(ISNUMBER(F16482),C16482*F16482,"")</f>
        <v/>
      </c>
    </row>
    <row r="16483" spans="1:7" ht="12" customHeight="1" outlineLevel="2" x14ac:dyDescent="0.2">
      <c r="A16483" s="14" t="s">
        <v>32431</v>
      </c>
      <c r="B16483" s="15" t="s">
        <v>32432</v>
      </c>
      <c r="C16483" s="16">
        <f>317.1/(1+B2)</f>
        <v>317.10000000000002</v>
      </c>
      <c r="D16483" s="17" t="s">
        <v>11</v>
      </c>
      <c r="E16483" s="17"/>
      <c r="F16483" s="18"/>
      <c r="G16483" s="36" t="str">
        <f>IF(ISNUMBER(F16483),C16483*F16483,"")</f>
        <v/>
      </c>
    </row>
    <row r="16484" spans="1:7" ht="12" customHeight="1" outlineLevel="2" x14ac:dyDescent="0.2">
      <c r="A16484" s="14" t="s">
        <v>32433</v>
      </c>
      <c r="B16484" s="15" t="s">
        <v>32434</v>
      </c>
      <c r="C16484" s="16">
        <f>123.55/(1+B2)</f>
        <v>123.55</v>
      </c>
      <c r="D16484" s="17" t="s">
        <v>11</v>
      </c>
      <c r="E16484" s="17"/>
      <c r="F16484" s="18"/>
      <c r="G16484" s="36" t="str">
        <f>IF(ISNUMBER(F16484),C16484*F16484,"")</f>
        <v/>
      </c>
    </row>
    <row r="16485" spans="1:7" ht="24" customHeight="1" outlineLevel="2" x14ac:dyDescent="0.2">
      <c r="A16485" s="14" t="s">
        <v>32435</v>
      </c>
      <c r="B16485" s="15" t="s">
        <v>32436</v>
      </c>
      <c r="C16485" s="16">
        <f>403.72/(1+B2)</f>
        <v>403.72</v>
      </c>
      <c r="D16485" s="17" t="s">
        <v>11</v>
      </c>
      <c r="E16485" s="17"/>
      <c r="F16485" s="18"/>
      <c r="G16485" s="36" t="str">
        <f>IF(ISNUMBER(F16485),C16485*F16485,"")</f>
        <v/>
      </c>
    </row>
    <row r="16486" spans="1:7" ht="12" customHeight="1" outlineLevel="2" x14ac:dyDescent="0.2">
      <c r="A16486" s="14" t="s">
        <v>32437</v>
      </c>
      <c r="B16486" s="15" t="s">
        <v>32438</v>
      </c>
      <c r="C16486" s="16">
        <f>129.6/(1+B2)</f>
        <v>129.6</v>
      </c>
      <c r="D16486" s="17" t="s">
        <v>11</v>
      </c>
      <c r="E16486" s="17"/>
      <c r="F16486" s="18"/>
      <c r="G16486" s="36" t="str">
        <f>IF(ISNUMBER(F16486),C16486*F16486,"")</f>
        <v/>
      </c>
    </row>
    <row r="16487" spans="1:7" ht="12" customHeight="1" outlineLevel="2" x14ac:dyDescent="0.2">
      <c r="A16487" s="14" t="s">
        <v>32439</v>
      </c>
      <c r="B16487" s="15" t="s">
        <v>32440</v>
      </c>
      <c r="C16487" s="16">
        <f>124.2/(1+B2)</f>
        <v>124.2</v>
      </c>
      <c r="D16487" s="17" t="s">
        <v>11</v>
      </c>
      <c r="E16487" s="17"/>
      <c r="F16487" s="18"/>
      <c r="G16487" s="36" t="str">
        <f>IF(ISNUMBER(F16487),C16487*F16487,"")</f>
        <v/>
      </c>
    </row>
    <row r="16488" spans="1:7" ht="12" customHeight="1" outlineLevel="2" x14ac:dyDescent="0.2">
      <c r="A16488" s="14" t="s">
        <v>32441</v>
      </c>
      <c r="B16488" s="15" t="s">
        <v>32442</v>
      </c>
      <c r="C16488" s="16">
        <f>97.07/(1+B2)</f>
        <v>97.07</v>
      </c>
      <c r="D16488" s="17" t="s">
        <v>11</v>
      </c>
      <c r="E16488" s="17" t="s">
        <v>14</v>
      </c>
      <c r="F16488" s="18"/>
      <c r="G16488" s="36" t="str">
        <f>IF(ISNUMBER(F16488),C16488*F16488,"")</f>
        <v/>
      </c>
    </row>
    <row r="16489" spans="1:7" ht="24" customHeight="1" outlineLevel="2" x14ac:dyDescent="0.2">
      <c r="A16489" s="14" t="s">
        <v>32443</v>
      </c>
      <c r="B16489" s="15" t="s">
        <v>32444</v>
      </c>
      <c r="C16489" s="16">
        <f>525.76/(1+B2)</f>
        <v>525.76</v>
      </c>
      <c r="D16489" s="17" t="s">
        <v>11</v>
      </c>
      <c r="E16489" s="17" t="s">
        <v>11</v>
      </c>
      <c r="F16489" s="18"/>
      <c r="G16489" s="36" t="str">
        <f>IF(ISNUMBER(F16489),C16489*F16489,"")</f>
        <v/>
      </c>
    </row>
    <row r="16490" spans="1:7" ht="12" customHeight="1" outlineLevel="2" x14ac:dyDescent="0.2">
      <c r="A16490" s="14" t="s">
        <v>32445</v>
      </c>
      <c r="B16490" s="15" t="s">
        <v>32446</v>
      </c>
      <c r="C16490" s="16">
        <f>462.5/(1+B2)</f>
        <v>462.5</v>
      </c>
      <c r="D16490" s="17" t="s">
        <v>11</v>
      </c>
      <c r="E16490" s="17" t="s">
        <v>11</v>
      </c>
      <c r="F16490" s="18"/>
      <c r="G16490" s="36" t="str">
        <f>IF(ISNUMBER(F16490),C16490*F16490,"")</f>
        <v/>
      </c>
    </row>
    <row r="16491" spans="1:7" ht="12" customHeight="1" outlineLevel="2" x14ac:dyDescent="0.2">
      <c r="A16491" s="14" t="s">
        <v>32447</v>
      </c>
      <c r="B16491" s="15" t="s">
        <v>32448</v>
      </c>
      <c r="C16491" s="16">
        <f>150.55/(1+B2)</f>
        <v>150.55000000000001</v>
      </c>
      <c r="D16491" s="17" t="s">
        <v>11</v>
      </c>
      <c r="E16491" s="17"/>
      <c r="F16491" s="18"/>
      <c r="G16491" s="36" t="str">
        <f>IF(ISNUMBER(F16491),C16491*F16491,"")</f>
        <v/>
      </c>
    </row>
    <row r="16492" spans="1:7" ht="12" customHeight="1" outlineLevel="2" x14ac:dyDescent="0.2">
      <c r="A16492" s="14" t="s">
        <v>32449</v>
      </c>
      <c r="B16492" s="15" t="s">
        <v>32450</v>
      </c>
      <c r="C16492" s="16">
        <f>103.28/(1+B2)</f>
        <v>103.28</v>
      </c>
      <c r="D16492" s="17" t="s">
        <v>14</v>
      </c>
      <c r="E16492" s="17"/>
      <c r="F16492" s="18"/>
      <c r="G16492" s="36" t="str">
        <f>IF(ISNUMBER(F16492),C16492*F16492,"")</f>
        <v/>
      </c>
    </row>
    <row r="16493" spans="1:7" ht="12" customHeight="1" outlineLevel="2" x14ac:dyDescent="0.2">
      <c r="A16493" s="14" t="s">
        <v>32451</v>
      </c>
      <c r="B16493" s="15" t="s">
        <v>32452</v>
      </c>
      <c r="C16493" s="16">
        <f>90.02/(1+B2)</f>
        <v>90.02</v>
      </c>
      <c r="D16493" s="17" t="s">
        <v>14</v>
      </c>
      <c r="E16493" s="17"/>
      <c r="F16493" s="18"/>
      <c r="G16493" s="36" t="str">
        <f>IF(ISNUMBER(F16493),C16493*F16493,"")</f>
        <v/>
      </c>
    </row>
    <row r="16494" spans="1:7" ht="12" customHeight="1" outlineLevel="2" x14ac:dyDescent="0.2">
      <c r="A16494" s="14" t="s">
        <v>32453</v>
      </c>
      <c r="B16494" s="15" t="s">
        <v>32454</v>
      </c>
      <c r="C16494" s="16">
        <f>69.32/(1+B2)</f>
        <v>69.319999999999993</v>
      </c>
      <c r="D16494" s="17" t="s">
        <v>11</v>
      </c>
      <c r="E16494" s="17" t="s">
        <v>11</v>
      </c>
      <c r="F16494" s="18"/>
      <c r="G16494" s="36" t="str">
        <f>IF(ISNUMBER(F16494),C16494*F16494,"")</f>
        <v/>
      </c>
    </row>
    <row r="16495" spans="1:7" ht="12" customHeight="1" outlineLevel="2" x14ac:dyDescent="0.2">
      <c r="A16495" s="14" t="s">
        <v>32455</v>
      </c>
      <c r="B16495" s="15" t="s">
        <v>32456</v>
      </c>
      <c r="C16495" s="16">
        <f>81.31/(1+B2)</f>
        <v>81.31</v>
      </c>
      <c r="D16495" s="17" t="s">
        <v>11</v>
      </c>
      <c r="E16495" s="17" t="s">
        <v>11</v>
      </c>
      <c r="F16495" s="18"/>
      <c r="G16495" s="36" t="str">
        <f>IF(ISNUMBER(F16495),C16495*F16495,"")</f>
        <v/>
      </c>
    </row>
    <row r="16496" spans="1:7" ht="12" customHeight="1" outlineLevel="2" x14ac:dyDescent="0.2">
      <c r="A16496" s="14" t="s">
        <v>32457</v>
      </c>
      <c r="B16496" s="15" t="s">
        <v>32458</v>
      </c>
      <c r="C16496" s="16">
        <f>80.73/(1+B2)</f>
        <v>80.73</v>
      </c>
      <c r="D16496" s="17" t="s">
        <v>11</v>
      </c>
      <c r="E16496" s="17" t="s">
        <v>11</v>
      </c>
      <c r="F16496" s="18"/>
      <c r="G16496" s="36" t="str">
        <f>IF(ISNUMBER(F16496),C16496*F16496,"")</f>
        <v/>
      </c>
    </row>
    <row r="16497" spans="1:7" ht="12" customHeight="1" outlineLevel="2" x14ac:dyDescent="0.2">
      <c r="A16497" s="14" t="s">
        <v>32459</v>
      </c>
      <c r="B16497" s="15" t="s">
        <v>32460</v>
      </c>
      <c r="C16497" s="16">
        <f>82.6/(1+B2)</f>
        <v>82.6</v>
      </c>
      <c r="D16497" s="17" t="s">
        <v>11</v>
      </c>
      <c r="E16497" s="17" t="s">
        <v>11</v>
      </c>
      <c r="F16497" s="18"/>
      <c r="G16497" s="36" t="str">
        <f>IF(ISNUMBER(F16497),C16497*F16497,"")</f>
        <v/>
      </c>
    </row>
    <row r="16498" spans="1:7" ht="12" customHeight="1" outlineLevel="2" x14ac:dyDescent="0.2">
      <c r="A16498" s="14" t="s">
        <v>32461</v>
      </c>
      <c r="B16498" s="15" t="s">
        <v>32462</v>
      </c>
      <c r="C16498" s="16">
        <f>82.85/(1+B2)</f>
        <v>82.85</v>
      </c>
      <c r="D16498" s="17" t="s">
        <v>11</v>
      </c>
      <c r="E16498" s="17" t="s">
        <v>11</v>
      </c>
      <c r="F16498" s="18"/>
      <c r="G16498" s="36" t="str">
        <f>IF(ISNUMBER(F16498),C16498*F16498,"")</f>
        <v/>
      </c>
    </row>
    <row r="16499" spans="1:7" ht="12" customHeight="1" outlineLevel="2" x14ac:dyDescent="0.2">
      <c r="A16499" s="14" t="s">
        <v>32463</v>
      </c>
      <c r="B16499" s="15" t="s">
        <v>32464</v>
      </c>
      <c r="C16499" s="16">
        <f>28.92/(1+B2)</f>
        <v>28.92</v>
      </c>
      <c r="D16499" s="17" t="s">
        <v>14</v>
      </c>
      <c r="E16499" s="17" t="s">
        <v>11</v>
      </c>
      <c r="F16499" s="18"/>
      <c r="G16499" s="36" t="str">
        <f>IF(ISNUMBER(F16499),C16499*F16499,"")</f>
        <v/>
      </c>
    </row>
    <row r="16500" spans="1:7" ht="12" customHeight="1" outlineLevel="2" x14ac:dyDescent="0.2">
      <c r="A16500" s="14" t="s">
        <v>32465</v>
      </c>
      <c r="B16500" s="15" t="s">
        <v>32466</v>
      </c>
      <c r="C16500" s="16">
        <f>52.65/(1+B2)</f>
        <v>52.65</v>
      </c>
      <c r="D16500" s="17" t="s">
        <v>11</v>
      </c>
      <c r="E16500" s="17"/>
      <c r="F16500" s="18"/>
      <c r="G16500" s="36" t="str">
        <f>IF(ISNUMBER(F16500),C16500*F16500,"")</f>
        <v/>
      </c>
    </row>
    <row r="16501" spans="1:7" ht="12" customHeight="1" outlineLevel="2" x14ac:dyDescent="0.2">
      <c r="A16501" s="14" t="s">
        <v>32467</v>
      </c>
      <c r="B16501" s="15" t="s">
        <v>32468</v>
      </c>
      <c r="C16501" s="16">
        <f>91.87/(1+B2)</f>
        <v>91.87</v>
      </c>
      <c r="D16501" s="17" t="s">
        <v>11</v>
      </c>
      <c r="E16501" s="17" t="s">
        <v>11</v>
      </c>
      <c r="F16501" s="18"/>
      <c r="G16501" s="36" t="str">
        <f>IF(ISNUMBER(F16501),C16501*F16501,"")</f>
        <v/>
      </c>
    </row>
    <row r="16502" spans="1:7" ht="12" customHeight="1" outlineLevel="2" x14ac:dyDescent="0.2">
      <c r="A16502" s="14" t="s">
        <v>32469</v>
      </c>
      <c r="B16502" s="15" t="s">
        <v>32470</v>
      </c>
      <c r="C16502" s="16">
        <f>96.62/(1+B2)</f>
        <v>96.62</v>
      </c>
      <c r="D16502" s="17" t="s">
        <v>11</v>
      </c>
      <c r="E16502" s="17"/>
      <c r="F16502" s="18"/>
      <c r="G16502" s="36" t="str">
        <f>IF(ISNUMBER(F16502),C16502*F16502,"")</f>
        <v/>
      </c>
    </row>
    <row r="16503" spans="1:7" ht="12" customHeight="1" outlineLevel="2" x14ac:dyDescent="0.2">
      <c r="A16503" s="14" t="s">
        <v>32471</v>
      </c>
      <c r="B16503" s="15" t="s">
        <v>32472</v>
      </c>
      <c r="C16503" s="16">
        <f>148.38/(1+B2)</f>
        <v>148.38</v>
      </c>
      <c r="D16503" s="17" t="s">
        <v>11</v>
      </c>
      <c r="E16503" s="17"/>
      <c r="F16503" s="18"/>
      <c r="G16503" s="36" t="str">
        <f>IF(ISNUMBER(F16503),C16503*F16503,"")</f>
        <v/>
      </c>
    </row>
    <row r="16504" spans="1:7" ht="12" customHeight="1" outlineLevel="2" x14ac:dyDescent="0.2">
      <c r="A16504" s="14" t="s">
        <v>32473</v>
      </c>
      <c r="B16504" s="15" t="s">
        <v>32474</v>
      </c>
      <c r="C16504" s="16">
        <f>20.22/(1+B2)</f>
        <v>20.22</v>
      </c>
      <c r="D16504" s="17" t="s">
        <v>11</v>
      </c>
      <c r="E16504" s="17" t="s">
        <v>14</v>
      </c>
      <c r="F16504" s="18"/>
      <c r="G16504" s="36" t="str">
        <f>IF(ISNUMBER(F16504),C16504*F16504,"")</f>
        <v/>
      </c>
    </row>
    <row r="16505" spans="1:7" ht="12" customHeight="1" outlineLevel="2" x14ac:dyDescent="0.2">
      <c r="A16505" s="14" t="s">
        <v>32475</v>
      </c>
      <c r="B16505" s="15" t="s">
        <v>32476</v>
      </c>
      <c r="C16505" s="16">
        <f>37.34/(1+B2)</f>
        <v>37.340000000000003</v>
      </c>
      <c r="D16505" s="17" t="s">
        <v>11</v>
      </c>
      <c r="E16505" s="17" t="s">
        <v>14</v>
      </c>
      <c r="F16505" s="18"/>
      <c r="G16505" s="36" t="str">
        <f>IF(ISNUMBER(F16505),C16505*F16505,"")</f>
        <v/>
      </c>
    </row>
    <row r="16506" spans="1:7" ht="12" customHeight="1" outlineLevel="2" x14ac:dyDescent="0.2">
      <c r="A16506" s="14" t="s">
        <v>32477</v>
      </c>
      <c r="B16506" s="15" t="s">
        <v>32478</v>
      </c>
      <c r="C16506" s="16">
        <f>21.24/(1+B2)</f>
        <v>21.24</v>
      </c>
      <c r="D16506" s="17" t="s">
        <v>11</v>
      </c>
      <c r="E16506" s="17"/>
      <c r="F16506" s="18"/>
      <c r="G16506" s="36" t="str">
        <f>IF(ISNUMBER(F16506),C16506*F16506,"")</f>
        <v/>
      </c>
    </row>
    <row r="16507" spans="1:7" ht="12" customHeight="1" outlineLevel="2" x14ac:dyDescent="0.2">
      <c r="A16507" s="14" t="s">
        <v>32479</v>
      </c>
      <c r="B16507" s="15" t="s">
        <v>32480</v>
      </c>
      <c r="C16507" s="16">
        <f>33.95/(1+B2)</f>
        <v>33.950000000000003</v>
      </c>
      <c r="D16507" s="17" t="s">
        <v>11</v>
      </c>
      <c r="E16507" s="17"/>
      <c r="F16507" s="18"/>
      <c r="G16507" s="36" t="str">
        <f>IF(ISNUMBER(F16507),C16507*F16507,"")</f>
        <v/>
      </c>
    </row>
    <row r="16508" spans="1:7" s="1" customFormat="1" ht="15.95" customHeight="1" outlineLevel="1" x14ac:dyDescent="0.25">
      <c r="A16508" s="11"/>
      <c r="B16508" s="12" t="s">
        <v>32481</v>
      </c>
      <c r="C16508" s="13"/>
      <c r="D16508" s="13"/>
      <c r="E16508" s="13"/>
      <c r="F16508" s="13"/>
      <c r="G16508" s="35"/>
    </row>
    <row r="16509" spans="1:7" ht="12" customHeight="1" outlineLevel="2" x14ac:dyDescent="0.2">
      <c r="A16509" s="14" t="s">
        <v>32482</v>
      </c>
      <c r="B16509" s="15" t="s">
        <v>32483</v>
      </c>
      <c r="C16509" s="16">
        <f>100.72/(1+B2)</f>
        <v>100.72</v>
      </c>
      <c r="D16509" s="17" t="s">
        <v>11</v>
      </c>
      <c r="E16509" s="17"/>
      <c r="F16509" s="18"/>
      <c r="G16509" s="36" t="str">
        <f>IF(ISNUMBER(F16509),C16509*F16509,"")</f>
        <v/>
      </c>
    </row>
    <row r="16510" spans="1:7" ht="24" customHeight="1" outlineLevel="2" x14ac:dyDescent="0.2">
      <c r="A16510" s="14" t="s">
        <v>32484</v>
      </c>
      <c r="B16510" s="15" t="s">
        <v>32485</v>
      </c>
      <c r="C16510" s="16">
        <f>82.79/(1+B2)</f>
        <v>82.79</v>
      </c>
      <c r="D16510" s="17" t="s">
        <v>11</v>
      </c>
      <c r="E16510" s="17" t="s">
        <v>11</v>
      </c>
      <c r="F16510" s="18"/>
      <c r="G16510" s="36" t="str">
        <f>IF(ISNUMBER(F16510),C16510*F16510,"")</f>
        <v/>
      </c>
    </row>
    <row r="16511" spans="1:7" ht="24" customHeight="1" outlineLevel="2" x14ac:dyDescent="0.2">
      <c r="A16511" s="14" t="s">
        <v>32486</v>
      </c>
      <c r="B16511" s="15" t="s">
        <v>32487</v>
      </c>
      <c r="C16511" s="16">
        <f>172.88/(1+B2)</f>
        <v>172.88</v>
      </c>
      <c r="D16511" s="17" t="s">
        <v>11</v>
      </c>
      <c r="E16511" s="17" t="s">
        <v>11</v>
      </c>
      <c r="F16511" s="18"/>
      <c r="G16511" s="36" t="str">
        <f>IF(ISNUMBER(F16511),C16511*F16511,"")</f>
        <v/>
      </c>
    </row>
    <row r="16512" spans="1:7" ht="12" customHeight="1" outlineLevel="2" x14ac:dyDescent="0.2">
      <c r="A16512" s="14" t="s">
        <v>32488</v>
      </c>
      <c r="B16512" s="15" t="s">
        <v>32489</v>
      </c>
      <c r="C16512" s="16">
        <f>112.38/(1+B2)</f>
        <v>112.38</v>
      </c>
      <c r="D16512" s="17" t="s">
        <v>11</v>
      </c>
      <c r="E16512" s="17"/>
      <c r="F16512" s="18"/>
      <c r="G16512" s="36" t="str">
        <f>IF(ISNUMBER(F16512),C16512*F16512,"")</f>
        <v/>
      </c>
    </row>
    <row r="16513" spans="1:7" ht="24" customHeight="1" outlineLevel="2" x14ac:dyDescent="0.2">
      <c r="A16513" s="14" t="s">
        <v>32490</v>
      </c>
      <c r="B16513" s="15" t="s">
        <v>32491</v>
      </c>
      <c r="C16513" s="16">
        <f>99.9/(1+B2)</f>
        <v>99.9</v>
      </c>
      <c r="D16513" s="17" t="s">
        <v>14</v>
      </c>
      <c r="E16513" s="17"/>
      <c r="F16513" s="18"/>
      <c r="G16513" s="36" t="str">
        <f>IF(ISNUMBER(F16513),C16513*F16513,"")</f>
        <v/>
      </c>
    </row>
    <row r="16514" spans="1:7" ht="12" customHeight="1" outlineLevel="2" x14ac:dyDescent="0.2">
      <c r="A16514" s="14" t="s">
        <v>32492</v>
      </c>
      <c r="B16514" s="15" t="s">
        <v>32493</v>
      </c>
      <c r="C16514" s="16">
        <f>99.9/(1+B2)</f>
        <v>99.9</v>
      </c>
      <c r="D16514" s="17" t="s">
        <v>14</v>
      </c>
      <c r="E16514" s="17"/>
      <c r="F16514" s="18"/>
      <c r="G16514" s="36" t="str">
        <f>IF(ISNUMBER(F16514),C16514*F16514,"")</f>
        <v/>
      </c>
    </row>
    <row r="16515" spans="1:7" ht="24" customHeight="1" outlineLevel="2" x14ac:dyDescent="0.2">
      <c r="A16515" s="14" t="s">
        <v>32494</v>
      </c>
      <c r="B16515" s="15" t="s">
        <v>32495</v>
      </c>
      <c r="C16515" s="16">
        <f>99.9/(1+B2)</f>
        <v>99.9</v>
      </c>
      <c r="D16515" s="17" t="s">
        <v>14</v>
      </c>
      <c r="E16515" s="17"/>
      <c r="F16515" s="18"/>
      <c r="G16515" s="36" t="str">
        <f>IF(ISNUMBER(F16515),C16515*F16515,"")</f>
        <v/>
      </c>
    </row>
    <row r="16516" spans="1:7" ht="24" customHeight="1" outlineLevel="2" x14ac:dyDescent="0.2">
      <c r="A16516" s="14" t="s">
        <v>32496</v>
      </c>
      <c r="B16516" s="15" t="s">
        <v>32497</v>
      </c>
      <c r="C16516" s="16">
        <f>272.79/(1+B2)</f>
        <v>272.79000000000002</v>
      </c>
      <c r="D16516" s="17" t="s">
        <v>11</v>
      </c>
      <c r="E16516" s="17"/>
      <c r="F16516" s="18"/>
      <c r="G16516" s="36" t="str">
        <f>IF(ISNUMBER(F16516),C16516*F16516,"")</f>
        <v/>
      </c>
    </row>
    <row r="16517" spans="1:7" ht="12" customHeight="1" outlineLevel="2" x14ac:dyDescent="0.2">
      <c r="A16517" s="14" t="s">
        <v>32498</v>
      </c>
      <c r="B16517" s="15" t="s">
        <v>32499</v>
      </c>
      <c r="C16517" s="16">
        <f>112.38/(1+B2)</f>
        <v>112.38</v>
      </c>
      <c r="D16517" s="17" t="s">
        <v>11</v>
      </c>
      <c r="E16517" s="17"/>
      <c r="F16517" s="18"/>
      <c r="G16517" s="36" t="str">
        <f>IF(ISNUMBER(F16517),C16517*F16517,"")</f>
        <v/>
      </c>
    </row>
    <row r="16518" spans="1:7" ht="12" customHeight="1" outlineLevel="2" x14ac:dyDescent="0.2">
      <c r="A16518" s="14" t="s">
        <v>32500</v>
      </c>
      <c r="B16518" s="15" t="s">
        <v>32501</v>
      </c>
      <c r="C16518" s="16">
        <f>132.7/(1+B2)</f>
        <v>132.69999999999999</v>
      </c>
      <c r="D16518" s="17" t="s">
        <v>11</v>
      </c>
      <c r="E16518" s="17" t="s">
        <v>14</v>
      </c>
      <c r="F16518" s="18"/>
      <c r="G16518" s="36" t="str">
        <f>IF(ISNUMBER(F16518),C16518*F16518,"")</f>
        <v/>
      </c>
    </row>
    <row r="16519" spans="1:7" ht="12" customHeight="1" outlineLevel="2" x14ac:dyDescent="0.2">
      <c r="A16519" s="14" t="s">
        <v>32502</v>
      </c>
      <c r="B16519" s="15" t="s">
        <v>32503</v>
      </c>
      <c r="C16519" s="16">
        <f>132.7/(1+B2)</f>
        <v>132.69999999999999</v>
      </c>
      <c r="D16519" s="17" t="s">
        <v>11</v>
      </c>
      <c r="E16519" s="17" t="s">
        <v>14</v>
      </c>
      <c r="F16519" s="18"/>
      <c r="G16519" s="36" t="str">
        <f>IF(ISNUMBER(F16519),C16519*F16519,"")</f>
        <v/>
      </c>
    </row>
    <row r="16520" spans="1:7" ht="12" customHeight="1" outlineLevel="2" x14ac:dyDescent="0.2">
      <c r="A16520" s="14" t="s">
        <v>32504</v>
      </c>
      <c r="B16520" s="15" t="s">
        <v>32505</v>
      </c>
      <c r="C16520" s="16">
        <f>132.7/(1+B2)</f>
        <v>132.69999999999999</v>
      </c>
      <c r="D16520" s="17" t="s">
        <v>11</v>
      </c>
      <c r="E16520" s="17" t="s">
        <v>14</v>
      </c>
      <c r="F16520" s="18"/>
      <c r="G16520" s="36" t="str">
        <f>IF(ISNUMBER(F16520),C16520*F16520,"")</f>
        <v/>
      </c>
    </row>
    <row r="16521" spans="1:7" ht="12" customHeight="1" outlineLevel="2" x14ac:dyDescent="0.2">
      <c r="A16521" s="14" t="s">
        <v>32506</v>
      </c>
      <c r="B16521" s="15" t="s">
        <v>32507</v>
      </c>
      <c r="C16521" s="16">
        <f>180.21/(1+B2)</f>
        <v>180.21</v>
      </c>
      <c r="D16521" s="17" t="s">
        <v>11</v>
      </c>
      <c r="E16521" s="17" t="s">
        <v>11</v>
      </c>
      <c r="F16521" s="18"/>
      <c r="G16521" s="36" t="str">
        <f>IF(ISNUMBER(F16521),C16521*F16521,"")</f>
        <v/>
      </c>
    </row>
    <row r="16522" spans="1:7" ht="12" customHeight="1" outlineLevel="2" x14ac:dyDescent="0.2">
      <c r="A16522" s="14" t="s">
        <v>32508</v>
      </c>
      <c r="B16522" s="15" t="s">
        <v>32509</v>
      </c>
      <c r="C16522" s="16">
        <f>180.21/(1+B2)</f>
        <v>180.21</v>
      </c>
      <c r="D16522" s="17" t="s">
        <v>11</v>
      </c>
      <c r="E16522" s="17" t="s">
        <v>11</v>
      </c>
      <c r="F16522" s="18"/>
      <c r="G16522" s="36" t="str">
        <f>IF(ISNUMBER(F16522),C16522*F16522,"")</f>
        <v/>
      </c>
    </row>
    <row r="16523" spans="1:7" ht="12" customHeight="1" outlineLevel="2" x14ac:dyDescent="0.2">
      <c r="A16523" s="14" t="s">
        <v>32510</v>
      </c>
      <c r="B16523" s="15" t="s">
        <v>32511</v>
      </c>
      <c r="C16523" s="16">
        <f>180.21/(1+B2)</f>
        <v>180.21</v>
      </c>
      <c r="D16523" s="17" t="s">
        <v>11</v>
      </c>
      <c r="E16523" s="17" t="s">
        <v>11</v>
      </c>
      <c r="F16523" s="18"/>
      <c r="G16523" s="36" t="str">
        <f>IF(ISNUMBER(F16523),C16523*F16523,"")</f>
        <v/>
      </c>
    </row>
    <row r="16524" spans="1:7" ht="12" customHeight="1" outlineLevel="2" x14ac:dyDescent="0.2">
      <c r="A16524" s="14" t="s">
        <v>32512</v>
      </c>
      <c r="B16524" s="15" t="s">
        <v>32513</v>
      </c>
      <c r="C16524" s="16">
        <f>82.13/(1+B2)</f>
        <v>82.13</v>
      </c>
      <c r="D16524" s="17" t="s">
        <v>11</v>
      </c>
      <c r="E16524" s="17" t="s">
        <v>11</v>
      </c>
      <c r="F16524" s="18"/>
      <c r="G16524" s="36" t="str">
        <f>IF(ISNUMBER(F16524),C16524*F16524,"")</f>
        <v/>
      </c>
    </row>
    <row r="16525" spans="1:7" ht="12" customHeight="1" outlineLevel="2" x14ac:dyDescent="0.2">
      <c r="A16525" s="14" t="s">
        <v>32514</v>
      </c>
      <c r="B16525" s="15" t="s">
        <v>32515</v>
      </c>
      <c r="C16525" s="16">
        <f>93.85/(1+B2)</f>
        <v>93.85</v>
      </c>
      <c r="D16525" s="17" t="s">
        <v>11</v>
      </c>
      <c r="E16525" s="17"/>
      <c r="F16525" s="18"/>
      <c r="G16525" s="36" t="str">
        <f>IF(ISNUMBER(F16525),C16525*F16525,"")</f>
        <v/>
      </c>
    </row>
    <row r="16526" spans="1:7" ht="12" customHeight="1" outlineLevel="2" x14ac:dyDescent="0.2">
      <c r="A16526" s="14" t="s">
        <v>32516</v>
      </c>
      <c r="B16526" s="15" t="s">
        <v>32517</v>
      </c>
      <c r="C16526" s="16">
        <f>164.01/(1+B2)</f>
        <v>164.01</v>
      </c>
      <c r="D16526" s="17" t="s">
        <v>14</v>
      </c>
      <c r="E16526" s="17"/>
      <c r="F16526" s="18"/>
      <c r="G16526" s="36" t="str">
        <f>IF(ISNUMBER(F16526),C16526*F16526,"")</f>
        <v/>
      </c>
    </row>
    <row r="16527" spans="1:7" ht="12" customHeight="1" outlineLevel="2" x14ac:dyDescent="0.2">
      <c r="A16527" s="14" t="s">
        <v>32518</v>
      </c>
      <c r="B16527" s="15" t="s">
        <v>32519</v>
      </c>
      <c r="C16527" s="16">
        <f>139.71/(1+B2)</f>
        <v>139.71</v>
      </c>
      <c r="D16527" s="17" t="s">
        <v>11</v>
      </c>
      <c r="E16527" s="17"/>
      <c r="F16527" s="18"/>
      <c r="G16527" s="36" t="str">
        <f>IF(ISNUMBER(F16527),C16527*F16527,"")</f>
        <v/>
      </c>
    </row>
    <row r="16528" spans="1:7" ht="12" customHeight="1" outlineLevel="2" x14ac:dyDescent="0.2">
      <c r="A16528" s="14" t="s">
        <v>32520</v>
      </c>
      <c r="B16528" s="15" t="s">
        <v>32521</v>
      </c>
      <c r="C16528" s="16">
        <f>72.93/(1+B2)</f>
        <v>72.930000000000007</v>
      </c>
      <c r="D16528" s="17" t="s">
        <v>14</v>
      </c>
      <c r="E16528" s="17"/>
      <c r="F16528" s="18"/>
      <c r="G16528" s="36" t="str">
        <f>IF(ISNUMBER(F16528),C16528*F16528,"")</f>
        <v/>
      </c>
    </row>
    <row r="16529" spans="1:7" ht="12" customHeight="1" outlineLevel="2" x14ac:dyDescent="0.2">
      <c r="A16529" s="14" t="s">
        <v>32522</v>
      </c>
      <c r="B16529" s="15" t="s">
        <v>32523</v>
      </c>
      <c r="C16529" s="16">
        <f>164.2/(1+B2)</f>
        <v>164.2</v>
      </c>
      <c r="D16529" s="17" t="s">
        <v>11</v>
      </c>
      <c r="E16529" s="17"/>
      <c r="F16529" s="18"/>
      <c r="G16529" s="36" t="str">
        <f>IF(ISNUMBER(F16529),C16529*F16529,"")</f>
        <v/>
      </c>
    </row>
    <row r="16530" spans="1:7" ht="12" customHeight="1" outlineLevel="2" x14ac:dyDescent="0.2">
      <c r="A16530" s="14" t="s">
        <v>32524</v>
      </c>
      <c r="B16530" s="15" t="s">
        <v>32525</v>
      </c>
      <c r="C16530" s="16">
        <f>164.2/(1+B2)</f>
        <v>164.2</v>
      </c>
      <c r="D16530" s="17" t="s">
        <v>14</v>
      </c>
      <c r="E16530" s="17"/>
      <c r="F16530" s="18"/>
      <c r="G16530" s="36" t="str">
        <f>IF(ISNUMBER(F16530),C16530*F16530,"")</f>
        <v/>
      </c>
    </row>
    <row r="16531" spans="1:7" ht="12" customHeight="1" outlineLevel="2" x14ac:dyDescent="0.2">
      <c r="A16531" s="14" t="s">
        <v>32526</v>
      </c>
      <c r="B16531" s="15" t="s">
        <v>32527</v>
      </c>
      <c r="C16531" s="16">
        <f>164.2/(1+B2)</f>
        <v>164.2</v>
      </c>
      <c r="D16531" s="17" t="s">
        <v>14</v>
      </c>
      <c r="E16531" s="17"/>
      <c r="F16531" s="18"/>
      <c r="G16531" s="36" t="str">
        <f>IF(ISNUMBER(F16531),C16531*F16531,"")</f>
        <v/>
      </c>
    </row>
    <row r="16532" spans="1:7" ht="12" customHeight="1" outlineLevel="2" x14ac:dyDescent="0.2">
      <c r="A16532" s="14" t="s">
        <v>32528</v>
      </c>
      <c r="B16532" s="15" t="s">
        <v>32529</v>
      </c>
      <c r="C16532" s="16">
        <f>161.31/(1+B2)</f>
        <v>161.31</v>
      </c>
      <c r="D16532" s="17" t="s">
        <v>14</v>
      </c>
      <c r="E16532" s="17"/>
      <c r="F16532" s="18"/>
      <c r="G16532" s="36" t="str">
        <f>IF(ISNUMBER(F16532),C16532*F16532,"")</f>
        <v/>
      </c>
    </row>
    <row r="16533" spans="1:7" ht="12" customHeight="1" outlineLevel="2" x14ac:dyDescent="0.2">
      <c r="A16533" s="14" t="s">
        <v>32530</v>
      </c>
      <c r="B16533" s="15" t="s">
        <v>32531</v>
      </c>
      <c r="C16533" s="16">
        <f>161.31/(1+B2)</f>
        <v>161.31</v>
      </c>
      <c r="D16533" s="17" t="s">
        <v>11</v>
      </c>
      <c r="E16533" s="17"/>
      <c r="F16533" s="18"/>
      <c r="G16533" s="36" t="str">
        <f>IF(ISNUMBER(F16533),C16533*F16533,"")</f>
        <v/>
      </c>
    </row>
    <row r="16534" spans="1:7" ht="12" customHeight="1" outlineLevel="2" x14ac:dyDescent="0.2">
      <c r="A16534" s="14" t="s">
        <v>32532</v>
      </c>
      <c r="B16534" s="15" t="s">
        <v>32533</v>
      </c>
      <c r="C16534" s="16">
        <f>161.31/(1+B2)</f>
        <v>161.31</v>
      </c>
      <c r="D16534" s="17" t="s">
        <v>14</v>
      </c>
      <c r="E16534" s="17"/>
      <c r="F16534" s="18"/>
      <c r="G16534" s="36" t="str">
        <f>IF(ISNUMBER(F16534),C16534*F16534,"")</f>
        <v/>
      </c>
    </row>
    <row r="16535" spans="1:7" ht="24" customHeight="1" outlineLevel="2" x14ac:dyDescent="0.2">
      <c r="A16535" s="14" t="s">
        <v>32534</v>
      </c>
      <c r="B16535" s="15" t="s">
        <v>32535</v>
      </c>
      <c r="C16535" s="16">
        <f>186.16/(1+B2)</f>
        <v>186.16</v>
      </c>
      <c r="D16535" s="17" t="s">
        <v>14</v>
      </c>
      <c r="E16535" s="17"/>
      <c r="F16535" s="18"/>
      <c r="G16535" s="36" t="str">
        <f>IF(ISNUMBER(F16535),C16535*F16535,"")</f>
        <v/>
      </c>
    </row>
    <row r="16536" spans="1:7" ht="24" customHeight="1" outlineLevel="2" x14ac:dyDescent="0.2">
      <c r="A16536" s="14" t="s">
        <v>32536</v>
      </c>
      <c r="B16536" s="15" t="s">
        <v>32537</v>
      </c>
      <c r="C16536" s="16">
        <f>186.16/(1+B2)</f>
        <v>186.16</v>
      </c>
      <c r="D16536" s="17" t="s">
        <v>14</v>
      </c>
      <c r="E16536" s="17"/>
      <c r="F16536" s="18"/>
      <c r="G16536" s="36" t="str">
        <f>IF(ISNUMBER(F16536),C16536*F16536,"")</f>
        <v/>
      </c>
    </row>
    <row r="16537" spans="1:7" ht="12" customHeight="1" outlineLevel="2" x14ac:dyDescent="0.2">
      <c r="A16537" s="14" t="s">
        <v>32538</v>
      </c>
      <c r="B16537" s="15" t="s">
        <v>32539</v>
      </c>
      <c r="C16537" s="16">
        <f>131.88/(1+B2)</f>
        <v>131.88</v>
      </c>
      <c r="D16537" s="17" t="s">
        <v>11</v>
      </c>
      <c r="E16537" s="17"/>
      <c r="F16537" s="18"/>
      <c r="G16537" s="36" t="str">
        <f>IF(ISNUMBER(F16537),C16537*F16537,"")</f>
        <v/>
      </c>
    </row>
    <row r="16538" spans="1:7" ht="24" customHeight="1" outlineLevel="2" x14ac:dyDescent="0.2">
      <c r="A16538" s="14" t="s">
        <v>32540</v>
      </c>
      <c r="B16538" s="15" t="s">
        <v>32541</v>
      </c>
      <c r="C16538" s="16">
        <f>126.78/(1+B2)</f>
        <v>126.78</v>
      </c>
      <c r="D16538" s="17" t="s">
        <v>11</v>
      </c>
      <c r="E16538" s="17" t="s">
        <v>14</v>
      </c>
      <c r="F16538" s="18"/>
      <c r="G16538" s="36" t="str">
        <f>IF(ISNUMBER(F16538),C16538*F16538,"")</f>
        <v/>
      </c>
    </row>
    <row r="16539" spans="1:7" ht="12" customHeight="1" outlineLevel="2" x14ac:dyDescent="0.2">
      <c r="A16539" s="14" t="s">
        <v>32542</v>
      </c>
      <c r="B16539" s="15" t="s">
        <v>32543</v>
      </c>
      <c r="C16539" s="16">
        <f>43.08/(1+B2)</f>
        <v>43.08</v>
      </c>
      <c r="D16539" s="17" t="s">
        <v>11</v>
      </c>
      <c r="E16539" s="17" t="s">
        <v>11</v>
      </c>
      <c r="F16539" s="18"/>
      <c r="G16539" s="36" t="str">
        <f>IF(ISNUMBER(F16539),C16539*F16539,"")</f>
        <v/>
      </c>
    </row>
    <row r="16540" spans="1:7" ht="12" customHeight="1" outlineLevel="2" x14ac:dyDescent="0.2">
      <c r="A16540" s="14" t="s">
        <v>32544</v>
      </c>
      <c r="B16540" s="15" t="s">
        <v>32545</v>
      </c>
      <c r="C16540" s="16">
        <f>184.62/(1+B2)</f>
        <v>184.62</v>
      </c>
      <c r="D16540" s="17" t="s">
        <v>11</v>
      </c>
      <c r="E16540" s="17"/>
      <c r="F16540" s="18"/>
      <c r="G16540" s="36" t="str">
        <f>IF(ISNUMBER(F16540),C16540*F16540,"")</f>
        <v/>
      </c>
    </row>
    <row r="16541" spans="1:7" ht="12" customHeight="1" outlineLevel="2" x14ac:dyDescent="0.2">
      <c r="A16541" s="14" t="s">
        <v>32546</v>
      </c>
      <c r="B16541" s="15" t="s">
        <v>32547</v>
      </c>
      <c r="C16541" s="16">
        <f>184.62/(1+B2)</f>
        <v>184.62</v>
      </c>
      <c r="D16541" s="17" t="s">
        <v>11</v>
      </c>
      <c r="E16541" s="17"/>
      <c r="F16541" s="18"/>
      <c r="G16541" s="36" t="str">
        <f>IF(ISNUMBER(F16541),C16541*F16541,"")</f>
        <v/>
      </c>
    </row>
    <row r="16542" spans="1:7" ht="12" customHeight="1" outlineLevel="2" x14ac:dyDescent="0.2">
      <c r="A16542" s="14" t="s">
        <v>32548</v>
      </c>
      <c r="B16542" s="15" t="s">
        <v>32549</v>
      </c>
      <c r="C16542" s="16">
        <f>125.28/(1+B2)</f>
        <v>125.28</v>
      </c>
      <c r="D16542" s="17" t="s">
        <v>11</v>
      </c>
      <c r="E16542" s="17" t="s">
        <v>11</v>
      </c>
      <c r="F16542" s="18"/>
      <c r="G16542" s="36" t="str">
        <f>IF(ISNUMBER(F16542),C16542*F16542,"")</f>
        <v/>
      </c>
    </row>
    <row r="16543" spans="1:7" ht="12" customHeight="1" outlineLevel="2" x14ac:dyDescent="0.2">
      <c r="A16543" s="14" t="s">
        <v>32550</v>
      </c>
      <c r="B16543" s="15" t="s">
        <v>32551</v>
      </c>
      <c r="C16543" s="16">
        <f>125.28/(1+B2)</f>
        <v>125.28</v>
      </c>
      <c r="D16543" s="17" t="s">
        <v>11</v>
      </c>
      <c r="E16543" s="17"/>
      <c r="F16543" s="18"/>
      <c r="G16543" s="36" t="str">
        <f>IF(ISNUMBER(F16543),C16543*F16543,"")</f>
        <v/>
      </c>
    </row>
    <row r="16544" spans="1:7" ht="12" customHeight="1" outlineLevel="2" x14ac:dyDescent="0.2">
      <c r="A16544" s="14" t="s">
        <v>32552</v>
      </c>
      <c r="B16544" s="15" t="s">
        <v>32553</v>
      </c>
      <c r="C16544" s="16">
        <f>131.88/(1+B2)</f>
        <v>131.88</v>
      </c>
      <c r="D16544" s="17" t="s">
        <v>11</v>
      </c>
      <c r="E16544" s="17"/>
      <c r="F16544" s="18"/>
      <c r="G16544" s="36" t="str">
        <f>IF(ISNUMBER(F16544),C16544*F16544,"")</f>
        <v/>
      </c>
    </row>
    <row r="16545" spans="1:7" ht="12" customHeight="1" outlineLevel="2" x14ac:dyDescent="0.2">
      <c r="A16545" s="14" t="s">
        <v>32554</v>
      </c>
      <c r="B16545" s="15" t="s">
        <v>32555</v>
      </c>
      <c r="C16545" s="16">
        <f>131.88/(1+B2)</f>
        <v>131.88</v>
      </c>
      <c r="D16545" s="17" t="s">
        <v>11</v>
      </c>
      <c r="E16545" s="17" t="s">
        <v>11</v>
      </c>
      <c r="F16545" s="18"/>
      <c r="G16545" s="36" t="str">
        <f>IF(ISNUMBER(F16545),C16545*F16545,"")</f>
        <v/>
      </c>
    </row>
    <row r="16546" spans="1:7" ht="12" customHeight="1" outlineLevel="2" x14ac:dyDescent="0.2">
      <c r="A16546" s="14" t="s">
        <v>32556</v>
      </c>
      <c r="B16546" s="15" t="s">
        <v>32557</v>
      </c>
      <c r="C16546" s="16">
        <f>143.16/(1+B2)</f>
        <v>143.16</v>
      </c>
      <c r="D16546" s="17" t="s">
        <v>11</v>
      </c>
      <c r="E16546" s="17"/>
      <c r="F16546" s="18"/>
      <c r="G16546" s="36" t="str">
        <f>IF(ISNUMBER(F16546),C16546*F16546,"")</f>
        <v/>
      </c>
    </row>
    <row r="16547" spans="1:7" ht="12" customHeight="1" outlineLevel="2" x14ac:dyDescent="0.2">
      <c r="A16547" s="14" t="s">
        <v>32558</v>
      </c>
      <c r="B16547" s="15" t="s">
        <v>32559</v>
      </c>
      <c r="C16547" s="16">
        <f>126.26/(1+B2)</f>
        <v>126.26</v>
      </c>
      <c r="D16547" s="17" t="s">
        <v>11</v>
      </c>
      <c r="E16547" s="17"/>
      <c r="F16547" s="18"/>
      <c r="G16547" s="36" t="str">
        <f>IF(ISNUMBER(F16547),C16547*F16547,"")</f>
        <v/>
      </c>
    </row>
    <row r="16548" spans="1:7" ht="12" customHeight="1" outlineLevel="2" x14ac:dyDescent="0.2">
      <c r="A16548" s="14" t="s">
        <v>32560</v>
      </c>
      <c r="B16548" s="15" t="s">
        <v>32561</v>
      </c>
      <c r="C16548" s="16">
        <f>126.26/(1+B2)</f>
        <v>126.26</v>
      </c>
      <c r="D16548" s="17" t="s">
        <v>11</v>
      </c>
      <c r="E16548" s="17"/>
      <c r="F16548" s="18"/>
      <c r="G16548" s="36" t="str">
        <f>IF(ISNUMBER(F16548),C16548*F16548,"")</f>
        <v/>
      </c>
    </row>
    <row r="16549" spans="1:7" s="1" customFormat="1" ht="15.95" customHeight="1" outlineLevel="1" x14ac:dyDescent="0.25">
      <c r="A16549" s="11"/>
      <c r="B16549" s="12" t="s">
        <v>32562</v>
      </c>
      <c r="C16549" s="13"/>
      <c r="D16549" s="13"/>
      <c r="E16549" s="13"/>
      <c r="F16549" s="13"/>
      <c r="G16549" s="35"/>
    </row>
    <row r="16550" spans="1:7" ht="12" customHeight="1" outlineLevel="2" x14ac:dyDescent="0.2">
      <c r="A16550" s="14" t="s">
        <v>32563</v>
      </c>
      <c r="B16550" s="15" t="s">
        <v>32564</v>
      </c>
      <c r="C16550" s="16">
        <f>77.64/(1+B2)</f>
        <v>77.64</v>
      </c>
      <c r="D16550" s="17" t="s">
        <v>53</v>
      </c>
      <c r="E16550" s="17"/>
      <c r="F16550" s="18"/>
      <c r="G16550" s="36" t="str">
        <f>IF(ISNUMBER(F16550),C16550*F16550,"")</f>
        <v/>
      </c>
    </row>
    <row r="16551" spans="1:7" ht="12" customHeight="1" outlineLevel="2" x14ac:dyDescent="0.2">
      <c r="A16551" s="14" t="s">
        <v>32565</v>
      </c>
      <c r="B16551" s="15" t="s">
        <v>32566</v>
      </c>
      <c r="C16551" s="16">
        <f>131.03/(1+B2)</f>
        <v>131.03</v>
      </c>
      <c r="D16551" s="17" t="s">
        <v>11</v>
      </c>
      <c r="E16551" s="17"/>
      <c r="F16551" s="18"/>
      <c r="G16551" s="36" t="str">
        <f>IF(ISNUMBER(F16551),C16551*F16551,"")</f>
        <v/>
      </c>
    </row>
    <row r="16552" spans="1:7" ht="12" customHeight="1" outlineLevel="2" x14ac:dyDescent="0.2">
      <c r="A16552" s="14" t="s">
        <v>32567</v>
      </c>
      <c r="B16552" s="15" t="s">
        <v>32568</v>
      </c>
      <c r="C16552" s="16">
        <f>271.65/(1+B2)</f>
        <v>271.64999999999998</v>
      </c>
      <c r="D16552" s="17" t="s">
        <v>14</v>
      </c>
      <c r="E16552" s="17"/>
      <c r="F16552" s="18"/>
      <c r="G16552" s="36" t="str">
        <f>IF(ISNUMBER(F16552),C16552*F16552,"")</f>
        <v/>
      </c>
    </row>
    <row r="16553" spans="1:7" ht="12" customHeight="1" outlineLevel="2" x14ac:dyDescent="0.2">
      <c r="A16553" s="14" t="s">
        <v>32569</v>
      </c>
      <c r="B16553" s="15" t="s">
        <v>32570</v>
      </c>
      <c r="C16553" s="16">
        <f>107.6/(1+B2)</f>
        <v>107.6</v>
      </c>
      <c r="D16553" s="17" t="s">
        <v>11</v>
      </c>
      <c r="E16553" s="17"/>
      <c r="F16553" s="18"/>
      <c r="G16553" s="36" t="str">
        <f>IF(ISNUMBER(F16553),C16553*F16553,"")</f>
        <v/>
      </c>
    </row>
    <row r="16554" spans="1:7" ht="24" customHeight="1" outlineLevel="2" x14ac:dyDescent="0.2">
      <c r="A16554" s="14" t="s">
        <v>32571</v>
      </c>
      <c r="B16554" s="15" t="s">
        <v>32572</v>
      </c>
      <c r="C16554" s="16">
        <f>253.34/(1+B2)</f>
        <v>253.34</v>
      </c>
      <c r="D16554" s="17" t="s">
        <v>11</v>
      </c>
      <c r="E16554" s="17" t="s">
        <v>11</v>
      </c>
      <c r="F16554" s="18"/>
      <c r="G16554" s="36" t="str">
        <f>IF(ISNUMBER(F16554),C16554*F16554,"")</f>
        <v/>
      </c>
    </row>
    <row r="16555" spans="1:7" ht="12" customHeight="1" outlineLevel="2" x14ac:dyDescent="0.2">
      <c r="A16555" s="14" t="s">
        <v>32573</v>
      </c>
      <c r="B16555" s="15" t="s">
        <v>32574</v>
      </c>
      <c r="C16555" s="16">
        <f>130.09/(1+B2)</f>
        <v>130.09</v>
      </c>
      <c r="D16555" s="17" t="s">
        <v>11</v>
      </c>
      <c r="E16555" s="17" t="s">
        <v>11</v>
      </c>
      <c r="F16555" s="18"/>
      <c r="G16555" s="36" t="str">
        <f>IF(ISNUMBER(F16555),C16555*F16555,"")</f>
        <v/>
      </c>
    </row>
    <row r="16556" spans="1:7" ht="12" customHeight="1" outlineLevel="2" x14ac:dyDescent="0.2">
      <c r="A16556" s="14" t="s">
        <v>32575</v>
      </c>
      <c r="B16556" s="15" t="s">
        <v>32576</v>
      </c>
      <c r="C16556" s="16">
        <f>123.36/(1+B2)</f>
        <v>123.36</v>
      </c>
      <c r="D16556" s="17" t="s">
        <v>11</v>
      </c>
      <c r="E16556" s="17" t="s">
        <v>14</v>
      </c>
      <c r="F16556" s="18"/>
      <c r="G16556" s="36" t="str">
        <f>IF(ISNUMBER(F16556),C16556*F16556,"")</f>
        <v/>
      </c>
    </row>
    <row r="16557" spans="1:7" ht="12" customHeight="1" outlineLevel="2" x14ac:dyDescent="0.2">
      <c r="A16557" s="14" t="s">
        <v>32577</v>
      </c>
      <c r="B16557" s="15" t="s">
        <v>32578</v>
      </c>
      <c r="C16557" s="16">
        <f>100.8/(1+B2)</f>
        <v>100.8</v>
      </c>
      <c r="D16557" s="17" t="s">
        <v>14</v>
      </c>
      <c r="E16557" s="17" t="s">
        <v>11</v>
      </c>
      <c r="F16557" s="18"/>
      <c r="G16557" s="36" t="str">
        <f>IF(ISNUMBER(F16557),C16557*F16557,"")</f>
        <v/>
      </c>
    </row>
    <row r="16558" spans="1:7" ht="12" customHeight="1" outlineLevel="2" x14ac:dyDescent="0.2">
      <c r="A16558" s="14" t="s">
        <v>32579</v>
      </c>
      <c r="B16558" s="15" t="s">
        <v>32580</v>
      </c>
      <c r="C16558" s="16">
        <f>109.39/(1+B2)</f>
        <v>109.39</v>
      </c>
      <c r="D16558" s="17" t="s">
        <v>11</v>
      </c>
      <c r="E16558" s="17" t="s">
        <v>11</v>
      </c>
      <c r="F16558" s="18"/>
      <c r="G16558" s="36" t="str">
        <f>IF(ISNUMBER(F16558),C16558*F16558,"")</f>
        <v/>
      </c>
    </row>
    <row r="16559" spans="1:7" ht="12" customHeight="1" outlineLevel="2" x14ac:dyDescent="0.2">
      <c r="A16559" s="14" t="s">
        <v>32581</v>
      </c>
      <c r="B16559" s="15" t="s">
        <v>32582</v>
      </c>
      <c r="C16559" s="16">
        <f>118.51/(1+B2)</f>
        <v>118.51</v>
      </c>
      <c r="D16559" s="17" t="s">
        <v>11</v>
      </c>
      <c r="E16559" s="17" t="s">
        <v>11</v>
      </c>
      <c r="F16559" s="18"/>
      <c r="G16559" s="36" t="str">
        <f>IF(ISNUMBER(F16559),C16559*F16559,"")</f>
        <v/>
      </c>
    </row>
    <row r="16560" spans="1:7" ht="12" customHeight="1" outlineLevel="2" x14ac:dyDescent="0.2">
      <c r="A16560" s="14" t="s">
        <v>32583</v>
      </c>
      <c r="B16560" s="15" t="s">
        <v>32584</v>
      </c>
      <c r="C16560" s="16">
        <f>78.06/(1+B2)</f>
        <v>78.06</v>
      </c>
      <c r="D16560" s="17" t="s">
        <v>11</v>
      </c>
      <c r="E16560" s="17"/>
      <c r="F16560" s="18"/>
      <c r="G16560" s="36" t="str">
        <f>IF(ISNUMBER(F16560),C16560*F16560,"")</f>
        <v/>
      </c>
    </row>
    <row r="16561" spans="1:7" ht="12" customHeight="1" outlineLevel="2" x14ac:dyDescent="0.2">
      <c r="A16561" s="14" t="s">
        <v>32585</v>
      </c>
      <c r="B16561" s="15" t="s">
        <v>32586</v>
      </c>
      <c r="C16561" s="16">
        <f>120.08/(1+B2)</f>
        <v>120.08</v>
      </c>
      <c r="D16561" s="17" t="s">
        <v>11</v>
      </c>
      <c r="E16561" s="17"/>
      <c r="F16561" s="18"/>
      <c r="G16561" s="36" t="str">
        <f>IF(ISNUMBER(F16561),C16561*F16561,"")</f>
        <v/>
      </c>
    </row>
    <row r="16562" spans="1:7" ht="12" customHeight="1" outlineLevel="2" x14ac:dyDescent="0.2">
      <c r="A16562" s="14" t="s">
        <v>32587</v>
      </c>
      <c r="B16562" s="15" t="s">
        <v>32588</v>
      </c>
      <c r="C16562" s="16">
        <f>61.16/(1+B2)</f>
        <v>61.16</v>
      </c>
      <c r="D16562" s="17" t="s">
        <v>11</v>
      </c>
      <c r="E16562" s="17"/>
      <c r="F16562" s="18"/>
      <c r="G16562" s="36" t="str">
        <f>IF(ISNUMBER(F16562),C16562*F16562,"")</f>
        <v/>
      </c>
    </row>
    <row r="16563" spans="1:7" ht="12" customHeight="1" outlineLevel="2" x14ac:dyDescent="0.2">
      <c r="A16563" s="14" t="s">
        <v>32589</v>
      </c>
      <c r="B16563" s="15" t="s">
        <v>32590</v>
      </c>
      <c r="C16563" s="16">
        <f>79.98/(1+B2)</f>
        <v>79.98</v>
      </c>
      <c r="D16563" s="17" t="s">
        <v>11</v>
      </c>
      <c r="E16563" s="17"/>
      <c r="F16563" s="18"/>
      <c r="G16563" s="36" t="str">
        <f>IF(ISNUMBER(F16563),C16563*F16563,"")</f>
        <v/>
      </c>
    </row>
    <row r="16564" spans="1:7" ht="12" customHeight="1" outlineLevel="2" x14ac:dyDescent="0.2">
      <c r="A16564" s="14" t="s">
        <v>32591</v>
      </c>
      <c r="B16564" s="15" t="s">
        <v>32592</v>
      </c>
      <c r="C16564" s="16">
        <f>72.68/(1+B2)</f>
        <v>72.680000000000007</v>
      </c>
      <c r="D16564" s="17" t="s">
        <v>11</v>
      </c>
      <c r="E16564" s="17"/>
      <c r="F16564" s="18"/>
      <c r="G16564" s="36" t="str">
        <f>IF(ISNUMBER(F16564),C16564*F16564,"")</f>
        <v/>
      </c>
    </row>
    <row r="16565" spans="1:7" ht="12" customHeight="1" outlineLevel="2" x14ac:dyDescent="0.2">
      <c r="A16565" s="14" t="s">
        <v>32593</v>
      </c>
      <c r="B16565" s="15" t="s">
        <v>32594</v>
      </c>
      <c r="C16565" s="16">
        <f>128.21/(1+B2)</f>
        <v>128.21</v>
      </c>
      <c r="D16565" s="17" t="s">
        <v>11</v>
      </c>
      <c r="E16565" s="17"/>
      <c r="F16565" s="18"/>
      <c r="G16565" s="36" t="str">
        <f>IF(ISNUMBER(F16565),C16565*F16565,"")</f>
        <v/>
      </c>
    </row>
    <row r="16566" spans="1:7" ht="12" customHeight="1" outlineLevel="2" x14ac:dyDescent="0.2">
      <c r="A16566" s="14" t="s">
        <v>32595</v>
      </c>
      <c r="B16566" s="15" t="s">
        <v>32596</v>
      </c>
      <c r="C16566" s="16">
        <f>110.7/(1+B2)</f>
        <v>110.7</v>
      </c>
      <c r="D16566" s="17" t="s">
        <v>11</v>
      </c>
      <c r="E16566" s="17"/>
      <c r="F16566" s="18"/>
      <c r="G16566" s="36" t="str">
        <f>IF(ISNUMBER(F16566),C16566*F16566,"")</f>
        <v/>
      </c>
    </row>
    <row r="16567" spans="1:7" ht="12" customHeight="1" outlineLevel="2" x14ac:dyDescent="0.2">
      <c r="A16567" s="14" t="s">
        <v>32597</v>
      </c>
      <c r="B16567" s="15" t="s">
        <v>32598</v>
      </c>
      <c r="C16567" s="16">
        <f>106.68/(1+B2)</f>
        <v>106.68</v>
      </c>
      <c r="D16567" s="17" t="s">
        <v>11</v>
      </c>
      <c r="E16567" s="17" t="s">
        <v>53</v>
      </c>
      <c r="F16567" s="18"/>
      <c r="G16567" s="36" t="str">
        <f>IF(ISNUMBER(F16567),C16567*F16567,"")</f>
        <v/>
      </c>
    </row>
    <row r="16568" spans="1:7" ht="12" customHeight="1" outlineLevel="2" x14ac:dyDescent="0.2">
      <c r="A16568" s="14" t="s">
        <v>32599</v>
      </c>
      <c r="B16568" s="15" t="s">
        <v>32600</v>
      </c>
      <c r="C16568" s="16">
        <f>105.29/(1+B2)</f>
        <v>105.29</v>
      </c>
      <c r="D16568" s="17" t="s">
        <v>11</v>
      </c>
      <c r="E16568" s="17" t="s">
        <v>14</v>
      </c>
      <c r="F16568" s="18"/>
      <c r="G16568" s="36" t="str">
        <f>IF(ISNUMBER(F16568),C16568*F16568,"")</f>
        <v/>
      </c>
    </row>
    <row r="16569" spans="1:7" ht="12" customHeight="1" outlineLevel="2" x14ac:dyDescent="0.2">
      <c r="A16569" s="14" t="s">
        <v>32601</v>
      </c>
      <c r="B16569" s="15" t="s">
        <v>32602</v>
      </c>
      <c r="C16569" s="16">
        <f>91.29/(1+B2)</f>
        <v>91.29</v>
      </c>
      <c r="D16569" s="17" t="s">
        <v>11</v>
      </c>
      <c r="E16569" s="17"/>
      <c r="F16569" s="18"/>
      <c r="G16569" s="36" t="str">
        <f>IF(ISNUMBER(F16569),C16569*F16569,"")</f>
        <v/>
      </c>
    </row>
    <row r="16570" spans="1:7" ht="12" customHeight="1" outlineLevel="2" x14ac:dyDescent="0.2">
      <c r="A16570" s="14" t="s">
        <v>32603</v>
      </c>
      <c r="B16570" s="15" t="s">
        <v>32604</v>
      </c>
      <c r="C16570" s="16">
        <f>104.06/(1+B2)</f>
        <v>104.06</v>
      </c>
      <c r="D16570" s="17" t="s">
        <v>14</v>
      </c>
      <c r="E16570" s="17" t="s">
        <v>53</v>
      </c>
      <c r="F16570" s="18"/>
      <c r="G16570" s="36" t="str">
        <f>IF(ISNUMBER(F16570),C16570*F16570,"")</f>
        <v/>
      </c>
    </row>
    <row r="16571" spans="1:7" ht="12" customHeight="1" outlineLevel="2" x14ac:dyDescent="0.2">
      <c r="A16571" s="14" t="s">
        <v>32605</v>
      </c>
      <c r="B16571" s="15" t="s">
        <v>32606</v>
      </c>
      <c r="C16571" s="16">
        <f>130.01/(1+B2)</f>
        <v>130.01</v>
      </c>
      <c r="D16571" s="17" t="s">
        <v>11</v>
      </c>
      <c r="E16571" s="17"/>
      <c r="F16571" s="18"/>
      <c r="G16571" s="36" t="str">
        <f>IF(ISNUMBER(F16571),C16571*F16571,"")</f>
        <v/>
      </c>
    </row>
    <row r="16572" spans="1:7" ht="12" customHeight="1" outlineLevel="2" x14ac:dyDescent="0.2">
      <c r="A16572" s="14" t="s">
        <v>32607</v>
      </c>
      <c r="B16572" s="15" t="s">
        <v>32608</v>
      </c>
      <c r="C16572" s="16">
        <f>87.28/(1+B2)</f>
        <v>87.28</v>
      </c>
      <c r="D16572" s="17" t="s">
        <v>14</v>
      </c>
      <c r="E16572" s="17"/>
      <c r="F16572" s="18"/>
      <c r="G16572" s="36" t="str">
        <f>IF(ISNUMBER(F16572),C16572*F16572,"")</f>
        <v/>
      </c>
    </row>
    <row r="16573" spans="1:7" ht="12" customHeight="1" outlineLevel="2" x14ac:dyDescent="0.2">
      <c r="A16573" s="14" t="s">
        <v>32609</v>
      </c>
      <c r="B16573" s="15" t="s">
        <v>32610</v>
      </c>
      <c r="C16573" s="16">
        <f>166.95/(1+B2)</f>
        <v>166.95</v>
      </c>
      <c r="D16573" s="17" t="s">
        <v>14</v>
      </c>
      <c r="E16573" s="17"/>
      <c r="F16573" s="18"/>
      <c r="G16573" s="36" t="str">
        <f>IF(ISNUMBER(F16573),C16573*F16573,"")</f>
        <v/>
      </c>
    </row>
    <row r="16574" spans="1:7" ht="12" customHeight="1" outlineLevel="2" x14ac:dyDescent="0.2">
      <c r="A16574" s="14" t="s">
        <v>32611</v>
      </c>
      <c r="B16574" s="15" t="s">
        <v>32612</v>
      </c>
      <c r="C16574" s="16">
        <f>160.71/(1+B2)</f>
        <v>160.71</v>
      </c>
      <c r="D16574" s="17" t="s">
        <v>11</v>
      </c>
      <c r="E16574" s="17"/>
      <c r="F16574" s="18"/>
      <c r="G16574" s="36" t="str">
        <f>IF(ISNUMBER(F16574),C16574*F16574,"")</f>
        <v/>
      </c>
    </row>
    <row r="16575" spans="1:7" ht="12" customHeight="1" outlineLevel="2" x14ac:dyDescent="0.2">
      <c r="A16575" s="14" t="s">
        <v>32613</v>
      </c>
      <c r="B16575" s="15" t="s">
        <v>32614</v>
      </c>
      <c r="C16575" s="16">
        <f>87.28/(1+B2)</f>
        <v>87.28</v>
      </c>
      <c r="D16575" s="17" t="s">
        <v>11</v>
      </c>
      <c r="E16575" s="17"/>
      <c r="F16575" s="18"/>
      <c r="G16575" s="36" t="str">
        <f>IF(ISNUMBER(F16575),C16575*F16575,"")</f>
        <v/>
      </c>
    </row>
    <row r="16576" spans="1:7" ht="12" customHeight="1" outlineLevel="2" x14ac:dyDescent="0.2">
      <c r="A16576" s="14" t="s">
        <v>32615</v>
      </c>
      <c r="B16576" s="15" t="s">
        <v>32616</v>
      </c>
      <c r="C16576" s="16">
        <f>98.82/(1+B2)</f>
        <v>98.82</v>
      </c>
      <c r="D16576" s="17" t="s">
        <v>11</v>
      </c>
      <c r="E16576" s="17"/>
      <c r="F16576" s="18"/>
      <c r="G16576" s="36" t="str">
        <f>IF(ISNUMBER(F16576),C16576*F16576,"")</f>
        <v/>
      </c>
    </row>
    <row r="16577" spans="1:7" ht="12" customHeight="1" outlineLevel="2" x14ac:dyDescent="0.2">
      <c r="A16577" s="14" t="s">
        <v>32617</v>
      </c>
      <c r="B16577" s="15" t="s">
        <v>32618</v>
      </c>
      <c r="C16577" s="16">
        <f>140.55/(1+B2)</f>
        <v>140.55000000000001</v>
      </c>
      <c r="D16577" s="17" t="s">
        <v>11</v>
      </c>
      <c r="E16577" s="17"/>
      <c r="F16577" s="18"/>
      <c r="G16577" s="36" t="str">
        <f>IF(ISNUMBER(F16577),C16577*F16577,"")</f>
        <v/>
      </c>
    </row>
    <row r="16578" spans="1:7" ht="12" customHeight="1" outlineLevel="2" x14ac:dyDescent="0.2">
      <c r="A16578" s="14" t="s">
        <v>32619</v>
      </c>
      <c r="B16578" s="15" t="s">
        <v>32620</v>
      </c>
      <c r="C16578" s="16">
        <f>160.71/(1+B2)</f>
        <v>160.71</v>
      </c>
      <c r="D16578" s="17" t="s">
        <v>11</v>
      </c>
      <c r="E16578" s="17"/>
      <c r="F16578" s="18"/>
      <c r="G16578" s="36" t="str">
        <f>IF(ISNUMBER(F16578),C16578*F16578,"")</f>
        <v/>
      </c>
    </row>
    <row r="16579" spans="1:7" ht="12" customHeight="1" outlineLevel="2" x14ac:dyDescent="0.2">
      <c r="A16579" s="14" t="s">
        <v>32621</v>
      </c>
      <c r="B16579" s="15" t="s">
        <v>32622</v>
      </c>
      <c r="C16579" s="16">
        <f>156.58/(1+B2)</f>
        <v>156.58000000000001</v>
      </c>
      <c r="D16579" s="17" t="s">
        <v>11</v>
      </c>
      <c r="E16579" s="17"/>
      <c r="F16579" s="18"/>
      <c r="G16579" s="36" t="str">
        <f>IF(ISNUMBER(F16579),C16579*F16579,"")</f>
        <v/>
      </c>
    </row>
    <row r="16580" spans="1:7" ht="12" customHeight="1" outlineLevel="2" x14ac:dyDescent="0.2">
      <c r="A16580" s="14" t="s">
        <v>32623</v>
      </c>
      <c r="B16580" s="15" t="s">
        <v>32624</v>
      </c>
      <c r="C16580" s="16">
        <f>184.19/(1+B2)</f>
        <v>184.19</v>
      </c>
      <c r="D16580" s="17" t="s">
        <v>11</v>
      </c>
      <c r="E16580" s="17"/>
      <c r="F16580" s="18"/>
      <c r="G16580" s="36" t="str">
        <f>IF(ISNUMBER(F16580),C16580*F16580,"")</f>
        <v/>
      </c>
    </row>
    <row r="16581" spans="1:7" ht="12" customHeight="1" outlineLevel="2" x14ac:dyDescent="0.2">
      <c r="A16581" s="14" t="s">
        <v>32625</v>
      </c>
      <c r="B16581" s="15" t="s">
        <v>32626</v>
      </c>
      <c r="C16581" s="16">
        <f>186.24/(1+B2)</f>
        <v>186.24</v>
      </c>
      <c r="D16581" s="17" t="s">
        <v>11</v>
      </c>
      <c r="E16581" s="17"/>
      <c r="F16581" s="18"/>
      <c r="G16581" s="36" t="str">
        <f>IF(ISNUMBER(F16581),C16581*F16581,"")</f>
        <v/>
      </c>
    </row>
    <row r="16582" spans="1:7" ht="12" customHeight="1" outlineLevel="2" x14ac:dyDescent="0.2">
      <c r="A16582" s="14" t="s">
        <v>32627</v>
      </c>
      <c r="B16582" s="15" t="s">
        <v>32628</v>
      </c>
      <c r="C16582" s="16">
        <f>152.27/(1+B2)</f>
        <v>152.27000000000001</v>
      </c>
      <c r="D16582" s="17" t="s">
        <v>11</v>
      </c>
      <c r="E16582" s="17" t="s">
        <v>14</v>
      </c>
      <c r="F16582" s="18"/>
      <c r="G16582" s="36" t="str">
        <f>IF(ISNUMBER(F16582),C16582*F16582,"")</f>
        <v/>
      </c>
    </row>
    <row r="16583" spans="1:7" ht="12" customHeight="1" outlineLevel="2" x14ac:dyDescent="0.2">
      <c r="A16583" s="14" t="s">
        <v>32629</v>
      </c>
      <c r="B16583" s="15" t="s">
        <v>32630</v>
      </c>
      <c r="C16583" s="16">
        <f>149.78/(1+B2)</f>
        <v>149.78</v>
      </c>
      <c r="D16583" s="17" t="s">
        <v>11</v>
      </c>
      <c r="E16583" s="17" t="s">
        <v>11</v>
      </c>
      <c r="F16583" s="18"/>
      <c r="G16583" s="36" t="str">
        <f>IF(ISNUMBER(F16583),C16583*F16583,"")</f>
        <v/>
      </c>
    </row>
    <row r="16584" spans="1:7" ht="12" customHeight="1" outlineLevel="2" x14ac:dyDescent="0.2">
      <c r="A16584" s="14" t="s">
        <v>32631</v>
      </c>
      <c r="B16584" s="15" t="s">
        <v>32632</v>
      </c>
      <c r="C16584" s="16">
        <f>154.48/(1+B2)</f>
        <v>154.47999999999999</v>
      </c>
      <c r="D16584" s="17" t="s">
        <v>11</v>
      </c>
      <c r="E16584" s="17"/>
      <c r="F16584" s="18"/>
      <c r="G16584" s="36" t="str">
        <f>IF(ISNUMBER(F16584),C16584*F16584,"")</f>
        <v/>
      </c>
    </row>
    <row r="16585" spans="1:7" s="1" customFormat="1" ht="15.95" customHeight="1" outlineLevel="1" x14ac:dyDescent="0.25">
      <c r="A16585" s="11"/>
      <c r="B16585" s="12" t="s">
        <v>32633</v>
      </c>
      <c r="C16585" s="13"/>
      <c r="D16585" s="13"/>
      <c r="E16585" s="13"/>
      <c r="F16585" s="13"/>
      <c r="G16585" s="35"/>
    </row>
    <row r="16586" spans="1:7" ht="12" customHeight="1" outlineLevel="2" x14ac:dyDescent="0.2">
      <c r="A16586" s="14" t="s">
        <v>32634</v>
      </c>
      <c r="B16586" s="15" t="s">
        <v>32635</v>
      </c>
      <c r="C16586" s="16">
        <f>102.9/(1+B2)</f>
        <v>102.9</v>
      </c>
      <c r="D16586" s="17" t="s">
        <v>14</v>
      </c>
      <c r="E16586" s="17"/>
      <c r="F16586" s="18"/>
      <c r="G16586" s="36" t="str">
        <f>IF(ISNUMBER(F16586),C16586*F16586,"")</f>
        <v/>
      </c>
    </row>
    <row r="16587" spans="1:7" ht="12" customHeight="1" outlineLevel="2" x14ac:dyDescent="0.2">
      <c r="A16587" s="14" t="s">
        <v>32636</v>
      </c>
      <c r="B16587" s="15" t="s">
        <v>32637</v>
      </c>
      <c r="C16587" s="16">
        <f>134/(1+B2)</f>
        <v>134</v>
      </c>
      <c r="D16587" s="17" t="s">
        <v>11</v>
      </c>
      <c r="E16587" s="17"/>
      <c r="F16587" s="18"/>
      <c r="G16587" s="36" t="str">
        <f>IF(ISNUMBER(F16587),C16587*F16587,"")</f>
        <v/>
      </c>
    </row>
    <row r="16588" spans="1:7" ht="12" customHeight="1" outlineLevel="2" x14ac:dyDescent="0.2">
      <c r="A16588" s="14" t="s">
        <v>32638</v>
      </c>
      <c r="B16588" s="15" t="s">
        <v>32639</v>
      </c>
      <c r="C16588" s="16">
        <f>26.45/(1+B2)</f>
        <v>26.45</v>
      </c>
      <c r="D16588" s="17" t="s">
        <v>11</v>
      </c>
      <c r="E16588" s="17" t="s">
        <v>14</v>
      </c>
      <c r="F16588" s="18"/>
      <c r="G16588" s="36" t="str">
        <f>IF(ISNUMBER(F16588),C16588*F16588,"")</f>
        <v/>
      </c>
    </row>
    <row r="16589" spans="1:7" ht="12" customHeight="1" outlineLevel="2" x14ac:dyDescent="0.2">
      <c r="A16589" s="14" t="s">
        <v>32640</v>
      </c>
      <c r="B16589" s="15" t="s">
        <v>32641</v>
      </c>
      <c r="C16589" s="16">
        <f>72.97/(1+B2)</f>
        <v>72.97</v>
      </c>
      <c r="D16589" s="17" t="s">
        <v>11</v>
      </c>
      <c r="E16589" s="17" t="s">
        <v>14</v>
      </c>
      <c r="F16589" s="18"/>
      <c r="G16589" s="36" t="str">
        <f>IF(ISNUMBER(F16589),C16589*F16589,"")</f>
        <v/>
      </c>
    </row>
    <row r="16590" spans="1:7" ht="12" customHeight="1" outlineLevel="2" x14ac:dyDescent="0.2">
      <c r="A16590" s="14" t="s">
        <v>32642</v>
      </c>
      <c r="B16590" s="15" t="s">
        <v>32643</v>
      </c>
      <c r="C16590" s="16">
        <f>45.74/(1+B2)</f>
        <v>45.74</v>
      </c>
      <c r="D16590" s="17" t="s">
        <v>11</v>
      </c>
      <c r="E16590" s="17" t="s">
        <v>11</v>
      </c>
      <c r="F16590" s="18"/>
      <c r="G16590" s="36" t="str">
        <f>IF(ISNUMBER(F16590),C16590*F16590,"")</f>
        <v/>
      </c>
    </row>
    <row r="16591" spans="1:7" ht="12" customHeight="1" outlineLevel="2" x14ac:dyDescent="0.2">
      <c r="A16591" s="14" t="s">
        <v>32644</v>
      </c>
      <c r="B16591" s="15" t="s">
        <v>32645</v>
      </c>
      <c r="C16591" s="16">
        <f>73.78/(1+B2)</f>
        <v>73.78</v>
      </c>
      <c r="D16591" s="17" t="s">
        <v>11</v>
      </c>
      <c r="E16591" s="17"/>
      <c r="F16591" s="18"/>
      <c r="G16591" s="36" t="str">
        <f>IF(ISNUMBER(F16591),C16591*F16591,"")</f>
        <v/>
      </c>
    </row>
    <row r="16592" spans="1:7" ht="12" customHeight="1" outlineLevel="2" x14ac:dyDescent="0.2">
      <c r="A16592" s="14" t="s">
        <v>32646</v>
      </c>
      <c r="B16592" s="15" t="s">
        <v>32647</v>
      </c>
      <c r="C16592" s="16">
        <f>101.16/(1+B2)</f>
        <v>101.16</v>
      </c>
      <c r="D16592" s="17" t="s">
        <v>11</v>
      </c>
      <c r="E16592" s="17"/>
      <c r="F16592" s="18"/>
      <c r="G16592" s="36" t="str">
        <f>IF(ISNUMBER(F16592),C16592*F16592,"")</f>
        <v/>
      </c>
    </row>
    <row r="16593" spans="1:7" ht="12" customHeight="1" outlineLevel="2" x14ac:dyDescent="0.2">
      <c r="A16593" s="14" t="s">
        <v>32648</v>
      </c>
      <c r="B16593" s="15" t="s">
        <v>32649</v>
      </c>
      <c r="C16593" s="16">
        <f>124.94/(1+B2)</f>
        <v>124.94</v>
      </c>
      <c r="D16593" s="17" t="s">
        <v>11</v>
      </c>
      <c r="E16593" s="17" t="s">
        <v>11</v>
      </c>
      <c r="F16593" s="18"/>
      <c r="G16593" s="36" t="str">
        <f>IF(ISNUMBER(F16593),C16593*F16593,"")</f>
        <v/>
      </c>
    </row>
    <row r="16594" spans="1:7" ht="12" customHeight="1" outlineLevel="2" x14ac:dyDescent="0.2">
      <c r="A16594" s="14" t="s">
        <v>32650</v>
      </c>
      <c r="B16594" s="15" t="s">
        <v>32651</v>
      </c>
      <c r="C16594" s="16">
        <f>224.36/(1+B2)</f>
        <v>224.36</v>
      </c>
      <c r="D16594" s="17" t="s">
        <v>11</v>
      </c>
      <c r="E16594" s="17" t="s">
        <v>11</v>
      </c>
      <c r="F16594" s="18"/>
      <c r="G16594" s="36" t="str">
        <f>IF(ISNUMBER(F16594),C16594*F16594,"")</f>
        <v/>
      </c>
    </row>
    <row r="16595" spans="1:7" ht="24" customHeight="1" outlineLevel="2" x14ac:dyDescent="0.2">
      <c r="A16595" s="14" t="s">
        <v>32652</v>
      </c>
      <c r="B16595" s="15" t="s">
        <v>32653</v>
      </c>
      <c r="C16595" s="16">
        <f>150.4/(1+B2)</f>
        <v>150.4</v>
      </c>
      <c r="D16595" s="17" t="s">
        <v>11</v>
      </c>
      <c r="E16595" s="17"/>
      <c r="F16595" s="18"/>
      <c r="G16595" s="36" t="str">
        <f>IF(ISNUMBER(F16595),C16595*F16595,"")</f>
        <v/>
      </c>
    </row>
    <row r="16596" spans="1:7" ht="12" customHeight="1" outlineLevel="2" x14ac:dyDescent="0.2">
      <c r="A16596" s="14" t="s">
        <v>32654</v>
      </c>
      <c r="B16596" s="15" t="s">
        <v>32655</v>
      </c>
      <c r="C16596" s="16">
        <f>221.41/(1+B2)</f>
        <v>221.41</v>
      </c>
      <c r="D16596" s="17" t="s">
        <v>11</v>
      </c>
      <c r="E16596" s="17"/>
      <c r="F16596" s="18"/>
      <c r="G16596" s="36" t="str">
        <f>IF(ISNUMBER(F16596),C16596*F16596,"")</f>
        <v/>
      </c>
    </row>
    <row r="16597" spans="1:7" ht="12" customHeight="1" outlineLevel="2" x14ac:dyDescent="0.2">
      <c r="A16597" s="14" t="s">
        <v>32656</v>
      </c>
      <c r="B16597" s="15" t="s">
        <v>32657</v>
      </c>
      <c r="C16597" s="16">
        <f>113.84/(1+B2)</f>
        <v>113.84</v>
      </c>
      <c r="D16597" s="17" t="s">
        <v>11</v>
      </c>
      <c r="E16597" s="17"/>
      <c r="F16597" s="18"/>
      <c r="G16597" s="36" t="str">
        <f>IF(ISNUMBER(F16597),C16597*F16597,"")</f>
        <v/>
      </c>
    </row>
    <row r="16598" spans="1:7" ht="12" customHeight="1" outlineLevel="2" x14ac:dyDescent="0.2">
      <c r="A16598" s="14" t="s">
        <v>32658</v>
      </c>
      <c r="B16598" s="15" t="s">
        <v>32659</v>
      </c>
      <c r="C16598" s="16">
        <f>134.02/(1+B2)</f>
        <v>134.02000000000001</v>
      </c>
      <c r="D16598" s="17" t="s">
        <v>11</v>
      </c>
      <c r="E16598" s="17"/>
      <c r="F16598" s="18"/>
      <c r="G16598" s="36" t="str">
        <f>IF(ISNUMBER(F16598),C16598*F16598,"")</f>
        <v/>
      </c>
    </row>
    <row r="16599" spans="1:7" ht="12" customHeight="1" outlineLevel="2" x14ac:dyDescent="0.2">
      <c r="A16599" s="14" t="s">
        <v>32660</v>
      </c>
      <c r="B16599" s="15" t="s">
        <v>32661</v>
      </c>
      <c r="C16599" s="16">
        <f>146.32/(1+B2)</f>
        <v>146.32</v>
      </c>
      <c r="D16599" s="17" t="s">
        <v>11</v>
      </c>
      <c r="E16599" s="17" t="s">
        <v>11</v>
      </c>
      <c r="F16599" s="18"/>
      <c r="G16599" s="36" t="str">
        <f>IF(ISNUMBER(F16599),C16599*F16599,"")</f>
        <v/>
      </c>
    </row>
    <row r="16600" spans="1:7" ht="12" customHeight="1" outlineLevel="2" x14ac:dyDescent="0.2">
      <c r="A16600" s="14" t="s">
        <v>32662</v>
      </c>
      <c r="B16600" s="15" t="s">
        <v>32663</v>
      </c>
      <c r="C16600" s="16">
        <f>164.47/(1+B2)</f>
        <v>164.47</v>
      </c>
      <c r="D16600" s="17" t="s">
        <v>53</v>
      </c>
      <c r="E16600" s="17" t="s">
        <v>11</v>
      </c>
      <c r="F16600" s="18"/>
      <c r="G16600" s="36" t="str">
        <f>IF(ISNUMBER(F16600),C16600*F16600,"")</f>
        <v/>
      </c>
    </row>
    <row r="16601" spans="1:7" ht="12" customHeight="1" outlineLevel="2" x14ac:dyDescent="0.2">
      <c r="A16601" s="14" t="s">
        <v>32664</v>
      </c>
      <c r="B16601" s="15" t="s">
        <v>32665</v>
      </c>
      <c r="C16601" s="16">
        <f>180.88/(1+B2)</f>
        <v>180.88</v>
      </c>
      <c r="D16601" s="17" t="s">
        <v>11</v>
      </c>
      <c r="E16601" s="17" t="s">
        <v>11</v>
      </c>
      <c r="F16601" s="18"/>
      <c r="G16601" s="36" t="str">
        <f>IF(ISNUMBER(F16601),C16601*F16601,"")</f>
        <v/>
      </c>
    </row>
    <row r="16602" spans="1:7" ht="12" customHeight="1" outlineLevel="2" x14ac:dyDescent="0.2">
      <c r="A16602" s="14" t="s">
        <v>32666</v>
      </c>
      <c r="B16602" s="15" t="s">
        <v>32667</v>
      </c>
      <c r="C16602" s="16">
        <f>247.64/(1+B2)</f>
        <v>247.64</v>
      </c>
      <c r="D16602" s="17" t="s">
        <v>11</v>
      </c>
      <c r="E16602" s="17" t="s">
        <v>11</v>
      </c>
      <c r="F16602" s="18"/>
      <c r="G16602" s="36" t="str">
        <f>IF(ISNUMBER(F16602),C16602*F16602,"")</f>
        <v/>
      </c>
    </row>
    <row r="16603" spans="1:7" ht="12" customHeight="1" outlineLevel="2" x14ac:dyDescent="0.2">
      <c r="A16603" s="14" t="s">
        <v>32668</v>
      </c>
      <c r="B16603" s="15" t="s">
        <v>32669</v>
      </c>
      <c r="C16603" s="16">
        <f>159.89/(1+B2)</f>
        <v>159.88999999999999</v>
      </c>
      <c r="D16603" s="17" t="s">
        <v>11</v>
      </c>
      <c r="E16603" s="17"/>
      <c r="F16603" s="18"/>
      <c r="G16603" s="36" t="str">
        <f>IF(ISNUMBER(F16603),C16603*F16603,"")</f>
        <v/>
      </c>
    </row>
    <row r="16604" spans="1:7" ht="12" customHeight="1" outlineLevel="2" x14ac:dyDescent="0.2">
      <c r="A16604" s="14" t="s">
        <v>32670</v>
      </c>
      <c r="B16604" s="15" t="s">
        <v>32671</v>
      </c>
      <c r="C16604" s="16">
        <f>173.2/(1+B2)</f>
        <v>173.2</v>
      </c>
      <c r="D16604" s="17" t="s">
        <v>14</v>
      </c>
      <c r="E16604" s="17"/>
      <c r="F16604" s="18"/>
      <c r="G16604" s="36" t="str">
        <f>IF(ISNUMBER(F16604),C16604*F16604,"")</f>
        <v/>
      </c>
    </row>
    <row r="16605" spans="1:7" ht="12" customHeight="1" outlineLevel="2" x14ac:dyDescent="0.2">
      <c r="A16605" s="14" t="s">
        <v>32672</v>
      </c>
      <c r="B16605" s="15" t="s">
        <v>32673</v>
      </c>
      <c r="C16605" s="16">
        <f>199.84/(1+B2)</f>
        <v>199.84</v>
      </c>
      <c r="D16605" s="17" t="s">
        <v>11</v>
      </c>
      <c r="E16605" s="17"/>
      <c r="F16605" s="18"/>
      <c r="G16605" s="36" t="str">
        <f>IF(ISNUMBER(F16605),C16605*F16605,"")</f>
        <v/>
      </c>
    </row>
    <row r="16606" spans="1:7" ht="12" customHeight="1" outlineLevel="2" x14ac:dyDescent="0.2">
      <c r="A16606" s="14" t="s">
        <v>32674</v>
      </c>
      <c r="B16606" s="15" t="s">
        <v>32675</v>
      </c>
      <c r="C16606" s="16">
        <f>390.16/(1+B2)</f>
        <v>390.16</v>
      </c>
      <c r="D16606" s="17" t="s">
        <v>11</v>
      </c>
      <c r="E16606" s="17"/>
      <c r="F16606" s="18"/>
      <c r="G16606" s="36" t="str">
        <f>IF(ISNUMBER(F16606),C16606*F16606,"")</f>
        <v/>
      </c>
    </row>
    <row r="16607" spans="1:7" ht="12" customHeight="1" outlineLevel="2" x14ac:dyDescent="0.2">
      <c r="A16607" s="14" t="s">
        <v>32676</v>
      </c>
      <c r="B16607" s="15" t="s">
        <v>32677</v>
      </c>
      <c r="C16607" s="16">
        <f>226.19/(1+B2)</f>
        <v>226.19</v>
      </c>
      <c r="D16607" s="17" t="s">
        <v>11</v>
      </c>
      <c r="E16607" s="17" t="s">
        <v>11</v>
      </c>
      <c r="F16607" s="18"/>
      <c r="G16607" s="36" t="str">
        <f>IF(ISNUMBER(F16607),C16607*F16607,"")</f>
        <v/>
      </c>
    </row>
    <row r="16608" spans="1:7" ht="12" customHeight="1" outlineLevel="2" x14ac:dyDescent="0.2">
      <c r="A16608" s="14" t="s">
        <v>32678</v>
      </c>
      <c r="B16608" s="15" t="s">
        <v>32679</v>
      </c>
      <c r="C16608" s="16">
        <f>43.6/(1+B2)</f>
        <v>43.6</v>
      </c>
      <c r="D16608" s="17" t="s">
        <v>14</v>
      </c>
      <c r="E16608" s="17"/>
      <c r="F16608" s="18"/>
      <c r="G16608" s="36" t="str">
        <f>IF(ISNUMBER(F16608),C16608*F16608,"")</f>
        <v/>
      </c>
    </row>
    <row r="16609" spans="1:7" ht="12" customHeight="1" outlineLevel="2" x14ac:dyDescent="0.2">
      <c r="A16609" s="14" t="s">
        <v>32680</v>
      </c>
      <c r="B16609" s="15" t="s">
        <v>32681</v>
      </c>
      <c r="C16609" s="16">
        <f>219.01/(1+B2)</f>
        <v>219.01</v>
      </c>
      <c r="D16609" s="17" t="s">
        <v>11</v>
      </c>
      <c r="E16609" s="17"/>
      <c r="F16609" s="18"/>
      <c r="G16609" s="36" t="str">
        <f>IF(ISNUMBER(F16609),C16609*F16609,"")</f>
        <v/>
      </c>
    </row>
    <row r="16610" spans="1:7" ht="12" customHeight="1" outlineLevel="2" x14ac:dyDescent="0.2">
      <c r="A16610" s="14" t="s">
        <v>32682</v>
      </c>
      <c r="B16610" s="15" t="s">
        <v>32683</v>
      </c>
      <c r="C16610" s="16">
        <f>107.6/(1+B2)</f>
        <v>107.6</v>
      </c>
      <c r="D16610" s="17" t="s">
        <v>11</v>
      </c>
      <c r="E16610" s="17"/>
      <c r="F16610" s="18"/>
      <c r="G16610" s="36" t="str">
        <f>IF(ISNUMBER(F16610),C16610*F16610,"")</f>
        <v/>
      </c>
    </row>
    <row r="16611" spans="1:7" ht="12" customHeight="1" outlineLevel="2" x14ac:dyDescent="0.2">
      <c r="A16611" s="14" t="s">
        <v>32684</v>
      </c>
      <c r="B16611" s="15" t="s">
        <v>32685</v>
      </c>
      <c r="C16611" s="16">
        <f>15.88/(1+B2)</f>
        <v>15.88</v>
      </c>
      <c r="D16611" s="17" t="s">
        <v>11</v>
      </c>
      <c r="E16611" s="17" t="s">
        <v>14</v>
      </c>
      <c r="F16611" s="18"/>
      <c r="G16611" s="36" t="str">
        <f>IF(ISNUMBER(F16611),C16611*F16611,"")</f>
        <v/>
      </c>
    </row>
    <row r="16612" spans="1:7" ht="12" customHeight="1" outlineLevel="2" x14ac:dyDescent="0.2">
      <c r="A16612" s="14" t="s">
        <v>32686</v>
      </c>
      <c r="B16612" s="15" t="s">
        <v>32687</v>
      </c>
      <c r="C16612" s="16">
        <f>33.68/(1+B2)</f>
        <v>33.68</v>
      </c>
      <c r="D16612" s="17" t="s">
        <v>14</v>
      </c>
      <c r="E16612" s="17" t="s">
        <v>14</v>
      </c>
      <c r="F16612" s="18"/>
      <c r="G16612" s="36" t="str">
        <f>IF(ISNUMBER(F16612),C16612*F16612,"")</f>
        <v/>
      </c>
    </row>
    <row r="16613" spans="1:7" ht="12" customHeight="1" outlineLevel="2" x14ac:dyDescent="0.2">
      <c r="A16613" s="14" t="s">
        <v>32688</v>
      </c>
      <c r="B16613" s="15" t="s">
        <v>32689</v>
      </c>
      <c r="C16613" s="16">
        <f>124.94/(1+B2)</f>
        <v>124.94</v>
      </c>
      <c r="D16613" s="17" t="s">
        <v>11</v>
      </c>
      <c r="E16613" s="17"/>
      <c r="F16613" s="18"/>
      <c r="G16613" s="36" t="str">
        <f>IF(ISNUMBER(F16613),C16613*F16613,"")</f>
        <v/>
      </c>
    </row>
    <row r="16614" spans="1:7" ht="12" customHeight="1" outlineLevel="2" x14ac:dyDescent="0.2">
      <c r="A16614" s="14" t="s">
        <v>32690</v>
      </c>
      <c r="B16614" s="15" t="s">
        <v>32691</v>
      </c>
      <c r="C16614" s="16">
        <f>126.16/(1+B2)</f>
        <v>126.16</v>
      </c>
      <c r="D16614" s="17" t="s">
        <v>11</v>
      </c>
      <c r="E16614" s="17"/>
      <c r="F16614" s="18"/>
      <c r="G16614" s="36" t="str">
        <f>IF(ISNUMBER(F16614),C16614*F16614,"")</f>
        <v/>
      </c>
    </row>
    <row r="16615" spans="1:7" ht="12" customHeight="1" outlineLevel="2" x14ac:dyDescent="0.2">
      <c r="A16615" s="14" t="s">
        <v>32692</v>
      </c>
      <c r="B16615" s="15" t="s">
        <v>32693</v>
      </c>
      <c r="C16615" s="16">
        <f>342.26/(1+B2)</f>
        <v>342.26</v>
      </c>
      <c r="D16615" s="17" t="s">
        <v>11</v>
      </c>
      <c r="E16615" s="17" t="s">
        <v>11</v>
      </c>
      <c r="F16615" s="18"/>
      <c r="G16615" s="36" t="str">
        <f>IF(ISNUMBER(F16615),C16615*F16615,"")</f>
        <v/>
      </c>
    </row>
    <row r="16616" spans="1:7" ht="12" customHeight="1" outlineLevel="2" x14ac:dyDescent="0.2">
      <c r="A16616" s="14" t="s">
        <v>32694</v>
      </c>
      <c r="B16616" s="15" t="s">
        <v>32695</v>
      </c>
      <c r="C16616" s="16">
        <f>283.16/(1+B2)</f>
        <v>283.16000000000003</v>
      </c>
      <c r="D16616" s="17" t="s">
        <v>11</v>
      </c>
      <c r="E16616" s="17"/>
      <c r="F16616" s="18"/>
      <c r="G16616" s="36" t="str">
        <f>IF(ISNUMBER(F16616),C16616*F16616,"")</f>
        <v/>
      </c>
    </row>
    <row r="16617" spans="1:7" ht="12" customHeight="1" outlineLevel="2" x14ac:dyDescent="0.2">
      <c r="A16617" s="14" t="s">
        <v>32696</v>
      </c>
      <c r="B16617" s="15" t="s">
        <v>32697</v>
      </c>
      <c r="C16617" s="16">
        <f>157.9/(1+B2)</f>
        <v>157.9</v>
      </c>
      <c r="D16617" s="17" t="s">
        <v>11</v>
      </c>
      <c r="E16617" s="17" t="s">
        <v>11</v>
      </c>
      <c r="F16617" s="18"/>
      <c r="G16617" s="36" t="str">
        <f>IF(ISNUMBER(F16617),C16617*F16617,"")</f>
        <v/>
      </c>
    </row>
    <row r="16618" spans="1:7" ht="12" customHeight="1" outlineLevel="2" x14ac:dyDescent="0.2">
      <c r="A16618" s="14" t="s">
        <v>32698</v>
      </c>
      <c r="B16618" s="15" t="s">
        <v>32699</v>
      </c>
      <c r="C16618" s="16">
        <f>137.7/(1+B2)</f>
        <v>137.69999999999999</v>
      </c>
      <c r="D16618" s="17" t="s">
        <v>11</v>
      </c>
      <c r="E16618" s="17"/>
      <c r="F16618" s="18"/>
      <c r="G16618" s="36" t="str">
        <f>IF(ISNUMBER(F16618),C16618*F16618,"")</f>
        <v/>
      </c>
    </row>
    <row r="16619" spans="1:7" ht="12" customHeight="1" outlineLevel="2" x14ac:dyDescent="0.2">
      <c r="A16619" s="14" t="s">
        <v>32700</v>
      </c>
      <c r="B16619" s="15" t="s">
        <v>32701</v>
      </c>
      <c r="C16619" s="16">
        <f>168.1/(1+B2)</f>
        <v>168.1</v>
      </c>
      <c r="D16619" s="17" t="s">
        <v>11</v>
      </c>
      <c r="E16619" s="17" t="s">
        <v>11</v>
      </c>
      <c r="F16619" s="18"/>
      <c r="G16619" s="36" t="str">
        <f>IF(ISNUMBER(F16619),C16619*F16619,"")</f>
        <v/>
      </c>
    </row>
    <row r="16620" spans="1:7" ht="12" customHeight="1" outlineLevel="2" x14ac:dyDescent="0.2">
      <c r="A16620" s="14" t="s">
        <v>32702</v>
      </c>
      <c r="B16620" s="15" t="s">
        <v>32703</v>
      </c>
      <c r="C16620" s="16">
        <f>502.88/(1+B2)</f>
        <v>502.88</v>
      </c>
      <c r="D16620" s="17" t="s">
        <v>11</v>
      </c>
      <c r="E16620" s="17" t="s">
        <v>11</v>
      </c>
      <c r="F16620" s="18"/>
      <c r="G16620" s="36" t="str">
        <f>IF(ISNUMBER(F16620),C16620*F16620,"")</f>
        <v/>
      </c>
    </row>
    <row r="16621" spans="1:7" ht="12" customHeight="1" outlineLevel="2" x14ac:dyDescent="0.2">
      <c r="A16621" s="14" t="s">
        <v>32704</v>
      </c>
      <c r="B16621" s="15" t="s">
        <v>32705</v>
      </c>
      <c r="C16621" s="16">
        <f>277.94/(1+B2)</f>
        <v>277.94</v>
      </c>
      <c r="D16621" s="17" t="s">
        <v>11</v>
      </c>
      <c r="E16621" s="17" t="s">
        <v>11</v>
      </c>
      <c r="F16621" s="18"/>
      <c r="G16621" s="36" t="str">
        <f>IF(ISNUMBER(F16621),C16621*F16621,"")</f>
        <v/>
      </c>
    </row>
    <row r="16622" spans="1:7" ht="12" customHeight="1" outlineLevel="2" x14ac:dyDescent="0.2">
      <c r="A16622" s="14" t="s">
        <v>32706</v>
      </c>
      <c r="B16622" s="15" t="s">
        <v>32707</v>
      </c>
      <c r="C16622" s="16">
        <f>183.72/(1+B2)</f>
        <v>183.72</v>
      </c>
      <c r="D16622" s="17" t="s">
        <v>11</v>
      </c>
      <c r="E16622" s="17"/>
      <c r="F16622" s="18"/>
      <c r="G16622" s="36" t="str">
        <f>IF(ISNUMBER(F16622),C16622*F16622,"")</f>
        <v/>
      </c>
    </row>
    <row r="16623" spans="1:7" ht="12" customHeight="1" outlineLevel="2" x14ac:dyDescent="0.2">
      <c r="A16623" s="14" t="s">
        <v>32708</v>
      </c>
      <c r="B16623" s="15" t="s">
        <v>32709</v>
      </c>
      <c r="C16623" s="16">
        <f>243.53/(1+B2)</f>
        <v>243.53</v>
      </c>
      <c r="D16623" s="17" t="s">
        <v>11</v>
      </c>
      <c r="E16623" s="17" t="s">
        <v>11</v>
      </c>
      <c r="F16623" s="18"/>
      <c r="G16623" s="36" t="str">
        <f>IF(ISNUMBER(F16623),C16623*F16623,"")</f>
        <v/>
      </c>
    </row>
    <row r="16624" spans="1:7" ht="12" customHeight="1" outlineLevel="2" x14ac:dyDescent="0.2">
      <c r="A16624" s="14" t="s">
        <v>32710</v>
      </c>
      <c r="B16624" s="15" t="s">
        <v>32711</v>
      </c>
      <c r="C16624" s="16">
        <f>160.71/(1+B2)</f>
        <v>160.71</v>
      </c>
      <c r="D16624" s="17" t="s">
        <v>11</v>
      </c>
      <c r="E16624" s="17"/>
      <c r="F16624" s="18"/>
      <c r="G16624" s="36" t="str">
        <f>IF(ISNUMBER(F16624),C16624*F16624,"")</f>
        <v/>
      </c>
    </row>
    <row r="16625" spans="1:7" ht="12" customHeight="1" outlineLevel="2" x14ac:dyDescent="0.2">
      <c r="A16625" s="14" t="s">
        <v>32712</v>
      </c>
      <c r="B16625" s="15" t="s">
        <v>32713</v>
      </c>
      <c r="C16625" s="16">
        <f>227.9/(1+B2)</f>
        <v>227.9</v>
      </c>
      <c r="D16625" s="17" t="s">
        <v>11</v>
      </c>
      <c r="E16625" s="17" t="s">
        <v>14</v>
      </c>
      <c r="F16625" s="18"/>
      <c r="G16625" s="36" t="str">
        <f>IF(ISNUMBER(F16625),C16625*F16625,"")</f>
        <v/>
      </c>
    </row>
    <row r="16626" spans="1:7" ht="12" customHeight="1" outlineLevel="2" x14ac:dyDescent="0.2">
      <c r="A16626" s="14" t="s">
        <v>32714</v>
      </c>
      <c r="B16626" s="15" t="s">
        <v>32715</v>
      </c>
      <c r="C16626" s="16">
        <f>154.48/(1+B2)</f>
        <v>154.47999999999999</v>
      </c>
      <c r="D16626" s="17" t="s">
        <v>11</v>
      </c>
      <c r="E16626" s="17"/>
      <c r="F16626" s="18"/>
      <c r="G16626" s="36" t="str">
        <f>IF(ISNUMBER(F16626),C16626*F16626,"")</f>
        <v/>
      </c>
    </row>
    <row r="16627" spans="1:7" ht="12" customHeight="1" outlineLevel="2" x14ac:dyDescent="0.2">
      <c r="A16627" s="14" t="s">
        <v>32716</v>
      </c>
      <c r="B16627" s="15" t="s">
        <v>32717</v>
      </c>
      <c r="C16627" s="16">
        <f>82.35/(1+B2)</f>
        <v>82.35</v>
      </c>
      <c r="D16627" s="17" t="s">
        <v>11</v>
      </c>
      <c r="E16627" s="17"/>
      <c r="F16627" s="18"/>
      <c r="G16627" s="36" t="str">
        <f>IF(ISNUMBER(F16627),C16627*F16627,"")</f>
        <v/>
      </c>
    </row>
    <row r="16628" spans="1:7" ht="12" customHeight="1" outlineLevel="2" x14ac:dyDescent="0.2">
      <c r="A16628" s="14" t="s">
        <v>32718</v>
      </c>
      <c r="B16628" s="15" t="s">
        <v>32719</v>
      </c>
      <c r="C16628" s="16">
        <f>199.01/(1+B2)</f>
        <v>199.01</v>
      </c>
      <c r="D16628" s="17" t="s">
        <v>11</v>
      </c>
      <c r="E16628" s="17"/>
      <c r="F16628" s="18"/>
      <c r="G16628" s="36" t="str">
        <f>IF(ISNUMBER(F16628),C16628*F16628,"")</f>
        <v/>
      </c>
    </row>
    <row r="16629" spans="1:7" ht="12" customHeight="1" outlineLevel="2" x14ac:dyDescent="0.2">
      <c r="A16629" s="14" t="s">
        <v>32720</v>
      </c>
      <c r="B16629" s="15" t="s">
        <v>32721</v>
      </c>
      <c r="C16629" s="16">
        <f>190.36/(1+B2)</f>
        <v>190.36</v>
      </c>
      <c r="D16629" s="17" t="s">
        <v>11</v>
      </c>
      <c r="E16629" s="17"/>
      <c r="F16629" s="18"/>
      <c r="G16629" s="36" t="str">
        <f>IF(ISNUMBER(F16629),C16629*F16629,"")</f>
        <v/>
      </c>
    </row>
    <row r="16630" spans="1:7" ht="12" customHeight="1" outlineLevel="2" x14ac:dyDescent="0.2">
      <c r="A16630" s="14" t="s">
        <v>32722</v>
      </c>
      <c r="B16630" s="15" t="s">
        <v>32723</v>
      </c>
      <c r="C16630" s="16">
        <f>139.01/(1+B2)</f>
        <v>139.01</v>
      </c>
      <c r="D16630" s="17" t="s">
        <v>11</v>
      </c>
      <c r="E16630" s="17"/>
      <c r="F16630" s="18"/>
      <c r="G16630" s="36" t="str">
        <f>IF(ISNUMBER(F16630),C16630*F16630,"")</f>
        <v/>
      </c>
    </row>
    <row r="16631" spans="1:7" ht="12" customHeight="1" outlineLevel="2" x14ac:dyDescent="0.2">
      <c r="A16631" s="14" t="s">
        <v>32724</v>
      </c>
      <c r="B16631" s="15" t="s">
        <v>32725</v>
      </c>
      <c r="C16631" s="16">
        <f>66.21/(1+B2)</f>
        <v>66.209999999999994</v>
      </c>
      <c r="D16631" s="17" t="s">
        <v>11</v>
      </c>
      <c r="E16631" s="17"/>
      <c r="F16631" s="18"/>
      <c r="G16631" s="36" t="str">
        <f>IF(ISNUMBER(F16631),C16631*F16631,"")</f>
        <v/>
      </c>
    </row>
    <row r="16632" spans="1:7" ht="12" customHeight="1" outlineLevel="2" x14ac:dyDescent="0.2">
      <c r="A16632" s="14" t="s">
        <v>32726</v>
      </c>
      <c r="B16632" s="15" t="s">
        <v>32727</v>
      </c>
      <c r="C16632" s="16">
        <f>89.39/(1+B2)</f>
        <v>89.39</v>
      </c>
      <c r="D16632" s="17" t="s">
        <v>11</v>
      </c>
      <c r="E16632" s="17"/>
      <c r="F16632" s="18"/>
      <c r="G16632" s="36" t="str">
        <f>IF(ISNUMBER(F16632),C16632*F16632,"")</f>
        <v/>
      </c>
    </row>
    <row r="16633" spans="1:7" ht="12" customHeight="1" outlineLevel="2" x14ac:dyDescent="0.2">
      <c r="A16633" s="14" t="s">
        <v>32728</v>
      </c>
      <c r="B16633" s="15" t="s">
        <v>32729</v>
      </c>
      <c r="C16633" s="16">
        <f>96.22/(1+B2)</f>
        <v>96.22</v>
      </c>
      <c r="D16633" s="17" t="s">
        <v>11</v>
      </c>
      <c r="E16633" s="17" t="s">
        <v>11</v>
      </c>
      <c r="F16633" s="18"/>
      <c r="G16633" s="36" t="str">
        <f>IF(ISNUMBER(F16633),C16633*F16633,"")</f>
        <v/>
      </c>
    </row>
    <row r="16634" spans="1:7" ht="12" customHeight="1" outlineLevel="2" x14ac:dyDescent="0.2">
      <c r="A16634" s="14" t="s">
        <v>32730</v>
      </c>
      <c r="B16634" s="15" t="s">
        <v>32731</v>
      </c>
      <c r="C16634" s="16">
        <f>58.15/(1+B2)</f>
        <v>58.15</v>
      </c>
      <c r="D16634" s="17" t="s">
        <v>11</v>
      </c>
      <c r="E16634" s="17" t="s">
        <v>11</v>
      </c>
      <c r="F16634" s="18"/>
      <c r="G16634" s="36" t="str">
        <f>IF(ISNUMBER(F16634),C16634*F16634,"")</f>
        <v/>
      </c>
    </row>
    <row r="16635" spans="1:7" ht="12" customHeight="1" outlineLevel="2" x14ac:dyDescent="0.2">
      <c r="A16635" s="14" t="s">
        <v>32732</v>
      </c>
      <c r="B16635" s="15" t="s">
        <v>32733</v>
      </c>
      <c r="C16635" s="16">
        <f>136.82/(1+B2)</f>
        <v>136.82</v>
      </c>
      <c r="D16635" s="17" t="s">
        <v>11</v>
      </c>
      <c r="E16635" s="17"/>
      <c r="F16635" s="18"/>
      <c r="G16635" s="36" t="str">
        <f>IF(ISNUMBER(F16635),C16635*F16635,"")</f>
        <v/>
      </c>
    </row>
    <row r="16636" spans="1:7" ht="12" customHeight="1" outlineLevel="2" x14ac:dyDescent="0.2">
      <c r="A16636" s="14" t="s">
        <v>32734</v>
      </c>
      <c r="B16636" s="15" t="s">
        <v>32735</v>
      </c>
      <c r="C16636" s="16">
        <f>107.08/(1+B2)</f>
        <v>107.08</v>
      </c>
      <c r="D16636" s="17" t="s">
        <v>11</v>
      </c>
      <c r="E16636" s="17" t="s">
        <v>11</v>
      </c>
      <c r="F16636" s="18"/>
      <c r="G16636" s="36" t="str">
        <f>IF(ISNUMBER(F16636),C16636*F16636,"")</f>
        <v/>
      </c>
    </row>
    <row r="16637" spans="1:7" ht="12" customHeight="1" outlineLevel="2" x14ac:dyDescent="0.2">
      <c r="A16637" s="14" t="s">
        <v>32736</v>
      </c>
      <c r="B16637" s="15" t="s">
        <v>32737</v>
      </c>
      <c r="C16637" s="16">
        <f>50.32/(1+B2)</f>
        <v>50.32</v>
      </c>
      <c r="D16637" s="17" t="s">
        <v>11</v>
      </c>
      <c r="E16637" s="17"/>
      <c r="F16637" s="18"/>
      <c r="G16637" s="36" t="str">
        <f>IF(ISNUMBER(F16637),C16637*F16637,"")</f>
        <v/>
      </c>
    </row>
    <row r="16638" spans="1:7" ht="12" customHeight="1" outlineLevel="2" x14ac:dyDescent="0.2">
      <c r="A16638" s="14" t="s">
        <v>32738</v>
      </c>
      <c r="B16638" s="15" t="s">
        <v>32739</v>
      </c>
      <c r="C16638" s="16">
        <f>147.59/(1+B2)</f>
        <v>147.59</v>
      </c>
      <c r="D16638" s="17" t="s">
        <v>11</v>
      </c>
      <c r="E16638" s="17" t="s">
        <v>11</v>
      </c>
      <c r="F16638" s="18"/>
      <c r="G16638" s="36" t="str">
        <f>IF(ISNUMBER(F16638),C16638*F16638,"")</f>
        <v/>
      </c>
    </row>
    <row r="16639" spans="1:7" ht="12" customHeight="1" outlineLevel="2" x14ac:dyDescent="0.2">
      <c r="A16639" s="14" t="s">
        <v>32740</v>
      </c>
      <c r="B16639" s="15" t="s">
        <v>32741</v>
      </c>
      <c r="C16639" s="16">
        <f>96/(1+B2)</f>
        <v>96</v>
      </c>
      <c r="D16639" s="17" t="s">
        <v>11</v>
      </c>
      <c r="E16639" s="17" t="s">
        <v>11</v>
      </c>
      <c r="F16639" s="18"/>
      <c r="G16639" s="36" t="str">
        <f>IF(ISNUMBER(F16639),C16639*F16639,"")</f>
        <v/>
      </c>
    </row>
    <row r="16640" spans="1:7" ht="12" customHeight="1" outlineLevel="2" x14ac:dyDescent="0.2">
      <c r="A16640" s="14" t="s">
        <v>32742</v>
      </c>
      <c r="B16640" s="15" t="s">
        <v>32743</v>
      </c>
      <c r="C16640" s="16">
        <f>160.71/(1+B2)</f>
        <v>160.71</v>
      </c>
      <c r="D16640" s="17" t="s">
        <v>11</v>
      </c>
      <c r="E16640" s="17"/>
      <c r="F16640" s="18"/>
      <c r="G16640" s="36" t="str">
        <f>IF(ISNUMBER(F16640),C16640*F16640,"")</f>
        <v/>
      </c>
    </row>
    <row r="16641" spans="1:7" ht="12" customHeight="1" outlineLevel="2" x14ac:dyDescent="0.2">
      <c r="A16641" s="14" t="s">
        <v>32744</v>
      </c>
      <c r="B16641" s="15" t="s">
        <v>32745</v>
      </c>
      <c r="C16641" s="16">
        <f>292.69/(1+B2)</f>
        <v>292.69</v>
      </c>
      <c r="D16641" s="17" t="s">
        <v>11</v>
      </c>
      <c r="E16641" s="17"/>
      <c r="F16641" s="18"/>
      <c r="G16641" s="36" t="str">
        <f>IF(ISNUMBER(F16641),C16641*F16641,"")</f>
        <v/>
      </c>
    </row>
    <row r="16642" spans="1:7" ht="12" customHeight="1" outlineLevel="2" x14ac:dyDescent="0.2">
      <c r="A16642" s="14" t="s">
        <v>32746</v>
      </c>
      <c r="B16642" s="15" t="s">
        <v>32747</v>
      </c>
      <c r="C16642" s="16">
        <f>53.44/(1+B2)</f>
        <v>53.44</v>
      </c>
      <c r="D16642" s="17" t="s">
        <v>11</v>
      </c>
      <c r="E16642" s="17"/>
      <c r="F16642" s="18"/>
      <c r="G16642" s="36" t="str">
        <f>IF(ISNUMBER(F16642),C16642*F16642,"")</f>
        <v/>
      </c>
    </row>
    <row r="16643" spans="1:7" ht="12" customHeight="1" outlineLevel="2" x14ac:dyDescent="0.2">
      <c r="A16643" s="14" t="s">
        <v>32748</v>
      </c>
      <c r="B16643" s="15" t="s">
        <v>32749</v>
      </c>
      <c r="C16643" s="16">
        <f>66.07/(1+B2)</f>
        <v>66.069999999999993</v>
      </c>
      <c r="D16643" s="17" t="s">
        <v>11</v>
      </c>
      <c r="E16643" s="17"/>
      <c r="F16643" s="18"/>
      <c r="G16643" s="36" t="str">
        <f>IF(ISNUMBER(F16643),C16643*F16643,"")</f>
        <v/>
      </c>
    </row>
    <row r="16644" spans="1:7" ht="12" customHeight="1" outlineLevel="2" x14ac:dyDescent="0.2">
      <c r="A16644" s="14" t="s">
        <v>32750</v>
      </c>
      <c r="B16644" s="15" t="s">
        <v>32751</v>
      </c>
      <c r="C16644" s="16">
        <f>94.85/(1+B2)</f>
        <v>94.85</v>
      </c>
      <c r="D16644" s="17" t="s">
        <v>11</v>
      </c>
      <c r="E16644" s="17" t="s">
        <v>11</v>
      </c>
      <c r="F16644" s="18"/>
      <c r="G16644" s="36" t="str">
        <f>IF(ISNUMBER(F16644),C16644*F16644,"")</f>
        <v/>
      </c>
    </row>
    <row r="16645" spans="1:7" ht="12" customHeight="1" outlineLevel="2" x14ac:dyDescent="0.2">
      <c r="A16645" s="14" t="s">
        <v>32752</v>
      </c>
      <c r="B16645" s="15" t="s">
        <v>32753</v>
      </c>
      <c r="C16645" s="16">
        <f>148.44/(1+B2)</f>
        <v>148.44</v>
      </c>
      <c r="D16645" s="17" t="s">
        <v>11</v>
      </c>
      <c r="E16645" s="17"/>
      <c r="F16645" s="18"/>
      <c r="G16645" s="36" t="str">
        <f>IF(ISNUMBER(F16645),C16645*F16645,"")</f>
        <v/>
      </c>
    </row>
    <row r="16646" spans="1:7" s="1" customFormat="1" ht="15.95" customHeight="1" outlineLevel="1" x14ac:dyDescent="0.25">
      <c r="A16646" s="11"/>
      <c r="B16646" s="12" t="s">
        <v>32754</v>
      </c>
      <c r="C16646" s="13"/>
      <c r="D16646" s="13"/>
      <c r="E16646" s="13"/>
      <c r="F16646" s="13"/>
      <c r="G16646" s="35"/>
    </row>
    <row r="16647" spans="1:7" ht="12" customHeight="1" outlineLevel="2" x14ac:dyDescent="0.2">
      <c r="A16647" s="14" t="s">
        <v>32755</v>
      </c>
      <c r="B16647" s="15" t="s">
        <v>32756</v>
      </c>
      <c r="C16647" s="16">
        <f>136.88/(1+B2)</f>
        <v>136.88</v>
      </c>
      <c r="D16647" s="17" t="s">
        <v>11</v>
      </c>
      <c r="E16647" s="17"/>
      <c r="F16647" s="18"/>
      <c r="G16647" s="36" t="str">
        <f>IF(ISNUMBER(F16647),C16647*F16647,"")</f>
        <v/>
      </c>
    </row>
    <row r="16648" spans="1:7" ht="12" customHeight="1" outlineLevel="2" x14ac:dyDescent="0.2">
      <c r="A16648" s="14" t="s">
        <v>32757</v>
      </c>
      <c r="B16648" s="15" t="s">
        <v>32758</v>
      </c>
      <c r="C16648" s="16">
        <f>230.95/(1+B2)</f>
        <v>230.95</v>
      </c>
      <c r="D16648" s="17" t="s">
        <v>11</v>
      </c>
      <c r="E16648" s="17"/>
      <c r="F16648" s="18"/>
      <c r="G16648" s="36" t="str">
        <f>IF(ISNUMBER(F16648),C16648*F16648,"")</f>
        <v/>
      </c>
    </row>
    <row r="16649" spans="1:7" ht="12" customHeight="1" outlineLevel="2" x14ac:dyDescent="0.2">
      <c r="A16649" s="14" t="s">
        <v>32759</v>
      </c>
      <c r="B16649" s="15" t="s">
        <v>32760</v>
      </c>
      <c r="C16649" s="16">
        <f>154.21/(1+B2)</f>
        <v>154.21</v>
      </c>
      <c r="D16649" s="17" t="s">
        <v>11</v>
      </c>
      <c r="E16649" s="17"/>
      <c r="F16649" s="18"/>
      <c r="G16649" s="36" t="str">
        <f>IF(ISNUMBER(F16649),C16649*F16649,"")</f>
        <v/>
      </c>
    </row>
    <row r="16650" spans="1:7" ht="12" customHeight="1" outlineLevel="2" x14ac:dyDescent="0.2">
      <c r="A16650" s="14" t="s">
        <v>32761</v>
      </c>
      <c r="B16650" s="15" t="s">
        <v>32762</v>
      </c>
      <c r="C16650" s="16">
        <f>148.68/(1+B2)</f>
        <v>148.68</v>
      </c>
      <c r="D16650" s="17" t="s">
        <v>11</v>
      </c>
      <c r="E16650" s="17"/>
      <c r="F16650" s="18"/>
      <c r="G16650" s="36" t="str">
        <f>IF(ISNUMBER(F16650),C16650*F16650,"")</f>
        <v/>
      </c>
    </row>
    <row r="16651" spans="1:7" ht="12" customHeight="1" outlineLevel="2" x14ac:dyDescent="0.2">
      <c r="A16651" s="14" t="s">
        <v>32763</v>
      </c>
      <c r="B16651" s="15" t="s">
        <v>32764</v>
      </c>
      <c r="C16651" s="16">
        <f>40.4/(1+B2)</f>
        <v>40.4</v>
      </c>
      <c r="D16651" s="17" t="s">
        <v>11</v>
      </c>
      <c r="E16651" s="17"/>
      <c r="F16651" s="18"/>
      <c r="G16651" s="36" t="str">
        <f>IF(ISNUMBER(F16651),C16651*F16651,"")</f>
        <v/>
      </c>
    </row>
    <row r="16652" spans="1:7" s="1" customFormat="1" ht="15.95" customHeight="1" outlineLevel="1" x14ac:dyDescent="0.25">
      <c r="A16652" s="11"/>
      <c r="B16652" s="12" t="s">
        <v>32765</v>
      </c>
      <c r="C16652" s="13"/>
      <c r="D16652" s="13"/>
      <c r="E16652" s="13"/>
      <c r="F16652" s="13"/>
      <c r="G16652" s="35"/>
    </row>
    <row r="16653" spans="1:7" ht="12" customHeight="1" outlineLevel="2" x14ac:dyDescent="0.2">
      <c r="A16653" s="14" t="s">
        <v>32766</v>
      </c>
      <c r="B16653" s="15" t="s">
        <v>32767</v>
      </c>
      <c r="C16653" s="16">
        <f>40.4/(1+B2)</f>
        <v>40.4</v>
      </c>
      <c r="D16653" s="17" t="s">
        <v>11</v>
      </c>
      <c r="E16653" s="17" t="s">
        <v>11</v>
      </c>
      <c r="F16653" s="18"/>
      <c r="G16653" s="36" t="str">
        <f>IF(ISNUMBER(F16653),C16653*F16653,"")</f>
        <v/>
      </c>
    </row>
    <row r="16654" spans="1:7" ht="12" customHeight="1" outlineLevel="2" x14ac:dyDescent="0.2">
      <c r="A16654" s="14" t="s">
        <v>32768</v>
      </c>
      <c r="B16654" s="15" t="s">
        <v>32769</v>
      </c>
      <c r="C16654" s="16">
        <f>185.55/(1+B2)</f>
        <v>185.55</v>
      </c>
      <c r="D16654" s="17" t="s">
        <v>14</v>
      </c>
      <c r="E16654" s="17"/>
      <c r="F16654" s="18"/>
      <c r="G16654" s="36" t="str">
        <f>IF(ISNUMBER(F16654),C16654*F16654,"")</f>
        <v/>
      </c>
    </row>
    <row r="16655" spans="1:7" ht="12" customHeight="1" outlineLevel="2" x14ac:dyDescent="0.2">
      <c r="A16655" s="14" t="s">
        <v>32770</v>
      </c>
      <c r="B16655" s="15" t="s">
        <v>32771</v>
      </c>
      <c r="C16655" s="16">
        <f>134/(1+B2)</f>
        <v>134</v>
      </c>
      <c r="D16655" s="17" t="s">
        <v>14</v>
      </c>
      <c r="E16655" s="17"/>
      <c r="F16655" s="18"/>
      <c r="G16655" s="36" t="str">
        <f>IF(ISNUMBER(F16655),C16655*F16655,"")</f>
        <v/>
      </c>
    </row>
    <row r="16656" spans="1:7" ht="12" customHeight="1" outlineLevel="2" x14ac:dyDescent="0.2">
      <c r="A16656" s="14" t="s">
        <v>32772</v>
      </c>
      <c r="B16656" s="15" t="s">
        <v>32773</v>
      </c>
      <c r="C16656" s="16">
        <f>154.48/(1+B2)</f>
        <v>154.47999999999999</v>
      </c>
      <c r="D16656" s="17" t="s">
        <v>11</v>
      </c>
      <c r="E16656" s="17"/>
      <c r="F16656" s="18"/>
      <c r="G16656" s="36" t="str">
        <f>IF(ISNUMBER(F16656),C16656*F16656,"")</f>
        <v/>
      </c>
    </row>
    <row r="16657" spans="1:7" ht="12" customHeight="1" outlineLevel="2" x14ac:dyDescent="0.2">
      <c r="A16657" s="14" t="s">
        <v>32774</v>
      </c>
      <c r="B16657" s="15" t="s">
        <v>32775</v>
      </c>
      <c r="C16657" s="16">
        <f>154.48/(1+B2)</f>
        <v>154.47999999999999</v>
      </c>
      <c r="D16657" s="17" t="s">
        <v>11</v>
      </c>
      <c r="E16657" s="17"/>
      <c r="F16657" s="18"/>
      <c r="G16657" s="36" t="str">
        <f>IF(ISNUMBER(F16657),C16657*F16657,"")</f>
        <v/>
      </c>
    </row>
    <row r="16658" spans="1:7" ht="12" customHeight="1" outlineLevel="2" x14ac:dyDescent="0.2">
      <c r="A16658" s="14" t="s">
        <v>32776</v>
      </c>
      <c r="B16658" s="15" t="s">
        <v>32777</v>
      </c>
      <c r="C16658" s="16">
        <f>134/(1+B2)</f>
        <v>134</v>
      </c>
      <c r="D16658" s="17" t="s">
        <v>11</v>
      </c>
      <c r="E16658" s="17"/>
      <c r="F16658" s="18"/>
      <c r="G16658" s="36" t="str">
        <f>IF(ISNUMBER(F16658),C16658*F16658,"")</f>
        <v/>
      </c>
    </row>
    <row r="16659" spans="1:7" ht="12" customHeight="1" outlineLevel="2" x14ac:dyDescent="0.2">
      <c r="A16659" s="14" t="s">
        <v>32778</v>
      </c>
      <c r="B16659" s="15" t="s">
        <v>32779</v>
      </c>
      <c r="C16659" s="16">
        <f>169.94/(1+B2)</f>
        <v>169.94</v>
      </c>
      <c r="D16659" s="17" t="s">
        <v>11</v>
      </c>
      <c r="E16659" s="17"/>
      <c r="F16659" s="18"/>
      <c r="G16659" s="36" t="str">
        <f>IF(ISNUMBER(F16659),C16659*F16659,"")</f>
        <v/>
      </c>
    </row>
    <row r="16660" spans="1:7" ht="12" customHeight="1" outlineLevel="2" x14ac:dyDescent="0.2">
      <c r="A16660" s="14" t="s">
        <v>32780</v>
      </c>
      <c r="B16660" s="15" t="s">
        <v>32781</v>
      </c>
      <c r="C16660" s="16">
        <f>296.9/(1+B2)</f>
        <v>296.89999999999998</v>
      </c>
      <c r="D16660" s="17" t="s">
        <v>11</v>
      </c>
      <c r="E16660" s="17"/>
      <c r="F16660" s="18"/>
      <c r="G16660" s="36" t="str">
        <f>IF(ISNUMBER(F16660),C16660*F16660,"")</f>
        <v/>
      </c>
    </row>
    <row r="16661" spans="1:7" ht="24" customHeight="1" outlineLevel="2" x14ac:dyDescent="0.2">
      <c r="A16661" s="14" t="s">
        <v>32782</v>
      </c>
      <c r="B16661" s="15" t="s">
        <v>32783</v>
      </c>
      <c r="C16661" s="16">
        <f>69.81/(1+B2)</f>
        <v>69.81</v>
      </c>
      <c r="D16661" s="17" t="s">
        <v>11</v>
      </c>
      <c r="E16661" s="17"/>
      <c r="F16661" s="18"/>
      <c r="G16661" s="36" t="str">
        <f>IF(ISNUMBER(F16661),C16661*F16661,"")</f>
        <v/>
      </c>
    </row>
    <row r="16662" spans="1:7" ht="24" customHeight="1" outlineLevel="2" x14ac:dyDescent="0.2">
      <c r="A16662" s="14" t="s">
        <v>32784</v>
      </c>
      <c r="B16662" s="15" t="s">
        <v>32785</v>
      </c>
      <c r="C16662" s="16">
        <f>118.51/(1+B2)</f>
        <v>118.51</v>
      </c>
      <c r="D16662" s="17" t="s">
        <v>11</v>
      </c>
      <c r="E16662" s="17"/>
      <c r="F16662" s="18"/>
      <c r="G16662" s="36" t="str">
        <f>IF(ISNUMBER(F16662),C16662*F16662,"")</f>
        <v/>
      </c>
    </row>
    <row r="16663" spans="1:7" ht="12" customHeight="1" outlineLevel="2" x14ac:dyDescent="0.2">
      <c r="A16663" s="14" t="s">
        <v>32786</v>
      </c>
      <c r="B16663" s="15" t="s">
        <v>32787</v>
      </c>
      <c r="C16663" s="16">
        <f>154.48/(1+B2)</f>
        <v>154.47999999999999</v>
      </c>
      <c r="D16663" s="17" t="s">
        <v>11</v>
      </c>
      <c r="E16663" s="17"/>
      <c r="F16663" s="18"/>
      <c r="G16663" s="36" t="str">
        <f>IF(ISNUMBER(F16663),C16663*F16663,"")</f>
        <v/>
      </c>
    </row>
    <row r="16664" spans="1:7" ht="12" customHeight="1" outlineLevel="2" x14ac:dyDescent="0.2">
      <c r="A16664" s="14" t="s">
        <v>32788</v>
      </c>
      <c r="B16664" s="15" t="s">
        <v>32789</v>
      </c>
      <c r="C16664" s="16">
        <f>51.82/(1+B2)</f>
        <v>51.82</v>
      </c>
      <c r="D16664" s="17" t="s">
        <v>11</v>
      </c>
      <c r="E16664" s="17"/>
      <c r="F16664" s="18"/>
      <c r="G16664" s="36" t="str">
        <f>IF(ISNUMBER(F16664),C16664*F16664,"")</f>
        <v/>
      </c>
    </row>
    <row r="16665" spans="1:7" ht="12" customHeight="1" outlineLevel="2" x14ac:dyDescent="0.2">
      <c r="A16665" s="14" t="s">
        <v>32790</v>
      </c>
      <c r="B16665" s="15" t="s">
        <v>32791</v>
      </c>
      <c r="C16665" s="16">
        <f>51.82/(1+B2)</f>
        <v>51.82</v>
      </c>
      <c r="D16665" s="17" t="s">
        <v>11</v>
      </c>
      <c r="E16665" s="17"/>
      <c r="F16665" s="18"/>
      <c r="G16665" s="36" t="str">
        <f>IF(ISNUMBER(F16665),C16665*F16665,"")</f>
        <v/>
      </c>
    </row>
    <row r="16666" spans="1:7" ht="12" customHeight="1" outlineLevel="2" x14ac:dyDescent="0.2">
      <c r="A16666" s="14" t="s">
        <v>32792</v>
      </c>
      <c r="B16666" s="15" t="s">
        <v>32793</v>
      </c>
      <c r="C16666" s="16">
        <f>196.65/(1+B2)</f>
        <v>196.65</v>
      </c>
      <c r="D16666" s="17" t="s">
        <v>14</v>
      </c>
      <c r="E16666" s="17"/>
      <c r="F16666" s="18"/>
      <c r="G16666" s="36" t="str">
        <f>IF(ISNUMBER(F16666),C16666*F16666,"")</f>
        <v/>
      </c>
    </row>
    <row r="16667" spans="1:7" ht="12" customHeight="1" outlineLevel="2" x14ac:dyDescent="0.2">
      <c r="A16667" s="14" t="s">
        <v>32794</v>
      </c>
      <c r="B16667" s="15" t="s">
        <v>32795</v>
      </c>
      <c r="C16667" s="16">
        <f>185.55/(1+B2)</f>
        <v>185.55</v>
      </c>
      <c r="D16667" s="17" t="s">
        <v>11</v>
      </c>
      <c r="E16667" s="17"/>
      <c r="F16667" s="18"/>
      <c r="G16667" s="36" t="str">
        <f>IF(ISNUMBER(F16667),C16667*F16667,"")</f>
        <v/>
      </c>
    </row>
    <row r="16668" spans="1:7" ht="12" customHeight="1" outlineLevel="2" x14ac:dyDescent="0.2">
      <c r="A16668" s="14" t="s">
        <v>32796</v>
      </c>
      <c r="B16668" s="15" t="s">
        <v>32797</v>
      </c>
      <c r="C16668" s="16">
        <f>129.3/(1+B2)</f>
        <v>129.30000000000001</v>
      </c>
      <c r="D16668" s="17" t="s">
        <v>11</v>
      </c>
      <c r="E16668" s="17"/>
      <c r="F16668" s="18"/>
      <c r="G16668" s="36" t="str">
        <f>IF(ISNUMBER(F16668),C16668*F16668,"")</f>
        <v/>
      </c>
    </row>
    <row r="16669" spans="1:7" ht="12" customHeight="1" outlineLevel="2" x14ac:dyDescent="0.2">
      <c r="A16669" s="14" t="s">
        <v>32798</v>
      </c>
      <c r="B16669" s="15" t="s">
        <v>32799</v>
      </c>
      <c r="C16669" s="16">
        <f>93.39/(1+B2)</f>
        <v>93.39</v>
      </c>
      <c r="D16669" s="17" t="s">
        <v>14</v>
      </c>
      <c r="E16669" s="17"/>
      <c r="F16669" s="18"/>
      <c r="G16669" s="36" t="str">
        <f>IF(ISNUMBER(F16669),C16669*F16669,"")</f>
        <v/>
      </c>
    </row>
    <row r="16670" spans="1:7" ht="12" customHeight="1" outlineLevel="2" x14ac:dyDescent="0.2">
      <c r="A16670" s="14" t="s">
        <v>32800</v>
      </c>
      <c r="B16670" s="15" t="s">
        <v>32801</v>
      </c>
      <c r="C16670" s="16">
        <f>102.9/(1+B2)</f>
        <v>102.9</v>
      </c>
      <c r="D16670" s="17" t="s">
        <v>11</v>
      </c>
      <c r="E16670" s="17" t="s">
        <v>14</v>
      </c>
      <c r="F16670" s="18"/>
      <c r="G16670" s="36" t="str">
        <f>IF(ISNUMBER(F16670),C16670*F16670,"")</f>
        <v/>
      </c>
    </row>
    <row r="16671" spans="1:7" ht="12" customHeight="1" outlineLevel="2" x14ac:dyDescent="0.2">
      <c r="A16671" s="14" t="s">
        <v>32802</v>
      </c>
      <c r="B16671" s="15" t="s">
        <v>32803</v>
      </c>
      <c r="C16671" s="16">
        <f>71.64/(1+B2)</f>
        <v>71.64</v>
      </c>
      <c r="D16671" s="17" t="s">
        <v>11</v>
      </c>
      <c r="E16671" s="17" t="s">
        <v>11</v>
      </c>
      <c r="F16671" s="18"/>
      <c r="G16671" s="36" t="str">
        <f>IF(ISNUMBER(F16671),C16671*F16671,"")</f>
        <v/>
      </c>
    </row>
    <row r="16672" spans="1:7" ht="12" customHeight="1" outlineLevel="2" x14ac:dyDescent="0.2">
      <c r="A16672" s="14" t="s">
        <v>32804</v>
      </c>
      <c r="B16672" s="15" t="s">
        <v>32805</v>
      </c>
      <c r="C16672" s="16">
        <f>230.28/(1+B2)</f>
        <v>230.28</v>
      </c>
      <c r="D16672" s="17" t="s">
        <v>11</v>
      </c>
      <c r="E16672" s="17"/>
      <c r="F16672" s="18"/>
      <c r="G16672" s="36" t="str">
        <f>IF(ISNUMBER(F16672),C16672*F16672,"")</f>
        <v/>
      </c>
    </row>
    <row r="16673" spans="1:7" ht="12" customHeight="1" outlineLevel="2" x14ac:dyDescent="0.2">
      <c r="A16673" s="14" t="s">
        <v>32806</v>
      </c>
      <c r="B16673" s="15" t="s">
        <v>32807</v>
      </c>
      <c r="C16673" s="16">
        <f>201.16/(1+B2)</f>
        <v>201.16</v>
      </c>
      <c r="D16673" s="17" t="s">
        <v>11</v>
      </c>
      <c r="E16673" s="17"/>
      <c r="F16673" s="18"/>
      <c r="G16673" s="36" t="str">
        <f>IF(ISNUMBER(F16673),C16673*F16673,"")</f>
        <v/>
      </c>
    </row>
    <row r="16674" spans="1:7" ht="12" customHeight="1" outlineLevel="2" x14ac:dyDescent="0.2">
      <c r="A16674" s="14" t="s">
        <v>32808</v>
      </c>
      <c r="B16674" s="15" t="s">
        <v>32809</v>
      </c>
      <c r="C16674" s="16">
        <f>301.34/(1+B2)</f>
        <v>301.33999999999997</v>
      </c>
      <c r="D16674" s="17" t="s">
        <v>14</v>
      </c>
      <c r="E16674" s="17"/>
      <c r="F16674" s="18"/>
      <c r="G16674" s="36" t="str">
        <f>IF(ISNUMBER(F16674),C16674*F16674,"")</f>
        <v/>
      </c>
    </row>
    <row r="16675" spans="1:7" ht="12" customHeight="1" outlineLevel="2" x14ac:dyDescent="0.2">
      <c r="A16675" s="14" t="s">
        <v>32810</v>
      </c>
      <c r="B16675" s="15" t="s">
        <v>32811</v>
      </c>
      <c r="C16675" s="16">
        <f>185.94/(1+B2)</f>
        <v>185.94</v>
      </c>
      <c r="D16675" s="17" t="s">
        <v>11</v>
      </c>
      <c r="E16675" s="17"/>
      <c r="F16675" s="18"/>
      <c r="G16675" s="36" t="str">
        <f>IF(ISNUMBER(F16675),C16675*F16675,"")</f>
        <v/>
      </c>
    </row>
    <row r="16676" spans="1:7" ht="12" customHeight="1" outlineLevel="2" x14ac:dyDescent="0.2">
      <c r="A16676" s="14" t="s">
        <v>32812</v>
      </c>
      <c r="B16676" s="15" t="s">
        <v>32813</v>
      </c>
      <c r="C16676" s="16">
        <f>176.33/(1+B2)</f>
        <v>176.33</v>
      </c>
      <c r="D16676" s="17" t="s">
        <v>11</v>
      </c>
      <c r="E16676" s="17"/>
      <c r="F16676" s="18"/>
      <c r="G16676" s="36" t="str">
        <f>IF(ISNUMBER(F16676),C16676*F16676,"")</f>
        <v/>
      </c>
    </row>
    <row r="16677" spans="1:7" ht="12" customHeight="1" outlineLevel="2" x14ac:dyDescent="0.2">
      <c r="A16677" s="14" t="s">
        <v>32814</v>
      </c>
      <c r="B16677" s="15" t="s">
        <v>32815</v>
      </c>
      <c r="C16677" s="16">
        <f>169.94/(1+B2)</f>
        <v>169.94</v>
      </c>
      <c r="D16677" s="17" t="s">
        <v>11</v>
      </c>
      <c r="E16677" s="17"/>
      <c r="F16677" s="18"/>
      <c r="G16677" s="36" t="str">
        <f>IF(ISNUMBER(F16677),C16677*F16677,"")</f>
        <v/>
      </c>
    </row>
    <row r="16678" spans="1:7" ht="12" customHeight="1" outlineLevel="2" x14ac:dyDescent="0.2">
      <c r="A16678" s="14" t="s">
        <v>32816</v>
      </c>
      <c r="B16678" s="15" t="s">
        <v>32817</v>
      </c>
      <c r="C16678" s="16">
        <f>136.18/(1+B2)</f>
        <v>136.18</v>
      </c>
      <c r="D16678" s="17" t="s">
        <v>11</v>
      </c>
      <c r="E16678" s="17"/>
      <c r="F16678" s="18"/>
      <c r="G16678" s="36" t="str">
        <f>IF(ISNUMBER(F16678),C16678*F16678,"")</f>
        <v/>
      </c>
    </row>
    <row r="16679" spans="1:7" ht="12" customHeight="1" outlineLevel="2" x14ac:dyDescent="0.2">
      <c r="A16679" s="14" t="s">
        <v>32818</v>
      </c>
      <c r="B16679" s="15" t="s">
        <v>32819</v>
      </c>
      <c r="C16679" s="16">
        <f>75.88/(1+B2)</f>
        <v>75.88</v>
      </c>
      <c r="D16679" s="17" t="s">
        <v>11</v>
      </c>
      <c r="E16679" s="17"/>
      <c r="F16679" s="18"/>
      <c r="G16679" s="36" t="str">
        <f>IF(ISNUMBER(F16679),C16679*F16679,"")</f>
        <v/>
      </c>
    </row>
    <row r="16680" spans="1:7" ht="12" customHeight="1" outlineLevel="2" x14ac:dyDescent="0.2">
      <c r="A16680" s="14" t="s">
        <v>32820</v>
      </c>
      <c r="B16680" s="15" t="s">
        <v>32821</v>
      </c>
      <c r="C16680" s="16">
        <f>98.44/(1+B2)</f>
        <v>98.44</v>
      </c>
      <c r="D16680" s="17" t="s">
        <v>11</v>
      </c>
      <c r="E16680" s="17"/>
      <c r="F16680" s="18"/>
      <c r="G16680" s="36" t="str">
        <f>IF(ISNUMBER(F16680),C16680*F16680,"")</f>
        <v/>
      </c>
    </row>
    <row r="16681" spans="1:7" ht="12" customHeight="1" outlineLevel="2" x14ac:dyDescent="0.2">
      <c r="A16681" s="14" t="s">
        <v>32822</v>
      </c>
      <c r="B16681" s="15" t="s">
        <v>32823</v>
      </c>
      <c r="C16681" s="16">
        <f>20.09/(1+B2)</f>
        <v>20.09</v>
      </c>
      <c r="D16681" s="17" t="s">
        <v>11</v>
      </c>
      <c r="E16681" s="17"/>
      <c r="F16681" s="18"/>
      <c r="G16681" s="36" t="str">
        <f>IF(ISNUMBER(F16681),C16681*F16681,"")</f>
        <v/>
      </c>
    </row>
    <row r="16682" spans="1:7" ht="24" customHeight="1" outlineLevel="2" x14ac:dyDescent="0.2">
      <c r="A16682" s="14" t="s">
        <v>32824</v>
      </c>
      <c r="B16682" s="15" t="s">
        <v>32825</v>
      </c>
      <c r="C16682" s="16">
        <f>129.37/(1+B2)</f>
        <v>129.37</v>
      </c>
      <c r="D16682" s="17" t="s">
        <v>11</v>
      </c>
      <c r="E16682" s="17"/>
      <c r="F16682" s="18"/>
      <c r="G16682" s="36" t="str">
        <f>IF(ISNUMBER(F16682),C16682*F16682,"")</f>
        <v/>
      </c>
    </row>
    <row r="16683" spans="1:7" ht="12" customHeight="1" outlineLevel="2" x14ac:dyDescent="0.2">
      <c r="A16683" s="14" t="s">
        <v>32826</v>
      </c>
      <c r="B16683" s="15" t="s">
        <v>32827</v>
      </c>
      <c r="C16683" s="16">
        <f>204.45/(1+B2)</f>
        <v>204.45</v>
      </c>
      <c r="D16683" s="17" t="s">
        <v>11</v>
      </c>
      <c r="E16683" s="17"/>
      <c r="F16683" s="18"/>
      <c r="G16683" s="36" t="str">
        <f>IF(ISNUMBER(F16683),C16683*F16683,"")</f>
        <v/>
      </c>
    </row>
    <row r="16684" spans="1:7" ht="12" customHeight="1" outlineLevel="2" x14ac:dyDescent="0.2">
      <c r="A16684" s="14" t="s">
        <v>32828</v>
      </c>
      <c r="B16684" s="15" t="s">
        <v>32829</v>
      </c>
      <c r="C16684" s="16">
        <f>216.81/(1+B2)</f>
        <v>216.81</v>
      </c>
      <c r="D16684" s="17" t="s">
        <v>11</v>
      </c>
      <c r="E16684" s="17"/>
      <c r="F16684" s="18"/>
      <c r="G16684" s="36" t="str">
        <f>IF(ISNUMBER(F16684),C16684*F16684,"")</f>
        <v/>
      </c>
    </row>
    <row r="16685" spans="1:7" ht="12" customHeight="1" outlineLevel="2" x14ac:dyDescent="0.2">
      <c r="A16685" s="14" t="s">
        <v>32830</v>
      </c>
      <c r="B16685" s="15" t="s">
        <v>32831</v>
      </c>
      <c r="C16685" s="16">
        <f>62.41/(1+B2)</f>
        <v>62.41</v>
      </c>
      <c r="D16685" s="17" t="s">
        <v>11</v>
      </c>
      <c r="E16685" s="17"/>
      <c r="F16685" s="18"/>
      <c r="G16685" s="36" t="str">
        <f>IF(ISNUMBER(F16685),C16685*F16685,"")</f>
        <v/>
      </c>
    </row>
    <row r="16686" spans="1:7" ht="12" customHeight="1" outlineLevel="2" x14ac:dyDescent="0.2">
      <c r="A16686" s="14" t="s">
        <v>32832</v>
      </c>
      <c r="B16686" s="15" t="s">
        <v>32833</v>
      </c>
      <c r="C16686" s="16">
        <f>76.34/(1+B2)</f>
        <v>76.34</v>
      </c>
      <c r="D16686" s="17" t="s">
        <v>11</v>
      </c>
      <c r="E16686" s="17"/>
      <c r="F16686" s="18"/>
      <c r="G16686" s="36" t="str">
        <f>IF(ISNUMBER(F16686),C16686*F16686,"")</f>
        <v/>
      </c>
    </row>
    <row r="16687" spans="1:7" ht="12" customHeight="1" outlineLevel="2" x14ac:dyDescent="0.2">
      <c r="A16687" s="14" t="s">
        <v>32834</v>
      </c>
      <c r="B16687" s="15" t="s">
        <v>32835</v>
      </c>
      <c r="C16687" s="16">
        <f>98.23/(1+B2)</f>
        <v>98.23</v>
      </c>
      <c r="D16687" s="17" t="s">
        <v>11</v>
      </c>
      <c r="E16687" s="17"/>
      <c r="F16687" s="18"/>
      <c r="G16687" s="36" t="str">
        <f>IF(ISNUMBER(F16687),C16687*F16687,"")</f>
        <v/>
      </c>
    </row>
    <row r="16688" spans="1:7" ht="12" customHeight="1" outlineLevel="2" x14ac:dyDescent="0.2">
      <c r="A16688" s="14" t="s">
        <v>32836</v>
      </c>
      <c r="B16688" s="15" t="s">
        <v>32837</v>
      </c>
      <c r="C16688" s="16">
        <f>62.81/(1+B2)</f>
        <v>62.81</v>
      </c>
      <c r="D16688" s="17" t="s">
        <v>11</v>
      </c>
      <c r="E16688" s="17"/>
      <c r="F16688" s="18"/>
      <c r="G16688" s="36" t="str">
        <f>IF(ISNUMBER(F16688),C16688*F16688,"")</f>
        <v/>
      </c>
    </row>
    <row r="16689" spans="1:7" ht="12" customHeight="1" outlineLevel="2" x14ac:dyDescent="0.2">
      <c r="A16689" s="14" t="s">
        <v>32838</v>
      </c>
      <c r="B16689" s="15" t="s">
        <v>32839</v>
      </c>
      <c r="C16689" s="16">
        <f>62.81/(1+B2)</f>
        <v>62.81</v>
      </c>
      <c r="D16689" s="17" t="s">
        <v>11</v>
      </c>
      <c r="E16689" s="17"/>
      <c r="F16689" s="18"/>
      <c r="G16689" s="36" t="str">
        <f>IF(ISNUMBER(F16689),C16689*F16689,"")</f>
        <v/>
      </c>
    </row>
    <row r="16690" spans="1:7" ht="12" customHeight="1" outlineLevel="2" x14ac:dyDescent="0.2">
      <c r="A16690" s="14" t="s">
        <v>32840</v>
      </c>
      <c r="B16690" s="15" t="s">
        <v>32841</v>
      </c>
      <c r="C16690" s="16">
        <f>102.9/(1+B2)</f>
        <v>102.9</v>
      </c>
      <c r="D16690" s="17" t="s">
        <v>11</v>
      </c>
      <c r="E16690" s="17"/>
      <c r="F16690" s="18"/>
      <c r="G16690" s="36" t="str">
        <f>IF(ISNUMBER(F16690),C16690*F16690,"")</f>
        <v/>
      </c>
    </row>
    <row r="16691" spans="1:7" ht="12" customHeight="1" outlineLevel="2" x14ac:dyDescent="0.2">
      <c r="A16691" s="14" t="s">
        <v>32842</v>
      </c>
      <c r="B16691" s="15" t="s">
        <v>32843</v>
      </c>
      <c r="C16691" s="16">
        <f>106.03/(1+B2)</f>
        <v>106.03</v>
      </c>
      <c r="D16691" s="17" t="s">
        <v>11</v>
      </c>
      <c r="E16691" s="17"/>
      <c r="F16691" s="18"/>
      <c r="G16691" s="36" t="str">
        <f>IF(ISNUMBER(F16691),C16691*F16691,"")</f>
        <v/>
      </c>
    </row>
    <row r="16692" spans="1:7" ht="12" customHeight="1" outlineLevel="2" x14ac:dyDescent="0.2">
      <c r="A16692" s="14" t="s">
        <v>32844</v>
      </c>
      <c r="B16692" s="15" t="s">
        <v>32845</v>
      </c>
      <c r="C16692" s="16">
        <f>134/(1+B2)</f>
        <v>134</v>
      </c>
      <c r="D16692" s="17" t="s">
        <v>14</v>
      </c>
      <c r="E16692" s="17" t="s">
        <v>11</v>
      </c>
      <c r="F16692" s="18"/>
      <c r="G16692" s="36" t="str">
        <f>IF(ISNUMBER(F16692),C16692*F16692,"")</f>
        <v/>
      </c>
    </row>
    <row r="16693" spans="1:7" ht="12" customHeight="1" outlineLevel="2" x14ac:dyDescent="0.2">
      <c r="A16693" s="14" t="s">
        <v>32846</v>
      </c>
      <c r="B16693" s="15" t="s">
        <v>32847</v>
      </c>
      <c r="C16693" s="16">
        <f>107.6/(1+B2)</f>
        <v>107.6</v>
      </c>
      <c r="D16693" s="17" t="s">
        <v>11</v>
      </c>
      <c r="E16693" s="17"/>
      <c r="F16693" s="18"/>
      <c r="G16693" s="36" t="str">
        <f>IF(ISNUMBER(F16693),C16693*F16693,"")</f>
        <v/>
      </c>
    </row>
    <row r="16694" spans="1:7" ht="12" customHeight="1" outlineLevel="2" x14ac:dyDescent="0.2">
      <c r="A16694" s="14" t="s">
        <v>32848</v>
      </c>
      <c r="B16694" s="15" t="s">
        <v>32849</v>
      </c>
      <c r="C16694" s="16">
        <f>149.78/(1+B2)</f>
        <v>149.78</v>
      </c>
      <c r="D16694" s="17" t="s">
        <v>11</v>
      </c>
      <c r="E16694" s="17"/>
      <c r="F16694" s="18"/>
      <c r="G16694" s="36" t="str">
        <f>IF(ISNUMBER(F16694),C16694*F16694,"")</f>
        <v/>
      </c>
    </row>
    <row r="16695" spans="1:7" ht="12" customHeight="1" outlineLevel="2" x14ac:dyDescent="0.2">
      <c r="A16695" s="14" t="s">
        <v>32850</v>
      </c>
      <c r="B16695" s="15" t="s">
        <v>32851</v>
      </c>
      <c r="C16695" s="16">
        <f>169.94/(1+B2)</f>
        <v>169.94</v>
      </c>
      <c r="D16695" s="17" t="s">
        <v>11</v>
      </c>
      <c r="E16695" s="17" t="s">
        <v>11</v>
      </c>
      <c r="F16695" s="18"/>
      <c r="G16695" s="36" t="str">
        <f>IF(ISNUMBER(F16695),C16695*F16695,"")</f>
        <v/>
      </c>
    </row>
    <row r="16696" spans="1:7" ht="12" customHeight="1" outlineLevel="2" x14ac:dyDescent="0.2">
      <c r="A16696" s="14" t="s">
        <v>32852</v>
      </c>
      <c r="B16696" s="15" t="s">
        <v>32853</v>
      </c>
      <c r="C16696" s="16">
        <f>187.28/(1+B2)</f>
        <v>187.28</v>
      </c>
      <c r="D16696" s="17" t="s">
        <v>11</v>
      </c>
      <c r="E16696" s="17"/>
      <c r="F16696" s="18"/>
      <c r="G16696" s="36" t="str">
        <f>IF(ISNUMBER(F16696),C16696*F16696,"")</f>
        <v/>
      </c>
    </row>
    <row r="16697" spans="1:7" ht="12" customHeight="1" outlineLevel="2" x14ac:dyDescent="0.2">
      <c r="A16697" s="14" t="s">
        <v>32854</v>
      </c>
      <c r="B16697" s="15" t="s">
        <v>32855</v>
      </c>
      <c r="C16697" s="16">
        <f>109.35/(1+B2)</f>
        <v>109.35</v>
      </c>
      <c r="D16697" s="17" t="s">
        <v>11</v>
      </c>
      <c r="E16697" s="17"/>
      <c r="F16697" s="18"/>
      <c r="G16697" s="36" t="str">
        <f>IF(ISNUMBER(F16697),C16697*F16697,"")</f>
        <v/>
      </c>
    </row>
    <row r="16698" spans="1:7" ht="12" customHeight="1" outlineLevel="2" x14ac:dyDescent="0.2">
      <c r="A16698" s="14" t="s">
        <v>32856</v>
      </c>
      <c r="B16698" s="15" t="s">
        <v>32857</v>
      </c>
      <c r="C16698" s="16">
        <f>105.15/(1+B2)</f>
        <v>105.15</v>
      </c>
      <c r="D16698" s="17" t="s">
        <v>11</v>
      </c>
      <c r="E16698" s="17"/>
      <c r="F16698" s="18"/>
      <c r="G16698" s="36" t="str">
        <f>IF(ISNUMBER(F16698),C16698*F16698,"")</f>
        <v/>
      </c>
    </row>
    <row r="16699" spans="1:7" ht="12" customHeight="1" outlineLevel="2" x14ac:dyDescent="0.2">
      <c r="A16699" s="14" t="s">
        <v>32858</v>
      </c>
      <c r="B16699" s="15" t="s">
        <v>32859</v>
      </c>
      <c r="C16699" s="16">
        <f>164.47/(1+B2)</f>
        <v>164.47</v>
      </c>
      <c r="D16699" s="17" t="s">
        <v>14</v>
      </c>
      <c r="E16699" s="17"/>
      <c r="F16699" s="18"/>
      <c r="G16699" s="36" t="str">
        <f>IF(ISNUMBER(F16699),C16699*F16699,"")</f>
        <v/>
      </c>
    </row>
    <row r="16700" spans="1:7" ht="12" customHeight="1" outlineLevel="2" x14ac:dyDescent="0.2">
      <c r="A16700" s="14" t="s">
        <v>32860</v>
      </c>
      <c r="B16700" s="15" t="s">
        <v>32861</v>
      </c>
      <c r="C16700" s="16">
        <f>109.63/(1+B2)</f>
        <v>109.63</v>
      </c>
      <c r="D16700" s="17" t="s">
        <v>11</v>
      </c>
      <c r="E16700" s="17"/>
      <c r="F16700" s="18"/>
      <c r="G16700" s="36" t="str">
        <f>IF(ISNUMBER(F16700),C16700*F16700,"")</f>
        <v/>
      </c>
    </row>
    <row r="16701" spans="1:7" ht="12" customHeight="1" outlineLevel="2" x14ac:dyDescent="0.2">
      <c r="A16701" s="14" t="s">
        <v>32862</v>
      </c>
      <c r="B16701" s="15" t="s">
        <v>32863</v>
      </c>
      <c r="C16701" s="16">
        <f>63.58/(1+B2)</f>
        <v>63.58</v>
      </c>
      <c r="D16701" s="17" t="s">
        <v>11</v>
      </c>
      <c r="E16701" s="17"/>
      <c r="F16701" s="18"/>
      <c r="G16701" s="36" t="str">
        <f>IF(ISNUMBER(F16701),C16701*F16701,"")</f>
        <v/>
      </c>
    </row>
    <row r="16702" spans="1:7" ht="12" customHeight="1" outlineLevel="2" x14ac:dyDescent="0.2">
      <c r="A16702" s="14" t="s">
        <v>32864</v>
      </c>
      <c r="B16702" s="15" t="s">
        <v>32865</v>
      </c>
      <c r="C16702" s="16">
        <f>110.45/(1+B2)</f>
        <v>110.45</v>
      </c>
      <c r="D16702" s="17" t="s">
        <v>11</v>
      </c>
      <c r="E16702" s="17" t="s">
        <v>11</v>
      </c>
      <c r="F16702" s="18"/>
      <c r="G16702" s="36" t="str">
        <f>IF(ISNUMBER(F16702),C16702*F16702,"")</f>
        <v/>
      </c>
    </row>
    <row r="16703" spans="1:7" ht="12" customHeight="1" outlineLevel="2" x14ac:dyDescent="0.2">
      <c r="A16703" s="14" t="s">
        <v>32866</v>
      </c>
      <c r="B16703" s="15" t="s">
        <v>32867</v>
      </c>
      <c r="C16703" s="16">
        <f>96.58/(1+B2)</f>
        <v>96.58</v>
      </c>
      <c r="D16703" s="17" t="s">
        <v>11</v>
      </c>
      <c r="E16703" s="17"/>
      <c r="F16703" s="18"/>
      <c r="G16703" s="36" t="str">
        <f>IF(ISNUMBER(F16703),C16703*F16703,"")</f>
        <v/>
      </c>
    </row>
    <row r="16704" spans="1:7" ht="12" customHeight="1" outlineLevel="2" x14ac:dyDescent="0.2">
      <c r="A16704" s="14" t="s">
        <v>32868</v>
      </c>
      <c r="B16704" s="15" t="s">
        <v>32869</v>
      </c>
      <c r="C16704" s="16">
        <f>137.39/(1+B2)</f>
        <v>137.38999999999999</v>
      </c>
      <c r="D16704" s="17" t="s">
        <v>11</v>
      </c>
      <c r="E16704" s="17" t="s">
        <v>11</v>
      </c>
      <c r="F16704" s="18"/>
      <c r="G16704" s="36" t="str">
        <f>IF(ISNUMBER(F16704),C16704*F16704,"")</f>
        <v/>
      </c>
    </row>
    <row r="16705" spans="1:7" ht="12" customHeight="1" outlineLevel="2" x14ac:dyDescent="0.2">
      <c r="A16705" s="14" t="s">
        <v>32870</v>
      </c>
      <c r="B16705" s="15" t="s">
        <v>32871</v>
      </c>
      <c r="C16705" s="16">
        <f>82.22/(1+B2)</f>
        <v>82.22</v>
      </c>
      <c r="D16705" s="17" t="s">
        <v>14</v>
      </c>
      <c r="E16705" s="17"/>
      <c r="F16705" s="18"/>
      <c r="G16705" s="36" t="str">
        <f>IF(ISNUMBER(F16705),C16705*F16705,"")</f>
        <v/>
      </c>
    </row>
    <row r="16706" spans="1:7" ht="12" customHeight="1" outlineLevel="2" x14ac:dyDescent="0.2">
      <c r="A16706" s="14" t="s">
        <v>32872</v>
      </c>
      <c r="B16706" s="15" t="s">
        <v>32873</v>
      </c>
      <c r="C16706" s="16">
        <f>61.59/(1+B2)</f>
        <v>61.59</v>
      </c>
      <c r="D16706" s="17" t="s">
        <v>11</v>
      </c>
      <c r="E16706" s="17" t="s">
        <v>11</v>
      </c>
      <c r="F16706" s="18"/>
      <c r="G16706" s="36" t="str">
        <f>IF(ISNUMBER(F16706),C16706*F16706,"")</f>
        <v/>
      </c>
    </row>
    <row r="16707" spans="1:7" s="1" customFormat="1" ht="15.95" customHeight="1" outlineLevel="1" x14ac:dyDescent="0.25">
      <c r="A16707" s="11"/>
      <c r="B16707" s="12" t="s">
        <v>32874</v>
      </c>
      <c r="C16707" s="13"/>
      <c r="D16707" s="13"/>
      <c r="E16707" s="13"/>
      <c r="F16707" s="13"/>
      <c r="G16707" s="35"/>
    </row>
    <row r="16708" spans="1:7" ht="12" customHeight="1" outlineLevel="2" x14ac:dyDescent="0.2">
      <c r="A16708" s="14" t="s">
        <v>32875</v>
      </c>
      <c r="B16708" s="15" t="s">
        <v>32876</v>
      </c>
      <c r="C16708" s="16">
        <f>403.39/(1+B2)</f>
        <v>403.39</v>
      </c>
      <c r="D16708" s="17" t="s">
        <v>11</v>
      </c>
      <c r="E16708" s="17" t="s">
        <v>11</v>
      </c>
      <c r="F16708" s="18"/>
      <c r="G16708" s="36" t="str">
        <f>IF(ISNUMBER(F16708),C16708*F16708,"")</f>
        <v/>
      </c>
    </row>
    <row r="16709" spans="1:7" ht="12" customHeight="1" outlineLevel="2" x14ac:dyDescent="0.2">
      <c r="A16709" s="14" t="s">
        <v>32877</v>
      </c>
      <c r="B16709" s="15" t="s">
        <v>32878</v>
      </c>
      <c r="C16709" s="16">
        <f>189.56/(1+B2)</f>
        <v>189.56</v>
      </c>
      <c r="D16709" s="17" t="s">
        <v>11</v>
      </c>
      <c r="E16709" s="17"/>
      <c r="F16709" s="18"/>
      <c r="G16709" s="36" t="str">
        <f>IF(ISNUMBER(F16709),C16709*F16709,"")</f>
        <v/>
      </c>
    </row>
    <row r="16710" spans="1:7" ht="12" customHeight="1" outlineLevel="2" x14ac:dyDescent="0.2">
      <c r="A16710" s="14" t="s">
        <v>32879</v>
      </c>
      <c r="B16710" s="15" t="s">
        <v>32880</v>
      </c>
      <c r="C16710" s="16">
        <f>216.96/(1+B2)</f>
        <v>216.96</v>
      </c>
      <c r="D16710" s="17" t="s">
        <v>11</v>
      </c>
      <c r="E16710" s="17" t="s">
        <v>11</v>
      </c>
      <c r="F16710" s="18"/>
      <c r="G16710" s="36" t="str">
        <f>IF(ISNUMBER(F16710),C16710*F16710,"")</f>
        <v/>
      </c>
    </row>
    <row r="16711" spans="1:7" ht="12" customHeight="1" outlineLevel="2" x14ac:dyDescent="0.2">
      <c r="A16711" s="14" t="s">
        <v>32881</v>
      </c>
      <c r="B16711" s="15" t="s">
        <v>32882</v>
      </c>
      <c r="C16711" s="16">
        <f>260.36/(1+B2)</f>
        <v>260.36</v>
      </c>
      <c r="D16711" s="17" t="s">
        <v>11</v>
      </c>
      <c r="E16711" s="17"/>
      <c r="F16711" s="18"/>
      <c r="G16711" s="36" t="str">
        <f>IF(ISNUMBER(F16711),C16711*F16711,"")</f>
        <v/>
      </c>
    </row>
    <row r="16712" spans="1:7" ht="12" customHeight="1" outlineLevel="2" x14ac:dyDescent="0.2">
      <c r="A16712" s="14" t="s">
        <v>32883</v>
      </c>
      <c r="B16712" s="15" t="s">
        <v>32884</v>
      </c>
      <c r="C16712" s="16">
        <f>240.91/(1+B2)</f>
        <v>240.91</v>
      </c>
      <c r="D16712" s="17" t="s">
        <v>11</v>
      </c>
      <c r="E16712" s="17" t="s">
        <v>11</v>
      </c>
      <c r="F16712" s="18"/>
      <c r="G16712" s="36" t="str">
        <f>IF(ISNUMBER(F16712),C16712*F16712,"")</f>
        <v/>
      </c>
    </row>
    <row r="16713" spans="1:7" ht="12" customHeight="1" outlineLevel="2" x14ac:dyDescent="0.2">
      <c r="A16713" s="14" t="s">
        <v>32885</v>
      </c>
      <c r="B16713" s="15" t="s">
        <v>32886</v>
      </c>
      <c r="C16713" s="16">
        <f>279.55/(1+B2)</f>
        <v>279.55</v>
      </c>
      <c r="D16713" s="17" t="s">
        <v>11</v>
      </c>
      <c r="E16713" s="17" t="s">
        <v>11</v>
      </c>
      <c r="F16713" s="18"/>
      <c r="G16713" s="36" t="str">
        <f>IF(ISNUMBER(F16713),C16713*F16713,"")</f>
        <v/>
      </c>
    </row>
    <row r="16714" spans="1:7" ht="12" customHeight="1" outlineLevel="2" x14ac:dyDescent="0.2">
      <c r="A16714" s="14" t="s">
        <v>32887</v>
      </c>
      <c r="B16714" s="15" t="s">
        <v>32888</v>
      </c>
      <c r="C16714" s="16">
        <f>288.9/(1+B2)</f>
        <v>288.89999999999998</v>
      </c>
      <c r="D16714" s="17" t="s">
        <v>11</v>
      </c>
      <c r="E16714" s="17"/>
      <c r="F16714" s="18"/>
      <c r="G16714" s="36" t="str">
        <f>IF(ISNUMBER(F16714),C16714*F16714,"")</f>
        <v/>
      </c>
    </row>
    <row r="16715" spans="1:7" ht="12" customHeight="1" outlineLevel="2" x14ac:dyDescent="0.2">
      <c r="A16715" s="14" t="s">
        <v>32889</v>
      </c>
      <c r="B16715" s="15" t="s">
        <v>32890</v>
      </c>
      <c r="C16715" s="16">
        <f>327.73/(1+B2)</f>
        <v>327.73</v>
      </c>
      <c r="D16715" s="17" t="s">
        <v>11</v>
      </c>
      <c r="E16715" s="17"/>
      <c r="F16715" s="18"/>
      <c r="G16715" s="36" t="str">
        <f>IF(ISNUMBER(F16715),C16715*F16715,"")</f>
        <v/>
      </c>
    </row>
    <row r="16716" spans="1:7" ht="12" customHeight="1" outlineLevel="2" x14ac:dyDescent="0.2">
      <c r="A16716" s="14" t="s">
        <v>32891</v>
      </c>
      <c r="B16716" s="15" t="s">
        <v>32892</v>
      </c>
      <c r="C16716" s="16">
        <f>311.38/(1+B2)</f>
        <v>311.38</v>
      </c>
      <c r="D16716" s="17" t="s">
        <v>11</v>
      </c>
      <c r="E16716" s="17" t="s">
        <v>11</v>
      </c>
      <c r="F16716" s="18"/>
      <c r="G16716" s="36" t="str">
        <f>IF(ISNUMBER(F16716),C16716*F16716,"")</f>
        <v/>
      </c>
    </row>
    <row r="16717" spans="1:7" ht="12" customHeight="1" outlineLevel="2" x14ac:dyDescent="0.2">
      <c r="A16717" s="14" t="s">
        <v>32893</v>
      </c>
      <c r="B16717" s="15" t="s">
        <v>32894</v>
      </c>
      <c r="C16717" s="16">
        <f>314.03/(1+B2)</f>
        <v>314.02999999999997</v>
      </c>
      <c r="D16717" s="17" t="s">
        <v>11</v>
      </c>
      <c r="E16717" s="17" t="s">
        <v>11</v>
      </c>
      <c r="F16717" s="18"/>
      <c r="G16717" s="36" t="str">
        <f>IF(ISNUMBER(F16717),C16717*F16717,"")</f>
        <v/>
      </c>
    </row>
    <row r="16718" spans="1:7" ht="12" customHeight="1" outlineLevel="2" x14ac:dyDescent="0.2">
      <c r="A16718" s="14" t="s">
        <v>32895</v>
      </c>
      <c r="B16718" s="15" t="s">
        <v>32896</v>
      </c>
      <c r="C16718" s="16">
        <f>268.36/(1+B2)</f>
        <v>268.36</v>
      </c>
      <c r="D16718" s="17" t="s">
        <v>11</v>
      </c>
      <c r="E16718" s="17"/>
      <c r="F16718" s="18"/>
      <c r="G16718" s="36" t="str">
        <f>IF(ISNUMBER(F16718),C16718*F16718,"")</f>
        <v/>
      </c>
    </row>
    <row r="16719" spans="1:7" ht="12" customHeight="1" outlineLevel="2" x14ac:dyDescent="0.2">
      <c r="A16719" s="14" t="s">
        <v>32897</v>
      </c>
      <c r="B16719" s="15" t="s">
        <v>32898</v>
      </c>
      <c r="C16719" s="16">
        <f>280.64/(1+B2)</f>
        <v>280.64</v>
      </c>
      <c r="D16719" s="17" t="s">
        <v>11</v>
      </c>
      <c r="E16719" s="17"/>
      <c r="F16719" s="18"/>
      <c r="G16719" s="36" t="str">
        <f>IF(ISNUMBER(F16719),C16719*F16719,"")</f>
        <v/>
      </c>
    </row>
    <row r="16720" spans="1:7" ht="12" customHeight="1" outlineLevel="2" x14ac:dyDescent="0.2">
      <c r="A16720" s="14" t="s">
        <v>32899</v>
      </c>
      <c r="B16720" s="15" t="s">
        <v>32900</v>
      </c>
      <c r="C16720" s="16">
        <f>142.32/(1+B2)</f>
        <v>142.32</v>
      </c>
      <c r="D16720" s="17" t="s">
        <v>11</v>
      </c>
      <c r="E16720" s="17"/>
      <c r="F16720" s="18"/>
      <c r="G16720" s="36" t="str">
        <f>IF(ISNUMBER(F16720),C16720*F16720,"")</f>
        <v/>
      </c>
    </row>
    <row r="16721" spans="1:7" ht="12" customHeight="1" outlineLevel="2" x14ac:dyDescent="0.2">
      <c r="A16721" s="14" t="s">
        <v>32901</v>
      </c>
      <c r="B16721" s="15" t="s">
        <v>32902</v>
      </c>
      <c r="C16721" s="16">
        <f>77.63/(1+B2)</f>
        <v>77.63</v>
      </c>
      <c r="D16721" s="17" t="s">
        <v>11</v>
      </c>
      <c r="E16721" s="17" t="s">
        <v>11</v>
      </c>
      <c r="F16721" s="18"/>
      <c r="G16721" s="36" t="str">
        <f>IF(ISNUMBER(F16721),C16721*F16721,"")</f>
        <v/>
      </c>
    </row>
    <row r="16722" spans="1:7" ht="12" customHeight="1" outlineLevel="2" x14ac:dyDescent="0.2">
      <c r="A16722" s="14" t="s">
        <v>32903</v>
      </c>
      <c r="B16722" s="15" t="s">
        <v>32904</v>
      </c>
      <c r="C16722" s="16">
        <f>205.84/(1+B2)</f>
        <v>205.84</v>
      </c>
      <c r="D16722" s="17" t="s">
        <v>11</v>
      </c>
      <c r="E16722" s="17" t="s">
        <v>11</v>
      </c>
      <c r="F16722" s="18"/>
      <c r="G16722" s="36" t="str">
        <f>IF(ISNUMBER(F16722),C16722*F16722,"")</f>
        <v/>
      </c>
    </row>
    <row r="16723" spans="1:7" ht="12" customHeight="1" outlineLevel="2" x14ac:dyDescent="0.2">
      <c r="A16723" s="14" t="s">
        <v>32905</v>
      </c>
      <c r="B16723" s="15" t="s">
        <v>32906</v>
      </c>
      <c r="C16723" s="16">
        <f>209.35/(1+B2)</f>
        <v>209.35</v>
      </c>
      <c r="D16723" s="17" t="s">
        <v>11</v>
      </c>
      <c r="E16723" s="17" t="s">
        <v>11</v>
      </c>
      <c r="F16723" s="18"/>
      <c r="G16723" s="36" t="str">
        <f>IF(ISNUMBER(F16723),C16723*F16723,"")</f>
        <v/>
      </c>
    </row>
    <row r="16724" spans="1:7" ht="12" customHeight="1" outlineLevel="2" x14ac:dyDescent="0.2">
      <c r="A16724" s="14" t="s">
        <v>32907</v>
      </c>
      <c r="B16724" s="15" t="s">
        <v>32908</v>
      </c>
      <c r="C16724" s="16">
        <f>268.36/(1+B2)</f>
        <v>268.36</v>
      </c>
      <c r="D16724" s="17" t="s">
        <v>11</v>
      </c>
      <c r="E16724" s="17" t="s">
        <v>11</v>
      </c>
      <c r="F16724" s="18"/>
      <c r="G16724" s="36" t="str">
        <f>IF(ISNUMBER(F16724),C16724*F16724,"")</f>
        <v/>
      </c>
    </row>
    <row r="16725" spans="1:7" ht="12" customHeight="1" outlineLevel="2" x14ac:dyDescent="0.2">
      <c r="A16725" s="14" t="s">
        <v>32909</v>
      </c>
      <c r="B16725" s="15" t="s">
        <v>32910</v>
      </c>
      <c r="C16725" s="16">
        <f>252.88/(1+B2)</f>
        <v>252.88</v>
      </c>
      <c r="D16725" s="17" t="s">
        <v>11</v>
      </c>
      <c r="E16725" s="17" t="s">
        <v>11</v>
      </c>
      <c r="F16725" s="18"/>
      <c r="G16725" s="36" t="str">
        <f>IF(ISNUMBER(F16725),C16725*F16725,"")</f>
        <v/>
      </c>
    </row>
    <row r="16726" spans="1:7" ht="12" customHeight="1" outlineLevel="2" x14ac:dyDescent="0.2">
      <c r="A16726" s="14" t="s">
        <v>32911</v>
      </c>
      <c r="B16726" s="15" t="s">
        <v>32912</v>
      </c>
      <c r="C16726" s="16">
        <f>310.51/(1+B2)</f>
        <v>310.51</v>
      </c>
      <c r="D16726" s="17" t="s">
        <v>11</v>
      </c>
      <c r="E16726" s="17" t="s">
        <v>11</v>
      </c>
      <c r="F16726" s="18"/>
      <c r="G16726" s="36" t="str">
        <f>IF(ISNUMBER(F16726),C16726*F16726,"")</f>
        <v/>
      </c>
    </row>
    <row r="16727" spans="1:7" ht="12" customHeight="1" outlineLevel="2" x14ac:dyDescent="0.2">
      <c r="A16727" s="14" t="s">
        <v>32913</v>
      </c>
      <c r="B16727" s="15" t="s">
        <v>32914</v>
      </c>
      <c r="C16727" s="16">
        <f>75.06/(1+B2)</f>
        <v>75.06</v>
      </c>
      <c r="D16727" s="17" t="s">
        <v>11</v>
      </c>
      <c r="E16727" s="17" t="s">
        <v>106</v>
      </c>
      <c r="F16727" s="18"/>
      <c r="G16727" s="36" t="str">
        <f>IF(ISNUMBER(F16727),C16727*F16727,"")</f>
        <v/>
      </c>
    </row>
    <row r="16728" spans="1:7" ht="12" customHeight="1" outlineLevel="2" x14ac:dyDescent="0.2">
      <c r="A16728" s="14" t="s">
        <v>32915</v>
      </c>
      <c r="B16728" s="15" t="s">
        <v>32916</v>
      </c>
      <c r="C16728" s="16">
        <f>90.56/(1+B2)</f>
        <v>90.56</v>
      </c>
      <c r="D16728" s="17" t="s">
        <v>11</v>
      </c>
      <c r="E16728" s="17" t="s">
        <v>11</v>
      </c>
      <c r="F16728" s="18"/>
      <c r="G16728" s="36" t="str">
        <f>IF(ISNUMBER(F16728),C16728*F16728,"")</f>
        <v/>
      </c>
    </row>
    <row r="16729" spans="1:7" ht="12" customHeight="1" outlineLevel="2" x14ac:dyDescent="0.2">
      <c r="A16729" s="14" t="s">
        <v>32917</v>
      </c>
      <c r="B16729" s="15" t="s">
        <v>32918</v>
      </c>
      <c r="C16729" s="16">
        <f>137.03/(1+B2)</f>
        <v>137.03</v>
      </c>
      <c r="D16729" s="17" t="s">
        <v>14</v>
      </c>
      <c r="E16729" s="17"/>
      <c r="F16729" s="18"/>
      <c r="G16729" s="36" t="str">
        <f>IF(ISNUMBER(F16729),C16729*F16729,"")</f>
        <v/>
      </c>
    </row>
    <row r="16730" spans="1:7" ht="12" customHeight="1" outlineLevel="2" x14ac:dyDescent="0.2">
      <c r="A16730" s="14" t="s">
        <v>32919</v>
      </c>
      <c r="B16730" s="15" t="s">
        <v>32920</v>
      </c>
      <c r="C16730" s="16">
        <f>158.08/(1+B2)</f>
        <v>158.08000000000001</v>
      </c>
      <c r="D16730" s="17" t="s">
        <v>11</v>
      </c>
      <c r="E16730" s="17" t="s">
        <v>11</v>
      </c>
      <c r="F16730" s="18"/>
      <c r="G16730" s="36" t="str">
        <f>IF(ISNUMBER(F16730),C16730*F16730,"")</f>
        <v/>
      </c>
    </row>
    <row r="16731" spans="1:7" ht="12" customHeight="1" outlineLevel="2" x14ac:dyDescent="0.2">
      <c r="A16731" s="14" t="s">
        <v>32921</v>
      </c>
      <c r="B16731" s="15" t="s">
        <v>32922</v>
      </c>
      <c r="C16731" s="16">
        <f>217.73/(1+B2)</f>
        <v>217.73</v>
      </c>
      <c r="D16731" s="17" t="s">
        <v>11</v>
      </c>
      <c r="E16731" s="17" t="s">
        <v>14</v>
      </c>
      <c r="F16731" s="18"/>
      <c r="G16731" s="36" t="str">
        <f>IF(ISNUMBER(F16731),C16731*F16731,"")</f>
        <v/>
      </c>
    </row>
    <row r="16732" spans="1:7" ht="12" customHeight="1" outlineLevel="2" x14ac:dyDescent="0.2">
      <c r="A16732" s="14" t="s">
        <v>32923</v>
      </c>
      <c r="B16732" s="15" t="s">
        <v>32924</v>
      </c>
      <c r="C16732" s="16">
        <f>73.61/(1+B2)</f>
        <v>73.61</v>
      </c>
      <c r="D16732" s="17" t="s">
        <v>14</v>
      </c>
      <c r="E16732" s="17"/>
      <c r="F16732" s="18"/>
      <c r="G16732" s="36" t="str">
        <f>IF(ISNUMBER(F16732),C16732*F16732,"")</f>
        <v/>
      </c>
    </row>
    <row r="16733" spans="1:7" ht="12" customHeight="1" outlineLevel="2" x14ac:dyDescent="0.2">
      <c r="A16733" s="14" t="s">
        <v>32925</v>
      </c>
      <c r="B16733" s="15" t="s">
        <v>32926</v>
      </c>
      <c r="C16733" s="16">
        <f>232.43/(1+B2)</f>
        <v>232.43</v>
      </c>
      <c r="D16733" s="17" t="s">
        <v>11</v>
      </c>
      <c r="E16733" s="17"/>
      <c r="F16733" s="18"/>
      <c r="G16733" s="36" t="str">
        <f>IF(ISNUMBER(F16733),C16733*F16733,"")</f>
        <v/>
      </c>
    </row>
    <row r="16734" spans="1:7" ht="12" customHeight="1" outlineLevel="2" x14ac:dyDescent="0.2">
      <c r="A16734" s="14" t="s">
        <v>32927</v>
      </c>
      <c r="B16734" s="15" t="s">
        <v>32928</v>
      </c>
      <c r="C16734" s="16">
        <f>263.69/(1+B2)</f>
        <v>263.69</v>
      </c>
      <c r="D16734" s="17" t="s">
        <v>11</v>
      </c>
      <c r="E16734" s="17"/>
      <c r="F16734" s="18"/>
      <c r="G16734" s="36" t="str">
        <f>IF(ISNUMBER(F16734),C16734*F16734,"")</f>
        <v/>
      </c>
    </row>
    <row r="16735" spans="1:7" ht="12" customHeight="1" outlineLevel="2" x14ac:dyDescent="0.2">
      <c r="A16735" s="14" t="s">
        <v>32929</v>
      </c>
      <c r="B16735" s="15" t="s">
        <v>32930</v>
      </c>
      <c r="C16735" s="16">
        <f>165.62/(1+B2)</f>
        <v>165.62</v>
      </c>
      <c r="D16735" s="17" t="s">
        <v>11</v>
      </c>
      <c r="E16735" s="17" t="s">
        <v>11</v>
      </c>
      <c r="F16735" s="18"/>
      <c r="G16735" s="36" t="str">
        <f>IF(ISNUMBER(F16735),C16735*F16735,"")</f>
        <v/>
      </c>
    </row>
    <row r="16736" spans="1:7" ht="12" customHeight="1" outlineLevel="2" x14ac:dyDescent="0.2">
      <c r="A16736" s="14" t="s">
        <v>32931</v>
      </c>
      <c r="B16736" s="15" t="s">
        <v>32932</v>
      </c>
      <c r="C16736" s="16">
        <f>216.81/(1+B2)</f>
        <v>216.81</v>
      </c>
      <c r="D16736" s="17" t="s">
        <v>11</v>
      </c>
      <c r="E16736" s="17" t="s">
        <v>11</v>
      </c>
      <c r="F16736" s="18"/>
      <c r="G16736" s="36" t="str">
        <f>IF(ISNUMBER(F16736),C16736*F16736,"")</f>
        <v/>
      </c>
    </row>
    <row r="16737" spans="1:7" ht="12" customHeight="1" outlineLevel="2" x14ac:dyDescent="0.2">
      <c r="A16737" s="14" t="s">
        <v>32933</v>
      </c>
      <c r="B16737" s="15" t="s">
        <v>32934</v>
      </c>
      <c r="C16737" s="16">
        <f>326.18/(1+B2)</f>
        <v>326.18</v>
      </c>
      <c r="D16737" s="17" t="s">
        <v>11</v>
      </c>
      <c r="E16737" s="17"/>
      <c r="F16737" s="18"/>
      <c r="G16737" s="36" t="str">
        <f>IF(ISNUMBER(F16737),C16737*F16737,"")</f>
        <v/>
      </c>
    </row>
    <row r="16738" spans="1:7" ht="12" customHeight="1" outlineLevel="2" x14ac:dyDescent="0.2">
      <c r="A16738" s="14" t="s">
        <v>32935</v>
      </c>
      <c r="B16738" s="15" t="s">
        <v>32936</v>
      </c>
      <c r="C16738" s="16">
        <f>232.88/(1+B2)</f>
        <v>232.88</v>
      </c>
      <c r="D16738" s="17" t="s">
        <v>11</v>
      </c>
      <c r="E16738" s="17" t="s">
        <v>11</v>
      </c>
      <c r="F16738" s="18"/>
      <c r="G16738" s="36" t="str">
        <f>IF(ISNUMBER(F16738),C16738*F16738,"")</f>
        <v/>
      </c>
    </row>
    <row r="16739" spans="1:7" ht="12" customHeight="1" outlineLevel="2" x14ac:dyDescent="0.2">
      <c r="A16739" s="14" t="s">
        <v>32937</v>
      </c>
      <c r="B16739" s="15" t="s">
        <v>32938</v>
      </c>
      <c r="C16739" s="16">
        <f>348.21/(1+B2)</f>
        <v>348.21</v>
      </c>
      <c r="D16739" s="17" t="s">
        <v>11</v>
      </c>
      <c r="E16739" s="17"/>
      <c r="F16739" s="18"/>
      <c r="G16739" s="36" t="str">
        <f>IF(ISNUMBER(F16739),C16739*F16739,"")</f>
        <v/>
      </c>
    </row>
    <row r="16740" spans="1:7" ht="12" customHeight="1" outlineLevel="2" x14ac:dyDescent="0.2">
      <c r="A16740" s="14" t="s">
        <v>32939</v>
      </c>
      <c r="B16740" s="15" t="s">
        <v>32940</v>
      </c>
      <c r="C16740" s="16">
        <f>141.24/(1+B2)</f>
        <v>141.24</v>
      </c>
      <c r="D16740" s="17" t="s">
        <v>11</v>
      </c>
      <c r="E16740" s="17" t="s">
        <v>11</v>
      </c>
      <c r="F16740" s="18"/>
      <c r="G16740" s="36" t="str">
        <f>IF(ISNUMBER(F16740),C16740*F16740,"")</f>
        <v/>
      </c>
    </row>
    <row r="16741" spans="1:7" ht="12" customHeight="1" outlineLevel="2" x14ac:dyDescent="0.2">
      <c r="A16741" s="14" t="s">
        <v>32941</v>
      </c>
      <c r="B16741" s="15" t="s">
        <v>32942</v>
      </c>
      <c r="C16741" s="16">
        <f>35.59/(1+B2)</f>
        <v>35.590000000000003</v>
      </c>
      <c r="D16741" s="17" t="s">
        <v>11</v>
      </c>
      <c r="E16741" s="17" t="s">
        <v>11</v>
      </c>
      <c r="F16741" s="18"/>
      <c r="G16741" s="36" t="str">
        <f>IF(ISNUMBER(F16741),C16741*F16741,"")</f>
        <v/>
      </c>
    </row>
    <row r="16742" spans="1:7" ht="12" customHeight="1" outlineLevel="2" x14ac:dyDescent="0.2">
      <c r="A16742" s="14" t="s">
        <v>32943</v>
      </c>
      <c r="B16742" s="15" t="s">
        <v>32944</v>
      </c>
      <c r="C16742" s="16">
        <f>102.32/(1+B2)</f>
        <v>102.32</v>
      </c>
      <c r="D16742" s="17" t="s">
        <v>11</v>
      </c>
      <c r="E16742" s="17" t="s">
        <v>14</v>
      </c>
      <c r="F16742" s="18"/>
      <c r="G16742" s="36" t="str">
        <f>IF(ISNUMBER(F16742),C16742*F16742,"")</f>
        <v/>
      </c>
    </row>
    <row r="16743" spans="1:7" ht="12" customHeight="1" outlineLevel="2" x14ac:dyDescent="0.2">
      <c r="A16743" s="14" t="s">
        <v>32945</v>
      </c>
      <c r="B16743" s="15" t="s">
        <v>32946</v>
      </c>
      <c r="C16743" s="16">
        <f>108.36/(1+B2)</f>
        <v>108.36</v>
      </c>
      <c r="D16743" s="17" t="s">
        <v>11</v>
      </c>
      <c r="E16743" s="17" t="s">
        <v>11</v>
      </c>
      <c r="F16743" s="18"/>
      <c r="G16743" s="36" t="str">
        <f>IF(ISNUMBER(F16743),C16743*F16743,"")</f>
        <v/>
      </c>
    </row>
    <row r="16744" spans="1:7" ht="12" customHeight="1" outlineLevel="2" x14ac:dyDescent="0.2">
      <c r="A16744" s="14" t="s">
        <v>32947</v>
      </c>
      <c r="B16744" s="15" t="s">
        <v>32948</v>
      </c>
      <c r="C16744" s="16">
        <f>123.28/(1+B2)</f>
        <v>123.28</v>
      </c>
      <c r="D16744" s="17" t="s">
        <v>11</v>
      </c>
      <c r="E16744" s="17" t="s">
        <v>14</v>
      </c>
      <c r="F16744" s="18"/>
      <c r="G16744" s="36" t="str">
        <f>IF(ISNUMBER(F16744),C16744*F16744,"")</f>
        <v/>
      </c>
    </row>
    <row r="16745" spans="1:7" ht="12" customHeight="1" outlineLevel="2" x14ac:dyDescent="0.2">
      <c r="A16745" s="14" t="s">
        <v>32949</v>
      </c>
      <c r="B16745" s="15" t="s">
        <v>32950</v>
      </c>
      <c r="C16745" s="16">
        <f>54.84/(1+B2)</f>
        <v>54.84</v>
      </c>
      <c r="D16745" s="17" t="s">
        <v>11</v>
      </c>
      <c r="E16745" s="17" t="s">
        <v>11</v>
      </c>
      <c r="F16745" s="18"/>
      <c r="G16745" s="36" t="str">
        <f>IF(ISNUMBER(F16745),C16745*F16745,"")</f>
        <v/>
      </c>
    </row>
    <row r="16746" spans="1:7" ht="12" customHeight="1" outlineLevel="2" x14ac:dyDescent="0.2">
      <c r="A16746" s="14" t="s">
        <v>32951</v>
      </c>
      <c r="B16746" s="15" t="s">
        <v>32952</v>
      </c>
      <c r="C16746" s="16">
        <f>41.16/(1+B2)</f>
        <v>41.16</v>
      </c>
      <c r="D16746" s="17" t="s">
        <v>14</v>
      </c>
      <c r="E16746" s="17" t="s">
        <v>11</v>
      </c>
      <c r="F16746" s="18"/>
      <c r="G16746" s="36" t="str">
        <f>IF(ISNUMBER(F16746),C16746*F16746,"")</f>
        <v/>
      </c>
    </row>
    <row r="16747" spans="1:7" ht="12" customHeight="1" outlineLevel="2" x14ac:dyDescent="0.2">
      <c r="A16747" s="14" t="s">
        <v>32953</v>
      </c>
      <c r="B16747" s="15" t="s">
        <v>32954</v>
      </c>
      <c r="C16747" s="16">
        <f>30.83/(1+B2)</f>
        <v>30.83</v>
      </c>
      <c r="D16747" s="17" t="s">
        <v>11</v>
      </c>
      <c r="E16747" s="17" t="s">
        <v>11</v>
      </c>
      <c r="F16747" s="18"/>
      <c r="G16747" s="36" t="str">
        <f>IF(ISNUMBER(F16747),C16747*F16747,"")</f>
        <v/>
      </c>
    </row>
    <row r="16748" spans="1:7" ht="12" customHeight="1" outlineLevel="2" x14ac:dyDescent="0.2">
      <c r="A16748" s="14" t="s">
        <v>32955</v>
      </c>
      <c r="B16748" s="15" t="s">
        <v>32956</v>
      </c>
      <c r="C16748" s="16">
        <f>50.58/(1+B2)</f>
        <v>50.58</v>
      </c>
      <c r="D16748" s="17" t="s">
        <v>11</v>
      </c>
      <c r="E16748" s="17" t="s">
        <v>14</v>
      </c>
      <c r="F16748" s="18"/>
      <c r="G16748" s="36" t="str">
        <f>IF(ISNUMBER(F16748),C16748*F16748,"")</f>
        <v/>
      </c>
    </row>
    <row r="16749" spans="1:7" ht="12" customHeight="1" outlineLevel="2" x14ac:dyDescent="0.2">
      <c r="A16749" s="14" t="s">
        <v>32957</v>
      </c>
      <c r="B16749" s="15" t="s">
        <v>32958</v>
      </c>
      <c r="C16749" s="16">
        <f>91.95/(1+B2)</f>
        <v>91.95</v>
      </c>
      <c r="D16749" s="17" t="s">
        <v>11</v>
      </c>
      <c r="E16749" s="17" t="s">
        <v>11</v>
      </c>
      <c r="F16749" s="18"/>
      <c r="G16749" s="36" t="str">
        <f>IF(ISNUMBER(F16749),C16749*F16749,"")</f>
        <v/>
      </c>
    </row>
    <row r="16750" spans="1:7" ht="12" customHeight="1" outlineLevel="2" x14ac:dyDescent="0.2">
      <c r="A16750" s="14" t="s">
        <v>32959</v>
      </c>
      <c r="B16750" s="15" t="s">
        <v>32960</v>
      </c>
      <c r="C16750" s="16">
        <f>156/(1+B2)</f>
        <v>156</v>
      </c>
      <c r="D16750" s="17" t="s">
        <v>11</v>
      </c>
      <c r="E16750" s="17" t="s">
        <v>14</v>
      </c>
      <c r="F16750" s="18"/>
      <c r="G16750" s="36" t="str">
        <f>IF(ISNUMBER(F16750),C16750*F16750,"")</f>
        <v/>
      </c>
    </row>
    <row r="16751" spans="1:7" ht="12" customHeight="1" outlineLevel="2" x14ac:dyDescent="0.2">
      <c r="A16751" s="14" t="s">
        <v>32961</v>
      </c>
      <c r="B16751" s="15" t="s">
        <v>32962</v>
      </c>
      <c r="C16751" s="16">
        <f>201.9/(1+B2)</f>
        <v>201.9</v>
      </c>
      <c r="D16751" s="17" t="s">
        <v>11</v>
      </c>
      <c r="E16751" s="17" t="s">
        <v>14</v>
      </c>
      <c r="F16751" s="18"/>
      <c r="G16751" s="36" t="str">
        <f>IF(ISNUMBER(F16751),C16751*F16751,"")</f>
        <v/>
      </c>
    </row>
    <row r="16752" spans="1:7" ht="12" customHeight="1" outlineLevel="2" x14ac:dyDescent="0.2">
      <c r="A16752" s="14" t="s">
        <v>32963</v>
      </c>
      <c r="B16752" s="15" t="s">
        <v>32964</v>
      </c>
      <c r="C16752" s="16">
        <f>321.79/(1+B2)</f>
        <v>321.79000000000002</v>
      </c>
      <c r="D16752" s="17" t="s">
        <v>14</v>
      </c>
      <c r="E16752" s="17" t="s">
        <v>11</v>
      </c>
      <c r="F16752" s="18"/>
      <c r="G16752" s="36" t="str">
        <f>IF(ISNUMBER(F16752),C16752*F16752,"")</f>
        <v/>
      </c>
    </row>
    <row r="16753" spans="1:7" ht="12" customHeight="1" outlineLevel="2" x14ac:dyDescent="0.2">
      <c r="A16753" s="14" t="s">
        <v>32965</v>
      </c>
      <c r="B16753" s="15" t="s">
        <v>32966</v>
      </c>
      <c r="C16753" s="16">
        <f>111.07/(1+B2)</f>
        <v>111.07</v>
      </c>
      <c r="D16753" s="17" t="s">
        <v>11</v>
      </c>
      <c r="E16753" s="17"/>
      <c r="F16753" s="18"/>
      <c r="G16753" s="36" t="str">
        <f>IF(ISNUMBER(F16753),C16753*F16753,"")</f>
        <v/>
      </c>
    </row>
    <row r="16754" spans="1:7" s="1" customFormat="1" ht="15.95" customHeight="1" outlineLevel="1" x14ac:dyDescent="0.25">
      <c r="A16754" s="11"/>
      <c r="B16754" s="12" t="s">
        <v>32967</v>
      </c>
      <c r="C16754" s="13"/>
      <c r="D16754" s="13"/>
      <c r="E16754" s="13"/>
      <c r="F16754" s="13"/>
      <c r="G16754" s="35"/>
    </row>
    <row r="16755" spans="1:7" ht="12" customHeight="1" outlineLevel="2" x14ac:dyDescent="0.2">
      <c r="A16755" s="14" t="s">
        <v>32968</v>
      </c>
      <c r="B16755" s="15" t="s">
        <v>32969</v>
      </c>
      <c r="C16755" s="16">
        <f>113.84/(1+B2)</f>
        <v>113.84</v>
      </c>
      <c r="D16755" s="17" t="s">
        <v>11</v>
      </c>
      <c r="E16755" s="17"/>
      <c r="F16755" s="18"/>
      <c r="G16755" s="36" t="str">
        <f>IF(ISNUMBER(F16755),C16755*F16755,"")</f>
        <v/>
      </c>
    </row>
    <row r="16756" spans="1:7" ht="12" customHeight="1" outlineLevel="2" x14ac:dyDescent="0.2">
      <c r="A16756" s="14" t="s">
        <v>32970</v>
      </c>
      <c r="B16756" s="15" t="s">
        <v>32971</v>
      </c>
      <c r="C16756" s="16">
        <f>87.31/(1+B2)</f>
        <v>87.31</v>
      </c>
      <c r="D16756" s="17" t="s">
        <v>11</v>
      </c>
      <c r="E16756" s="17" t="s">
        <v>11</v>
      </c>
      <c r="F16756" s="18"/>
      <c r="G16756" s="36" t="str">
        <f>IF(ISNUMBER(F16756),C16756*F16756,"")</f>
        <v/>
      </c>
    </row>
    <row r="16757" spans="1:7" ht="24" customHeight="1" outlineLevel="2" x14ac:dyDescent="0.2">
      <c r="A16757" s="14" t="s">
        <v>32972</v>
      </c>
      <c r="B16757" s="15" t="s">
        <v>32973</v>
      </c>
      <c r="C16757" s="16">
        <f>337.39/(1+B2)</f>
        <v>337.39</v>
      </c>
      <c r="D16757" s="17" t="s">
        <v>11</v>
      </c>
      <c r="E16757" s="17"/>
      <c r="F16757" s="18"/>
      <c r="G16757" s="36" t="str">
        <f>IF(ISNUMBER(F16757),C16757*F16757,"")</f>
        <v/>
      </c>
    </row>
    <row r="16758" spans="1:7" ht="12" customHeight="1" outlineLevel="2" x14ac:dyDescent="0.2">
      <c r="A16758" s="14" t="s">
        <v>32974</v>
      </c>
      <c r="B16758" s="15" t="s">
        <v>32975</v>
      </c>
      <c r="C16758" s="16">
        <f>169.94/(1+B2)</f>
        <v>169.94</v>
      </c>
      <c r="D16758" s="17" t="s">
        <v>11</v>
      </c>
      <c r="E16758" s="17" t="s">
        <v>11</v>
      </c>
      <c r="F16758" s="18"/>
      <c r="G16758" s="36" t="str">
        <f>IF(ISNUMBER(F16758),C16758*F16758,"")</f>
        <v/>
      </c>
    </row>
    <row r="16759" spans="1:7" ht="12" customHeight="1" outlineLevel="2" x14ac:dyDescent="0.2">
      <c r="A16759" s="14" t="s">
        <v>32976</v>
      </c>
      <c r="B16759" s="15" t="s">
        <v>32977</v>
      </c>
      <c r="C16759" s="16">
        <f>221.71/(1+B2)</f>
        <v>221.71</v>
      </c>
      <c r="D16759" s="17" t="s">
        <v>11</v>
      </c>
      <c r="E16759" s="17"/>
      <c r="F16759" s="18"/>
      <c r="G16759" s="36" t="str">
        <f>IF(ISNUMBER(F16759),C16759*F16759,"")</f>
        <v/>
      </c>
    </row>
    <row r="16760" spans="1:7" ht="12" customHeight="1" outlineLevel="2" x14ac:dyDescent="0.2">
      <c r="A16760" s="14" t="s">
        <v>32978</v>
      </c>
      <c r="B16760" s="15" t="s">
        <v>32979</v>
      </c>
      <c r="C16760" s="16">
        <f>236.38/(1+B2)</f>
        <v>236.38</v>
      </c>
      <c r="D16760" s="17" t="s">
        <v>11</v>
      </c>
      <c r="E16760" s="17" t="s">
        <v>11</v>
      </c>
      <c r="F16760" s="18"/>
      <c r="G16760" s="36" t="str">
        <f>IF(ISNUMBER(F16760),C16760*F16760,"")</f>
        <v/>
      </c>
    </row>
    <row r="16761" spans="1:7" ht="12" customHeight="1" outlineLevel="2" x14ac:dyDescent="0.2">
      <c r="A16761" s="14" t="s">
        <v>32980</v>
      </c>
      <c r="B16761" s="15" t="s">
        <v>32981</v>
      </c>
      <c r="C16761" s="16">
        <f>342.58/(1+B2)</f>
        <v>342.58</v>
      </c>
      <c r="D16761" s="17" t="s">
        <v>11</v>
      </c>
      <c r="E16761" s="17"/>
      <c r="F16761" s="18"/>
      <c r="G16761" s="36" t="str">
        <f>IF(ISNUMBER(F16761),C16761*F16761,"")</f>
        <v/>
      </c>
    </row>
    <row r="16762" spans="1:7" ht="12" customHeight="1" outlineLevel="2" x14ac:dyDescent="0.2">
      <c r="A16762" s="14" t="s">
        <v>32982</v>
      </c>
      <c r="B16762" s="15" t="s">
        <v>32983</v>
      </c>
      <c r="C16762" s="16">
        <f>186.88/(1+B2)</f>
        <v>186.88</v>
      </c>
      <c r="D16762" s="17" t="s">
        <v>11</v>
      </c>
      <c r="E16762" s="17"/>
      <c r="F16762" s="18"/>
      <c r="G16762" s="36" t="str">
        <f>IF(ISNUMBER(F16762),C16762*F16762,"")</f>
        <v/>
      </c>
    </row>
    <row r="16763" spans="1:7" ht="12" customHeight="1" outlineLevel="2" x14ac:dyDescent="0.2">
      <c r="A16763" s="14" t="s">
        <v>32984</v>
      </c>
      <c r="B16763" s="15" t="s">
        <v>32985</v>
      </c>
      <c r="C16763" s="16">
        <f>279.3/(1+B2)</f>
        <v>279.3</v>
      </c>
      <c r="D16763" s="17" t="s">
        <v>11</v>
      </c>
      <c r="E16763" s="17"/>
      <c r="F16763" s="18"/>
      <c r="G16763" s="36" t="str">
        <f>IF(ISNUMBER(F16763),C16763*F16763,"")</f>
        <v/>
      </c>
    </row>
    <row r="16764" spans="1:7" ht="12" customHeight="1" outlineLevel="2" x14ac:dyDescent="0.2">
      <c r="A16764" s="14" t="s">
        <v>32986</v>
      </c>
      <c r="B16764" s="15" t="s">
        <v>32987</v>
      </c>
      <c r="C16764" s="16">
        <f>575.52/(1+B2)</f>
        <v>575.52</v>
      </c>
      <c r="D16764" s="17" t="s">
        <v>11</v>
      </c>
      <c r="E16764" s="17"/>
      <c r="F16764" s="18"/>
      <c r="G16764" s="36" t="str">
        <f>IF(ISNUMBER(F16764),C16764*F16764,"")</f>
        <v/>
      </c>
    </row>
    <row r="16765" spans="1:7" ht="24" customHeight="1" outlineLevel="2" x14ac:dyDescent="0.2">
      <c r="A16765" s="14" t="s">
        <v>32988</v>
      </c>
      <c r="B16765" s="15" t="s">
        <v>32989</v>
      </c>
      <c r="C16765" s="16">
        <f>104.28/(1+B2)</f>
        <v>104.28</v>
      </c>
      <c r="D16765" s="17" t="s">
        <v>11</v>
      </c>
      <c r="E16765" s="17"/>
      <c r="F16765" s="18"/>
      <c r="G16765" s="36" t="str">
        <f>IF(ISNUMBER(F16765),C16765*F16765,"")</f>
        <v/>
      </c>
    </row>
    <row r="16766" spans="1:7" ht="12" customHeight="1" outlineLevel="2" x14ac:dyDescent="0.2">
      <c r="A16766" s="14" t="s">
        <v>32990</v>
      </c>
      <c r="B16766" s="15" t="s">
        <v>32991</v>
      </c>
      <c r="C16766" s="16">
        <f>98.56/(1+B2)</f>
        <v>98.56</v>
      </c>
      <c r="D16766" s="17" t="s">
        <v>11</v>
      </c>
      <c r="E16766" s="17"/>
      <c r="F16766" s="18"/>
      <c r="G16766" s="36" t="str">
        <f>IF(ISNUMBER(F16766),C16766*F16766,"")</f>
        <v/>
      </c>
    </row>
    <row r="16767" spans="1:7" ht="12" customHeight="1" outlineLevel="2" x14ac:dyDescent="0.2">
      <c r="A16767" s="14" t="s">
        <v>32992</v>
      </c>
      <c r="B16767" s="15" t="s">
        <v>32993</v>
      </c>
      <c r="C16767" s="16">
        <f>82.79/(1+B2)</f>
        <v>82.79</v>
      </c>
      <c r="D16767" s="17" t="s">
        <v>11</v>
      </c>
      <c r="E16767" s="17"/>
      <c r="F16767" s="18"/>
      <c r="G16767" s="36" t="str">
        <f>IF(ISNUMBER(F16767),C16767*F16767,"")</f>
        <v/>
      </c>
    </row>
    <row r="16768" spans="1:7" ht="12" customHeight="1" outlineLevel="2" x14ac:dyDescent="0.2">
      <c r="A16768" s="14" t="s">
        <v>32994</v>
      </c>
      <c r="B16768" s="15" t="s">
        <v>32995</v>
      </c>
      <c r="C16768" s="16">
        <f>110/(1+B2)</f>
        <v>110</v>
      </c>
      <c r="D16768" s="17" t="s">
        <v>11</v>
      </c>
      <c r="E16768" s="17"/>
      <c r="F16768" s="18"/>
      <c r="G16768" s="36" t="str">
        <f>IF(ISNUMBER(F16768),C16768*F16768,"")</f>
        <v/>
      </c>
    </row>
    <row r="16769" spans="1:7" ht="12" customHeight="1" outlineLevel="2" x14ac:dyDescent="0.2">
      <c r="A16769" s="14" t="s">
        <v>32996</v>
      </c>
      <c r="B16769" s="15" t="s">
        <v>32997</v>
      </c>
      <c r="C16769" s="16">
        <f>110/(1+B2)</f>
        <v>110</v>
      </c>
      <c r="D16769" s="17" t="s">
        <v>11</v>
      </c>
      <c r="E16769" s="17"/>
      <c r="F16769" s="18"/>
      <c r="G16769" s="36" t="str">
        <f>IF(ISNUMBER(F16769),C16769*F16769,"")</f>
        <v/>
      </c>
    </row>
    <row r="16770" spans="1:7" ht="12" customHeight="1" outlineLevel="2" x14ac:dyDescent="0.2">
      <c r="A16770" s="14" t="s">
        <v>32998</v>
      </c>
      <c r="B16770" s="15" t="s">
        <v>32999</v>
      </c>
      <c r="C16770" s="16">
        <f>110/(1+B2)</f>
        <v>110</v>
      </c>
      <c r="D16770" s="17" t="s">
        <v>11</v>
      </c>
      <c r="E16770" s="17"/>
      <c r="F16770" s="18"/>
      <c r="G16770" s="36" t="str">
        <f>IF(ISNUMBER(F16770),C16770*F16770,"")</f>
        <v/>
      </c>
    </row>
    <row r="16771" spans="1:7" ht="12" customHeight="1" outlineLevel="2" x14ac:dyDescent="0.2">
      <c r="A16771" s="14" t="s">
        <v>33000</v>
      </c>
      <c r="B16771" s="15" t="s">
        <v>33001</v>
      </c>
      <c r="C16771" s="16">
        <f>110/(1+B2)</f>
        <v>110</v>
      </c>
      <c r="D16771" s="17" t="s">
        <v>11</v>
      </c>
      <c r="E16771" s="17"/>
      <c r="F16771" s="18"/>
      <c r="G16771" s="36" t="str">
        <f>IF(ISNUMBER(F16771),C16771*F16771,"")</f>
        <v/>
      </c>
    </row>
    <row r="16772" spans="1:7" ht="12" customHeight="1" outlineLevel="2" x14ac:dyDescent="0.2">
      <c r="A16772" s="14" t="s">
        <v>33002</v>
      </c>
      <c r="B16772" s="15" t="s">
        <v>33003</v>
      </c>
      <c r="C16772" s="16">
        <f>110/(1+B2)</f>
        <v>110</v>
      </c>
      <c r="D16772" s="17" t="s">
        <v>11</v>
      </c>
      <c r="E16772" s="17"/>
      <c r="F16772" s="18"/>
      <c r="G16772" s="36" t="str">
        <f>IF(ISNUMBER(F16772),C16772*F16772,"")</f>
        <v/>
      </c>
    </row>
    <row r="16773" spans="1:7" ht="12" customHeight="1" outlineLevel="2" x14ac:dyDescent="0.2">
      <c r="A16773" s="14" t="s">
        <v>33004</v>
      </c>
      <c r="B16773" s="15" t="s">
        <v>33005</v>
      </c>
      <c r="C16773" s="16">
        <f>110/(1+B2)</f>
        <v>110</v>
      </c>
      <c r="D16773" s="17" t="s">
        <v>11</v>
      </c>
      <c r="E16773" s="17"/>
      <c r="F16773" s="18"/>
      <c r="G16773" s="36" t="str">
        <f>IF(ISNUMBER(F16773),C16773*F16773,"")</f>
        <v/>
      </c>
    </row>
    <row r="16774" spans="1:7" ht="12" customHeight="1" outlineLevel="2" x14ac:dyDescent="0.2">
      <c r="A16774" s="14" t="s">
        <v>33006</v>
      </c>
      <c r="B16774" s="15" t="s">
        <v>33007</v>
      </c>
      <c r="C16774" s="16">
        <f>106.57/(1+B2)</f>
        <v>106.57</v>
      </c>
      <c r="D16774" s="17" t="s">
        <v>11</v>
      </c>
      <c r="E16774" s="17"/>
      <c r="F16774" s="18"/>
      <c r="G16774" s="36" t="str">
        <f>IF(ISNUMBER(F16774),C16774*F16774,"")</f>
        <v/>
      </c>
    </row>
    <row r="16775" spans="1:7" ht="12" customHeight="1" outlineLevel="2" x14ac:dyDescent="0.2">
      <c r="A16775" s="14" t="s">
        <v>33008</v>
      </c>
      <c r="B16775" s="15" t="s">
        <v>33009</v>
      </c>
      <c r="C16775" s="16">
        <f>139.8/(1+B2)</f>
        <v>139.80000000000001</v>
      </c>
      <c r="D16775" s="17" t="s">
        <v>11</v>
      </c>
      <c r="E16775" s="17"/>
      <c r="F16775" s="18"/>
      <c r="G16775" s="36" t="str">
        <f>IF(ISNUMBER(F16775),C16775*F16775,"")</f>
        <v/>
      </c>
    </row>
    <row r="16776" spans="1:7" ht="12" customHeight="1" outlineLevel="2" x14ac:dyDescent="0.2">
      <c r="A16776" s="14" t="s">
        <v>33010</v>
      </c>
      <c r="B16776" s="15" t="s">
        <v>33011</v>
      </c>
      <c r="C16776" s="16">
        <f>130.17/(1+B2)</f>
        <v>130.16999999999999</v>
      </c>
      <c r="D16776" s="17" t="s">
        <v>11</v>
      </c>
      <c r="E16776" s="17"/>
      <c r="F16776" s="18"/>
      <c r="G16776" s="36" t="str">
        <f>IF(ISNUMBER(F16776),C16776*F16776,"")</f>
        <v/>
      </c>
    </row>
    <row r="16777" spans="1:7" ht="12" customHeight="1" outlineLevel="2" x14ac:dyDescent="0.2">
      <c r="A16777" s="14" t="s">
        <v>33012</v>
      </c>
      <c r="B16777" s="15" t="s">
        <v>33013</v>
      </c>
      <c r="C16777" s="16">
        <f>109/(1+B2)</f>
        <v>109</v>
      </c>
      <c r="D16777" s="17" t="s">
        <v>11</v>
      </c>
      <c r="E16777" s="17"/>
      <c r="F16777" s="18"/>
      <c r="G16777" s="36" t="str">
        <f>IF(ISNUMBER(F16777),C16777*F16777,"")</f>
        <v/>
      </c>
    </row>
    <row r="16778" spans="1:7" ht="12" customHeight="1" outlineLevel="2" x14ac:dyDescent="0.2">
      <c r="A16778" s="14" t="s">
        <v>33014</v>
      </c>
      <c r="B16778" s="15" t="s">
        <v>33015</v>
      </c>
      <c r="C16778" s="16">
        <f>109/(1+B2)</f>
        <v>109</v>
      </c>
      <c r="D16778" s="17" t="s">
        <v>11</v>
      </c>
      <c r="E16778" s="17"/>
      <c r="F16778" s="18"/>
      <c r="G16778" s="36" t="str">
        <f>IF(ISNUMBER(F16778),C16778*F16778,"")</f>
        <v/>
      </c>
    </row>
    <row r="16779" spans="1:7" ht="12" customHeight="1" outlineLevel="2" x14ac:dyDescent="0.2">
      <c r="A16779" s="14" t="s">
        <v>33016</v>
      </c>
      <c r="B16779" s="15" t="s">
        <v>33017</v>
      </c>
      <c r="C16779" s="16">
        <f>161.01/(1+B2)</f>
        <v>161.01</v>
      </c>
      <c r="D16779" s="17" t="s">
        <v>11</v>
      </c>
      <c r="E16779" s="17"/>
      <c r="F16779" s="18"/>
      <c r="G16779" s="36" t="str">
        <f>IF(ISNUMBER(F16779),C16779*F16779,"")</f>
        <v/>
      </c>
    </row>
    <row r="16780" spans="1:7" ht="12" customHeight="1" outlineLevel="2" x14ac:dyDescent="0.2">
      <c r="A16780" s="14" t="s">
        <v>33018</v>
      </c>
      <c r="B16780" s="15" t="s">
        <v>33019</v>
      </c>
      <c r="C16780" s="16">
        <f>171.01/(1+B2)</f>
        <v>171.01</v>
      </c>
      <c r="D16780" s="17" t="s">
        <v>11</v>
      </c>
      <c r="E16780" s="17"/>
      <c r="F16780" s="18"/>
      <c r="G16780" s="36" t="str">
        <f>IF(ISNUMBER(F16780),C16780*F16780,"")</f>
        <v/>
      </c>
    </row>
    <row r="16781" spans="1:7" ht="12" customHeight="1" outlineLevel="2" x14ac:dyDescent="0.2">
      <c r="A16781" s="14" t="s">
        <v>33020</v>
      </c>
      <c r="B16781" s="15" t="s">
        <v>33021</v>
      </c>
      <c r="C16781" s="16">
        <f>171.01/(1+B2)</f>
        <v>171.01</v>
      </c>
      <c r="D16781" s="17" t="s">
        <v>11</v>
      </c>
      <c r="E16781" s="17"/>
      <c r="F16781" s="18"/>
      <c r="G16781" s="36" t="str">
        <f>IF(ISNUMBER(F16781),C16781*F16781,"")</f>
        <v/>
      </c>
    </row>
    <row r="16782" spans="1:7" ht="12" customHeight="1" outlineLevel="2" x14ac:dyDescent="0.2">
      <c r="A16782" s="14" t="s">
        <v>33022</v>
      </c>
      <c r="B16782" s="15" t="s">
        <v>33023</v>
      </c>
      <c r="C16782" s="16">
        <f>119/(1+B2)</f>
        <v>119</v>
      </c>
      <c r="D16782" s="17" t="s">
        <v>11</v>
      </c>
      <c r="E16782" s="17"/>
      <c r="F16782" s="18"/>
      <c r="G16782" s="36" t="str">
        <f>IF(ISNUMBER(F16782),C16782*F16782,"")</f>
        <v/>
      </c>
    </row>
    <row r="16783" spans="1:7" ht="12" customHeight="1" outlineLevel="2" x14ac:dyDescent="0.2">
      <c r="A16783" s="14" t="s">
        <v>33024</v>
      </c>
      <c r="B16783" s="15" t="s">
        <v>33025</v>
      </c>
      <c r="C16783" s="16">
        <f>89.47/(1+B2)</f>
        <v>89.47</v>
      </c>
      <c r="D16783" s="17" t="s">
        <v>11</v>
      </c>
      <c r="E16783" s="17"/>
      <c r="F16783" s="18"/>
      <c r="G16783" s="36" t="str">
        <f>IF(ISNUMBER(F16783),C16783*F16783,"")</f>
        <v/>
      </c>
    </row>
    <row r="16784" spans="1:7" ht="12" customHeight="1" outlineLevel="2" x14ac:dyDescent="0.2">
      <c r="A16784" s="14" t="s">
        <v>33026</v>
      </c>
      <c r="B16784" s="15" t="s">
        <v>33027</v>
      </c>
      <c r="C16784" s="16">
        <f>85.05/(1+B2)</f>
        <v>85.05</v>
      </c>
      <c r="D16784" s="17" t="s">
        <v>11</v>
      </c>
      <c r="E16784" s="17"/>
      <c r="F16784" s="18"/>
      <c r="G16784" s="36" t="str">
        <f>IF(ISNUMBER(F16784),C16784*F16784,"")</f>
        <v/>
      </c>
    </row>
    <row r="16785" spans="1:7" ht="12" customHeight="1" outlineLevel="2" x14ac:dyDescent="0.2">
      <c r="A16785" s="14" t="s">
        <v>33028</v>
      </c>
      <c r="B16785" s="15" t="s">
        <v>33029</v>
      </c>
      <c r="C16785" s="16">
        <f>166.33/(1+B2)</f>
        <v>166.33</v>
      </c>
      <c r="D16785" s="17" t="s">
        <v>14</v>
      </c>
      <c r="E16785" s="17"/>
      <c r="F16785" s="18"/>
      <c r="G16785" s="36" t="str">
        <f>IF(ISNUMBER(F16785),C16785*F16785,"")</f>
        <v/>
      </c>
    </row>
    <row r="16786" spans="1:7" ht="12" customHeight="1" outlineLevel="2" x14ac:dyDescent="0.2">
      <c r="A16786" s="14" t="s">
        <v>33030</v>
      </c>
      <c r="B16786" s="15" t="s">
        <v>33031</v>
      </c>
      <c r="C16786" s="16">
        <f>65.09/(1+B2)</f>
        <v>65.09</v>
      </c>
      <c r="D16786" s="17" t="s">
        <v>11</v>
      </c>
      <c r="E16786" s="17"/>
      <c r="F16786" s="18"/>
      <c r="G16786" s="36" t="str">
        <f>IF(ISNUMBER(F16786),C16786*F16786,"")</f>
        <v/>
      </c>
    </row>
    <row r="16787" spans="1:7" ht="24" customHeight="1" outlineLevel="2" x14ac:dyDescent="0.2">
      <c r="A16787" s="14" t="s">
        <v>33032</v>
      </c>
      <c r="B16787" s="15" t="s">
        <v>33033</v>
      </c>
      <c r="C16787" s="16">
        <f>105.47/(1+B2)</f>
        <v>105.47</v>
      </c>
      <c r="D16787" s="17" t="s">
        <v>14</v>
      </c>
      <c r="E16787" s="17"/>
      <c r="F16787" s="18"/>
      <c r="G16787" s="36" t="str">
        <f>IF(ISNUMBER(F16787),C16787*F16787,"")</f>
        <v/>
      </c>
    </row>
    <row r="16788" spans="1:7" ht="12" customHeight="1" outlineLevel="2" x14ac:dyDescent="0.2">
      <c r="A16788" s="14" t="s">
        <v>33034</v>
      </c>
      <c r="B16788" s="15" t="s">
        <v>33035</v>
      </c>
      <c r="C16788" s="16">
        <f>133.4/(1+B2)</f>
        <v>133.4</v>
      </c>
      <c r="D16788" s="17" t="s">
        <v>11</v>
      </c>
      <c r="E16788" s="17"/>
      <c r="F16788" s="18"/>
      <c r="G16788" s="36" t="str">
        <f>IF(ISNUMBER(F16788),C16788*F16788,"")</f>
        <v/>
      </c>
    </row>
    <row r="16789" spans="1:7" ht="12" customHeight="1" outlineLevel="2" x14ac:dyDescent="0.2">
      <c r="A16789" s="14" t="s">
        <v>33036</v>
      </c>
      <c r="B16789" s="15" t="s">
        <v>33037</v>
      </c>
      <c r="C16789" s="16">
        <f>91.8/(1+B2)</f>
        <v>91.8</v>
      </c>
      <c r="D16789" s="17" t="s">
        <v>14</v>
      </c>
      <c r="E16789" s="17"/>
      <c r="F16789" s="18"/>
      <c r="G16789" s="36" t="str">
        <f>IF(ISNUMBER(F16789),C16789*F16789,"")</f>
        <v/>
      </c>
    </row>
    <row r="16790" spans="1:7" ht="12" customHeight="1" outlineLevel="2" x14ac:dyDescent="0.2">
      <c r="A16790" s="14" t="s">
        <v>33038</v>
      </c>
      <c r="B16790" s="15" t="s">
        <v>33039</v>
      </c>
      <c r="C16790" s="16">
        <f>64.64/(1+B2)</f>
        <v>64.64</v>
      </c>
      <c r="D16790" s="17" t="s">
        <v>11</v>
      </c>
      <c r="E16790" s="17" t="s">
        <v>11</v>
      </c>
      <c r="F16790" s="18"/>
      <c r="G16790" s="36" t="str">
        <f>IF(ISNUMBER(F16790),C16790*F16790,"")</f>
        <v/>
      </c>
    </row>
    <row r="16791" spans="1:7" ht="12" customHeight="1" outlineLevel="2" x14ac:dyDescent="0.2">
      <c r="A16791" s="14" t="s">
        <v>33040</v>
      </c>
      <c r="B16791" s="15" t="s">
        <v>33041</v>
      </c>
      <c r="C16791" s="16">
        <f>52.62/(1+B2)</f>
        <v>52.62</v>
      </c>
      <c r="D16791" s="17" t="s">
        <v>11</v>
      </c>
      <c r="E16791" s="17"/>
      <c r="F16791" s="18"/>
      <c r="G16791" s="36" t="str">
        <f>IF(ISNUMBER(F16791),C16791*F16791,"")</f>
        <v/>
      </c>
    </row>
    <row r="16792" spans="1:7" ht="12" customHeight="1" outlineLevel="2" x14ac:dyDescent="0.2">
      <c r="A16792" s="14" t="s">
        <v>33042</v>
      </c>
      <c r="B16792" s="15" t="s">
        <v>33043</v>
      </c>
      <c r="C16792" s="16">
        <f>68.03/(1+B2)</f>
        <v>68.03</v>
      </c>
      <c r="D16792" s="17" t="s">
        <v>11</v>
      </c>
      <c r="E16792" s="17"/>
      <c r="F16792" s="18"/>
      <c r="G16792" s="36" t="str">
        <f>IF(ISNUMBER(F16792),C16792*F16792,"")</f>
        <v/>
      </c>
    </row>
    <row r="16793" spans="1:7" ht="12" customHeight="1" outlineLevel="2" x14ac:dyDescent="0.2">
      <c r="A16793" s="14" t="s">
        <v>33044</v>
      </c>
      <c r="B16793" s="15" t="s">
        <v>33045</v>
      </c>
      <c r="C16793" s="16">
        <f>47.95/(1+B2)</f>
        <v>47.95</v>
      </c>
      <c r="D16793" s="17" t="s">
        <v>11</v>
      </c>
      <c r="E16793" s="17"/>
      <c r="F16793" s="18"/>
      <c r="G16793" s="36" t="str">
        <f>IF(ISNUMBER(F16793),C16793*F16793,"")</f>
        <v/>
      </c>
    </row>
    <row r="16794" spans="1:7" ht="12" customHeight="1" outlineLevel="2" x14ac:dyDescent="0.2">
      <c r="A16794" s="14" t="s">
        <v>33046</v>
      </c>
      <c r="B16794" s="15" t="s">
        <v>33047</v>
      </c>
      <c r="C16794" s="16">
        <f>165.97/(1+B2)</f>
        <v>165.97</v>
      </c>
      <c r="D16794" s="17" t="s">
        <v>11</v>
      </c>
      <c r="E16794" s="17"/>
      <c r="F16794" s="18"/>
      <c r="G16794" s="36" t="str">
        <f>IF(ISNUMBER(F16794),C16794*F16794,"")</f>
        <v/>
      </c>
    </row>
    <row r="16795" spans="1:7" ht="12" customHeight="1" outlineLevel="2" x14ac:dyDescent="0.2">
      <c r="A16795" s="14" t="s">
        <v>33048</v>
      </c>
      <c r="B16795" s="15" t="s">
        <v>33049</v>
      </c>
      <c r="C16795" s="16">
        <f>43.18/(1+B2)</f>
        <v>43.18</v>
      </c>
      <c r="D16795" s="17" t="s">
        <v>14</v>
      </c>
      <c r="E16795" s="17"/>
      <c r="F16795" s="18"/>
      <c r="G16795" s="36" t="str">
        <f>IF(ISNUMBER(F16795),C16795*F16795,"")</f>
        <v/>
      </c>
    </row>
    <row r="16796" spans="1:7" ht="12" customHeight="1" outlineLevel="2" x14ac:dyDescent="0.2">
      <c r="A16796" s="14" t="s">
        <v>33050</v>
      </c>
      <c r="B16796" s="15" t="s">
        <v>33051</v>
      </c>
      <c r="C16796" s="16">
        <f>49.01/(1+B2)</f>
        <v>49.01</v>
      </c>
      <c r="D16796" s="17" t="s">
        <v>14</v>
      </c>
      <c r="E16796" s="17"/>
      <c r="F16796" s="18"/>
      <c r="G16796" s="36" t="str">
        <f>IF(ISNUMBER(F16796),C16796*F16796,"")</f>
        <v/>
      </c>
    </row>
    <row r="16797" spans="1:7" ht="12" customHeight="1" outlineLevel="2" x14ac:dyDescent="0.2">
      <c r="A16797" s="14" t="s">
        <v>33052</v>
      </c>
      <c r="B16797" s="15" t="s">
        <v>33053</v>
      </c>
      <c r="C16797" s="16">
        <f>41.08/(1+B2)</f>
        <v>41.08</v>
      </c>
      <c r="D16797" s="17" t="s">
        <v>11</v>
      </c>
      <c r="E16797" s="17"/>
      <c r="F16797" s="18"/>
      <c r="G16797" s="36" t="str">
        <f>IF(ISNUMBER(F16797),C16797*F16797,"")</f>
        <v/>
      </c>
    </row>
    <row r="16798" spans="1:7" ht="12" customHeight="1" outlineLevel="2" x14ac:dyDescent="0.2">
      <c r="A16798" s="14" t="s">
        <v>33054</v>
      </c>
      <c r="B16798" s="15" t="s">
        <v>33055</v>
      </c>
      <c r="C16798" s="16">
        <f>27.45/(1+B2)</f>
        <v>27.45</v>
      </c>
      <c r="D16798" s="17" t="s">
        <v>11</v>
      </c>
      <c r="E16798" s="17"/>
      <c r="F16798" s="18"/>
      <c r="G16798" s="36" t="str">
        <f>IF(ISNUMBER(F16798),C16798*F16798,"")</f>
        <v/>
      </c>
    </row>
    <row r="16799" spans="1:7" ht="12" customHeight="1" outlineLevel="2" x14ac:dyDescent="0.2">
      <c r="A16799" s="14" t="s">
        <v>33056</v>
      </c>
      <c r="B16799" s="15" t="s">
        <v>33057</v>
      </c>
      <c r="C16799" s="16">
        <f>46.57/(1+B2)</f>
        <v>46.57</v>
      </c>
      <c r="D16799" s="17" t="s">
        <v>11</v>
      </c>
      <c r="E16799" s="17"/>
      <c r="F16799" s="18"/>
      <c r="G16799" s="36" t="str">
        <f>IF(ISNUMBER(F16799),C16799*F16799,"")</f>
        <v/>
      </c>
    </row>
    <row r="16800" spans="1:7" ht="12" customHeight="1" outlineLevel="2" x14ac:dyDescent="0.2">
      <c r="A16800" s="14" t="s">
        <v>33058</v>
      </c>
      <c r="B16800" s="15" t="s">
        <v>33059</v>
      </c>
      <c r="C16800" s="16">
        <f>23.17/(1+B2)</f>
        <v>23.17</v>
      </c>
      <c r="D16800" s="17" t="s">
        <v>11</v>
      </c>
      <c r="E16800" s="17"/>
      <c r="F16800" s="18"/>
      <c r="G16800" s="36" t="str">
        <f>IF(ISNUMBER(F16800),C16800*F16800,"")</f>
        <v/>
      </c>
    </row>
    <row r="16801" spans="1:7" ht="12" customHeight="1" outlineLevel="2" x14ac:dyDescent="0.2">
      <c r="A16801" s="14" t="s">
        <v>33060</v>
      </c>
      <c r="B16801" s="15" t="s">
        <v>33061</v>
      </c>
      <c r="C16801" s="16">
        <f>66.19/(1+B2)</f>
        <v>66.19</v>
      </c>
      <c r="D16801" s="17" t="s">
        <v>14</v>
      </c>
      <c r="E16801" s="17"/>
      <c r="F16801" s="18"/>
      <c r="G16801" s="36" t="str">
        <f>IF(ISNUMBER(F16801),C16801*F16801,"")</f>
        <v/>
      </c>
    </row>
    <row r="16802" spans="1:7" ht="12" customHeight="1" outlineLevel="2" x14ac:dyDescent="0.2">
      <c r="A16802" s="14" t="s">
        <v>33062</v>
      </c>
      <c r="B16802" s="15" t="s">
        <v>33063</v>
      </c>
      <c r="C16802" s="16">
        <f>145.95/(1+B2)</f>
        <v>145.94999999999999</v>
      </c>
      <c r="D16802" s="17" t="s">
        <v>11</v>
      </c>
      <c r="E16802" s="17"/>
      <c r="F16802" s="18"/>
      <c r="G16802" s="36" t="str">
        <f>IF(ISNUMBER(F16802),C16802*F16802,"")</f>
        <v/>
      </c>
    </row>
    <row r="16803" spans="1:7" ht="12" customHeight="1" outlineLevel="2" x14ac:dyDescent="0.2">
      <c r="A16803" s="14" t="s">
        <v>33064</v>
      </c>
      <c r="B16803" s="15" t="s">
        <v>33065</v>
      </c>
      <c r="C16803" s="16">
        <f>36.17/(1+B2)</f>
        <v>36.17</v>
      </c>
      <c r="D16803" s="17" t="s">
        <v>11</v>
      </c>
      <c r="E16803" s="17"/>
      <c r="F16803" s="18"/>
      <c r="G16803" s="36" t="str">
        <f>IF(ISNUMBER(F16803),C16803*F16803,"")</f>
        <v/>
      </c>
    </row>
    <row r="16804" spans="1:7" ht="12" customHeight="1" outlineLevel="2" x14ac:dyDescent="0.2">
      <c r="A16804" s="14" t="s">
        <v>33066</v>
      </c>
      <c r="B16804" s="15" t="s">
        <v>33067</v>
      </c>
      <c r="C16804" s="16">
        <f>58.24/(1+B2)</f>
        <v>58.24</v>
      </c>
      <c r="D16804" s="17" t="s">
        <v>14</v>
      </c>
      <c r="E16804" s="17"/>
      <c r="F16804" s="18"/>
      <c r="G16804" s="36" t="str">
        <f>IF(ISNUMBER(F16804),C16804*F16804,"")</f>
        <v/>
      </c>
    </row>
    <row r="16805" spans="1:7" ht="24" customHeight="1" outlineLevel="2" x14ac:dyDescent="0.2">
      <c r="A16805" s="14" t="s">
        <v>33068</v>
      </c>
      <c r="B16805" s="15" t="s">
        <v>33069</v>
      </c>
      <c r="C16805" s="16">
        <f>136.05/(1+B2)</f>
        <v>136.05000000000001</v>
      </c>
      <c r="D16805" s="17" t="s">
        <v>11</v>
      </c>
      <c r="E16805" s="17"/>
      <c r="F16805" s="18"/>
      <c r="G16805" s="36" t="str">
        <f>IF(ISNUMBER(F16805),C16805*F16805,"")</f>
        <v/>
      </c>
    </row>
    <row r="16806" spans="1:7" ht="12" customHeight="1" outlineLevel="2" x14ac:dyDescent="0.2">
      <c r="A16806" s="14" t="s">
        <v>33070</v>
      </c>
      <c r="B16806" s="15" t="s">
        <v>33071</v>
      </c>
      <c r="C16806" s="16">
        <f>76.19/(1+B2)</f>
        <v>76.19</v>
      </c>
      <c r="D16806" s="17"/>
      <c r="E16806" s="17" t="s">
        <v>14</v>
      </c>
      <c r="F16806" s="18"/>
      <c r="G16806" s="36" t="str">
        <f>IF(ISNUMBER(F16806),C16806*F16806,"")</f>
        <v/>
      </c>
    </row>
    <row r="16807" spans="1:7" ht="24" customHeight="1" outlineLevel="2" x14ac:dyDescent="0.2">
      <c r="A16807" s="14" t="s">
        <v>33072</v>
      </c>
      <c r="B16807" s="15" t="s">
        <v>33073</v>
      </c>
      <c r="C16807" s="16">
        <f>107.14/(1+B2)</f>
        <v>107.14</v>
      </c>
      <c r="D16807" s="17" t="s">
        <v>14</v>
      </c>
      <c r="E16807" s="17"/>
      <c r="F16807" s="18"/>
      <c r="G16807" s="36" t="str">
        <f>IF(ISNUMBER(F16807),C16807*F16807,"")</f>
        <v/>
      </c>
    </row>
    <row r="16808" spans="1:7" s="1" customFormat="1" ht="15.95" customHeight="1" outlineLevel="1" x14ac:dyDescent="0.25">
      <c r="A16808" s="11"/>
      <c r="B16808" s="12" t="s">
        <v>33074</v>
      </c>
      <c r="C16808" s="13"/>
      <c r="D16808" s="13"/>
      <c r="E16808" s="13"/>
      <c r="F16808" s="13"/>
      <c r="G16808" s="35"/>
    </row>
    <row r="16809" spans="1:7" ht="12" customHeight="1" outlineLevel="2" x14ac:dyDescent="0.2">
      <c r="A16809" s="14" t="s">
        <v>33075</v>
      </c>
      <c r="B16809" s="15" t="s">
        <v>33076</v>
      </c>
      <c r="C16809" s="16">
        <f>153.96/(1+B2)</f>
        <v>153.96</v>
      </c>
      <c r="D16809" s="17" t="s">
        <v>11</v>
      </c>
      <c r="E16809" s="17" t="s">
        <v>11</v>
      </c>
      <c r="F16809" s="18"/>
      <c r="G16809" s="36" t="str">
        <f>IF(ISNUMBER(F16809),C16809*F16809,"")</f>
        <v/>
      </c>
    </row>
    <row r="16810" spans="1:7" ht="12" customHeight="1" outlineLevel="2" x14ac:dyDescent="0.2">
      <c r="A16810" s="14" t="s">
        <v>33077</v>
      </c>
      <c r="B16810" s="15" t="s">
        <v>33078</v>
      </c>
      <c r="C16810" s="16">
        <f>135.89/(1+B2)</f>
        <v>135.88999999999999</v>
      </c>
      <c r="D16810" s="17" t="s">
        <v>11</v>
      </c>
      <c r="E16810" s="17"/>
      <c r="F16810" s="18"/>
      <c r="G16810" s="36" t="str">
        <f>IF(ISNUMBER(F16810),C16810*F16810,"")</f>
        <v/>
      </c>
    </row>
    <row r="16811" spans="1:7" ht="12" customHeight="1" outlineLevel="2" x14ac:dyDescent="0.2">
      <c r="A16811" s="14" t="s">
        <v>33079</v>
      </c>
      <c r="B16811" s="15" t="s">
        <v>33080</v>
      </c>
      <c r="C16811" s="16">
        <f>205.51/(1+B2)</f>
        <v>205.51</v>
      </c>
      <c r="D16811" s="17" t="s">
        <v>11</v>
      </c>
      <c r="E16811" s="17"/>
      <c r="F16811" s="18"/>
      <c r="G16811" s="36" t="str">
        <f>IF(ISNUMBER(F16811),C16811*F16811,"")</f>
        <v/>
      </c>
    </row>
    <row r="16812" spans="1:7" ht="12" customHeight="1" outlineLevel="2" x14ac:dyDescent="0.2">
      <c r="A16812" s="14" t="s">
        <v>33081</v>
      </c>
      <c r="B16812" s="15" t="s">
        <v>33082</v>
      </c>
      <c r="C16812" s="16">
        <f>227.47/(1+B2)</f>
        <v>227.47</v>
      </c>
      <c r="D16812" s="17" t="s">
        <v>11</v>
      </c>
      <c r="E16812" s="17"/>
      <c r="F16812" s="18"/>
      <c r="G16812" s="36" t="str">
        <f>IF(ISNUMBER(F16812),C16812*F16812,"")</f>
        <v/>
      </c>
    </row>
    <row r="16813" spans="1:7" ht="12" customHeight="1" outlineLevel="2" x14ac:dyDescent="0.2">
      <c r="A16813" s="14" t="s">
        <v>33083</v>
      </c>
      <c r="B16813" s="15" t="s">
        <v>33084</v>
      </c>
      <c r="C16813" s="16">
        <f>192.98/(1+B2)</f>
        <v>192.98</v>
      </c>
      <c r="D16813" s="17" t="s">
        <v>11</v>
      </c>
      <c r="E16813" s="17"/>
      <c r="F16813" s="18"/>
      <c r="G16813" s="36" t="str">
        <f>IF(ISNUMBER(F16813),C16813*F16813,"")</f>
        <v/>
      </c>
    </row>
    <row r="16814" spans="1:7" ht="12" customHeight="1" outlineLevel="2" x14ac:dyDescent="0.2">
      <c r="A16814" s="14" t="s">
        <v>33085</v>
      </c>
      <c r="B16814" s="15" t="s">
        <v>33086</v>
      </c>
      <c r="C16814" s="16">
        <f>318.6/(1+B2)</f>
        <v>318.60000000000002</v>
      </c>
      <c r="D16814" s="17" t="s">
        <v>11</v>
      </c>
      <c r="E16814" s="17" t="s">
        <v>11</v>
      </c>
      <c r="F16814" s="18"/>
      <c r="G16814" s="36" t="str">
        <f>IF(ISNUMBER(F16814),C16814*F16814,"")</f>
        <v/>
      </c>
    </row>
    <row r="16815" spans="1:7" ht="12" customHeight="1" outlineLevel="2" x14ac:dyDescent="0.2">
      <c r="A16815" s="14" t="s">
        <v>33087</v>
      </c>
      <c r="B16815" s="15" t="s">
        <v>33088</v>
      </c>
      <c r="C16815" s="16">
        <f>39.97/(1+B2)</f>
        <v>39.97</v>
      </c>
      <c r="D16815" s="17" t="s">
        <v>14</v>
      </c>
      <c r="E16815" s="17"/>
      <c r="F16815" s="18"/>
      <c r="G16815" s="36" t="str">
        <f>IF(ISNUMBER(F16815),C16815*F16815,"")</f>
        <v/>
      </c>
    </row>
    <row r="16816" spans="1:7" ht="12" customHeight="1" outlineLevel="2" x14ac:dyDescent="0.2">
      <c r="A16816" s="14" t="s">
        <v>33089</v>
      </c>
      <c r="B16816" s="15" t="s">
        <v>33090</v>
      </c>
      <c r="C16816" s="16">
        <f>23.36/(1+B2)</f>
        <v>23.36</v>
      </c>
      <c r="D16816" s="17" t="s">
        <v>11</v>
      </c>
      <c r="E16816" s="17" t="s">
        <v>14</v>
      </c>
      <c r="F16816" s="18"/>
      <c r="G16816" s="36" t="str">
        <f>IF(ISNUMBER(F16816),C16816*F16816,"")</f>
        <v/>
      </c>
    </row>
    <row r="16817" spans="1:7" ht="12" customHeight="1" outlineLevel="2" x14ac:dyDescent="0.2">
      <c r="A16817" s="14" t="s">
        <v>33091</v>
      </c>
      <c r="B16817" s="15" t="s">
        <v>33092</v>
      </c>
      <c r="C16817" s="16">
        <f>73.08/(1+B2)</f>
        <v>73.08</v>
      </c>
      <c r="D16817" s="17" t="s">
        <v>11</v>
      </c>
      <c r="E16817" s="17" t="s">
        <v>11</v>
      </c>
      <c r="F16817" s="18"/>
      <c r="G16817" s="36" t="str">
        <f>IF(ISNUMBER(F16817),C16817*F16817,"")</f>
        <v/>
      </c>
    </row>
    <row r="16818" spans="1:7" ht="12" customHeight="1" outlineLevel="2" x14ac:dyDescent="0.2">
      <c r="A16818" s="14" t="s">
        <v>33093</v>
      </c>
      <c r="B16818" s="15" t="s">
        <v>33094</v>
      </c>
      <c r="C16818" s="16">
        <f>94.51/(1+B2)</f>
        <v>94.51</v>
      </c>
      <c r="D16818" s="17" t="s">
        <v>11</v>
      </c>
      <c r="E16818" s="17"/>
      <c r="F16818" s="18"/>
      <c r="G16818" s="36" t="str">
        <f>IF(ISNUMBER(F16818),C16818*F16818,"")</f>
        <v/>
      </c>
    </row>
    <row r="16819" spans="1:7" ht="12" customHeight="1" outlineLevel="2" x14ac:dyDescent="0.2">
      <c r="A16819" s="14" t="s">
        <v>33095</v>
      </c>
      <c r="B16819" s="15" t="s">
        <v>33096</v>
      </c>
      <c r="C16819" s="16">
        <f>90.82/(1+B2)</f>
        <v>90.82</v>
      </c>
      <c r="D16819" s="17" t="s">
        <v>11</v>
      </c>
      <c r="E16819" s="17"/>
      <c r="F16819" s="18"/>
      <c r="G16819" s="36" t="str">
        <f>IF(ISNUMBER(F16819),C16819*F16819,"")</f>
        <v/>
      </c>
    </row>
    <row r="16820" spans="1:7" ht="12" customHeight="1" outlineLevel="2" x14ac:dyDescent="0.2">
      <c r="A16820" s="14" t="s">
        <v>33097</v>
      </c>
      <c r="B16820" s="15" t="s">
        <v>33098</v>
      </c>
      <c r="C16820" s="16">
        <f>89.38/(1+B2)</f>
        <v>89.38</v>
      </c>
      <c r="D16820" s="17" t="s">
        <v>11</v>
      </c>
      <c r="E16820" s="17"/>
      <c r="F16820" s="18"/>
      <c r="G16820" s="36" t="str">
        <f>IF(ISNUMBER(F16820),C16820*F16820,"")</f>
        <v/>
      </c>
    </row>
    <row r="16821" spans="1:7" ht="12" customHeight="1" outlineLevel="2" x14ac:dyDescent="0.2">
      <c r="A16821" s="14" t="s">
        <v>33099</v>
      </c>
      <c r="B16821" s="15" t="s">
        <v>33100</v>
      </c>
      <c r="C16821" s="16">
        <f>152.6/(1+B2)</f>
        <v>152.6</v>
      </c>
      <c r="D16821" s="17" t="s">
        <v>11</v>
      </c>
      <c r="E16821" s="17" t="s">
        <v>11</v>
      </c>
      <c r="F16821" s="18"/>
      <c r="G16821" s="36" t="str">
        <f>IF(ISNUMBER(F16821),C16821*F16821,"")</f>
        <v/>
      </c>
    </row>
    <row r="16822" spans="1:7" ht="12" customHeight="1" outlineLevel="2" x14ac:dyDescent="0.2">
      <c r="A16822" s="14" t="s">
        <v>33101</v>
      </c>
      <c r="B16822" s="15" t="s">
        <v>33102</v>
      </c>
      <c r="C16822" s="16">
        <f>131.56/(1+B2)</f>
        <v>131.56</v>
      </c>
      <c r="D16822" s="17" t="s">
        <v>11</v>
      </c>
      <c r="E16822" s="17" t="s">
        <v>11</v>
      </c>
      <c r="F16822" s="18"/>
      <c r="G16822" s="36" t="str">
        <f>IF(ISNUMBER(F16822),C16822*F16822,"")</f>
        <v/>
      </c>
    </row>
    <row r="16823" spans="1:7" ht="12" customHeight="1" outlineLevel="2" x14ac:dyDescent="0.2">
      <c r="A16823" s="14" t="s">
        <v>33103</v>
      </c>
      <c r="B16823" s="15" t="s">
        <v>33104</v>
      </c>
      <c r="C16823" s="16">
        <f>81.76/(1+B2)</f>
        <v>81.760000000000005</v>
      </c>
      <c r="D16823" s="17" t="s">
        <v>11</v>
      </c>
      <c r="E16823" s="17" t="s">
        <v>11</v>
      </c>
      <c r="F16823" s="18"/>
      <c r="G16823" s="36" t="str">
        <f>IF(ISNUMBER(F16823),C16823*F16823,"")</f>
        <v/>
      </c>
    </row>
    <row r="16824" spans="1:7" ht="12" customHeight="1" outlineLevel="2" x14ac:dyDescent="0.2">
      <c r="A16824" s="14" t="s">
        <v>33105</v>
      </c>
      <c r="B16824" s="15" t="s">
        <v>33106</v>
      </c>
      <c r="C16824" s="16">
        <f>86.7/(1+B2)</f>
        <v>86.7</v>
      </c>
      <c r="D16824" s="17" t="s">
        <v>11</v>
      </c>
      <c r="E16824" s="17"/>
      <c r="F16824" s="18"/>
      <c r="G16824" s="36" t="str">
        <f>IF(ISNUMBER(F16824),C16824*F16824,"")</f>
        <v/>
      </c>
    </row>
    <row r="16825" spans="1:7" ht="12" customHeight="1" outlineLevel="2" x14ac:dyDescent="0.2">
      <c r="A16825" s="14" t="s">
        <v>33107</v>
      </c>
      <c r="B16825" s="15" t="s">
        <v>33108</v>
      </c>
      <c r="C16825" s="16">
        <f>86.7/(1+B2)</f>
        <v>86.7</v>
      </c>
      <c r="D16825" s="17" t="s">
        <v>11</v>
      </c>
      <c r="E16825" s="17"/>
      <c r="F16825" s="18"/>
      <c r="G16825" s="36" t="str">
        <f>IF(ISNUMBER(F16825),C16825*F16825,"")</f>
        <v/>
      </c>
    </row>
    <row r="16826" spans="1:7" ht="24" customHeight="1" outlineLevel="2" x14ac:dyDescent="0.2">
      <c r="A16826" s="14" t="s">
        <v>33109</v>
      </c>
      <c r="B16826" s="15" t="s">
        <v>33110</v>
      </c>
      <c r="C16826" s="16">
        <f>339.92/(1+B2)</f>
        <v>339.92</v>
      </c>
      <c r="D16826" s="17" t="s">
        <v>11</v>
      </c>
      <c r="E16826" s="17"/>
      <c r="F16826" s="18"/>
      <c r="G16826" s="36" t="str">
        <f>IF(ISNUMBER(F16826),C16826*F16826,"")</f>
        <v/>
      </c>
    </row>
    <row r="16827" spans="1:7" ht="24" customHeight="1" outlineLevel="2" x14ac:dyDescent="0.2">
      <c r="A16827" s="14" t="s">
        <v>33111</v>
      </c>
      <c r="B16827" s="15" t="s">
        <v>33112</v>
      </c>
      <c r="C16827" s="16">
        <f>55.96/(1+B2)</f>
        <v>55.96</v>
      </c>
      <c r="D16827" s="17" t="s">
        <v>11</v>
      </c>
      <c r="E16827" s="17"/>
      <c r="F16827" s="18"/>
      <c r="G16827" s="36" t="str">
        <f>IF(ISNUMBER(F16827),C16827*F16827,"")</f>
        <v/>
      </c>
    </row>
    <row r="16828" spans="1:7" ht="12" customHeight="1" outlineLevel="2" x14ac:dyDescent="0.2">
      <c r="A16828" s="14" t="s">
        <v>33113</v>
      </c>
      <c r="B16828" s="15" t="s">
        <v>33114</v>
      </c>
      <c r="C16828" s="16">
        <f>90.22/(1+B2)</f>
        <v>90.22</v>
      </c>
      <c r="D16828" s="17" t="s">
        <v>11</v>
      </c>
      <c r="E16828" s="17"/>
      <c r="F16828" s="18"/>
      <c r="G16828" s="36" t="str">
        <f>IF(ISNUMBER(F16828),C16828*F16828,"")</f>
        <v/>
      </c>
    </row>
    <row r="16829" spans="1:7" ht="24" customHeight="1" outlineLevel="2" x14ac:dyDescent="0.2">
      <c r="A16829" s="14" t="s">
        <v>33115</v>
      </c>
      <c r="B16829" s="15" t="s">
        <v>33116</v>
      </c>
      <c r="C16829" s="16">
        <f>405.14/(1+B2)</f>
        <v>405.14</v>
      </c>
      <c r="D16829" s="17" t="s">
        <v>11</v>
      </c>
      <c r="E16829" s="17"/>
      <c r="F16829" s="18"/>
      <c r="G16829" s="36" t="str">
        <f>IF(ISNUMBER(F16829),C16829*F16829,"")</f>
        <v/>
      </c>
    </row>
    <row r="16830" spans="1:7" ht="12" customHeight="1" outlineLevel="2" x14ac:dyDescent="0.2">
      <c r="A16830" s="14" t="s">
        <v>33117</v>
      </c>
      <c r="B16830" s="15" t="s">
        <v>33118</v>
      </c>
      <c r="C16830" s="16">
        <f>668.06/(1+B2)</f>
        <v>668.06</v>
      </c>
      <c r="D16830" s="17" t="s">
        <v>11</v>
      </c>
      <c r="E16830" s="17"/>
      <c r="F16830" s="18"/>
      <c r="G16830" s="36" t="str">
        <f>IF(ISNUMBER(F16830),C16830*F16830,"")</f>
        <v/>
      </c>
    </row>
    <row r="16831" spans="1:7" ht="12" customHeight="1" outlineLevel="2" x14ac:dyDescent="0.2">
      <c r="A16831" s="14" t="s">
        <v>33119</v>
      </c>
      <c r="B16831" s="15" t="s">
        <v>33120</v>
      </c>
      <c r="C16831" s="16">
        <f>733.93/(1+B2)</f>
        <v>733.93</v>
      </c>
      <c r="D16831" s="17" t="s">
        <v>11</v>
      </c>
      <c r="E16831" s="17" t="s">
        <v>11</v>
      </c>
      <c r="F16831" s="18"/>
      <c r="G16831" s="36" t="str">
        <f>IF(ISNUMBER(F16831),C16831*F16831,"")</f>
        <v/>
      </c>
    </row>
    <row r="16832" spans="1:7" ht="12" customHeight="1" outlineLevel="2" x14ac:dyDescent="0.2">
      <c r="A16832" s="14" t="s">
        <v>33121</v>
      </c>
      <c r="B16832" s="15" t="s">
        <v>33122</v>
      </c>
      <c r="C16832" s="16">
        <f>713.7/(1+B2)</f>
        <v>713.7</v>
      </c>
      <c r="D16832" s="17" t="s">
        <v>11</v>
      </c>
      <c r="E16832" s="17"/>
      <c r="F16832" s="18"/>
      <c r="G16832" s="36" t="str">
        <f>IF(ISNUMBER(F16832),C16832*F16832,"")</f>
        <v/>
      </c>
    </row>
    <row r="16833" spans="1:7" ht="12" customHeight="1" outlineLevel="2" x14ac:dyDescent="0.2">
      <c r="A16833" s="14" t="s">
        <v>33123</v>
      </c>
      <c r="B16833" s="15" t="s">
        <v>33124</v>
      </c>
      <c r="C16833" s="16">
        <f>157.46/(1+B2)</f>
        <v>157.46</v>
      </c>
      <c r="D16833" s="17" t="s">
        <v>11</v>
      </c>
      <c r="E16833" s="17" t="s">
        <v>11</v>
      </c>
      <c r="F16833" s="18"/>
      <c r="G16833" s="36" t="str">
        <f>IF(ISNUMBER(F16833),C16833*F16833,"")</f>
        <v/>
      </c>
    </row>
    <row r="16834" spans="1:7" ht="12" customHeight="1" outlineLevel="2" x14ac:dyDescent="0.2">
      <c r="A16834" s="14" t="s">
        <v>33125</v>
      </c>
      <c r="B16834" s="15" t="s">
        <v>33126</v>
      </c>
      <c r="C16834" s="16">
        <f>134.38/(1+B2)</f>
        <v>134.38</v>
      </c>
      <c r="D16834" s="17" t="s">
        <v>11</v>
      </c>
      <c r="E16834" s="17"/>
      <c r="F16834" s="18"/>
      <c r="G16834" s="36" t="str">
        <f>IF(ISNUMBER(F16834),C16834*F16834,"")</f>
        <v/>
      </c>
    </row>
    <row r="16835" spans="1:7" ht="12" customHeight="1" outlineLevel="2" x14ac:dyDescent="0.2">
      <c r="A16835" s="14" t="s">
        <v>33127</v>
      </c>
      <c r="B16835" s="15" t="s">
        <v>33128</v>
      </c>
      <c r="C16835" s="16">
        <f>66.23/(1+B2)</f>
        <v>66.23</v>
      </c>
      <c r="D16835" s="17" t="s">
        <v>11</v>
      </c>
      <c r="E16835" s="17" t="s">
        <v>11</v>
      </c>
      <c r="F16835" s="18"/>
      <c r="G16835" s="36" t="str">
        <f>IF(ISNUMBER(F16835),C16835*F16835,"")</f>
        <v/>
      </c>
    </row>
    <row r="16836" spans="1:7" ht="12" customHeight="1" outlineLevel="2" x14ac:dyDescent="0.2">
      <c r="A16836" s="14" t="s">
        <v>33129</v>
      </c>
      <c r="B16836" s="15" t="s">
        <v>33130</v>
      </c>
      <c r="C16836" s="16">
        <f>146.17/(1+B2)</f>
        <v>146.16999999999999</v>
      </c>
      <c r="D16836" s="17" t="s">
        <v>11</v>
      </c>
      <c r="E16836" s="17" t="s">
        <v>11</v>
      </c>
      <c r="F16836" s="18"/>
      <c r="G16836" s="36" t="str">
        <f>IF(ISNUMBER(F16836),C16836*F16836,"")</f>
        <v/>
      </c>
    </row>
    <row r="16837" spans="1:7" ht="12" customHeight="1" outlineLevel="2" x14ac:dyDescent="0.2">
      <c r="A16837" s="14" t="s">
        <v>33131</v>
      </c>
      <c r="B16837" s="15" t="s">
        <v>33132</v>
      </c>
      <c r="C16837" s="16">
        <f>219.23/(1+B2)</f>
        <v>219.23</v>
      </c>
      <c r="D16837" s="17" t="s">
        <v>11</v>
      </c>
      <c r="E16837" s="17"/>
      <c r="F16837" s="18"/>
      <c r="G16837" s="36" t="str">
        <f>IF(ISNUMBER(F16837),C16837*F16837,"")</f>
        <v/>
      </c>
    </row>
    <row r="16838" spans="1:7" ht="12" customHeight="1" outlineLevel="2" x14ac:dyDescent="0.2">
      <c r="A16838" s="14" t="s">
        <v>33133</v>
      </c>
      <c r="B16838" s="15" t="s">
        <v>33134</v>
      </c>
      <c r="C16838" s="16">
        <f>393.42/(1+B2)</f>
        <v>393.42</v>
      </c>
      <c r="D16838" s="17" t="s">
        <v>11</v>
      </c>
      <c r="E16838" s="17"/>
      <c r="F16838" s="18"/>
      <c r="G16838" s="36" t="str">
        <f>IF(ISNUMBER(F16838),C16838*F16838,"")</f>
        <v/>
      </c>
    </row>
    <row r="16839" spans="1:7" ht="24" customHeight="1" outlineLevel="2" x14ac:dyDescent="0.2">
      <c r="A16839" s="14" t="s">
        <v>33135</v>
      </c>
      <c r="B16839" s="15" t="s">
        <v>33136</v>
      </c>
      <c r="C16839" s="16">
        <f>636.83/(1+B2)</f>
        <v>636.83000000000004</v>
      </c>
      <c r="D16839" s="17" t="s">
        <v>11</v>
      </c>
      <c r="E16839" s="17"/>
      <c r="F16839" s="18"/>
      <c r="G16839" s="36" t="str">
        <f>IF(ISNUMBER(F16839),C16839*F16839,"")</f>
        <v/>
      </c>
    </row>
    <row r="16840" spans="1:7" ht="24" customHeight="1" outlineLevel="2" x14ac:dyDescent="0.2">
      <c r="A16840" s="14" t="s">
        <v>33137</v>
      </c>
      <c r="B16840" s="15" t="s">
        <v>33138</v>
      </c>
      <c r="C16840" s="16">
        <f>465.54/(1+B2)</f>
        <v>465.54</v>
      </c>
      <c r="D16840" s="17" t="s">
        <v>11</v>
      </c>
      <c r="E16840" s="17"/>
      <c r="F16840" s="18"/>
      <c r="G16840" s="36" t="str">
        <f>IF(ISNUMBER(F16840),C16840*F16840,"")</f>
        <v/>
      </c>
    </row>
    <row r="16841" spans="1:7" ht="24" customHeight="1" outlineLevel="2" x14ac:dyDescent="0.2">
      <c r="A16841" s="14" t="s">
        <v>33139</v>
      </c>
      <c r="B16841" s="15" t="s">
        <v>33140</v>
      </c>
      <c r="C16841" s="19">
        <f>1127.63/(1+B2)</f>
        <v>1127.6300000000001</v>
      </c>
      <c r="D16841" s="17" t="s">
        <v>11</v>
      </c>
      <c r="E16841" s="17" t="s">
        <v>14</v>
      </c>
      <c r="F16841" s="18"/>
      <c r="G16841" s="36" t="str">
        <f>IF(ISNUMBER(F16841),C16841*F16841,"")</f>
        <v/>
      </c>
    </row>
    <row r="16842" spans="1:7" ht="24" customHeight="1" outlineLevel="2" x14ac:dyDescent="0.2">
      <c r="A16842" s="14" t="s">
        <v>33141</v>
      </c>
      <c r="B16842" s="15" t="s">
        <v>33142</v>
      </c>
      <c r="C16842" s="16">
        <f>142.74/(1+B2)</f>
        <v>142.74</v>
      </c>
      <c r="D16842" s="17" t="s">
        <v>11</v>
      </c>
      <c r="E16842" s="17"/>
      <c r="F16842" s="18"/>
      <c r="G16842" s="36" t="str">
        <f>IF(ISNUMBER(F16842),C16842*F16842,"")</f>
        <v/>
      </c>
    </row>
    <row r="16843" spans="1:7" ht="24" customHeight="1" outlineLevel="2" x14ac:dyDescent="0.2">
      <c r="A16843" s="14" t="s">
        <v>33143</v>
      </c>
      <c r="B16843" s="15" t="s">
        <v>33144</v>
      </c>
      <c r="C16843" s="16">
        <f>125.62/(1+B2)</f>
        <v>125.62</v>
      </c>
      <c r="D16843" s="17" t="s">
        <v>11</v>
      </c>
      <c r="E16843" s="17"/>
      <c r="F16843" s="18"/>
      <c r="G16843" s="36" t="str">
        <f>IF(ISNUMBER(F16843),C16843*F16843,"")</f>
        <v/>
      </c>
    </row>
    <row r="16844" spans="1:7" ht="12" customHeight="1" outlineLevel="2" x14ac:dyDescent="0.2">
      <c r="A16844" s="14" t="s">
        <v>33145</v>
      </c>
      <c r="B16844" s="15" t="s">
        <v>33146</v>
      </c>
      <c r="C16844" s="16">
        <f>401.03/(1+B2)</f>
        <v>401.03</v>
      </c>
      <c r="D16844" s="17" t="s">
        <v>11</v>
      </c>
      <c r="E16844" s="17"/>
      <c r="F16844" s="18"/>
      <c r="G16844" s="36" t="str">
        <f>IF(ISNUMBER(F16844),C16844*F16844,"")</f>
        <v/>
      </c>
    </row>
    <row r="16845" spans="1:7" ht="12" customHeight="1" outlineLevel="2" x14ac:dyDescent="0.2">
      <c r="A16845" s="14" t="s">
        <v>33147</v>
      </c>
      <c r="B16845" s="15" t="s">
        <v>33148</v>
      </c>
      <c r="C16845" s="16">
        <f>167.1/(1+B2)</f>
        <v>167.1</v>
      </c>
      <c r="D16845" s="17" t="s">
        <v>11</v>
      </c>
      <c r="E16845" s="17"/>
      <c r="F16845" s="18"/>
      <c r="G16845" s="36" t="str">
        <f>IF(ISNUMBER(F16845),C16845*F16845,"")</f>
        <v/>
      </c>
    </row>
    <row r="16846" spans="1:7" ht="12" customHeight="1" outlineLevel="2" x14ac:dyDescent="0.2">
      <c r="A16846" s="14" t="s">
        <v>33149</v>
      </c>
      <c r="B16846" s="15" t="s">
        <v>33150</v>
      </c>
      <c r="C16846" s="16">
        <f>413.78/(1+B2)</f>
        <v>413.78</v>
      </c>
      <c r="D16846" s="17" t="s">
        <v>11</v>
      </c>
      <c r="E16846" s="17"/>
      <c r="F16846" s="18"/>
      <c r="G16846" s="36" t="str">
        <f>IF(ISNUMBER(F16846),C16846*F16846,"")</f>
        <v/>
      </c>
    </row>
    <row r="16847" spans="1:7" ht="24" customHeight="1" outlineLevel="2" x14ac:dyDescent="0.2">
      <c r="A16847" s="14" t="s">
        <v>33151</v>
      </c>
      <c r="B16847" s="15" t="s">
        <v>33152</v>
      </c>
      <c r="C16847" s="19">
        <f>1191.4/(1+B2)</f>
        <v>1191.4000000000001</v>
      </c>
      <c r="D16847" s="17" t="s">
        <v>11</v>
      </c>
      <c r="E16847" s="17"/>
      <c r="F16847" s="18"/>
      <c r="G16847" s="36" t="str">
        <f>IF(ISNUMBER(F16847),C16847*F16847,"")</f>
        <v/>
      </c>
    </row>
    <row r="16848" spans="1:7" s="1" customFormat="1" ht="15.95" customHeight="1" outlineLevel="1" x14ac:dyDescent="0.25">
      <c r="A16848" s="11"/>
      <c r="B16848" s="12" t="s">
        <v>33153</v>
      </c>
      <c r="C16848" s="13"/>
      <c r="D16848" s="13"/>
      <c r="E16848" s="13"/>
      <c r="F16848" s="13"/>
      <c r="G16848" s="35"/>
    </row>
    <row r="16849" spans="1:7" ht="12" customHeight="1" outlineLevel="2" x14ac:dyDescent="0.2">
      <c r="A16849" s="14" t="s">
        <v>33154</v>
      </c>
      <c r="B16849" s="15" t="s">
        <v>33155</v>
      </c>
      <c r="C16849" s="16">
        <f>42.25/(1+B2)</f>
        <v>42.25</v>
      </c>
      <c r="D16849" s="17" t="s">
        <v>11</v>
      </c>
      <c r="E16849" s="17" t="s">
        <v>11</v>
      </c>
      <c r="F16849" s="18"/>
      <c r="G16849" s="36" t="str">
        <f>IF(ISNUMBER(F16849),C16849*F16849,"")</f>
        <v/>
      </c>
    </row>
    <row r="16850" spans="1:7" ht="12" customHeight="1" outlineLevel="2" x14ac:dyDescent="0.2">
      <c r="A16850" s="14" t="s">
        <v>33156</v>
      </c>
      <c r="B16850" s="15" t="s">
        <v>33157</v>
      </c>
      <c r="C16850" s="16">
        <f>102.9/(1+B2)</f>
        <v>102.9</v>
      </c>
      <c r="D16850" s="17" t="s">
        <v>14</v>
      </c>
      <c r="E16850" s="17"/>
      <c r="F16850" s="18"/>
      <c r="G16850" s="36" t="str">
        <f>IF(ISNUMBER(F16850),C16850*F16850,"")</f>
        <v/>
      </c>
    </row>
    <row r="16851" spans="1:7" ht="12" customHeight="1" outlineLevel="2" x14ac:dyDescent="0.2">
      <c r="A16851" s="14" t="s">
        <v>33158</v>
      </c>
      <c r="B16851" s="15" t="s">
        <v>33159</v>
      </c>
      <c r="C16851" s="16">
        <f>41.85/(1+B2)</f>
        <v>41.85</v>
      </c>
      <c r="D16851" s="17" t="s">
        <v>11</v>
      </c>
      <c r="E16851" s="17"/>
      <c r="F16851" s="18"/>
      <c r="G16851" s="36" t="str">
        <f>IF(ISNUMBER(F16851),C16851*F16851,"")</f>
        <v/>
      </c>
    </row>
    <row r="16852" spans="1:7" ht="12" customHeight="1" outlineLevel="2" x14ac:dyDescent="0.2">
      <c r="A16852" s="14" t="s">
        <v>33160</v>
      </c>
      <c r="B16852" s="15" t="s">
        <v>33161</v>
      </c>
      <c r="C16852" s="16">
        <f>43.2/(1+B2)</f>
        <v>43.2</v>
      </c>
      <c r="D16852" s="17" t="s">
        <v>14</v>
      </c>
      <c r="E16852" s="17"/>
      <c r="F16852" s="18"/>
      <c r="G16852" s="36" t="str">
        <f>IF(ISNUMBER(F16852),C16852*F16852,"")</f>
        <v/>
      </c>
    </row>
    <row r="16853" spans="1:7" ht="12" customHeight="1" outlineLevel="2" x14ac:dyDescent="0.2">
      <c r="A16853" s="14" t="s">
        <v>33162</v>
      </c>
      <c r="B16853" s="15" t="s">
        <v>33163</v>
      </c>
      <c r="C16853" s="16">
        <f>74.93/(1+B2)</f>
        <v>74.930000000000007</v>
      </c>
      <c r="D16853" s="17" t="s">
        <v>14</v>
      </c>
      <c r="E16853" s="17"/>
      <c r="F16853" s="18"/>
      <c r="G16853" s="36" t="str">
        <f>IF(ISNUMBER(F16853),C16853*F16853,"")</f>
        <v/>
      </c>
    </row>
    <row r="16854" spans="1:7" ht="12" customHeight="1" outlineLevel="2" x14ac:dyDescent="0.2">
      <c r="A16854" s="14" t="s">
        <v>33164</v>
      </c>
      <c r="B16854" s="15" t="s">
        <v>33165</v>
      </c>
      <c r="C16854" s="16">
        <f>78.06/(1+B2)</f>
        <v>78.06</v>
      </c>
      <c r="D16854" s="17" t="s">
        <v>11</v>
      </c>
      <c r="E16854" s="17"/>
      <c r="F16854" s="18"/>
      <c r="G16854" s="36" t="str">
        <f>IF(ISNUMBER(F16854),C16854*F16854,"")</f>
        <v/>
      </c>
    </row>
    <row r="16855" spans="1:7" ht="12" customHeight="1" outlineLevel="2" x14ac:dyDescent="0.2">
      <c r="A16855" s="14" t="s">
        <v>33166</v>
      </c>
      <c r="B16855" s="15" t="s">
        <v>33167</v>
      </c>
      <c r="C16855" s="16">
        <f>88.85/(1+B2)</f>
        <v>88.85</v>
      </c>
      <c r="D16855" s="17" t="s">
        <v>11</v>
      </c>
      <c r="E16855" s="17"/>
      <c r="F16855" s="18"/>
      <c r="G16855" s="36" t="str">
        <f>IF(ISNUMBER(F16855),C16855*F16855,"")</f>
        <v/>
      </c>
    </row>
    <row r="16856" spans="1:7" ht="12" customHeight="1" outlineLevel="2" x14ac:dyDescent="0.2">
      <c r="A16856" s="14" t="s">
        <v>33168</v>
      </c>
      <c r="B16856" s="15" t="s">
        <v>33169</v>
      </c>
      <c r="C16856" s="16">
        <f>25.23/(1+B2)</f>
        <v>25.23</v>
      </c>
      <c r="D16856" s="17" t="s">
        <v>14</v>
      </c>
      <c r="E16856" s="17" t="s">
        <v>106</v>
      </c>
      <c r="F16856" s="18"/>
      <c r="G16856" s="36" t="str">
        <f>IF(ISNUMBER(F16856),C16856*F16856,"")</f>
        <v/>
      </c>
    </row>
    <row r="16857" spans="1:7" ht="12" customHeight="1" outlineLevel="2" x14ac:dyDescent="0.2">
      <c r="A16857" s="14" t="s">
        <v>33170</v>
      </c>
      <c r="B16857" s="15" t="s">
        <v>33171</v>
      </c>
      <c r="C16857" s="16">
        <f>37.93/(1+B2)</f>
        <v>37.93</v>
      </c>
      <c r="D16857" s="17" t="s">
        <v>14</v>
      </c>
      <c r="E16857" s="17"/>
      <c r="F16857" s="18"/>
      <c r="G16857" s="36" t="str">
        <f>IF(ISNUMBER(F16857),C16857*F16857,"")</f>
        <v/>
      </c>
    </row>
    <row r="16858" spans="1:7" ht="12" customHeight="1" outlineLevel="2" x14ac:dyDescent="0.2">
      <c r="A16858" s="14" t="s">
        <v>33172</v>
      </c>
      <c r="B16858" s="15" t="s">
        <v>33173</v>
      </c>
      <c r="C16858" s="16">
        <f>46.2/(1+B2)</f>
        <v>46.2</v>
      </c>
      <c r="D16858" s="17" t="s">
        <v>11</v>
      </c>
      <c r="E16858" s="17" t="s">
        <v>11</v>
      </c>
      <c r="F16858" s="18"/>
      <c r="G16858" s="36" t="str">
        <f>IF(ISNUMBER(F16858),C16858*F16858,"")</f>
        <v/>
      </c>
    </row>
    <row r="16859" spans="1:7" ht="12" customHeight="1" outlineLevel="2" x14ac:dyDescent="0.2">
      <c r="A16859" s="14" t="s">
        <v>33174</v>
      </c>
      <c r="B16859" s="15" t="s">
        <v>33175</v>
      </c>
      <c r="C16859" s="16">
        <f>154.48/(1+B2)</f>
        <v>154.47999999999999</v>
      </c>
      <c r="D16859" s="17" t="s">
        <v>11</v>
      </c>
      <c r="E16859" s="17"/>
      <c r="F16859" s="18"/>
      <c r="G16859" s="36" t="str">
        <f>IF(ISNUMBER(F16859),C16859*F16859,"")</f>
        <v/>
      </c>
    </row>
    <row r="16860" spans="1:7" ht="12" customHeight="1" outlineLevel="2" x14ac:dyDescent="0.2">
      <c r="A16860" s="14" t="s">
        <v>33176</v>
      </c>
      <c r="B16860" s="15" t="s">
        <v>33177</v>
      </c>
      <c r="C16860" s="16">
        <f>63.95/(1+B2)</f>
        <v>63.95</v>
      </c>
      <c r="D16860" s="17" t="s">
        <v>14</v>
      </c>
      <c r="E16860" s="17"/>
      <c r="F16860" s="18"/>
      <c r="G16860" s="36" t="str">
        <f>IF(ISNUMBER(F16860),C16860*F16860,"")</f>
        <v/>
      </c>
    </row>
    <row r="16861" spans="1:7" ht="12" customHeight="1" outlineLevel="2" x14ac:dyDescent="0.2">
      <c r="A16861" s="14" t="s">
        <v>33178</v>
      </c>
      <c r="B16861" s="15" t="s">
        <v>33179</v>
      </c>
      <c r="C16861" s="16">
        <f>154.48/(1+B2)</f>
        <v>154.47999999999999</v>
      </c>
      <c r="D16861" s="17" t="s">
        <v>14</v>
      </c>
      <c r="E16861" s="17"/>
      <c r="F16861" s="18"/>
      <c r="G16861" s="36" t="str">
        <f>IF(ISNUMBER(F16861),C16861*F16861,"")</f>
        <v/>
      </c>
    </row>
    <row r="16862" spans="1:7" ht="12" customHeight="1" outlineLevel="2" x14ac:dyDescent="0.2">
      <c r="A16862" s="14" t="s">
        <v>33180</v>
      </c>
      <c r="B16862" s="15" t="s">
        <v>33181</v>
      </c>
      <c r="C16862" s="16">
        <f>185.55/(1+B2)</f>
        <v>185.55</v>
      </c>
      <c r="D16862" s="17" t="s">
        <v>14</v>
      </c>
      <c r="E16862" s="17"/>
      <c r="F16862" s="18"/>
      <c r="G16862" s="36" t="str">
        <f>IF(ISNUMBER(F16862),C16862*F16862,"")</f>
        <v/>
      </c>
    </row>
    <row r="16863" spans="1:7" ht="12" customHeight="1" outlineLevel="2" x14ac:dyDescent="0.2">
      <c r="A16863" s="14" t="s">
        <v>33182</v>
      </c>
      <c r="B16863" s="15" t="s">
        <v>33183</v>
      </c>
      <c r="C16863" s="16">
        <f>46.96/(1+B2)</f>
        <v>46.96</v>
      </c>
      <c r="D16863" s="17" t="s">
        <v>11</v>
      </c>
      <c r="E16863" s="17" t="s">
        <v>11</v>
      </c>
      <c r="F16863" s="18"/>
      <c r="G16863" s="36" t="str">
        <f>IF(ISNUMBER(F16863),C16863*F16863,"")</f>
        <v/>
      </c>
    </row>
    <row r="16864" spans="1:7" ht="12" customHeight="1" outlineLevel="2" x14ac:dyDescent="0.2">
      <c r="A16864" s="14" t="s">
        <v>33184</v>
      </c>
      <c r="B16864" s="15" t="s">
        <v>33185</v>
      </c>
      <c r="C16864" s="16">
        <f>46.96/(1+B2)</f>
        <v>46.96</v>
      </c>
      <c r="D16864" s="17" t="s">
        <v>11</v>
      </c>
      <c r="E16864" s="17"/>
      <c r="F16864" s="18"/>
      <c r="G16864" s="36" t="str">
        <f>IF(ISNUMBER(F16864),C16864*F16864,"")</f>
        <v/>
      </c>
    </row>
    <row r="16865" spans="1:7" ht="12" customHeight="1" outlineLevel="2" x14ac:dyDescent="0.2">
      <c r="A16865" s="14" t="s">
        <v>33186</v>
      </c>
      <c r="B16865" s="15" t="s">
        <v>33187</v>
      </c>
      <c r="C16865" s="16">
        <f>46.96/(1+B2)</f>
        <v>46.96</v>
      </c>
      <c r="D16865" s="17" t="s">
        <v>11</v>
      </c>
      <c r="E16865" s="17"/>
      <c r="F16865" s="18"/>
      <c r="G16865" s="36" t="str">
        <f>IF(ISNUMBER(F16865),C16865*F16865,"")</f>
        <v/>
      </c>
    </row>
    <row r="16866" spans="1:7" ht="12" customHeight="1" outlineLevel="2" x14ac:dyDescent="0.2">
      <c r="A16866" s="14" t="s">
        <v>33188</v>
      </c>
      <c r="B16866" s="15" t="s">
        <v>33189</v>
      </c>
      <c r="C16866" s="16">
        <f>50.32/(1+B2)</f>
        <v>50.32</v>
      </c>
      <c r="D16866" s="17" t="s">
        <v>11</v>
      </c>
      <c r="E16866" s="17"/>
      <c r="F16866" s="18"/>
      <c r="G16866" s="36" t="str">
        <f>IF(ISNUMBER(F16866),C16866*F16866,"")</f>
        <v/>
      </c>
    </row>
    <row r="16867" spans="1:7" ht="12" customHeight="1" outlineLevel="2" x14ac:dyDescent="0.2">
      <c r="A16867" s="14" t="s">
        <v>33190</v>
      </c>
      <c r="B16867" s="15" t="s">
        <v>33191</v>
      </c>
      <c r="C16867" s="16">
        <f>50.32/(1+B2)</f>
        <v>50.32</v>
      </c>
      <c r="D16867" s="17" t="s">
        <v>11</v>
      </c>
      <c r="E16867" s="17"/>
      <c r="F16867" s="18"/>
      <c r="G16867" s="36" t="str">
        <f>IF(ISNUMBER(F16867),C16867*F16867,"")</f>
        <v/>
      </c>
    </row>
    <row r="16868" spans="1:7" ht="12" customHeight="1" outlineLevel="2" x14ac:dyDescent="0.2">
      <c r="A16868" s="14" t="s">
        <v>33192</v>
      </c>
      <c r="B16868" s="15" t="s">
        <v>33193</v>
      </c>
      <c r="C16868" s="16">
        <f>72.91/(1+B2)</f>
        <v>72.91</v>
      </c>
      <c r="D16868" s="17" t="s">
        <v>53</v>
      </c>
      <c r="E16868" s="17"/>
      <c r="F16868" s="18"/>
      <c r="G16868" s="36" t="str">
        <f>IF(ISNUMBER(F16868),C16868*F16868,"")</f>
        <v/>
      </c>
    </row>
    <row r="16869" spans="1:7" ht="12" customHeight="1" outlineLevel="2" x14ac:dyDescent="0.2">
      <c r="A16869" s="14" t="s">
        <v>33194</v>
      </c>
      <c r="B16869" s="15" t="s">
        <v>33195</v>
      </c>
      <c r="C16869" s="16">
        <f>309.46/(1+B2)</f>
        <v>309.45999999999998</v>
      </c>
      <c r="D16869" s="17" t="s">
        <v>11</v>
      </c>
      <c r="E16869" s="17"/>
      <c r="F16869" s="18"/>
      <c r="G16869" s="36" t="str">
        <f>IF(ISNUMBER(F16869),C16869*F16869,"")</f>
        <v/>
      </c>
    </row>
    <row r="16870" spans="1:7" ht="24" customHeight="1" outlineLevel="2" x14ac:dyDescent="0.2">
      <c r="A16870" s="14" t="s">
        <v>33196</v>
      </c>
      <c r="B16870" s="15" t="s">
        <v>33197</v>
      </c>
      <c r="C16870" s="16">
        <f>188.7/(1+B2)</f>
        <v>188.7</v>
      </c>
      <c r="D16870" s="17" t="s">
        <v>11</v>
      </c>
      <c r="E16870" s="17"/>
      <c r="F16870" s="18"/>
      <c r="G16870" s="36" t="str">
        <f>IF(ISNUMBER(F16870),C16870*F16870,"")</f>
        <v/>
      </c>
    </row>
    <row r="16871" spans="1:7" ht="24" customHeight="1" outlineLevel="2" x14ac:dyDescent="0.2">
      <c r="A16871" s="14" t="s">
        <v>33198</v>
      </c>
      <c r="B16871" s="15" t="s">
        <v>33199</v>
      </c>
      <c r="C16871" s="16">
        <f>136.55/(1+B2)</f>
        <v>136.55000000000001</v>
      </c>
      <c r="D16871" s="17" t="s">
        <v>11</v>
      </c>
      <c r="E16871" s="17"/>
      <c r="F16871" s="18"/>
      <c r="G16871" s="36" t="str">
        <f>IF(ISNUMBER(F16871),C16871*F16871,"")</f>
        <v/>
      </c>
    </row>
    <row r="16872" spans="1:7" ht="12" customHeight="1" outlineLevel="2" x14ac:dyDescent="0.2">
      <c r="A16872" s="14" t="s">
        <v>33200</v>
      </c>
      <c r="B16872" s="15" t="s">
        <v>33201</v>
      </c>
      <c r="C16872" s="16">
        <f>98.68/(1+B2)</f>
        <v>98.68</v>
      </c>
      <c r="D16872" s="17" t="s">
        <v>11</v>
      </c>
      <c r="E16872" s="17"/>
      <c r="F16872" s="18"/>
      <c r="G16872" s="36" t="str">
        <f>IF(ISNUMBER(F16872),C16872*F16872,"")</f>
        <v/>
      </c>
    </row>
    <row r="16873" spans="1:7" ht="12" customHeight="1" outlineLevel="2" x14ac:dyDescent="0.2">
      <c r="A16873" s="14" t="s">
        <v>33202</v>
      </c>
      <c r="B16873" s="15" t="s">
        <v>33203</v>
      </c>
      <c r="C16873" s="16">
        <f>101.63/(1+B2)</f>
        <v>101.63</v>
      </c>
      <c r="D16873" s="17" t="s">
        <v>11</v>
      </c>
      <c r="E16873" s="17" t="s">
        <v>11</v>
      </c>
      <c r="F16873" s="18"/>
      <c r="G16873" s="36" t="str">
        <f>IF(ISNUMBER(F16873),C16873*F16873,"")</f>
        <v/>
      </c>
    </row>
    <row r="16874" spans="1:7" ht="12" customHeight="1" outlineLevel="2" x14ac:dyDescent="0.2">
      <c r="A16874" s="14" t="s">
        <v>33204</v>
      </c>
      <c r="B16874" s="15" t="s">
        <v>33205</v>
      </c>
      <c r="C16874" s="16">
        <f>221.31/(1+B2)</f>
        <v>221.31</v>
      </c>
      <c r="D16874" s="17" t="s">
        <v>11</v>
      </c>
      <c r="E16874" s="17"/>
      <c r="F16874" s="18"/>
      <c r="G16874" s="36" t="str">
        <f>IF(ISNUMBER(F16874),C16874*F16874,"")</f>
        <v/>
      </c>
    </row>
    <row r="16875" spans="1:7" ht="12" customHeight="1" outlineLevel="2" x14ac:dyDescent="0.2">
      <c r="A16875" s="14" t="s">
        <v>33206</v>
      </c>
      <c r="B16875" s="15" t="s">
        <v>33207</v>
      </c>
      <c r="C16875" s="16">
        <f>106.2/(1+B2)</f>
        <v>106.2</v>
      </c>
      <c r="D16875" s="17" t="s">
        <v>11</v>
      </c>
      <c r="E16875" s="17"/>
      <c r="F16875" s="18"/>
      <c r="G16875" s="36" t="str">
        <f>IF(ISNUMBER(F16875),C16875*F16875,"")</f>
        <v/>
      </c>
    </row>
    <row r="16876" spans="1:7" ht="12" customHeight="1" outlineLevel="2" x14ac:dyDescent="0.2">
      <c r="A16876" s="14" t="s">
        <v>33208</v>
      </c>
      <c r="B16876" s="15" t="s">
        <v>33209</v>
      </c>
      <c r="C16876" s="16">
        <f>213.41/(1+B2)</f>
        <v>213.41</v>
      </c>
      <c r="D16876" s="17" t="s">
        <v>11</v>
      </c>
      <c r="E16876" s="17"/>
      <c r="F16876" s="18"/>
      <c r="G16876" s="36" t="str">
        <f>IF(ISNUMBER(F16876),C16876*F16876,"")</f>
        <v/>
      </c>
    </row>
    <row r="16877" spans="1:7" ht="12" customHeight="1" outlineLevel="2" x14ac:dyDescent="0.2">
      <c r="A16877" s="14" t="s">
        <v>33210</v>
      </c>
      <c r="B16877" s="15" t="s">
        <v>33211</v>
      </c>
      <c r="C16877" s="16">
        <f>111.01/(1+B2)</f>
        <v>111.01</v>
      </c>
      <c r="D16877" s="17" t="s">
        <v>11</v>
      </c>
      <c r="E16877" s="17"/>
      <c r="F16877" s="18"/>
      <c r="G16877" s="36" t="str">
        <f>IF(ISNUMBER(F16877),C16877*F16877,"")</f>
        <v/>
      </c>
    </row>
    <row r="16878" spans="1:7" ht="12" customHeight="1" outlineLevel="2" x14ac:dyDescent="0.2">
      <c r="A16878" s="14" t="s">
        <v>33212</v>
      </c>
      <c r="B16878" s="15" t="s">
        <v>33213</v>
      </c>
      <c r="C16878" s="16">
        <f>235.22/(1+B2)</f>
        <v>235.22</v>
      </c>
      <c r="D16878" s="17" t="s">
        <v>11</v>
      </c>
      <c r="E16878" s="17"/>
      <c r="F16878" s="18"/>
      <c r="G16878" s="36" t="str">
        <f>IF(ISNUMBER(F16878),C16878*F16878,"")</f>
        <v/>
      </c>
    </row>
    <row r="16879" spans="1:7" ht="24" customHeight="1" outlineLevel="2" x14ac:dyDescent="0.2">
      <c r="A16879" s="14" t="s">
        <v>33214</v>
      </c>
      <c r="B16879" s="15" t="s">
        <v>33215</v>
      </c>
      <c r="C16879" s="16">
        <f>155/(1+B2)</f>
        <v>155</v>
      </c>
      <c r="D16879" s="17" t="s">
        <v>11</v>
      </c>
      <c r="E16879" s="17"/>
      <c r="F16879" s="18"/>
      <c r="G16879" s="36" t="str">
        <f>IF(ISNUMBER(F16879),C16879*F16879,"")</f>
        <v/>
      </c>
    </row>
    <row r="16880" spans="1:7" ht="12" customHeight="1" outlineLevel="2" x14ac:dyDescent="0.2">
      <c r="A16880" s="14" t="s">
        <v>33216</v>
      </c>
      <c r="B16880" s="15" t="s">
        <v>33217</v>
      </c>
      <c r="C16880" s="16">
        <f>138.16/(1+B2)</f>
        <v>138.16</v>
      </c>
      <c r="D16880" s="17" t="s">
        <v>11</v>
      </c>
      <c r="E16880" s="17"/>
      <c r="F16880" s="18"/>
      <c r="G16880" s="36" t="str">
        <f>IF(ISNUMBER(F16880),C16880*F16880,"")</f>
        <v/>
      </c>
    </row>
    <row r="16881" spans="1:7" ht="24" customHeight="1" outlineLevel="2" x14ac:dyDescent="0.2">
      <c r="A16881" s="14" t="s">
        <v>33218</v>
      </c>
      <c r="B16881" s="15" t="s">
        <v>33219</v>
      </c>
      <c r="C16881" s="16">
        <f>79.61/(1+B2)</f>
        <v>79.61</v>
      </c>
      <c r="D16881" s="17" t="s">
        <v>11</v>
      </c>
      <c r="E16881" s="17"/>
      <c r="F16881" s="18"/>
      <c r="G16881" s="36" t="str">
        <f>IF(ISNUMBER(F16881),C16881*F16881,"")</f>
        <v/>
      </c>
    </row>
    <row r="16882" spans="1:7" ht="24" customHeight="1" outlineLevel="2" x14ac:dyDescent="0.2">
      <c r="A16882" s="14" t="s">
        <v>33220</v>
      </c>
      <c r="B16882" s="15" t="s">
        <v>33221</v>
      </c>
      <c r="C16882" s="16">
        <f>151.87/(1+B2)</f>
        <v>151.87</v>
      </c>
      <c r="D16882" s="17" t="s">
        <v>11</v>
      </c>
      <c r="E16882" s="17"/>
      <c r="F16882" s="18"/>
      <c r="G16882" s="36" t="str">
        <f>IF(ISNUMBER(F16882),C16882*F16882,"")</f>
        <v/>
      </c>
    </row>
    <row r="16883" spans="1:7" ht="24" customHeight="1" outlineLevel="2" x14ac:dyDescent="0.2">
      <c r="A16883" s="14" t="s">
        <v>33222</v>
      </c>
      <c r="B16883" s="15" t="s">
        <v>33223</v>
      </c>
      <c r="C16883" s="16">
        <f>80.52/(1+B2)</f>
        <v>80.52</v>
      </c>
      <c r="D16883" s="17" t="s">
        <v>11</v>
      </c>
      <c r="E16883" s="17"/>
      <c r="F16883" s="18"/>
      <c r="G16883" s="36" t="str">
        <f>IF(ISNUMBER(F16883),C16883*F16883,"")</f>
        <v/>
      </c>
    </row>
    <row r="16884" spans="1:7" ht="24" customHeight="1" outlineLevel="2" x14ac:dyDescent="0.2">
      <c r="A16884" s="14" t="s">
        <v>33224</v>
      </c>
      <c r="B16884" s="15" t="s">
        <v>33225</v>
      </c>
      <c r="C16884" s="16">
        <f>127.9/(1+B2)</f>
        <v>127.9</v>
      </c>
      <c r="D16884" s="17" t="s">
        <v>11</v>
      </c>
      <c r="E16884" s="17"/>
      <c r="F16884" s="18"/>
      <c r="G16884" s="36" t="str">
        <f>IF(ISNUMBER(F16884),C16884*F16884,"")</f>
        <v/>
      </c>
    </row>
    <row r="16885" spans="1:7" ht="24" customHeight="1" outlineLevel="2" x14ac:dyDescent="0.2">
      <c r="A16885" s="14" t="s">
        <v>33226</v>
      </c>
      <c r="B16885" s="15" t="s">
        <v>33227</v>
      </c>
      <c r="C16885" s="16">
        <f>129.74/(1+B2)</f>
        <v>129.74</v>
      </c>
      <c r="D16885" s="17" t="s">
        <v>11</v>
      </c>
      <c r="E16885" s="17"/>
      <c r="F16885" s="18"/>
      <c r="G16885" s="36" t="str">
        <f>IF(ISNUMBER(F16885),C16885*F16885,"")</f>
        <v/>
      </c>
    </row>
    <row r="16886" spans="1:7" ht="12" customHeight="1" outlineLevel="2" x14ac:dyDescent="0.2">
      <c r="A16886" s="14" t="s">
        <v>33228</v>
      </c>
      <c r="B16886" s="15" t="s">
        <v>33229</v>
      </c>
      <c r="C16886" s="16">
        <f>66.08/(1+B2)</f>
        <v>66.08</v>
      </c>
      <c r="D16886" s="17" t="s">
        <v>11</v>
      </c>
      <c r="E16886" s="17"/>
      <c r="F16886" s="18"/>
      <c r="G16886" s="36" t="str">
        <f>IF(ISNUMBER(F16886),C16886*F16886,"")</f>
        <v/>
      </c>
    </row>
    <row r="16887" spans="1:7" ht="12" customHeight="1" outlineLevel="2" x14ac:dyDescent="0.2">
      <c r="A16887" s="14" t="s">
        <v>33230</v>
      </c>
      <c r="B16887" s="15" t="s">
        <v>33231</v>
      </c>
      <c r="C16887" s="16">
        <f>100.92/(1+B2)</f>
        <v>100.92</v>
      </c>
      <c r="D16887" s="17" t="s">
        <v>11</v>
      </c>
      <c r="E16887" s="17"/>
      <c r="F16887" s="18"/>
      <c r="G16887" s="36" t="str">
        <f>IF(ISNUMBER(F16887),C16887*F16887,"")</f>
        <v/>
      </c>
    </row>
    <row r="16888" spans="1:7" ht="12" customHeight="1" outlineLevel="2" x14ac:dyDescent="0.2">
      <c r="A16888" s="14" t="s">
        <v>33232</v>
      </c>
      <c r="B16888" s="15" t="s">
        <v>33233</v>
      </c>
      <c r="C16888" s="16">
        <f>30.84/(1+B2)</f>
        <v>30.84</v>
      </c>
      <c r="D16888" s="17" t="s">
        <v>14</v>
      </c>
      <c r="E16888" s="17"/>
      <c r="F16888" s="18"/>
      <c r="G16888" s="36" t="str">
        <f>IF(ISNUMBER(F16888),C16888*F16888,"")</f>
        <v/>
      </c>
    </row>
    <row r="16889" spans="1:7" ht="12" customHeight="1" outlineLevel="2" x14ac:dyDescent="0.2">
      <c r="A16889" s="14" t="s">
        <v>33234</v>
      </c>
      <c r="B16889" s="15" t="s">
        <v>33235</v>
      </c>
      <c r="C16889" s="16">
        <f>30.9/(1+B2)</f>
        <v>30.9</v>
      </c>
      <c r="D16889" s="17" t="s">
        <v>11</v>
      </c>
      <c r="E16889" s="17"/>
      <c r="F16889" s="18"/>
      <c r="G16889" s="36" t="str">
        <f>IF(ISNUMBER(F16889),C16889*F16889,"")</f>
        <v/>
      </c>
    </row>
    <row r="16890" spans="1:7" ht="24" customHeight="1" outlineLevel="2" x14ac:dyDescent="0.2">
      <c r="A16890" s="14" t="s">
        <v>33236</v>
      </c>
      <c r="B16890" s="15" t="s">
        <v>33237</v>
      </c>
      <c r="C16890" s="16">
        <f>30.44/(1+B2)</f>
        <v>30.44</v>
      </c>
      <c r="D16890" s="17" t="s">
        <v>11</v>
      </c>
      <c r="E16890" s="17" t="s">
        <v>11</v>
      </c>
      <c r="F16890" s="18"/>
      <c r="G16890" s="36" t="str">
        <f>IF(ISNUMBER(F16890),C16890*F16890,"")</f>
        <v/>
      </c>
    </row>
    <row r="16891" spans="1:7" ht="12" customHeight="1" outlineLevel="2" x14ac:dyDescent="0.2">
      <c r="A16891" s="14" t="s">
        <v>33238</v>
      </c>
      <c r="B16891" s="15" t="s">
        <v>33239</v>
      </c>
      <c r="C16891" s="16">
        <f>38.16/(1+B2)</f>
        <v>38.159999999999997</v>
      </c>
      <c r="D16891" s="17" t="s">
        <v>11</v>
      </c>
      <c r="E16891" s="17"/>
      <c r="F16891" s="18"/>
      <c r="G16891" s="36" t="str">
        <f>IF(ISNUMBER(F16891),C16891*F16891,"")</f>
        <v/>
      </c>
    </row>
    <row r="16892" spans="1:7" ht="24" customHeight="1" outlineLevel="2" x14ac:dyDescent="0.2">
      <c r="A16892" s="14" t="s">
        <v>33240</v>
      </c>
      <c r="B16892" s="15" t="s">
        <v>33241</v>
      </c>
      <c r="C16892" s="16">
        <f>30.84/(1+B2)</f>
        <v>30.84</v>
      </c>
      <c r="D16892" s="17" t="s">
        <v>11</v>
      </c>
      <c r="E16892" s="17"/>
      <c r="F16892" s="18"/>
      <c r="G16892" s="36" t="str">
        <f>IF(ISNUMBER(F16892),C16892*F16892,"")</f>
        <v/>
      </c>
    </row>
    <row r="16893" spans="1:7" ht="12" customHeight="1" outlineLevel="2" x14ac:dyDescent="0.2">
      <c r="A16893" s="14" t="s">
        <v>33242</v>
      </c>
      <c r="B16893" s="15" t="s">
        <v>33243</v>
      </c>
      <c r="C16893" s="16">
        <f>36.54/(1+B2)</f>
        <v>36.54</v>
      </c>
      <c r="D16893" s="17" t="s">
        <v>11</v>
      </c>
      <c r="E16893" s="17" t="s">
        <v>14</v>
      </c>
      <c r="F16893" s="18"/>
      <c r="G16893" s="36" t="str">
        <f>IF(ISNUMBER(F16893),C16893*F16893,"")</f>
        <v/>
      </c>
    </row>
    <row r="16894" spans="1:7" ht="12" customHeight="1" outlineLevel="2" x14ac:dyDescent="0.2">
      <c r="A16894" s="14" t="s">
        <v>33244</v>
      </c>
      <c r="B16894" s="15" t="s">
        <v>33245</v>
      </c>
      <c r="C16894" s="16">
        <f>41.72/(1+B2)</f>
        <v>41.72</v>
      </c>
      <c r="D16894" s="17" t="s">
        <v>11</v>
      </c>
      <c r="E16894" s="17" t="s">
        <v>11</v>
      </c>
      <c r="F16894" s="18"/>
      <c r="G16894" s="36" t="str">
        <f>IF(ISNUMBER(F16894),C16894*F16894,"")</f>
        <v/>
      </c>
    </row>
    <row r="16895" spans="1:7" ht="12" customHeight="1" outlineLevel="2" x14ac:dyDescent="0.2">
      <c r="A16895" s="14" t="s">
        <v>33246</v>
      </c>
      <c r="B16895" s="15" t="s">
        <v>33247</v>
      </c>
      <c r="C16895" s="16">
        <f>40.99/(1+B2)</f>
        <v>40.99</v>
      </c>
      <c r="D16895" s="17" t="s">
        <v>11</v>
      </c>
      <c r="E16895" s="17"/>
      <c r="F16895" s="18"/>
      <c r="G16895" s="36" t="str">
        <f>IF(ISNUMBER(F16895),C16895*F16895,"")</f>
        <v/>
      </c>
    </row>
    <row r="16896" spans="1:7" ht="24" customHeight="1" outlineLevel="2" x14ac:dyDescent="0.2">
      <c r="A16896" s="14" t="s">
        <v>33248</v>
      </c>
      <c r="B16896" s="15" t="s">
        <v>33249</v>
      </c>
      <c r="C16896" s="16">
        <f>71.94/(1+B2)</f>
        <v>71.94</v>
      </c>
      <c r="D16896" s="17" t="s">
        <v>11</v>
      </c>
      <c r="E16896" s="17"/>
      <c r="F16896" s="18"/>
      <c r="G16896" s="36" t="str">
        <f>IF(ISNUMBER(F16896),C16896*F16896,"")</f>
        <v/>
      </c>
    </row>
    <row r="16897" spans="1:7" ht="24" customHeight="1" outlineLevel="2" x14ac:dyDescent="0.2">
      <c r="A16897" s="14" t="s">
        <v>33250</v>
      </c>
      <c r="B16897" s="15" t="s">
        <v>33251</v>
      </c>
      <c r="C16897" s="16">
        <f>75.37/(1+B2)</f>
        <v>75.37</v>
      </c>
      <c r="D16897" s="17" t="s">
        <v>11</v>
      </c>
      <c r="E16897" s="17"/>
      <c r="F16897" s="18"/>
      <c r="G16897" s="36" t="str">
        <f>IF(ISNUMBER(F16897),C16897*F16897,"")</f>
        <v/>
      </c>
    </row>
    <row r="16898" spans="1:7" ht="12" customHeight="1" outlineLevel="2" x14ac:dyDescent="0.2">
      <c r="A16898" s="14" t="s">
        <v>33252</v>
      </c>
      <c r="B16898" s="15" t="s">
        <v>33253</v>
      </c>
      <c r="C16898" s="16">
        <f>74.22/(1+B2)</f>
        <v>74.22</v>
      </c>
      <c r="D16898" s="17" t="s">
        <v>11</v>
      </c>
      <c r="E16898" s="17" t="s">
        <v>14</v>
      </c>
      <c r="F16898" s="18"/>
      <c r="G16898" s="36" t="str">
        <f>IF(ISNUMBER(F16898),C16898*F16898,"")</f>
        <v/>
      </c>
    </row>
    <row r="16899" spans="1:7" ht="12" customHeight="1" outlineLevel="2" x14ac:dyDescent="0.2">
      <c r="A16899" s="14" t="s">
        <v>33254</v>
      </c>
      <c r="B16899" s="15" t="s">
        <v>33255</v>
      </c>
      <c r="C16899" s="16">
        <f>78.09/(1+B2)</f>
        <v>78.09</v>
      </c>
      <c r="D16899" s="17" t="s">
        <v>11</v>
      </c>
      <c r="E16899" s="17"/>
      <c r="F16899" s="18"/>
      <c r="G16899" s="36" t="str">
        <f>IF(ISNUMBER(F16899),C16899*F16899,"")</f>
        <v/>
      </c>
    </row>
    <row r="16900" spans="1:7" ht="24" customHeight="1" outlineLevel="2" x14ac:dyDescent="0.2">
      <c r="A16900" s="14" t="s">
        <v>33256</v>
      </c>
      <c r="B16900" s="15" t="s">
        <v>33257</v>
      </c>
      <c r="C16900" s="16">
        <f>84.38/(1+B2)</f>
        <v>84.38</v>
      </c>
      <c r="D16900" s="17" t="s">
        <v>11</v>
      </c>
      <c r="E16900" s="17"/>
      <c r="F16900" s="18"/>
      <c r="G16900" s="36" t="str">
        <f>IF(ISNUMBER(F16900),C16900*F16900,"")</f>
        <v/>
      </c>
    </row>
    <row r="16901" spans="1:7" ht="12" customHeight="1" outlineLevel="2" x14ac:dyDescent="0.2">
      <c r="A16901" s="14" t="s">
        <v>33258</v>
      </c>
      <c r="B16901" s="15" t="s">
        <v>33259</v>
      </c>
      <c r="C16901" s="16">
        <f>95.92/(1+B2)</f>
        <v>95.92</v>
      </c>
      <c r="D16901" s="17" t="s">
        <v>11</v>
      </c>
      <c r="E16901" s="17"/>
      <c r="F16901" s="18"/>
      <c r="G16901" s="36" t="str">
        <f>IF(ISNUMBER(F16901),C16901*F16901,"")</f>
        <v/>
      </c>
    </row>
    <row r="16902" spans="1:7" ht="12" customHeight="1" outlineLevel="2" x14ac:dyDescent="0.2">
      <c r="A16902" s="14" t="s">
        <v>33260</v>
      </c>
      <c r="B16902" s="15" t="s">
        <v>33261</v>
      </c>
      <c r="C16902" s="16">
        <f>80.22/(1+B2)</f>
        <v>80.22</v>
      </c>
      <c r="D16902" s="17" t="s">
        <v>11</v>
      </c>
      <c r="E16902" s="17"/>
      <c r="F16902" s="18"/>
      <c r="G16902" s="36" t="str">
        <f>IF(ISNUMBER(F16902),C16902*F16902,"")</f>
        <v/>
      </c>
    </row>
    <row r="16903" spans="1:7" ht="12" customHeight="1" outlineLevel="2" x14ac:dyDescent="0.2">
      <c r="A16903" s="14" t="s">
        <v>33262</v>
      </c>
      <c r="B16903" s="15" t="s">
        <v>33263</v>
      </c>
      <c r="C16903" s="16">
        <f>90.62/(1+B2)</f>
        <v>90.62</v>
      </c>
      <c r="D16903" s="17" t="s">
        <v>11</v>
      </c>
      <c r="E16903" s="17"/>
      <c r="F16903" s="18"/>
      <c r="G16903" s="36" t="str">
        <f>IF(ISNUMBER(F16903),C16903*F16903,"")</f>
        <v/>
      </c>
    </row>
    <row r="16904" spans="1:7" ht="12" customHeight="1" outlineLevel="2" x14ac:dyDescent="0.2">
      <c r="A16904" s="14" t="s">
        <v>33264</v>
      </c>
      <c r="B16904" s="15" t="s">
        <v>33265</v>
      </c>
      <c r="C16904" s="16">
        <f>80.52/(1+B2)</f>
        <v>80.52</v>
      </c>
      <c r="D16904" s="17" t="s">
        <v>11</v>
      </c>
      <c r="E16904" s="17"/>
      <c r="F16904" s="18"/>
      <c r="G16904" s="36" t="str">
        <f>IF(ISNUMBER(F16904),C16904*F16904,"")</f>
        <v/>
      </c>
    </row>
    <row r="16905" spans="1:7" ht="12" customHeight="1" outlineLevel="2" x14ac:dyDescent="0.2">
      <c r="A16905" s="14" t="s">
        <v>33266</v>
      </c>
      <c r="B16905" s="15" t="s">
        <v>33267</v>
      </c>
      <c r="C16905" s="16">
        <f>113.16/(1+B2)</f>
        <v>113.16</v>
      </c>
      <c r="D16905" s="17" t="s">
        <v>11</v>
      </c>
      <c r="E16905" s="17"/>
      <c r="F16905" s="18"/>
      <c r="G16905" s="36" t="str">
        <f>IF(ISNUMBER(F16905),C16905*F16905,"")</f>
        <v/>
      </c>
    </row>
    <row r="16906" spans="1:7" ht="12" customHeight="1" outlineLevel="2" x14ac:dyDescent="0.2">
      <c r="A16906" s="14" t="s">
        <v>33268</v>
      </c>
      <c r="B16906" s="15" t="s">
        <v>33269</v>
      </c>
      <c r="C16906" s="16">
        <f>105.47/(1+B2)</f>
        <v>105.47</v>
      </c>
      <c r="D16906" s="17" t="s">
        <v>11</v>
      </c>
      <c r="E16906" s="17"/>
      <c r="F16906" s="18"/>
      <c r="G16906" s="36" t="str">
        <f>IF(ISNUMBER(F16906),C16906*F16906,"")</f>
        <v/>
      </c>
    </row>
    <row r="16907" spans="1:7" ht="12" customHeight="1" outlineLevel="2" x14ac:dyDescent="0.2">
      <c r="A16907" s="14" t="s">
        <v>33270</v>
      </c>
      <c r="B16907" s="15" t="s">
        <v>33271</v>
      </c>
      <c r="C16907" s="16">
        <f>372.11/(1+B2)</f>
        <v>372.11</v>
      </c>
      <c r="D16907" s="17" t="s">
        <v>11</v>
      </c>
      <c r="E16907" s="17"/>
      <c r="F16907" s="18"/>
      <c r="G16907" s="36" t="str">
        <f>IF(ISNUMBER(F16907),C16907*F16907,"")</f>
        <v/>
      </c>
    </row>
    <row r="16908" spans="1:7" ht="12" customHeight="1" outlineLevel="2" x14ac:dyDescent="0.2">
      <c r="A16908" s="14" t="s">
        <v>33272</v>
      </c>
      <c r="B16908" s="15" t="s">
        <v>33273</v>
      </c>
      <c r="C16908" s="16">
        <f>164.47/(1+B2)</f>
        <v>164.47</v>
      </c>
      <c r="D16908" s="17" t="s">
        <v>11</v>
      </c>
      <c r="E16908" s="17"/>
      <c r="F16908" s="18"/>
      <c r="G16908" s="36" t="str">
        <f>IF(ISNUMBER(F16908),C16908*F16908,"")</f>
        <v/>
      </c>
    </row>
    <row r="16909" spans="1:7" ht="12" customHeight="1" outlineLevel="2" x14ac:dyDescent="0.2">
      <c r="A16909" s="14" t="s">
        <v>33274</v>
      </c>
      <c r="B16909" s="15" t="s">
        <v>33275</v>
      </c>
      <c r="C16909" s="16">
        <f>139.32/(1+B2)</f>
        <v>139.32</v>
      </c>
      <c r="D16909" s="17" t="s">
        <v>11</v>
      </c>
      <c r="E16909" s="17" t="s">
        <v>11</v>
      </c>
      <c r="F16909" s="18"/>
      <c r="G16909" s="36" t="str">
        <f>IF(ISNUMBER(F16909),C16909*F16909,"")</f>
        <v/>
      </c>
    </row>
    <row r="16910" spans="1:7" ht="12" customHeight="1" outlineLevel="2" x14ac:dyDescent="0.2">
      <c r="A16910" s="14" t="s">
        <v>33276</v>
      </c>
      <c r="B16910" s="15" t="s">
        <v>33277</v>
      </c>
      <c r="C16910" s="16">
        <f>88.88/(1+B2)</f>
        <v>88.88</v>
      </c>
      <c r="D16910" s="17" t="s">
        <v>11</v>
      </c>
      <c r="E16910" s="17"/>
      <c r="F16910" s="18"/>
      <c r="G16910" s="36" t="str">
        <f>IF(ISNUMBER(F16910),C16910*F16910,"")</f>
        <v/>
      </c>
    </row>
    <row r="16911" spans="1:7" ht="12" customHeight="1" outlineLevel="2" x14ac:dyDescent="0.2">
      <c r="A16911" s="14" t="s">
        <v>33278</v>
      </c>
      <c r="B16911" s="15" t="s">
        <v>33279</v>
      </c>
      <c r="C16911" s="16">
        <f>29.15/(1+B2)</f>
        <v>29.15</v>
      </c>
      <c r="D16911" s="17" t="s">
        <v>14</v>
      </c>
      <c r="E16911" s="17" t="s">
        <v>11</v>
      </c>
      <c r="F16911" s="18"/>
      <c r="G16911" s="36" t="str">
        <f>IF(ISNUMBER(F16911),C16911*F16911,"")</f>
        <v/>
      </c>
    </row>
    <row r="16912" spans="1:7" ht="12" customHeight="1" outlineLevel="2" x14ac:dyDescent="0.2">
      <c r="A16912" s="14" t="s">
        <v>33280</v>
      </c>
      <c r="B16912" s="15" t="s">
        <v>33281</v>
      </c>
      <c r="C16912" s="16">
        <f>134/(1+B2)</f>
        <v>134</v>
      </c>
      <c r="D16912" s="17" t="s">
        <v>11</v>
      </c>
      <c r="E16912" s="17"/>
      <c r="F16912" s="18"/>
      <c r="G16912" s="36" t="str">
        <f>IF(ISNUMBER(F16912),C16912*F16912,"")</f>
        <v/>
      </c>
    </row>
    <row r="16913" spans="1:7" ht="12" customHeight="1" outlineLevel="2" x14ac:dyDescent="0.2">
      <c r="A16913" s="14" t="s">
        <v>33282</v>
      </c>
      <c r="B16913" s="15" t="s">
        <v>33283</v>
      </c>
      <c r="C16913" s="16">
        <f>138.68/(1+B2)</f>
        <v>138.68</v>
      </c>
      <c r="D16913" s="17" t="s">
        <v>11</v>
      </c>
      <c r="E16913" s="17"/>
      <c r="F16913" s="18"/>
      <c r="G16913" s="36" t="str">
        <f>IF(ISNUMBER(F16913),C16913*F16913,"")</f>
        <v/>
      </c>
    </row>
    <row r="16914" spans="1:7" ht="12" customHeight="1" outlineLevel="2" x14ac:dyDescent="0.2">
      <c r="A16914" s="14" t="s">
        <v>33284</v>
      </c>
      <c r="B16914" s="15" t="s">
        <v>33285</v>
      </c>
      <c r="C16914" s="16">
        <f>59.95/(1+B2)</f>
        <v>59.95</v>
      </c>
      <c r="D16914" s="17" t="s">
        <v>11</v>
      </c>
      <c r="E16914" s="17"/>
      <c r="F16914" s="18"/>
      <c r="G16914" s="36" t="str">
        <f>IF(ISNUMBER(F16914),C16914*F16914,"")</f>
        <v/>
      </c>
    </row>
    <row r="16915" spans="1:7" ht="12" customHeight="1" outlineLevel="2" x14ac:dyDescent="0.2">
      <c r="A16915" s="14" t="s">
        <v>33286</v>
      </c>
      <c r="B16915" s="15" t="s">
        <v>33287</v>
      </c>
      <c r="C16915" s="16">
        <f>92.58/(1+B2)</f>
        <v>92.58</v>
      </c>
      <c r="D16915" s="17" t="s">
        <v>11</v>
      </c>
      <c r="E16915" s="17"/>
      <c r="F16915" s="18"/>
      <c r="G16915" s="36" t="str">
        <f>IF(ISNUMBER(F16915),C16915*F16915,"")</f>
        <v/>
      </c>
    </row>
    <row r="16916" spans="1:7" ht="12" customHeight="1" outlineLevel="2" x14ac:dyDescent="0.2">
      <c r="A16916" s="14" t="s">
        <v>33288</v>
      </c>
      <c r="B16916" s="15" t="s">
        <v>33289</v>
      </c>
      <c r="C16916" s="16">
        <f>114.4/(1+B2)</f>
        <v>114.4</v>
      </c>
      <c r="D16916" s="17" t="s">
        <v>14</v>
      </c>
      <c r="E16916" s="17" t="s">
        <v>14</v>
      </c>
      <c r="F16916" s="18"/>
      <c r="G16916" s="36" t="str">
        <f>IF(ISNUMBER(F16916),C16916*F16916,"")</f>
        <v/>
      </c>
    </row>
    <row r="16917" spans="1:7" ht="12" customHeight="1" outlineLevel="2" x14ac:dyDescent="0.2">
      <c r="A16917" s="14" t="s">
        <v>33290</v>
      </c>
      <c r="B16917" s="15" t="s">
        <v>33291</v>
      </c>
      <c r="C16917" s="16">
        <f>100.49/(1+B2)</f>
        <v>100.49</v>
      </c>
      <c r="D16917" s="17" t="s">
        <v>11</v>
      </c>
      <c r="E16917" s="17" t="s">
        <v>11</v>
      </c>
      <c r="F16917" s="18"/>
      <c r="G16917" s="36" t="str">
        <f>IF(ISNUMBER(F16917),C16917*F16917,"")</f>
        <v/>
      </c>
    </row>
    <row r="16918" spans="1:7" ht="12" customHeight="1" outlineLevel="2" x14ac:dyDescent="0.2">
      <c r="A16918" s="14" t="s">
        <v>33292</v>
      </c>
      <c r="B16918" s="15" t="s">
        <v>33293</v>
      </c>
      <c r="C16918" s="16">
        <f>52.13/(1+B2)</f>
        <v>52.13</v>
      </c>
      <c r="D16918" s="17" t="s">
        <v>14</v>
      </c>
      <c r="E16918" s="17"/>
      <c r="F16918" s="18"/>
      <c r="G16918" s="36" t="str">
        <f>IF(ISNUMBER(F16918),C16918*F16918,"")</f>
        <v/>
      </c>
    </row>
    <row r="16919" spans="1:7" ht="12" customHeight="1" outlineLevel="2" x14ac:dyDescent="0.2">
      <c r="A16919" s="14" t="s">
        <v>33294</v>
      </c>
      <c r="B16919" s="15" t="s">
        <v>33295</v>
      </c>
      <c r="C16919" s="16">
        <f>170.8/(1+B2)</f>
        <v>170.8</v>
      </c>
      <c r="D16919" s="17" t="s">
        <v>53</v>
      </c>
      <c r="E16919" s="17"/>
      <c r="F16919" s="18"/>
      <c r="G16919" s="36" t="str">
        <f>IF(ISNUMBER(F16919),C16919*F16919,"")</f>
        <v/>
      </c>
    </row>
    <row r="16920" spans="1:7" ht="12" customHeight="1" outlineLevel="2" x14ac:dyDescent="0.2">
      <c r="A16920" s="14" t="s">
        <v>33296</v>
      </c>
      <c r="B16920" s="15" t="s">
        <v>33297</v>
      </c>
      <c r="C16920" s="16">
        <f>29.2/(1+B2)</f>
        <v>29.2</v>
      </c>
      <c r="D16920" s="17" t="s">
        <v>11</v>
      </c>
      <c r="E16920" s="17" t="s">
        <v>11</v>
      </c>
      <c r="F16920" s="18"/>
      <c r="G16920" s="36" t="str">
        <f>IF(ISNUMBER(F16920),C16920*F16920,"")</f>
        <v/>
      </c>
    </row>
    <row r="16921" spans="1:7" ht="12" customHeight="1" outlineLevel="2" x14ac:dyDescent="0.2">
      <c r="A16921" s="14" t="s">
        <v>33298</v>
      </c>
      <c r="B16921" s="15" t="s">
        <v>33299</v>
      </c>
      <c r="C16921" s="16">
        <f>107.6/(1+B2)</f>
        <v>107.6</v>
      </c>
      <c r="D16921" s="17" t="s">
        <v>53</v>
      </c>
      <c r="E16921" s="17"/>
      <c r="F16921" s="18"/>
      <c r="G16921" s="36" t="str">
        <f>IF(ISNUMBER(F16921),C16921*F16921,"")</f>
        <v/>
      </c>
    </row>
    <row r="16922" spans="1:7" ht="12" customHeight="1" outlineLevel="2" x14ac:dyDescent="0.2">
      <c r="A16922" s="14" t="s">
        <v>33300</v>
      </c>
      <c r="B16922" s="15" t="s">
        <v>33301</v>
      </c>
      <c r="C16922" s="16">
        <f>159.15/(1+B2)</f>
        <v>159.15</v>
      </c>
      <c r="D16922" s="17" t="s">
        <v>11</v>
      </c>
      <c r="E16922" s="17"/>
      <c r="F16922" s="18"/>
      <c r="G16922" s="36" t="str">
        <f>IF(ISNUMBER(F16922),C16922*F16922,"")</f>
        <v/>
      </c>
    </row>
    <row r="16923" spans="1:7" ht="12" customHeight="1" outlineLevel="2" x14ac:dyDescent="0.2">
      <c r="A16923" s="14" t="s">
        <v>33302</v>
      </c>
      <c r="B16923" s="15" t="s">
        <v>33303</v>
      </c>
      <c r="C16923" s="16">
        <f>108.26/(1+B2)</f>
        <v>108.26</v>
      </c>
      <c r="D16923" s="17" t="s">
        <v>11</v>
      </c>
      <c r="E16923" s="17"/>
      <c r="F16923" s="18"/>
      <c r="G16923" s="36" t="str">
        <f>IF(ISNUMBER(F16923),C16923*F16923,"")</f>
        <v/>
      </c>
    </row>
    <row r="16924" spans="1:7" ht="12" customHeight="1" outlineLevel="2" x14ac:dyDescent="0.2">
      <c r="A16924" s="14" t="s">
        <v>33304</v>
      </c>
      <c r="B16924" s="15" t="s">
        <v>33305</v>
      </c>
      <c r="C16924" s="16">
        <f>251.22/(1+B2)</f>
        <v>251.22</v>
      </c>
      <c r="D16924" s="17" t="s">
        <v>11</v>
      </c>
      <c r="E16924" s="17" t="s">
        <v>11</v>
      </c>
      <c r="F16924" s="18"/>
      <c r="G16924" s="36" t="str">
        <f>IF(ISNUMBER(F16924),C16924*F16924,"")</f>
        <v/>
      </c>
    </row>
    <row r="16925" spans="1:7" ht="12" customHeight="1" outlineLevel="2" x14ac:dyDescent="0.2">
      <c r="A16925" s="14" t="s">
        <v>33306</v>
      </c>
      <c r="B16925" s="15" t="s">
        <v>33307</v>
      </c>
      <c r="C16925" s="16">
        <f>201.16/(1+B2)</f>
        <v>201.16</v>
      </c>
      <c r="D16925" s="17" t="s">
        <v>11</v>
      </c>
      <c r="E16925" s="17"/>
      <c r="F16925" s="18"/>
      <c r="G16925" s="36" t="str">
        <f>IF(ISNUMBER(F16925),C16925*F16925,"")</f>
        <v/>
      </c>
    </row>
    <row r="16926" spans="1:7" ht="12" customHeight="1" outlineLevel="2" x14ac:dyDescent="0.2">
      <c r="A16926" s="14" t="s">
        <v>33308</v>
      </c>
      <c r="B16926" s="15" t="s">
        <v>33309</v>
      </c>
      <c r="C16926" s="16">
        <f>118.37/(1+B2)</f>
        <v>118.37</v>
      </c>
      <c r="D16926" s="17" t="s">
        <v>11</v>
      </c>
      <c r="E16926" s="17"/>
      <c r="F16926" s="18"/>
      <c r="G16926" s="36" t="str">
        <f>IF(ISNUMBER(F16926),C16926*F16926,"")</f>
        <v/>
      </c>
    </row>
    <row r="16927" spans="1:7" ht="12" customHeight="1" outlineLevel="2" x14ac:dyDescent="0.2">
      <c r="A16927" s="14" t="s">
        <v>33310</v>
      </c>
      <c r="B16927" s="15" t="s">
        <v>33311</v>
      </c>
      <c r="C16927" s="16">
        <f>113.84/(1+B2)</f>
        <v>113.84</v>
      </c>
      <c r="D16927" s="17" t="s">
        <v>11</v>
      </c>
      <c r="E16927" s="17"/>
      <c r="F16927" s="18"/>
      <c r="G16927" s="36" t="str">
        <f>IF(ISNUMBER(F16927),C16927*F16927,"")</f>
        <v/>
      </c>
    </row>
    <row r="16928" spans="1:7" ht="12" customHeight="1" outlineLevel="2" x14ac:dyDescent="0.2">
      <c r="A16928" s="14" t="s">
        <v>33312</v>
      </c>
      <c r="B16928" s="15" t="s">
        <v>33313</v>
      </c>
      <c r="C16928" s="16">
        <f>34.85/(1+B2)</f>
        <v>34.85</v>
      </c>
      <c r="D16928" s="17" t="s">
        <v>14</v>
      </c>
      <c r="E16928" s="17" t="s">
        <v>53</v>
      </c>
      <c r="F16928" s="18"/>
      <c r="G16928" s="36" t="str">
        <f>IF(ISNUMBER(F16928),C16928*F16928,"")</f>
        <v/>
      </c>
    </row>
    <row r="16929" spans="1:7" ht="12" customHeight="1" outlineLevel="2" x14ac:dyDescent="0.2">
      <c r="A16929" s="14" t="s">
        <v>33314</v>
      </c>
      <c r="B16929" s="15" t="s">
        <v>33315</v>
      </c>
      <c r="C16929" s="16">
        <f>54.82/(1+B2)</f>
        <v>54.82</v>
      </c>
      <c r="D16929" s="17" t="s">
        <v>11</v>
      </c>
      <c r="E16929" s="17" t="s">
        <v>14</v>
      </c>
      <c r="F16929" s="18"/>
      <c r="G16929" s="36" t="str">
        <f>IF(ISNUMBER(F16929),C16929*F16929,"")</f>
        <v/>
      </c>
    </row>
    <row r="16930" spans="1:7" ht="12" customHeight="1" outlineLevel="2" x14ac:dyDescent="0.2">
      <c r="A16930" s="14" t="s">
        <v>33316</v>
      </c>
      <c r="B16930" s="15" t="s">
        <v>33317</v>
      </c>
      <c r="C16930" s="16">
        <f>67.59/(1+B2)</f>
        <v>67.59</v>
      </c>
      <c r="D16930" s="17" t="s">
        <v>11</v>
      </c>
      <c r="E16930" s="17"/>
      <c r="F16930" s="18"/>
      <c r="G16930" s="36" t="str">
        <f>IF(ISNUMBER(F16930),C16930*F16930,"")</f>
        <v/>
      </c>
    </row>
    <row r="16931" spans="1:7" s="1" customFormat="1" ht="15.95" customHeight="1" outlineLevel="1" x14ac:dyDescent="0.25">
      <c r="A16931" s="11"/>
      <c r="B16931" s="12" t="s">
        <v>33318</v>
      </c>
      <c r="C16931" s="13"/>
      <c r="D16931" s="13"/>
      <c r="E16931" s="13"/>
      <c r="F16931" s="13"/>
      <c r="G16931" s="35"/>
    </row>
    <row r="16932" spans="1:7" ht="12" customHeight="1" outlineLevel="2" x14ac:dyDescent="0.2">
      <c r="A16932" s="14" t="s">
        <v>33319</v>
      </c>
      <c r="B16932" s="15" t="s">
        <v>33320</v>
      </c>
      <c r="C16932" s="16">
        <f>1.57/(1+B2)</f>
        <v>1.57</v>
      </c>
      <c r="D16932" s="17" t="s">
        <v>53</v>
      </c>
      <c r="E16932" s="17" t="s">
        <v>53</v>
      </c>
      <c r="F16932" s="18"/>
      <c r="G16932" s="36" t="str">
        <f>IF(ISNUMBER(F16932),C16932*F16932,"")</f>
        <v/>
      </c>
    </row>
    <row r="16933" spans="1:7" ht="24" customHeight="1" outlineLevel="2" x14ac:dyDescent="0.2">
      <c r="A16933" s="14" t="s">
        <v>33321</v>
      </c>
      <c r="B16933" s="15" t="s">
        <v>33322</v>
      </c>
      <c r="C16933" s="16">
        <f>294.58/(1+B2)</f>
        <v>294.58</v>
      </c>
      <c r="D16933" s="17" t="s">
        <v>11</v>
      </c>
      <c r="E16933" s="17" t="s">
        <v>11</v>
      </c>
      <c r="F16933" s="18"/>
      <c r="G16933" s="36" t="str">
        <f>IF(ISNUMBER(F16933),C16933*F16933,"")</f>
        <v/>
      </c>
    </row>
    <row r="16934" spans="1:7" ht="24" customHeight="1" outlineLevel="2" x14ac:dyDescent="0.2">
      <c r="A16934" s="14" t="s">
        <v>33323</v>
      </c>
      <c r="B16934" s="15" t="s">
        <v>33324</v>
      </c>
      <c r="C16934" s="16">
        <f>236.26/(1+B2)</f>
        <v>236.26</v>
      </c>
      <c r="D16934" s="17" t="s">
        <v>11</v>
      </c>
      <c r="E16934" s="17"/>
      <c r="F16934" s="18"/>
      <c r="G16934" s="36" t="str">
        <f>IF(ISNUMBER(F16934),C16934*F16934,"")</f>
        <v/>
      </c>
    </row>
    <row r="16935" spans="1:7" ht="24" customHeight="1" outlineLevel="2" x14ac:dyDescent="0.2">
      <c r="A16935" s="14" t="s">
        <v>33325</v>
      </c>
      <c r="B16935" s="15" t="s">
        <v>33326</v>
      </c>
      <c r="C16935" s="16">
        <f>273.19/(1+B2)</f>
        <v>273.19</v>
      </c>
      <c r="D16935" s="17" t="s">
        <v>11</v>
      </c>
      <c r="E16935" s="17"/>
      <c r="F16935" s="18"/>
      <c r="G16935" s="36" t="str">
        <f>IF(ISNUMBER(F16935),C16935*F16935,"")</f>
        <v/>
      </c>
    </row>
    <row r="16936" spans="1:7" ht="24" customHeight="1" outlineLevel="2" x14ac:dyDescent="0.2">
      <c r="A16936" s="14" t="s">
        <v>33327</v>
      </c>
      <c r="B16936" s="15" t="s">
        <v>33328</v>
      </c>
      <c r="C16936" s="16">
        <f>222.73/(1+B2)</f>
        <v>222.73</v>
      </c>
      <c r="D16936" s="17" t="s">
        <v>11</v>
      </c>
      <c r="E16936" s="17"/>
      <c r="F16936" s="18"/>
      <c r="G16936" s="36" t="str">
        <f>IF(ISNUMBER(F16936),C16936*F16936,"")</f>
        <v/>
      </c>
    </row>
    <row r="16937" spans="1:7" ht="24" customHeight="1" outlineLevel="2" x14ac:dyDescent="0.2">
      <c r="A16937" s="14" t="s">
        <v>33329</v>
      </c>
      <c r="B16937" s="15" t="s">
        <v>33330</v>
      </c>
      <c r="C16937" s="16">
        <f>237.74/(1+B2)</f>
        <v>237.74</v>
      </c>
      <c r="D16937" s="17" t="s">
        <v>11</v>
      </c>
      <c r="E16937" s="17"/>
      <c r="F16937" s="18"/>
      <c r="G16937" s="36" t="str">
        <f>IF(ISNUMBER(F16937),C16937*F16937,"")</f>
        <v/>
      </c>
    </row>
    <row r="16938" spans="1:7" ht="24" customHeight="1" outlineLevel="2" x14ac:dyDescent="0.2">
      <c r="A16938" s="14" t="s">
        <v>33331</v>
      </c>
      <c r="B16938" s="15" t="s">
        <v>33332</v>
      </c>
      <c r="C16938" s="16">
        <f>265.94/(1+B2)</f>
        <v>265.94</v>
      </c>
      <c r="D16938" s="17" t="s">
        <v>11</v>
      </c>
      <c r="E16938" s="17" t="s">
        <v>11</v>
      </c>
      <c r="F16938" s="18"/>
      <c r="G16938" s="36" t="str">
        <f>IF(ISNUMBER(F16938),C16938*F16938,"")</f>
        <v/>
      </c>
    </row>
    <row r="16939" spans="1:7" ht="24" customHeight="1" outlineLevel="2" x14ac:dyDescent="0.2">
      <c r="A16939" s="14" t="s">
        <v>33333</v>
      </c>
      <c r="B16939" s="15" t="s">
        <v>33334</v>
      </c>
      <c r="C16939" s="16">
        <f>197.22/(1+B2)</f>
        <v>197.22</v>
      </c>
      <c r="D16939" s="17" t="s">
        <v>11</v>
      </c>
      <c r="E16939" s="17"/>
      <c r="F16939" s="18"/>
      <c r="G16939" s="36" t="str">
        <f>IF(ISNUMBER(F16939),C16939*F16939,"")</f>
        <v/>
      </c>
    </row>
    <row r="16940" spans="1:7" ht="12" customHeight="1" outlineLevel="2" x14ac:dyDescent="0.2">
      <c r="A16940" s="14" t="s">
        <v>33335</v>
      </c>
      <c r="B16940" s="15" t="s">
        <v>33336</v>
      </c>
      <c r="C16940" s="16">
        <f>86.59/(1+B2)</f>
        <v>86.59</v>
      </c>
      <c r="D16940" s="17" t="s">
        <v>11</v>
      </c>
      <c r="E16940" s="17"/>
      <c r="F16940" s="18"/>
      <c r="G16940" s="36" t="str">
        <f>IF(ISNUMBER(F16940),C16940*F16940,"")</f>
        <v/>
      </c>
    </row>
    <row r="16941" spans="1:7" ht="24" customHeight="1" outlineLevel="2" x14ac:dyDescent="0.2">
      <c r="A16941" s="14" t="s">
        <v>33337</v>
      </c>
      <c r="B16941" s="15" t="s">
        <v>33338</v>
      </c>
      <c r="C16941" s="16">
        <f>186.48/(1+B2)</f>
        <v>186.48</v>
      </c>
      <c r="D16941" s="17" t="s">
        <v>11</v>
      </c>
      <c r="E16941" s="17"/>
      <c r="F16941" s="18"/>
      <c r="G16941" s="36" t="str">
        <f>IF(ISNUMBER(F16941),C16941*F16941,"")</f>
        <v/>
      </c>
    </row>
    <row r="16942" spans="1:7" ht="12" customHeight="1" outlineLevel="2" x14ac:dyDescent="0.2">
      <c r="A16942" s="14" t="s">
        <v>33339</v>
      </c>
      <c r="B16942" s="15" t="s">
        <v>33340</v>
      </c>
      <c r="C16942" s="16">
        <f>81.6/(1+B2)</f>
        <v>81.599999999999994</v>
      </c>
      <c r="D16942" s="17" t="s">
        <v>11</v>
      </c>
      <c r="E16942" s="17"/>
      <c r="F16942" s="18"/>
      <c r="G16942" s="36" t="str">
        <f>IF(ISNUMBER(F16942),C16942*F16942,"")</f>
        <v/>
      </c>
    </row>
    <row r="16943" spans="1:7" ht="24" customHeight="1" outlineLevel="2" x14ac:dyDescent="0.2">
      <c r="A16943" s="14" t="s">
        <v>33341</v>
      </c>
      <c r="B16943" s="15" t="s">
        <v>33342</v>
      </c>
      <c r="C16943" s="16">
        <f>280.91/(1+B2)</f>
        <v>280.91000000000003</v>
      </c>
      <c r="D16943" s="17" t="s">
        <v>11</v>
      </c>
      <c r="E16943" s="17" t="s">
        <v>11</v>
      </c>
      <c r="F16943" s="18"/>
      <c r="G16943" s="36" t="str">
        <f>IF(ISNUMBER(F16943),C16943*F16943,"")</f>
        <v/>
      </c>
    </row>
    <row r="16944" spans="1:7" ht="24" customHeight="1" outlineLevel="2" x14ac:dyDescent="0.2">
      <c r="A16944" s="14" t="s">
        <v>33343</v>
      </c>
      <c r="B16944" s="15" t="s">
        <v>33344</v>
      </c>
      <c r="C16944" s="16">
        <f>236.71/(1+B2)</f>
        <v>236.71</v>
      </c>
      <c r="D16944" s="17" t="s">
        <v>11</v>
      </c>
      <c r="E16944" s="17" t="s">
        <v>11</v>
      </c>
      <c r="F16944" s="18"/>
      <c r="G16944" s="36" t="str">
        <f>IF(ISNUMBER(F16944),C16944*F16944,"")</f>
        <v/>
      </c>
    </row>
    <row r="16945" spans="1:7" ht="12" customHeight="1" outlineLevel="2" x14ac:dyDescent="0.2">
      <c r="A16945" s="14" t="s">
        <v>33345</v>
      </c>
      <c r="B16945" s="15" t="s">
        <v>33346</v>
      </c>
      <c r="C16945" s="16">
        <f>131.63/(1+B2)</f>
        <v>131.63</v>
      </c>
      <c r="D16945" s="17" t="s">
        <v>11</v>
      </c>
      <c r="E16945" s="17" t="s">
        <v>11</v>
      </c>
      <c r="F16945" s="18"/>
      <c r="G16945" s="36" t="str">
        <f>IF(ISNUMBER(F16945),C16945*F16945,"")</f>
        <v/>
      </c>
    </row>
    <row r="16946" spans="1:7" ht="12" customHeight="1" outlineLevel="2" x14ac:dyDescent="0.2">
      <c r="A16946" s="14" t="s">
        <v>33347</v>
      </c>
      <c r="B16946" s="15" t="s">
        <v>33348</v>
      </c>
      <c r="C16946" s="16">
        <f>194.08/(1+B2)</f>
        <v>194.08</v>
      </c>
      <c r="D16946" s="17" t="s">
        <v>11</v>
      </c>
      <c r="E16946" s="17"/>
      <c r="F16946" s="18"/>
      <c r="G16946" s="36" t="str">
        <f>IF(ISNUMBER(F16946),C16946*F16946,"")</f>
        <v/>
      </c>
    </row>
    <row r="16947" spans="1:7" ht="12" customHeight="1" outlineLevel="2" x14ac:dyDescent="0.2">
      <c r="A16947" s="14" t="s">
        <v>33349</v>
      </c>
      <c r="B16947" s="15" t="s">
        <v>33350</v>
      </c>
      <c r="C16947" s="16">
        <f>249.93/(1+B2)</f>
        <v>249.93</v>
      </c>
      <c r="D16947" s="17" t="s">
        <v>11</v>
      </c>
      <c r="E16947" s="17"/>
      <c r="F16947" s="18"/>
      <c r="G16947" s="36" t="str">
        <f>IF(ISNUMBER(F16947),C16947*F16947,"")</f>
        <v/>
      </c>
    </row>
    <row r="16948" spans="1:7" ht="12" customHeight="1" outlineLevel="2" x14ac:dyDescent="0.2">
      <c r="A16948" s="14" t="s">
        <v>33351</v>
      </c>
      <c r="B16948" s="15" t="s">
        <v>33352</v>
      </c>
      <c r="C16948" s="16">
        <f>107.34/(1+B2)</f>
        <v>107.34</v>
      </c>
      <c r="D16948" s="17" t="s">
        <v>11</v>
      </c>
      <c r="E16948" s="17"/>
      <c r="F16948" s="18"/>
      <c r="G16948" s="36" t="str">
        <f>IF(ISNUMBER(F16948),C16948*F16948,"")</f>
        <v/>
      </c>
    </row>
    <row r="16949" spans="1:7" ht="12" customHeight="1" outlineLevel="2" x14ac:dyDescent="0.2">
      <c r="A16949" s="14" t="s">
        <v>33353</v>
      </c>
      <c r="B16949" s="15" t="s">
        <v>33354</v>
      </c>
      <c r="C16949" s="16">
        <f>161.7/(1+B2)</f>
        <v>161.69999999999999</v>
      </c>
      <c r="D16949" s="17" t="s">
        <v>53</v>
      </c>
      <c r="E16949" s="17"/>
      <c r="F16949" s="18"/>
      <c r="G16949" s="36" t="str">
        <f>IF(ISNUMBER(F16949),C16949*F16949,"")</f>
        <v/>
      </c>
    </row>
    <row r="16950" spans="1:7" ht="12" customHeight="1" outlineLevel="2" x14ac:dyDescent="0.2">
      <c r="A16950" s="14" t="s">
        <v>33355</v>
      </c>
      <c r="B16950" s="15" t="s">
        <v>33356</v>
      </c>
      <c r="C16950" s="16">
        <f>200.08/(1+B2)</f>
        <v>200.08</v>
      </c>
      <c r="D16950" s="17" t="s">
        <v>11</v>
      </c>
      <c r="E16950" s="17"/>
      <c r="F16950" s="18"/>
      <c r="G16950" s="36" t="str">
        <f>IF(ISNUMBER(F16950),C16950*F16950,"")</f>
        <v/>
      </c>
    </row>
    <row r="16951" spans="1:7" ht="12" customHeight="1" outlineLevel="2" x14ac:dyDescent="0.2">
      <c r="A16951" s="14" t="s">
        <v>33357</v>
      </c>
      <c r="B16951" s="15" t="s">
        <v>33358</v>
      </c>
      <c r="C16951" s="16">
        <f>190.96/(1+B2)</f>
        <v>190.96</v>
      </c>
      <c r="D16951" s="17" t="s">
        <v>14</v>
      </c>
      <c r="E16951" s="17"/>
      <c r="F16951" s="18"/>
      <c r="G16951" s="36" t="str">
        <f>IF(ISNUMBER(F16951),C16951*F16951,"")</f>
        <v/>
      </c>
    </row>
    <row r="16952" spans="1:7" ht="12" customHeight="1" outlineLevel="2" x14ac:dyDescent="0.2">
      <c r="A16952" s="14" t="s">
        <v>33359</v>
      </c>
      <c r="B16952" s="15" t="s">
        <v>33360</v>
      </c>
      <c r="C16952" s="16">
        <f>295.94/(1+B2)</f>
        <v>295.94</v>
      </c>
      <c r="D16952" s="17" t="s">
        <v>11</v>
      </c>
      <c r="E16952" s="17"/>
      <c r="F16952" s="18"/>
      <c r="G16952" s="36" t="str">
        <f>IF(ISNUMBER(F16952),C16952*F16952,"")</f>
        <v/>
      </c>
    </row>
    <row r="16953" spans="1:7" ht="12" customHeight="1" outlineLevel="2" x14ac:dyDescent="0.2">
      <c r="A16953" s="14" t="s">
        <v>33361</v>
      </c>
      <c r="B16953" s="15" t="s">
        <v>33362</v>
      </c>
      <c r="C16953" s="16">
        <f>139.23/(1+B2)</f>
        <v>139.22999999999999</v>
      </c>
      <c r="D16953" s="17" t="s">
        <v>11</v>
      </c>
      <c r="E16953" s="17"/>
      <c r="F16953" s="18"/>
      <c r="G16953" s="36" t="str">
        <f>IF(ISNUMBER(F16953),C16953*F16953,"")</f>
        <v/>
      </c>
    </row>
    <row r="16954" spans="1:7" ht="12" customHeight="1" outlineLevel="2" x14ac:dyDescent="0.2">
      <c r="A16954" s="14" t="s">
        <v>33363</v>
      </c>
      <c r="B16954" s="15" t="s">
        <v>33364</v>
      </c>
      <c r="C16954" s="16">
        <f>310.56/(1+B2)</f>
        <v>310.56</v>
      </c>
      <c r="D16954" s="17" t="s">
        <v>11</v>
      </c>
      <c r="E16954" s="17"/>
      <c r="F16954" s="18"/>
      <c r="G16954" s="36" t="str">
        <f>IF(ISNUMBER(F16954),C16954*F16954,"")</f>
        <v/>
      </c>
    </row>
    <row r="16955" spans="1:7" ht="12" customHeight="1" outlineLevel="2" x14ac:dyDescent="0.2">
      <c r="A16955" s="14" t="s">
        <v>33365</v>
      </c>
      <c r="B16955" s="15" t="s">
        <v>33366</v>
      </c>
      <c r="C16955" s="16">
        <f>197.56/(1+B2)</f>
        <v>197.56</v>
      </c>
      <c r="D16955" s="17" t="s">
        <v>11</v>
      </c>
      <c r="E16955" s="17"/>
      <c r="F16955" s="18"/>
      <c r="G16955" s="36" t="str">
        <f>IF(ISNUMBER(F16955),C16955*F16955,"")</f>
        <v/>
      </c>
    </row>
    <row r="16956" spans="1:7" ht="12" customHeight="1" outlineLevel="2" x14ac:dyDescent="0.2">
      <c r="A16956" s="14" t="s">
        <v>33367</v>
      </c>
      <c r="B16956" s="15" t="s">
        <v>33368</v>
      </c>
      <c r="C16956" s="16">
        <f>404.31/(1+B2)</f>
        <v>404.31</v>
      </c>
      <c r="D16956" s="17" t="s">
        <v>11</v>
      </c>
      <c r="E16956" s="17"/>
      <c r="F16956" s="18"/>
      <c r="G16956" s="36" t="str">
        <f>IF(ISNUMBER(F16956),C16956*F16956,"")</f>
        <v/>
      </c>
    </row>
    <row r="16957" spans="1:7" ht="12" customHeight="1" outlineLevel="2" x14ac:dyDescent="0.2">
      <c r="A16957" s="14" t="s">
        <v>33369</v>
      </c>
      <c r="B16957" s="15" t="s">
        <v>33370</v>
      </c>
      <c r="C16957" s="16">
        <f>341.79/(1+B2)</f>
        <v>341.79</v>
      </c>
      <c r="D16957" s="17" t="s">
        <v>11</v>
      </c>
      <c r="E16957" s="17"/>
      <c r="F16957" s="18"/>
      <c r="G16957" s="36" t="str">
        <f>IF(ISNUMBER(F16957),C16957*F16957,"")</f>
        <v/>
      </c>
    </row>
    <row r="16958" spans="1:7" ht="24" customHeight="1" outlineLevel="2" x14ac:dyDescent="0.2">
      <c r="A16958" s="14" t="s">
        <v>33371</v>
      </c>
      <c r="B16958" s="15" t="s">
        <v>33372</v>
      </c>
      <c r="C16958" s="16">
        <f>216.81/(1+B2)</f>
        <v>216.81</v>
      </c>
      <c r="D16958" s="17" t="s">
        <v>11</v>
      </c>
      <c r="E16958" s="17"/>
      <c r="F16958" s="18"/>
      <c r="G16958" s="36" t="str">
        <f>IF(ISNUMBER(F16958),C16958*F16958,"")</f>
        <v/>
      </c>
    </row>
    <row r="16959" spans="1:7" ht="24" customHeight="1" outlineLevel="2" x14ac:dyDescent="0.2">
      <c r="A16959" s="14" t="s">
        <v>33373</v>
      </c>
      <c r="B16959" s="15" t="s">
        <v>33374</v>
      </c>
      <c r="C16959" s="16">
        <f>373.05/(1+B2)</f>
        <v>373.05</v>
      </c>
      <c r="D16959" s="17" t="s">
        <v>11</v>
      </c>
      <c r="E16959" s="17"/>
      <c r="F16959" s="18"/>
      <c r="G16959" s="36" t="str">
        <f>IF(ISNUMBER(F16959),C16959*F16959,"")</f>
        <v/>
      </c>
    </row>
    <row r="16960" spans="1:7" ht="12" customHeight="1" outlineLevel="2" x14ac:dyDescent="0.2">
      <c r="A16960" s="14" t="s">
        <v>33375</v>
      </c>
      <c r="B16960" s="15" t="s">
        <v>33376</v>
      </c>
      <c r="C16960" s="16">
        <f>143.83/(1+B2)</f>
        <v>143.83000000000001</v>
      </c>
      <c r="D16960" s="17" t="s">
        <v>11</v>
      </c>
      <c r="E16960" s="17" t="s">
        <v>11</v>
      </c>
      <c r="F16960" s="18"/>
      <c r="G16960" s="36" t="str">
        <f>IF(ISNUMBER(F16960),C16960*F16960,"")</f>
        <v/>
      </c>
    </row>
    <row r="16961" spans="1:7" ht="12" customHeight="1" outlineLevel="2" x14ac:dyDescent="0.2">
      <c r="A16961" s="14" t="s">
        <v>33377</v>
      </c>
      <c r="B16961" s="15" t="s">
        <v>33378</v>
      </c>
      <c r="C16961" s="16">
        <f>221.95/(1+B2)</f>
        <v>221.95</v>
      </c>
      <c r="D16961" s="17" t="s">
        <v>11</v>
      </c>
      <c r="E16961" s="17" t="s">
        <v>11</v>
      </c>
      <c r="F16961" s="18"/>
      <c r="G16961" s="36" t="str">
        <f>IF(ISNUMBER(F16961),C16961*F16961,"")</f>
        <v/>
      </c>
    </row>
    <row r="16962" spans="1:7" ht="12" customHeight="1" outlineLevel="2" x14ac:dyDescent="0.2">
      <c r="A16962" s="14" t="s">
        <v>33379</v>
      </c>
      <c r="B16962" s="15" t="s">
        <v>33380</v>
      </c>
      <c r="C16962" s="16">
        <f>355.93/(1+B2)</f>
        <v>355.93</v>
      </c>
      <c r="D16962" s="17" t="s">
        <v>11</v>
      </c>
      <c r="E16962" s="17" t="s">
        <v>11</v>
      </c>
      <c r="F16962" s="18"/>
      <c r="G16962" s="36" t="str">
        <f>IF(ISNUMBER(F16962),C16962*F16962,"")</f>
        <v/>
      </c>
    </row>
    <row r="16963" spans="1:7" ht="12" customHeight="1" outlineLevel="2" x14ac:dyDescent="0.2">
      <c r="A16963" s="14" t="s">
        <v>33381</v>
      </c>
      <c r="B16963" s="15" t="s">
        <v>33382</v>
      </c>
      <c r="C16963" s="16">
        <f>279.3/(1+B2)</f>
        <v>279.3</v>
      </c>
      <c r="D16963" s="17" t="s">
        <v>11</v>
      </c>
      <c r="E16963" s="17"/>
      <c r="F16963" s="18"/>
      <c r="G16963" s="36" t="str">
        <f>IF(ISNUMBER(F16963),C16963*F16963,"")</f>
        <v/>
      </c>
    </row>
    <row r="16964" spans="1:7" ht="12" customHeight="1" outlineLevel="2" x14ac:dyDescent="0.2">
      <c r="A16964" s="14" t="s">
        <v>33383</v>
      </c>
      <c r="B16964" s="15" t="s">
        <v>33384</v>
      </c>
      <c r="C16964" s="16">
        <f>200.08/(1+B2)</f>
        <v>200.08</v>
      </c>
      <c r="D16964" s="17" t="s">
        <v>11</v>
      </c>
      <c r="E16964" s="17"/>
      <c r="F16964" s="18"/>
      <c r="G16964" s="36" t="str">
        <f>IF(ISNUMBER(F16964),C16964*F16964,"")</f>
        <v/>
      </c>
    </row>
    <row r="16965" spans="1:7" ht="12" customHeight="1" outlineLevel="2" x14ac:dyDescent="0.2">
      <c r="A16965" s="14" t="s">
        <v>33385</v>
      </c>
      <c r="B16965" s="15" t="s">
        <v>33386</v>
      </c>
      <c r="C16965" s="16">
        <f>295.94/(1+B2)</f>
        <v>295.94</v>
      </c>
      <c r="D16965" s="17" t="s">
        <v>11</v>
      </c>
      <c r="E16965" s="17"/>
      <c r="F16965" s="18"/>
      <c r="G16965" s="36" t="str">
        <f>IF(ISNUMBER(F16965),C16965*F16965,"")</f>
        <v/>
      </c>
    </row>
    <row r="16966" spans="1:7" ht="12" customHeight="1" outlineLevel="2" x14ac:dyDescent="0.2">
      <c r="A16966" s="14" t="s">
        <v>33387</v>
      </c>
      <c r="B16966" s="15" t="s">
        <v>33388</v>
      </c>
      <c r="C16966" s="16">
        <f>217.56/(1+B2)</f>
        <v>217.56</v>
      </c>
      <c r="D16966" s="17" t="s">
        <v>11</v>
      </c>
      <c r="E16966" s="17"/>
      <c r="F16966" s="18"/>
      <c r="G16966" s="36" t="str">
        <f>IF(ISNUMBER(F16966),C16966*F16966,"")</f>
        <v/>
      </c>
    </row>
    <row r="16967" spans="1:7" ht="12" customHeight="1" outlineLevel="2" x14ac:dyDescent="0.2">
      <c r="A16967" s="14" t="s">
        <v>33389</v>
      </c>
      <c r="B16967" s="15" t="s">
        <v>33390</v>
      </c>
      <c r="C16967" s="16">
        <f>15.31/(1+B2)</f>
        <v>15.31</v>
      </c>
      <c r="D16967" s="17" t="s">
        <v>14</v>
      </c>
      <c r="E16967" s="17"/>
      <c r="F16967" s="18"/>
      <c r="G16967" s="36" t="str">
        <f>IF(ISNUMBER(F16967),C16967*F16967,"")</f>
        <v/>
      </c>
    </row>
    <row r="16968" spans="1:7" ht="24" customHeight="1" outlineLevel="2" x14ac:dyDescent="0.2">
      <c r="A16968" s="14" t="s">
        <v>33391</v>
      </c>
      <c r="B16968" s="15" t="s">
        <v>33392</v>
      </c>
      <c r="C16968" s="16">
        <f>323.75/(1+B2)</f>
        <v>323.75</v>
      </c>
      <c r="D16968" s="17" t="s">
        <v>11</v>
      </c>
      <c r="E16968" s="17"/>
      <c r="F16968" s="18"/>
      <c r="G16968" s="36" t="str">
        <f>IF(ISNUMBER(F16968),C16968*F16968,"")</f>
        <v/>
      </c>
    </row>
    <row r="16969" spans="1:7" s="1" customFormat="1" ht="15.95" customHeight="1" outlineLevel="1" x14ac:dyDescent="0.25">
      <c r="A16969" s="11"/>
      <c r="B16969" s="12" t="s">
        <v>33393</v>
      </c>
      <c r="C16969" s="13"/>
      <c r="D16969" s="13"/>
      <c r="E16969" s="13"/>
      <c r="F16969" s="13"/>
      <c r="G16969" s="35"/>
    </row>
    <row r="16970" spans="1:7" ht="12" customHeight="1" outlineLevel="2" x14ac:dyDescent="0.2">
      <c r="A16970" s="14" t="s">
        <v>33394</v>
      </c>
      <c r="B16970" s="15" t="s">
        <v>33395</v>
      </c>
      <c r="C16970" s="16">
        <f>67/(1+B2)</f>
        <v>67</v>
      </c>
      <c r="D16970" s="17" t="s">
        <v>11</v>
      </c>
      <c r="E16970" s="17"/>
      <c r="F16970" s="18"/>
      <c r="G16970" s="36" t="str">
        <f>IF(ISNUMBER(F16970),C16970*F16970,"")</f>
        <v/>
      </c>
    </row>
    <row r="16971" spans="1:7" ht="12" customHeight="1" outlineLevel="2" x14ac:dyDescent="0.2">
      <c r="A16971" s="14" t="s">
        <v>33396</v>
      </c>
      <c r="B16971" s="15" t="s">
        <v>33397</v>
      </c>
      <c r="C16971" s="16">
        <f>282.89/(1+B2)</f>
        <v>282.89</v>
      </c>
      <c r="D16971" s="17" t="s">
        <v>11</v>
      </c>
      <c r="E16971" s="17"/>
      <c r="F16971" s="18"/>
      <c r="G16971" s="36" t="str">
        <f>IF(ISNUMBER(F16971),C16971*F16971,"")</f>
        <v/>
      </c>
    </row>
    <row r="16972" spans="1:7" ht="12" customHeight="1" outlineLevel="2" x14ac:dyDescent="0.2">
      <c r="A16972" s="14" t="s">
        <v>33398</v>
      </c>
      <c r="B16972" s="15" t="s">
        <v>33399</v>
      </c>
      <c r="C16972" s="16">
        <f>242.11/(1+B2)</f>
        <v>242.11</v>
      </c>
      <c r="D16972" s="17" t="s">
        <v>11</v>
      </c>
      <c r="E16972" s="17"/>
      <c r="F16972" s="18"/>
      <c r="G16972" s="36" t="str">
        <f>IF(ISNUMBER(F16972),C16972*F16972,"")</f>
        <v/>
      </c>
    </row>
    <row r="16973" spans="1:7" ht="12" customHeight="1" outlineLevel="2" x14ac:dyDescent="0.2">
      <c r="A16973" s="14" t="s">
        <v>33400</v>
      </c>
      <c r="B16973" s="15" t="s">
        <v>33401</v>
      </c>
      <c r="C16973" s="16">
        <f>104.01/(1+B2)</f>
        <v>104.01</v>
      </c>
      <c r="D16973" s="17" t="s">
        <v>14</v>
      </c>
      <c r="E16973" s="17"/>
      <c r="F16973" s="18"/>
      <c r="G16973" s="36" t="str">
        <f>IF(ISNUMBER(F16973),C16973*F16973,"")</f>
        <v/>
      </c>
    </row>
    <row r="16974" spans="1:7" ht="12" customHeight="1" outlineLevel="2" x14ac:dyDescent="0.2">
      <c r="A16974" s="14" t="s">
        <v>33402</v>
      </c>
      <c r="B16974" s="15" t="s">
        <v>33403</v>
      </c>
      <c r="C16974" s="16">
        <f>99.49/(1+B2)</f>
        <v>99.49</v>
      </c>
      <c r="D16974" s="17" t="s">
        <v>11</v>
      </c>
      <c r="E16974" s="17"/>
      <c r="F16974" s="18"/>
      <c r="G16974" s="36" t="str">
        <f>IF(ISNUMBER(F16974),C16974*F16974,"")</f>
        <v/>
      </c>
    </row>
    <row r="16975" spans="1:7" ht="12" customHeight="1" outlineLevel="2" x14ac:dyDescent="0.2">
      <c r="A16975" s="14" t="s">
        <v>33404</v>
      </c>
      <c r="B16975" s="15" t="s">
        <v>33405</v>
      </c>
      <c r="C16975" s="16">
        <f>53.97/(1+B2)</f>
        <v>53.97</v>
      </c>
      <c r="D16975" s="17" t="s">
        <v>11</v>
      </c>
      <c r="E16975" s="17"/>
      <c r="F16975" s="18"/>
      <c r="G16975" s="36" t="str">
        <f>IF(ISNUMBER(F16975),C16975*F16975,"")</f>
        <v/>
      </c>
    </row>
    <row r="16976" spans="1:7" ht="12" customHeight="1" outlineLevel="2" x14ac:dyDescent="0.2">
      <c r="A16976" s="14" t="s">
        <v>33406</v>
      </c>
      <c r="B16976" s="15" t="s">
        <v>33407</v>
      </c>
      <c r="C16976" s="16">
        <f>154.48/(1+B2)</f>
        <v>154.47999999999999</v>
      </c>
      <c r="D16976" s="17" t="s">
        <v>14</v>
      </c>
      <c r="E16976" s="17"/>
      <c r="F16976" s="18"/>
      <c r="G16976" s="36" t="str">
        <f>IF(ISNUMBER(F16976),C16976*F16976,"")</f>
        <v/>
      </c>
    </row>
    <row r="16977" spans="1:7" ht="12" customHeight="1" outlineLevel="2" x14ac:dyDescent="0.2">
      <c r="A16977" s="14" t="s">
        <v>33408</v>
      </c>
      <c r="B16977" s="15" t="s">
        <v>33409</v>
      </c>
      <c r="C16977" s="16">
        <f>237.52/(1+B2)</f>
        <v>237.52</v>
      </c>
      <c r="D16977" s="17" t="s">
        <v>11</v>
      </c>
      <c r="E16977" s="17" t="s">
        <v>11</v>
      </c>
      <c r="F16977" s="18"/>
      <c r="G16977" s="36" t="str">
        <f>IF(ISNUMBER(F16977),C16977*F16977,"")</f>
        <v/>
      </c>
    </row>
    <row r="16978" spans="1:7" ht="12" customHeight="1" outlineLevel="2" x14ac:dyDescent="0.2">
      <c r="A16978" s="14" t="s">
        <v>33410</v>
      </c>
      <c r="B16978" s="15" t="s">
        <v>33411</v>
      </c>
      <c r="C16978" s="16">
        <f>63.99/(1+B2)</f>
        <v>63.99</v>
      </c>
      <c r="D16978" s="17" t="s">
        <v>53</v>
      </c>
      <c r="E16978" s="17"/>
      <c r="F16978" s="18"/>
      <c r="G16978" s="36" t="str">
        <f>IF(ISNUMBER(F16978),C16978*F16978,"")</f>
        <v/>
      </c>
    </row>
    <row r="16979" spans="1:7" ht="24" customHeight="1" outlineLevel="2" x14ac:dyDescent="0.2">
      <c r="A16979" s="14" t="s">
        <v>33412</v>
      </c>
      <c r="B16979" s="15" t="s">
        <v>33413</v>
      </c>
      <c r="C16979" s="16">
        <f>76.65/(1+B2)</f>
        <v>76.650000000000006</v>
      </c>
      <c r="D16979" s="17" t="s">
        <v>11</v>
      </c>
      <c r="E16979" s="17"/>
      <c r="F16979" s="18"/>
      <c r="G16979" s="36" t="str">
        <f>IF(ISNUMBER(F16979),C16979*F16979,"")</f>
        <v/>
      </c>
    </row>
    <row r="16980" spans="1:7" ht="12" customHeight="1" outlineLevel="2" x14ac:dyDescent="0.2">
      <c r="A16980" s="14" t="s">
        <v>33414</v>
      </c>
      <c r="B16980" s="15" t="s">
        <v>33415</v>
      </c>
      <c r="C16980" s="16">
        <f>20.67/(1+B2)</f>
        <v>20.67</v>
      </c>
      <c r="D16980" s="17" t="s">
        <v>11</v>
      </c>
      <c r="E16980" s="17"/>
      <c r="F16980" s="18"/>
      <c r="G16980" s="36" t="str">
        <f>IF(ISNUMBER(F16980),C16980*F16980,"")</f>
        <v/>
      </c>
    </row>
    <row r="16981" spans="1:7" ht="12" customHeight="1" outlineLevel="2" x14ac:dyDescent="0.2">
      <c r="A16981" s="14" t="s">
        <v>33416</v>
      </c>
      <c r="B16981" s="15" t="s">
        <v>33417</v>
      </c>
      <c r="C16981" s="16">
        <f>100.07/(1+B2)</f>
        <v>100.07</v>
      </c>
      <c r="D16981" s="17" t="s">
        <v>11</v>
      </c>
      <c r="E16981" s="17"/>
      <c r="F16981" s="18"/>
      <c r="G16981" s="36" t="str">
        <f>IF(ISNUMBER(F16981),C16981*F16981,"")</f>
        <v/>
      </c>
    </row>
    <row r="16982" spans="1:7" ht="12" customHeight="1" outlineLevel="2" x14ac:dyDescent="0.2">
      <c r="A16982" s="14" t="s">
        <v>33418</v>
      </c>
      <c r="B16982" s="15" t="s">
        <v>33419</v>
      </c>
      <c r="C16982" s="16">
        <f>77.15/(1+B2)</f>
        <v>77.150000000000006</v>
      </c>
      <c r="D16982" s="17" t="s">
        <v>53</v>
      </c>
      <c r="E16982" s="17"/>
      <c r="F16982" s="18"/>
      <c r="G16982" s="36" t="str">
        <f>IF(ISNUMBER(F16982),C16982*F16982,"")</f>
        <v/>
      </c>
    </row>
    <row r="16983" spans="1:7" ht="12" customHeight="1" outlineLevel="2" x14ac:dyDescent="0.2">
      <c r="A16983" s="14" t="s">
        <v>33420</v>
      </c>
      <c r="B16983" s="15" t="s">
        <v>33421</v>
      </c>
      <c r="C16983" s="16">
        <f>39.15/(1+B2)</f>
        <v>39.15</v>
      </c>
      <c r="D16983" s="17" t="s">
        <v>14</v>
      </c>
      <c r="E16983" s="17"/>
      <c r="F16983" s="18"/>
      <c r="G16983" s="36" t="str">
        <f>IF(ISNUMBER(F16983),C16983*F16983,"")</f>
        <v/>
      </c>
    </row>
    <row r="16984" spans="1:7" ht="12" customHeight="1" outlineLevel="2" x14ac:dyDescent="0.2">
      <c r="A16984" s="14" t="s">
        <v>33422</v>
      </c>
      <c r="B16984" s="15" t="s">
        <v>33423</v>
      </c>
      <c r="C16984" s="16">
        <f>140.4/(1+B2)</f>
        <v>140.4</v>
      </c>
      <c r="D16984" s="17" t="s">
        <v>11</v>
      </c>
      <c r="E16984" s="17"/>
      <c r="F16984" s="18"/>
      <c r="G16984" s="36" t="str">
        <f>IF(ISNUMBER(F16984),C16984*F16984,"")</f>
        <v/>
      </c>
    </row>
    <row r="16985" spans="1:7" ht="12" customHeight="1" outlineLevel="2" x14ac:dyDescent="0.2">
      <c r="A16985" s="14" t="s">
        <v>33424</v>
      </c>
      <c r="B16985" s="15" t="s">
        <v>33425</v>
      </c>
      <c r="C16985" s="16">
        <f>79.43/(1+B2)</f>
        <v>79.430000000000007</v>
      </c>
      <c r="D16985" s="17" t="s">
        <v>11</v>
      </c>
      <c r="E16985" s="17" t="s">
        <v>11</v>
      </c>
      <c r="F16985" s="18"/>
      <c r="G16985" s="36" t="str">
        <f>IF(ISNUMBER(F16985),C16985*F16985,"")</f>
        <v/>
      </c>
    </row>
    <row r="16986" spans="1:7" ht="12" customHeight="1" outlineLevel="2" x14ac:dyDescent="0.2">
      <c r="A16986" s="14" t="s">
        <v>33426</v>
      </c>
      <c r="B16986" s="15" t="s">
        <v>33427</v>
      </c>
      <c r="C16986" s="16">
        <f>45.67/(1+B2)</f>
        <v>45.67</v>
      </c>
      <c r="D16986" s="17" t="s">
        <v>11</v>
      </c>
      <c r="E16986" s="17" t="s">
        <v>14</v>
      </c>
      <c r="F16986" s="18"/>
      <c r="G16986" s="36" t="str">
        <f>IF(ISNUMBER(F16986),C16986*F16986,"")</f>
        <v/>
      </c>
    </row>
    <row r="16987" spans="1:7" ht="12" customHeight="1" outlineLevel="2" x14ac:dyDescent="0.2">
      <c r="A16987" s="14" t="s">
        <v>33428</v>
      </c>
      <c r="B16987" s="15" t="s">
        <v>33429</v>
      </c>
      <c r="C16987" s="16">
        <f>20.04/(1+B2)</f>
        <v>20.04</v>
      </c>
      <c r="D16987" s="17" t="s">
        <v>11</v>
      </c>
      <c r="E16987" s="17" t="s">
        <v>53</v>
      </c>
      <c r="F16987" s="18"/>
      <c r="G16987" s="36" t="str">
        <f>IF(ISNUMBER(F16987),C16987*F16987,"")</f>
        <v/>
      </c>
    </row>
    <row r="16988" spans="1:7" ht="24" customHeight="1" outlineLevel="2" x14ac:dyDescent="0.2">
      <c r="A16988" s="14" t="s">
        <v>33430</v>
      </c>
      <c r="B16988" s="15" t="s">
        <v>33431</v>
      </c>
      <c r="C16988" s="16">
        <f>206.24/(1+B2)</f>
        <v>206.24</v>
      </c>
      <c r="D16988" s="17" t="s">
        <v>11</v>
      </c>
      <c r="E16988" s="17" t="s">
        <v>14</v>
      </c>
      <c r="F16988" s="18"/>
      <c r="G16988" s="36" t="str">
        <f>IF(ISNUMBER(F16988),C16988*F16988,"")</f>
        <v/>
      </c>
    </row>
    <row r="16989" spans="1:7" ht="12" customHeight="1" outlineLevel="2" x14ac:dyDescent="0.2">
      <c r="A16989" s="14" t="s">
        <v>33432</v>
      </c>
      <c r="B16989" s="15" t="s">
        <v>33433</v>
      </c>
      <c r="C16989" s="16">
        <f>21.79/(1+B2)</f>
        <v>21.79</v>
      </c>
      <c r="D16989" s="17" t="s">
        <v>11</v>
      </c>
      <c r="E16989" s="17"/>
      <c r="F16989" s="18"/>
      <c r="G16989" s="36" t="str">
        <f>IF(ISNUMBER(F16989),C16989*F16989,"")</f>
        <v/>
      </c>
    </row>
    <row r="16990" spans="1:7" ht="12" customHeight="1" outlineLevel="2" x14ac:dyDescent="0.2">
      <c r="A16990" s="14" t="s">
        <v>33434</v>
      </c>
      <c r="B16990" s="15" t="s">
        <v>33435</v>
      </c>
      <c r="C16990" s="16">
        <f>81.01/(1+B2)</f>
        <v>81.010000000000005</v>
      </c>
      <c r="D16990" s="17" t="s">
        <v>53</v>
      </c>
      <c r="E16990" s="17"/>
      <c r="F16990" s="18"/>
      <c r="G16990" s="36" t="str">
        <f>IF(ISNUMBER(F16990),C16990*F16990,"")</f>
        <v/>
      </c>
    </row>
    <row r="16991" spans="1:7" ht="12" customHeight="1" outlineLevel="2" x14ac:dyDescent="0.2">
      <c r="A16991" s="14" t="s">
        <v>33436</v>
      </c>
      <c r="B16991" s="15" t="s">
        <v>33437</v>
      </c>
      <c r="C16991" s="16">
        <f>36.99/(1+B2)</f>
        <v>36.99</v>
      </c>
      <c r="D16991" s="17" t="s">
        <v>11</v>
      </c>
      <c r="E16991" s="17"/>
      <c r="F16991" s="18"/>
      <c r="G16991" s="36" t="str">
        <f>IF(ISNUMBER(F16991),C16991*F16991,"")</f>
        <v/>
      </c>
    </row>
    <row r="16992" spans="1:7" ht="12" customHeight="1" outlineLevel="2" x14ac:dyDescent="0.2">
      <c r="A16992" s="14" t="s">
        <v>33438</v>
      </c>
      <c r="B16992" s="15" t="s">
        <v>33439</v>
      </c>
      <c r="C16992" s="16">
        <f>99.9/(1+B2)</f>
        <v>99.9</v>
      </c>
      <c r="D16992" s="17" t="s">
        <v>11</v>
      </c>
      <c r="E16992" s="17"/>
      <c r="F16992" s="18"/>
      <c r="G16992" s="36" t="str">
        <f>IF(ISNUMBER(F16992),C16992*F16992,"")</f>
        <v/>
      </c>
    </row>
    <row r="16993" spans="1:7" ht="12" customHeight="1" outlineLevel="2" x14ac:dyDescent="0.2">
      <c r="A16993" s="14" t="s">
        <v>33440</v>
      </c>
      <c r="B16993" s="15" t="s">
        <v>33441</v>
      </c>
      <c r="C16993" s="16">
        <f>77.87/(1+B2)</f>
        <v>77.87</v>
      </c>
      <c r="D16993" s="17" t="s">
        <v>11</v>
      </c>
      <c r="E16993" s="17"/>
      <c r="F16993" s="18"/>
      <c r="G16993" s="36" t="str">
        <f>IF(ISNUMBER(F16993),C16993*F16993,"")</f>
        <v/>
      </c>
    </row>
    <row r="16994" spans="1:7" ht="12" customHeight="1" outlineLevel="2" x14ac:dyDescent="0.2">
      <c r="A16994" s="14" t="s">
        <v>33442</v>
      </c>
      <c r="B16994" s="15" t="s">
        <v>33443</v>
      </c>
      <c r="C16994" s="16">
        <f>220.56/(1+B2)</f>
        <v>220.56</v>
      </c>
      <c r="D16994" s="17" t="s">
        <v>11</v>
      </c>
      <c r="E16994" s="17"/>
      <c r="F16994" s="18"/>
      <c r="G16994" s="36" t="str">
        <f>IF(ISNUMBER(F16994),C16994*F16994,"")</f>
        <v/>
      </c>
    </row>
    <row r="16995" spans="1:7" ht="12" customHeight="1" outlineLevel="2" x14ac:dyDescent="0.2">
      <c r="A16995" s="14" t="s">
        <v>33444</v>
      </c>
      <c r="B16995" s="15" t="s">
        <v>33445</v>
      </c>
      <c r="C16995" s="16">
        <f>216.81/(1+B2)</f>
        <v>216.81</v>
      </c>
      <c r="D16995" s="17" t="s">
        <v>11</v>
      </c>
      <c r="E16995" s="17"/>
      <c r="F16995" s="18"/>
      <c r="G16995" s="36" t="str">
        <f>IF(ISNUMBER(F16995),C16995*F16995,"")</f>
        <v/>
      </c>
    </row>
    <row r="16996" spans="1:7" ht="12" customHeight="1" outlineLevel="2" x14ac:dyDescent="0.2">
      <c r="A16996" s="14" t="s">
        <v>33446</v>
      </c>
      <c r="B16996" s="15" t="s">
        <v>33447</v>
      </c>
      <c r="C16996" s="16">
        <f>29.84/(1+B2)</f>
        <v>29.84</v>
      </c>
      <c r="D16996" s="17" t="s">
        <v>106</v>
      </c>
      <c r="E16996" s="17" t="s">
        <v>14</v>
      </c>
      <c r="F16996" s="18"/>
      <c r="G16996" s="36" t="str">
        <f>IF(ISNUMBER(F16996),C16996*F16996,"")</f>
        <v/>
      </c>
    </row>
    <row r="16997" spans="1:7" ht="12" customHeight="1" outlineLevel="2" x14ac:dyDescent="0.2">
      <c r="A16997" s="14" t="s">
        <v>33448</v>
      </c>
      <c r="B16997" s="15" t="s">
        <v>33449</v>
      </c>
      <c r="C16997" s="16">
        <f>42.67/(1+B2)</f>
        <v>42.67</v>
      </c>
      <c r="D16997" s="17" t="s">
        <v>53</v>
      </c>
      <c r="E16997" s="17" t="s">
        <v>53</v>
      </c>
      <c r="F16997" s="18"/>
      <c r="G16997" s="36" t="str">
        <f>IF(ISNUMBER(F16997),C16997*F16997,"")</f>
        <v/>
      </c>
    </row>
    <row r="16998" spans="1:7" ht="12" customHeight="1" outlineLevel="2" x14ac:dyDescent="0.2">
      <c r="A16998" s="14" t="s">
        <v>33450</v>
      </c>
      <c r="B16998" s="15" t="s">
        <v>33451</v>
      </c>
      <c r="C16998" s="16">
        <f>164.47/(1+B2)</f>
        <v>164.47</v>
      </c>
      <c r="D16998" s="17" t="s">
        <v>11</v>
      </c>
      <c r="E16998" s="17"/>
      <c r="F16998" s="18"/>
      <c r="G16998" s="36" t="str">
        <f>IF(ISNUMBER(F16998),C16998*F16998,"")</f>
        <v/>
      </c>
    </row>
    <row r="16999" spans="1:7" ht="12" customHeight="1" outlineLevel="2" x14ac:dyDescent="0.2">
      <c r="A16999" s="14" t="s">
        <v>33452</v>
      </c>
      <c r="B16999" s="15" t="s">
        <v>33453</v>
      </c>
      <c r="C16999" s="16">
        <f>142.74/(1+B2)</f>
        <v>142.74</v>
      </c>
      <c r="D16999" s="17" t="s">
        <v>11</v>
      </c>
      <c r="E16999" s="17" t="s">
        <v>11</v>
      </c>
      <c r="F16999" s="18"/>
      <c r="G16999" s="36" t="str">
        <f>IF(ISNUMBER(F16999),C16999*F16999,"")</f>
        <v/>
      </c>
    </row>
    <row r="17000" spans="1:7" ht="12" customHeight="1" outlineLevel="2" x14ac:dyDescent="0.2">
      <c r="A17000" s="14" t="s">
        <v>33454</v>
      </c>
      <c r="B17000" s="15" t="s">
        <v>33455</v>
      </c>
      <c r="C17000" s="16">
        <f>270.53/(1+B2)</f>
        <v>270.52999999999997</v>
      </c>
      <c r="D17000" s="17" t="s">
        <v>11</v>
      </c>
      <c r="E17000" s="17" t="s">
        <v>11</v>
      </c>
      <c r="F17000" s="18"/>
      <c r="G17000" s="36" t="str">
        <f>IF(ISNUMBER(F17000),C17000*F17000,"")</f>
        <v/>
      </c>
    </row>
    <row r="17001" spans="1:7" ht="12" customHeight="1" outlineLevel="2" x14ac:dyDescent="0.2">
      <c r="A17001" s="14" t="s">
        <v>33456</v>
      </c>
      <c r="B17001" s="15" t="s">
        <v>33457</v>
      </c>
      <c r="C17001" s="16">
        <f>263.69/(1+B2)</f>
        <v>263.69</v>
      </c>
      <c r="D17001" s="17" t="s">
        <v>11</v>
      </c>
      <c r="E17001" s="17"/>
      <c r="F17001" s="18"/>
      <c r="G17001" s="36" t="str">
        <f>IF(ISNUMBER(F17001),C17001*F17001,"")</f>
        <v/>
      </c>
    </row>
    <row r="17002" spans="1:7" ht="12" customHeight="1" outlineLevel="2" x14ac:dyDescent="0.2">
      <c r="A17002" s="14" t="s">
        <v>33458</v>
      </c>
      <c r="B17002" s="15" t="s">
        <v>33459</v>
      </c>
      <c r="C17002" s="16">
        <f>10.26/(1+B2)</f>
        <v>10.26</v>
      </c>
      <c r="D17002" s="17" t="s">
        <v>11</v>
      </c>
      <c r="E17002" s="17"/>
      <c r="F17002" s="18"/>
      <c r="G17002" s="36" t="str">
        <f>IF(ISNUMBER(F17002),C17002*F17002,"")</f>
        <v/>
      </c>
    </row>
    <row r="17003" spans="1:7" ht="12" customHeight="1" outlineLevel="2" x14ac:dyDescent="0.2">
      <c r="A17003" s="14" t="s">
        <v>33460</v>
      </c>
      <c r="B17003" s="15" t="s">
        <v>33461</v>
      </c>
      <c r="C17003" s="16">
        <f>15.39/(1+B2)</f>
        <v>15.39</v>
      </c>
      <c r="D17003" s="17" t="s">
        <v>11</v>
      </c>
      <c r="E17003" s="17" t="s">
        <v>14</v>
      </c>
      <c r="F17003" s="18"/>
      <c r="G17003" s="36" t="str">
        <f>IF(ISNUMBER(F17003),C17003*F17003,"")</f>
        <v/>
      </c>
    </row>
    <row r="17004" spans="1:7" ht="12" customHeight="1" outlineLevel="2" x14ac:dyDescent="0.2">
      <c r="A17004" s="14" t="s">
        <v>33462</v>
      </c>
      <c r="B17004" s="15" t="s">
        <v>33463</v>
      </c>
      <c r="C17004" s="16">
        <f>84.51/(1+B2)</f>
        <v>84.51</v>
      </c>
      <c r="D17004" s="17" t="s">
        <v>14</v>
      </c>
      <c r="E17004" s="17"/>
      <c r="F17004" s="18"/>
      <c r="G17004" s="36" t="str">
        <f>IF(ISNUMBER(F17004),C17004*F17004,"")</f>
        <v/>
      </c>
    </row>
    <row r="17005" spans="1:7" ht="12" customHeight="1" outlineLevel="2" x14ac:dyDescent="0.2">
      <c r="A17005" s="14" t="s">
        <v>33464</v>
      </c>
      <c r="B17005" s="15" t="s">
        <v>33465</v>
      </c>
      <c r="C17005" s="16">
        <f>279.3/(1+B2)</f>
        <v>279.3</v>
      </c>
      <c r="D17005" s="17" t="s">
        <v>11</v>
      </c>
      <c r="E17005" s="17"/>
      <c r="F17005" s="18"/>
      <c r="G17005" s="36" t="str">
        <f>IF(ISNUMBER(F17005),C17005*F17005,"")</f>
        <v/>
      </c>
    </row>
    <row r="17006" spans="1:7" ht="12" customHeight="1" outlineLevel="2" x14ac:dyDescent="0.2">
      <c r="A17006" s="14" t="s">
        <v>33466</v>
      </c>
      <c r="B17006" s="15" t="s">
        <v>33467</v>
      </c>
      <c r="C17006" s="16">
        <f>103.44/(1+B2)</f>
        <v>103.44</v>
      </c>
      <c r="D17006" s="17" t="s">
        <v>11</v>
      </c>
      <c r="E17006" s="17"/>
      <c r="F17006" s="18"/>
      <c r="G17006" s="36" t="str">
        <f>IF(ISNUMBER(F17006),C17006*F17006,"")</f>
        <v/>
      </c>
    </row>
    <row r="17007" spans="1:7" ht="12" customHeight="1" outlineLevel="2" x14ac:dyDescent="0.2">
      <c r="A17007" s="14" t="s">
        <v>33468</v>
      </c>
      <c r="B17007" s="15" t="s">
        <v>33469</v>
      </c>
      <c r="C17007" s="16">
        <f>148.45/(1+B2)</f>
        <v>148.44999999999999</v>
      </c>
      <c r="D17007" s="17" t="s">
        <v>11</v>
      </c>
      <c r="E17007" s="17" t="s">
        <v>11</v>
      </c>
      <c r="F17007" s="18"/>
      <c r="G17007" s="36" t="str">
        <f>IF(ISNUMBER(F17007),C17007*F17007,"")</f>
        <v/>
      </c>
    </row>
    <row r="17008" spans="1:7" ht="12" customHeight="1" outlineLevel="2" x14ac:dyDescent="0.2">
      <c r="A17008" s="14" t="s">
        <v>33470</v>
      </c>
      <c r="B17008" s="15" t="s">
        <v>33471</v>
      </c>
      <c r="C17008" s="16">
        <f>139.18/(1+B2)</f>
        <v>139.18</v>
      </c>
      <c r="D17008" s="17" t="s">
        <v>11</v>
      </c>
      <c r="E17008" s="17"/>
      <c r="F17008" s="18"/>
      <c r="G17008" s="36" t="str">
        <f>IF(ISNUMBER(F17008),C17008*F17008,"")</f>
        <v/>
      </c>
    </row>
    <row r="17009" spans="1:7" ht="12" customHeight="1" outlineLevel="2" x14ac:dyDescent="0.2">
      <c r="A17009" s="14" t="s">
        <v>33472</v>
      </c>
      <c r="B17009" s="15" t="s">
        <v>33473</v>
      </c>
      <c r="C17009" s="16">
        <f>60.53/(1+B2)</f>
        <v>60.53</v>
      </c>
      <c r="D17009" s="17" t="s">
        <v>11</v>
      </c>
      <c r="E17009" s="17" t="s">
        <v>11</v>
      </c>
      <c r="F17009" s="18"/>
      <c r="G17009" s="36" t="str">
        <f>IF(ISNUMBER(F17009),C17009*F17009,"")</f>
        <v/>
      </c>
    </row>
    <row r="17010" spans="1:7" ht="12" customHeight="1" outlineLevel="2" x14ac:dyDescent="0.2">
      <c r="A17010" s="14" t="s">
        <v>33474</v>
      </c>
      <c r="B17010" s="15" t="s">
        <v>33475</v>
      </c>
      <c r="C17010" s="16">
        <f>15.77/(1+B2)</f>
        <v>15.77</v>
      </c>
      <c r="D17010" s="17" t="s">
        <v>53</v>
      </c>
      <c r="E17010" s="17" t="s">
        <v>14</v>
      </c>
      <c r="F17010" s="18"/>
      <c r="G17010" s="36" t="str">
        <f>IF(ISNUMBER(F17010),C17010*F17010,"")</f>
        <v/>
      </c>
    </row>
    <row r="17011" spans="1:7" ht="12" customHeight="1" outlineLevel="2" x14ac:dyDescent="0.2">
      <c r="A17011" s="14" t="s">
        <v>33476</v>
      </c>
      <c r="B17011" s="15" t="s">
        <v>33477</v>
      </c>
      <c r="C17011" s="16">
        <f>82.58/(1+B2)</f>
        <v>82.58</v>
      </c>
      <c r="D17011" s="17" t="s">
        <v>14</v>
      </c>
      <c r="E17011" s="17"/>
      <c r="F17011" s="18"/>
      <c r="G17011" s="36" t="str">
        <f>IF(ISNUMBER(F17011),C17011*F17011,"")</f>
        <v/>
      </c>
    </row>
    <row r="17012" spans="1:7" ht="12" customHeight="1" outlineLevel="2" x14ac:dyDescent="0.2">
      <c r="A17012" s="14" t="s">
        <v>33478</v>
      </c>
      <c r="B17012" s="15" t="s">
        <v>33479</v>
      </c>
      <c r="C17012" s="16">
        <f>144.45/(1+B2)</f>
        <v>144.44999999999999</v>
      </c>
      <c r="D17012" s="17" t="s">
        <v>11</v>
      </c>
      <c r="E17012" s="17"/>
      <c r="F17012" s="18"/>
      <c r="G17012" s="36" t="str">
        <f>IF(ISNUMBER(F17012),C17012*F17012,"")</f>
        <v/>
      </c>
    </row>
    <row r="17013" spans="1:7" ht="12" customHeight="1" outlineLevel="2" x14ac:dyDescent="0.2">
      <c r="A17013" s="14" t="s">
        <v>33480</v>
      </c>
      <c r="B17013" s="15" t="s">
        <v>33481</v>
      </c>
      <c r="C17013" s="16">
        <f>50.88/(1+B2)</f>
        <v>50.88</v>
      </c>
      <c r="D17013" s="17" t="s">
        <v>11</v>
      </c>
      <c r="E17013" s="17"/>
      <c r="F17013" s="18"/>
      <c r="G17013" s="36" t="str">
        <f>IF(ISNUMBER(F17013),C17013*F17013,"")</f>
        <v/>
      </c>
    </row>
    <row r="17014" spans="1:7" ht="12" customHeight="1" outlineLevel="2" x14ac:dyDescent="0.2">
      <c r="A17014" s="14" t="s">
        <v>33482</v>
      </c>
      <c r="B17014" s="15" t="s">
        <v>33483</v>
      </c>
      <c r="C17014" s="16">
        <f>55.93/(1+B2)</f>
        <v>55.93</v>
      </c>
      <c r="D17014" s="17" t="s">
        <v>11</v>
      </c>
      <c r="E17014" s="17" t="s">
        <v>14</v>
      </c>
      <c r="F17014" s="18"/>
      <c r="G17014" s="36" t="str">
        <f>IF(ISNUMBER(F17014),C17014*F17014,"")</f>
        <v/>
      </c>
    </row>
    <row r="17015" spans="1:7" ht="24" customHeight="1" outlineLevel="2" x14ac:dyDescent="0.2">
      <c r="A17015" s="14" t="s">
        <v>33484</v>
      </c>
      <c r="B17015" s="15" t="s">
        <v>33485</v>
      </c>
      <c r="C17015" s="16">
        <f>53.68/(1+B2)</f>
        <v>53.68</v>
      </c>
      <c r="D17015" s="17" t="s">
        <v>11</v>
      </c>
      <c r="E17015" s="17" t="s">
        <v>11</v>
      </c>
      <c r="F17015" s="18"/>
      <c r="G17015" s="36" t="str">
        <f>IF(ISNUMBER(F17015),C17015*F17015,"")</f>
        <v/>
      </c>
    </row>
    <row r="17016" spans="1:7" ht="12" customHeight="1" outlineLevel="2" x14ac:dyDescent="0.2">
      <c r="A17016" s="14" t="s">
        <v>33486</v>
      </c>
      <c r="B17016" s="15" t="s">
        <v>33487</v>
      </c>
      <c r="C17016" s="16">
        <f>169.94/(1+B2)</f>
        <v>169.94</v>
      </c>
      <c r="D17016" s="17" t="s">
        <v>14</v>
      </c>
      <c r="E17016" s="17"/>
      <c r="F17016" s="18"/>
      <c r="G17016" s="36" t="str">
        <f>IF(ISNUMBER(F17016),C17016*F17016,"")</f>
        <v/>
      </c>
    </row>
    <row r="17017" spans="1:7" ht="12" customHeight="1" outlineLevel="2" x14ac:dyDescent="0.2">
      <c r="A17017" s="14" t="s">
        <v>33488</v>
      </c>
      <c r="B17017" s="15" t="s">
        <v>33489</v>
      </c>
      <c r="C17017" s="16">
        <f>48.08/(1+B2)</f>
        <v>48.08</v>
      </c>
      <c r="D17017" s="17" t="s">
        <v>53</v>
      </c>
      <c r="E17017" s="17"/>
      <c r="F17017" s="18"/>
      <c r="G17017" s="36" t="str">
        <f>IF(ISNUMBER(F17017),C17017*F17017,"")</f>
        <v/>
      </c>
    </row>
    <row r="17018" spans="1:7" s="1" customFormat="1" ht="15.95" customHeight="1" outlineLevel="1" x14ac:dyDescent="0.25">
      <c r="A17018" s="11"/>
      <c r="B17018" s="12" t="s">
        <v>33490</v>
      </c>
      <c r="C17018" s="13"/>
      <c r="D17018" s="13"/>
      <c r="E17018" s="13"/>
      <c r="F17018" s="13"/>
      <c r="G17018" s="35"/>
    </row>
    <row r="17019" spans="1:7" ht="12" customHeight="1" outlineLevel="2" x14ac:dyDescent="0.2">
      <c r="A17019" s="14" t="s">
        <v>33491</v>
      </c>
      <c r="B17019" s="15" t="s">
        <v>33492</v>
      </c>
      <c r="C17019" s="16">
        <f>124.99/(1+B2)</f>
        <v>124.99</v>
      </c>
      <c r="D17019" s="17" t="s">
        <v>14</v>
      </c>
      <c r="E17019" s="17"/>
      <c r="F17019" s="18"/>
      <c r="G17019" s="36" t="str">
        <f>IF(ISNUMBER(F17019),C17019*F17019,"")</f>
        <v/>
      </c>
    </row>
    <row r="17020" spans="1:7" ht="12" customHeight="1" outlineLevel="2" x14ac:dyDescent="0.2">
      <c r="A17020" s="14" t="s">
        <v>33493</v>
      </c>
      <c r="B17020" s="15" t="s">
        <v>33494</v>
      </c>
      <c r="C17020" s="16">
        <f>143.41/(1+B2)</f>
        <v>143.41</v>
      </c>
      <c r="D17020" s="17" t="s">
        <v>11</v>
      </c>
      <c r="E17020" s="17"/>
      <c r="F17020" s="18"/>
      <c r="G17020" s="36" t="str">
        <f>IF(ISNUMBER(F17020),C17020*F17020,"")</f>
        <v/>
      </c>
    </row>
    <row r="17021" spans="1:7" ht="12" customHeight="1" outlineLevel="2" x14ac:dyDescent="0.2">
      <c r="A17021" s="14" t="s">
        <v>33495</v>
      </c>
      <c r="B17021" s="15" t="s">
        <v>33496</v>
      </c>
      <c r="C17021" s="16">
        <f>155.32/(1+B2)</f>
        <v>155.32</v>
      </c>
      <c r="D17021" s="17" t="s">
        <v>11</v>
      </c>
      <c r="E17021" s="17"/>
      <c r="F17021" s="18"/>
      <c r="G17021" s="36" t="str">
        <f>IF(ISNUMBER(F17021),C17021*F17021,"")</f>
        <v/>
      </c>
    </row>
    <row r="17022" spans="1:7" ht="24" customHeight="1" outlineLevel="2" x14ac:dyDescent="0.2">
      <c r="A17022" s="14" t="s">
        <v>33497</v>
      </c>
      <c r="B17022" s="15" t="s">
        <v>33498</v>
      </c>
      <c r="C17022" s="16">
        <f>188.96/(1+B2)</f>
        <v>188.96</v>
      </c>
      <c r="D17022" s="17" t="s">
        <v>11</v>
      </c>
      <c r="E17022" s="17"/>
      <c r="F17022" s="18"/>
      <c r="G17022" s="36" t="str">
        <f>IF(ISNUMBER(F17022),C17022*F17022,"")</f>
        <v/>
      </c>
    </row>
    <row r="17023" spans="1:7" ht="24" customHeight="1" outlineLevel="2" x14ac:dyDescent="0.2">
      <c r="A17023" s="14" t="s">
        <v>33499</v>
      </c>
      <c r="B17023" s="15" t="s">
        <v>33500</v>
      </c>
      <c r="C17023" s="16">
        <f>273.95/(1+B2)</f>
        <v>273.95</v>
      </c>
      <c r="D17023" s="17" t="s">
        <v>11</v>
      </c>
      <c r="E17023" s="17"/>
      <c r="F17023" s="18"/>
      <c r="G17023" s="36" t="str">
        <f>IF(ISNUMBER(F17023),C17023*F17023,"")</f>
        <v/>
      </c>
    </row>
    <row r="17024" spans="1:7" ht="12" customHeight="1" outlineLevel="2" x14ac:dyDescent="0.2">
      <c r="A17024" s="14" t="s">
        <v>33501</v>
      </c>
      <c r="B17024" s="15" t="s">
        <v>33502</v>
      </c>
      <c r="C17024" s="16">
        <f>181.57/(1+B2)</f>
        <v>181.57</v>
      </c>
      <c r="D17024" s="17" t="s">
        <v>11</v>
      </c>
      <c r="E17024" s="17"/>
      <c r="F17024" s="18"/>
      <c r="G17024" s="36" t="str">
        <f>IF(ISNUMBER(F17024),C17024*F17024,"")</f>
        <v/>
      </c>
    </row>
    <row r="17025" spans="1:7" ht="12" customHeight="1" outlineLevel="2" x14ac:dyDescent="0.2">
      <c r="A17025" s="14" t="s">
        <v>33503</v>
      </c>
      <c r="B17025" s="15" t="s">
        <v>33504</v>
      </c>
      <c r="C17025" s="16">
        <f>331.16/(1+B2)</f>
        <v>331.16</v>
      </c>
      <c r="D17025" s="17" t="s">
        <v>11</v>
      </c>
      <c r="E17025" s="17"/>
      <c r="F17025" s="18"/>
      <c r="G17025" s="36" t="str">
        <f>IF(ISNUMBER(F17025),C17025*F17025,"")</f>
        <v/>
      </c>
    </row>
    <row r="17026" spans="1:7" ht="12" customHeight="1" outlineLevel="2" x14ac:dyDescent="0.2">
      <c r="A17026" s="14" t="s">
        <v>33505</v>
      </c>
      <c r="B17026" s="15" t="s">
        <v>33506</v>
      </c>
      <c r="C17026" s="16">
        <f>130.18/(1+B2)</f>
        <v>130.18</v>
      </c>
      <c r="D17026" s="17" t="s">
        <v>11</v>
      </c>
      <c r="E17026" s="17"/>
      <c r="F17026" s="18"/>
      <c r="G17026" s="36" t="str">
        <f>IF(ISNUMBER(F17026),C17026*F17026,"")</f>
        <v/>
      </c>
    </row>
    <row r="17027" spans="1:7" ht="12" customHeight="1" outlineLevel="2" x14ac:dyDescent="0.2">
      <c r="A17027" s="14" t="s">
        <v>33507</v>
      </c>
      <c r="B17027" s="15" t="s">
        <v>33508</v>
      </c>
      <c r="C17027" s="16">
        <f>242.53/(1+B2)</f>
        <v>242.53</v>
      </c>
      <c r="D17027" s="17" t="s">
        <v>11</v>
      </c>
      <c r="E17027" s="17" t="s">
        <v>11</v>
      </c>
      <c r="F17027" s="18"/>
      <c r="G17027" s="36" t="str">
        <f>IF(ISNUMBER(F17027),C17027*F17027,"")</f>
        <v/>
      </c>
    </row>
    <row r="17028" spans="1:7" ht="12" customHeight="1" outlineLevel="2" x14ac:dyDescent="0.2">
      <c r="A17028" s="14" t="s">
        <v>33509</v>
      </c>
      <c r="B17028" s="15" t="s">
        <v>33510</v>
      </c>
      <c r="C17028" s="16">
        <f>211.26/(1+B2)</f>
        <v>211.26</v>
      </c>
      <c r="D17028" s="17" t="s">
        <v>11</v>
      </c>
      <c r="E17028" s="17"/>
      <c r="F17028" s="18"/>
      <c r="G17028" s="36" t="str">
        <f>IF(ISNUMBER(F17028),C17028*F17028,"")</f>
        <v/>
      </c>
    </row>
    <row r="17029" spans="1:7" ht="12" customHeight="1" outlineLevel="2" x14ac:dyDescent="0.2">
      <c r="A17029" s="14" t="s">
        <v>33511</v>
      </c>
      <c r="B17029" s="15" t="s">
        <v>33512</v>
      </c>
      <c r="C17029" s="16">
        <f>97.07/(1+B2)</f>
        <v>97.07</v>
      </c>
      <c r="D17029" s="17" t="s">
        <v>11</v>
      </c>
      <c r="E17029" s="17" t="s">
        <v>11</v>
      </c>
      <c r="F17029" s="18"/>
      <c r="G17029" s="36" t="str">
        <f>IF(ISNUMBER(F17029),C17029*F17029,"")</f>
        <v/>
      </c>
    </row>
    <row r="17030" spans="1:7" ht="12" customHeight="1" outlineLevel="2" x14ac:dyDescent="0.2">
      <c r="A17030" s="14" t="s">
        <v>33513</v>
      </c>
      <c r="B17030" s="15" t="s">
        <v>33514</v>
      </c>
      <c r="C17030" s="16">
        <f>117.88/(1+B2)</f>
        <v>117.88</v>
      </c>
      <c r="D17030" s="17" t="s">
        <v>11</v>
      </c>
      <c r="E17030" s="17"/>
      <c r="F17030" s="18"/>
      <c r="G17030" s="36" t="str">
        <f>IF(ISNUMBER(F17030),C17030*F17030,"")</f>
        <v/>
      </c>
    </row>
    <row r="17031" spans="1:7" ht="24" customHeight="1" outlineLevel="2" x14ac:dyDescent="0.2">
      <c r="A17031" s="14" t="s">
        <v>33515</v>
      </c>
      <c r="B17031" s="15" t="s">
        <v>33516</v>
      </c>
      <c r="C17031" s="16">
        <f>246.26/(1+B2)</f>
        <v>246.26</v>
      </c>
      <c r="D17031" s="17" t="s">
        <v>11</v>
      </c>
      <c r="E17031" s="17"/>
      <c r="F17031" s="18"/>
      <c r="G17031" s="36" t="str">
        <f>IF(ISNUMBER(F17031),C17031*F17031,"")</f>
        <v/>
      </c>
    </row>
    <row r="17032" spans="1:7" ht="12" customHeight="1" outlineLevel="2" x14ac:dyDescent="0.2">
      <c r="A17032" s="14" t="s">
        <v>33517</v>
      </c>
      <c r="B17032" s="15" t="s">
        <v>33518</v>
      </c>
      <c r="C17032" s="16">
        <f>152.02/(1+B2)</f>
        <v>152.02000000000001</v>
      </c>
      <c r="D17032" s="17" t="s">
        <v>11</v>
      </c>
      <c r="E17032" s="17" t="s">
        <v>11</v>
      </c>
      <c r="F17032" s="18"/>
      <c r="G17032" s="36" t="str">
        <f>IF(ISNUMBER(F17032),C17032*F17032,"")</f>
        <v/>
      </c>
    </row>
    <row r="17033" spans="1:7" ht="12" customHeight="1" outlineLevel="2" x14ac:dyDescent="0.2">
      <c r="A17033" s="14" t="s">
        <v>33519</v>
      </c>
      <c r="B17033" s="15" t="s">
        <v>33520</v>
      </c>
      <c r="C17033" s="16">
        <f>94.74/(1+B2)</f>
        <v>94.74</v>
      </c>
      <c r="D17033" s="17" t="s">
        <v>11</v>
      </c>
      <c r="E17033" s="17" t="s">
        <v>11</v>
      </c>
      <c r="F17033" s="18"/>
      <c r="G17033" s="36" t="str">
        <f>IF(ISNUMBER(F17033),C17033*F17033,"")</f>
        <v/>
      </c>
    </row>
    <row r="17034" spans="1:7" ht="12" customHeight="1" outlineLevel="2" x14ac:dyDescent="0.2">
      <c r="A17034" s="14" t="s">
        <v>33521</v>
      </c>
      <c r="B17034" s="15" t="s">
        <v>33522</v>
      </c>
      <c r="C17034" s="16">
        <f>63.89/(1+B2)</f>
        <v>63.89</v>
      </c>
      <c r="D17034" s="17" t="s">
        <v>11</v>
      </c>
      <c r="E17034" s="17" t="s">
        <v>11</v>
      </c>
      <c r="F17034" s="18"/>
      <c r="G17034" s="36" t="str">
        <f>IF(ISNUMBER(F17034),C17034*F17034,"")</f>
        <v/>
      </c>
    </row>
    <row r="17035" spans="1:7" ht="12" customHeight="1" outlineLevel="2" x14ac:dyDescent="0.2">
      <c r="A17035" s="14" t="s">
        <v>33523</v>
      </c>
      <c r="B17035" s="15" t="s">
        <v>33524</v>
      </c>
      <c r="C17035" s="16">
        <f>52.63/(1+B2)</f>
        <v>52.63</v>
      </c>
      <c r="D17035" s="17" t="s">
        <v>11</v>
      </c>
      <c r="E17035" s="17"/>
      <c r="F17035" s="18"/>
      <c r="G17035" s="36" t="str">
        <f>IF(ISNUMBER(F17035),C17035*F17035,"")</f>
        <v/>
      </c>
    </row>
    <row r="17036" spans="1:7" ht="12" customHeight="1" outlineLevel="2" x14ac:dyDescent="0.2">
      <c r="A17036" s="14" t="s">
        <v>33525</v>
      </c>
      <c r="B17036" s="15" t="s">
        <v>33526</v>
      </c>
      <c r="C17036" s="16">
        <f>124.99/(1+B2)</f>
        <v>124.99</v>
      </c>
      <c r="D17036" s="17" t="s">
        <v>11</v>
      </c>
      <c r="E17036" s="17" t="s">
        <v>11</v>
      </c>
      <c r="F17036" s="18"/>
      <c r="G17036" s="36" t="str">
        <f>IF(ISNUMBER(F17036),C17036*F17036,"")</f>
        <v/>
      </c>
    </row>
    <row r="17037" spans="1:7" ht="12" customHeight="1" outlineLevel="2" x14ac:dyDescent="0.2">
      <c r="A17037" s="14" t="s">
        <v>33527</v>
      </c>
      <c r="B17037" s="15" t="s">
        <v>33528</v>
      </c>
      <c r="C17037" s="16">
        <f>70.5/(1+B2)</f>
        <v>70.5</v>
      </c>
      <c r="D17037" s="17" t="s">
        <v>11</v>
      </c>
      <c r="E17037" s="17"/>
      <c r="F17037" s="18"/>
      <c r="G17037" s="36" t="str">
        <f>IF(ISNUMBER(F17037),C17037*F17037,"")</f>
        <v/>
      </c>
    </row>
    <row r="17038" spans="1:7" ht="12" customHeight="1" outlineLevel="2" x14ac:dyDescent="0.2">
      <c r="A17038" s="14" t="s">
        <v>33529</v>
      </c>
      <c r="B17038" s="15" t="s">
        <v>33530</v>
      </c>
      <c r="C17038" s="16">
        <f>309.07/(1+B2)</f>
        <v>309.07</v>
      </c>
      <c r="D17038" s="17" t="s">
        <v>11</v>
      </c>
      <c r="E17038" s="17"/>
      <c r="F17038" s="18"/>
      <c r="G17038" s="36" t="str">
        <f>IF(ISNUMBER(F17038),C17038*F17038,"")</f>
        <v/>
      </c>
    </row>
    <row r="17039" spans="1:7" ht="12" customHeight="1" outlineLevel="2" x14ac:dyDescent="0.2">
      <c r="A17039" s="14" t="s">
        <v>33531</v>
      </c>
      <c r="B17039" s="15" t="s">
        <v>33532</v>
      </c>
      <c r="C17039" s="16">
        <f>238.62/(1+B2)</f>
        <v>238.62</v>
      </c>
      <c r="D17039" s="17" t="s">
        <v>11</v>
      </c>
      <c r="E17039" s="17"/>
      <c r="F17039" s="18"/>
      <c r="G17039" s="36" t="str">
        <f>IF(ISNUMBER(F17039),C17039*F17039,"")</f>
        <v/>
      </c>
    </row>
    <row r="17040" spans="1:7" ht="12" customHeight="1" outlineLevel="2" x14ac:dyDescent="0.2">
      <c r="A17040" s="14" t="s">
        <v>33533</v>
      </c>
      <c r="B17040" s="15" t="s">
        <v>33534</v>
      </c>
      <c r="C17040" s="16">
        <f>225.36/(1+B2)</f>
        <v>225.36</v>
      </c>
      <c r="D17040" s="17" t="s">
        <v>11</v>
      </c>
      <c r="E17040" s="17"/>
      <c r="F17040" s="18"/>
      <c r="G17040" s="36" t="str">
        <f>IF(ISNUMBER(F17040),C17040*F17040,"")</f>
        <v/>
      </c>
    </row>
    <row r="17041" spans="1:7" ht="12" customHeight="1" outlineLevel="2" x14ac:dyDescent="0.2">
      <c r="A17041" s="14" t="s">
        <v>33535</v>
      </c>
      <c r="B17041" s="15" t="s">
        <v>33536</v>
      </c>
      <c r="C17041" s="16">
        <f>209.6/(1+B2)</f>
        <v>209.6</v>
      </c>
      <c r="D17041" s="17" t="s">
        <v>14</v>
      </c>
      <c r="E17041" s="17"/>
      <c r="F17041" s="18"/>
      <c r="G17041" s="36" t="str">
        <f>IF(ISNUMBER(F17041),C17041*F17041,"")</f>
        <v/>
      </c>
    </row>
    <row r="17042" spans="1:7" ht="12" customHeight="1" outlineLevel="2" x14ac:dyDescent="0.2">
      <c r="A17042" s="14" t="s">
        <v>33537</v>
      </c>
      <c r="B17042" s="15" t="s">
        <v>33538</v>
      </c>
      <c r="C17042" s="16">
        <f>305.21/(1+B2)</f>
        <v>305.20999999999998</v>
      </c>
      <c r="D17042" s="17" t="s">
        <v>11</v>
      </c>
      <c r="E17042" s="17"/>
      <c r="F17042" s="18"/>
      <c r="G17042" s="36" t="str">
        <f>IF(ISNUMBER(F17042),C17042*F17042,"")</f>
        <v/>
      </c>
    </row>
    <row r="17043" spans="1:7" ht="24" customHeight="1" outlineLevel="2" x14ac:dyDescent="0.2">
      <c r="A17043" s="14" t="s">
        <v>33539</v>
      </c>
      <c r="B17043" s="15" t="s">
        <v>33540</v>
      </c>
      <c r="C17043" s="16">
        <f>225.36/(1+B2)</f>
        <v>225.36</v>
      </c>
      <c r="D17043" s="17" t="s">
        <v>11</v>
      </c>
      <c r="E17043" s="17"/>
      <c r="F17043" s="18"/>
      <c r="G17043" s="36" t="str">
        <f>IF(ISNUMBER(F17043),C17043*F17043,"")</f>
        <v/>
      </c>
    </row>
    <row r="17044" spans="1:7" ht="24" customHeight="1" outlineLevel="2" x14ac:dyDescent="0.2">
      <c r="A17044" s="14" t="s">
        <v>33541</v>
      </c>
      <c r="B17044" s="15" t="s">
        <v>33542</v>
      </c>
      <c r="C17044" s="16">
        <f>125.18/(1+B2)</f>
        <v>125.18</v>
      </c>
      <c r="D17044" s="17" t="s">
        <v>11</v>
      </c>
      <c r="E17044" s="17"/>
      <c r="F17044" s="18"/>
      <c r="G17044" s="36" t="str">
        <f>IF(ISNUMBER(F17044),C17044*F17044,"")</f>
        <v/>
      </c>
    </row>
    <row r="17045" spans="1:7" ht="12" customHeight="1" outlineLevel="2" x14ac:dyDescent="0.2">
      <c r="A17045" s="14" t="s">
        <v>33543</v>
      </c>
      <c r="B17045" s="15" t="s">
        <v>33544</v>
      </c>
      <c r="C17045" s="16">
        <f>72.3/(1+B2)</f>
        <v>72.3</v>
      </c>
      <c r="D17045" s="17" t="s">
        <v>11</v>
      </c>
      <c r="E17045" s="17"/>
      <c r="F17045" s="18"/>
      <c r="G17045" s="36" t="str">
        <f>IF(ISNUMBER(F17045),C17045*F17045,"")</f>
        <v/>
      </c>
    </row>
    <row r="17046" spans="1:7" ht="12" customHeight="1" outlineLevel="2" x14ac:dyDescent="0.2">
      <c r="A17046" s="14" t="s">
        <v>33545</v>
      </c>
      <c r="B17046" s="15" t="s">
        <v>33546</v>
      </c>
      <c r="C17046" s="16">
        <f>60.6/(1+B2)</f>
        <v>60.6</v>
      </c>
      <c r="D17046" s="17" t="s">
        <v>11</v>
      </c>
      <c r="E17046" s="17"/>
      <c r="F17046" s="18"/>
      <c r="G17046" s="36" t="str">
        <f>IF(ISNUMBER(F17046),C17046*F17046,"")</f>
        <v/>
      </c>
    </row>
    <row r="17047" spans="1:7" ht="12" customHeight="1" outlineLevel="2" x14ac:dyDescent="0.2">
      <c r="A17047" s="14" t="s">
        <v>33547</v>
      </c>
      <c r="B17047" s="15" t="s">
        <v>33548</v>
      </c>
      <c r="C17047" s="16">
        <f>72.3/(1+B2)</f>
        <v>72.3</v>
      </c>
      <c r="D17047" s="17" t="s">
        <v>11</v>
      </c>
      <c r="E17047" s="17"/>
      <c r="F17047" s="18"/>
      <c r="G17047" s="36" t="str">
        <f>IF(ISNUMBER(F17047),C17047*F17047,"")</f>
        <v/>
      </c>
    </row>
    <row r="17048" spans="1:7" ht="12" customHeight="1" outlineLevel="2" x14ac:dyDescent="0.2">
      <c r="A17048" s="14" t="s">
        <v>33549</v>
      </c>
      <c r="B17048" s="15" t="s">
        <v>33550</v>
      </c>
      <c r="C17048" s="16">
        <f>116.06/(1+B2)</f>
        <v>116.06</v>
      </c>
      <c r="D17048" s="17" t="s">
        <v>11</v>
      </c>
      <c r="E17048" s="17"/>
      <c r="F17048" s="18"/>
      <c r="G17048" s="36" t="str">
        <f>IF(ISNUMBER(F17048),C17048*F17048,"")</f>
        <v/>
      </c>
    </row>
    <row r="17049" spans="1:7" ht="12" customHeight="1" outlineLevel="2" x14ac:dyDescent="0.2">
      <c r="A17049" s="14" t="s">
        <v>33551</v>
      </c>
      <c r="B17049" s="15" t="s">
        <v>33552</v>
      </c>
      <c r="C17049" s="16">
        <f>101.28/(1+B2)</f>
        <v>101.28</v>
      </c>
      <c r="D17049" s="17" t="s">
        <v>11</v>
      </c>
      <c r="E17049" s="17"/>
      <c r="F17049" s="18"/>
      <c r="G17049" s="36" t="str">
        <f>IF(ISNUMBER(F17049),C17049*F17049,"")</f>
        <v/>
      </c>
    </row>
    <row r="17050" spans="1:7" ht="12" customHeight="1" outlineLevel="2" x14ac:dyDescent="0.2">
      <c r="A17050" s="14" t="s">
        <v>33553</v>
      </c>
      <c r="B17050" s="15" t="s">
        <v>33554</v>
      </c>
      <c r="C17050" s="16">
        <f>83.29/(1+B2)</f>
        <v>83.29</v>
      </c>
      <c r="D17050" s="17" t="s">
        <v>14</v>
      </c>
      <c r="E17050" s="17"/>
      <c r="F17050" s="18"/>
      <c r="G17050" s="36" t="str">
        <f>IF(ISNUMBER(F17050),C17050*F17050,"")</f>
        <v/>
      </c>
    </row>
    <row r="17051" spans="1:7" ht="12" customHeight="1" outlineLevel="2" x14ac:dyDescent="0.2">
      <c r="A17051" s="14" t="s">
        <v>33555</v>
      </c>
      <c r="B17051" s="15" t="s">
        <v>33556</v>
      </c>
      <c r="C17051" s="16">
        <f>126.2/(1+B2)</f>
        <v>126.2</v>
      </c>
      <c r="D17051" s="17" t="s">
        <v>11</v>
      </c>
      <c r="E17051" s="17"/>
      <c r="F17051" s="18"/>
      <c r="G17051" s="36" t="str">
        <f>IF(ISNUMBER(F17051),C17051*F17051,"")</f>
        <v/>
      </c>
    </row>
    <row r="17052" spans="1:7" ht="12" customHeight="1" outlineLevel="2" x14ac:dyDescent="0.2">
      <c r="A17052" s="14" t="s">
        <v>33557</v>
      </c>
      <c r="B17052" s="15" t="s">
        <v>33558</v>
      </c>
      <c r="C17052" s="16">
        <f>208.5/(1+B2)</f>
        <v>208.5</v>
      </c>
      <c r="D17052" s="17" t="s">
        <v>11</v>
      </c>
      <c r="E17052" s="17" t="s">
        <v>53</v>
      </c>
      <c r="F17052" s="18"/>
      <c r="G17052" s="36" t="str">
        <f>IF(ISNUMBER(F17052),C17052*F17052,"")</f>
        <v/>
      </c>
    </row>
    <row r="17053" spans="1:7" ht="12" customHeight="1" outlineLevel="2" x14ac:dyDescent="0.2">
      <c r="A17053" s="14" t="s">
        <v>33559</v>
      </c>
      <c r="B17053" s="15" t="s">
        <v>33560</v>
      </c>
      <c r="C17053" s="16">
        <f>144.66/(1+B2)</f>
        <v>144.66</v>
      </c>
      <c r="D17053" s="17" t="s">
        <v>14</v>
      </c>
      <c r="E17053" s="17"/>
      <c r="F17053" s="18"/>
      <c r="G17053" s="36" t="str">
        <f>IF(ISNUMBER(F17053),C17053*F17053,"")</f>
        <v/>
      </c>
    </row>
    <row r="17054" spans="1:7" ht="12" customHeight="1" outlineLevel="2" x14ac:dyDescent="0.2">
      <c r="A17054" s="14" t="s">
        <v>33561</v>
      </c>
      <c r="B17054" s="15" t="s">
        <v>33562</v>
      </c>
      <c r="C17054" s="16">
        <f>85.4/(1+B2)</f>
        <v>85.4</v>
      </c>
      <c r="D17054" s="17" t="s">
        <v>11</v>
      </c>
      <c r="E17054" s="17" t="s">
        <v>11</v>
      </c>
      <c r="F17054" s="18"/>
      <c r="G17054" s="36" t="str">
        <f>IF(ISNUMBER(F17054),C17054*F17054,"")</f>
        <v/>
      </c>
    </row>
    <row r="17055" spans="1:7" ht="12" customHeight="1" outlineLevel="2" x14ac:dyDescent="0.2">
      <c r="A17055" s="14" t="s">
        <v>33563</v>
      </c>
      <c r="B17055" s="15" t="s">
        <v>33564</v>
      </c>
      <c r="C17055" s="16">
        <f>282.16/(1+B2)</f>
        <v>282.16000000000003</v>
      </c>
      <c r="D17055" s="17" t="s">
        <v>11</v>
      </c>
      <c r="E17055" s="17"/>
      <c r="F17055" s="18"/>
      <c r="G17055" s="36" t="str">
        <f>IF(ISNUMBER(F17055),C17055*F17055,"")</f>
        <v/>
      </c>
    </row>
    <row r="17056" spans="1:7" ht="12" customHeight="1" outlineLevel="2" x14ac:dyDescent="0.2">
      <c r="A17056" s="14" t="s">
        <v>33565</v>
      </c>
      <c r="B17056" s="15" t="s">
        <v>33566</v>
      </c>
      <c r="C17056" s="16">
        <f>155.3/(1+B2)</f>
        <v>155.30000000000001</v>
      </c>
      <c r="D17056" s="17" t="s">
        <v>11</v>
      </c>
      <c r="E17056" s="17" t="s">
        <v>11</v>
      </c>
      <c r="F17056" s="18"/>
      <c r="G17056" s="36" t="str">
        <f>IF(ISNUMBER(F17056),C17056*F17056,"")</f>
        <v/>
      </c>
    </row>
    <row r="17057" spans="1:7" ht="12" customHeight="1" outlineLevel="2" x14ac:dyDescent="0.2">
      <c r="A17057" s="14" t="s">
        <v>33567</v>
      </c>
      <c r="B17057" s="15" t="s">
        <v>33568</v>
      </c>
      <c r="C17057" s="16">
        <f>303.2/(1+B2)</f>
        <v>303.2</v>
      </c>
      <c r="D17057" s="17" t="s">
        <v>11</v>
      </c>
      <c r="E17057" s="17"/>
      <c r="F17057" s="18"/>
      <c r="G17057" s="36" t="str">
        <f>IF(ISNUMBER(F17057),C17057*F17057,"")</f>
        <v/>
      </c>
    </row>
    <row r="17058" spans="1:7" ht="12" customHeight="1" outlineLevel="2" x14ac:dyDescent="0.2">
      <c r="A17058" s="14" t="s">
        <v>33569</v>
      </c>
      <c r="B17058" s="15" t="s">
        <v>33570</v>
      </c>
      <c r="C17058" s="16">
        <f>327.62/(1+B2)</f>
        <v>327.62</v>
      </c>
      <c r="D17058" s="17" t="s">
        <v>11</v>
      </c>
      <c r="E17058" s="17"/>
      <c r="F17058" s="18"/>
      <c r="G17058" s="36" t="str">
        <f>IF(ISNUMBER(F17058),C17058*F17058,"")</f>
        <v/>
      </c>
    </row>
    <row r="17059" spans="1:7" ht="12" customHeight="1" outlineLevel="2" x14ac:dyDescent="0.2">
      <c r="A17059" s="14" t="s">
        <v>33571</v>
      </c>
      <c r="B17059" s="15" t="s">
        <v>33572</v>
      </c>
      <c r="C17059" s="16">
        <f>50.48/(1+B2)</f>
        <v>50.48</v>
      </c>
      <c r="D17059" s="17" t="s">
        <v>11</v>
      </c>
      <c r="E17059" s="17"/>
      <c r="F17059" s="18"/>
      <c r="G17059" s="36" t="str">
        <f>IF(ISNUMBER(F17059),C17059*F17059,"")</f>
        <v/>
      </c>
    </row>
    <row r="17060" spans="1:7" ht="12" customHeight="1" outlineLevel="2" x14ac:dyDescent="0.2">
      <c r="A17060" s="14" t="s">
        <v>33573</v>
      </c>
      <c r="B17060" s="15" t="s">
        <v>33574</v>
      </c>
      <c r="C17060" s="16">
        <f>155.82/(1+B2)</f>
        <v>155.82</v>
      </c>
      <c r="D17060" s="17" t="s">
        <v>11</v>
      </c>
      <c r="E17060" s="17"/>
      <c r="F17060" s="18"/>
      <c r="G17060" s="36" t="str">
        <f>IF(ISNUMBER(F17060),C17060*F17060,"")</f>
        <v/>
      </c>
    </row>
    <row r="17061" spans="1:7" ht="12" customHeight="1" outlineLevel="2" x14ac:dyDescent="0.2">
      <c r="A17061" s="14" t="s">
        <v>33575</v>
      </c>
      <c r="B17061" s="15" t="s">
        <v>33576</v>
      </c>
      <c r="C17061" s="16">
        <f>51.31/(1+B2)</f>
        <v>51.31</v>
      </c>
      <c r="D17061" s="17" t="s">
        <v>14</v>
      </c>
      <c r="E17061" s="17"/>
      <c r="F17061" s="18"/>
      <c r="G17061" s="36" t="str">
        <f>IF(ISNUMBER(F17061),C17061*F17061,"")</f>
        <v/>
      </c>
    </row>
    <row r="17062" spans="1:7" ht="12" customHeight="1" outlineLevel="2" x14ac:dyDescent="0.2">
      <c r="A17062" s="14" t="s">
        <v>33577</v>
      </c>
      <c r="B17062" s="15" t="s">
        <v>33578</v>
      </c>
      <c r="C17062" s="16">
        <f>44.46/(1+B2)</f>
        <v>44.46</v>
      </c>
      <c r="D17062" s="17" t="s">
        <v>11</v>
      </c>
      <c r="E17062" s="17" t="s">
        <v>14</v>
      </c>
      <c r="F17062" s="18"/>
      <c r="G17062" s="36" t="str">
        <f>IF(ISNUMBER(F17062),C17062*F17062,"")</f>
        <v/>
      </c>
    </row>
    <row r="17063" spans="1:7" ht="12" customHeight="1" outlineLevel="2" x14ac:dyDescent="0.2">
      <c r="A17063" s="14" t="s">
        <v>33579</v>
      </c>
      <c r="B17063" s="15" t="s">
        <v>33580</v>
      </c>
      <c r="C17063" s="16">
        <f>53.98/(1+B2)</f>
        <v>53.98</v>
      </c>
      <c r="D17063" s="17" t="s">
        <v>14</v>
      </c>
      <c r="E17063" s="17"/>
      <c r="F17063" s="18"/>
      <c r="G17063" s="36" t="str">
        <f>IF(ISNUMBER(F17063),C17063*F17063,"")</f>
        <v/>
      </c>
    </row>
    <row r="17064" spans="1:7" ht="12" customHeight="1" outlineLevel="2" x14ac:dyDescent="0.2">
      <c r="A17064" s="14" t="s">
        <v>33581</v>
      </c>
      <c r="B17064" s="15" t="s">
        <v>33582</v>
      </c>
      <c r="C17064" s="16">
        <f>266.25/(1+B2)</f>
        <v>266.25</v>
      </c>
      <c r="D17064" s="17" t="s">
        <v>11</v>
      </c>
      <c r="E17064" s="17"/>
      <c r="F17064" s="18"/>
      <c r="G17064" s="36" t="str">
        <f>IF(ISNUMBER(F17064),C17064*F17064,"")</f>
        <v/>
      </c>
    </row>
    <row r="17065" spans="1:7" ht="12" customHeight="1" outlineLevel="2" x14ac:dyDescent="0.2">
      <c r="A17065" s="14" t="s">
        <v>33583</v>
      </c>
      <c r="B17065" s="15" t="s">
        <v>33584</v>
      </c>
      <c r="C17065" s="16">
        <f>213.03/(1+B2)</f>
        <v>213.03</v>
      </c>
      <c r="D17065" s="17" t="s">
        <v>11</v>
      </c>
      <c r="E17065" s="17"/>
      <c r="F17065" s="18"/>
      <c r="G17065" s="36" t="str">
        <f>IF(ISNUMBER(F17065),C17065*F17065,"")</f>
        <v/>
      </c>
    </row>
    <row r="17066" spans="1:7" ht="12" customHeight="1" outlineLevel="2" x14ac:dyDescent="0.2">
      <c r="A17066" s="14" t="s">
        <v>33585</v>
      </c>
      <c r="B17066" s="15" t="s">
        <v>33586</v>
      </c>
      <c r="C17066" s="16">
        <f>64.81/(1+B2)</f>
        <v>64.81</v>
      </c>
      <c r="D17066" s="17" t="s">
        <v>14</v>
      </c>
      <c r="E17066" s="17"/>
      <c r="F17066" s="18"/>
      <c r="G17066" s="36" t="str">
        <f>IF(ISNUMBER(F17066),C17066*F17066,"")</f>
        <v/>
      </c>
    </row>
    <row r="17067" spans="1:7" ht="12" customHeight="1" outlineLevel="2" x14ac:dyDescent="0.2">
      <c r="A17067" s="14" t="s">
        <v>33587</v>
      </c>
      <c r="B17067" s="15" t="s">
        <v>33588</v>
      </c>
      <c r="C17067" s="16">
        <f>94.18/(1+B2)</f>
        <v>94.18</v>
      </c>
      <c r="D17067" s="17" t="s">
        <v>14</v>
      </c>
      <c r="E17067" s="17"/>
      <c r="F17067" s="18"/>
      <c r="G17067" s="36" t="str">
        <f>IF(ISNUMBER(F17067),C17067*F17067,"")</f>
        <v/>
      </c>
    </row>
    <row r="17068" spans="1:7" ht="12" customHeight="1" outlineLevel="2" x14ac:dyDescent="0.2">
      <c r="A17068" s="14" t="s">
        <v>33589</v>
      </c>
      <c r="B17068" s="15" t="s">
        <v>33590</v>
      </c>
      <c r="C17068" s="16">
        <f>111.23/(1+B2)</f>
        <v>111.23</v>
      </c>
      <c r="D17068" s="17" t="s">
        <v>53</v>
      </c>
      <c r="E17068" s="17"/>
      <c r="F17068" s="18"/>
      <c r="G17068" s="36" t="str">
        <f>IF(ISNUMBER(F17068),C17068*F17068,"")</f>
        <v/>
      </c>
    </row>
    <row r="17069" spans="1:7" ht="12" customHeight="1" outlineLevel="2" x14ac:dyDescent="0.2">
      <c r="A17069" s="14" t="s">
        <v>33591</v>
      </c>
      <c r="B17069" s="15" t="s">
        <v>33592</v>
      </c>
      <c r="C17069" s="16">
        <f>195.15/(1+B2)</f>
        <v>195.15</v>
      </c>
      <c r="D17069" s="17" t="s">
        <v>11</v>
      </c>
      <c r="E17069" s="17"/>
      <c r="F17069" s="18"/>
      <c r="G17069" s="36" t="str">
        <f>IF(ISNUMBER(F17069),C17069*F17069,"")</f>
        <v/>
      </c>
    </row>
    <row r="17070" spans="1:7" ht="12" customHeight="1" outlineLevel="2" x14ac:dyDescent="0.2">
      <c r="A17070" s="14" t="s">
        <v>33593</v>
      </c>
      <c r="B17070" s="15" t="s">
        <v>33594</v>
      </c>
      <c r="C17070" s="16">
        <f>114.04/(1+B2)</f>
        <v>114.04</v>
      </c>
      <c r="D17070" s="17" t="s">
        <v>11</v>
      </c>
      <c r="E17070" s="17"/>
      <c r="F17070" s="18"/>
      <c r="G17070" s="36" t="str">
        <f>IF(ISNUMBER(F17070),C17070*F17070,"")</f>
        <v/>
      </c>
    </row>
    <row r="17071" spans="1:7" ht="12" customHeight="1" outlineLevel="2" x14ac:dyDescent="0.2">
      <c r="A17071" s="14" t="s">
        <v>33595</v>
      </c>
      <c r="B17071" s="15" t="s">
        <v>33596</v>
      </c>
      <c r="C17071" s="16">
        <f>56.33/(1+B2)</f>
        <v>56.33</v>
      </c>
      <c r="D17071" s="17" t="s">
        <v>11</v>
      </c>
      <c r="E17071" s="17"/>
      <c r="F17071" s="18"/>
      <c r="G17071" s="36" t="str">
        <f>IF(ISNUMBER(F17071),C17071*F17071,"")</f>
        <v/>
      </c>
    </row>
    <row r="17072" spans="1:7" ht="12" customHeight="1" outlineLevel="2" x14ac:dyDescent="0.2">
      <c r="A17072" s="14" t="s">
        <v>33597</v>
      </c>
      <c r="B17072" s="15" t="s">
        <v>33598</v>
      </c>
      <c r="C17072" s="16">
        <f>162.51/(1+B2)</f>
        <v>162.51</v>
      </c>
      <c r="D17072" s="17" t="s">
        <v>53</v>
      </c>
      <c r="E17072" s="17"/>
      <c r="F17072" s="18"/>
      <c r="G17072" s="36" t="str">
        <f>IF(ISNUMBER(F17072),C17072*F17072,"")</f>
        <v/>
      </c>
    </row>
    <row r="17073" spans="1:7" ht="12" customHeight="1" outlineLevel="2" x14ac:dyDescent="0.2">
      <c r="A17073" s="14" t="s">
        <v>33599</v>
      </c>
      <c r="B17073" s="15" t="s">
        <v>33600</v>
      </c>
      <c r="C17073" s="16">
        <f>65.69/(1+B2)</f>
        <v>65.69</v>
      </c>
      <c r="D17073" s="17" t="s">
        <v>53</v>
      </c>
      <c r="E17073" s="17"/>
      <c r="F17073" s="18"/>
      <c r="G17073" s="36" t="str">
        <f>IF(ISNUMBER(F17073),C17073*F17073,"")</f>
        <v/>
      </c>
    </row>
    <row r="17074" spans="1:7" ht="12" customHeight="1" outlineLevel="2" x14ac:dyDescent="0.2">
      <c r="A17074" s="14" t="s">
        <v>33601</v>
      </c>
      <c r="B17074" s="15" t="s">
        <v>33602</v>
      </c>
      <c r="C17074" s="16">
        <f>76.01/(1+B2)</f>
        <v>76.010000000000005</v>
      </c>
      <c r="D17074" s="17" t="s">
        <v>11</v>
      </c>
      <c r="E17074" s="17" t="s">
        <v>11</v>
      </c>
      <c r="F17074" s="18"/>
      <c r="G17074" s="36" t="str">
        <f>IF(ISNUMBER(F17074),C17074*F17074,"")</f>
        <v/>
      </c>
    </row>
    <row r="17075" spans="1:7" ht="12" customHeight="1" outlineLevel="2" x14ac:dyDescent="0.2">
      <c r="A17075" s="14" t="s">
        <v>33603</v>
      </c>
      <c r="B17075" s="15" t="s">
        <v>33604</v>
      </c>
      <c r="C17075" s="16">
        <f>33.12/(1+B2)</f>
        <v>33.119999999999997</v>
      </c>
      <c r="D17075" s="17" t="s">
        <v>11</v>
      </c>
      <c r="E17075" s="17" t="s">
        <v>11</v>
      </c>
      <c r="F17075" s="18"/>
      <c r="G17075" s="36" t="str">
        <f>IF(ISNUMBER(F17075),C17075*F17075,"")</f>
        <v/>
      </c>
    </row>
    <row r="17076" spans="1:7" ht="12" customHeight="1" outlineLevel="2" x14ac:dyDescent="0.2">
      <c r="A17076" s="14" t="s">
        <v>33605</v>
      </c>
      <c r="B17076" s="15" t="s">
        <v>33606</v>
      </c>
      <c r="C17076" s="16">
        <f>168.18/(1+B2)</f>
        <v>168.18</v>
      </c>
      <c r="D17076" s="17" t="s">
        <v>11</v>
      </c>
      <c r="E17076" s="17" t="s">
        <v>14</v>
      </c>
      <c r="F17076" s="18"/>
      <c r="G17076" s="36" t="str">
        <f>IF(ISNUMBER(F17076),C17076*F17076,"")</f>
        <v/>
      </c>
    </row>
    <row r="17077" spans="1:7" ht="24" customHeight="1" outlineLevel="2" x14ac:dyDescent="0.2">
      <c r="A17077" s="14" t="s">
        <v>33607</v>
      </c>
      <c r="B17077" s="15" t="s">
        <v>33608</v>
      </c>
      <c r="C17077" s="16">
        <f>215.02/(1+B2)</f>
        <v>215.02</v>
      </c>
      <c r="D17077" s="17" t="s">
        <v>11</v>
      </c>
      <c r="E17077" s="17"/>
      <c r="F17077" s="18"/>
      <c r="G17077" s="36" t="str">
        <f>IF(ISNUMBER(F17077),C17077*F17077,"")</f>
        <v/>
      </c>
    </row>
    <row r="17078" spans="1:7" ht="12" customHeight="1" outlineLevel="2" x14ac:dyDescent="0.2">
      <c r="A17078" s="14" t="s">
        <v>33609</v>
      </c>
      <c r="B17078" s="15" t="s">
        <v>33610</v>
      </c>
      <c r="C17078" s="16">
        <f>157.2/(1+B2)</f>
        <v>157.19999999999999</v>
      </c>
      <c r="D17078" s="17" t="s">
        <v>11</v>
      </c>
      <c r="E17078" s="17"/>
      <c r="F17078" s="18"/>
      <c r="G17078" s="36" t="str">
        <f>IF(ISNUMBER(F17078),C17078*F17078,"")</f>
        <v/>
      </c>
    </row>
    <row r="17079" spans="1:7" ht="12" customHeight="1" outlineLevel="2" x14ac:dyDescent="0.2">
      <c r="A17079" s="14" t="s">
        <v>33611</v>
      </c>
      <c r="B17079" s="15" t="s">
        <v>33612</v>
      </c>
      <c r="C17079" s="16">
        <f>131.54/(1+B2)</f>
        <v>131.54</v>
      </c>
      <c r="D17079" s="17" t="s">
        <v>11</v>
      </c>
      <c r="E17079" s="17"/>
      <c r="F17079" s="18"/>
      <c r="G17079" s="36" t="str">
        <f>IF(ISNUMBER(F17079),C17079*F17079,"")</f>
        <v/>
      </c>
    </row>
    <row r="17080" spans="1:7" ht="12" customHeight="1" outlineLevel="2" x14ac:dyDescent="0.2">
      <c r="A17080" s="14" t="s">
        <v>33613</v>
      </c>
      <c r="B17080" s="15" t="s">
        <v>33614</v>
      </c>
      <c r="C17080" s="16">
        <f>157.2/(1+B2)</f>
        <v>157.19999999999999</v>
      </c>
      <c r="D17080" s="17" t="s">
        <v>14</v>
      </c>
      <c r="E17080" s="17"/>
      <c r="F17080" s="18"/>
      <c r="G17080" s="36" t="str">
        <f>IF(ISNUMBER(F17080),C17080*F17080,"")</f>
        <v/>
      </c>
    </row>
    <row r="17081" spans="1:7" ht="12" customHeight="1" outlineLevel="2" x14ac:dyDescent="0.2">
      <c r="A17081" s="14" t="s">
        <v>33615</v>
      </c>
      <c r="B17081" s="15" t="s">
        <v>33616</v>
      </c>
      <c r="C17081" s="16">
        <f>116.79/(1+B2)</f>
        <v>116.79</v>
      </c>
      <c r="D17081" s="17" t="s">
        <v>11</v>
      </c>
      <c r="E17081" s="17"/>
      <c r="F17081" s="18"/>
      <c r="G17081" s="36" t="str">
        <f>IF(ISNUMBER(F17081),C17081*F17081,"")</f>
        <v/>
      </c>
    </row>
    <row r="17082" spans="1:7" ht="24" customHeight="1" outlineLevel="2" x14ac:dyDescent="0.2">
      <c r="A17082" s="14" t="s">
        <v>33617</v>
      </c>
      <c r="B17082" s="15" t="s">
        <v>33618</v>
      </c>
      <c r="C17082" s="16">
        <f>204.33/(1+B2)</f>
        <v>204.33</v>
      </c>
      <c r="D17082" s="17" t="s">
        <v>11</v>
      </c>
      <c r="E17082" s="17"/>
      <c r="F17082" s="18"/>
      <c r="G17082" s="36" t="str">
        <f>IF(ISNUMBER(F17082),C17082*F17082,"")</f>
        <v/>
      </c>
    </row>
    <row r="17083" spans="1:7" s="1" customFormat="1" ht="15.95" customHeight="1" outlineLevel="1" x14ac:dyDescent="0.25">
      <c r="A17083" s="11"/>
      <c r="B17083" s="12" t="s">
        <v>33619</v>
      </c>
      <c r="C17083" s="13"/>
      <c r="D17083" s="13"/>
      <c r="E17083" s="13"/>
      <c r="F17083" s="13"/>
      <c r="G17083" s="35"/>
    </row>
    <row r="17084" spans="1:7" ht="12" customHeight="1" outlineLevel="2" x14ac:dyDescent="0.2">
      <c r="A17084" s="14" t="s">
        <v>33620</v>
      </c>
      <c r="B17084" s="15" t="s">
        <v>33621</v>
      </c>
      <c r="C17084" s="16">
        <f>224.96/(1+B2)</f>
        <v>224.96</v>
      </c>
      <c r="D17084" s="17" t="s">
        <v>11</v>
      </c>
      <c r="E17084" s="17"/>
      <c r="F17084" s="18"/>
      <c r="G17084" s="36" t="str">
        <f>IF(ISNUMBER(F17084),C17084*F17084,"")</f>
        <v/>
      </c>
    </row>
    <row r="17085" spans="1:7" ht="12" customHeight="1" outlineLevel="2" x14ac:dyDescent="0.2">
      <c r="A17085" s="14" t="s">
        <v>33622</v>
      </c>
      <c r="B17085" s="15" t="s">
        <v>33623</v>
      </c>
      <c r="C17085" s="16">
        <f>238.66/(1+B2)</f>
        <v>238.66</v>
      </c>
      <c r="D17085" s="17" t="s">
        <v>11</v>
      </c>
      <c r="E17085" s="17"/>
      <c r="F17085" s="18"/>
      <c r="G17085" s="36" t="str">
        <f>IF(ISNUMBER(F17085),C17085*F17085,"")</f>
        <v/>
      </c>
    </row>
    <row r="17086" spans="1:7" ht="12" customHeight="1" outlineLevel="2" x14ac:dyDescent="0.2">
      <c r="A17086" s="14" t="s">
        <v>33624</v>
      </c>
      <c r="B17086" s="15" t="s">
        <v>33625</v>
      </c>
      <c r="C17086" s="16">
        <f>301.46/(1+B2)</f>
        <v>301.45999999999998</v>
      </c>
      <c r="D17086" s="17" t="s">
        <v>11</v>
      </c>
      <c r="E17086" s="17"/>
      <c r="F17086" s="18"/>
      <c r="G17086" s="36" t="str">
        <f>IF(ISNUMBER(F17086),C17086*F17086,"")</f>
        <v/>
      </c>
    </row>
    <row r="17087" spans="1:7" ht="12" customHeight="1" outlineLevel="2" x14ac:dyDescent="0.2">
      <c r="A17087" s="14" t="s">
        <v>33626</v>
      </c>
      <c r="B17087" s="15" t="s">
        <v>33627</v>
      </c>
      <c r="C17087" s="16">
        <f>252.26/(1+B2)</f>
        <v>252.26</v>
      </c>
      <c r="D17087" s="17" t="s">
        <v>11</v>
      </c>
      <c r="E17087" s="17"/>
      <c r="F17087" s="18"/>
      <c r="G17087" s="36" t="str">
        <f>IF(ISNUMBER(F17087),C17087*F17087,"")</f>
        <v/>
      </c>
    </row>
    <row r="17088" spans="1:7" ht="12" customHeight="1" outlineLevel="2" x14ac:dyDescent="0.2">
      <c r="A17088" s="14" t="s">
        <v>33628</v>
      </c>
      <c r="B17088" s="15" t="s">
        <v>33629</v>
      </c>
      <c r="C17088" s="16">
        <f>227.24/(1+B2)</f>
        <v>227.24</v>
      </c>
      <c r="D17088" s="17" t="s">
        <v>11</v>
      </c>
      <c r="E17088" s="17"/>
      <c r="F17088" s="18"/>
      <c r="G17088" s="36" t="str">
        <f>IF(ISNUMBER(F17088),C17088*F17088,"")</f>
        <v/>
      </c>
    </row>
    <row r="17089" spans="1:7" ht="24" customHeight="1" outlineLevel="2" x14ac:dyDescent="0.2">
      <c r="A17089" s="14" t="s">
        <v>33630</v>
      </c>
      <c r="B17089" s="15" t="s">
        <v>33631</v>
      </c>
      <c r="C17089" s="16">
        <f>109.63/(1+B2)</f>
        <v>109.63</v>
      </c>
      <c r="D17089" s="17" t="s">
        <v>11</v>
      </c>
      <c r="E17089" s="17" t="s">
        <v>11</v>
      </c>
      <c r="F17089" s="18"/>
      <c r="G17089" s="36" t="str">
        <f>IF(ISNUMBER(F17089),C17089*F17089,"")</f>
        <v/>
      </c>
    </row>
    <row r="17090" spans="1:7" ht="24" customHeight="1" outlineLevel="2" x14ac:dyDescent="0.2">
      <c r="A17090" s="14" t="s">
        <v>33632</v>
      </c>
      <c r="B17090" s="15" t="s">
        <v>33633</v>
      </c>
      <c r="C17090" s="16">
        <f>180.42/(1+B2)</f>
        <v>180.42</v>
      </c>
      <c r="D17090" s="17" t="s">
        <v>11</v>
      </c>
      <c r="E17090" s="17"/>
      <c r="F17090" s="18"/>
      <c r="G17090" s="36" t="str">
        <f>IF(ISNUMBER(F17090),C17090*F17090,"")</f>
        <v/>
      </c>
    </row>
    <row r="17091" spans="1:7" ht="24" customHeight="1" outlineLevel="2" x14ac:dyDescent="0.2">
      <c r="A17091" s="14" t="s">
        <v>33634</v>
      </c>
      <c r="B17091" s="15" t="s">
        <v>33635</v>
      </c>
      <c r="C17091" s="16">
        <f>98.8/(1+B2)</f>
        <v>98.8</v>
      </c>
      <c r="D17091" s="17" t="s">
        <v>11</v>
      </c>
      <c r="E17091" s="17"/>
      <c r="F17091" s="18"/>
      <c r="G17091" s="36" t="str">
        <f>IF(ISNUMBER(F17091),C17091*F17091,"")</f>
        <v/>
      </c>
    </row>
    <row r="17092" spans="1:7" ht="24" customHeight="1" outlineLevel="2" x14ac:dyDescent="0.2">
      <c r="A17092" s="14" t="s">
        <v>33636</v>
      </c>
      <c r="B17092" s="15" t="s">
        <v>33637</v>
      </c>
      <c r="C17092" s="16">
        <f>166.3/(1+B2)</f>
        <v>166.3</v>
      </c>
      <c r="D17092" s="17" t="s">
        <v>11</v>
      </c>
      <c r="E17092" s="17"/>
      <c r="F17092" s="18"/>
      <c r="G17092" s="36" t="str">
        <f>IF(ISNUMBER(F17092),C17092*F17092,"")</f>
        <v/>
      </c>
    </row>
    <row r="17093" spans="1:7" ht="12" customHeight="1" outlineLevel="2" x14ac:dyDescent="0.2">
      <c r="A17093" s="14" t="s">
        <v>33638</v>
      </c>
      <c r="B17093" s="15" t="s">
        <v>33639</v>
      </c>
      <c r="C17093" s="16">
        <f>103.96/(1+B2)</f>
        <v>103.96</v>
      </c>
      <c r="D17093" s="17" t="s">
        <v>11</v>
      </c>
      <c r="E17093" s="17"/>
      <c r="F17093" s="18"/>
      <c r="G17093" s="36" t="str">
        <f>IF(ISNUMBER(F17093),C17093*F17093,"")</f>
        <v/>
      </c>
    </row>
    <row r="17094" spans="1:7" ht="12" customHeight="1" outlineLevel="2" x14ac:dyDescent="0.2">
      <c r="A17094" s="14" t="s">
        <v>33640</v>
      </c>
      <c r="B17094" s="15" t="s">
        <v>33641</v>
      </c>
      <c r="C17094" s="16">
        <f>435.71/(1+B2)</f>
        <v>435.71</v>
      </c>
      <c r="D17094" s="17" t="s">
        <v>11</v>
      </c>
      <c r="E17094" s="17"/>
      <c r="F17094" s="18"/>
      <c r="G17094" s="36" t="str">
        <f>IF(ISNUMBER(F17094),C17094*F17094,"")</f>
        <v/>
      </c>
    </row>
    <row r="17095" spans="1:7" ht="12" customHeight="1" outlineLevel="2" x14ac:dyDescent="0.2">
      <c r="A17095" s="14" t="s">
        <v>33642</v>
      </c>
      <c r="B17095" s="15" t="s">
        <v>33643</v>
      </c>
      <c r="C17095" s="16">
        <f>276.4/(1+B2)</f>
        <v>276.39999999999998</v>
      </c>
      <c r="D17095" s="17" t="s">
        <v>11</v>
      </c>
      <c r="E17095" s="17"/>
      <c r="F17095" s="18"/>
      <c r="G17095" s="36" t="str">
        <f>IF(ISNUMBER(F17095),C17095*F17095,"")</f>
        <v/>
      </c>
    </row>
    <row r="17096" spans="1:7" ht="24" customHeight="1" outlineLevel="2" x14ac:dyDescent="0.2">
      <c r="A17096" s="14" t="s">
        <v>33644</v>
      </c>
      <c r="B17096" s="15" t="s">
        <v>33645</v>
      </c>
      <c r="C17096" s="16">
        <f>302.6/(1+B2)</f>
        <v>302.60000000000002</v>
      </c>
      <c r="D17096" s="17" t="s">
        <v>11</v>
      </c>
      <c r="E17096" s="17"/>
      <c r="F17096" s="18"/>
      <c r="G17096" s="36" t="str">
        <f>IF(ISNUMBER(F17096),C17096*F17096,"")</f>
        <v/>
      </c>
    </row>
    <row r="17097" spans="1:7" ht="24" customHeight="1" outlineLevel="2" x14ac:dyDescent="0.2">
      <c r="A17097" s="14" t="s">
        <v>33646</v>
      </c>
      <c r="B17097" s="15" t="s">
        <v>33647</v>
      </c>
      <c r="C17097" s="16">
        <f>222.67/(1+B2)</f>
        <v>222.67</v>
      </c>
      <c r="D17097" s="17" t="s">
        <v>11</v>
      </c>
      <c r="E17097" s="17" t="s">
        <v>11</v>
      </c>
      <c r="F17097" s="18"/>
      <c r="G17097" s="36" t="str">
        <f>IF(ISNUMBER(F17097),C17097*F17097,"")</f>
        <v/>
      </c>
    </row>
    <row r="17098" spans="1:7" ht="12" customHeight="1" outlineLevel="2" x14ac:dyDescent="0.2">
      <c r="A17098" s="14" t="s">
        <v>33648</v>
      </c>
      <c r="B17098" s="15" t="s">
        <v>33649</v>
      </c>
      <c r="C17098" s="16">
        <f>122.3/(1+B2)</f>
        <v>122.3</v>
      </c>
      <c r="D17098" s="17" t="s">
        <v>11</v>
      </c>
      <c r="E17098" s="17" t="s">
        <v>53</v>
      </c>
      <c r="F17098" s="18"/>
      <c r="G17098" s="36" t="str">
        <f>IF(ISNUMBER(F17098),C17098*F17098,"")</f>
        <v/>
      </c>
    </row>
    <row r="17099" spans="1:7" ht="12" customHeight="1" outlineLevel="2" x14ac:dyDescent="0.2">
      <c r="A17099" s="14" t="s">
        <v>33650</v>
      </c>
      <c r="B17099" s="15" t="s">
        <v>33651</v>
      </c>
      <c r="C17099" s="16">
        <f>110.56/(1+B2)</f>
        <v>110.56</v>
      </c>
      <c r="D17099" s="17" t="s">
        <v>53</v>
      </c>
      <c r="E17099" s="17"/>
      <c r="F17099" s="18"/>
      <c r="G17099" s="36" t="str">
        <f>IF(ISNUMBER(F17099),C17099*F17099,"")</f>
        <v/>
      </c>
    </row>
    <row r="17100" spans="1:7" ht="12" customHeight="1" outlineLevel="2" x14ac:dyDescent="0.2">
      <c r="A17100" s="14" t="s">
        <v>33652</v>
      </c>
      <c r="B17100" s="15" t="s">
        <v>33653</v>
      </c>
      <c r="C17100" s="16">
        <f>148.72/(1+B2)</f>
        <v>148.72</v>
      </c>
      <c r="D17100" s="17" t="s">
        <v>11</v>
      </c>
      <c r="E17100" s="17" t="s">
        <v>11</v>
      </c>
      <c r="F17100" s="18"/>
      <c r="G17100" s="36" t="str">
        <f>IF(ISNUMBER(F17100),C17100*F17100,"")</f>
        <v/>
      </c>
    </row>
    <row r="17101" spans="1:7" ht="12" customHeight="1" outlineLevel="2" x14ac:dyDescent="0.2">
      <c r="A17101" s="14" t="s">
        <v>33654</v>
      </c>
      <c r="B17101" s="15" t="s">
        <v>33655</v>
      </c>
      <c r="C17101" s="16">
        <f>111.73/(1+B2)</f>
        <v>111.73</v>
      </c>
      <c r="D17101" s="17" t="s">
        <v>53</v>
      </c>
      <c r="E17101" s="17"/>
      <c r="F17101" s="18"/>
      <c r="G17101" s="36" t="str">
        <f>IF(ISNUMBER(F17101),C17101*F17101,"")</f>
        <v/>
      </c>
    </row>
    <row r="17102" spans="1:7" ht="12" customHeight="1" outlineLevel="2" x14ac:dyDescent="0.2">
      <c r="A17102" s="14" t="s">
        <v>33656</v>
      </c>
      <c r="B17102" s="15" t="s">
        <v>33657</v>
      </c>
      <c r="C17102" s="16">
        <f>118.98/(1+B2)</f>
        <v>118.98</v>
      </c>
      <c r="D17102" s="17" t="s">
        <v>53</v>
      </c>
      <c r="E17102" s="17" t="s">
        <v>53</v>
      </c>
      <c r="F17102" s="18"/>
      <c r="G17102" s="36" t="str">
        <f>IF(ISNUMBER(F17102),C17102*F17102,"")</f>
        <v/>
      </c>
    </row>
    <row r="17103" spans="1:7" ht="12" customHeight="1" outlineLevel="2" x14ac:dyDescent="0.2">
      <c r="A17103" s="14" t="s">
        <v>33658</v>
      </c>
      <c r="B17103" s="15" t="s">
        <v>33659</v>
      </c>
      <c r="C17103" s="16">
        <f>90.22/(1+B2)</f>
        <v>90.22</v>
      </c>
      <c r="D17103" s="17" t="s">
        <v>11</v>
      </c>
      <c r="E17103" s="17" t="s">
        <v>106</v>
      </c>
      <c r="F17103" s="18"/>
      <c r="G17103" s="36" t="str">
        <f>IF(ISNUMBER(F17103),C17103*F17103,"")</f>
        <v/>
      </c>
    </row>
    <row r="17104" spans="1:7" ht="24" customHeight="1" outlineLevel="2" x14ac:dyDescent="0.2">
      <c r="A17104" s="14" t="s">
        <v>33660</v>
      </c>
      <c r="B17104" s="15" t="s">
        <v>33661</v>
      </c>
      <c r="C17104" s="16">
        <f>114.11/(1+B2)</f>
        <v>114.11</v>
      </c>
      <c r="D17104" s="17" t="s">
        <v>11</v>
      </c>
      <c r="E17104" s="17" t="s">
        <v>53</v>
      </c>
      <c r="F17104" s="18"/>
      <c r="G17104" s="36" t="str">
        <f>IF(ISNUMBER(F17104),C17104*F17104,"")</f>
        <v/>
      </c>
    </row>
    <row r="17105" spans="1:7" ht="12" customHeight="1" outlineLevel="2" x14ac:dyDescent="0.2">
      <c r="A17105" s="14" t="s">
        <v>33662</v>
      </c>
      <c r="B17105" s="15" t="s">
        <v>33663</v>
      </c>
      <c r="C17105" s="16">
        <f>245.51/(1+B2)</f>
        <v>245.51</v>
      </c>
      <c r="D17105" s="17" t="s">
        <v>14</v>
      </c>
      <c r="E17105" s="17" t="s">
        <v>11</v>
      </c>
      <c r="F17105" s="18"/>
      <c r="G17105" s="36" t="str">
        <f>IF(ISNUMBER(F17105),C17105*F17105,"")</f>
        <v/>
      </c>
    </row>
    <row r="17106" spans="1:7" ht="12" customHeight="1" outlineLevel="2" x14ac:dyDescent="0.2">
      <c r="A17106" s="14" t="s">
        <v>33664</v>
      </c>
      <c r="B17106" s="15" t="s">
        <v>33665</v>
      </c>
      <c r="C17106" s="16">
        <f>262.64/(1+B2)</f>
        <v>262.64</v>
      </c>
      <c r="D17106" s="17" t="s">
        <v>11</v>
      </c>
      <c r="E17106" s="17"/>
      <c r="F17106" s="18"/>
      <c r="G17106" s="36" t="str">
        <f>IF(ISNUMBER(F17106),C17106*F17106,"")</f>
        <v/>
      </c>
    </row>
    <row r="17107" spans="1:7" ht="12" customHeight="1" outlineLevel="2" x14ac:dyDescent="0.2">
      <c r="A17107" s="14" t="s">
        <v>33666</v>
      </c>
      <c r="B17107" s="15" t="s">
        <v>33667</v>
      </c>
      <c r="C17107" s="16">
        <f>152.57/(1+B2)</f>
        <v>152.57</v>
      </c>
      <c r="D17107" s="17" t="s">
        <v>14</v>
      </c>
      <c r="E17107" s="17" t="s">
        <v>53</v>
      </c>
      <c r="F17107" s="18"/>
      <c r="G17107" s="36" t="str">
        <f>IF(ISNUMBER(F17107),C17107*F17107,"")</f>
        <v/>
      </c>
    </row>
    <row r="17108" spans="1:7" ht="12" customHeight="1" outlineLevel="2" x14ac:dyDescent="0.2">
      <c r="A17108" s="14" t="s">
        <v>33668</v>
      </c>
      <c r="B17108" s="15" t="s">
        <v>33669</v>
      </c>
      <c r="C17108" s="16">
        <f>210.22/(1+B2)</f>
        <v>210.22</v>
      </c>
      <c r="D17108" s="17" t="s">
        <v>14</v>
      </c>
      <c r="E17108" s="17" t="s">
        <v>53</v>
      </c>
      <c r="F17108" s="18"/>
      <c r="G17108" s="36" t="str">
        <f>IF(ISNUMBER(F17108),C17108*F17108,"")</f>
        <v/>
      </c>
    </row>
    <row r="17109" spans="1:7" ht="12" customHeight="1" outlineLevel="2" x14ac:dyDescent="0.2">
      <c r="A17109" s="14" t="s">
        <v>33670</v>
      </c>
      <c r="B17109" s="15" t="s">
        <v>33671</v>
      </c>
      <c r="C17109" s="16">
        <f>233.18/(1+B2)</f>
        <v>233.18</v>
      </c>
      <c r="D17109" s="17" t="s">
        <v>14</v>
      </c>
      <c r="E17109" s="17" t="s">
        <v>14</v>
      </c>
      <c r="F17109" s="18"/>
      <c r="G17109" s="36" t="str">
        <f>IF(ISNUMBER(F17109),C17109*F17109,"")</f>
        <v/>
      </c>
    </row>
    <row r="17110" spans="1:7" ht="12" customHeight="1" outlineLevel="2" x14ac:dyDescent="0.2">
      <c r="A17110" s="14" t="s">
        <v>33672</v>
      </c>
      <c r="B17110" s="15" t="s">
        <v>33673</v>
      </c>
      <c r="C17110" s="16">
        <f>669.24/(1+B2)</f>
        <v>669.24</v>
      </c>
      <c r="D17110" s="17" t="s">
        <v>11</v>
      </c>
      <c r="E17110" s="17"/>
      <c r="F17110" s="18"/>
      <c r="G17110" s="36" t="str">
        <f>IF(ISNUMBER(F17110),C17110*F17110,"")</f>
        <v/>
      </c>
    </row>
    <row r="17111" spans="1:7" ht="12" customHeight="1" outlineLevel="2" x14ac:dyDescent="0.2">
      <c r="A17111" s="14" t="s">
        <v>33674</v>
      </c>
      <c r="B17111" s="15" t="s">
        <v>33675</v>
      </c>
      <c r="C17111" s="16">
        <f>219.25/(1+B2)</f>
        <v>219.25</v>
      </c>
      <c r="D17111" s="17" t="s">
        <v>11</v>
      </c>
      <c r="E17111" s="17" t="s">
        <v>11</v>
      </c>
      <c r="F17111" s="18"/>
      <c r="G17111" s="36" t="str">
        <f>IF(ISNUMBER(F17111),C17111*F17111,"")</f>
        <v/>
      </c>
    </row>
    <row r="17112" spans="1:7" ht="12" customHeight="1" outlineLevel="2" x14ac:dyDescent="0.2">
      <c r="A17112" s="14" t="s">
        <v>33676</v>
      </c>
      <c r="B17112" s="15" t="s">
        <v>33677</v>
      </c>
      <c r="C17112" s="16">
        <f>301.46/(1+B2)</f>
        <v>301.45999999999998</v>
      </c>
      <c r="D17112" s="17" t="s">
        <v>14</v>
      </c>
      <c r="E17112" s="17"/>
      <c r="F17112" s="18"/>
      <c r="G17112" s="36" t="str">
        <f>IF(ISNUMBER(F17112),C17112*F17112,"")</f>
        <v/>
      </c>
    </row>
    <row r="17113" spans="1:7" ht="12" customHeight="1" outlineLevel="2" x14ac:dyDescent="0.2">
      <c r="A17113" s="14" t="s">
        <v>33678</v>
      </c>
      <c r="B17113" s="15" t="s">
        <v>33679</v>
      </c>
      <c r="C17113" s="16">
        <f>85.86/(1+B2)</f>
        <v>85.86</v>
      </c>
      <c r="D17113" s="17" t="s">
        <v>11</v>
      </c>
      <c r="E17113" s="17"/>
      <c r="F17113" s="18"/>
      <c r="G17113" s="36" t="str">
        <f>IF(ISNUMBER(F17113),C17113*F17113,"")</f>
        <v/>
      </c>
    </row>
    <row r="17114" spans="1:7" ht="12" customHeight="1" outlineLevel="2" x14ac:dyDescent="0.2">
      <c r="A17114" s="14" t="s">
        <v>33680</v>
      </c>
      <c r="B17114" s="15" t="s">
        <v>33681</v>
      </c>
      <c r="C17114" s="16">
        <f>182.32/(1+B2)</f>
        <v>182.32</v>
      </c>
      <c r="D17114" s="17" t="s">
        <v>11</v>
      </c>
      <c r="E17114" s="17"/>
      <c r="F17114" s="18"/>
      <c r="G17114" s="36" t="str">
        <f>IF(ISNUMBER(F17114),C17114*F17114,"")</f>
        <v/>
      </c>
    </row>
    <row r="17115" spans="1:7" ht="24" customHeight="1" outlineLevel="2" x14ac:dyDescent="0.2">
      <c r="A17115" s="14" t="s">
        <v>33682</v>
      </c>
      <c r="B17115" s="15" t="s">
        <v>33683</v>
      </c>
      <c r="C17115" s="16">
        <f>233.18/(1+B2)</f>
        <v>233.18</v>
      </c>
      <c r="D17115" s="17" t="s">
        <v>11</v>
      </c>
      <c r="E17115" s="17" t="s">
        <v>53</v>
      </c>
      <c r="F17115" s="18"/>
      <c r="G17115" s="36" t="str">
        <f>IF(ISNUMBER(F17115),C17115*F17115,"")</f>
        <v/>
      </c>
    </row>
    <row r="17116" spans="1:7" ht="24" customHeight="1" outlineLevel="2" x14ac:dyDescent="0.2">
      <c r="A17116" s="14" t="s">
        <v>33684</v>
      </c>
      <c r="B17116" s="15" t="s">
        <v>33685</v>
      </c>
      <c r="C17116" s="16">
        <f>222.67/(1+B2)</f>
        <v>222.67</v>
      </c>
      <c r="D17116" s="17" t="s">
        <v>11</v>
      </c>
      <c r="E17116" s="17" t="s">
        <v>11</v>
      </c>
      <c r="F17116" s="18"/>
      <c r="G17116" s="36" t="str">
        <f>IF(ISNUMBER(F17116),C17116*F17116,"")</f>
        <v/>
      </c>
    </row>
    <row r="17117" spans="1:7" ht="12" customHeight="1" outlineLevel="2" x14ac:dyDescent="0.2">
      <c r="A17117" s="14" t="s">
        <v>33686</v>
      </c>
      <c r="B17117" s="15" t="s">
        <v>33687</v>
      </c>
      <c r="C17117" s="16">
        <f>87.1/(1+B2)</f>
        <v>87.1</v>
      </c>
      <c r="D17117" s="17" t="s">
        <v>14</v>
      </c>
      <c r="E17117" s="17"/>
      <c r="F17117" s="18"/>
      <c r="G17117" s="36" t="str">
        <f>IF(ISNUMBER(F17117),C17117*F17117,"")</f>
        <v/>
      </c>
    </row>
    <row r="17118" spans="1:7" ht="12" customHeight="1" outlineLevel="2" x14ac:dyDescent="0.2">
      <c r="A17118" s="14" t="s">
        <v>33688</v>
      </c>
      <c r="B17118" s="15" t="s">
        <v>33689</v>
      </c>
      <c r="C17118" s="16">
        <f>162.18/(1+B2)</f>
        <v>162.18</v>
      </c>
      <c r="D17118" s="17" t="s">
        <v>11</v>
      </c>
      <c r="E17118" s="17" t="s">
        <v>14</v>
      </c>
      <c r="F17118" s="18"/>
      <c r="G17118" s="36" t="str">
        <f>IF(ISNUMBER(F17118),C17118*F17118,"")</f>
        <v/>
      </c>
    </row>
    <row r="17119" spans="1:7" ht="12" customHeight="1" outlineLevel="2" x14ac:dyDescent="0.2">
      <c r="A17119" s="14" t="s">
        <v>33690</v>
      </c>
      <c r="B17119" s="15" t="s">
        <v>33691</v>
      </c>
      <c r="C17119" s="16">
        <f>173.57/(1+B2)</f>
        <v>173.57</v>
      </c>
      <c r="D17119" s="17" t="s">
        <v>11</v>
      </c>
      <c r="E17119" s="17"/>
      <c r="F17119" s="18"/>
      <c r="G17119" s="36" t="str">
        <f>IF(ISNUMBER(F17119),C17119*F17119,"")</f>
        <v/>
      </c>
    </row>
    <row r="17120" spans="1:7" ht="12" customHeight="1" outlineLevel="2" x14ac:dyDescent="0.2">
      <c r="A17120" s="14" t="s">
        <v>33692</v>
      </c>
      <c r="B17120" s="15" t="s">
        <v>33693</v>
      </c>
      <c r="C17120" s="16">
        <f>201.13/(1+B2)</f>
        <v>201.13</v>
      </c>
      <c r="D17120" s="17" t="s">
        <v>11</v>
      </c>
      <c r="E17120" s="17" t="s">
        <v>11</v>
      </c>
      <c r="F17120" s="18"/>
      <c r="G17120" s="36" t="str">
        <f>IF(ISNUMBER(F17120),C17120*F17120,"")</f>
        <v/>
      </c>
    </row>
    <row r="17121" spans="1:7" ht="12" customHeight="1" outlineLevel="2" x14ac:dyDescent="0.2">
      <c r="A17121" s="14" t="s">
        <v>33694</v>
      </c>
      <c r="B17121" s="15" t="s">
        <v>33695</v>
      </c>
      <c r="C17121" s="16">
        <f>165.84/(1+B2)</f>
        <v>165.84</v>
      </c>
      <c r="D17121" s="17" t="s">
        <v>11</v>
      </c>
      <c r="E17121" s="17"/>
      <c r="F17121" s="18"/>
      <c r="G17121" s="36" t="str">
        <f>IF(ISNUMBER(F17121),C17121*F17121,"")</f>
        <v/>
      </c>
    </row>
    <row r="17122" spans="1:7" ht="12" customHeight="1" outlineLevel="2" x14ac:dyDescent="0.2">
      <c r="A17122" s="14" t="s">
        <v>33696</v>
      </c>
      <c r="B17122" s="15" t="s">
        <v>33697</v>
      </c>
      <c r="C17122" s="16">
        <f>89.47/(1+B2)</f>
        <v>89.47</v>
      </c>
      <c r="D17122" s="17" t="s">
        <v>53</v>
      </c>
      <c r="E17122" s="17"/>
      <c r="F17122" s="18"/>
      <c r="G17122" s="36" t="str">
        <f>IF(ISNUMBER(F17122),C17122*F17122,"")</f>
        <v/>
      </c>
    </row>
    <row r="17123" spans="1:7" ht="12" customHeight="1" outlineLevel="2" x14ac:dyDescent="0.2">
      <c r="A17123" s="14" t="s">
        <v>33698</v>
      </c>
      <c r="B17123" s="15" t="s">
        <v>33699</v>
      </c>
      <c r="C17123" s="16">
        <f>37.68/(1+B2)</f>
        <v>37.68</v>
      </c>
      <c r="D17123" s="17" t="s">
        <v>11</v>
      </c>
      <c r="E17123" s="17" t="s">
        <v>11</v>
      </c>
      <c r="F17123" s="18"/>
      <c r="G17123" s="36" t="str">
        <f>IF(ISNUMBER(F17123),C17123*F17123,"")</f>
        <v/>
      </c>
    </row>
    <row r="17124" spans="1:7" ht="24" customHeight="1" outlineLevel="2" x14ac:dyDescent="0.2">
      <c r="A17124" s="14" t="s">
        <v>33700</v>
      </c>
      <c r="B17124" s="15" t="s">
        <v>33701</v>
      </c>
      <c r="C17124" s="16">
        <f>31.94/(1+B2)</f>
        <v>31.94</v>
      </c>
      <c r="D17124" s="17" t="s">
        <v>11</v>
      </c>
      <c r="E17124" s="17"/>
      <c r="F17124" s="18"/>
      <c r="G17124" s="36" t="str">
        <f>IF(ISNUMBER(F17124),C17124*F17124,"")</f>
        <v/>
      </c>
    </row>
    <row r="17125" spans="1:7" ht="24" customHeight="1" outlineLevel="2" x14ac:dyDescent="0.2">
      <c r="A17125" s="14" t="s">
        <v>33702</v>
      </c>
      <c r="B17125" s="15" t="s">
        <v>33703</v>
      </c>
      <c r="C17125" s="16">
        <f>70.8/(1+B2)</f>
        <v>70.8</v>
      </c>
      <c r="D17125" s="17" t="s">
        <v>11</v>
      </c>
      <c r="E17125" s="17" t="s">
        <v>11</v>
      </c>
      <c r="F17125" s="18"/>
      <c r="G17125" s="36" t="str">
        <f>IF(ISNUMBER(F17125),C17125*F17125,"")</f>
        <v/>
      </c>
    </row>
    <row r="17126" spans="1:7" ht="24" customHeight="1" outlineLevel="2" x14ac:dyDescent="0.2">
      <c r="A17126" s="14" t="s">
        <v>33704</v>
      </c>
      <c r="B17126" s="15" t="s">
        <v>33705</v>
      </c>
      <c r="C17126" s="16">
        <f>89.08/(1+B2)</f>
        <v>89.08</v>
      </c>
      <c r="D17126" s="17" t="s">
        <v>11</v>
      </c>
      <c r="E17126" s="17"/>
      <c r="F17126" s="18"/>
      <c r="G17126" s="36" t="str">
        <f>IF(ISNUMBER(F17126),C17126*F17126,"")</f>
        <v/>
      </c>
    </row>
    <row r="17127" spans="1:7" ht="24" customHeight="1" outlineLevel="2" x14ac:dyDescent="0.2">
      <c r="A17127" s="14" t="s">
        <v>33706</v>
      </c>
      <c r="B17127" s="15" t="s">
        <v>33707</v>
      </c>
      <c r="C17127" s="16">
        <f>91.74/(1+B2)</f>
        <v>91.74</v>
      </c>
      <c r="D17127" s="17" t="s">
        <v>11</v>
      </c>
      <c r="E17127" s="17"/>
      <c r="F17127" s="18"/>
      <c r="G17127" s="36" t="str">
        <f>IF(ISNUMBER(F17127),C17127*F17127,"")</f>
        <v/>
      </c>
    </row>
    <row r="17128" spans="1:7" ht="24" customHeight="1" outlineLevel="2" x14ac:dyDescent="0.2">
      <c r="A17128" s="14" t="s">
        <v>33708</v>
      </c>
      <c r="B17128" s="15" t="s">
        <v>33709</v>
      </c>
      <c r="C17128" s="16">
        <f>101.63/(1+B2)</f>
        <v>101.63</v>
      </c>
      <c r="D17128" s="17" t="s">
        <v>11</v>
      </c>
      <c r="E17128" s="17" t="s">
        <v>11</v>
      </c>
      <c r="F17128" s="18"/>
      <c r="G17128" s="36" t="str">
        <f>IF(ISNUMBER(F17128),C17128*F17128,"")</f>
        <v/>
      </c>
    </row>
    <row r="17129" spans="1:7" ht="12" customHeight="1" outlineLevel="2" x14ac:dyDescent="0.2">
      <c r="A17129" s="14" t="s">
        <v>33710</v>
      </c>
      <c r="B17129" s="15" t="s">
        <v>33711</v>
      </c>
      <c r="C17129" s="16">
        <f>16.51/(1+B2)</f>
        <v>16.510000000000002</v>
      </c>
      <c r="D17129" s="17" t="s">
        <v>11</v>
      </c>
      <c r="E17129" s="17"/>
      <c r="F17129" s="18"/>
      <c r="G17129" s="36" t="str">
        <f>IF(ISNUMBER(F17129),C17129*F17129,"")</f>
        <v/>
      </c>
    </row>
    <row r="17130" spans="1:7" ht="12" customHeight="1" outlineLevel="2" x14ac:dyDescent="0.2">
      <c r="A17130" s="14" t="s">
        <v>33712</v>
      </c>
      <c r="B17130" s="15" t="s">
        <v>33713</v>
      </c>
      <c r="C17130" s="16">
        <f>32/(1+B2)</f>
        <v>32</v>
      </c>
      <c r="D17130" s="17" t="s">
        <v>14</v>
      </c>
      <c r="E17130" s="17"/>
      <c r="F17130" s="18"/>
      <c r="G17130" s="36" t="str">
        <f>IF(ISNUMBER(F17130),C17130*F17130,"")</f>
        <v/>
      </c>
    </row>
    <row r="17131" spans="1:7" s="1" customFormat="1" ht="15.95" customHeight="1" outlineLevel="1" x14ac:dyDescent="0.25">
      <c r="A17131" s="11"/>
      <c r="B17131" s="12" t="s">
        <v>33714</v>
      </c>
      <c r="C17131" s="13"/>
      <c r="D17131" s="13"/>
      <c r="E17131" s="13"/>
      <c r="F17131" s="13"/>
      <c r="G17131" s="35"/>
    </row>
    <row r="17132" spans="1:7" ht="12" customHeight="1" outlineLevel="2" x14ac:dyDescent="0.2">
      <c r="A17132" s="14" t="s">
        <v>33715</v>
      </c>
      <c r="B17132" s="15" t="s">
        <v>33716</v>
      </c>
      <c r="C17132" s="16">
        <f>76.32/(1+B2)</f>
        <v>76.319999999999993</v>
      </c>
      <c r="D17132" s="17" t="s">
        <v>53</v>
      </c>
      <c r="E17132" s="17"/>
      <c r="F17132" s="18"/>
      <c r="G17132" s="36" t="str">
        <f>IF(ISNUMBER(F17132),C17132*F17132,"")</f>
        <v/>
      </c>
    </row>
    <row r="17133" spans="1:7" ht="24" customHeight="1" outlineLevel="2" x14ac:dyDescent="0.2">
      <c r="A17133" s="14" t="s">
        <v>33717</v>
      </c>
      <c r="B17133" s="15" t="s">
        <v>33718</v>
      </c>
      <c r="C17133" s="16">
        <f>254.78/(1+B2)</f>
        <v>254.78</v>
      </c>
      <c r="D17133" s="17" t="s">
        <v>11</v>
      </c>
      <c r="E17133" s="17"/>
      <c r="F17133" s="18"/>
      <c r="G17133" s="36" t="str">
        <f>IF(ISNUMBER(F17133),C17133*F17133,"")</f>
        <v/>
      </c>
    </row>
    <row r="17134" spans="1:7" ht="12" customHeight="1" outlineLevel="2" x14ac:dyDescent="0.2">
      <c r="A17134" s="14" t="s">
        <v>33719</v>
      </c>
      <c r="B17134" s="15" t="s">
        <v>33720</v>
      </c>
      <c r="C17134" s="16">
        <f>99.35/(1+B2)</f>
        <v>99.35</v>
      </c>
      <c r="D17134" s="17" t="s">
        <v>11</v>
      </c>
      <c r="E17134" s="17" t="s">
        <v>14</v>
      </c>
      <c r="F17134" s="18"/>
      <c r="G17134" s="36" t="str">
        <f>IF(ISNUMBER(F17134),C17134*F17134,"")</f>
        <v/>
      </c>
    </row>
    <row r="17135" spans="1:7" ht="12" customHeight="1" outlineLevel="2" x14ac:dyDescent="0.2">
      <c r="A17135" s="14" t="s">
        <v>33721</v>
      </c>
      <c r="B17135" s="15" t="s">
        <v>33722</v>
      </c>
      <c r="C17135" s="16">
        <f>120.77/(1+B2)</f>
        <v>120.77</v>
      </c>
      <c r="D17135" s="17" t="s">
        <v>11</v>
      </c>
      <c r="E17135" s="17"/>
      <c r="F17135" s="18"/>
      <c r="G17135" s="36" t="str">
        <f>IF(ISNUMBER(F17135),C17135*F17135,"")</f>
        <v/>
      </c>
    </row>
    <row r="17136" spans="1:7" ht="12" customHeight="1" outlineLevel="2" x14ac:dyDescent="0.2">
      <c r="A17136" s="14" t="s">
        <v>33723</v>
      </c>
      <c r="B17136" s="15" t="s">
        <v>33724</v>
      </c>
      <c r="C17136" s="16">
        <f>156.58/(1+B2)</f>
        <v>156.58000000000001</v>
      </c>
      <c r="D17136" s="17" t="s">
        <v>11</v>
      </c>
      <c r="E17136" s="17" t="s">
        <v>11</v>
      </c>
      <c r="F17136" s="18"/>
      <c r="G17136" s="36" t="str">
        <f>IF(ISNUMBER(F17136),C17136*F17136,"")</f>
        <v/>
      </c>
    </row>
    <row r="17137" spans="1:7" ht="12" customHeight="1" outlineLevel="2" x14ac:dyDescent="0.2">
      <c r="A17137" s="14" t="s">
        <v>33725</v>
      </c>
      <c r="B17137" s="15" t="s">
        <v>33726</v>
      </c>
      <c r="C17137" s="16">
        <f>76.03/(1+B2)</f>
        <v>76.03</v>
      </c>
      <c r="D17137" s="17" t="s">
        <v>11</v>
      </c>
      <c r="E17137" s="17"/>
      <c r="F17137" s="18"/>
      <c r="G17137" s="36" t="str">
        <f>IF(ISNUMBER(F17137),C17137*F17137,"")</f>
        <v/>
      </c>
    </row>
    <row r="17138" spans="1:7" ht="24" customHeight="1" outlineLevel="2" x14ac:dyDescent="0.2">
      <c r="A17138" s="14" t="s">
        <v>33727</v>
      </c>
      <c r="B17138" s="15" t="s">
        <v>33728</v>
      </c>
      <c r="C17138" s="16">
        <f>224.96/(1+B2)</f>
        <v>224.96</v>
      </c>
      <c r="D17138" s="17" t="s">
        <v>11</v>
      </c>
      <c r="E17138" s="17" t="s">
        <v>11</v>
      </c>
      <c r="F17138" s="18"/>
      <c r="G17138" s="36" t="str">
        <f>IF(ISNUMBER(F17138),C17138*F17138,"")</f>
        <v/>
      </c>
    </row>
    <row r="17139" spans="1:7" ht="12" customHeight="1" outlineLevel="2" x14ac:dyDescent="0.2">
      <c r="A17139" s="14" t="s">
        <v>33729</v>
      </c>
      <c r="B17139" s="15" t="s">
        <v>33730</v>
      </c>
      <c r="C17139" s="16">
        <f>170.15/(1+B2)</f>
        <v>170.15</v>
      </c>
      <c r="D17139" s="17" t="s">
        <v>11</v>
      </c>
      <c r="E17139" s="17"/>
      <c r="F17139" s="18"/>
      <c r="G17139" s="36" t="str">
        <f>IF(ISNUMBER(F17139),C17139*F17139,"")</f>
        <v/>
      </c>
    </row>
    <row r="17140" spans="1:7" ht="12" customHeight="1" outlineLevel="2" x14ac:dyDescent="0.2">
      <c r="A17140" s="14" t="s">
        <v>33731</v>
      </c>
      <c r="B17140" s="15" t="s">
        <v>33732</v>
      </c>
      <c r="C17140" s="16">
        <f>175.25/(1+B2)</f>
        <v>175.25</v>
      </c>
      <c r="D17140" s="17" t="s">
        <v>11</v>
      </c>
      <c r="E17140" s="17"/>
      <c r="F17140" s="18"/>
      <c r="G17140" s="36" t="str">
        <f>IF(ISNUMBER(F17140),C17140*F17140,"")</f>
        <v/>
      </c>
    </row>
    <row r="17141" spans="1:7" ht="12" customHeight="1" outlineLevel="2" x14ac:dyDescent="0.2">
      <c r="A17141" s="14" t="s">
        <v>33733</v>
      </c>
      <c r="B17141" s="15" t="s">
        <v>33734</v>
      </c>
      <c r="C17141" s="16">
        <f>144.73/(1+B2)</f>
        <v>144.72999999999999</v>
      </c>
      <c r="D17141" s="17" t="s">
        <v>11</v>
      </c>
      <c r="E17141" s="17"/>
      <c r="F17141" s="18"/>
      <c r="G17141" s="36" t="str">
        <f>IF(ISNUMBER(F17141),C17141*F17141,"")</f>
        <v/>
      </c>
    </row>
    <row r="17142" spans="1:7" ht="24" customHeight="1" outlineLevel="2" x14ac:dyDescent="0.2">
      <c r="A17142" s="14" t="s">
        <v>33735</v>
      </c>
      <c r="B17142" s="15" t="s">
        <v>33736</v>
      </c>
      <c r="C17142" s="16">
        <f>212.4/(1+B2)</f>
        <v>212.4</v>
      </c>
      <c r="D17142" s="17" t="s">
        <v>11</v>
      </c>
      <c r="E17142" s="17"/>
      <c r="F17142" s="18"/>
      <c r="G17142" s="36" t="str">
        <f>IF(ISNUMBER(F17142),C17142*F17142,"")</f>
        <v/>
      </c>
    </row>
    <row r="17143" spans="1:7" ht="24" customHeight="1" outlineLevel="2" x14ac:dyDescent="0.2">
      <c r="A17143" s="14" t="s">
        <v>33737</v>
      </c>
      <c r="B17143" s="15" t="s">
        <v>33738</v>
      </c>
      <c r="C17143" s="16">
        <f>105.06/(1+B2)</f>
        <v>105.06</v>
      </c>
      <c r="D17143" s="17" t="s">
        <v>11</v>
      </c>
      <c r="E17143" s="17"/>
      <c r="F17143" s="18"/>
      <c r="G17143" s="36" t="str">
        <f>IF(ISNUMBER(F17143),C17143*F17143,"")</f>
        <v/>
      </c>
    </row>
    <row r="17144" spans="1:7" ht="12" customHeight="1" outlineLevel="2" x14ac:dyDescent="0.2">
      <c r="A17144" s="14" t="s">
        <v>33739</v>
      </c>
      <c r="B17144" s="15" t="s">
        <v>33740</v>
      </c>
      <c r="C17144" s="16">
        <f>180.96/(1+B2)</f>
        <v>180.96</v>
      </c>
      <c r="D17144" s="17" t="s">
        <v>11</v>
      </c>
      <c r="E17144" s="17"/>
      <c r="F17144" s="18"/>
      <c r="G17144" s="36" t="str">
        <f>IF(ISNUMBER(F17144),C17144*F17144,"")</f>
        <v/>
      </c>
    </row>
    <row r="17145" spans="1:7" ht="12" customHeight="1" outlineLevel="2" x14ac:dyDescent="0.2">
      <c r="A17145" s="14" t="s">
        <v>33741</v>
      </c>
      <c r="B17145" s="15" t="s">
        <v>33742</v>
      </c>
      <c r="C17145" s="16">
        <f>118.76/(1+B2)</f>
        <v>118.76</v>
      </c>
      <c r="D17145" s="17" t="s">
        <v>11</v>
      </c>
      <c r="E17145" s="17"/>
      <c r="F17145" s="18"/>
      <c r="G17145" s="36" t="str">
        <f>IF(ISNUMBER(F17145),C17145*F17145,"")</f>
        <v/>
      </c>
    </row>
    <row r="17146" spans="1:7" ht="12" customHeight="1" outlineLevel="2" x14ac:dyDescent="0.2">
      <c r="A17146" s="14" t="s">
        <v>33743</v>
      </c>
      <c r="B17146" s="15" t="s">
        <v>33744</v>
      </c>
      <c r="C17146" s="16">
        <f>138.15/(1+B2)</f>
        <v>138.15</v>
      </c>
      <c r="D17146" s="17" t="s">
        <v>11</v>
      </c>
      <c r="E17146" s="17"/>
      <c r="F17146" s="18"/>
      <c r="G17146" s="36" t="str">
        <f>IF(ISNUMBER(F17146),C17146*F17146,"")</f>
        <v/>
      </c>
    </row>
    <row r="17147" spans="1:7" ht="24" customHeight="1" outlineLevel="2" x14ac:dyDescent="0.2">
      <c r="A17147" s="14" t="s">
        <v>33745</v>
      </c>
      <c r="B17147" s="15" t="s">
        <v>33746</v>
      </c>
      <c r="C17147" s="16">
        <f>130.27/(1+B2)</f>
        <v>130.27000000000001</v>
      </c>
      <c r="D17147" s="17" t="s">
        <v>11</v>
      </c>
      <c r="E17147" s="17"/>
      <c r="F17147" s="18"/>
      <c r="G17147" s="36" t="str">
        <f>IF(ISNUMBER(F17147),C17147*F17147,"")</f>
        <v/>
      </c>
    </row>
    <row r="17148" spans="1:7" ht="12" customHeight="1" outlineLevel="2" x14ac:dyDescent="0.2">
      <c r="A17148" s="14" t="s">
        <v>33747</v>
      </c>
      <c r="B17148" s="15" t="s">
        <v>33748</v>
      </c>
      <c r="C17148" s="16">
        <f>151.32/(1+B2)</f>
        <v>151.32</v>
      </c>
      <c r="D17148" s="17" t="s">
        <v>11</v>
      </c>
      <c r="E17148" s="17"/>
      <c r="F17148" s="18"/>
      <c r="G17148" s="36" t="str">
        <f>IF(ISNUMBER(F17148),C17148*F17148,"")</f>
        <v/>
      </c>
    </row>
    <row r="17149" spans="1:7" ht="12" customHeight="1" outlineLevel="2" x14ac:dyDescent="0.2">
      <c r="A17149" s="14" t="s">
        <v>33749</v>
      </c>
      <c r="B17149" s="15" t="s">
        <v>33750</v>
      </c>
      <c r="C17149" s="16">
        <f>263.78/(1+B2)</f>
        <v>263.77999999999997</v>
      </c>
      <c r="D17149" s="17" t="s">
        <v>11</v>
      </c>
      <c r="E17149" s="17"/>
      <c r="F17149" s="18"/>
      <c r="G17149" s="36" t="str">
        <f>IF(ISNUMBER(F17149),C17149*F17149,"")</f>
        <v/>
      </c>
    </row>
    <row r="17150" spans="1:7" ht="24" customHeight="1" outlineLevel="2" x14ac:dyDescent="0.2">
      <c r="A17150" s="14" t="s">
        <v>33751</v>
      </c>
      <c r="B17150" s="15" t="s">
        <v>33752</v>
      </c>
      <c r="C17150" s="16">
        <f>247.8/(1+B2)</f>
        <v>247.8</v>
      </c>
      <c r="D17150" s="17" t="s">
        <v>11</v>
      </c>
      <c r="E17150" s="17" t="s">
        <v>11</v>
      </c>
      <c r="F17150" s="18"/>
      <c r="G17150" s="36" t="str">
        <f>IF(ISNUMBER(F17150),C17150*F17150,"")</f>
        <v/>
      </c>
    </row>
    <row r="17151" spans="1:7" ht="12" customHeight="1" outlineLevel="2" x14ac:dyDescent="0.2">
      <c r="A17151" s="14" t="s">
        <v>33753</v>
      </c>
      <c r="B17151" s="15" t="s">
        <v>33754</v>
      </c>
      <c r="C17151" s="16">
        <f>177/(1+B2)</f>
        <v>177</v>
      </c>
      <c r="D17151" s="17" t="s">
        <v>11</v>
      </c>
      <c r="E17151" s="17" t="s">
        <v>11</v>
      </c>
      <c r="F17151" s="18"/>
      <c r="G17151" s="36" t="str">
        <f>IF(ISNUMBER(F17151),C17151*F17151,"")</f>
        <v/>
      </c>
    </row>
    <row r="17152" spans="1:7" ht="12" customHeight="1" outlineLevel="2" x14ac:dyDescent="0.2">
      <c r="A17152" s="14" t="s">
        <v>33755</v>
      </c>
      <c r="B17152" s="15" t="s">
        <v>33756</v>
      </c>
      <c r="C17152" s="16">
        <f>169.74/(1+B2)</f>
        <v>169.74</v>
      </c>
      <c r="D17152" s="17" t="s">
        <v>11</v>
      </c>
      <c r="E17152" s="17"/>
      <c r="F17152" s="18"/>
      <c r="G17152" s="36" t="str">
        <f>IF(ISNUMBER(F17152),C17152*F17152,"")</f>
        <v/>
      </c>
    </row>
    <row r="17153" spans="1:7" ht="12" customHeight="1" outlineLevel="2" x14ac:dyDescent="0.2">
      <c r="A17153" s="14" t="s">
        <v>33757</v>
      </c>
      <c r="B17153" s="15" t="s">
        <v>33758</v>
      </c>
      <c r="C17153" s="16">
        <f>120.34/(1+B2)</f>
        <v>120.34</v>
      </c>
      <c r="D17153" s="17" t="s">
        <v>11</v>
      </c>
      <c r="E17153" s="17"/>
      <c r="F17153" s="18"/>
      <c r="G17153" s="36" t="str">
        <f>IF(ISNUMBER(F17153),C17153*F17153,"")</f>
        <v/>
      </c>
    </row>
    <row r="17154" spans="1:7" ht="12" customHeight="1" outlineLevel="2" x14ac:dyDescent="0.2">
      <c r="A17154" s="14" t="s">
        <v>33759</v>
      </c>
      <c r="B17154" s="15" t="s">
        <v>33760</v>
      </c>
      <c r="C17154" s="16">
        <f>133.01/(1+B2)</f>
        <v>133.01</v>
      </c>
      <c r="D17154" s="17" t="s">
        <v>11</v>
      </c>
      <c r="E17154" s="17"/>
      <c r="F17154" s="18"/>
      <c r="G17154" s="36" t="str">
        <f>IF(ISNUMBER(F17154),C17154*F17154,"")</f>
        <v/>
      </c>
    </row>
    <row r="17155" spans="1:7" ht="12" customHeight="1" outlineLevel="2" x14ac:dyDescent="0.2">
      <c r="A17155" s="14" t="s">
        <v>33761</v>
      </c>
      <c r="B17155" s="15" t="s">
        <v>33762</v>
      </c>
      <c r="C17155" s="16">
        <f>124.46/(1+B2)</f>
        <v>124.46</v>
      </c>
      <c r="D17155" s="17" t="s">
        <v>11</v>
      </c>
      <c r="E17155" s="17"/>
      <c r="F17155" s="18"/>
      <c r="G17155" s="36" t="str">
        <f>IF(ISNUMBER(F17155),C17155*F17155,"")</f>
        <v/>
      </c>
    </row>
    <row r="17156" spans="1:7" ht="12" customHeight="1" outlineLevel="2" x14ac:dyDescent="0.2">
      <c r="A17156" s="14" t="s">
        <v>33763</v>
      </c>
      <c r="B17156" s="15" t="s">
        <v>33764</v>
      </c>
      <c r="C17156" s="16">
        <f>140.62/(1+B2)</f>
        <v>140.62</v>
      </c>
      <c r="D17156" s="17" t="s">
        <v>11</v>
      </c>
      <c r="E17156" s="17"/>
      <c r="F17156" s="18"/>
      <c r="G17156" s="36" t="str">
        <f>IF(ISNUMBER(F17156),C17156*F17156,"")</f>
        <v/>
      </c>
    </row>
    <row r="17157" spans="1:7" ht="12" customHeight="1" outlineLevel="2" x14ac:dyDescent="0.2">
      <c r="A17157" s="14" t="s">
        <v>33765</v>
      </c>
      <c r="B17157" s="15" t="s">
        <v>33766</v>
      </c>
      <c r="C17157" s="16">
        <f>91.3/(1+B2)</f>
        <v>91.3</v>
      </c>
      <c r="D17157" s="17" t="s">
        <v>11</v>
      </c>
      <c r="E17157" s="17"/>
      <c r="F17157" s="18"/>
      <c r="G17157" s="36" t="str">
        <f>IF(ISNUMBER(F17157),C17157*F17157,"")</f>
        <v/>
      </c>
    </row>
    <row r="17158" spans="1:7" ht="12" customHeight="1" outlineLevel="2" x14ac:dyDescent="0.2">
      <c r="A17158" s="14" t="s">
        <v>33767</v>
      </c>
      <c r="B17158" s="15" t="s">
        <v>33768</v>
      </c>
      <c r="C17158" s="16">
        <f>114.19/(1+B2)</f>
        <v>114.19</v>
      </c>
      <c r="D17158" s="17" t="s">
        <v>11</v>
      </c>
      <c r="E17158" s="17" t="s">
        <v>11</v>
      </c>
      <c r="F17158" s="18"/>
      <c r="G17158" s="36" t="str">
        <f>IF(ISNUMBER(F17158),C17158*F17158,"")</f>
        <v/>
      </c>
    </row>
    <row r="17159" spans="1:7" ht="12" customHeight="1" outlineLevel="2" x14ac:dyDescent="0.2">
      <c r="A17159" s="14" t="s">
        <v>33769</v>
      </c>
      <c r="B17159" s="15" t="s">
        <v>33770</v>
      </c>
      <c r="C17159" s="16">
        <f>116.47/(1+B2)</f>
        <v>116.47</v>
      </c>
      <c r="D17159" s="17" t="s">
        <v>11</v>
      </c>
      <c r="E17159" s="17" t="s">
        <v>53</v>
      </c>
      <c r="F17159" s="18"/>
      <c r="G17159" s="36" t="str">
        <f>IF(ISNUMBER(F17159),C17159*F17159,"")</f>
        <v/>
      </c>
    </row>
    <row r="17160" spans="1:7" ht="12" customHeight="1" outlineLevel="2" x14ac:dyDescent="0.2">
      <c r="A17160" s="14" t="s">
        <v>33771</v>
      </c>
      <c r="B17160" s="15" t="s">
        <v>33772</v>
      </c>
      <c r="C17160" s="16">
        <f>174.72/(1+B2)</f>
        <v>174.72</v>
      </c>
      <c r="D17160" s="17" t="s">
        <v>11</v>
      </c>
      <c r="E17160" s="17" t="s">
        <v>11</v>
      </c>
      <c r="F17160" s="18"/>
      <c r="G17160" s="36" t="str">
        <f>IF(ISNUMBER(F17160),C17160*F17160,"")</f>
        <v/>
      </c>
    </row>
    <row r="17161" spans="1:7" ht="12" customHeight="1" outlineLevel="2" x14ac:dyDescent="0.2">
      <c r="A17161" s="14" t="s">
        <v>33773</v>
      </c>
      <c r="B17161" s="15" t="s">
        <v>33774</v>
      </c>
      <c r="C17161" s="16">
        <f>74.22/(1+B2)</f>
        <v>74.22</v>
      </c>
      <c r="D17161" s="17" t="s">
        <v>11</v>
      </c>
      <c r="E17161" s="17" t="s">
        <v>11</v>
      </c>
      <c r="F17161" s="18"/>
      <c r="G17161" s="36" t="str">
        <f>IF(ISNUMBER(F17161),C17161*F17161,"")</f>
        <v/>
      </c>
    </row>
    <row r="17162" spans="1:7" ht="12" customHeight="1" outlineLevel="2" x14ac:dyDescent="0.2">
      <c r="A17162" s="14" t="s">
        <v>33775</v>
      </c>
      <c r="B17162" s="15" t="s">
        <v>33776</v>
      </c>
      <c r="C17162" s="16">
        <f>210.11/(1+B2)</f>
        <v>210.11</v>
      </c>
      <c r="D17162" s="17" t="s">
        <v>11</v>
      </c>
      <c r="E17162" s="17"/>
      <c r="F17162" s="18"/>
      <c r="G17162" s="36" t="str">
        <f>IF(ISNUMBER(F17162),C17162*F17162,"")</f>
        <v/>
      </c>
    </row>
    <row r="17163" spans="1:7" ht="12" customHeight="1" outlineLevel="2" x14ac:dyDescent="0.2">
      <c r="A17163" s="14" t="s">
        <v>33777</v>
      </c>
      <c r="B17163" s="15" t="s">
        <v>33778</v>
      </c>
      <c r="C17163" s="16">
        <f>43.97/(1+B2)</f>
        <v>43.97</v>
      </c>
      <c r="D17163" s="17" t="s">
        <v>11</v>
      </c>
      <c r="E17163" s="17" t="s">
        <v>14</v>
      </c>
      <c r="F17163" s="18"/>
      <c r="G17163" s="36" t="str">
        <f>IF(ISNUMBER(F17163),C17163*F17163,"")</f>
        <v/>
      </c>
    </row>
    <row r="17164" spans="1:7" ht="12" customHeight="1" outlineLevel="2" x14ac:dyDescent="0.2">
      <c r="A17164" s="14" t="s">
        <v>33779</v>
      </c>
      <c r="B17164" s="15" t="s">
        <v>33780</v>
      </c>
      <c r="C17164" s="16">
        <f>169.94/(1+B2)</f>
        <v>169.94</v>
      </c>
      <c r="D17164" s="17" t="s">
        <v>11</v>
      </c>
      <c r="E17164" s="17"/>
      <c r="F17164" s="18"/>
      <c r="G17164" s="36" t="str">
        <f>IF(ISNUMBER(F17164),C17164*F17164,"")</f>
        <v/>
      </c>
    </row>
    <row r="17165" spans="1:7" ht="12" customHeight="1" outlineLevel="2" x14ac:dyDescent="0.2">
      <c r="A17165" s="14" t="s">
        <v>33781</v>
      </c>
      <c r="B17165" s="15" t="s">
        <v>33782</v>
      </c>
      <c r="C17165" s="16">
        <f>165.39/(1+B2)</f>
        <v>165.39</v>
      </c>
      <c r="D17165" s="17" t="s">
        <v>14</v>
      </c>
      <c r="E17165" s="17"/>
      <c r="F17165" s="18"/>
      <c r="G17165" s="36" t="str">
        <f>IF(ISNUMBER(F17165),C17165*F17165,"")</f>
        <v/>
      </c>
    </row>
    <row r="17166" spans="1:7" ht="12" customHeight="1" outlineLevel="2" x14ac:dyDescent="0.2">
      <c r="A17166" s="14" t="s">
        <v>33783</v>
      </c>
      <c r="B17166" s="15" t="s">
        <v>33784</v>
      </c>
      <c r="C17166" s="16">
        <f>149.85/(1+B2)</f>
        <v>149.85</v>
      </c>
      <c r="D17166" s="17" t="s">
        <v>11</v>
      </c>
      <c r="E17166" s="17"/>
      <c r="F17166" s="18"/>
      <c r="G17166" s="36" t="str">
        <f>IF(ISNUMBER(F17166),C17166*F17166,"")</f>
        <v/>
      </c>
    </row>
    <row r="17167" spans="1:7" ht="12" customHeight="1" outlineLevel="2" x14ac:dyDescent="0.2">
      <c r="A17167" s="14" t="s">
        <v>33785</v>
      </c>
      <c r="B17167" s="15" t="s">
        <v>33786</v>
      </c>
      <c r="C17167" s="16">
        <f>101.25/(1+B2)</f>
        <v>101.25</v>
      </c>
      <c r="D17167" s="17" t="s">
        <v>11</v>
      </c>
      <c r="E17167" s="17"/>
      <c r="F17167" s="18"/>
      <c r="G17167" s="36" t="str">
        <f>IF(ISNUMBER(F17167),C17167*F17167,"")</f>
        <v/>
      </c>
    </row>
    <row r="17168" spans="1:7" ht="12" customHeight="1" outlineLevel="2" x14ac:dyDescent="0.2">
      <c r="A17168" s="14" t="s">
        <v>33787</v>
      </c>
      <c r="B17168" s="15" t="s">
        <v>33788</v>
      </c>
      <c r="C17168" s="16">
        <f>200.67/(1+B2)</f>
        <v>200.67</v>
      </c>
      <c r="D17168" s="17" t="s">
        <v>11</v>
      </c>
      <c r="E17168" s="17" t="s">
        <v>11</v>
      </c>
      <c r="F17168" s="18"/>
      <c r="G17168" s="36" t="str">
        <f>IF(ISNUMBER(F17168),C17168*F17168,"")</f>
        <v/>
      </c>
    </row>
    <row r="17169" spans="1:7" ht="12" customHeight="1" outlineLevel="2" x14ac:dyDescent="0.2">
      <c r="A17169" s="14" t="s">
        <v>33789</v>
      </c>
      <c r="B17169" s="15" t="s">
        <v>33790</v>
      </c>
      <c r="C17169" s="16">
        <f>97.2/(1+B2)</f>
        <v>97.2</v>
      </c>
      <c r="D17169" s="17" t="s">
        <v>11</v>
      </c>
      <c r="E17169" s="17"/>
      <c r="F17169" s="18"/>
      <c r="G17169" s="36" t="str">
        <f>IF(ISNUMBER(F17169),C17169*F17169,"")</f>
        <v/>
      </c>
    </row>
    <row r="17170" spans="1:7" ht="12" customHeight="1" outlineLevel="2" x14ac:dyDescent="0.2">
      <c r="A17170" s="14" t="s">
        <v>33791</v>
      </c>
      <c r="B17170" s="15" t="s">
        <v>33792</v>
      </c>
      <c r="C17170" s="16">
        <f>131.79/(1+B2)</f>
        <v>131.79</v>
      </c>
      <c r="D17170" s="17" t="s">
        <v>11</v>
      </c>
      <c r="E17170" s="17" t="s">
        <v>11</v>
      </c>
      <c r="F17170" s="18"/>
      <c r="G17170" s="36" t="str">
        <f>IF(ISNUMBER(F17170),C17170*F17170,"")</f>
        <v/>
      </c>
    </row>
    <row r="17171" spans="1:7" ht="12" customHeight="1" outlineLevel="2" x14ac:dyDescent="0.2">
      <c r="A17171" s="14" t="s">
        <v>33793</v>
      </c>
      <c r="B17171" s="15" t="s">
        <v>33794</v>
      </c>
      <c r="C17171" s="16">
        <f>188.79/(1+B2)</f>
        <v>188.79</v>
      </c>
      <c r="D17171" s="17" t="s">
        <v>11</v>
      </c>
      <c r="E17171" s="17"/>
      <c r="F17171" s="18"/>
      <c r="G17171" s="36" t="str">
        <f>IF(ISNUMBER(F17171),C17171*F17171,"")</f>
        <v/>
      </c>
    </row>
    <row r="17172" spans="1:7" ht="12" customHeight="1" outlineLevel="2" x14ac:dyDescent="0.2">
      <c r="A17172" s="14" t="s">
        <v>33795</v>
      </c>
      <c r="B17172" s="15" t="s">
        <v>33796</v>
      </c>
      <c r="C17172" s="16">
        <f>89.52/(1+B2)</f>
        <v>89.52</v>
      </c>
      <c r="D17172" s="17" t="s">
        <v>14</v>
      </c>
      <c r="E17172" s="17"/>
      <c r="F17172" s="18"/>
      <c r="G17172" s="36" t="str">
        <f>IF(ISNUMBER(F17172),C17172*F17172,"")</f>
        <v/>
      </c>
    </row>
    <row r="17173" spans="1:7" ht="12" customHeight="1" outlineLevel="2" x14ac:dyDescent="0.2">
      <c r="A17173" s="14" t="s">
        <v>33797</v>
      </c>
      <c r="B17173" s="15" t="s">
        <v>33798</v>
      </c>
      <c r="C17173" s="16">
        <f>232.43/(1+B2)</f>
        <v>232.43</v>
      </c>
      <c r="D17173" s="17" t="s">
        <v>11</v>
      </c>
      <c r="E17173" s="17"/>
      <c r="F17173" s="18"/>
      <c r="G17173" s="36" t="str">
        <f>IF(ISNUMBER(F17173),C17173*F17173,"")</f>
        <v/>
      </c>
    </row>
    <row r="17174" spans="1:7" ht="12" customHeight="1" outlineLevel="2" x14ac:dyDescent="0.2">
      <c r="A17174" s="14" t="s">
        <v>33799</v>
      </c>
      <c r="B17174" s="15" t="s">
        <v>33800</v>
      </c>
      <c r="C17174" s="16">
        <f>239.2/(1+B2)</f>
        <v>239.2</v>
      </c>
      <c r="D17174" s="17" t="s">
        <v>11</v>
      </c>
      <c r="E17174" s="17" t="s">
        <v>11</v>
      </c>
      <c r="F17174" s="18"/>
      <c r="G17174" s="36" t="str">
        <f>IF(ISNUMBER(F17174),C17174*F17174,"")</f>
        <v/>
      </c>
    </row>
    <row r="17175" spans="1:7" ht="12" customHeight="1" outlineLevel="2" x14ac:dyDescent="0.2">
      <c r="A17175" s="14" t="s">
        <v>33801</v>
      </c>
      <c r="B17175" s="15" t="s">
        <v>33802</v>
      </c>
      <c r="C17175" s="16">
        <f>177.55/(1+B2)</f>
        <v>177.55</v>
      </c>
      <c r="D17175" s="17" t="s">
        <v>11</v>
      </c>
      <c r="E17175" s="17"/>
      <c r="F17175" s="18"/>
      <c r="G17175" s="36" t="str">
        <f>IF(ISNUMBER(F17175),C17175*F17175,"")</f>
        <v/>
      </c>
    </row>
    <row r="17176" spans="1:7" ht="12" customHeight="1" outlineLevel="2" x14ac:dyDescent="0.2">
      <c r="A17176" s="14" t="s">
        <v>33803</v>
      </c>
      <c r="B17176" s="15" t="s">
        <v>33804</v>
      </c>
      <c r="C17176" s="16">
        <f>149.41/(1+B2)</f>
        <v>149.41</v>
      </c>
      <c r="D17176" s="17" t="s">
        <v>11</v>
      </c>
      <c r="E17176" s="17" t="s">
        <v>14</v>
      </c>
      <c r="F17176" s="18"/>
      <c r="G17176" s="36" t="str">
        <f>IF(ISNUMBER(F17176),C17176*F17176,"")</f>
        <v/>
      </c>
    </row>
    <row r="17177" spans="1:7" ht="12" customHeight="1" outlineLevel="2" x14ac:dyDescent="0.2">
      <c r="A17177" s="14" t="s">
        <v>33805</v>
      </c>
      <c r="B17177" s="15" t="s">
        <v>33806</v>
      </c>
      <c r="C17177" s="16">
        <f>101.59/(1+B2)</f>
        <v>101.59</v>
      </c>
      <c r="D17177" s="17" t="s">
        <v>11</v>
      </c>
      <c r="E17177" s="17"/>
      <c r="F17177" s="18"/>
      <c r="G17177" s="36" t="str">
        <f>IF(ISNUMBER(F17177),C17177*F17177,"")</f>
        <v/>
      </c>
    </row>
    <row r="17178" spans="1:7" ht="12" customHeight="1" outlineLevel="2" x14ac:dyDescent="0.2">
      <c r="A17178" s="14" t="s">
        <v>33807</v>
      </c>
      <c r="B17178" s="15" t="s">
        <v>33808</v>
      </c>
      <c r="C17178" s="16">
        <f>159.11/(1+B2)</f>
        <v>159.11000000000001</v>
      </c>
      <c r="D17178" s="17" t="s">
        <v>11</v>
      </c>
      <c r="E17178" s="17"/>
      <c r="F17178" s="18"/>
      <c r="G17178" s="36" t="str">
        <f>IF(ISNUMBER(F17178),C17178*F17178,"")</f>
        <v/>
      </c>
    </row>
    <row r="17179" spans="1:7" ht="12" customHeight="1" outlineLevel="2" x14ac:dyDescent="0.2">
      <c r="A17179" s="14" t="s">
        <v>33809</v>
      </c>
      <c r="B17179" s="15" t="s">
        <v>33810</v>
      </c>
      <c r="C17179" s="16">
        <f>124.39/(1+B2)</f>
        <v>124.39</v>
      </c>
      <c r="D17179" s="17" t="s">
        <v>14</v>
      </c>
      <c r="E17179" s="17"/>
      <c r="F17179" s="18"/>
      <c r="G17179" s="36" t="str">
        <f>IF(ISNUMBER(F17179),C17179*F17179,"")</f>
        <v/>
      </c>
    </row>
    <row r="17180" spans="1:7" s="1" customFormat="1" ht="15.95" customHeight="1" outlineLevel="1" x14ac:dyDescent="0.25">
      <c r="A17180" s="11"/>
      <c r="B17180" s="12" t="s">
        <v>33811</v>
      </c>
      <c r="C17180" s="13"/>
      <c r="D17180" s="13"/>
      <c r="E17180" s="13"/>
      <c r="F17180" s="13"/>
      <c r="G17180" s="35"/>
    </row>
    <row r="17181" spans="1:7" ht="12" customHeight="1" outlineLevel="2" x14ac:dyDescent="0.2">
      <c r="A17181" s="14" t="s">
        <v>33812</v>
      </c>
      <c r="B17181" s="15" t="s">
        <v>33813</v>
      </c>
      <c r="C17181" s="16">
        <f>179.03/(1+B2)</f>
        <v>179.03</v>
      </c>
      <c r="D17181" s="17" t="s">
        <v>11</v>
      </c>
      <c r="E17181" s="17"/>
      <c r="F17181" s="18"/>
      <c r="G17181" s="36" t="str">
        <f>IF(ISNUMBER(F17181),C17181*F17181,"")</f>
        <v/>
      </c>
    </row>
    <row r="17182" spans="1:7" ht="12" customHeight="1" outlineLevel="2" x14ac:dyDescent="0.2">
      <c r="A17182" s="14" t="s">
        <v>33814</v>
      </c>
      <c r="B17182" s="15" t="s">
        <v>33815</v>
      </c>
      <c r="C17182" s="16">
        <f>179.03/(1+B2)</f>
        <v>179.03</v>
      </c>
      <c r="D17182" s="17" t="s">
        <v>11</v>
      </c>
      <c r="E17182" s="17"/>
      <c r="F17182" s="18"/>
      <c r="G17182" s="36" t="str">
        <f>IF(ISNUMBER(F17182),C17182*F17182,"")</f>
        <v/>
      </c>
    </row>
    <row r="17183" spans="1:7" ht="12" customHeight="1" outlineLevel="2" x14ac:dyDescent="0.2">
      <c r="A17183" s="14" t="s">
        <v>33816</v>
      </c>
      <c r="B17183" s="15" t="s">
        <v>33817</v>
      </c>
      <c r="C17183" s="16">
        <f>179.03/(1+B2)</f>
        <v>179.03</v>
      </c>
      <c r="D17183" s="17" t="s">
        <v>11</v>
      </c>
      <c r="E17183" s="17"/>
      <c r="F17183" s="18"/>
      <c r="G17183" s="36" t="str">
        <f>IF(ISNUMBER(F17183),C17183*F17183,"")</f>
        <v/>
      </c>
    </row>
    <row r="17184" spans="1:7" ht="12" customHeight="1" outlineLevel="2" x14ac:dyDescent="0.2">
      <c r="A17184" s="14" t="s">
        <v>33818</v>
      </c>
      <c r="B17184" s="15" t="s">
        <v>33819</v>
      </c>
      <c r="C17184" s="16">
        <f>176.93/(1+B2)</f>
        <v>176.93</v>
      </c>
      <c r="D17184" s="17" t="s">
        <v>11</v>
      </c>
      <c r="E17184" s="17"/>
      <c r="F17184" s="18"/>
      <c r="G17184" s="36" t="str">
        <f>IF(ISNUMBER(F17184),C17184*F17184,"")</f>
        <v/>
      </c>
    </row>
    <row r="17185" spans="1:7" ht="12" customHeight="1" outlineLevel="2" x14ac:dyDescent="0.2">
      <c r="A17185" s="14" t="s">
        <v>33820</v>
      </c>
      <c r="B17185" s="15" t="s">
        <v>33821</v>
      </c>
      <c r="C17185" s="16">
        <f>159.24/(1+B2)</f>
        <v>159.24</v>
      </c>
      <c r="D17185" s="17" t="s">
        <v>14</v>
      </c>
      <c r="E17185" s="17"/>
      <c r="F17185" s="18"/>
      <c r="G17185" s="36" t="str">
        <f>IF(ISNUMBER(F17185),C17185*F17185,"")</f>
        <v/>
      </c>
    </row>
    <row r="17186" spans="1:7" ht="12" customHeight="1" outlineLevel="2" x14ac:dyDescent="0.2">
      <c r="A17186" s="14" t="s">
        <v>33822</v>
      </c>
      <c r="B17186" s="15" t="s">
        <v>33823</v>
      </c>
      <c r="C17186" s="16">
        <f>176.93/(1+B2)</f>
        <v>176.93</v>
      </c>
      <c r="D17186" s="17" t="s">
        <v>11</v>
      </c>
      <c r="E17186" s="17"/>
      <c r="F17186" s="18"/>
      <c r="G17186" s="36" t="str">
        <f>IF(ISNUMBER(F17186),C17186*F17186,"")</f>
        <v/>
      </c>
    </row>
    <row r="17187" spans="1:7" ht="12" customHeight="1" outlineLevel="2" x14ac:dyDescent="0.2">
      <c r="A17187" s="14" t="s">
        <v>33824</v>
      </c>
      <c r="B17187" s="15" t="s">
        <v>33825</v>
      </c>
      <c r="C17187" s="16">
        <f>738.48/(1+B2)</f>
        <v>738.48</v>
      </c>
      <c r="D17187" s="17" t="s">
        <v>11</v>
      </c>
      <c r="E17187" s="17"/>
      <c r="F17187" s="18"/>
      <c r="G17187" s="36" t="str">
        <f>IF(ISNUMBER(F17187),C17187*F17187,"")</f>
        <v/>
      </c>
    </row>
    <row r="17188" spans="1:7" ht="12" customHeight="1" outlineLevel="2" x14ac:dyDescent="0.2">
      <c r="A17188" s="14" t="s">
        <v>33826</v>
      </c>
      <c r="B17188" s="15" t="s">
        <v>33827</v>
      </c>
      <c r="C17188" s="19">
        <f>1435.64/(1+B2)</f>
        <v>1435.64</v>
      </c>
      <c r="D17188" s="17" t="s">
        <v>11</v>
      </c>
      <c r="E17188" s="17"/>
      <c r="F17188" s="18"/>
      <c r="G17188" s="36" t="str">
        <f>IF(ISNUMBER(F17188),C17188*F17188,"")</f>
        <v/>
      </c>
    </row>
    <row r="17189" spans="1:7" ht="12" customHeight="1" outlineLevel="2" x14ac:dyDescent="0.2">
      <c r="A17189" s="14" t="s">
        <v>33828</v>
      </c>
      <c r="B17189" s="15" t="s">
        <v>33829</v>
      </c>
      <c r="C17189" s="16">
        <f>281.87/(1+B2)</f>
        <v>281.87</v>
      </c>
      <c r="D17189" s="17" t="s">
        <v>11</v>
      </c>
      <c r="E17189" s="17"/>
      <c r="F17189" s="18"/>
      <c r="G17189" s="36" t="str">
        <f>IF(ISNUMBER(F17189),C17189*F17189,"")</f>
        <v/>
      </c>
    </row>
    <row r="17190" spans="1:7" ht="12" customHeight="1" outlineLevel="2" x14ac:dyDescent="0.2">
      <c r="A17190" s="14" t="s">
        <v>33830</v>
      </c>
      <c r="B17190" s="15" t="s">
        <v>33831</v>
      </c>
      <c r="C17190" s="16">
        <f>148.5/(1+B2)</f>
        <v>148.5</v>
      </c>
      <c r="D17190" s="17" t="s">
        <v>11</v>
      </c>
      <c r="E17190" s="17" t="s">
        <v>11</v>
      </c>
      <c r="F17190" s="18"/>
      <c r="G17190" s="36" t="str">
        <f>IF(ISNUMBER(F17190),C17190*F17190,"")</f>
        <v/>
      </c>
    </row>
    <row r="17191" spans="1:7" ht="12" customHeight="1" outlineLevel="2" x14ac:dyDescent="0.2">
      <c r="A17191" s="14" t="s">
        <v>33832</v>
      </c>
      <c r="B17191" s="15" t="s">
        <v>33833</v>
      </c>
      <c r="C17191" s="16">
        <f>964.24/(1+B2)</f>
        <v>964.24</v>
      </c>
      <c r="D17191" s="17" t="s">
        <v>11</v>
      </c>
      <c r="E17191" s="17" t="s">
        <v>11</v>
      </c>
      <c r="F17191" s="18"/>
      <c r="G17191" s="36" t="str">
        <f>IF(ISNUMBER(F17191),C17191*F17191,"")</f>
        <v/>
      </c>
    </row>
    <row r="17192" spans="1:7" ht="12" customHeight="1" outlineLevel="2" x14ac:dyDescent="0.2">
      <c r="A17192" s="14" t="s">
        <v>33834</v>
      </c>
      <c r="B17192" s="15" t="s">
        <v>33835</v>
      </c>
      <c r="C17192" s="16">
        <f>664.96/(1+B2)</f>
        <v>664.96</v>
      </c>
      <c r="D17192" s="17" t="s">
        <v>11</v>
      </c>
      <c r="E17192" s="17"/>
      <c r="F17192" s="18"/>
      <c r="G17192" s="36" t="str">
        <f>IF(ISNUMBER(F17192),C17192*F17192,"")</f>
        <v/>
      </c>
    </row>
    <row r="17193" spans="1:7" ht="12" customHeight="1" outlineLevel="2" x14ac:dyDescent="0.2">
      <c r="A17193" s="14" t="s">
        <v>33836</v>
      </c>
      <c r="B17193" s="15" t="s">
        <v>33837</v>
      </c>
      <c r="C17193" s="16">
        <f>230.13/(1+B2)</f>
        <v>230.13</v>
      </c>
      <c r="D17193" s="17" t="s">
        <v>11</v>
      </c>
      <c r="E17193" s="17"/>
      <c r="F17193" s="18"/>
      <c r="G17193" s="36" t="str">
        <f>IF(ISNUMBER(F17193),C17193*F17193,"")</f>
        <v/>
      </c>
    </row>
    <row r="17194" spans="1:7" ht="24" customHeight="1" outlineLevel="2" x14ac:dyDescent="0.2">
      <c r="A17194" s="14" t="s">
        <v>33838</v>
      </c>
      <c r="B17194" s="15" t="s">
        <v>33839</v>
      </c>
      <c r="C17194" s="16">
        <f>172.09/(1+B2)</f>
        <v>172.09</v>
      </c>
      <c r="D17194" s="17" t="s">
        <v>11</v>
      </c>
      <c r="E17194" s="17"/>
      <c r="F17194" s="18"/>
      <c r="G17194" s="36" t="str">
        <f>IF(ISNUMBER(F17194),C17194*F17194,"")</f>
        <v/>
      </c>
    </row>
    <row r="17195" spans="1:7" ht="24" customHeight="1" outlineLevel="2" x14ac:dyDescent="0.2">
      <c r="A17195" s="14" t="s">
        <v>33840</v>
      </c>
      <c r="B17195" s="15" t="s">
        <v>33841</v>
      </c>
      <c r="C17195" s="16">
        <f>230.59/(1+B2)</f>
        <v>230.59</v>
      </c>
      <c r="D17195" s="17" t="s">
        <v>11</v>
      </c>
      <c r="E17195" s="17"/>
      <c r="F17195" s="18"/>
      <c r="G17195" s="36" t="str">
        <f>IF(ISNUMBER(F17195),C17195*F17195,"")</f>
        <v/>
      </c>
    </row>
    <row r="17196" spans="1:7" ht="24" customHeight="1" outlineLevel="2" x14ac:dyDescent="0.2">
      <c r="A17196" s="14" t="s">
        <v>33842</v>
      </c>
      <c r="B17196" s="15" t="s">
        <v>33843</v>
      </c>
      <c r="C17196" s="16">
        <f>138.56/(1+B2)</f>
        <v>138.56</v>
      </c>
      <c r="D17196" s="17" t="s">
        <v>11</v>
      </c>
      <c r="E17196" s="17"/>
      <c r="F17196" s="18"/>
      <c r="G17196" s="36" t="str">
        <f>IF(ISNUMBER(F17196),C17196*F17196,"")</f>
        <v/>
      </c>
    </row>
    <row r="17197" spans="1:7" ht="24" customHeight="1" outlineLevel="2" x14ac:dyDescent="0.2">
      <c r="A17197" s="14" t="s">
        <v>33844</v>
      </c>
      <c r="B17197" s="15" t="s">
        <v>33845</v>
      </c>
      <c r="C17197" s="16">
        <f>212.45/(1+B2)</f>
        <v>212.45</v>
      </c>
      <c r="D17197" s="17" t="s">
        <v>11</v>
      </c>
      <c r="E17197" s="17"/>
      <c r="F17197" s="18"/>
      <c r="G17197" s="36" t="str">
        <f>IF(ISNUMBER(F17197),C17197*F17197,"")</f>
        <v/>
      </c>
    </row>
    <row r="17198" spans="1:7" ht="12" customHeight="1" outlineLevel="2" x14ac:dyDescent="0.2">
      <c r="A17198" s="14" t="s">
        <v>33846</v>
      </c>
      <c r="B17198" s="15" t="s">
        <v>33847</v>
      </c>
      <c r="C17198" s="16">
        <f>293.19/(1+B2)</f>
        <v>293.19</v>
      </c>
      <c r="D17198" s="17" t="s">
        <v>11</v>
      </c>
      <c r="E17198" s="17" t="s">
        <v>11</v>
      </c>
      <c r="F17198" s="18"/>
      <c r="G17198" s="36" t="str">
        <f>IF(ISNUMBER(F17198),C17198*F17198,"")</f>
        <v/>
      </c>
    </row>
    <row r="17199" spans="1:7" ht="12" customHeight="1" outlineLevel="2" x14ac:dyDescent="0.2">
      <c r="A17199" s="14" t="s">
        <v>33848</v>
      </c>
      <c r="B17199" s="15" t="s">
        <v>33849</v>
      </c>
      <c r="C17199" s="16">
        <f>554.58/(1+B2)</f>
        <v>554.58000000000004</v>
      </c>
      <c r="D17199" s="17" t="s">
        <v>11</v>
      </c>
      <c r="E17199" s="17"/>
      <c r="F17199" s="18"/>
      <c r="G17199" s="36" t="str">
        <f>IF(ISNUMBER(F17199),C17199*F17199,"")</f>
        <v/>
      </c>
    </row>
    <row r="17200" spans="1:7" ht="12" customHeight="1" outlineLevel="2" x14ac:dyDescent="0.2">
      <c r="A17200" s="14" t="s">
        <v>33850</v>
      </c>
      <c r="B17200" s="15" t="s">
        <v>33851</v>
      </c>
      <c r="C17200" s="16">
        <f>554.58/(1+B2)</f>
        <v>554.58000000000004</v>
      </c>
      <c r="D17200" s="17" t="s">
        <v>11</v>
      </c>
      <c r="E17200" s="17"/>
      <c r="F17200" s="18"/>
      <c r="G17200" s="36" t="str">
        <f>IF(ISNUMBER(F17200),C17200*F17200,"")</f>
        <v/>
      </c>
    </row>
    <row r="17201" spans="1:7" ht="12" customHeight="1" outlineLevel="2" x14ac:dyDescent="0.2">
      <c r="A17201" s="14" t="s">
        <v>33852</v>
      </c>
      <c r="B17201" s="15" t="s">
        <v>33853</v>
      </c>
      <c r="C17201" s="16">
        <f>219.72/(1+B2)</f>
        <v>219.72</v>
      </c>
      <c r="D17201" s="17" t="s">
        <v>11</v>
      </c>
      <c r="E17201" s="17"/>
      <c r="F17201" s="18"/>
      <c r="G17201" s="36" t="str">
        <f>IF(ISNUMBER(F17201),C17201*F17201,"")</f>
        <v/>
      </c>
    </row>
    <row r="17202" spans="1:7" ht="12" customHeight="1" outlineLevel="2" x14ac:dyDescent="0.2">
      <c r="A17202" s="14" t="s">
        <v>33854</v>
      </c>
      <c r="B17202" s="15" t="s">
        <v>33855</v>
      </c>
      <c r="C17202" s="16">
        <f>328.8/(1+B2)</f>
        <v>328.8</v>
      </c>
      <c r="D17202" s="17" t="s">
        <v>11</v>
      </c>
      <c r="E17202" s="17"/>
      <c r="F17202" s="18"/>
      <c r="G17202" s="36" t="str">
        <f>IF(ISNUMBER(F17202),C17202*F17202,"")</f>
        <v/>
      </c>
    </row>
    <row r="17203" spans="1:7" ht="12" customHeight="1" outlineLevel="2" x14ac:dyDescent="0.2">
      <c r="A17203" s="14" t="s">
        <v>33856</v>
      </c>
      <c r="B17203" s="15" t="s">
        <v>33857</v>
      </c>
      <c r="C17203" s="16">
        <f>284.64/(1+B2)</f>
        <v>284.64</v>
      </c>
      <c r="D17203" s="17" t="s">
        <v>11</v>
      </c>
      <c r="E17203" s="17" t="s">
        <v>11</v>
      </c>
      <c r="F17203" s="18"/>
      <c r="G17203" s="36" t="str">
        <f>IF(ISNUMBER(F17203),C17203*F17203,"")</f>
        <v/>
      </c>
    </row>
    <row r="17204" spans="1:7" ht="12" customHeight="1" outlineLevel="2" x14ac:dyDescent="0.2">
      <c r="A17204" s="14" t="s">
        <v>33858</v>
      </c>
      <c r="B17204" s="15" t="s">
        <v>33859</v>
      </c>
      <c r="C17204" s="16">
        <f>377.46/(1+B2)</f>
        <v>377.46</v>
      </c>
      <c r="D17204" s="17" t="s">
        <v>11</v>
      </c>
      <c r="E17204" s="17"/>
      <c r="F17204" s="18"/>
      <c r="G17204" s="36" t="str">
        <f>IF(ISNUMBER(F17204),C17204*F17204,"")</f>
        <v/>
      </c>
    </row>
    <row r="17205" spans="1:7" ht="12" customHeight="1" outlineLevel="2" x14ac:dyDescent="0.2">
      <c r="A17205" s="14" t="s">
        <v>33860</v>
      </c>
      <c r="B17205" s="15" t="s">
        <v>33861</v>
      </c>
      <c r="C17205" s="16">
        <f>218.28/(1+B2)</f>
        <v>218.28</v>
      </c>
      <c r="D17205" s="17" t="s">
        <v>14</v>
      </c>
      <c r="E17205" s="17"/>
      <c r="F17205" s="18"/>
      <c r="G17205" s="36" t="str">
        <f>IF(ISNUMBER(F17205),C17205*F17205,"")</f>
        <v/>
      </c>
    </row>
    <row r="17206" spans="1:7" ht="12" customHeight="1" outlineLevel="2" x14ac:dyDescent="0.2">
      <c r="A17206" s="14" t="s">
        <v>33862</v>
      </c>
      <c r="B17206" s="15" t="s">
        <v>33863</v>
      </c>
      <c r="C17206" s="16">
        <f>218.28/(1+B2)</f>
        <v>218.28</v>
      </c>
      <c r="D17206" s="17" t="s">
        <v>14</v>
      </c>
      <c r="E17206" s="17"/>
      <c r="F17206" s="18"/>
      <c r="G17206" s="36" t="str">
        <f>IF(ISNUMBER(F17206),C17206*F17206,"")</f>
        <v/>
      </c>
    </row>
    <row r="17207" spans="1:7" ht="12" customHeight="1" outlineLevel="2" x14ac:dyDescent="0.2">
      <c r="A17207" s="14" t="s">
        <v>33864</v>
      </c>
      <c r="B17207" s="15" t="s">
        <v>33865</v>
      </c>
      <c r="C17207" s="16">
        <f>218.28/(1+B2)</f>
        <v>218.28</v>
      </c>
      <c r="D17207" s="17" t="s">
        <v>14</v>
      </c>
      <c r="E17207" s="17"/>
      <c r="F17207" s="18"/>
      <c r="G17207" s="36" t="str">
        <f>IF(ISNUMBER(F17207),C17207*F17207,"")</f>
        <v/>
      </c>
    </row>
    <row r="17208" spans="1:7" ht="12" customHeight="1" outlineLevel="2" x14ac:dyDescent="0.2">
      <c r="A17208" s="14" t="s">
        <v>33866</v>
      </c>
      <c r="B17208" s="15" t="s">
        <v>33867</v>
      </c>
      <c r="C17208" s="16">
        <f>632.36/(1+B2)</f>
        <v>632.36</v>
      </c>
      <c r="D17208" s="17" t="s">
        <v>11</v>
      </c>
      <c r="E17208" s="17"/>
      <c r="F17208" s="18"/>
      <c r="G17208" s="36" t="str">
        <f>IF(ISNUMBER(F17208),C17208*F17208,"")</f>
        <v/>
      </c>
    </row>
    <row r="17209" spans="1:7" ht="12" customHeight="1" outlineLevel="2" x14ac:dyDescent="0.2">
      <c r="A17209" s="14" t="s">
        <v>33868</v>
      </c>
      <c r="B17209" s="15" t="s">
        <v>33869</v>
      </c>
      <c r="C17209" s="16">
        <f>632.36/(1+B2)</f>
        <v>632.36</v>
      </c>
      <c r="D17209" s="17" t="s">
        <v>11</v>
      </c>
      <c r="E17209" s="17" t="s">
        <v>11</v>
      </c>
      <c r="F17209" s="18"/>
      <c r="G17209" s="36" t="str">
        <f>IF(ISNUMBER(F17209),C17209*F17209,"")</f>
        <v/>
      </c>
    </row>
    <row r="17210" spans="1:7" ht="12" customHeight="1" outlineLevel="2" x14ac:dyDescent="0.2">
      <c r="A17210" s="14" t="s">
        <v>33870</v>
      </c>
      <c r="B17210" s="15" t="s">
        <v>33871</v>
      </c>
      <c r="C17210" s="16">
        <f>632.36/(1+B2)</f>
        <v>632.36</v>
      </c>
      <c r="D17210" s="17" t="s">
        <v>11</v>
      </c>
      <c r="E17210" s="17"/>
      <c r="F17210" s="18"/>
      <c r="G17210" s="36" t="str">
        <f>IF(ISNUMBER(F17210),C17210*F17210,"")</f>
        <v/>
      </c>
    </row>
    <row r="17211" spans="1:7" ht="12" customHeight="1" outlineLevel="2" x14ac:dyDescent="0.2">
      <c r="A17211" s="14" t="s">
        <v>33872</v>
      </c>
      <c r="B17211" s="15" t="s">
        <v>33873</v>
      </c>
      <c r="C17211" s="16">
        <f>632.36/(1+B2)</f>
        <v>632.36</v>
      </c>
      <c r="D17211" s="17" t="s">
        <v>11</v>
      </c>
      <c r="E17211" s="17"/>
      <c r="F17211" s="18"/>
      <c r="G17211" s="36" t="str">
        <f>IF(ISNUMBER(F17211),C17211*F17211,"")</f>
        <v/>
      </c>
    </row>
    <row r="17212" spans="1:7" ht="12" customHeight="1" outlineLevel="2" x14ac:dyDescent="0.2">
      <c r="A17212" s="14" t="s">
        <v>33874</v>
      </c>
      <c r="B17212" s="15" t="s">
        <v>33875</v>
      </c>
      <c r="C17212" s="16">
        <f>426.07/(1+B2)</f>
        <v>426.07</v>
      </c>
      <c r="D17212" s="17" t="s">
        <v>11</v>
      </c>
      <c r="E17212" s="17" t="s">
        <v>11</v>
      </c>
      <c r="F17212" s="18"/>
      <c r="G17212" s="36" t="str">
        <f>IF(ISNUMBER(F17212),C17212*F17212,"")</f>
        <v/>
      </c>
    </row>
    <row r="17213" spans="1:7" ht="12" customHeight="1" outlineLevel="2" x14ac:dyDescent="0.2">
      <c r="A17213" s="14" t="s">
        <v>33876</v>
      </c>
      <c r="B17213" s="15" t="s">
        <v>33877</v>
      </c>
      <c r="C17213" s="16">
        <f>444.9/(1+B2)</f>
        <v>444.9</v>
      </c>
      <c r="D17213" s="17" t="s">
        <v>11</v>
      </c>
      <c r="E17213" s="17" t="s">
        <v>11</v>
      </c>
      <c r="F17213" s="18"/>
      <c r="G17213" s="36" t="str">
        <f>IF(ISNUMBER(F17213),C17213*F17213,"")</f>
        <v/>
      </c>
    </row>
    <row r="17214" spans="1:7" ht="12" customHeight="1" outlineLevel="2" x14ac:dyDescent="0.2">
      <c r="A17214" s="14" t="s">
        <v>33878</v>
      </c>
      <c r="B17214" s="15" t="s">
        <v>33879</v>
      </c>
      <c r="C17214" s="16">
        <f>486.54/(1+B2)</f>
        <v>486.54</v>
      </c>
      <c r="D17214" s="17" t="s">
        <v>11</v>
      </c>
      <c r="E17214" s="17" t="s">
        <v>11</v>
      </c>
      <c r="F17214" s="18"/>
      <c r="G17214" s="36" t="str">
        <f>IF(ISNUMBER(F17214),C17214*F17214,"")</f>
        <v/>
      </c>
    </row>
    <row r="17215" spans="1:7" ht="12" customHeight="1" outlineLevel="2" x14ac:dyDescent="0.2">
      <c r="A17215" s="14" t="s">
        <v>33880</v>
      </c>
      <c r="B17215" s="15" t="s">
        <v>33881</v>
      </c>
      <c r="C17215" s="16">
        <f>440.11/(1+B2)</f>
        <v>440.11</v>
      </c>
      <c r="D17215" s="17" t="s">
        <v>11</v>
      </c>
      <c r="E17215" s="17" t="s">
        <v>11</v>
      </c>
      <c r="F17215" s="18"/>
      <c r="G17215" s="36" t="str">
        <f>IF(ISNUMBER(F17215),C17215*F17215,"")</f>
        <v/>
      </c>
    </row>
    <row r="17216" spans="1:7" ht="24" customHeight="1" outlineLevel="2" x14ac:dyDescent="0.2">
      <c r="A17216" s="14" t="s">
        <v>33882</v>
      </c>
      <c r="B17216" s="15" t="s">
        <v>33883</v>
      </c>
      <c r="C17216" s="16">
        <f>311.62/(1+B2)</f>
        <v>311.62</v>
      </c>
      <c r="D17216" s="17" t="s">
        <v>11</v>
      </c>
      <c r="E17216" s="17"/>
      <c r="F17216" s="18"/>
      <c r="G17216" s="36" t="str">
        <f>IF(ISNUMBER(F17216),C17216*F17216,"")</f>
        <v/>
      </c>
    </row>
    <row r="17217" spans="1:7" ht="24" customHeight="1" outlineLevel="2" x14ac:dyDescent="0.2">
      <c r="A17217" s="14" t="s">
        <v>33884</v>
      </c>
      <c r="B17217" s="15" t="s">
        <v>33885</v>
      </c>
      <c r="C17217" s="16">
        <f>229.32/(1+B2)</f>
        <v>229.32</v>
      </c>
      <c r="D17217" s="17" t="s">
        <v>11</v>
      </c>
      <c r="E17217" s="17"/>
      <c r="F17217" s="18"/>
      <c r="G17217" s="36" t="str">
        <f>IF(ISNUMBER(F17217),C17217*F17217,"")</f>
        <v/>
      </c>
    </row>
    <row r="17218" spans="1:7" ht="12" customHeight="1" outlineLevel="2" x14ac:dyDescent="0.2">
      <c r="A17218" s="14" t="s">
        <v>33886</v>
      </c>
      <c r="B17218" s="15" t="s">
        <v>33887</v>
      </c>
      <c r="C17218" s="16">
        <f>204.52/(1+B2)</f>
        <v>204.52</v>
      </c>
      <c r="D17218" s="17" t="s">
        <v>11</v>
      </c>
      <c r="E17218" s="17"/>
      <c r="F17218" s="18"/>
      <c r="G17218" s="36" t="str">
        <f>IF(ISNUMBER(F17218),C17218*F17218,"")</f>
        <v/>
      </c>
    </row>
    <row r="17219" spans="1:7" s="1" customFormat="1" ht="15.95" customHeight="1" outlineLevel="1" x14ac:dyDescent="0.25">
      <c r="A17219" s="11"/>
      <c r="B17219" s="12" t="s">
        <v>33888</v>
      </c>
      <c r="C17219" s="13"/>
      <c r="D17219" s="13"/>
      <c r="E17219" s="13"/>
      <c r="F17219" s="13"/>
      <c r="G17219" s="35"/>
    </row>
    <row r="17220" spans="1:7" ht="12" customHeight="1" outlineLevel="2" x14ac:dyDescent="0.2">
      <c r="A17220" s="14" t="s">
        <v>33889</v>
      </c>
      <c r="B17220" s="15" t="s">
        <v>33890</v>
      </c>
      <c r="C17220" s="16">
        <f>106.2/(1+B2)</f>
        <v>106.2</v>
      </c>
      <c r="D17220" s="17" t="s">
        <v>14</v>
      </c>
      <c r="E17220" s="17"/>
      <c r="F17220" s="18"/>
      <c r="G17220" s="36" t="str">
        <f>IF(ISNUMBER(F17220),C17220*F17220,"")</f>
        <v/>
      </c>
    </row>
    <row r="17221" spans="1:7" ht="12" customHeight="1" outlineLevel="2" x14ac:dyDescent="0.2">
      <c r="A17221" s="14" t="s">
        <v>33891</v>
      </c>
      <c r="B17221" s="15" t="s">
        <v>33892</v>
      </c>
      <c r="C17221" s="16">
        <f>23.81/(1+B2)</f>
        <v>23.81</v>
      </c>
      <c r="D17221" s="17" t="s">
        <v>11</v>
      </c>
      <c r="E17221" s="17" t="s">
        <v>11</v>
      </c>
      <c r="F17221" s="18"/>
      <c r="G17221" s="36" t="str">
        <f>IF(ISNUMBER(F17221),C17221*F17221,"")</f>
        <v/>
      </c>
    </row>
    <row r="17222" spans="1:7" ht="12" customHeight="1" outlineLevel="2" x14ac:dyDescent="0.2">
      <c r="A17222" s="14" t="s">
        <v>33893</v>
      </c>
      <c r="B17222" s="15" t="s">
        <v>33894</v>
      </c>
      <c r="C17222" s="16">
        <f>16.27/(1+B2)</f>
        <v>16.27</v>
      </c>
      <c r="D17222" s="17" t="s">
        <v>11</v>
      </c>
      <c r="E17222" s="17" t="s">
        <v>14</v>
      </c>
      <c r="F17222" s="18"/>
      <c r="G17222" s="36" t="str">
        <f>IF(ISNUMBER(F17222),C17222*F17222,"")</f>
        <v/>
      </c>
    </row>
    <row r="17223" spans="1:7" ht="12" customHeight="1" outlineLevel="2" x14ac:dyDescent="0.2">
      <c r="A17223" s="14" t="s">
        <v>33895</v>
      </c>
      <c r="B17223" s="15" t="s">
        <v>33896</v>
      </c>
      <c r="C17223" s="16">
        <f>11.42/(1+B2)</f>
        <v>11.42</v>
      </c>
      <c r="D17223" s="17" t="s">
        <v>14</v>
      </c>
      <c r="E17223" s="17" t="s">
        <v>11</v>
      </c>
      <c r="F17223" s="18"/>
      <c r="G17223" s="36" t="str">
        <f>IF(ISNUMBER(F17223),C17223*F17223,"")</f>
        <v/>
      </c>
    </row>
    <row r="17224" spans="1:7" ht="12" customHeight="1" outlineLevel="2" x14ac:dyDescent="0.2">
      <c r="A17224" s="14" t="s">
        <v>33897</v>
      </c>
      <c r="B17224" s="15" t="s">
        <v>33898</v>
      </c>
      <c r="C17224" s="16">
        <f>25.13/(1+B2)</f>
        <v>25.13</v>
      </c>
      <c r="D17224" s="17" t="s">
        <v>11</v>
      </c>
      <c r="E17224" s="17" t="s">
        <v>14</v>
      </c>
      <c r="F17224" s="18"/>
      <c r="G17224" s="36" t="str">
        <f>IF(ISNUMBER(F17224),C17224*F17224,"")</f>
        <v/>
      </c>
    </row>
    <row r="17225" spans="1:7" ht="12" customHeight="1" outlineLevel="2" x14ac:dyDescent="0.2">
      <c r="A17225" s="14" t="s">
        <v>33899</v>
      </c>
      <c r="B17225" s="15" t="s">
        <v>33900</v>
      </c>
      <c r="C17225" s="16">
        <f>44.17/(1+B2)</f>
        <v>44.17</v>
      </c>
      <c r="D17225" s="17" t="s">
        <v>14</v>
      </c>
      <c r="E17225" s="17"/>
      <c r="F17225" s="18"/>
      <c r="G17225" s="36" t="str">
        <f>IF(ISNUMBER(F17225),C17225*F17225,"")</f>
        <v/>
      </c>
    </row>
    <row r="17226" spans="1:7" ht="12" customHeight="1" outlineLevel="2" x14ac:dyDescent="0.2">
      <c r="A17226" s="14" t="s">
        <v>33901</v>
      </c>
      <c r="B17226" s="15" t="s">
        <v>33902</v>
      </c>
      <c r="C17226" s="16">
        <f>48.64/(1+B2)</f>
        <v>48.64</v>
      </c>
      <c r="D17226" s="17" t="s">
        <v>11</v>
      </c>
      <c r="E17226" s="17"/>
      <c r="F17226" s="18"/>
      <c r="G17226" s="36" t="str">
        <f>IF(ISNUMBER(F17226),C17226*F17226,"")</f>
        <v/>
      </c>
    </row>
    <row r="17227" spans="1:7" ht="12" customHeight="1" outlineLevel="2" x14ac:dyDescent="0.2">
      <c r="A17227" s="14" t="s">
        <v>33903</v>
      </c>
      <c r="B17227" s="15" t="s">
        <v>33904</v>
      </c>
      <c r="C17227" s="16">
        <f>65/(1+B2)</f>
        <v>65</v>
      </c>
      <c r="D17227" s="17" t="s">
        <v>14</v>
      </c>
      <c r="E17227" s="17" t="s">
        <v>53</v>
      </c>
      <c r="F17227" s="18"/>
      <c r="G17227" s="36" t="str">
        <f>IF(ISNUMBER(F17227),C17227*F17227,"")</f>
        <v/>
      </c>
    </row>
    <row r="17228" spans="1:7" ht="12" customHeight="1" outlineLevel="2" x14ac:dyDescent="0.2">
      <c r="A17228" s="14" t="s">
        <v>33905</v>
      </c>
      <c r="B17228" s="15" t="s">
        <v>33906</v>
      </c>
      <c r="C17228" s="16">
        <f>63.91/(1+B2)</f>
        <v>63.91</v>
      </c>
      <c r="D17228" s="17" t="s">
        <v>11</v>
      </c>
      <c r="E17228" s="17" t="s">
        <v>11</v>
      </c>
      <c r="F17228" s="18"/>
      <c r="G17228" s="36" t="str">
        <f>IF(ISNUMBER(F17228),C17228*F17228,"")</f>
        <v/>
      </c>
    </row>
    <row r="17229" spans="1:7" ht="24" customHeight="1" outlineLevel="2" x14ac:dyDescent="0.2">
      <c r="A17229" s="14" t="s">
        <v>33907</v>
      </c>
      <c r="B17229" s="15" t="s">
        <v>33908</v>
      </c>
      <c r="C17229" s="16">
        <f>74.22/(1+B2)</f>
        <v>74.22</v>
      </c>
      <c r="D17229" s="17" t="s">
        <v>11</v>
      </c>
      <c r="E17229" s="17"/>
      <c r="F17229" s="18"/>
      <c r="G17229" s="36" t="str">
        <f>IF(ISNUMBER(F17229),C17229*F17229,"")</f>
        <v/>
      </c>
    </row>
    <row r="17230" spans="1:7" ht="12" customHeight="1" outlineLevel="2" x14ac:dyDescent="0.2">
      <c r="A17230" s="14" t="s">
        <v>33909</v>
      </c>
      <c r="B17230" s="15" t="s">
        <v>33910</v>
      </c>
      <c r="C17230" s="16">
        <f>9.49/(1+B2)</f>
        <v>9.49</v>
      </c>
      <c r="D17230" s="17" t="s">
        <v>53</v>
      </c>
      <c r="E17230" s="17"/>
      <c r="F17230" s="18"/>
      <c r="G17230" s="36" t="str">
        <f>IF(ISNUMBER(F17230),C17230*F17230,"")</f>
        <v/>
      </c>
    </row>
    <row r="17231" spans="1:7" ht="12" customHeight="1" outlineLevel="2" x14ac:dyDescent="0.2">
      <c r="A17231" s="14" t="s">
        <v>33911</v>
      </c>
      <c r="B17231" s="15" t="s">
        <v>33912</v>
      </c>
      <c r="C17231" s="16">
        <f>145.1/(1+B2)</f>
        <v>145.1</v>
      </c>
      <c r="D17231" s="17" t="s">
        <v>11</v>
      </c>
      <c r="E17231" s="17"/>
      <c r="F17231" s="18"/>
      <c r="G17231" s="36" t="str">
        <f>IF(ISNUMBER(F17231),C17231*F17231,"")</f>
        <v/>
      </c>
    </row>
    <row r="17232" spans="1:7" ht="12" customHeight="1" outlineLevel="2" x14ac:dyDescent="0.2">
      <c r="A17232" s="14" t="s">
        <v>33913</v>
      </c>
      <c r="B17232" s="15" t="s">
        <v>33914</v>
      </c>
      <c r="C17232" s="16">
        <f>80.81/(1+B2)</f>
        <v>80.81</v>
      </c>
      <c r="D17232" s="17" t="s">
        <v>11</v>
      </c>
      <c r="E17232" s="17" t="s">
        <v>11</v>
      </c>
      <c r="F17232" s="18"/>
      <c r="G17232" s="36" t="str">
        <f>IF(ISNUMBER(F17232),C17232*F17232,"")</f>
        <v/>
      </c>
    </row>
    <row r="17233" spans="1:7" ht="12" customHeight="1" outlineLevel="2" x14ac:dyDescent="0.2">
      <c r="A17233" s="14" t="s">
        <v>33915</v>
      </c>
      <c r="B17233" s="15" t="s">
        <v>33916</v>
      </c>
      <c r="C17233" s="16">
        <f>48.67/(1+B2)</f>
        <v>48.67</v>
      </c>
      <c r="D17233" s="17" t="s">
        <v>11</v>
      </c>
      <c r="E17233" s="17"/>
      <c r="F17233" s="18"/>
      <c r="G17233" s="36" t="str">
        <f>IF(ISNUMBER(F17233),C17233*F17233,"")</f>
        <v/>
      </c>
    </row>
    <row r="17234" spans="1:7" ht="24" customHeight="1" outlineLevel="2" x14ac:dyDescent="0.2">
      <c r="A17234" s="14" t="s">
        <v>33917</v>
      </c>
      <c r="B17234" s="15" t="s">
        <v>33918</v>
      </c>
      <c r="C17234" s="16">
        <f>325.78/(1+B2)</f>
        <v>325.77999999999997</v>
      </c>
      <c r="D17234" s="17" t="s">
        <v>11</v>
      </c>
      <c r="E17234" s="17"/>
      <c r="F17234" s="18"/>
      <c r="G17234" s="36" t="str">
        <f>IF(ISNUMBER(F17234),C17234*F17234,"")</f>
        <v/>
      </c>
    </row>
    <row r="17235" spans="1:7" ht="12" customHeight="1" outlineLevel="2" x14ac:dyDescent="0.2">
      <c r="A17235" s="14" t="s">
        <v>33919</v>
      </c>
      <c r="B17235" s="15" t="s">
        <v>33920</v>
      </c>
      <c r="C17235" s="16">
        <f>164.47/(1+B2)</f>
        <v>164.47</v>
      </c>
      <c r="D17235" s="17" t="s">
        <v>11</v>
      </c>
      <c r="E17235" s="17"/>
      <c r="F17235" s="18"/>
      <c r="G17235" s="36" t="str">
        <f>IF(ISNUMBER(F17235),C17235*F17235,"")</f>
        <v/>
      </c>
    </row>
    <row r="17236" spans="1:7" ht="12" customHeight="1" outlineLevel="2" x14ac:dyDescent="0.2">
      <c r="A17236" s="14" t="s">
        <v>33921</v>
      </c>
      <c r="B17236" s="15" t="s">
        <v>33922</v>
      </c>
      <c r="C17236" s="16">
        <f>44.83/(1+B2)</f>
        <v>44.83</v>
      </c>
      <c r="D17236" s="17" t="s">
        <v>11</v>
      </c>
      <c r="E17236" s="17"/>
      <c r="F17236" s="18"/>
      <c r="G17236" s="36" t="str">
        <f>IF(ISNUMBER(F17236),C17236*F17236,"")</f>
        <v/>
      </c>
    </row>
    <row r="17237" spans="1:7" ht="12" customHeight="1" outlineLevel="2" x14ac:dyDescent="0.2">
      <c r="A17237" s="14" t="s">
        <v>33923</v>
      </c>
      <c r="B17237" s="15" t="s">
        <v>33924</v>
      </c>
      <c r="C17237" s="16">
        <f>33.84/(1+B2)</f>
        <v>33.840000000000003</v>
      </c>
      <c r="D17237" s="17" t="s">
        <v>11</v>
      </c>
      <c r="E17237" s="17"/>
      <c r="F17237" s="18"/>
      <c r="G17237" s="36" t="str">
        <f>IF(ISNUMBER(F17237),C17237*F17237,"")</f>
        <v/>
      </c>
    </row>
    <row r="17238" spans="1:7" ht="12" customHeight="1" outlineLevel="2" x14ac:dyDescent="0.2">
      <c r="A17238" s="14" t="s">
        <v>33925</v>
      </c>
      <c r="B17238" s="15" t="s">
        <v>33926</v>
      </c>
      <c r="C17238" s="16">
        <f>72.31/(1+B2)</f>
        <v>72.31</v>
      </c>
      <c r="D17238" s="17" t="s">
        <v>11</v>
      </c>
      <c r="E17238" s="17"/>
      <c r="F17238" s="18"/>
      <c r="G17238" s="36" t="str">
        <f>IF(ISNUMBER(F17238),C17238*F17238,"")</f>
        <v/>
      </c>
    </row>
    <row r="17239" spans="1:7" ht="24" customHeight="1" outlineLevel="2" x14ac:dyDescent="0.2">
      <c r="A17239" s="14" t="s">
        <v>33927</v>
      </c>
      <c r="B17239" s="15" t="s">
        <v>33928</v>
      </c>
      <c r="C17239" s="16">
        <f>49.84/(1+B2)</f>
        <v>49.84</v>
      </c>
      <c r="D17239" s="17" t="s">
        <v>14</v>
      </c>
      <c r="E17239" s="17"/>
      <c r="F17239" s="18"/>
      <c r="G17239" s="36" t="str">
        <f>IF(ISNUMBER(F17239),C17239*F17239,"")</f>
        <v/>
      </c>
    </row>
    <row r="17240" spans="1:7" ht="12" customHeight="1" outlineLevel="2" x14ac:dyDescent="0.2">
      <c r="A17240" s="14" t="s">
        <v>33929</v>
      </c>
      <c r="B17240" s="15" t="s">
        <v>33930</v>
      </c>
      <c r="C17240" s="16">
        <f>50.24/(1+B2)</f>
        <v>50.24</v>
      </c>
      <c r="D17240" s="17" t="s">
        <v>11</v>
      </c>
      <c r="E17240" s="17" t="s">
        <v>14</v>
      </c>
      <c r="F17240" s="18"/>
      <c r="G17240" s="36" t="str">
        <f>IF(ISNUMBER(F17240),C17240*F17240,"")</f>
        <v/>
      </c>
    </row>
    <row r="17241" spans="1:7" ht="12" customHeight="1" outlineLevel="2" x14ac:dyDescent="0.2">
      <c r="A17241" s="14" t="s">
        <v>33931</v>
      </c>
      <c r="B17241" s="15" t="s">
        <v>33932</v>
      </c>
      <c r="C17241" s="16">
        <f>138.68/(1+B2)</f>
        <v>138.68</v>
      </c>
      <c r="D17241" s="17" t="s">
        <v>11</v>
      </c>
      <c r="E17241" s="17"/>
      <c r="F17241" s="18"/>
      <c r="G17241" s="36" t="str">
        <f>IF(ISNUMBER(F17241),C17241*F17241,"")</f>
        <v/>
      </c>
    </row>
    <row r="17242" spans="1:7" ht="12" customHeight="1" outlineLevel="2" x14ac:dyDescent="0.2">
      <c r="A17242" s="14" t="s">
        <v>33933</v>
      </c>
      <c r="B17242" s="15" t="s">
        <v>33934</v>
      </c>
      <c r="C17242" s="16">
        <f>162.61/(1+B2)</f>
        <v>162.61000000000001</v>
      </c>
      <c r="D17242" s="17" t="s">
        <v>11</v>
      </c>
      <c r="E17242" s="17" t="s">
        <v>11</v>
      </c>
      <c r="F17242" s="18"/>
      <c r="G17242" s="36" t="str">
        <f>IF(ISNUMBER(F17242),C17242*F17242,"")</f>
        <v/>
      </c>
    </row>
    <row r="17243" spans="1:7" ht="12" customHeight="1" outlineLevel="2" x14ac:dyDescent="0.2">
      <c r="A17243" s="14" t="s">
        <v>33935</v>
      </c>
      <c r="B17243" s="15" t="s">
        <v>33936</v>
      </c>
      <c r="C17243" s="16">
        <f>248.69/(1+B2)</f>
        <v>248.69</v>
      </c>
      <c r="D17243" s="17" t="s">
        <v>11</v>
      </c>
      <c r="E17243" s="17"/>
      <c r="F17243" s="18"/>
      <c r="G17243" s="36" t="str">
        <f>IF(ISNUMBER(F17243),C17243*F17243,"")</f>
        <v/>
      </c>
    </row>
    <row r="17244" spans="1:7" ht="12" customHeight="1" outlineLevel="2" x14ac:dyDescent="0.2">
      <c r="A17244" s="14" t="s">
        <v>33937</v>
      </c>
      <c r="B17244" s="15" t="s">
        <v>33938</v>
      </c>
      <c r="C17244" s="16">
        <f>154.16/(1+B2)</f>
        <v>154.16</v>
      </c>
      <c r="D17244" s="17" t="s">
        <v>11</v>
      </c>
      <c r="E17244" s="17" t="s">
        <v>11</v>
      </c>
      <c r="F17244" s="18"/>
      <c r="G17244" s="36" t="str">
        <f>IF(ISNUMBER(F17244),C17244*F17244,"")</f>
        <v/>
      </c>
    </row>
    <row r="17245" spans="1:7" ht="12" customHeight="1" outlineLevel="2" x14ac:dyDescent="0.2">
      <c r="A17245" s="14" t="s">
        <v>33939</v>
      </c>
      <c r="B17245" s="15" t="s">
        <v>33940</v>
      </c>
      <c r="C17245" s="16">
        <f>142.4/(1+B2)</f>
        <v>142.4</v>
      </c>
      <c r="D17245" s="17" t="s">
        <v>11</v>
      </c>
      <c r="E17245" s="17"/>
      <c r="F17245" s="18"/>
      <c r="G17245" s="36" t="str">
        <f>IF(ISNUMBER(F17245),C17245*F17245,"")</f>
        <v/>
      </c>
    </row>
    <row r="17246" spans="1:7" ht="12" customHeight="1" outlineLevel="2" x14ac:dyDescent="0.2">
      <c r="A17246" s="14" t="s">
        <v>33941</v>
      </c>
      <c r="B17246" s="15" t="s">
        <v>33942</v>
      </c>
      <c r="C17246" s="16">
        <f>56.72/(1+B2)</f>
        <v>56.72</v>
      </c>
      <c r="D17246" s="17" t="s">
        <v>11</v>
      </c>
      <c r="E17246" s="17"/>
      <c r="F17246" s="18"/>
      <c r="G17246" s="36" t="str">
        <f>IF(ISNUMBER(F17246),C17246*F17246,"")</f>
        <v/>
      </c>
    </row>
    <row r="17247" spans="1:7" ht="12" customHeight="1" outlineLevel="2" x14ac:dyDescent="0.2">
      <c r="A17247" s="14" t="s">
        <v>33943</v>
      </c>
      <c r="B17247" s="15" t="s">
        <v>33944</v>
      </c>
      <c r="C17247" s="16">
        <f>83.84/(1+B2)</f>
        <v>83.84</v>
      </c>
      <c r="D17247" s="17" t="s">
        <v>11</v>
      </c>
      <c r="E17247" s="17"/>
      <c r="F17247" s="18"/>
      <c r="G17247" s="36" t="str">
        <f>IF(ISNUMBER(F17247),C17247*F17247,"")</f>
        <v/>
      </c>
    </row>
    <row r="17248" spans="1:7" ht="12" customHeight="1" outlineLevel="2" x14ac:dyDescent="0.2">
      <c r="A17248" s="14" t="s">
        <v>33945</v>
      </c>
      <c r="B17248" s="15" t="s">
        <v>33946</v>
      </c>
      <c r="C17248" s="16">
        <f>68.53/(1+B2)</f>
        <v>68.53</v>
      </c>
      <c r="D17248" s="17" t="s">
        <v>14</v>
      </c>
      <c r="E17248" s="17"/>
      <c r="F17248" s="18"/>
      <c r="G17248" s="36" t="str">
        <f>IF(ISNUMBER(F17248),C17248*F17248,"")</f>
        <v/>
      </c>
    </row>
    <row r="17249" spans="1:7" ht="12" customHeight="1" outlineLevel="2" x14ac:dyDescent="0.2">
      <c r="A17249" s="14" t="s">
        <v>33947</v>
      </c>
      <c r="B17249" s="15" t="s">
        <v>33948</v>
      </c>
      <c r="C17249" s="16">
        <f>76/(1+B2)</f>
        <v>76</v>
      </c>
      <c r="D17249" s="17" t="s">
        <v>11</v>
      </c>
      <c r="E17249" s="17"/>
      <c r="F17249" s="18"/>
      <c r="G17249" s="36" t="str">
        <f>IF(ISNUMBER(F17249),C17249*F17249,"")</f>
        <v/>
      </c>
    </row>
    <row r="17250" spans="1:7" ht="12" customHeight="1" outlineLevel="2" x14ac:dyDescent="0.2">
      <c r="A17250" s="14" t="s">
        <v>33949</v>
      </c>
      <c r="B17250" s="15" t="s">
        <v>33950</v>
      </c>
      <c r="C17250" s="16">
        <f>98/(1+B2)</f>
        <v>98</v>
      </c>
      <c r="D17250" s="17" t="s">
        <v>11</v>
      </c>
      <c r="E17250" s="17" t="s">
        <v>11</v>
      </c>
      <c r="F17250" s="18"/>
      <c r="G17250" s="36" t="str">
        <f>IF(ISNUMBER(F17250),C17250*F17250,"")</f>
        <v/>
      </c>
    </row>
    <row r="17251" spans="1:7" ht="12" customHeight="1" outlineLevel="2" x14ac:dyDescent="0.2">
      <c r="A17251" s="14" t="s">
        <v>33951</v>
      </c>
      <c r="B17251" s="15" t="s">
        <v>33952</v>
      </c>
      <c r="C17251" s="16">
        <f>46.42/(1+B2)</f>
        <v>46.42</v>
      </c>
      <c r="D17251" s="17" t="s">
        <v>11</v>
      </c>
      <c r="E17251" s="17"/>
      <c r="F17251" s="18"/>
      <c r="G17251" s="36" t="str">
        <f>IF(ISNUMBER(F17251),C17251*F17251,"")</f>
        <v/>
      </c>
    </row>
    <row r="17252" spans="1:7" ht="12" customHeight="1" outlineLevel="2" x14ac:dyDescent="0.2">
      <c r="A17252" s="14" t="s">
        <v>33953</v>
      </c>
      <c r="B17252" s="15" t="s">
        <v>33954</v>
      </c>
      <c r="C17252" s="16">
        <f>107.6/(1+B2)</f>
        <v>107.6</v>
      </c>
      <c r="D17252" s="17" t="s">
        <v>14</v>
      </c>
      <c r="E17252" s="17"/>
      <c r="F17252" s="18"/>
      <c r="G17252" s="36" t="str">
        <f>IF(ISNUMBER(F17252),C17252*F17252,"")</f>
        <v/>
      </c>
    </row>
    <row r="17253" spans="1:7" ht="12" customHeight="1" outlineLevel="2" x14ac:dyDescent="0.2">
      <c r="A17253" s="14" t="s">
        <v>33955</v>
      </c>
      <c r="B17253" s="15" t="s">
        <v>33956</v>
      </c>
      <c r="C17253" s="16">
        <f>130.41/(1+B2)</f>
        <v>130.41</v>
      </c>
      <c r="D17253" s="17" t="s">
        <v>11</v>
      </c>
      <c r="E17253" s="17"/>
      <c r="F17253" s="18"/>
      <c r="G17253" s="36" t="str">
        <f>IF(ISNUMBER(F17253),C17253*F17253,"")</f>
        <v/>
      </c>
    </row>
    <row r="17254" spans="1:7" ht="12" customHeight="1" outlineLevel="2" x14ac:dyDescent="0.2">
      <c r="A17254" s="14" t="s">
        <v>33957</v>
      </c>
      <c r="B17254" s="15" t="s">
        <v>33958</v>
      </c>
      <c r="C17254" s="16">
        <f>118.51/(1+B2)</f>
        <v>118.51</v>
      </c>
      <c r="D17254" s="17" t="s">
        <v>11</v>
      </c>
      <c r="E17254" s="17"/>
      <c r="F17254" s="18"/>
      <c r="G17254" s="36" t="str">
        <f>IF(ISNUMBER(F17254),C17254*F17254,"")</f>
        <v/>
      </c>
    </row>
    <row r="17255" spans="1:7" ht="12" customHeight="1" outlineLevel="2" x14ac:dyDescent="0.2">
      <c r="A17255" s="14" t="s">
        <v>33959</v>
      </c>
      <c r="B17255" s="15" t="s">
        <v>33960</v>
      </c>
      <c r="C17255" s="16">
        <f>17.09/(1+B2)</f>
        <v>17.09</v>
      </c>
      <c r="D17255" s="17" t="s">
        <v>106</v>
      </c>
      <c r="E17255" s="17"/>
      <c r="F17255" s="18"/>
      <c r="G17255" s="36" t="str">
        <f>IF(ISNUMBER(F17255),C17255*F17255,"")</f>
        <v/>
      </c>
    </row>
    <row r="17256" spans="1:7" ht="12" customHeight="1" outlineLevel="2" x14ac:dyDescent="0.2">
      <c r="A17256" s="14" t="s">
        <v>33961</v>
      </c>
      <c r="B17256" s="15" t="s">
        <v>33962</v>
      </c>
      <c r="C17256" s="16">
        <f>74.51/(1+B2)</f>
        <v>74.510000000000005</v>
      </c>
      <c r="D17256" s="17" t="s">
        <v>11</v>
      </c>
      <c r="E17256" s="17" t="s">
        <v>11</v>
      </c>
      <c r="F17256" s="18"/>
      <c r="G17256" s="36" t="str">
        <f>IF(ISNUMBER(F17256),C17256*F17256,"")</f>
        <v/>
      </c>
    </row>
    <row r="17257" spans="1:7" ht="12" customHeight="1" outlineLevel="2" x14ac:dyDescent="0.2">
      <c r="A17257" s="14" t="s">
        <v>33963</v>
      </c>
      <c r="B17257" s="15" t="s">
        <v>33964</v>
      </c>
      <c r="C17257" s="16">
        <f>77.64/(1+B2)</f>
        <v>77.64</v>
      </c>
      <c r="D17257" s="17" t="s">
        <v>14</v>
      </c>
      <c r="E17257" s="17"/>
      <c r="F17257" s="18"/>
      <c r="G17257" s="36" t="str">
        <f>IF(ISNUMBER(F17257),C17257*F17257,"")</f>
        <v/>
      </c>
    </row>
    <row r="17258" spans="1:7" ht="12" customHeight="1" outlineLevel="2" x14ac:dyDescent="0.2">
      <c r="A17258" s="14" t="s">
        <v>33965</v>
      </c>
      <c r="B17258" s="15" t="s">
        <v>33966</v>
      </c>
      <c r="C17258" s="16">
        <f>149.78/(1+B2)</f>
        <v>149.78</v>
      </c>
      <c r="D17258" s="17" t="s">
        <v>11</v>
      </c>
      <c r="E17258" s="17"/>
      <c r="F17258" s="18"/>
      <c r="G17258" s="36" t="str">
        <f>IF(ISNUMBER(F17258),C17258*F17258,"")</f>
        <v/>
      </c>
    </row>
    <row r="17259" spans="1:7" ht="12" customHeight="1" outlineLevel="2" x14ac:dyDescent="0.2">
      <c r="A17259" s="14" t="s">
        <v>33967</v>
      </c>
      <c r="B17259" s="15" t="s">
        <v>33968</v>
      </c>
      <c r="C17259" s="16">
        <f>62.81/(1+B2)</f>
        <v>62.81</v>
      </c>
      <c r="D17259" s="17" t="s">
        <v>11</v>
      </c>
      <c r="E17259" s="17" t="s">
        <v>14</v>
      </c>
      <c r="F17259" s="18"/>
      <c r="G17259" s="36" t="str">
        <f>IF(ISNUMBER(F17259),C17259*F17259,"")</f>
        <v/>
      </c>
    </row>
    <row r="17260" spans="1:7" ht="12" customHeight="1" outlineLevel="2" x14ac:dyDescent="0.2">
      <c r="A17260" s="14" t="s">
        <v>33969</v>
      </c>
      <c r="B17260" s="15" t="s">
        <v>33970</v>
      </c>
      <c r="C17260" s="16">
        <f>169.94/(1+B2)</f>
        <v>169.94</v>
      </c>
      <c r="D17260" s="17" t="s">
        <v>11</v>
      </c>
      <c r="E17260" s="17"/>
      <c r="F17260" s="18"/>
      <c r="G17260" s="36" t="str">
        <f>IF(ISNUMBER(F17260),C17260*F17260,"")</f>
        <v/>
      </c>
    </row>
    <row r="17261" spans="1:7" ht="12" customHeight="1" outlineLevel="2" x14ac:dyDescent="0.2">
      <c r="A17261" s="14" t="s">
        <v>33971</v>
      </c>
      <c r="B17261" s="15" t="s">
        <v>33972</v>
      </c>
      <c r="C17261" s="16">
        <f>51.72/(1+B2)</f>
        <v>51.72</v>
      </c>
      <c r="D17261" s="17" t="s">
        <v>14</v>
      </c>
      <c r="E17261" s="17"/>
      <c r="F17261" s="18"/>
      <c r="G17261" s="36" t="str">
        <f>IF(ISNUMBER(F17261),C17261*F17261,"")</f>
        <v/>
      </c>
    </row>
    <row r="17262" spans="1:7" ht="12" customHeight="1" outlineLevel="2" x14ac:dyDescent="0.2">
      <c r="A17262" s="14" t="s">
        <v>33973</v>
      </c>
      <c r="B17262" s="15" t="s">
        <v>33974</v>
      </c>
      <c r="C17262" s="16">
        <f>33.83/(1+B2)</f>
        <v>33.83</v>
      </c>
      <c r="D17262" s="17" t="s">
        <v>11</v>
      </c>
      <c r="E17262" s="17"/>
      <c r="F17262" s="18"/>
      <c r="G17262" s="36" t="str">
        <f>IF(ISNUMBER(F17262),C17262*F17262,"")</f>
        <v/>
      </c>
    </row>
    <row r="17263" spans="1:7" ht="12" customHeight="1" outlineLevel="2" x14ac:dyDescent="0.2">
      <c r="A17263" s="14" t="s">
        <v>33975</v>
      </c>
      <c r="B17263" s="15" t="s">
        <v>33976</v>
      </c>
      <c r="C17263" s="16">
        <f>189.01/(1+B2)</f>
        <v>189.01</v>
      </c>
      <c r="D17263" s="17" t="s">
        <v>11</v>
      </c>
      <c r="E17263" s="17"/>
      <c r="F17263" s="18"/>
      <c r="G17263" s="36" t="str">
        <f>IF(ISNUMBER(F17263),C17263*F17263,"")</f>
        <v/>
      </c>
    </row>
    <row r="17264" spans="1:7" ht="12" customHeight="1" outlineLevel="2" x14ac:dyDescent="0.2">
      <c r="A17264" s="14" t="s">
        <v>33977</v>
      </c>
      <c r="B17264" s="15" t="s">
        <v>33978</v>
      </c>
      <c r="C17264" s="16">
        <f>169.01/(1+B2)</f>
        <v>169.01</v>
      </c>
      <c r="D17264" s="17" t="s">
        <v>11</v>
      </c>
      <c r="E17264" s="17"/>
      <c r="F17264" s="18"/>
      <c r="G17264" s="36" t="str">
        <f>IF(ISNUMBER(F17264),C17264*F17264,"")</f>
        <v/>
      </c>
    </row>
    <row r="17265" spans="1:7" ht="12" customHeight="1" outlineLevel="2" x14ac:dyDescent="0.2">
      <c r="A17265" s="14" t="s">
        <v>33979</v>
      </c>
      <c r="B17265" s="15" t="s">
        <v>33980</v>
      </c>
      <c r="C17265" s="16">
        <f>38.46/(1+B2)</f>
        <v>38.46</v>
      </c>
      <c r="D17265" s="17" t="s">
        <v>14</v>
      </c>
      <c r="E17265" s="17"/>
      <c r="F17265" s="18"/>
      <c r="G17265" s="36" t="str">
        <f>IF(ISNUMBER(F17265),C17265*F17265,"")</f>
        <v/>
      </c>
    </row>
    <row r="17266" spans="1:7" ht="12" customHeight="1" outlineLevel="2" x14ac:dyDescent="0.2">
      <c r="A17266" s="14" t="s">
        <v>33981</v>
      </c>
      <c r="B17266" s="15" t="s">
        <v>33982</v>
      </c>
      <c r="C17266" s="16">
        <f>23.48/(1+B2)</f>
        <v>23.48</v>
      </c>
      <c r="D17266" s="17" t="s">
        <v>11</v>
      </c>
      <c r="E17266" s="17"/>
      <c r="F17266" s="18"/>
      <c r="G17266" s="36" t="str">
        <f>IF(ISNUMBER(F17266),C17266*F17266,"")</f>
        <v/>
      </c>
    </row>
    <row r="17267" spans="1:7" ht="12" customHeight="1" outlineLevel="2" x14ac:dyDescent="0.2">
      <c r="A17267" s="14" t="s">
        <v>33983</v>
      </c>
      <c r="B17267" s="15" t="s">
        <v>33984</v>
      </c>
      <c r="C17267" s="16">
        <f>22.88/(1+B2)</f>
        <v>22.88</v>
      </c>
      <c r="D17267" s="17" t="s">
        <v>11</v>
      </c>
      <c r="E17267" s="17"/>
      <c r="F17267" s="18"/>
      <c r="G17267" s="36" t="str">
        <f>IF(ISNUMBER(F17267),C17267*F17267,"")</f>
        <v/>
      </c>
    </row>
    <row r="17268" spans="1:7" ht="12" customHeight="1" outlineLevel="2" x14ac:dyDescent="0.2">
      <c r="A17268" s="14" t="s">
        <v>33985</v>
      </c>
      <c r="B17268" s="15" t="s">
        <v>33986</v>
      </c>
      <c r="C17268" s="16">
        <f>10.72/(1+B2)</f>
        <v>10.72</v>
      </c>
      <c r="D17268" s="17" t="s">
        <v>14</v>
      </c>
      <c r="E17268" s="17" t="s">
        <v>11</v>
      </c>
      <c r="F17268" s="18"/>
      <c r="G17268" s="36" t="str">
        <f>IF(ISNUMBER(F17268),C17268*F17268,"")</f>
        <v/>
      </c>
    </row>
    <row r="17269" spans="1:7" ht="12" customHeight="1" outlineLevel="2" x14ac:dyDescent="0.2">
      <c r="A17269" s="14" t="s">
        <v>33987</v>
      </c>
      <c r="B17269" s="15" t="s">
        <v>33988</v>
      </c>
      <c r="C17269" s="16">
        <f>25.18/(1+B2)</f>
        <v>25.18</v>
      </c>
      <c r="D17269" s="17" t="s">
        <v>11</v>
      </c>
      <c r="E17269" s="17"/>
      <c r="F17269" s="18"/>
      <c r="G17269" s="36" t="str">
        <f>IF(ISNUMBER(F17269),C17269*F17269,"")</f>
        <v/>
      </c>
    </row>
    <row r="17270" spans="1:7" ht="12" customHeight="1" outlineLevel="2" x14ac:dyDescent="0.2">
      <c r="A17270" s="14" t="s">
        <v>33989</v>
      </c>
      <c r="B17270" s="15" t="s">
        <v>33990</v>
      </c>
      <c r="C17270" s="16">
        <f>149.78/(1+B2)</f>
        <v>149.78</v>
      </c>
      <c r="D17270" s="17" t="s">
        <v>11</v>
      </c>
      <c r="E17270" s="17" t="s">
        <v>11</v>
      </c>
      <c r="F17270" s="18"/>
      <c r="G17270" s="36" t="str">
        <f>IF(ISNUMBER(F17270),C17270*F17270,"")</f>
        <v/>
      </c>
    </row>
    <row r="17271" spans="1:7" ht="12" customHeight="1" outlineLevel="2" x14ac:dyDescent="0.2">
      <c r="A17271" s="14" t="s">
        <v>33991</v>
      </c>
      <c r="B17271" s="15" t="s">
        <v>33992</v>
      </c>
      <c r="C17271" s="16">
        <f>36.05/(1+B2)</f>
        <v>36.049999999999997</v>
      </c>
      <c r="D17271" s="17" t="s">
        <v>14</v>
      </c>
      <c r="E17271" s="17" t="s">
        <v>11</v>
      </c>
      <c r="F17271" s="18"/>
      <c r="G17271" s="36" t="str">
        <f>IF(ISNUMBER(F17271),C17271*F17271,"")</f>
        <v/>
      </c>
    </row>
    <row r="17272" spans="1:7" ht="12" customHeight="1" outlineLevel="2" x14ac:dyDescent="0.2">
      <c r="A17272" s="14" t="s">
        <v>33993</v>
      </c>
      <c r="B17272" s="15" t="s">
        <v>33994</v>
      </c>
      <c r="C17272" s="16">
        <f>90.56/(1+B2)</f>
        <v>90.56</v>
      </c>
      <c r="D17272" s="17" t="s">
        <v>11</v>
      </c>
      <c r="E17272" s="17" t="s">
        <v>11</v>
      </c>
      <c r="F17272" s="18"/>
      <c r="G17272" s="36" t="str">
        <f>IF(ISNUMBER(F17272),C17272*F17272,"")</f>
        <v/>
      </c>
    </row>
    <row r="17273" spans="1:7" ht="12" customHeight="1" outlineLevel="2" x14ac:dyDescent="0.2">
      <c r="A17273" s="14" t="s">
        <v>33995</v>
      </c>
      <c r="B17273" s="15" t="s">
        <v>33996</v>
      </c>
      <c r="C17273" s="16">
        <f>100.07/(1+B2)</f>
        <v>100.07</v>
      </c>
      <c r="D17273" s="17" t="s">
        <v>11</v>
      </c>
      <c r="E17273" s="17"/>
      <c r="F17273" s="18"/>
      <c r="G17273" s="36" t="str">
        <f>IF(ISNUMBER(F17273),C17273*F17273,"")</f>
        <v/>
      </c>
    </row>
    <row r="17274" spans="1:7" ht="12" customHeight="1" outlineLevel="2" x14ac:dyDescent="0.2">
      <c r="A17274" s="14" t="s">
        <v>33997</v>
      </c>
      <c r="B17274" s="15" t="s">
        <v>33998</v>
      </c>
      <c r="C17274" s="16">
        <f>94.93/(1+B2)</f>
        <v>94.93</v>
      </c>
      <c r="D17274" s="17" t="s">
        <v>11</v>
      </c>
      <c r="E17274" s="17"/>
      <c r="F17274" s="18"/>
      <c r="G17274" s="36" t="str">
        <f>IF(ISNUMBER(F17274),C17274*F17274,"")</f>
        <v/>
      </c>
    </row>
    <row r="17275" spans="1:7" ht="12" customHeight="1" outlineLevel="2" x14ac:dyDescent="0.2">
      <c r="A17275" s="14" t="s">
        <v>33999</v>
      </c>
      <c r="B17275" s="15" t="s">
        <v>34000</v>
      </c>
      <c r="C17275" s="16">
        <f>78.06/(1+B2)</f>
        <v>78.06</v>
      </c>
      <c r="D17275" s="17" t="s">
        <v>14</v>
      </c>
      <c r="E17275" s="17"/>
      <c r="F17275" s="18"/>
      <c r="G17275" s="36" t="str">
        <f>IF(ISNUMBER(F17275),C17275*F17275,"")</f>
        <v/>
      </c>
    </row>
    <row r="17276" spans="1:7" s="1" customFormat="1" ht="15.95" customHeight="1" outlineLevel="1" x14ac:dyDescent="0.25">
      <c r="A17276" s="11"/>
      <c r="B17276" s="12" t="s">
        <v>34001</v>
      </c>
      <c r="C17276" s="13"/>
      <c r="D17276" s="13"/>
      <c r="E17276" s="13"/>
      <c r="F17276" s="13"/>
      <c r="G17276" s="35"/>
    </row>
    <row r="17277" spans="1:7" ht="12" customHeight="1" outlineLevel="2" x14ac:dyDescent="0.2">
      <c r="A17277" s="14" t="s">
        <v>34002</v>
      </c>
      <c r="B17277" s="15" t="s">
        <v>34003</v>
      </c>
      <c r="C17277" s="16">
        <f>142.93/(1+B2)</f>
        <v>142.93</v>
      </c>
      <c r="D17277" s="17" t="s">
        <v>11</v>
      </c>
      <c r="E17277" s="17"/>
      <c r="F17277" s="18"/>
      <c r="G17277" s="36" t="str">
        <f>IF(ISNUMBER(F17277),C17277*F17277,"")</f>
        <v/>
      </c>
    </row>
    <row r="17278" spans="1:7" ht="24" customHeight="1" outlineLevel="2" x14ac:dyDescent="0.2">
      <c r="A17278" s="14" t="s">
        <v>34004</v>
      </c>
      <c r="B17278" s="15" t="s">
        <v>34005</v>
      </c>
      <c r="C17278" s="16">
        <f>208.32/(1+B2)</f>
        <v>208.32</v>
      </c>
      <c r="D17278" s="17" t="s">
        <v>11</v>
      </c>
      <c r="E17278" s="17" t="s">
        <v>11</v>
      </c>
      <c r="F17278" s="18"/>
      <c r="G17278" s="36" t="str">
        <f>IF(ISNUMBER(F17278),C17278*F17278,"")</f>
        <v/>
      </c>
    </row>
    <row r="17279" spans="1:7" ht="24" customHeight="1" outlineLevel="2" x14ac:dyDescent="0.2">
      <c r="A17279" s="14" t="s">
        <v>34006</v>
      </c>
      <c r="B17279" s="15" t="s">
        <v>34007</v>
      </c>
      <c r="C17279" s="16">
        <f>265.14/(1+B2)</f>
        <v>265.14</v>
      </c>
      <c r="D17279" s="17" t="s">
        <v>11</v>
      </c>
      <c r="E17279" s="17"/>
      <c r="F17279" s="18"/>
      <c r="G17279" s="36" t="str">
        <f>IF(ISNUMBER(F17279),C17279*F17279,"")</f>
        <v/>
      </c>
    </row>
    <row r="17280" spans="1:7" ht="24" customHeight="1" outlineLevel="2" x14ac:dyDescent="0.2">
      <c r="A17280" s="14" t="s">
        <v>34008</v>
      </c>
      <c r="B17280" s="15" t="s">
        <v>34009</v>
      </c>
      <c r="C17280" s="16">
        <f>178.76/(1+B2)</f>
        <v>178.76</v>
      </c>
      <c r="D17280" s="17" t="s">
        <v>11</v>
      </c>
      <c r="E17280" s="17"/>
      <c r="F17280" s="18"/>
      <c r="G17280" s="36" t="str">
        <f>IF(ISNUMBER(F17280),C17280*F17280,"")</f>
        <v/>
      </c>
    </row>
    <row r="17281" spans="1:7" ht="12" customHeight="1" outlineLevel="2" x14ac:dyDescent="0.2">
      <c r="A17281" s="14" t="s">
        <v>34010</v>
      </c>
      <c r="B17281" s="15" t="s">
        <v>34011</v>
      </c>
      <c r="C17281" s="16">
        <f>269.59/(1+B2)</f>
        <v>269.58999999999997</v>
      </c>
      <c r="D17281" s="17" t="s">
        <v>11</v>
      </c>
      <c r="E17281" s="17"/>
      <c r="F17281" s="18"/>
      <c r="G17281" s="36" t="str">
        <f>IF(ISNUMBER(F17281),C17281*F17281,"")</f>
        <v/>
      </c>
    </row>
    <row r="17282" spans="1:7" ht="24" customHeight="1" outlineLevel="2" x14ac:dyDescent="0.2">
      <c r="A17282" s="14" t="s">
        <v>34012</v>
      </c>
      <c r="B17282" s="15" t="s">
        <v>34013</v>
      </c>
      <c r="C17282" s="16">
        <f>332.84/(1+B2)</f>
        <v>332.84</v>
      </c>
      <c r="D17282" s="17" t="s">
        <v>11</v>
      </c>
      <c r="E17282" s="17"/>
      <c r="F17282" s="18"/>
      <c r="G17282" s="36" t="str">
        <f>IF(ISNUMBER(F17282),C17282*F17282,"")</f>
        <v/>
      </c>
    </row>
    <row r="17283" spans="1:7" ht="24" customHeight="1" outlineLevel="2" x14ac:dyDescent="0.2">
      <c r="A17283" s="14" t="s">
        <v>34014</v>
      </c>
      <c r="B17283" s="15" t="s">
        <v>34015</v>
      </c>
      <c r="C17283" s="16">
        <f>230.03/(1+B2)</f>
        <v>230.03</v>
      </c>
      <c r="D17283" s="17" t="s">
        <v>11</v>
      </c>
      <c r="E17283" s="17"/>
      <c r="F17283" s="18"/>
      <c r="G17283" s="36" t="str">
        <f>IF(ISNUMBER(F17283),C17283*F17283,"")</f>
        <v/>
      </c>
    </row>
    <row r="17284" spans="1:7" ht="24" customHeight="1" outlineLevel="2" x14ac:dyDescent="0.2">
      <c r="A17284" s="14" t="s">
        <v>34016</v>
      </c>
      <c r="B17284" s="15" t="s">
        <v>34017</v>
      </c>
      <c r="C17284" s="16">
        <f>109.48/(1+B2)</f>
        <v>109.48</v>
      </c>
      <c r="D17284" s="17" t="s">
        <v>11</v>
      </c>
      <c r="E17284" s="17"/>
      <c r="F17284" s="18"/>
      <c r="G17284" s="36" t="str">
        <f>IF(ISNUMBER(F17284),C17284*F17284,"")</f>
        <v/>
      </c>
    </row>
    <row r="17285" spans="1:7" ht="12" customHeight="1" outlineLevel="2" x14ac:dyDescent="0.2">
      <c r="A17285" s="14" t="s">
        <v>34018</v>
      </c>
      <c r="B17285" s="15" t="s">
        <v>34019</v>
      </c>
      <c r="C17285" s="16">
        <f>250.11/(1+B2)</f>
        <v>250.11</v>
      </c>
      <c r="D17285" s="17" t="s">
        <v>11</v>
      </c>
      <c r="E17285" s="17" t="s">
        <v>11</v>
      </c>
      <c r="F17285" s="18"/>
      <c r="G17285" s="36" t="str">
        <f>IF(ISNUMBER(F17285),C17285*F17285,"")</f>
        <v/>
      </c>
    </row>
    <row r="17286" spans="1:7" ht="12" customHeight="1" outlineLevel="2" x14ac:dyDescent="0.2">
      <c r="A17286" s="14" t="s">
        <v>34020</v>
      </c>
      <c r="B17286" s="15" t="s">
        <v>34021</v>
      </c>
      <c r="C17286" s="16">
        <f>77.4/(1+B2)</f>
        <v>77.400000000000006</v>
      </c>
      <c r="D17286" s="17" t="s">
        <v>11</v>
      </c>
      <c r="E17286" s="17" t="s">
        <v>11</v>
      </c>
      <c r="F17286" s="18"/>
      <c r="G17286" s="36" t="str">
        <f>IF(ISNUMBER(F17286),C17286*F17286,"")</f>
        <v/>
      </c>
    </row>
    <row r="17287" spans="1:7" ht="12" customHeight="1" outlineLevel="2" x14ac:dyDescent="0.2">
      <c r="A17287" s="14" t="s">
        <v>34022</v>
      </c>
      <c r="B17287" s="15" t="s">
        <v>34023</v>
      </c>
      <c r="C17287" s="16">
        <f>196.42/(1+B2)</f>
        <v>196.42</v>
      </c>
      <c r="D17287" s="17" t="s">
        <v>11</v>
      </c>
      <c r="E17287" s="17"/>
      <c r="F17287" s="18"/>
      <c r="G17287" s="36" t="str">
        <f>IF(ISNUMBER(F17287),C17287*F17287,"")</f>
        <v/>
      </c>
    </row>
    <row r="17288" spans="1:7" ht="24" customHeight="1" outlineLevel="2" x14ac:dyDescent="0.2">
      <c r="A17288" s="14" t="s">
        <v>34024</v>
      </c>
      <c r="B17288" s="15" t="s">
        <v>34025</v>
      </c>
      <c r="C17288" s="16">
        <f>315.22/(1+B2)</f>
        <v>315.22000000000003</v>
      </c>
      <c r="D17288" s="17" t="s">
        <v>11</v>
      </c>
      <c r="E17288" s="17" t="s">
        <v>11</v>
      </c>
      <c r="F17288" s="18"/>
      <c r="G17288" s="36" t="str">
        <f>IF(ISNUMBER(F17288),C17288*F17288,"")</f>
        <v/>
      </c>
    </row>
    <row r="17289" spans="1:7" ht="24" customHeight="1" outlineLevel="2" x14ac:dyDescent="0.2">
      <c r="A17289" s="14" t="s">
        <v>34026</v>
      </c>
      <c r="B17289" s="15" t="s">
        <v>34027</v>
      </c>
      <c r="C17289" s="16">
        <f>104.98/(1+B2)</f>
        <v>104.98</v>
      </c>
      <c r="D17289" s="17" t="s">
        <v>11</v>
      </c>
      <c r="E17289" s="17"/>
      <c r="F17289" s="18"/>
      <c r="G17289" s="36" t="str">
        <f>IF(ISNUMBER(F17289),C17289*F17289,"")</f>
        <v/>
      </c>
    </row>
    <row r="17290" spans="1:7" ht="24" customHeight="1" outlineLevel="2" x14ac:dyDescent="0.2">
      <c r="A17290" s="14" t="s">
        <v>34028</v>
      </c>
      <c r="B17290" s="15" t="s">
        <v>34029</v>
      </c>
      <c r="C17290" s="16">
        <f>33/(1+B2)</f>
        <v>33</v>
      </c>
      <c r="D17290" s="17" t="s">
        <v>11</v>
      </c>
      <c r="E17290" s="17" t="s">
        <v>14</v>
      </c>
      <c r="F17290" s="18"/>
      <c r="G17290" s="36" t="str">
        <f>IF(ISNUMBER(F17290),C17290*F17290,"")</f>
        <v/>
      </c>
    </row>
    <row r="17291" spans="1:7" ht="24" customHeight="1" outlineLevel="2" x14ac:dyDescent="0.2">
      <c r="A17291" s="14" t="s">
        <v>34030</v>
      </c>
      <c r="B17291" s="15" t="s">
        <v>34031</v>
      </c>
      <c r="C17291" s="16">
        <f>115.2/(1+B2)</f>
        <v>115.2</v>
      </c>
      <c r="D17291" s="17" t="s">
        <v>11</v>
      </c>
      <c r="E17291" s="17"/>
      <c r="F17291" s="18"/>
      <c r="G17291" s="36" t="str">
        <f>IF(ISNUMBER(F17291),C17291*F17291,"")</f>
        <v/>
      </c>
    </row>
    <row r="17292" spans="1:7" ht="24" customHeight="1" outlineLevel="2" x14ac:dyDescent="0.2">
      <c r="A17292" s="14" t="s">
        <v>34032</v>
      </c>
      <c r="B17292" s="15" t="s">
        <v>34033</v>
      </c>
      <c r="C17292" s="16">
        <f>137.62/(1+B2)</f>
        <v>137.62</v>
      </c>
      <c r="D17292" s="17" t="s">
        <v>11</v>
      </c>
      <c r="E17292" s="17"/>
      <c r="F17292" s="18"/>
      <c r="G17292" s="36" t="str">
        <f>IF(ISNUMBER(F17292),C17292*F17292,"")</f>
        <v/>
      </c>
    </row>
    <row r="17293" spans="1:7" ht="24" customHeight="1" outlineLevel="2" x14ac:dyDescent="0.2">
      <c r="A17293" s="14" t="s">
        <v>34034</v>
      </c>
      <c r="B17293" s="15" t="s">
        <v>34035</v>
      </c>
      <c r="C17293" s="16">
        <f>188.04/(1+B2)</f>
        <v>188.04</v>
      </c>
      <c r="D17293" s="17" t="s">
        <v>11</v>
      </c>
      <c r="E17293" s="17"/>
      <c r="F17293" s="18"/>
      <c r="G17293" s="36" t="str">
        <f>IF(ISNUMBER(F17293),C17293*F17293,"")</f>
        <v/>
      </c>
    </row>
    <row r="17294" spans="1:7" ht="12" customHeight="1" outlineLevel="2" x14ac:dyDescent="0.2">
      <c r="A17294" s="14" t="s">
        <v>34036</v>
      </c>
      <c r="B17294" s="15" t="s">
        <v>34037</v>
      </c>
      <c r="C17294" s="16">
        <f>247.06/(1+B2)</f>
        <v>247.06</v>
      </c>
      <c r="D17294" s="17" t="s">
        <v>11</v>
      </c>
      <c r="E17294" s="17"/>
      <c r="F17294" s="18"/>
      <c r="G17294" s="36" t="str">
        <f>IF(ISNUMBER(F17294),C17294*F17294,"")</f>
        <v/>
      </c>
    </row>
    <row r="17295" spans="1:7" ht="12" customHeight="1" outlineLevel="2" x14ac:dyDescent="0.2">
      <c r="A17295" s="14" t="s">
        <v>34038</v>
      </c>
      <c r="B17295" s="15" t="s">
        <v>34039</v>
      </c>
      <c r="C17295" s="16">
        <f>126/(1+B2)</f>
        <v>126</v>
      </c>
      <c r="D17295" s="17" t="s">
        <v>11</v>
      </c>
      <c r="E17295" s="17"/>
      <c r="F17295" s="18"/>
      <c r="G17295" s="36" t="str">
        <f>IF(ISNUMBER(F17295),C17295*F17295,"")</f>
        <v/>
      </c>
    </row>
    <row r="17296" spans="1:7" ht="12" customHeight="1" outlineLevel="2" x14ac:dyDescent="0.2">
      <c r="A17296" s="14" t="s">
        <v>34040</v>
      </c>
      <c r="B17296" s="15" t="s">
        <v>34041</v>
      </c>
      <c r="C17296" s="16">
        <f>120/(1+B2)</f>
        <v>120</v>
      </c>
      <c r="D17296" s="17" t="s">
        <v>11</v>
      </c>
      <c r="E17296" s="17" t="s">
        <v>53</v>
      </c>
      <c r="F17296" s="18"/>
      <c r="G17296" s="36" t="str">
        <f>IF(ISNUMBER(F17296),C17296*F17296,"")</f>
        <v/>
      </c>
    </row>
    <row r="17297" spans="1:7" ht="12" customHeight="1" outlineLevel="2" x14ac:dyDescent="0.2">
      <c r="A17297" s="14" t="s">
        <v>34042</v>
      </c>
      <c r="B17297" s="15" t="s">
        <v>34043</v>
      </c>
      <c r="C17297" s="16">
        <f>251.11/(1+B2)</f>
        <v>251.11</v>
      </c>
      <c r="D17297" s="17" t="s">
        <v>11</v>
      </c>
      <c r="E17297" s="17"/>
      <c r="F17297" s="18"/>
      <c r="G17297" s="36" t="str">
        <f>IF(ISNUMBER(F17297),C17297*F17297,"")</f>
        <v/>
      </c>
    </row>
    <row r="17298" spans="1:7" ht="12" customHeight="1" outlineLevel="2" x14ac:dyDescent="0.2">
      <c r="A17298" s="14" t="s">
        <v>34044</v>
      </c>
      <c r="B17298" s="15" t="s">
        <v>34045</v>
      </c>
      <c r="C17298" s="16">
        <f>84.24/(1+B2)</f>
        <v>84.24</v>
      </c>
      <c r="D17298" s="17" t="s">
        <v>11</v>
      </c>
      <c r="E17298" s="17"/>
      <c r="F17298" s="18"/>
      <c r="G17298" s="36" t="str">
        <f>IF(ISNUMBER(F17298),C17298*F17298,"")</f>
        <v/>
      </c>
    </row>
    <row r="17299" spans="1:7" ht="12" customHeight="1" outlineLevel="2" x14ac:dyDescent="0.2">
      <c r="A17299" s="14" t="s">
        <v>34046</v>
      </c>
      <c r="B17299" s="15" t="s">
        <v>34047</v>
      </c>
      <c r="C17299" s="16">
        <f>185.55/(1+B2)</f>
        <v>185.55</v>
      </c>
      <c r="D17299" s="17" t="s">
        <v>11</v>
      </c>
      <c r="E17299" s="17"/>
      <c r="F17299" s="18"/>
      <c r="G17299" s="36" t="str">
        <f>IF(ISNUMBER(F17299),C17299*F17299,"")</f>
        <v/>
      </c>
    </row>
    <row r="17300" spans="1:7" ht="12" customHeight="1" outlineLevel="2" x14ac:dyDescent="0.2">
      <c r="A17300" s="14" t="s">
        <v>34048</v>
      </c>
      <c r="B17300" s="15" t="s">
        <v>34049</v>
      </c>
      <c r="C17300" s="16">
        <f>202.51/(1+B2)</f>
        <v>202.51</v>
      </c>
      <c r="D17300" s="17" t="s">
        <v>11</v>
      </c>
      <c r="E17300" s="17"/>
      <c r="F17300" s="18"/>
      <c r="G17300" s="36" t="str">
        <f>IF(ISNUMBER(F17300),C17300*F17300,"")</f>
        <v/>
      </c>
    </row>
    <row r="17301" spans="1:7" ht="12" customHeight="1" outlineLevel="2" x14ac:dyDescent="0.2">
      <c r="A17301" s="14" t="s">
        <v>34050</v>
      </c>
      <c r="B17301" s="15" t="s">
        <v>34051</v>
      </c>
      <c r="C17301" s="16">
        <f>91.95/(1+B2)</f>
        <v>91.95</v>
      </c>
      <c r="D17301" s="17" t="s">
        <v>11</v>
      </c>
      <c r="E17301" s="17"/>
      <c r="F17301" s="18"/>
      <c r="G17301" s="36" t="str">
        <f>IF(ISNUMBER(F17301),C17301*F17301,"")</f>
        <v/>
      </c>
    </row>
    <row r="17302" spans="1:7" ht="12" customHeight="1" outlineLevel="2" x14ac:dyDescent="0.2">
      <c r="A17302" s="14" t="s">
        <v>34052</v>
      </c>
      <c r="B17302" s="15" t="s">
        <v>34053</v>
      </c>
      <c r="C17302" s="16">
        <f>107.6/(1+B2)</f>
        <v>107.6</v>
      </c>
      <c r="D17302" s="17" t="s">
        <v>11</v>
      </c>
      <c r="E17302" s="17"/>
      <c r="F17302" s="18"/>
      <c r="G17302" s="36" t="str">
        <f>IF(ISNUMBER(F17302),C17302*F17302,"")</f>
        <v/>
      </c>
    </row>
    <row r="17303" spans="1:7" ht="24" customHeight="1" outlineLevel="2" x14ac:dyDescent="0.2">
      <c r="A17303" s="14" t="s">
        <v>34054</v>
      </c>
      <c r="B17303" s="15" t="s">
        <v>34055</v>
      </c>
      <c r="C17303" s="16">
        <f>141.36/(1+B2)</f>
        <v>141.36000000000001</v>
      </c>
      <c r="D17303" s="17" t="s">
        <v>11</v>
      </c>
      <c r="E17303" s="17" t="s">
        <v>53</v>
      </c>
      <c r="F17303" s="18"/>
      <c r="G17303" s="36" t="str">
        <f>IF(ISNUMBER(F17303),C17303*F17303,"")</f>
        <v/>
      </c>
    </row>
    <row r="17304" spans="1:7" ht="12" customHeight="1" outlineLevel="2" x14ac:dyDescent="0.2">
      <c r="A17304" s="14" t="s">
        <v>34056</v>
      </c>
      <c r="B17304" s="15" t="s">
        <v>34057</v>
      </c>
      <c r="C17304" s="16">
        <f>127.5/(1+B2)</f>
        <v>127.5</v>
      </c>
      <c r="D17304" s="17" t="s">
        <v>14</v>
      </c>
      <c r="E17304" s="17"/>
      <c r="F17304" s="18"/>
      <c r="G17304" s="36" t="str">
        <f>IF(ISNUMBER(F17304),C17304*F17304,"")</f>
        <v/>
      </c>
    </row>
    <row r="17305" spans="1:7" ht="12" customHeight="1" outlineLevel="2" x14ac:dyDescent="0.2">
      <c r="A17305" s="14" t="s">
        <v>34058</v>
      </c>
      <c r="B17305" s="15" t="s">
        <v>34059</v>
      </c>
      <c r="C17305" s="16">
        <f>124.13/(1+B2)</f>
        <v>124.13</v>
      </c>
      <c r="D17305" s="17" t="s">
        <v>14</v>
      </c>
      <c r="E17305" s="17" t="s">
        <v>106</v>
      </c>
      <c r="F17305" s="18"/>
      <c r="G17305" s="36" t="str">
        <f>IF(ISNUMBER(F17305),C17305*F17305,"")</f>
        <v/>
      </c>
    </row>
    <row r="17306" spans="1:7" ht="12" customHeight="1" outlineLevel="2" x14ac:dyDescent="0.2">
      <c r="A17306" s="14" t="s">
        <v>34060</v>
      </c>
      <c r="B17306" s="15" t="s">
        <v>34061</v>
      </c>
      <c r="C17306" s="16">
        <f>63.76/(1+B2)</f>
        <v>63.76</v>
      </c>
      <c r="D17306" s="17" t="s">
        <v>11</v>
      </c>
      <c r="E17306" s="17"/>
      <c r="F17306" s="18"/>
      <c r="G17306" s="36" t="str">
        <f>IF(ISNUMBER(F17306),C17306*F17306,"")</f>
        <v/>
      </c>
    </row>
    <row r="17307" spans="1:7" ht="12" customHeight="1" outlineLevel="2" x14ac:dyDescent="0.2">
      <c r="A17307" s="14" t="s">
        <v>34062</v>
      </c>
      <c r="B17307" s="15" t="s">
        <v>34063</v>
      </c>
      <c r="C17307" s="16">
        <f>63.76/(1+B2)</f>
        <v>63.76</v>
      </c>
      <c r="D17307" s="17" t="s">
        <v>11</v>
      </c>
      <c r="E17307" s="17"/>
      <c r="F17307" s="18"/>
      <c r="G17307" s="36" t="str">
        <f>IF(ISNUMBER(F17307),C17307*F17307,"")</f>
        <v/>
      </c>
    </row>
    <row r="17308" spans="1:7" ht="12" customHeight="1" outlineLevel="2" x14ac:dyDescent="0.2">
      <c r="A17308" s="14" t="s">
        <v>34064</v>
      </c>
      <c r="B17308" s="15" t="s">
        <v>34065</v>
      </c>
      <c r="C17308" s="16">
        <f>63.76/(1+B2)</f>
        <v>63.76</v>
      </c>
      <c r="D17308" s="17" t="s">
        <v>11</v>
      </c>
      <c r="E17308" s="17"/>
      <c r="F17308" s="18"/>
      <c r="G17308" s="36" t="str">
        <f>IF(ISNUMBER(F17308),C17308*F17308,"")</f>
        <v/>
      </c>
    </row>
    <row r="17309" spans="1:7" ht="24" customHeight="1" outlineLevel="2" x14ac:dyDescent="0.2">
      <c r="A17309" s="14" t="s">
        <v>34066</v>
      </c>
      <c r="B17309" s="15" t="s">
        <v>34067</v>
      </c>
      <c r="C17309" s="16">
        <f>191.72/(1+B2)</f>
        <v>191.72</v>
      </c>
      <c r="D17309" s="17" t="s">
        <v>11</v>
      </c>
      <c r="E17309" s="17"/>
      <c r="F17309" s="18"/>
      <c r="G17309" s="36" t="str">
        <f>IF(ISNUMBER(F17309),C17309*F17309,"")</f>
        <v/>
      </c>
    </row>
    <row r="17310" spans="1:7" ht="24" customHeight="1" outlineLevel="2" x14ac:dyDescent="0.2">
      <c r="A17310" s="14" t="s">
        <v>34068</v>
      </c>
      <c r="B17310" s="15" t="s">
        <v>34069</v>
      </c>
      <c r="C17310" s="16">
        <f>160.98/(1+B2)</f>
        <v>160.97999999999999</v>
      </c>
      <c r="D17310" s="17" t="s">
        <v>11</v>
      </c>
      <c r="E17310" s="17" t="s">
        <v>11</v>
      </c>
      <c r="F17310" s="18"/>
      <c r="G17310" s="36" t="str">
        <f>IF(ISNUMBER(F17310),C17310*F17310,"")</f>
        <v/>
      </c>
    </row>
    <row r="17311" spans="1:7" ht="12" customHeight="1" outlineLevel="2" x14ac:dyDescent="0.2">
      <c r="A17311" s="14" t="s">
        <v>34070</v>
      </c>
      <c r="B17311" s="15" t="s">
        <v>34071</v>
      </c>
      <c r="C17311" s="16">
        <f>198.46/(1+B2)</f>
        <v>198.46</v>
      </c>
      <c r="D17311" s="17" t="s">
        <v>11</v>
      </c>
      <c r="E17311" s="17" t="s">
        <v>14</v>
      </c>
      <c r="F17311" s="18"/>
      <c r="G17311" s="36" t="str">
        <f>IF(ISNUMBER(F17311),C17311*F17311,"")</f>
        <v/>
      </c>
    </row>
    <row r="17312" spans="1:7" ht="12" customHeight="1" outlineLevel="2" x14ac:dyDescent="0.2">
      <c r="A17312" s="14" t="s">
        <v>34072</v>
      </c>
      <c r="B17312" s="15" t="s">
        <v>34073</v>
      </c>
      <c r="C17312" s="16">
        <f>74.76/(1+B2)</f>
        <v>74.760000000000005</v>
      </c>
      <c r="D17312" s="17" t="s">
        <v>11</v>
      </c>
      <c r="E17312" s="17"/>
      <c r="F17312" s="18"/>
      <c r="G17312" s="36" t="str">
        <f>IF(ISNUMBER(F17312),C17312*F17312,"")</f>
        <v/>
      </c>
    </row>
    <row r="17313" spans="1:7" ht="12" customHeight="1" outlineLevel="2" x14ac:dyDescent="0.2">
      <c r="A17313" s="14" t="s">
        <v>34074</v>
      </c>
      <c r="B17313" s="15" t="s">
        <v>34075</v>
      </c>
      <c r="C17313" s="16">
        <f>33/(1+B2)</f>
        <v>33</v>
      </c>
      <c r="D17313" s="17" t="s">
        <v>11</v>
      </c>
      <c r="E17313" s="17"/>
      <c r="F17313" s="18"/>
      <c r="G17313" s="36" t="str">
        <f>IF(ISNUMBER(F17313),C17313*F17313,"")</f>
        <v/>
      </c>
    </row>
    <row r="17314" spans="1:7" ht="12" customHeight="1" outlineLevel="2" x14ac:dyDescent="0.2">
      <c r="A17314" s="14" t="s">
        <v>34076</v>
      </c>
      <c r="B17314" s="15" t="s">
        <v>34077</v>
      </c>
      <c r="C17314" s="16">
        <f>118.37/(1+B2)</f>
        <v>118.37</v>
      </c>
      <c r="D17314" s="17" t="s">
        <v>11</v>
      </c>
      <c r="E17314" s="17"/>
      <c r="F17314" s="18"/>
      <c r="G17314" s="36" t="str">
        <f>IF(ISNUMBER(F17314),C17314*F17314,"")</f>
        <v/>
      </c>
    </row>
    <row r="17315" spans="1:7" ht="12" customHeight="1" outlineLevel="2" x14ac:dyDescent="0.2">
      <c r="A17315" s="14" t="s">
        <v>34078</v>
      </c>
      <c r="B17315" s="15" t="s">
        <v>34079</v>
      </c>
      <c r="C17315" s="16">
        <f>165/(1+B2)</f>
        <v>165</v>
      </c>
      <c r="D17315" s="17" t="s">
        <v>11</v>
      </c>
      <c r="E17315" s="17"/>
      <c r="F17315" s="18"/>
      <c r="G17315" s="36" t="str">
        <f>IF(ISNUMBER(F17315),C17315*F17315,"")</f>
        <v/>
      </c>
    </row>
    <row r="17316" spans="1:7" ht="12" customHeight="1" outlineLevel="2" x14ac:dyDescent="0.2">
      <c r="A17316" s="14" t="s">
        <v>34080</v>
      </c>
      <c r="B17316" s="15" t="s">
        <v>34081</v>
      </c>
      <c r="C17316" s="16">
        <f>94.78/(1+B2)</f>
        <v>94.78</v>
      </c>
      <c r="D17316" s="17" t="s">
        <v>11</v>
      </c>
      <c r="E17316" s="17"/>
      <c r="F17316" s="18"/>
      <c r="G17316" s="36" t="str">
        <f>IF(ISNUMBER(F17316),C17316*F17316,"")</f>
        <v/>
      </c>
    </row>
    <row r="17317" spans="1:7" ht="12" customHeight="1" outlineLevel="2" x14ac:dyDescent="0.2">
      <c r="A17317" s="14" t="s">
        <v>34082</v>
      </c>
      <c r="B17317" s="15" t="s">
        <v>34083</v>
      </c>
      <c r="C17317" s="16">
        <f>113.84/(1+B2)</f>
        <v>113.84</v>
      </c>
      <c r="D17317" s="17" t="s">
        <v>11</v>
      </c>
      <c r="E17317" s="17" t="s">
        <v>11</v>
      </c>
      <c r="F17317" s="18"/>
      <c r="G17317" s="36" t="str">
        <f>IF(ISNUMBER(F17317),C17317*F17317,"")</f>
        <v/>
      </c>
    </row>
    <row r="17318" spans="1:7" ht="12" customHeight="1" outlineLevel="2" x14ac:dyDescent="0.2">
      <c r="A17318" s="14" t="s">
        <v>34084</v>
      </c>
      <c r="B17318" s="15" t="s">
        <v>34085</v>
      </c>
      <c r="C17318" s="16">
        <f>113.84/(1+B2)</f>
        <v>113.84</v>
      </c>
      <c r="D17318" s="17" t="s">
        <v>11</v>
      </c>
      <c r="E17318" s="17" t="s">
        <v>11</v>
      </c>
      <c r="F17318" s="18"/>
      <c r="G17318" s="36" t="str">
        <f>IF(ISNUMBER(F17318),C17318*F17318,"")</f>
        <v/>
      </c>
    </row>
    <row r="17319" spans="1:7" ht="12" customHeight="1" outlineLevel="2" x14ac:dyDescent="0.2">
      <c r="A17319" s="14" t="s">
        <v>34086</v>
      </c>
      <c r="B17319" s="15" t="s">
        <v>34087</v>
      </c>
      <c r="C17319" s="16">
        <f>107.6/(1+B2)</f>
        <v>107.6</v>
      </c>
      <c r="D17319" s="17" t="s">
        <v>11</v>
      </c>
      <c r="E17319" s="17"/>
      <c r="F17319" s="18"/>
      <c r="G17319" s="36" t="str">
        <f>IF(ISNUMBER(F17319),C17319*F17319,"")</f>
        <v/>
      </c>
    </row>
    <row r="17320" spans="1:7" ht="12" customHeight="1" outlineLevel="2" x14ac:dyDescent="0.2">
      <c r="A17320" s="14" t="s">
        <v>34088</v>
      </c>
      <c r="B17320" s="15" t="s">
        <v>34089</v>
      </c>
      <c r="C17320" s="16">
        <f>113.84/(1+B2)</f>
        <v>113.84</v>
      </c>
      <c r="D17320" s="17" t="s">
        <v>11</v>
      </c>
      <c r="E17320" s="17" t="s">
        <v>11</v>
      </c>
      <c r="F17320" s="18"/>
      <c r="G17320" s="36" t="str">
        <f>IF(ISNUMBER(F17320),C17320*F17320,"")</f>
        <v/>
      </c>
    </row>
    <row r="17321" spans="1:7" ht="12" customHeight="1" outlineLevel="2" x14ac:dyDescent="0.2">
      <c r="A17321" s="14" t="s">
        <v>34090</v>
      </c>
      <c r="B17321" s="15" t="s">
        <v>34091</v>
      </c>
      <c r="C17321" s="16">
        <f>138.68/(1+B2)</f>
        <v>138.68</v>
      </c>
      <c r="D17321" s="17" t="s">
        <v>11</v>
      </c>
      <c r="E17321" s="17"/>
      <c r="F17321" s="18"/>
      <c r="G17321" s="36" t="str">
        <f>IF(ISNUMBER(F17321),C17321*F17321,"")</f>
        <v/>
      </c>
    </row>
    <row r="17322" spans="1:7" s="1" customFormat="1" ht="15.95" customHeight="1" outlineLevel="1" x14ac:dyDescent="0.25">
      <c r="A17322" s="11"/>
      <c r="B17322" s="12" t="s">
        <v>34092</v>
      </c>
      <c r="C17322" s="13"/>
      <c r="D17322" s="13"/>
      <c r="E17322" s="13"/>
      <c r="F17322" s="13"/>
      <c r="G17322" s="35"/>
    </row>
    <row r="17323" spans="1:7" ht="24" customHeight="1" outlineLevel="2" x14ac:dyDescent="0.2">
      <c r="A17323" s="14" t="s">
        <v>34093</v>
      </c>
      <c r="B17323" s="15" t="s">
        <v>34094</v>
      </c>
      <c r="C17323" s="16">
        <f>169.74/(1+B2)</f>
        <v>169.74</v>
      </c>
      <c r="D17323" s="17" t="s">
        <v>14</v>
      </c>
      <c r="E17323" s="17"/>
      <c r="F17323" s="18"/>
      <c r="G17323" s="36" t="str">
        <f>IF(ISNUMBER(F17323),C17323*F17323,"")</f>
        <v/>
      </c>
    </row>
    <row r="17324" spans="1:7" ht="12" customHeight="1" outlineLevel="2" x14ac:dyDescent="0.2">
      <c r="A17324" s="14" t="s">
        <v>34095</v>
      </c>
      <c r="B17324" s="15" t="s">
        <v>34096</v>
      </c>
      <c r="C17324" s="16">
        <f>18.42/(1+B2)</f>
        <v>18.420000000000002</v>
      </c>
      <c r="D17324" s="17" t="s">
        <v>11</v>
      </c>
      <c r="E17324" s="17" t="s">
        <v>106</v>
      </c>
      <c r="F17324" s="18"/>
      <c r="G17324" s="36" t="str">
        <f>IF(ISNUMBER(F17324),C17324*F17324,"")</f>
        <v/>
      </c>
    </row>
    <row r="17325" spans="1:7" ht="12" customHeight="1" outlineLevel="2" x14ac:dyDescent="0.2">
      <c r="A17325" s="14" t="s">
        <v>34097</v>
      </c>
      <c r="B17325" s="15" t="s">
        <v>34098</v>
      </c>
      <c r="C17325" s="16">
        <f>105.06/(1+B2)</f>
        <v>105.06</v>
      </c>
      <c r="D17325" s="17" t="s">
        <v>11</v>
      </c>
      <c r="E17325" s="17" t="s">
        <v>11</v>
      </c>
      <c r="F17325" s="18"/>
      <c r="G17325" s="36" t="str">
        <f>IF(ISNUMBER(F17325),C17325*F17325,"")</f>
        <v/>
      </c>
    </row>
    <row r="17326" spans="1:7" ht="12" customHeight="1" outlineLevel="2" x14ac:dyDescent="0.2">
      <c r="A17326" s="14" t="s">
        <v>34099</v>
      </c>
      <c r="B17326" s="15" t="s">
        <v>34100</v>
      </c>
      <c r="C17326" s="16">
        <f>32.89/(1+B2)</f>
        <v>32.89</v>
      </c>
      <c r="D17326" s="17" t="s">
        <v>11</v>
      </c>
      <c r="E17326" s="17" t="s">
        <v>11</v>
      </c>
      <c r="F17326" s="18"/>
      <c r="G17326" s="36" t="str">
        <f>IF(ISNUMBER(F17326),C17326*F17326,"")</f>
        <v/>
      </c>
    </row>
    <row r="17327" spans="1:7" ht="12" customHeight="1" outlineLevel="2" x14ac:dyDescent="0.2">
      <c r="A17327" s="14" t="s">
        <v>34101</v>
      </c>
      <c r="B17327" s="15" t="s">
        <v>34102</v>
      </c>
      <c r="C17327" s="16">
        <f>34.09/(1+B2)</f>
        <v>34.090000000000003</v>
      </c>
      <c r="D17327" s="17" t="s">
        <v>11</v>
      </c>
      <c r="E17327" s="17" t="s">
        <v>14</v>
      </c>
      <c r="F17327" s="18"/>
      <c r="G17327" s="36" t="str">
        <f>IF(ISNUMBER(F17327),C17327*F17327,"")</f>
        <v/>
      </c>
    </row>
    <row r="17328" spans="1:7" ht="12" customHeight="1" outlineLevel="2" x14ac:dyDescent="0.2">
      <c r="A17328" s="14" t="s">
        <v>34103</v>
      </c>
      <c r="B17328" s="15" t="s">
        <v>34104</v>
      </c>
      <c r="C17328" s="16">
        <f>40.04/(1+B2)</f>
        <v>40.04</v>
      </c>
      <c r="D17328" s="17" t="s">
        <v>11</v>
      </c>
      <c r="E17328" s="17" t="s">
        <v>11</v>
      </c>
      <c r="F17328" s="18"/>
      <c r="G17328" s="36" t="str">
        <f>IF(ISNUMBER(F17328),C17328*F17328,"")</f>
        <v/>
      </c>
    </row>
    <row r="17329" spans="1:7" ht="12" customHeight="1" outlineLevel="2" x14ac:dyDescent="0.2">
      <c r="A17329" s="14" t="s">
        <v>34105</v>
      </c>
      <c r="B17329" s="15" t="s">
        <v>34106</v>
      </c>
      <c r="C17329" s="16">
        <f>39.6/(1+B2)</f>
        <v>39.6</v>
      </c>
      <c r="D17329" s="17" t="s">
        <v>11</v>
      </c>
      <c r="E17329" s="17"/>
      <c r="F17329" s="18"/>
      <c r="G17329" s="36" t="str">
        <f>IF(ISNUMBER(F17329),C17329*F17329,"")</f>
        <v/>
      </c>
    </row>
    <row r="17330" spans="1:7" ht="12" customHeight="1" outlineLevel="2" x14ac:dyDescent="0.2">
      <c r="A17330" s="14" t="s">
        <v>34107</v>
      </c>
      <c r="B17330" s="15" t="s">
        <v>34108</v>
      </c>
      <c r="C17330" s="16">
        <f>18.42/(1+B2)</f>
        <v>18.420000000000002</v>
      </c>
      <c r="D17330" s="17" t="s">
        <v>11</v>
      </c>
      <c r="E17330" s="17" t="s">
        <v>11</v>
      </c>
      <c r="F17330" s="18"/>
      <c r="G17330" s="36" t="str">
        <f>IF(ISNUMBER(F17330),C17330*F17330,"")</f>
        <v/>
      </c>
    </row>
    <row r="17331" spans="1:7" ht="12" customHeight="1" outlineLevel="2" x14ac:dyDescent="0.2">
      <c r="A17331" s="14" t="s">
        <v>34109</v>
      </c>
      <c r="B17331" s="15" t="s">
        <v>34110</v>
      </c>
      <c r="C17331" s="16">
        <f>23.46/(1+B2)</f>
        <v>23.46</v>
      </c>
      <c r="D17331" s="17" t="s">
        <v>11</v>
      </c>
      <c r="E17331" s="17" t="s">
        <v>106</v>
      </c>
      <c r="F17331" s="18"/>
      <c r="G17331" s="36" t="str">
        <f>IF(ISNUMBER(F17331),C17331*F17331,"")</f>
        <v/>
      </c>
    </row>
    <row r="17332" spans="1:7" ht="12" customHeight="1" outlineLevel="2" x14ac:dyDescent="0.2">
      <c r="A17332" s="14" t="s">
        <v>34111</v>
      </c>
      <c r="B17332" s="15" t="s">
        <v>34112</v>
      </c>
      <c r="C17332" s="16">
        <f>29.99/(1+B2)</f>
        <v>29.99</v>
      </c>
      <c r="D17332" s="17" t="s">
        <v>53</v>
      </c>
      <c r="E17332" s="17" t="s">
        <v>14</v>
      </c>
      <c r="F17332" s="18"/>
      <c r="G17332" s="36" t="str">
        <f>IF(ISNUMBER(F17332),C17332*F17332,"")</f>
        <v/>
      </c>
    </row>
    <row r="17333" spans="1:7" ht="12" customHeight="1" outlineLevel="2" x14ac:dyDescent="0.2">
      <c r="A17333" s="14" t="s">
        <v>34113</v>
      </c>
      <c r="B17333" s="15" t="s">
        <v>34114</v>
      </c>
      <c r="C17333" s="16">
        <f>62.33/(1+B2)</f>
        <v>62.33</v>
      </c>
      <c r="D17333" s="17" t="s">
        <v>11</v>
      </c>
      <c r="E17333" s="17" t="s">
        <v>11</v>
      </c>
      <c r="F17333" s="18"/>
      <c r="G17333" s="36" t="str">
        <f>IF(ISNUMBER(F17333),C17333*F17333,"")</f>
        <v/>
      </c>
    </row>
    <row r="17334" spans="1:7" ht="12" customHeight="1" outlineLevel="2" x14ac:dyDescent="0.2">
      <c r="A17334" s="14" t="s">
        <v>34115</v>
      </c>
      <c r="B17334" s="15" t="s">
        <v>34116</v>
      </c>
      <c r="C17334" s="16">
        <f>145.02/(1+B2)</f>
        <v>145.02000000000001</v>
      </c>
      <c r="D17334" s="17" t="s">
        <v>11</v>
      </c>
      <c r="E17334" s="17" t="s">
        <v>11</v>
      </c>
      <c r="F17334" s="18"/>
      <c r="G17334" s="36" t="str">
        <f>IF(ISNUMBER(F17334),C17334*F17334,"")</f>
        <v/>
      </c>
    </row>
    <row r="17335" spans="1:7" ht="12" customHeight="1" outlineLevel="2" x14ac:dyDescent="0.2">
      <c r="A17335" s="14" t="s">
        <v>34117</v>
      </c>
      <c r="B17335" s="15" t="s">
        <v>34118</v>
      </c>
      <c r="C17335" s="16">
        <f>184.73/(1+B2)</f>
        <v>184.73</v>
      </c>
      <c r="D17335" s="17" t="s">
        <v>11</v>
      </c>
      <c r="E17335" s="17"/>
      <c r="F17335" s="18"/>
      <c r="G17335" s="36" t="str">
        <f>IF(ISNUMBER(F17335),C17335*F17335,"")</f>
        <v/>
      </c>
    </row>
    <row r="17336" spans="1:7" ht="12" customHeight="1" outlineLevel="2" x14ac:dyDescent="0.2">
      <c r="A17336" s="14" t="s">
        <v>34119</v>
      </c>
      <c r="B17336" s="15" t="s">
        <v>34120</v>
      </c>
      <c r="C17336" s="16">
        <f>179.22/(1+B2)</f>
        <v>179.22</v>
      </c>
      <c r="D17336" s="17" t="s">
        <v>11</v>
      </c>
      <c r="E17336" s="17" t="s">
        <v>11</v>
      </c>
      <c r="F17336" s="18"/>
      <c r="G17336" s="36" t="str">
        <f>IF(ISNUMBER(F17336),C17336*F17336,"")</f>
        <v/>
      </c>
    </row>
    <row r="17337" spans="1:7" ht="12" customHeight="1" outlineLevel="2" x14ac:dyDescent="0.2">
      <c r="A17337" s="14" t="s">
        <v>34121</v>
      </c>
      <c r="B17337" s="15" t="s">
        <v>34122</v>
      </c>
      <c r="C17337" s="16">
        <f>153.65/(1+B2)</f>
        <v>153.65</v>
      </c>
      <c r="D17337" s="17" t="s">
        <v>11</v>
      </c>
      <c r="E17337" s="17"/>
      <c r="F17337" s="18"/>
      <c r="G17337" s="36" t="str">
        <f>IF(ISNUMBER(F17337),C17337*F17337,"")</f>
        <v/>
      </c>
    </row>
    <row r="17338" spans="1:7" ht="12" customHeight="1" outlineLevel="2" x14ac:dyDescent="0.2">
      <c r="A17338" s="14" t="s">
        <v>34123</v>
      </c>
      <c r="B17338" s="15" t="s">
        <v>34124</v>
      </c>
      <c r="C17338" s="16">
        <f>137.87/(1+B2)</f>
        <v>137.87</v>
      </c>
      <c r="D17338" s="17" t="s">
        <v>11</v>
      </c>
      <c r="E17338" s="17"/>
      <c r="F17338" s="18"/>
      <c r="G17338" s="36" t="str">
        <f>IF(ISNUMBER(F17338),C17338*F17338,"")</f>
        <v/>
      </c>
    </row>
    <row r="17339" spans="1:7" ht="12" customHeight="1" outlineLevel="2" x14ac:dyDescent="0.2">
      <c r="A17339" s="14" t="s">
        <v>34125</v>
      </c>
      <c r="B17339" s="15" t="s">
        <v>34126</v>
      </c>
      <c r="C17339" s="16">
        <f>195.32/(1+B2)</f>
        <v>195.32</v>
      </c>
      <c r="D17339" s="17" t="s">
        <v>11</v>
      </c>
      <c r="E17339" s="17"/>
      <c r="F17339" s="18"/>
      <c r="G17339" s="36" t="str">
        <f>IF(ISNUMBER(F17339),C17339*F17339,"")</f>
        <v/>
      </c>
    </row>
    <row r="17340" spans="1:7" ht="12" customHeight="1" outlineLevel="2" x14ac:dyDescent="0.2">
      <c r="A17340" s="14" t="s">
        <v>34127</v>
      </c>
      <c r="B17340" s="15" t="s">
        <v>34128</v>
      </c>
      <c r="C17340" s="16">
        <f>65.42/(1+B2)</f>
        <v>65.42</v>
      </c>
      <c r="D17340" s="17" t="s">
        <v>11</v>
      </c>
      <c r="E17340" s="17" t="s">
        <v>11</v>
      </c>
      <c r="F17340" s="18"/>
      <c r="G17340" s="36" t="str">
        <f>IF(ISNUMBER(F17340),C17340*F17340,"")</f>
        <v/>
      </c>
    </row>
    <row r="17341" spans="1:7" ht="12" customHeight="1" outlineLevel="2" x14ac:dyDescent="0.2">
      <c r="A17341" s="14" t="s">
        <v>34129</v>
      </c>
      <c r="B17341" s="15" t="s">
        <v>34130</v>
      </c>
      <c r="C17341" s="16">
        <f>78.79/(1+B2)</f>
        <v>78.790000000000006</v>
      </c>
      <c r="D17341" s="17" t="s">
        <v>11</v>
      </c>
      <c r="E17341" s="17" t="s">
        <v>11</v>
      </c>
      <c r="F17341" s="18"/>
      <c r="G17341" s="36" t="str">
        <f>IF(ISNUMBER(F17341),C17341*F17341,"")</f>
        <v/>
      </c>
    </row>
    <row r="17342" spans="1:7" s="1" customFormat="1" ht="15.95" customHeight="1" outlineLevel="1" x14ac:dyDescent="0.25">
      <c r="A17342" s="11"/>
      <c r="B17342" s="12" t="s">
        <v>34131</v>
      </c>
      <c r="C17342" s="13"/>
      <c r="D17342" s="13"/>
      <c r="E17342" s="13"/>
      <c r="F17342" s="13"/>
      <c r="G17342" s="35"/>
    </row>
    <row r="17343" spans="1:7" ht="12" customHeight="1" outlineLevel="2" x14ac:dyDescent="0.2">
      <c r="A17343" s="14" t="s">
        <v>34132</v>
      </c>
      <c r="B17343" s="15" t="s">
        <v>34133</v>
      </c>
      <c r="C17343" s="16">
        <f>53/(1+B2)</f>
        <v>53</v>
      </c>
      <c r="D17343" s="17" t="s">
        <v>14</v>
      </c>
      <c r="E17343" s="17"/>
      <c r="F17343" s="18"/>
      <c r="G17343" s="36" t="str">
        <f>IF(ISNUMBER(F17343),C17343*F17343,"")</f>
        <v/>
      </c>
    </row>
    <row r="17344" spans="1:7" ht="12" customHeight="1" outlineLevel="2" x14ac:dyDescent="0.2">
      <c r="A17344" s="14" t="s">
        <v>34134</v>
      </c>
      <c r="B17344" s="15" t="s">
        <v>34135</v>
      </c>
      <c r="C17344" s="16">
        <f>22.84/(1+B2)</f>
        <v>22.84</v>
      </c>
      <c r="D17344" s="17" t="s">
        <v>11</v>
      </c>
      <c r="E17344" s="17" t="s">
        <v>11</v>
      </c>
      <c r="F17344" s="18"/>
      <c r="G17344" s="36" t="str">
        <f>IF(ISNUMBER(F17344),C17344*F17344,"")</f>
        <v/>
      </c>
    </row>
    <row r="17345" spans="1:7" ht="12" customHeight="1" outlineLevel="2" x14ac:dyDescent="0.2">
      <c r="A17345" s="14" t="s">
        <v>34136</v>
      </c>
      <c r="B17345" s="15" t="s">
        <v>34137</v>
      </c>
      <c r="C17345" s="16">
        <f>7.56/(1+B2)</f>
        <v>7.56</v>
      </c>
      <c r="D17345" s="17" t="s">
        <v>53</v>
      </c>
      <c r="E17345" s="17"/>
      <c r="F17345" s="18"/>
      <c r="G17345" s="36" t="str">
        <f>IF(ISNUMBER(F17345),C17345*F17345,"")</f>
        <v/>
      </c>
    </row>
    <row r="17346" spans="1:7" ht="12" customHeight="1" outlineLevel="2" x14ac:dyDescent="0.2">
      <c r="A17346" s="14" t="s">
        <v>34138</v>
      </c>
      <c r="B17346" s="15" t="s">
        <v>34139</v>
      </c>
      <c r="C17346" s="16">
        <f>98.23/(1+B2)</f>
        <v>98.23</v>
      </c>
      <c r="D17346" s="17" t="s">
        <v>11</v>
      </c>
      <c r="E17346" s="17"/>
      <c r="F17346" s="18"/>
      <c r="G17346" s="36" t="str">
        <f>IF(ISNUMBER(F17346),C17346*F17346,"")</f>
        <v/>
      </c>
    </row>
    <row r="17347" spans="1:7" ht="12" customHeight="1" outlineLevel="2" x14ac:dyDescent="0.2">
      <c r="A17347" s="14" t="s">
        <v>34140</v>
      </c>
      <c r="B17347" s="15" t="s">
        <v>34141</v>
      </c>
      <c r="C17347" s="16">
        <f>98.23/(1+B2)</f>
        <v>98.23</v>
      </c>
      <c r="D17347" s="17" t="s">
        <v>11</v>
      </c>
      <c r="E17347" s="17"/>
      <c r="F17347" s="18"/>
      <c r="G17347" s="36" t="str">
        <f>IF(ISNUMBER(F17347),C17347*F17347,"")</f>
        <v/>
      </c>
    </row>
    <row r="17348" spans="1:7" ht="12" customHeight="1" outlineLevel="2" x14ac:dyDescent="0.2">
      <c r="A17348" s="14" t="s">
        <v>34142</v>
      </c>
      <c r="B17348" s="15" t="s">
        <v>34143</v>
      </c>
      <c r="C17348" s="16">
        <f>98.23/(1+B2)</f>
        <v>98.23</v>
      </c>
      <c r="D17348" s="17" t="s">
        <v>11</v>
      </c>
      <c r="E17348" s="17"/>
      <c r="F17348" s="18"/>
      <c r="G17348" s="36" t="str">
        <f>IF(ISNUMBER(F17348),C17348*F17348,"")</f>
        <v/>
      </c>
    </row>
    <row r="17349" spans="1:7" ht="12" customHeight="1" outlineLevel="2" x14ac:dyDescent="0.2">
      <c r="A17349" s="14" t="s">
        <v>34144</v>
      </c>
      <c r="B17349" s="15" t="s">
        <v>34145</v>
      </c>
      <c r="C17349" s="16">
        <f>92.64/(1+B2)</f>
        <v>92.64</v>
      </c>
      <c r="D17349" s="17" t="s">
        <v>11</v>
      </c>
      <c r="E17349" s="17" t="s">
        <v>11</v>
      </c>
      <c r="F17349" s="18"/>
      <c r="G17349" s="36" t="str">
        <f>IF(ISNUMBER(F17349),C17349*F17349,"")</f>
        <v/>
      </c>
    </row>
    <row r="17350" spans="1:7" ht="12" customHeight="1" outlineLevel="2" x14ac:dyDescent="0.2">
      <c r="A17350" s="14" t="s">
        <v>34146</v>
      </c>
      <c r="B17350" s="15" t="s">
        <v>34147</v>
      </c>
      <c r="C17350" s="16">
        <f>87.13/(1+B2)</f>
        <v>87.13</v>
      </c>
      <c r="D17350" s="17" t="s">
        <v>14</v>
      </c>
      <c r="E17350" s="17"/>
      <c r="F17350" s="18"/>
      <c r="G17350" s="36" t="str">
        <f>IF(ISNUMBER(F17350),C17350*F17350,"")</f>
        <v/>
      </c>
    </row>
    <row r="17351" spans="1:7" ht="12" customHeight="1" outlineLevel="2" x14ac:dyDescent="0.2">
      <c r="A17351" s="14" t="s">
        <v>34148</v>
      </c>
      <c r="B17351" s="15" t="s">
        <v>34149</v>
      </c>
      <c r="C17351" s="16">
        <f>107.68/(1+B2)</f>
        <v>107.68</v>
      </c>
      <c r="D17351" s="17" t="s">
        <v>11</v>
      </c>
      <c r="E17351" s="17"/>
      <c r="F17351" s="18"/>
      <c r="G17351" s="36" t="str">
        <f>IF(ISNUMBER(F17351),C17351*F17351,"")</f>
        <v/>
      </c>
    </row>
    <row r="17352" spans="1:7" ht="12" customHeight="1" outlineLevel="2" x14ac:dyDescent="0.2">
      <c r="A17352" s="14" t="s">
        <v>34150</v>
      </c>
      <c r="B17352" s="15" t="s">
        <v>34151</v>
      </c>
      <c r="C17352" s="16">
        <f>95/(1+B2)</f>
        <v>95</v>
      </c>
      <c r="D17352" s="17" t="s">
        <v>11</v>
      </c>
      <c r="E17352" s="17"/>
      <c r="F17352" s="18"/>
      <c r="G17352" s="36" t="str">
        <f>IF(ISNUMBER(F17352),C17352*F17352,"")</f>
        <v/>
      </c>
    </row>
    <row r="17353" spans="1:7" ht="12" customHeight="1" outlineLevel="2" x14ac:dyDescent="0.2">
      <c r="A17353" s="14" t="s">
        <v>34152</v>
      </c>
      <c r="B17353" s="15" t="s">
        <v>34153</v>
      </c>
      <c r="C17353" s="16">
        <f>231.11/(1+B2)</f>
        <v>231.11</v>
      </c>
      <c r="D17353" s="17" t="s">
        <v>11</v>
      </c>
      <c r="E17353" s="17"/>
      <c r="F17353" s="18"/>
      <c r="G17353" s="36" t="str">
        <f>IF(ISNUMBER(F17353),C17353*F17353,"")</f>
        <v/>
      </c>
    </row>
    <row r="17354" spans="1:7" ht="12" customHeight="1" outlineLevel="2" x14ac:dyDescent="0.2">
      <c r="A17354" s="14" t="s">
        <v>34154</v>
      </c>
      <c r="B17354" s="15" t="s">
        <v>34155</v>
      </c>
      <c r="C17354" s="16">
        <f>43.51/(1+B2)</f>
        <v>43.51</v>
      </c>
      <c r="D17354" s="17" t="s">
        <v>11</v>
      </c>
      <c r="E17354" s="17" t="s">
        <v>53</v>
      </c>
      <c r="F17354" s="18"/>
      <c r="G17354" s="36" t="str">
        <f>IF(ISNUMBER(F17354),C17354*F17354,"")</f>
        <v/>
      </c>
    </row>
    <row r="17355" spans="1:7" ht="12" customHeight="1" outlineLevel="2" x14ac:dyDescent="0.2">
      <c r="A17355" s="14" t="s">
        <v>34156</v>
      </c>
      <c r="B17355" s="15" t="s">
        <v>34157</v>
      </c>
      <c r="C17355" s="16">
        <f>106.91/(1+B2)</f>
        <v>106.91</v>
      </c>
      <c r="D17355" s="17" t="s">
        <v>11</v>
      </c>
      <c r="E17355" s="17"/>
      <c r="F17355" s="18"/>
      <c r="G17355" s="36" t="str">
        <f>IF(ISNUMBER(F17355),C17355*F17355,"")</f>
        <v/>
      </c>
    </row>
    <row r="17356" spans="1:7" ht="12" customHeight="1" outlineLevel="2" x14ac:dyDescent="0.2">
      <c r="A17356" s="14" t="s">
        <v>34158</v>
      </c>
      <c r="B17356" s="15" t="s">
        <v>34159</v>
      </c>
      <c r="C17356" s="16">
        <f>41.38/(1+B2)</f>
        <v>41.38</v>
      </c>
      <c r="D17356" s="17" t="s">
        <v>11</v>
      </c>
      <c r="E17356" s="17" t="s">
        <v>11</v>
      </c>
      <c r="F17356" s="18"/>
      <c r="G17356" s="36" t="str">
        <f>IF(ISNUMBER(F17356),C17356*F17356,"")</f>
        <v/>
      </c>
    </row>
    <row r="17357" spans="1:7" ht="12" customHeight="1" outlineLevel="2" x14ac:dyDescent="0.2">
      <c r="A17357" s="14" t="s">
        <v>34160</v>
      </c>
      <c r="B17357" s="15" t="s">
        <v>34161</v>
      </c>
      <c r="C17357" s="16">
        <f>57.1/(1+B2)</f>
        <v>57.1</v>
      </c>
      <c r="D17357" s="17" t="s">
        <v>11</v>
      </c>
      <c r="E17357" s="17" t="s">
        <v>11</v>
      </c>
      <c r="F17357" s="18"/>
      <c r="G17357" s="36" t="str">
        <f>IF(ISNUMBER(F17357),C17357*F17357,"")</f>
        <v/>
      </c>
    </row>
    <row r="17358" spans="1:7" ht="12" customHeight="1" outlineLevel="2" x14ac:dyDescent="0.2">
      <c r="A17358" s="14" t="s">
        <v>34162</v>
      </c>
      <c r="B17358" s="15" t="s">
        <v>34163</v>
      </c>
      <c r="C17358" s="16">
        <f>58.24/(1+B2)</f>
        <v>58.24</v>
      </c>
      <c r="D17358" s="17" t="s">
        <v>11</v>
      </c>
      <c r="E17358" s="17" t="s">
        <v>11</v>
      </c>
      <c r="F17358" s="18"/>
      <c r="G17358" s="36" t="str">
        <f>IF(ISNUMBER(F17358),C17358*F17358,"")</f>
        <v/>
      </c>
    </row>
    <row r="17359" spans="1:7" ht="12" customHeight="1" outlineLevel="2" x14ac:dyDescent="0.2">
      <c r="A17359" s="14" t="s">
        <v>34164</v>
      </c>
      <c r="B17359" s="15" t="s">
        <v>34165</v>
      </c>
      <c r="C17359" s="16">
        <f>52.92/(1+B2)</f>
        <v>52.92</v>
      </c>
      <c r="D17359" s="17" t="s">
        <v>11</v>
      </c>
      <c r="E17359" s="17"/>
      <c r="F17359" s="18"/>
      <c r="G17359" s="36" t="str">
        <f>IF(ISNUMBER(F17359),C17359*F17359,"")</f>
        <v/>
      </c>
    </row>
    <row r="17360" spans="1:7" ht="12" customHeight="1" outlineLevel="2" x14ac:dyDescent="0.2">
      <c r="A17360" s="14" t="s">
        <v>34166</v>
      </c>
      <c r="B17360" s="15" t="s">
        <v>34167</v>
      </c>
      <c r="C17360" s="16">
        <f>76.73/(1+B2)</f>
        <v>76.73</v>
      </c>
      <c r="D17360" s="17" t="s">
        <v>11</v>
      </c>
      <c r="E17360" s="17"/>
      <c r="F17360" s="18"/>
      <c r="G17360" s="36" t="str">
        <f>IF(ISNUMBER(F17360),C17360*F17360,"")</f>
        <v/>
      </c>
    </row>
    <row r="17361" spans="1:7" ht="12" customHeight="1" outlineLevel="2" x14ac:dyDescent="0.2">
      <c r="A17361" s="14" t="s">
        <v>34168</v>
      </c>
      <c r="B17361" s="15" t="s">
        <v>34169</v>
      </c>
      <c r="C17361" s="16">
        <f>32.4/(1+B2)</f>
        <v>32.4</v>
      </c>
      <c r="D17361" s="17" t="s">
        <v>11</v>
      </c>
      <c r="E17361" s="17"/>
      <c r="F17361" s="18"/>
      <c r="G17361" s="36" t="str">
        <f>IF(ISNUMBER(F17361),C17361*F17361,"")</f>
        <v/>
      </c>
    </row>
    <row r="17362" spans="1:7" ht="12" customHeight="1" outlineLevel="2" x14ac:dyDescent="0.2">
      <c r="A17362" s="14" t="s">
        <v>34170</v>
      </c>
      <c r="B17362" s="15" t="s">
        <v>34171</v>
      </c>
      <c r="C17362" s="16">
        <f>87.28/(1+B2)</f>
        <v>87.28</v>
      </c>
      <c r="D17362" s="17" t="s">
        <v>11</v>
      </c>
      <c r="E17362" s="17"/>
      <c r="F17362" s="18"/>
      <c r="G17362" s="36" t="str">
        <f>IF(ISNUMBER(F17362),C17362*F17362,"")</f>
        <v/>
      </c>
    </row>
    <row r="17363" spans="1:7" ht="12" customHeight="1" outlineLevel="2" x14ac:dyDescent="0.2">
      <c r="A17363" s="14" t="s">
        <v>34172</v>
      </c>
      <c r="B17363" s="15" t="s">
        <v>34173</v>
      </c>
      <c r="C17363" s="16">
        <f>24/(1+B2)</f>
        <v>24</v>
      </c>
      <c r="D17363" s="17" t="s">
        <v>11</v>
      </c>
      <c r="E17363" s="17" t="s">
        <v>53</v>
      </c>
      <c r="F17363" s="18"/>
      <c r="G17363" s="36" t="str">
        <f>IF(ISNUMBER(F17363),C17363*F17363,"")</f>
        <v/>
      </c>
    </row>
    <row r="17364" spans="1:7" ht="12" customHeight="1" outlineLevel="2" x14ac:dyDescent="0.2">
      <c r="A17364" s="14" t="s">
        <v>34174</v>
      </c>
      <c r="B17364" s="15" t="s">
        <v>34175</v>
      </c>
      <c r="C17364" s="16">
        <f>143.41/(1+B2)</f>
        <v>143.41</v>
      </c>
      <c r="D17364" s="17" t="s">
        <v>14</v>
      </c>
      <c r="E17364" s="17" t="s">
        <v>11</v>
      </c>
      <c r="F17364" s="18"/>
      <c r="G17364" s="36" t="str">
        <f>IF(ISNUMBER(F17364),C17364*F17364,"")</f>
        <v/>
      </c>
    </row>
    <row r="17365" spans="1:7" ht="12" customHeight="1" outlineLevel="2" x14ac:dyDescent="0.2">
      <c r="A17365" s="14" t="s">
        <v>34176</v>
      </c>
      <c r="B17365" s="15" t="s">
        <v>34177</v>
      </c>
      <c r="C17365" s="16">
        <f>6.15/(1+B2)</f>
        <v>6.15</v>
      </c>
      <c r="D17365" s="17" t="s">
        <v>11</v>
      </c>
      <c r="E17365" s="17" t="s">
        <v>14</v>
      </c>
      <c r="F17365" s="18"/>
      <c r="G17365" s="36" t="str">
        <f>IF(ISNUMBER(F17365),C17365*F17365,"")</f>
        <v/>
      </c>
    </row>
    <row r="17366" spans="1:7" ht="12" customHeight="1" outlineLevel="2" x14ac:dyDescent="0.2">
      <c r="A17366" s="14" t="s">
        <v>34178</v>
      </c>
      <c r="B17366" s="15" t="s">
        <v>34179</v>
      </c>
      <c r="C17366" s="16">
        <f>102.12/(1+B2)</f>
        <v>102.12</v>
      </c>
      <c r="D17366" s="17" t="s">
        <v>14</v>
      </c>
      <c r="E17366" s="17" t="s">
        <v>11</v>
      </c>
      <c r="F17366" s="18"/>
      <c r="G17366" s="36" t="str">
        <f>IF(ISNUMBER(F17366),C17366*F17366,"")</f>
        <v/>
      </c>
    </row>
    <row r="17367" spans="1:7" ht="12" customHeight="1" outlineLevel="2" x14ac:dyDescent="0.2">
      <c r="A17367" s="14" t="s">
        <v>34180</v>
      </c>
      <c r="B17367" s="15" t="s">
        <v>34181</v>
      </c>
      <c r="C17367" s="16">
        <f>87.28/(1+B2)</f>
        <v>87.28</v>
      </c>
      <c r="D17367" s="17" t="s">
        <v>11</v>
      </c>
      <c r="E17367" s="17" t="s">
        <v>11</v>
      </c>
      <c r="F17367" s="18"/>
      <c r="G17367" s="36" t="str">
        <f>IF(ISNUMBER(F17367),C17367*F17367,"")</f>
        <v/>
      </c>
    </row>
    <row r="17368" spans="1:7" ht="12" customHeight="1" outlineLevel="2" x14ac:dyDescent="0.2">
      <c r="A17368" s="14" t="s">
        <v>34182</v>
      </c>
      <c r="B17368" s="15" t="s">
        <v>34183</v>
      </c>
      <c r="C17368" s="16">
        <f>15.73/(1+B2)</f>
        <v>15.73</v>
      </c>
      <c r="D17368" s="17" t="s">
        <v>11</v>
      </c>
      <c r="E17368" s="17"/>
      <c r="F17368" s="18"/>
      <c r="G17368" s="36" t="str">
        <f>IF(ISNUMBER(F17368),C17368*F17368,"")</f>
        <v/>
      </c>
    </row>
    <row r="17369" spans="1:7" ht="12" customHeight="1" outlineLevel="2" x14ac:dyDescent="0.2">
      <c r="A17369" s="14" t="s">
        <v>34184</v>
      </c>
      <c r="B17369" s="15" t="s">
        <v>34185</v>
      </c>
      <c r="C17369" s="16">
        <f>118.51/(1+B2)</f>
        <v>118.51</v>
      </c>
      <c r="D17369" s="17" t="s">
        <v>11</v>
      </c>
      <c r="E17369" s="17"/>
      <c r="F17369" s="18"/>
      <c r="G17369" s="36" t="str">
        <f>IF(ISNUMBER(F17369),C17369*F17369,"")</f>
        <v/>
      </c>
    </row>
    <row r="17370" spans="1:7" ht="12" customHeight="1" outlineLevel="2" x14ac:dyDescent="0.2">
      <c r="A17370" s="14" t="s">
        <v>34186</v>
      </c>
      <c r="B17370" s="15" t="s">
        <v>34187</v>
      </c>
      <c r="C17370" s="16">
        <f>97.07/(1+B2)</f>
        <v>97.07</v>
      </c>
      <c r="D17370" s="17" t="s">
        <v>11</v>
      </c>
      <c r="E17370" s="17"/>
      <c r="F17370" s="18"/>
      <c r="G17370" s="36" t="str">
        <f>IF(ISNUMBER(F17370),C17370*F17370,"")</f>
        <v/>
      </c>
    </row>
    <row r="17371" spans="1:7" ht="12" customHeight="1" outlineLevel="2" x14ac:dyDescent="0.2">
      <c r="A17371" s="14" t="s">
        <v>34188</v>
      </c>
      <c r="B17371" s="15" t="s">
        <v>34189</v>
      </c>
      <c r="C17371" s="16">
        <f>57.59/(1+B2)</f>
        <v>57.59</v>
      </c>
      <c r="D17371" s="17" t="s">
        <v>11</v>
      </c>
      <c r="E17371" s="17"/>
      <c r="F17371" s="18"/>
      <c r="G17371" s="36" t="str">
        <f>IF(ISNUMBER(F17371),C17371*F17371,"")</f>
        <v/>
      </c>
    </row>
    <row r="17372" spans="1:7" ht="12" customHeight="1" outlineLevel="2" x14ac:dyDescent="0.2">
      <c r="A17372" s="14" t="s">
        <v>34190</v>
      </c>
      <c r="B17372" s="15" t="s">
        <v>34191</v>
      </c>
      <c r="C17372" s="16">
        <f>82.58/(1+B2)</f>
        <v>82.58</v>
      </c>
      <c r="D17372" s="17" t="s">
        <v>11</v>
      </c>
      <c r="E17372" s="17"/>
      <c r="F17372" s="18"/>
      <c r="G17372" s="36" t="str">
        <f>IF(ISNUMBER(F17372),C17372*F17372,"")</f>
        <v/>
      </c>
    </row>
    <row r="17373" spans="1:7" ht="12" customHeight="1" outlineLevel="2" x14ac:dyDescent="0.2">
      <c r="A17373" s="14" t="s">
        <v>34192</v>
      </c>
      <c r="B17373" s="15" t="s">
        <v>34193</v>
      </c>
      <c r="C17373" s="16">
        <f>77.64/(1+B2)</f>
        <v>77.64</v>
      </c>
      <c r="D17373" s="17" t="s">
        <v>11</v>
      </c>
      <c r="E17373" s="17"/>
      <c r="F17373" s="18"/>
      <c r="G17373" s="36" t="str">
        <f>IF(ISNUMBER(F17373),C17373*F17373,"")</f>
        <v/>
      </c>
    </row>
    <row r="17374" spans="1:7" s="1" customFormat="1" ht="15.95" customHeight="1" outlineLevel="1" x14ac:dyDescent="0.25">
      <c r="A17374" s="11"/>
      <c r="B17374" s="12" t="s">
        <v>34194</v>
      </c>
      <c r="C17374" s="13"/>
      <c r="D17374" s="13"/>
      <c r="E17374" s="13"/>
      <c r="F17374" s="13"/>
      <c r="G17374" s="35"/>
    </row>
    <row r="17375" spans="1:7" ht="12" customHeight="1" outlineLevel="2" x14ac:dyDescent="0.2">
      <c r="A17375" s="14" t="s">
        <v>34195</v>
      </c>
      <c r="B17375" s="15" t="s">
        <v>34196</v>
      </c>
      <c r="C17375" s="16">
        <f>115.28/(1+B2)</f>
        <v>115.28</v>
      </c>
      <c r="D17375" s="17" t="s">
        <v>11</v>
      </c>
      <c r="E17375" s="17"/>
      <c r="F17375" s="18"/>
      <c r="G17375" s="36" t="str">
        <f>IF(ISNUMBER(F17375),C17375*F17375,"")</f>
        <v/>
      </c>
    </row>
    <row r="17376" spans="1:7" ht="12" customHeight="1" outlineLevel="2" x14ac:dyDescent="0.2">
      <c r="A17376" s="14" t="s">
        <v>34197</v>
      </c>
      <c r="B17376" s="15" t="s">
        <v>34198</v>
      </c>
      <c r="C17376" s="16">
        <f>757.13/(1+B2)</f>
        <v>757.13</v>
      </c>
      <c r="D17376" s="17" t="s">
        <v>11</v>
      </c>
      <c r="E17376" s="17"/>
      <c r="F17376" s="18"/>
      <c r="G17376" s="36" t="str">
        <f>IF(ISNUMBER(F17376),C17376*F17376,"")</f>
        <v/>
      </c>
    </row>
    <row r="17377" spans="1:7" ht="12" customHeight="1" outlineLevel="2" x14ac:dyDescent="0.2">
      <c r="A17377" s="14" t="s">
        <v>34199</v>
      </c>
      <c r="B17377" s="15" t="s">
        <v>34200</v>
      </c>
      <c r="C17377" s="19">
        <f>1339.05/(1+B2)</f>
        <v>1339.05</v>
      </c>
      <c r="D17377" s="17" t="s">
        <v>11</v>
      </c>
      <c r="E17377" s="17"/>
      <c r="F17377" s="18"/>
      <c r="G17377" s="36" t="str">
        <f>IF(ISNUMBER(F17377),C17377*F17377,"")</f>
        <v/>
      </c>
    </row>
    <row r="17378" spans="1:7" ht="12" customHeight="1" outlineLevel="2" x14ac:dyDescent="0.2">
      <c r="A17378" s="14" t="s">
        <v>34201</v>
      </c>
      <c r="B17378" s="15" t="s">
        <v>34202</v>
      </c>
      <c r="C17378" s="16">
        <f>22.84/(1+B2)</f>
        <v>22.84</v>
      </c>
      <c r="D17378" s="17" t="s">
        <v>106</v>
      </c>
      <c r="E17378" s="17" t="s">
        <v>14</v>
      </c>
      <c r="F17378" s="18"/>
      <c r="G17378" s="36" t="str">
        <f>IF(ISNUMBER(F17378),C17378*F17378,"")</f>
        <v/>
      </c>
    </row>
    <row r="17379" spans="1:7" ht="12" customHeight="1" outlineLevel="2" x14ac:dyDescent="0.2">
      <c r="A17379" s="14" t="s">
        <v>34203</v>
      </c>
      <c r="B17379" s="15" t="s">
        <v>34204</v>
      </c>
      <c r="C17379" s="16">
        <f>42/(1+B2)</f>
        <v>42</v>
      </c>
      <c r="D17379" s="17" t="s">
        <v>14</v>
      </c>
      <c r="E17379" s="17"/>
      <c r="F17379" s="18"/>
      <c r="G17379" s="36" t="str">
        <f>IF(ISNUMBER(F17379),C17379*F17379,"")</f>
        <v/>
      </c>
    </row>
    <row r="17380" spans="1:7" ht="12" customHeight="1" outlineLevel="2" x14ac:dyDescent="0.2">
      <c r="A17380" s="14" t="s">
        <v>34205</v>
      </c>
      <c r="B17380" s="15" t="s">
        <v>34206</v>
      </c>
      <c r="C17380" s="16">
        <f>57.59/(1+B2)</f>
        <v>57.59</v>
      </c>
      <c r="D17380" s="17" t="s">
        <v>11</v>
      </c>
      <c r="E17380" s="17" t="s">
        <v>11</v>
      </c>
      <c r="F17380" s="18"/>
      <c r="G17380" s="36" t="str">
        <f>IF(ISNUMBER(F17380),C17380*F17380,"")</f>
        <v/>
      </c>
    </row>
    <row r="17381" spans="1:7" ht="12" customHeight="1" outlineLevel="2" x14ac:dyDescent="0.2">
      <c r="A17381" s="14" t="s">
        <v>34207</v>
      </c>
      <c r="B17381" s="15" t="s">
        <v>34208</v>
      </c>
      <c r="C17381" s="16">
        <f>260.39/(1+B2)</f>
        <v>260.39</v>
      </c>
      <c r="D17381" s="17" t="s">
        <v>11</v>
      </c>
      <c r="E17381" s="17"/>
      <c r="F17381" s="18"/>
      <c r="G17381" s="36" t="str">
        <f>IF(ISNUMBER(F17381),C17381*F17381,"")</f>
        <v/>
      </c>
    </row>
    <row r="17382" spans="1:7" ht="12" customHeight="1" outlineLevel="2" x14ac:dyDescent="0.2">
      <c r="A17382" s="14" t="s">
        <v>34209</v>
      </c>
      <c r="B17382" s="15" t="s">
        <v>34210</v>
      </c>
      <c r="C17382" s="16">
        <f>92.5/(1+B2)</f>
        <v>92.5</v>
      </c>
      <c r="D17382" s="17" t="s">
        <v>11</v>
      </c>
      <c r="E17382" s="17"/>
      <c r="F17382" s="18"/>
      <c r="G17382" s="36" t="str">
        <f>IF(ISNUMBER(F17382),C17382*F17382,"")</f>
        <v/>
      </c>
    </row>
    <row r="17383" spans="1:7" ht="12" customHeight="1" outlineLevel="2" x14ac:dyDescent="0.2">
      <c r="A17383" s="14" t="s">
        <v>34211</v>
      </c>
      <c r="B17383" s="15" t="s">
        <v>34212</v>
      </c>
      <c r="C17383" s="16">
        <f>105.6/(1+B2)</f>
        <v>105.6</v>
      </c>
      <c r="D17383" s="17" t="s">
        <v>11</v>
      </c>
      <c r="E17383" s="17" t="s">
        <v>14</v>
      </c>
      <c r="F17383" s="18"/>
      <c r="G17383" s="36" t="str">
        <f>IF(ISNUMBER(F17383),C17383*F17383,"")</f>
        <v/>
      </c>
    </row>
    <row r="17384" spans="1:7" ht="12" customHeight="1" outlineLevel="2" x14ac:dyDescent="0.2">
      <c r="A17384" s="14" t="s">
        <v>34213</v>
      </c>
      <c r="B17384" s="15" t="s">
        <v>34214</v>
      </c>
      <c r="C17384" s="16">
        <f>90.22/(1+B2)</f>
        <v>90.22</v>
      </c>
      <c r="D17384" s="17" t="s">
        <v>11</v>
      </c>
      <c r="E17384" s="17" t="s">
        <v>11</v>
      </c>
      <c r="F17384" s="18"/>
      <c r="G17384" s="36" t="str">
        <f>IF(ISNUMBER(F17384),C17384*F17384,"")</f>
        <v/>
      </c>
    </row>
    <row r="17385" spans="1:7" ht="12" customHeight="1" outlineLevel="2" x14ac:dyDescent="0.2">
      <c r="A17385" s="14" t="s">
        <v>34215</v>
      </c>
      <c r="B17385" s="15" t="s">
        <v>34216</v>
      </c>
      <c r="C17385" s="16">
        <f>194.25/(1+B2)</f>
        <v>194.25</v>
      </c>
      <c r="D17385" s="17" t="s">
        <v>11</v>
      </c>
      <c r="E17385" s="17" t="s">
        <v>11</v>
      </c>
      <c r="F17385" s="18"/>
      <c r="G17385" s="36" t="str">
        <f>IF(ISNUMBER(F17385),C17385*F17385,"")</f>
        <v/>
      </c>
    </row>
    <row r="17386" spans="1:7" ht="12" customHeight="1" outlineLevel="2" x14ac:dyDescent="0.2">
      <c r="A17386" s="14" t="s">
        <v>34217</v>
      </c>
      <c r="B17386" s="15" t="s">
        <v>34218</v>
      </c>
      <c r="C17386" s="16">
        <f>224.96/(1+B2)</f>
        <v>224.96</v>
      </c>
      <c r="D17386" s="17" t="s">
        <v>11</v>
      </c>
      <c r="E17386" s="17" t="s">
        <v>11</v>
      </c>
      <c r="F17386" s="18"/>
      <c r="G17386" s="36" t="str">
        <f>IF(ISNUMBER(F17386),C17386*F17386,"")</f>
        <v/>
      </c>
    </row>
    <row r="17387" spans="1:7" ht="12" customHeight="1" outlineLevel="2" x14ac:dyDescent="0.2">
      <c r="A17387" s="14" t="s">
        <v>34219</v>
      </c>
      <c r="B17387" s="15" t="s">
        <v>34220</v>
      </c>
      <c r="C17387" s="16">
        <f>265.81/(1+B2)</f>
        <v>265.81</v>
      </c>
      <c r="D17387" s="17" t="s">
        <v>11</v>
      </c>
      <c r="E17387" s="17" t="s">
        <v>11</v>
      </c>
      <c r="F17387" s="18"/>
      <c r="G17387" s="36" t="str">
        <f>IF(ISNUMBER(F17387),C17387*F17387,"")</f>
        <v/>
      </c>
    </row>
    <row r="17388" spans="1:7" ht="24" customHeight="1" outlineLevel="2" x14ac:dyDescent="0.2">
      <c r="A17388" s="14" t="s">
        <v>34221</v>
      </c>
      <c r="B17388" s="15" t="s">
        <v>34222</v>
      </c>
      <c r="C17388" s="16">
        <f>249.34/(1+B2)</f>
        <v>249.34</v>
      </c>
      <c r="D17388" s="17" t="s">
        <v>11</v>
      </c>
      <c r="E17388" s="17"/>
      <c r="F17388" s="18"/>
      <c r="G17388" s="36" t="str">
        <f>IF(ISNUMBER(F17388),C17388*F17388,"")</f>
        <v/>
      </c>
    </row>
    <row r="17389" spans="1:7" ht="12" customHeight="1" outlineLevel="2" x14ac:dyDescent="0.2">
      <c r="A17389" s="14" t="s">
        <v>34223</v>
      </c>
      <c r="B17389" s="15" t="s">
        <v>34224</v>
      </c>
      <c r="C17389" s="16">
        <f>248.69/(1+B2)</f>
        <v>248.69</v>
      </c>
      <c r="D17389" s="17" t="s">
        <v>11</v>
      </c>
      <c r="E17389" s="17"/>
      <c r="F17389" s="18"/>
      <c r="G17389" s="36" t="str">
        <f>IF(ISNUMBER(F17389),C17389*F17389,"")</f>
        <v/>
      </c>
    </row>
    <row r="17390" spans="1:7" ht="12" customHeight="1" outlineLevel="2" x14ac:dyDescent="0.2">
      <c r="A17390" s="14" t="s">
        <v>34225</v>
      </c>
      <c r="B17390" s="15" t="s">
        <v>34226</v>
      </c>
      <c r="C17390" s="16">
        <f>179.11/(1+B2)</f>
        <v>179.11</v>
      </c>
      <c r="D17390" s="17" t="s">
        <v>11</v>
      </c>
      <c r="E17390" s="17"/>
      <c r="F17390" s="18"/>
      <c r="G17390" s="36" t="str">
        <f>IF(ISNUMBER(F17390),C17390*F17390,"")</f>
        <v/>
      </c>
    </row>
    <row r="17391" spans="1:7" ht="12" customHeight="1" outlineLevel="2" x14ac:dyDescent="0.2">
      <c r="A17391" s="14" t="s">
        <v>34227</v>
      </c>
      <c r="B17391" s="15" t="s">
        <v>34228</v>
      </c>
      <c r="C17391" s="16">
        <f>129.74/(1+B2)</f>
        <v>129.74</v>
      </c>
      <c r="D17391" s="17" t="s">
        <v>11</v>
      </c>
      <c r="E17391" s="17"/>
      <c r="F17391" s="18"/>
      <c r="G17391" s="36" t="str">
        <f>IF(ISNUMBER(F17391),C17391*F17391,"")</f>
        <v/>
      </c>
    </row>
    <row r="17392" spans="1:7" ht="12" customHeight="1" outlineLevel="2" x14ac:dyDescent="0.2">
      <c r="A17392" s="14" t="s">
        <v>34229</v>
      </c>
      <c r="B17392" s="15" t="s">
        <v>34230</v>
      </c>
      <c r="C17392" s="16">
        <f>234.35/(1+B2)</f>
        <v>234.35</v>
      </c>
      <c r="D17392" s="17" t="s">
        <v>11</v>
      </c>
      <c r="E17392" s="17"/>
      <c r="F17392" s="18"/>
      <c r="G17392" s="36" t="str">
        <f>IF(ISNUMBER(F17392),C17392*F17392,"")</f>
        <v/>
      </c>
    </row>
    <row r="17393" spans="1:7" ht="12" customHeight="1" outlineLevel="2" x14ac:dyDescent="0.2">
      <c r="A17393" s="14" t="s">
        <v>34231</v>
      </c>
      <c r="B17393" s="15" t="s">
        <v>34232</v>
      </c>
      <c r="C17393" s="16">
        <f>102.77/(1+B2)</f>
        <v>102.77</v>
      </c>
      <c r="D17393" s="17" t="s">
        <v>14</v>
      </c>
      <c r="E17393" s="17"/>
      <c r="F17393" s="18"/>
      <c r="G17393" s="36" t="str">
        <f>IF(ISNUMBER(F17393),C17393*F17393,"")</f>
        <v/>
      </c>
    </row>
    <row r="17394" spans="1:7" ht="12" customHeight="1" outlineLevel="2" x14ac:dyDescent="0.2">
      <c r="A17394" s="14" t="s">
        <v>34233</v>
      </c>
      <c r="B17394" s="15" t="s">
        <v>34234</v>
      </c>
      <c r="C17394" s="16">
        <f>124.46/(1+B2)</f>
        <v>124.46</v>
      </c>
      <c r="D17394" s="17" t="s">
        <v>11</v>
      </c>
      <c r="E17394" s="17" t="s">
        <v>11</v>
      </c>
      <c r="F17394" s="18"/>
      <c r="G17394" s="36" t="str">
        <f>IF(ISNUMBER(F17394),C17394*F17394,"")</f>
        <v/>
      </c>
    </row>
    <row r="17395" spans="1:7" ht="12" customHeight="1" outlineLevel="2" x14ac:dyDescent="0.2">
      <c r="A17395" s="14" t="s">
        <v>34235</v>
      </c>
      <c r="B17395" s="15" t="s">
        <v>34236</v>
      </c>
      <c r="C17395" s="16">
        <f>68.58/(1+B2)</f>
        <v>68.58</v>
      </c>
      <c r="D17395" s="17" t="s">
        <v>11</v>
      </c>
      <c r="E17395" s="17"/>
      <c r="F17395" s="18"/>
      <c r="G17395" s="36" t="str">
        <f>IF(ISNUMBER(F17395),C17395*F17395,"")</f>
        <v/>
      </c>
    </row>
    <row r="17396" spans="1:7" ht="12" customHeight="1" outlineLevel="2" x14ac:dyDescent="0.2">
      <c r="A17396" s="14" t="s">
        <v>34237</v>
      </c>
      <c r="B17396" s="15" t="s">
        <v>34238</v>
      </c>
      <c r="C17396" s="16">
        <f>201.16/(1+B2)</f>
        <v>201.16</v>
      </c>
      <c r="D17396" s="17" t="s">
        <v>11</v>
      </c>
      <c r="E17396" s="17"/>
      <c r="F17396" s="18"/>
      <c r="G17396" s="36" t="str">
        <f>IF(ISNUMBER(F17396),C17396*F17396,"")</f>
        <v/>
      </c>
    </row>
    <row r="17397" spans="1:7" ht="12" customHeight="1" outlineLevel="2" x14ac:dyDescent="0.2">
      <c r="A17397" s="14" t="s">
        <v>34239</v>
      </c>
      <c r="B17397" s="15" t="s">
        <v>34240</v>
      </c>
      <c r="C17397" s="16">
        <f>237.84/(1+B2)</f>
        <v>237.84</v>
      </c>
      <c r="D17397" s="17" t="s">
        <v>11</v>
      </c>
      <c r="E17397" s="17"/>
      <c r="F17397" s="18"/>
      <c r="G17397" s="36" t="str">
        <f>IF(ISNUMBER(F17397),C17397*F17397,"")</f>
        <v/>
      </c>
    </row>
    <row r="17398" spans="1:7" ht="12" customHeight="1" outlineLevel="2" x14ac:dyDescent="0.2">
      <c r="A17398" s="14" t="s">
        <v>34241</v>
      </c>
      <c r="B17398" s="15" t="s">
        <v>34242</v>
      </c>
      <c r="C17398" s="16">
        <f>166.39/(1+B2)</f>
        <v>166.39</v>
      </c>
      <c r="D17398" s="17" t="s">
        <v>11</v>
      </c>
      <c r="E17398" s="17"/>
      <c r="F17398" s="18"/>
      <c r="G17398" s="36" t="str">
        <f>IF(ISNUMBER(F17398),C17398*F17398,"")</f>
        <v/>
      </c>
    </row>
    <row r="17399" spans="1:7" ht="12" customHeight="1" outlineLevel="2" x14ac:dyDescent="0.2">
      <c r="A17399" s="14" t="s">
        <v>34243</v>
      </c>
      <c r="B17399" s="15" t="s">
        <v>34244</v>
      </c>
      <c r="C17399" s="16">
        <f>156.46/(1+B2)</f>
        <v>156.46</v>
      </c>
      <c r="D17399" s="17" t="s">
        <v>11</v>
      </c>
      <c r="E17399" s="17"/>
      <c r="F17399" s="18"/>
      <c r="G17399" s="36" t="str">
        <f>IF(ISNUMBER(F17399),C17399*F17399,"")</f>
        <v/>
      </c>
    </row>
    <row r="17400" spans="1:7" ht="12" customHeight="1" outlineLevel="2" x14ac:dyDescent="0.2">
      <c r="A17400" s="14" t="s">
        <v>34245</v>
      </c>
      <c r="B17400" s="15" t="s">
        <v>34246</v>
      </c>
      <c r="C17400" s="16">
        <f>278.95/(1+B2)</f>
        <v>278.95</v>
      </c>
      <c r="D17400" s="17" t="s">
        <v>11</v>
      </c>
      <c r="E17400" s="17"/>
      <c r="F17400" s="18"/>
      <c r="G17400" s="36" t="str">
        <f>IF(ISNUMBER(F17400),C17400*F17400,"")</f>
        <v/>
      </c>
    </row>
    <row r="17401" spans="1:7" ht="12" customHeight="1" outlineLevel="2" x14ac:dyDescent="0.2">
      <c r="A17401" s="14" t="s">
        <v>34247</v>
      </c>
      <c r="B17401" s="15" t="s">
        <v>34248</v>
      </c>
      <c r="C17401" s="16">
        <f>44.64/(1+B2)</f>
        <v>44.64</v>
      </c>
      <c r="D17401" s="17" t="s">
        <v>11</v>
      </c>
      <c r="E17401" s="17"/>
      <c r="F17401" s="18"/>
      <c r="G17401" s="36" t="str">
        <f>IF(ISNUMBER(F17401),C17401*F17401,"")</f>
        <v/>
      </c>
    </row>
    <row r="17402" spans="1:7" ht="12" customHeight="1" outlineLevel="2" x14ac:dyDescent="0.2">
      <c r="A17402" s="14" t="s">
        <v>34249</v>
      </c>
      <c r="B17402" s="15" t="s">
        <v>34250</v>
      </c>
      <c r="C17402" s="16">
        <f>50.7/(1+B2)</f>
        <v>50.7</v>
      </c>
      <c r="D17402" s="17" t="s">
        <v>106</v>
      </c>
      <c r="E17402" s="17"/>
      <c r="F17402" s="18"/>
      <c r="G17402" s="36" t="str">
        <f>IF(ISNUMBER(F17402),C17402*F17402,"")</f>
        <v/>
      </c>
    </row>
    <row r="17403" spans="1:7" ht="12" customHeight="1" outlineLevel="2" x14ac:dyDescent="0.2">
      <c r="A17403" s="14" t="s">
        <v>34251</v>
      </c>
      <c r="B17403" s="15" t="s">
        <v>34252</v>
      </c>
      <c r="C17403" s="16">
        <f>154.48/(1+B2)</f>
        <v>154.47999999999999</v>
      </c>
      <c r="D17403" s="17" t="s">
        <v>11</v>
      </c>
      <c r="E17403" s="17"/>
      <c r="F17403" s="18"/>
      <c r="G17403" s="36" t="str">
        <f>IF(ISNUMBER(F17403),C17403*F17403,"")</f>
        <v/>
      </c>
    </row>
    <row r="17404" spans="1:7" ht="12" customHeight="1" outlineLevel="2" x14ac:dyDescent="0.2">
      <c r="A17404" s="14" t="s">
        <v>34253</v>
      </c>
      <c r="B17404" s="15" t="s">
        <v>34254</v>
      </c>
      <c r="C17404" s="16">
        <f>171.05/(1+B2)</f>
        <v>171.05</v>
      </c>
      <c r="D17404" s="17" t="s">
        <v>11</v>
      </c>
      <c r="E17404" s="17"/>
      <c r="F17404" s="18"/>
      <c r="G17404" s="36" t="str">
        <f>IF(ISNUMBER(F17404),C17404*F17404,"")</f>
        <v/>
      </c>
    </row>
    <row r="17405" spans="1:7" ht="12" customHeight="1" outlineLevel="2" x14ac:dyDescent="0.2">
      <c r="A17405" s="14" t="s">
        <v>34255</v>
      </c>
      <c r="B17405" s="15" t="s">
        <v>34256</v>
      </c>
      <c r="C17405" s="16">
        <f>169.94/(1+B2)</f>
        <v>169.94</v>
      </c>
      <c r="D17405" s="17" t="s">
        <v>14</v>
      </c>
      <c r="E17405" s="17"/>
      <c r="F17405" s="18"/>
      <c r="G17405" s="36" t="str">
        <f>IF(ISNUMBER(F17405),C17405*F17405,"")</f>
        <v/>
      </c>
    </row>
    <row r="17406" spans="1:7" ht="12" customHeight="1" outlineLevel="2" x14ac:dyDescent="0.2">
      <c r="A17406" s="14" t="s">
        <v>34257</v>
      </c>
      <c r="B17406" s="15" t="s">
        <v>34258</v>
      </c>
      <c r="C17406" s="16">
        <f>185.55/(1+B2)</f>
        <v>185.55</v>
      </c>
      <c r="D17406" s="17" t="s">
        <v>11</v>
      </c>
      <c r="E17406" s="17" t="s">
        <v>11</v>
      </c>
      <c r="F17406" s="18"/>
      <c r="G17406" s="36" t="str">
        <f>IF(ISNUMBER(F17406),C17406*F17406,"")</f>
        <v/>
      </c>
    </row>
    <row r="17407" spans="1:7" ht="12" customHeight="1" outlineLevel="2" x14ac:dyDescent="0.2">
      <c r="A17407" s="14" t="s">
        <v>34259</v>
      </c>
      <c r="B17407" s="15" t="s">
        <v>34260</v>
      </c>
      <c r="C17407" s="16">
        <f>91.95/(1+B2)</f>
        <v>91.95</v>
      </c>
      <c r="D17407" s="17" t="s">
        <v>11</v>
      </c>
      <c r="E17407" s="17"/>
      <c r="F17407" s="18"/>
      <c r="G17407" s="36" t="str">
        <f>IF(ISNUMBER(F17407),C17407*F17407,"")</f>
        <v/>
      </c>
    </row>
    <row r="17408" spans="1:7" ht="12" customHeight="1" outlineLevel="2" x14ac:dyDescent="0.2">
      <c r="A17408" s="14" t="s">
        <v>34261</v>
      </c>
      <c r="B17408" s="15" t="s">
        <v>34262</v>
      </c>
      <c r="C17408" s="16">
        <f>98.23/(1+B2)</f>
        <v>98.23</v>
      </c>
      <c r="D17408" s="17" t="s">
        <v>11</v>
      </c>
      <c r="E17408" s="17"/>
      <c r="F17408" s="18"/>
      <c r="G17408" s="36" t="str">
        <f>IF(ISNUMBER(F17408),C17408*F17408,"")</f>
        <v/>
      </c>
    </row>
    <row r="17409" spans="1:7" s="1" customFormat="1" ht="15.95" customHeight="1" x14ac:dyDescent="0.25">
      <c r="A17409" s="8"/>
      <c r="B17409" s="9" t="s">
        <v>34263</v>
      </c>
      <c r="C17409" s="10"/>
      <c r="D17409" s="10"/>
      <c r="E17409" s="10"/>
      <c r="F17409" s="10"/>
      <c r="G17409" s="34"/>
    </row>
    <row r="17410" spans="1:7" s="1" customFormat="1" ht="15.95" customHeight="1" outlineLevel="1" x14ac:dyDescent="0.25">
      <c r="A17410" s="11"/>
      <c r="B17410" s="12" t="s">
        <v>34264</v>
      </c>
      <c r="C17410" s="13"/>
      <c r="D17410" s="13"/>
      <c r="E17410" s="13"/>
      <c r="F17410" s="13"/>
      <c r="G17410" s="35"/>
    </row>
    <row r="17411" spans="1:7" ht="12" customHeight="1" outlineLevel="2" x14ac:dyDescent="0.2">
      <c r="A17411" s="14" t="s">
        <v>34265</v>
      </c>
      <c r="B17411" s="15" t="s">
        <v>34266</v>
      </c>
      <c r="C17411" s="16">
        <f>81.25/(1+B2)</f>
        <v>81.25</v>
      </c>
      <c r="D17411" s="17" t="s">
        <v>11</v>
      </c>
      <c r="E17411" s="17" t="s">
        <v>53</v>
      </c>
      <c r="F17411" s="18"/>
      <c r="G17411" s="36" t="str">
        <f>IF(ISNUMBER(F17411),C17411*F17411,"")</f>
        <v/>
      </c>
    </row>
    <row r="17412" spans="1:7" ht="12" customHeight="1" outlineLevel="2" x14ac:dyDescent="0.2">
      <c r="A17412" s="14" t="s">
        <v>34267</v>
      </c>
      <c r="B17412" s="15" t="s">
        <v>34268</v>
      </c>
      <c r="C17412" s="16">
        <f>482.82/(1+B2)</f>
        <v>482.82</v>
      </c>
      <c r="D17412" s="17" t="s">
        <v>11</v>
      </c>
      <c r="E17412" s="17"/>
      <c r="F17412" s="18"/>
      <c r="G17412" s="36" t="str">
        <f>IF(ISNUMBER(F17412),C17412*F17412,"")</f>
        <v/>
      </c>
    </row>
    <row r="17413" spans="1:7" ht="12" customHeight="1" outlineLevel="2" x14ac:dyDescent="0.2">
      <c r="A17413" s="14" t="s">
        <v>34269</v>
      </c>
      <c r="B17413" s="15" t="s">
        <v>34270</v>
      </c>
      <c r="C17413" s="16">
        <f>174.12/(1+B2)</f>
        <v>174.12</v>
      </c>
      <c r="D17413" s="17" t="s">
        <v>11</v>
      </c>
      <c r="E17413" s="17" t="s">
        <v>14</v>
      </c>
      <c r="F17413" s="18"/>
      <c r="G17413" s="36" t="str">
        <f>IF(ISNUMBER(F17413),C17413*F17413,"")</f>
        <v/>
      </c>
    </row>
    <row r="17414" spans="1:7" ht="12" customHeight="1" outlineLevel="2" x14ac:dyDescent="0.2">
      <c r="A17414" s="14" t="s">
        <v>34271</v>
      </c>
      <c r="B17414" s="15" t="s">
        <v>34272</v>
      </c>
      <c r="C17414" s="16">
        <f>277.5/(1+B2)</f>
        <v>277.5</v>
      </c>
      <c r="D17414" s="17" t="s">
        <v>11</v>
      </c>
      <c r="E17414" s="17" t="s">
        <v>11</v>
      </c>
      <c r="F17414" s="18"/>
      <c r="G17414" s="36" t="str">
        <f>IF(ISNUMBER(F17414),C17414*F17414,"")</f>
        <v/>
      </c>
    </row>
    <row r="17415" spans="1:7" ht="12" customHeight="1" outlineLevel="2" x14ac:dyDescent="0.2">
      <c r="A17415" s="14" t="s">
        <v>34273</v>
      </c>
      <c r="B17415" s="15" t="s">
        <v>34274</v>
      </c>
      <c r="C17415" s="16">
        <f>203.82/(1+B2)</f>
        <v>203.82</v>
      </c>
      <c r="D17415" s="17" t="s">
        <v>11</v>
      </c>
      <c r="E17415" s="17"/>
      <c r="F17415" s="18"/>
      <c r="G17415" s="36" t="str">
        <f>IF(ISNUMBER(F17415),C17415*F17415,"")</f>
        <v/>
      </c>
    </row>
    <row r="17416" spans="1:7" ht="12" customHeight="1" outlineLevel="2" x14ac:dyDescent="0.2">
      <c r="A17416" s="14" t="s">
        <v>34275</v>
      </c>
      <c r="B17416" s="15" t="s">
        <v>34276</v>
      </c>
      <c r="C17416" s="16">
        <f>257.76/(1+B2)</f>
        <v>257.76</v>
      </c>
      <c r="D17416" s="17" t="s">
        <v>11</v>
      </c>
      <c r="E17416" s="17"/>
      <c r="F17416" s="18"/>
      <c r="G17416" s="36" t="str">
        <f>IF(ISNUMBER(F17416),C17416*F17416,"")</f>
        <v/>
      </c>
    </row>
    <row r="17417" spans="1:7" ht="12" customHeight="1" outlineLevel="2" x14ac:dyDescent="0.2">
      <c r="A17417" s="14" t="s">
        <v>34277</v>
      </c>
      <c r="B17417" s="15" t="s">
        <v>34278</v>
      </c>
      <c r="C17417" s="16">
        <f>372.84/(1+B2)</f>
        <v>372.84</v>
      </c>
      <c r="D17417" s="17" t="s">
        <v>11</v>
      </c>
      <c r="E17417" s="17" t="s">
        <v>11</v>
      </c>
      <c r="F17417" s="18"/>
      <c r="G17417" s="36" t="str">
        <f>IF(ISNUMBER(F17417),C17417*F17417,"")</f>
        <v/>
      </c>
    </row>
    <row r="17418" spans="1:7" ht="12" customHeight="1" outlineLevel="2" x14ac:dyDescent="0.2">
      <c r="A17418" s="14" t="s">
        <v>34279</v>
      </c>
      <c r="B17418" s="15" t="s">
        <v>34280</v>
      </c>
      <c r="C17418" s="16">
        <f>271.5/(1+B2)</f>
        <v>271.5</v>
      </c>
      <c r="D17418" s="17" t="s">
        <v>11</v>
      </c>
      <c r="E17418" s="17" t="s">
        <v>11</v>
      </c>
      <c r="F17418" s="18"/>
      <c r="G17418" s="36" t="str">
        <f>IF(ISNUMBER(F17418),C17418*F17418,"")</f>
        <v/>
      </c>
    </row>
    <row r="17419" spans="1:7" ht="12" customHeight="1" outlineLevel="2" x14ac:dyDescent="0.2">
      <c r="A17419" s="14" t="s">
        <v>34281</v>
      </c>
      <c r="B17419" s="15" t="s">
        <v>34282</v>
      </c>
      <c r="C17419" s="16">
        <f>297.01/(1+B2)</f>
        <v>297.01</v>
      </c>
      <c r="D17419" s="17" t="s">
        <v>11</v>
      </c>
      <c r="E17419" s="17"/>
      <c r="F17419" s="18"/>
      <c r="G17419" s="36" t="str">
        <f>IF(ISNUMBER(F17419),C17419*F17419,"")</f>
        <v/>
      </c>
    </row>
    <row r="17420" spans="1:7" ht="12" customHeight="1" outlineLevel="2" x14ac:dyDescent="0.2">
      <c r="A17420" s="14" t="s">
        <v>34283</v>
      </c>
      <c r="B17420" s="15" t="s">
        <v>34284</v>
      </c>
      <c r="C17420" s="16">
        <f>306.36/(1+B2)</f>
        <v>306.36</v>
      </c>
      <c r="D17420" s="17" t="s">
        <v>11</v>
      </c>
      <c r="E17420" s="17" t="s">
        <v>11</v>
      </c>
      <c r="F17420" s="18"/>
      <c r="G17420" s="36" t="str">
        <f>IF(ISNUMBER(F17420),C17420*F17420,"")</f>
        <v/>
      </c>
    </row>
    <row r="17421" spans="1:7" ht="12" customHeight="1" outlineLevel="2" x14ac:dyDescent="0.2">
      <c r="A17421" s="14" t="s">
        <v>34285</v>
      </c>
      <c r="B17421" s="15" t="s">
        <v>34286</v>
      </c>
      <c r="C17421" s="16">
        <f>196.56/(1+B2)</f>
        <v>196.56</v>
      </c>
      <c r="D17421" s="17" t="s">
        <v>11</v>
      </c>
      <c r="E17421" s="17"/>
      <c r="F17421" s="18"/>
      <c r="G17421" s="36" t="str">
        <f>IF(ISNUMBER(F17421),C17421*F17421,"")</f>
        <v/>
      </c>
    </row>
    <row r="17422" spans="1:7" ht="12" customHeight="1" outlineLevel="2" x14ac:dyDescent="0.2">
      <c r="A17422" s="14" t="s">
        <v>34287</v>
      </c>
      <c r="B17422" s="15" t="s">
        <v>34288</v>
      </c>
      <c r="C17422" s="16">
        <f>174.12/(1+B2)</f>
        <v>174.12</v>
      </c>
      <c r="D17422" s="17" t="s">
        <v>11</v>
      </c>
      <c r="E17422" s="17" t="s">
        <v>14</v>
      </c>
      <c r="F17422" s="18"/>
      <c r="G17422" s="36" t="str">
        <f>IF(ISNUMBER(F17422),C17422*F17422,"")</f>
        <v/>
      </c>
    </row>
    <row r="17423" spans="1:7" ht="12" customHeight="1" outlineLevel="2" x14ac:dyDescent="0.2">
      <c r="A17423" s="14" t="s">
        <v>34289</v>
      </c>
      <c r="B17423" s="15" t="s">
        <v>34290</v>
      </c>
      <c r="C17423" s="16">
        <f>240.18/(1+B2)</f>
        <v>240.18</v>
      </c>
      <c r="D17423" s="17" t="s">
        <v>11</v>
      </c>
      <c r="E17423" s="17" t="s">
        <v>11</v>
      </c>
      <c r="F17423" s="18"/>
      <c r="G17423" s="36" t="str">
        <f>IF(ISNUMBER(F17423),C17423*F17423,"")</f>
        <v/>
      </c>
    </row>
    <row r="17424" spans="1:7" ht="12" customHeight="1" outlineLevel="2" x14ac:dyDescent="0.2">
      <c r="A17424" s="14" t="s">
        <v>34291</v>
      </c>
      <c r="B17424" s="15" t="s">
        <v>34292</v>
      </c>
      <c r="C17424" s="16">
        <f>161.52/(1+B2)</f>
        <v>161.52000000000001</v>
      </c>
      <c r="D17424" s="17" t="s">
        <v>11</v>
      </c>
      <c r="E17424" s="17" t="s">
        <v>14</v>
      </c>
      <c r="F17424" s="18"/>
      <c r="G17424" s="36" t="str">
        <f>IF(ISNUMBER(F17424),C17424*F17424,"")</f>
        <v/>
      </c>
    </row>
    <row r="17425" spans="1:7" ht="12" customHeight="1" outlineLevel="2" x14ac:dyDescent="0.2">
      <c r="A17425" s="14" t="s">
        <v>34293</v>
      </c>
      <c r="B17425" s="15" t="s">
        <v>34294</v>
      </c>
      <c r="C17425" s="16">
        <f>199.26/(1+B2)</f>
        <v>199.26</v>
      </c>
      <c r="D17425" s="17" t="s">
        <v>11</v>
      </c>
      <c r="E17425" s="17" t="s">
        <v>11</v>
      </c>
      <c r="F17425" s="18"/>
      <c r="G17425" s="36" t="str">
        <f>IF(ISNUMBER(F17425),C17425*F17425,"")</f>
        <v/>
      </c>
    </row>
    <row r="17426" spans="1:7" ht="12" customHeight="1" outlineLevel="2" x14ac:dyDescent="0.2">
      <c r="A17426" s="14" t="s">
        <v>34295</v>
      </c>
      <c r="B17426" s="15" t="s">
        <v>34296</v>
      </c>
      <c r="C17426" s="16">
        <f>108.84/(1+B2)</f>
        <v>108.84</v>
      </c>
      <c r="D17426" s="17" t="s">
        <v>11</v>
      </c>
      <c r="E17426" s="17"/>
      <c r="F17426" s="18"/>
      <c r="G17426" s="36" t="str">
        <f>IF(ISNUMBER(F17426),C17426*F17426,"")</f>
        <v/>
      </c>
    </row>
    <row r="17427" spans="1:7" ht="12" customHeight="1" outlineLevel="2" x14ac:dyDescent="0.2">
      <c r="A17427" s="14" t="s">
        <v>34297</v>
      </c>
      <c r="B17427" s="15" t="s">
        <v>34298</v>
      </c>
      <c r="C17427" s="16">
        <f>140.16/(1+B2)</f>
        <v>140.16</v>
      </c>
      <c r="D17427" s="17" t="s">
        <v>11</v>
      </c>
      <c r="E17427" s="17" t="s">
        <v>11</v>
      </c>
      <c r="F17427" s="18"/>
      <c r="G17427" s="36" t="str">
        <f>IF(ISNUMBER(F17427),C17427*F17427,"")</f>
        <v/>
      </c>
    </row>
    <row r="17428" spans="1:7" ht="12" customHeight="1" outlineLevel="2" x14ac:dyDescent="0.2">
      <c r="A17428" s="14" t="s">
        <v>34299</v>
      </c>
      <c r="B17428" s="15" t="s">
        <v>34300</v>
      </c>
      <c r="C17428" s="16">
        <f>136.86/(1+B2)</f>
        <v>136.86000000000001</v>
      </c>
      <c r="D17428" s="17" t="s">
        <v>11</v>
      </c>
      <c r="E17428" s="17" t="s">
        <v>14</v>
      </c>
      <c r="F17428" s="18"/>
      <c r="G17428" s="36" t="str">
        <f>IF(ISNUMBER(F17428),C17428*F17428,"")</f>
        <v/>
      </c>
    </row>
    <row r="17429" spans="1:7" ht="12" customHeight="1" outlineLevel="2" x14ac:dyDescent="0.2">
      <c r="A17429" s="14" t="s">
        <v>34301</v>
      </c>
      <c r="B17429" s="15" t="s">
        <v>34302</v>
      </c>
      <c r="C17429" s="16">
        <f>172.32/(1+B2)</f>
        <v>172.32</v>
      </c>
      <c r="D17429" s="17" t="s">
        <v>11</v>
      </c>
      <c r="E17429" s="17"/>
      <c r="F17429" s="18"/>
      <c r="G17429" s="36" t="str">
        <f>IF(ISNUMBER(F17429),C17429*F17429,"")</f>
        <v/>
      </c>
    </row>
    <row r="17430" spans="1:7" ht="12" customHeight="1" outlineLevel="2" x14ac:dyDescent="0.2">
      <c r="A17430" s="14" t="s">
        <v>34303</v>
      </c>
      <c r="B17430" s="15" t="s">
        <v>34304</v>
      </c>
      <c r="C17430" s="16">
        <f>92.34/(1+B2)</f>
        <v>92.34</v>
      </c>
      <c r="D17430" s="17" t="s">
        <v>11</v>
      </c>
      <c r="E17430" s="17" t="s">
        <v>53</v>
      </c>
      <c r="F17430" s="18"/>
      <c r="G17430" s="36" t="str">
        <f>IF(ISNUMBER(F17430),C17430*F17430,"")</f>
        <v/>
      </c>
    </row>
    <row r="17431" spans="1:7" ht="12" customHeight="1" outlineLevel="2" x14ac:dyDescent="0.2">
      <c r="A17431" s="14" t="s">
        <v>34305</v>
      </c>
      <c r="B17431" s="15" t="s">
        <v>34306</v>
      </c>
      <c r="C17431" s="16">
        <f>132.06/(1+B2)</f>
        <v>132.06</v>
      </c>
      <c r="D17431" s="17" t="s">
        <v>11</v>
      </c>
      <c r="E17431" s="17" t="s">
        <v>11</v>
      </c>
      <c r="F17431" s="18"/>
      <c r="G17431" s="36" t="str">
        <f>IF(ISNUMBER(F17431),C17431*F17431,"")</f>
        <v/>
      </c>
    </row>
    <row r="17432" spans="1:7" ht="12" customHeight="1" outlineLevel="2" x14ac:dyDescent="0.2">
      <c r="A17432" s="14" t="s">
        <v>34307</v>
      </c>
      <c r="B17432" s="15" t="s">
        <v>34308</v>
      </c>
      <c r="C17432" s="16">
        <f>200.82/(1+B2)</f>
        <v>200.82</v>
      </c>
      <c r="D17432" s="17" t="s">
        <v>11</v>
      </c>
      <c r="E17432" s="17" t="s">
        <v>11</v>
      </c>
      <c r="F17432" s="18"/>
      <c r="G17432" s="36" t="str">
        <f>IF(ISNUMBER(F17432),C17432*F17432,"")</f>
        <v/>
      </c>
    </row>
    <row r="17433" spans="1:7" ht="12" customHeight="1" outlineLevel="2" x14ac:dyDescent="0.2">
      <c r="A17433" s="14" t="s">
        <v>34309</v>
      </c>
      <c r="B17433" s="15" t="s">
        <v>34310</v>
      </c>
      <c r="C17433" s="16">
        <f>53.71/(1+B2)</f>
        <v>53.71</v>
      </c>
      <c r="D17433" s="17" t="s">
        <v>11</v>
      </c>
      <c r="E17433" s="17" t="s">
        <v>14</v>
      </c>
      <c r="F17433" s="18"/>
      <c r="G17433" s="36" t="str">
        <f>IF(ISNUMBER(F17433),C17433*F17433,"")</f>
        <v/>
      </c>
    </row>
    <row r="17434" spans="1:7" ht="12" customHeight="1" outlineLevel="2" x14ac:dyDescent="0.2">
      <c r="A17434" s="14" t="s">
        <v>34311</v>
      </c>
      <c r="B17434" s="15" t="s">
        <v>34312</v>
      </c>
      <c r="C17434" s="16">
        <f>75.2/(1+B2)</f>
        <v>75.2</v>
      </c>
      <c r="D17434" s="17" t="s">
        <v>11</v>
      </c>
      <c r="E17434" s="17" t="s">
        <v>53</v>
      </c>
      <c r="F17434" s="18"/>
      <c r="G17434" s="36" t="str">
        <f>IF(ISNUMBER(F17434),C17434*F17434,"")</f>
        <v/>
      </c>
    </row>
    <row r="17435" spans="1:7" ht="12" customHeight="1" outlineLevel="2" x14ac:dyDescent="0.2">
      <c r="A17435" s="14" t="s">
        <v>34313</v>
      </c>
      <c r="B17435" s="15" t="s">
        <v>34314</v>
      </c>
      <c r="C17435" s="16">
        <f>149.85/(1+B2)</f>
        <v>149.85</v>
      </c>
      <c r="D17435" s="17" t="s">
        <v>11</v>
      </c>
      <c r="E17435" s="17" t="s">
        <v>53</v>
      </c>
      <c r="F17435" s="18"/>
      <c r="G17435" s="36" t="str">
        <f>IF(ISNUMBER(F17435),C17435*F17435,"")</f>
        <v/>
      </c>
    </row>
    <row r="17436" spans="1:7" ht="12" customHeight="1" outlineLevel="2" x14ac:dyDescent="0.2">
      <c r="A17436" s="14" t="s">
        <v>34315</v>
      </c>
      <c r="B17436" s="15" t="s">
        <v>34316</v>
      </c>
      <c r="C17436" s="16">
        <f>113.4/(1+B2)</f>
        <v>113.4</v>
      </c>
      <c r="D17436" s="17" t="s">
        <v>11</v>
      </c>
      <c r="E17436" s="17" t="s">
        <v>106</v>
      </c>
      <c r="F17436" s="18"/>
      <c r="G17436" s="36" t="str">
        <f>IF(ISNUMBER(F17436),C17436*F17436,"")</f>
        <v/>
      </c>
    </row>
    <row r="17437" spans="1:7" ht="12" customHeight="1" outlineLevel="2" x14ac:dyDescent="0.2">
      <c r="A17437" s="14" t="s">
        <v>34317</v>
      </c>
      <c r="B17437" s="15" t="s">
        <v>34318</v>
      </c>
      <c r="C17437" s="16">
        <f>114.31/(1+B2)</f>
        <v>114.31</v>
      </c>
      <c r="D17437" s="17" t="s">
        <v>11</v>
      </c>
      <c r="E17437" s="17" t="s">
        <v>11</v>
      </c>
      <c r="F17437" s="18"/>
      <c r="G17437" s="36" t="str">
        <f>IF(ISNUMBER(F17437),C17437*F17437,"")</f>
        <v/>
      </c>
    </row>
    <row r="17438" spans="1:7" ht="12" customHeight="1" outlineLevel="2" x14ac:dyDescent="0.2">
      <c r="A17438" s="14" t="s">
        <v>34319</v>
      </c>
      <c r="B17438" s="15" t="s">
        <v>34320</v>
      </c>
      <c r="C17438" s="16">
        <f>277.03/(1+B2)</f>
        <v>277.02999999999997</v>
      </c>
      <c r="D17438" s="17" t="s">
        <v>11</v>
      </c>
      <c r="E17438" s="17" t="s">
        <v>14</v>
      </c>
      <c r="F17438" s="18"/>
      <c r="G17438" s="36" t="str">
        <f>IF(ISNUMBER(F17438),C17438*F17438,"")</f>
        <v/>
      </c>
    </row>
    <row r="17439" spans="1:7" ht="12" customHeight="1" outlineLevel="2" x14ac:dyDescent="0.2">
      <c r="A17439" s="14" t="s">
        <v>34321</v>
      </c>
      <c r="B17439" s="15" t="s">
        <v>34322</v>
      </c>
      <c r="C17439" s="16">
        <f>277.03/(1+B2)</f>
        <v>277.02999999999997</v>
      </c>
      <c r="D17439" s="17" t="s">
        <v>11</v>
      </c>
      <c r="E17439" s="17" t="s">
        <v>14</v>
      </c>
      <c r="F17439" s="18"/>
      <c r="G17439" s="36" t="str">
        <f>IF(ISNUMBER(F17439),C17439*F17439,"")</f>
        <v/>
      </c>
    </row>
    <row r="17440" spans="1:7" ht="12" customHeight="1" outlineLevel="2" x14ac:dyDescent="0.2">
      <c r="A17440" s="14" t="s">
        <v>34323</v>
      </c>
      <c r="B17440" s="15" t="s">
        <v>34324</v>
      </c>
      <c r="C17440" s="16">
        <f>190.3/(1+B2)</f>
        <v>190.3</v>
      </c>
      <c r="D17440" s="17" t="s">
        <v>11</v>
      </c>
      <c r="E17440" s="17" t="s">
        <v>14</v>
      </c>
      <c r="F17440" s="18"/>
      <c r="G17440" s="36" t="str">
        <f>IF(ISNUMBER(F17440),C17440*F17440,"")</f>
        <v/>
      </c>
    </row>
    <row r="17441" spans="1:7" ht="12" customHeight="1" outlineLevel="2" x14ac:dyDescent="0.2">
      <c r="A17441" s="14" t="s">
        <v>34325</v>
      </c>
      <c r="B17441" s="15" t="s">
        <v>34326</v>
      </c>
      <c r="C17441" s="16">
        <f>190.3/(1+B2)</f>
        <v>190.3</v>
      </c>
      <c r="D17441" s="17" t="s">
        <v>11</v>
      </c>
      <c r="E17441" s="17" t="s">
        <v>14</v>
      </c>
      <c r="F17441" s="18"/>
      <c r="G17441" s="36" t="str">
        <f>IF(ISNUMBER(F17441),C17441*F17441,"")</f>
        <v/>
      </c>
    </row>
    <row r="17442" spans="1:7" ht="12" customHeight="1" outlineLevel="2" x14ac:dyDescent="0.2">
      <c r="A17442" s="14" t="s">
        <v>34327</v>
      </c>
      <c r="B17442" s="15" t="s">
        <v>34328</v>
      </c>
      <c r="C17442" s="16">
        <f>282.14/(1+B2)</f>
        <v>282.14</v>
      </c>
      <c r="D17442" s="17" t="s">
        <v>11</v>
      </c>
      <c r="E17442" s="17"/>
      <c r="F17442" s="18"/>
      <c r="G17442" s="36" t="str">
        <f>IF(ISNUMBER(F17442),C17442*F17442,"")</f>
        <v/>
      </c>
    </row>
    <row r="17443" spans="1:7" ht="12" customHeight="1" outlineLevel="2" x14ac:dyDescent="0.2">
      <c r="A17443" s="14" t="s">
        <v>34329</v>
      </c>
      <c r="B17443" s="15" t="s">
        <v>34330</v>
      </c>
      <c r="C17443" s="16">
        <f>483.46/(1+B2)</f>
        <v>483.46</v>
      </c>
      <c r="D17443" s="17" t="s">
        <v>11</v>
      </c>
      <c r="E17443" s="17" t="s">
        <v>11</v>
      </c>
      <c r="F17443" s="18"/>
      <c r="G17443" s="36" t="str">
        <f>IF(ISNUMBER(F17443),C17443*F17443,"")</f>
        <v/>
      </c>
    </row>
    <row r="17444" spans="1:7" ht="12" customHeight="1" outlineLevel="2" x14ac:dyDescent="0.2">
      <c r="A17444" s="14" t="s">
        <v>34331</v>
      </c>
      <c r="B17444" s="15" t="s">
        <v>34332</v>
      </c>
      <c r="C17444" s="16">
        <f>574.2/(1+B2)</f>
        <v>574.20000000000005</v>
      </c>
      <c r="D17444" s="17" t="s">
        <v>11</v>
      </c>
      <c r="E17444" s="17"/>
      <c r="F17444" s="18"/>
      <c r="G17444" s="36" t="str">
        <f>IF(ISNUMBER(F17444),C17444*F17444,"")</f>
        <v/>
      </c>
    </row>
    <row r="17445" spans="1:7" ht="12" customHeight="1" outlineLevel="2" x14ac:dyDescent="0.2">
      <c r="A17445" s="14" t="s">
        <v>34333</v>
      </c>
      <c r="B17445" s="15" t="s">
        <v>34334</v>
      </c>
      <c r="C17445" s="16">
        <f>167.44/(1+B2)</f>
        <v>167.44</v>
      </c>
      <c r="D17445" s="17" t="s">
        <v>11</v>
      </c>
      <c r="E17445" s="17" t="s">
        <v>11</v>
      </c>
      <c r="F17445" s="18"/>
      <c r="G17445" s="36" t="str">
        <f>IF(ISNUMBER(F17445),C17445*F17445,"")</f>
        <v/>
      </c>
    </row>
    <row r="17446" spans="1:7" ht="12" customHeight="1" outlineLevel="2" x14ac:dyDescent="0.2">
      <c r="A17446" s="14" t="s">
        <v>34335</v>
      </c>
      <c r="B17446" s="15" t="s">
        <v>34336</v>
      </c>
      <c r="C17446" s="16">
        <f>167.44/(1+B2)</f>
        <v>167.44</v>
      </c>
      <c r="D17446" s="17" t="s">
        <v>11</v>
      </c>
      <c r="E17446" s="17"/>
      <c r="F17446" s="18"/>
      <c r="G17446" s="36" t="str">
        <f>IF(ISNUMBER(F17446),C17446*F17446,"")</f>
        <v/>
      </c>
    </row>
    <row r="17447" spans="1:7" ht="12" customHeight="1" outlineLevel="2" x14ac:dyDescent="0.2">
      <c r="A17447" s="14" t="s">
        <v>34337</v>
      </c>
      <c r="B17447" s="15" t="s">
        <v>34338</v>
      </c>
      <c r="C17447" s="16">
        <f>167.44/(1+B2)</f>
        <v>167.44</v>
      </c>
      <c r="D17447" s="17" t="s">
        <v>11</v>
      </c>
      <c r="E17447" s="17"/>
      <c r="F17447" s="18"/>
      <c r="G17447" s="36" t="str">
        <f>IF(ISNUMBER(F17447),C17447*F17447,"")</f>
        <v/>
      </c>
    </row>
    <row r="17448" spans="1:7" ht="12" customHeight="1" outlineLevel="2" x14ac:dyDescent="0.2">
      <c r="A17448" s="14" t="s">
        <v>34339</v>
      </c>
      <c r="B17448" s="15" t="s">
        <v>34340</v>
      </c>
      <c r="C17448" s="16">
        <f>167.44/(1+B2)</f>
        <v>167.44</v>
      </c>
      <c r="D17448" s="17" t="s">
        <v>11</v>
      </c>
      <c r="E17448" s="17" t="s">
        <v>11</v>
      </c>
      <c r="F17448" s="18"/>
      <c r="G17448" s="36" t="str">
        <f>IF(ISNUMBER(F17448),C17448*F17448,"")</f>
        <v/>
      </c>
    </row>
    <row r="17449" spans="1:7" ht="12" customHeight="1" outlineLevel="2" x14ac:dyDescent="0.2">
      <c r="A17449" s="14" t="s">
        <v>34341</v>
      </c>
      <c r="B17449" s="15" t="s">
        <v>34342</v>
      </c>
      <c r="C17449" s="16">
        <f>167.44/(1+B2)</f>
        <v>167.44</v>
      </c>
      <c r="D17449" s="17" t="s">
        <v>11</v>
      </c>
      <c r="E17449" s="17"/>
      <c r="F17449" s="18"/>
      <c r="G17449" s="36" t="str">
        <f>IF(ISNUMBER(F17449),C17449*F17449,"")</f>
        <v/>
      </c>
    </row>
    <row r="17450" spans="1:7" ht="12" customHeight="1" outlineLevel="2" x14ac:dyDescent="0.2">
      <c r="A17450" s="14" t="s">
        <v>34343</v>
      </c>
      <c r="B17450" s="15" t="s">
        <v>34344</v>
      </c>
      <c r="C17450" s="16">
        <f>167.44/(1+B2)</f>
        <v>167.44</v>
      </c>
      <c r="D17450" s="17" t="s">
        <v>11</v>
      </c>
      <c r="E17450" s="17"/>
      <c r="F17450" s="18"/>
      <c r="G17450" s="36" t="str">
        <f>IF(ISNUMBER(F17450),C17450*F17450,"")</f>
        <v/>
      </c>
    </row>
    <row r="17451" spans="1:7" ht="12" customHeight="1" outlineLevel="2" x14ac:dyDescent="0.2">
      <c r="A17451" s="14" t="s">
        <v>34345</v>
      </c>
      <c r="B17451" s="15" t="s">
        <v>34346</v>
      </c>
      <c r="C17451" s="16">
        <f>167.44/(1+B2)</f>
        <v>167.44</v>
      </c>
      <c r="D17451" s="17" t="s">
        <v>11</v>
      </c>
      <c r="E17451" s="17" t="s">
        <v>11</v>
      </c>
      <c r="F17451" s="18"/>
      <c r="G17451" s="36" t="str">
        <f>IF(ISNUMBER(F17451),C17451*F17451,"")</f>
        <v/>
      </c>
    </row>
    <row r="17452" spans="1:7" ht="12" customHeight="1" outlineLevel="2" x14ac:dyDescent="0.2">
      <c r="A17452" s="14" t="s">
        <v>34347</v>
      </c>
      <c r="B17452" s="15" t="s">
        <v>34348</v>
      </c>
      <c r="C17452" s="16">
        <f>110.63/(1+B2)</f>
        <v>110.63</v>
      </c>
      <c r="D17452" s="17" t="s">
        <v>11</v>
      </c>
      <c r="E17452" s="17"/>
      <c r="F17452" s="18"/>
      <c r="G17452" s="36" t="str">
        <f>IF(ISNUMBER(F17452),C17452*F17452,"")</f>
        <v/>
      </c>
    </row>
    <row r="17453" spans="1:7" ht="12" customHeight="1" outlineLevel="2" x14ac:dyDescent="0.2">
      <c r="A17453" s="14" t="s">
        <v>34349</v>
      </c>
      <c r="B17453" s="15" t="s">
        <v>34350</v>
      </c>
      <c r="C17453" s="16">
        <f>110.63/(1+B2)</f>
        <v>110.63</v>
      </c>
      <c r="D17453" s="17" t="s">
        <v>11</v>
      </c>
      <c r="E17453" s="17" t="s">
        <v>11</v>
      </c>
      <c r="F17453" s="18"/>
      <c r="G17453" s="36" t="str">
        <f>IF(ISNUMBER(F17453),C17453*F17453,"")</f>
        <v/>
      </c>
    </row>
    <row r="17454" spans="1:7" ht="12" customHeight="1" outlineLevel="2" x14ac:dyDescent="0.2">
      <c r="A17454" s="14" t="s">
        <v>34351</v>
      </c>
      <c r="B17454" s="15" t="s">
        <v>34352</v>
      </c>
      <c r="C17454" s="16">
        <f>139.04/(1+B2)</f>
        <v>139.04</v>
      </c>
      <c r="D17454" s="17" t="s">
        <v>11</v>
      </c>
      <c r="E17454" s="17"/>
      <c r="F17454" s="18"/>
      <c r="G17454" s="36" t="str">
        <f>IF(ISNUMBER(F17454),C17454*F17454,"")</f>
        <v/>
      </c>
    </row>
    <row r="17455" spans="1:7" ht="12" customHeight="1" outlineLevel="2" x14ac:dyDescent="0.2">
      <c r="A17455" s="14" t="s">
        <v>34353</v>
      </c>
      <c r="B17455" s="15" t="s">
        <v>34354</v>
      </c>
      <c r="C17455" s="16">
        <f>139.04/(1+B2)</f>
        <v>139.04</v>
      </c>
      <c r="D17455" s="17" t="s">
        <v>11</v>
      </c>
      <c r="E17455" s="17" t="s">
        <v>11</v>
      </c>
      <c r="F17455" s="18"/>
      <c r="G17455" s="36" t="str">
        <f>IF(ISNUMBER(F17455),C17455*F17455,"")</f>
        <v/>
      </c>
    </row>
    <row r="17456" spans="1:7" ht="12" customHeight="1" outlineLevel="2" x14ac:dyDescent="0.2">
      <c r="A17456" s="14" t="s">
        <v>34355</v>
      </c>
      <c r="B17456" s="15" t="s">
        <v>34356</v>
      </c>
      <c r="C17456" s="16">
        <f>139.04/(1+B2)</f>
        <v>139.04</v>
      </c>
      <c r="D17456" s="17" t="s">
        <v>11</v>
      </c>
      <c r="E17456" s="17" t="s">
        <v>11</v>
      </c>
      <c r="F17456" s="18"/>
      <c r="G17456" s="36" t="str">
        <f>IF(ISNUMBER(F17456),C17456*F17456,"")</f>
        <v/>
      </c>
    </row>
    <row r="17457" spans="1:7" ht="12" customHeight="1" outlineLevel="2" x14ac:dyDescent="0.2">
      <c r="A17457" s="14" t="s">
        <v>34357</v>
      </c>
      <c r="B17457" s="15" t="s">
        <v>34358</v>
      </c>
      <c r="C17457" s="16">
        <f>114.19/(1+B2)</f>
        <v>114.19</v>
      </c>
      <c r="D17457" s="17" t="s">
        <v>11</v>
      </c>
      <c r="E17457" s="17" t="s">
        <v>11</v>
      </c>
      <c r="F17457" s="18"/>
      <c r="G17457" s="36" t="str">
        <f>IF(ISNUMBER(F17457),C17457*F17457,"")</f>
        <v/>
      </c>
    </row>
    <row r="17458" spans="1:7" ht="12" customHeight="1" outlineLevel="2" x14ac:dyDescent="0.2">
      <c r="A17458" s="14" t="s">
        <v>34359</v>
      </c>
      <c r="B17458" s="15" t="s">
        <v>34360</v>
      </c>
      <c r="C17458" s="16">
        <f>122.2/(1+B2)</f>
        <v>122.2</v>
      </c>
      <c r="D17458" s="17" t="s">
        <v>11</v>
      </c>
      <c r="E17458" s="17" t="s">
        <v>14</v>
      </c>
      <c r="F17458" s="18"/>
      <c r="G17458" s="36" t="str">
        <f>IF(ISNUMBER(F17458),C17458*F17458,"")</f>
        <v/>
      </c>
    </row>
    <row r="17459" spans="1:7" ht="12" customHeight="1" outlineLevel="2" x14ac:dyDescent="0.2">
      <c r="A17459" s="14" t="s">
        <v>34361</v>
      </c>
      <c r="B17459" s="15" t="s">
        <v>34362</v>
      </c>
      <c r="C17459" s="16">
        <f>77.34/(1+B2)</f>
        <v>77.34</v>
      </c>
      <c r="D17459" s="17" t="s">
        <v>11</v>
      </c>
      <c r="E17459" s="17" t="s">
        <v>11</v>
      </c>
      <c r="F17459" s="18"/>
      <c r="G17459" s="36" t="str">
        <f>IF(ISNUMBER(F17459),C17459*F17459,"")</f>
        <v/>
      </c>
    </row>
    <row r="17460" spans="1:7" ht="12" customHeight="1" outlineLevel="2" x14ac:dyDescent="0.2">
      <c r="A17460" s="14" t="s">
        <v>34363</v>
      </c>
      <c r="B17460" s="15" t="s">
        <v>34364</v>
      </c>
      <c r="C17460" s="16">
        <f>117/(1+B2)</f>
        <v>117</v>
      </c>
      <c r="D17460" s="17" t="s">
        <v>11</v>
      </c>
      <c r="E17460" s="17" t="s">
        <v>11</v>
      </c>
      <c r="F17460" s="18"/>
      <c r="G17460" s="36" t="str">
        <f>IF(ISNUMBER(F17460),C17460*F17460,"")</f>
        <v/>
      </c>
    </row>
    <row r="17461" spans="1:7" ht="12" customHeight="1" outlineLevel="2" x14ac:dyDescent="0.2">
      <c r="A17461" s="14" t="s">
        <v>34365</v>
      </c>
      <c r="B17461" s="15" t="s">
        <v>34366</v>
      </c>
      <c r="C17461" s="16">
        <f>61.18/(1+B2)</f>
        <v>61.18</v>
      </c>
      <c r="D17461" s="17" t="s">
        <v>11</v>
      </c>
      <c r="E17461" s="17"/>
      <c r="F17461" s="18"/>
      <c r="G17461" s="36" t="str">
        <f>IF(ISNUMBER(F17461),C17461*F17461,"")</f>
        <v/>
      </c>
    </row>
    <row r="17462" spans="1:7" ht="12" customHeight="1" outlineLevel="2" x14ac:dyDescent="0.2">
      <c r="A17462" s="14" t="s">
        <v>34367</v>
      </c>
      <c r="B17462" s="15" t="s">
        <v>34368</v>
      </c>
      <c r="C17462" s="16">
        <f>151.63/(1+B2)</f>
        <v>151.63</v>
      </c>
      <c r="D17462" s="17" t="s">
        <v>11</v>
      </c>
      <c r="E17462" s="17" t="s">
        <v>106</v>
      </c>
      <c r="F17462" s="18"/>
      <c r="G17462" s="36" t="str">
        <f>IF(ISNUMBER(F17462),C17462*F17462,"")</f>
        <v/>
      </c>
    </row>
    <row r="17463" spans="1:7" ht="12" customHeight="1" outlineLevel="2" x14ac:dyDescent="0.2">
      <c r="A17463" s="14" t="s">
        <v>34369</v>
      </c>
      <c r="B17463" s="15" t="s">
        <v>34370</v>
      </c>
      <c r="C17463" s="16">
        <f>165.48/(1+B2)</f>
        <v>165.48</v>
      </c>
      <c r="D17463" s="17" t="s">
        <v>11</v>
      </c>
      <c r="E17463" s="17" t="s">
        <v>106</v>
      </c>
      <c r="F17463" s="18"/>
      <c r="G17463" s="36" t="str">
        <f>IF(ISNUMBER(F17463),C17463*F17463,"")</f>
        <v/>
      </c>
    </row>
    <row r="17464" spans="1:7" ht="12" customHeight="1" outlineLevel="2" x14ac:dyDescent="0.2">
      <c r="A17464" s="14" t="s">
        <v>34371</v>
      </c>
      <c r="B17464" s="15" t="s">
        <v>34372</v>
      </c>
      <c r="C17464" s="16">
        <f>140.97/(1+B2)</f>
        <v>140.97</v>
      </c>
      <c r="D17464" s="17" t="s">
        <v>11</v>
      </c>
      <c r="E17464" s="17" t="s">
        <v>14</v>
      </c>
      <c r="F17464" s="18"/>
      <c r="G17464" s="36" t="str">
        <f>IF(ISNUMBER(F17464),C17464*F17464,"")</f>
        <v/>
      </c>
    </row>
    <row r="17465" spans="1:7" ht="12" customHeight="1" outlineLevel="2" x14ac:dyDescent="0.2">
      <c r="A17465" s="14" t="s">
        <v>34373</v>
      </c>
      <c r="B17465" s="15" t="s">
        <v>34374</v>
      </c>
      <c r="C17465" s="16">
        <f>158.98/(1+B2)</f>
        <v>158.97999999999999</v>
      </c>
      <c r="D17465" s="17" t="s">
        <v>11</v>
      </c>
      <c r="E17465" s="17" t="s">
        <v>14</v>
      </c>
      <c r="F17465" s="18"/>
      <c r="G17465" s="36" t="str">
        <f>IF(ISNUMBER(F17465),C17465*F17465,"")</f>
        <v/>
      </c>
    </row>
    <row r="17466" spans="1:7" ht="12" customHeight="1" outlineLevel="2" x14ac:dyDescent="0.2">
      <c r="A17466" s="14" t="s">
        <v>34375</v>
      </c>
      <c r="B17466" s="15" t="s">
        <v>34376</v>
      </c>
      <c r="C17466" s="16">
        <f>186.62/(1+B2)</f>
        <v>186.62</v>
      </c>
      <c r="D17466" s="17" t="s">
        <v>11</v>
      </c>
      <c r="E17466" s="17" t="s">
        <v>53</v>
      </c>
      <c r="F17466" s="18"/>
      <c r="G17466" s="36" t="str">
        <f>IF(ISNUMBER(F17466),C17466*F17466,"")</f>
        <v/>
      </c>
    </row>
    <row r="17467" spans="1:7" ht="12" customHeight="1" outlineLevel="2" x14ac:dyDescent="0.2">
      <c r="A17467" s="14" t="s">
        <v>34377</v>
      </c>
      <c r="B17467" s="15" t="s">
        <v>34378</v>
      </c>
      <c r="C17467" s="16">
        <f>57.59/(1+B2)</f>
        <v>57.59</v>
      </c>
      <c r="D17467" s="17" t="s">
        <v>11</v>
      </c>
      <c r="E17467" s="17" t="s">
        <v>106</v>
      </c>
      <c r="F17467" s="18"/>
      <c r="G17467" s="36" t="str">
        <f>IF(ISNUMBER(F17467),C17467*F17467,"")</f>
        <v/>
      </c>
    </row>
    <row r="17468" spans="1:7" ht="12" customHeight="1" outlineLevel="2" x14ac:dyDescent="0.2">
      <c r="A17468" s="14" t="s">
        <v>34379</v>
      </c>
      <c r="B17468" s="15" t="s">
        <v>34380</v>
      </c>
      <c r="C17468" s="16">
        <f>75.82/(1+B2)</f>
        <v>75.819999999999993</v>
      </c>
      <c r="D17468" s="17" t="s">
        <v>11</v>
      </c>
      <c r="E17468" s="17" t="s">
        <v>106</v>
      </c>
      <c r="F17468" s="18"/>
      <c r="G17468" s="36" t="str">
        <f>IF(ISNUMBER(F17468),C17468*F17468,"")</f>
        <v/>
      </c>
    </row>
    <row r="17469" spans="1:7" ht="12" customHeight="1" outlineLevel="2" x14ac:dyDescent="0.2">
      <c r="A17469" s="14" t="s">
        <v>34381</v>
      </c>
      <c r="B17469" s="15" t="s">
        <v>34382</v>
      </c>
      <c r="C17469" s="16">
        <f>108.62/(1+B2)</f>
        <v>108.62</v>
      </c>
      <c r="D17469" s="17" t="s">
        <v>11</v>
      </c>
      <c r="E17469" s="17" t="s">
        <v>53</v>
      </c>
      <c r="F17469" s="18"/>
      <c r="G17469" s="36" t="str">
        <f>IF(ISNUMBER(F17469),C17469*F17469,"")</f>
        <v/>
      </c>
    </row>
    <row r="17470" spans="1:7" ht="12" customHeight="1" outlineLevel="2" x14ac:dyDescent="0.2">
      <c r="A17470" s="14" t="s">
        <v>34383</v>
      </c>
      <c r="B17470" s="15" t="s">
        <v>34384</v>
      </c>
      <c r="C17470" s="16">
        <f>251.05/(1+B2)</f>
        <v>251.05</v>
      </c>
      <c r="D17470" s="17" t="s">
        <v>11</v>
      </c>
      <c r="E17470" s="17" t="s">
        <v>11</v>
      </c>
      <c r="F17470" s="18"/>
      <c r="G17470" s="36" t="str">
        <f>IF(ISNUMBER(F17470),C17470*F17470,"")</f>
        <v/>
      </c>
    </row>
    <row r="17471" spans="1:7" ht="12" customHeight="1" outlineLevel="2" x14ac:dyDescent="0.2">
      <c r="A17471" s="14" t="s">
        <v>34385</v>
      </c>
      <c r="B17471" s="15" t="s">
        <v>34386</v>
      </c>
      <c r="C17471" s="16">
        <f>207.53/(1+B2)</f>
        <v>207.53</v>
      </c>
      <c r="D17471" s="17" t="s">
        <v>11</v>
      </c>
      <c r="E17471" s="17"/>
      <c r="F17471" s="18"/>
      <c r="G17471" s="36" t="str">
        <f>IF(ISNUMBER(F17471),C17471*F17471,"")</f>
        <v/>
      </c>
    </row>
    <row r="17472" spans="1:7" s="1" customFormat="1" ht="15.95" customHeight="1" outlineLevel="1" x14ac:dyDescent="0.25">
      <c r="A17472" s="11"/>
      <c r="B17472" s="12" t="s">
        <v>34387</v>
      </c>
      <c r="C17472" s="13"/>
      <c r="D17472" s="13"/>
      <c r="E17472" s="13"/>
      <c r="F17472" s="13"/>
      <c r="G17472" s="35"/>
    </row>
    <row r="17473" spans="1:7" ht="12" customHeight="1" outlineLevel="2" x14ac:dyDescent="0.2">
      <c r="A17473" s="14" t="s">
        <v>34388</v>
      </c>
      <c r="B17473" s="15" t="s">
        <v>34389</v>
      </c>
      <c r="C17473" s="16">
        <f>351.36/(1+B2)</f>
        <v>351.36</v>
      </c>
      <c r="D17473" s="17" t="s">
        <v>11</v>
      </c>
      <c r="E17473" s="17" t="s">
        <v>14</v>
      </c>
      <c r="F17473" s="18"/>
      <c r="G17473" s="36" t="str">
        <f>IF(ISNUMBER(F17473),C17473*F17473,"")</f>
        <v/>
      </c>
    </row>
    <row r="17474" spans="1:7" ht="12" customHeight="1" outlineLevel="2" x14ac:dyDescent="0.2">
      <c r="A17474" s="14" t="s">
        <v>34390</v>
      </c>
      <c r="B17474" s="15" t="s">
        <v>34391</v>
      </c>
      <c r="C17474" s="16">
        <f>388.14/(1+B2)</f>
        <v>388.14</v>
      </c>
      <c r="D17474" s="17" t="s">
        <v>11</v>
      </c>
      <c r="E17474" s="17" t="s">
        <v>11</v>
      </c>
      <c r="F17474" s="18"/>
      <c r="G17474" s="36" t="str">
        <f>IF(ISNUMBER(F17474),C17474*F17474,"")</f>
        <v/>
      </c>
    </row>
    <row r="17475" spans="1:7" ht="12" customHeight="1" outlineLevel="2" x14ac:dyDescent="0.2">
      <c r="A17475" s="14" t="s">
        <v>34392</v>
      </c>
      <c r="B17475" s="15" t="s">
        <v>34393</v>
      </c>
      <c r="C17475" s="16">
        <f>352.56/(1+B2)</f>
        <v>352.56</v>
      </c>
      <c r="D17475" s="17" t="s">
        <v>14</v>
      </c>
      <c r="E17475" s="17"/>
      <c r="F17475" s="18"/>
      <c r="G17475" s="36" t="str">
        <f>IF(ISNUMBER(F17475),C17475*F17475,"")</f>
        <v/>
      </c>
    </row>
    <row r="17476" spans="1:7" ht="12" customHeight="1" outlineLevel="2" x14ac:dyDescent="0.2">
      <c r="A17476" s="14" t="s">
        <v>34394</v>
      </c>
      <c r="B17476" s="15" t="s">
        <v>34395</v>
      </c>
      <c r="C17476" s="16">
        <f>388.14/(1+B2)</f>
        <v>388.14</v>
      </c>
      <c r="D17476" s="17" t="s">
        <v>11</v>
      </c>
      <c r="E17476" s="17" t="s">
        <v>11</v>
      </c>
      <c r="F17476" s="18"/>
      <c r="G17476" s="36" t="str">
        <f>IF(ISNUMBER(F17476),C17476*F17476,"")</f>
        <v/>
      </c>
    </row>
    <row r="17477" spans="1:7" ht="12" customHeight="1" outlineLevel="2" x14ac:dyDescent="0.2">
      <c r="A17477" s="14" t="s">
        <v>34396</v>
      </c>
      <c r="B17477" s="15" t="s">
        <v>34397</v>
      </c>
      <c r="C17477" s="16">
        <f>508.74/(1+B2)</f>
        <v>508.74</v>
      </c>
      <c r="D17477" s="17" t="s">
        <v>11</v>
      </c>
      <c r="E17477" s="17" t="s">
        <v>11</v>
      </c>
      <c r="F17477" s="18"/>
      <c r="G17477" s="36" t="str">
        <f>IF(ISNUMBER(F17477),C17477*F17477,"")</f>
        <v/>
      </c>
    </row>
    <row r="17478" spans="1:7" ht="12" customHeight="1" outlineLevel="2" x14ac:dyDescent="0.2">
      <c r="A17478" s="14" t="s">
        <v>34398</v>
      </c>
      <c r="B17478" s="15" t="s">
        <v>34399</v>
      </c>
      <c r="C17478" s="16">
        <f>508.74/(1+B2)</f>
        <v>508.74</v>
      </c>
      <c r="D17478" s="17" t="s">
        <v>11</v>
      </c>
      <c r="E17478" s="17" t="s">
        <v>11</v>
      </c>
      <c r="F17478" s="18"/>
      <c r="G17478" s="36" t="str">
        <f>IF(ISNUMBER(F17478),C17478*F17478,"")</f>
        <v/>
      </c>
    </row>
    <row r="17479" spans="1:7" ht="12" customHeight="1" outlineLevel="2" x14ac:dyDescent="0.2">
      <c r="A17479" s="14" t="s">
        <v>34400</v>
      </c>
      <c r="B17479" s="15" t="s">
        <v>34401</v>
      </c>
      <c r="C17479" s="16">
        <f>508.74/(1+B2)</f>
        <v>508.74</v>
      </c>
      <c r="D17479" s="17" t="s">
        <v>11</v>
      </c>
      <c r="E17479" s="17" t="s">
        <v>11</v>
      </c>
      <c r="F17479" s="18"/>
      <c r="G17479" s="36" t="str">
        <f>IF(ISNUMBER(F17479),C17479*F17479,"")</f>
        <v/>
      </c>
    </row>
    <row r="17480" spans="1:7" ht="12" customHeight="1" outlineLevel="2" x14ac:dyDescent="0.2">
      <c r="A17480" s="14" t="s">
        <v>34402</v>
      </c>
      <c r="B17480" s="15" t="s">
        <v>34403</v>
      </c>
      <c r="C17480" s="16">
        <f>589.5/(1+B2)</f>
        <v>589.5</v>
      </c>
      <c r="D17480" s="17" t="s">
        <v>11</v>
      </c>
      <c r="E17480" s="17"/>
      <c r="F17480" s="18"/>
      <c r="G17480" s="36" t="str">
        <f>IF(ISNUMBER(F17480),C17480*F17480,"")</f>
        <v/>
      </c>
    </row>
    <row r="17481" spans="1:7" ht="12" customHeight="1" outlineLevel="2" x14ac:dyDescent="0.2">
      <c r="A17481" s="14" t="s">
        <v>34404</v>
      </c>
      <c r="B17481" s="15" t="s">
        <v>34405</v>
      </c>
      <c r="C17481" s="16">
        <f>310.07/(1+B2)</f>
        <v>310.07</v>
      </c>
      <c r="D17481" s="17" t="s">
        <v>11</v>
      </c>
      <c r="E17481" s="17"/>
      <c r="F17481" s="18"/>
      <c r="G17481" s="36" t="str">
        <f>IF(ISNUMBER(F17481),C17481*F17481,"")</f>
        <v/>
      </c>
    </row>
    <row r="17482" spans="1:7" ht="12" customHeight="1" outlineLevel="2" x14ac:dyDescent="0.2">
      <c r="A17482" s="14" t="s">
        <v>34406</v>
      </c>
      <c r="B17482" s="15" t="s">
        <v>34407</v>
      </c>
      <c r="C17482" s="16">
        <f>399.54/(1+B2)</f>
        <v>399.54</v>
      </c>
      <c r="D17482" s="17" t="s">
        <v>11</v>
      </c>
      <c r="E17482" s="17" t="s">
        <v>14</v>
      </c>
      <c r="F17482" s="18"/>
      <c r="G17482" s="36" t="str">
        <f>IF(ISNUMBER(F17482),C17482*F17482,"")</f>
        <v/>
      </c>
    </row>
    <row r="17483" spans="1:7" ht="12" customHeight="1" outlineLevel="2" x14ac:dyDescent="0.2">
      <c r="A17483" s="14" t="s">
        <v>34408</v>
      </c>
      <c r="B17483" s="15" t="s">
        <v>34409</v>
      </c>
      <c r="C17483" s="16">
        <f>399.54/(1+B2)</f>
        <v>399.54</v>
      </c>
      <c r="D17483" s="17" t="s">
        <v>11</v>
      </c>
      <c r="E17483" s="17" t="s">
        <v>11</v>
      </c>
      <c r="F17483" s="18"/>
      <c r="G17483" s="36" t="str">
        <f>IF(ISNUMBER(F17483),C17483*F17483,"")</f>
        <v/>
      </c>
    </row>
    <row r="17484" spans="1:7" ht="12" customHeight="1" outlineLevel="2" x14ac:dyDescent="0.2">
      <c r="A17484" s="14" t="s">
        <v>34410</v>
      </c>
      <c r="B17484" s="15" t="s">
        <v>34411</v>
      </c>
      <c r="C17484" s="16">
        <f>399.54/(1+B2)</f>
        <v>399.54</v>
      </c>
      <c r="D17484" s="17" t="s">
        <v>11</v>
      </c>
      <c r="E17484" s="17" t="s">
        <v>11</v>
      </c>
      <c r="F17484" s="18"/>
      <c r="G17484" s="36" t="str">
        <f>IF(ISNUMBER(F17484),C17484*F17484,"")</f>
        <v/>
      </c>
    </row>
    <row r="17485" spans="1:7" ht="12" customHeight="1" outlineLevel="2" x14ac:dyDescent="0.2">
      <c r="A17485" s="14" t="s">
        <v>34412</v>
      </c>
      <c r="B17485" s="15" t="s">
        <v>34413</v>
      </c>
      <c r="C17485" s="16">
        <f>276.06/(1+B2)</f>
        <v>276.06</v>
      </c>
      <c r="D17485" s="17" t="s">
        <v>11</v>
      </c>
      <c r="E17485" s="17" t="s">
        <v>11</v>
      </c>
      <c r="F17485" s="18"/>
      <c r="G17485" s="36" t="str">
        <f>IF(ISNUMBER(F17485),C17485*F17485,"")</f>
        <v/>
      </c>
    </row>
    <row r="17486" spans="1:7" ht="12" customHeight="1" outlineLevel="2" x14ac:dyDescent="0.2">
      <c r="A17486" s="14" t="s">
        <v>34414</v>
      </c>
      <c r="B17486" s="15" t="s">
        <v>34415</v>
      </c>
      <c r="C17486" s="16">
        <f>605.88/(1+B2)</f>
        <v>605.88</v>
      </c>
      <c r="D17486" s="17" t="s">
        <v>11</v>
      </c>
      <c r="E17486" s="17" t="s">
        <v>11</v>
      </c>
      <c r="F17486" s="18"/>
      <c r="G17486" s="36" t="str">
        <f>IF(ISNUMBER(F17486),C17486*F17486,"")</f>
        <v/>
      </c>
    </row>
    <row r="17487" spans="1:7" ht="12" customHeight="1" outlineLevel="2" x14ac:dyDescent="0.2">
      <c r="A17487" s="14" t="s">
        <v>34416</v>
      </c>
      <c r="B17487" s="15" t="s">
        <v>34417</v>
      </c>
      <c r="C17487" s="16">
        <f>608.22/(1+B2)</f>
        <v>608.22</v>
      </c>
      <c r="D17487" s="17" t="s">
        <v>11</v>
      </c>
      <c r="E17487" s="17" t="s">
        <v>11</v>
      </c>
      <c r="F17487" s="18"/>
      <c r="G17487" s="36" t="str">
        <f>IF(ISNUMBER(F17487),C17487*F17487,"")</f>
        <v/>
      </c>
    </row>
    <row r="17488" spans="1:7" ht="12" customHeight="1" outlineLevel="2" x14ac:dyDescent="0.2">
      <c r="A17488" s="14" t="s">
        <v>34418</v>
      </c>
      <c r="B17488" s="15" t="s">
        <v>34419</v>
      </c>
      <c r="C17488" s="16">
        <f>798.9/(1+B2)</f>
        <v>798.9</v>
      </c>
      <c r="D17488" s="17" t="s">
        <v>11</v>
      </c>
      <c r="E17488" s="17" t="s">
        <v>11</v>
      </c>
      <c r="F17488" s="18"/>
      <c r="G17488" s="36" t="str">
        <f>IF(ISNUMBER(F17488),C17488*F17488,"")</f>
        <v/>
      </c>
    </row>
    <row r="17489" spans="1:7" ht="12" customHeight="1" outlineLevel="2" x14ac:dyDescent="0.2">
      <c r="A17489" s="14" t="s">
        <v>34420</v>
      </c>
      <c r="B17489" s="15" t="s">
        <v>34421</v>
      </c>
      <c r="C17489" s="16">
        <f>795.84/(1+B2)</f>
        <v>795.84</v>
      </c>
      <c r="D17489" s="17" t="s">
        <v>11</v>
      </c>
      <c r="E17489" s="17"/>
      <c r="F17489" s="18"/>
      <c r="G17489" s="36" t="str">
        <f>IF(ISNUMBER(F17489),C17489*F17489,"")</f>
        <v/>
      </c>
    </row>
    <row r="17490" spans="1:7" ht="12" customHeight="1" outlineLevel="2" x14ac:dyDescent="0.2">
      <c r="A17490" s="14" t="s">
        <v>34422</v>
      </c>
      <c r="B17490" s="15" t="s">
        <v>34423</v>
      </c>
      <c r="C17490" s="16">
        <f>798.9/(1+B2)</f>
        <v>798.9</v>
      </c>
      <c r="D17490" s="17" t="s">
        <v>11</v>
      </c>
      <c r="E17490" s="17" t="s">
        <v>11</v>
      </c>
      <c r="F17490" s="18"/>
      <c r="G17490" s="36" t="str">
        <f>IF(ISNUMBER(F17490),C17490*F17490,"")</f>
        <v/>
      </c>
    </row>
    <row r="17491" spans="1:7" ht="12" customHeight="1" outlineLevel="2" x14ac:dyDescent="0.2">
      <c r="A17491" s="14" t="s">
        <v>34424</v>
      </c>
      <c r="B17491" s="15" t="s">
        <v>34425</v>
      </c>
      <c r="C17491" s="16">
        <f>448.55/(1+B2)</f>
        <v>448.55</v>
      </c>
      <c r="D17491" s="17" t="s">
        <v>11</v>
      </c>
      <c r="E17491" s="17" t="s">
        <v>11</v>
      </c>
      <c r="F17491" s="18"/>
      <c r="G17491" s="36" t="str">
        <f>IF(ISNUMBER(F17491),C17491*F17491,"")</f>
        <v/>
      </c>
    </row>
    <row r="17492" spans="1:7" s="1" customFormat="1" ht="15.95" customHeight="1" outlineLevel="1" x14ac:dyDescent="0.25">
      <c r="A17492" s="11"/>
      <c r="B17492" s="12" t="s">
        <v>34426</v>
      </c>
      <c r="C17492" s="13"/>
      <c r="D17492" s="13"/>
      <c r="E17492" s="13"/>
      <c r="F17492" s="13"/>
      <c r="G17492" s="35"/>
    </row>
    <row r="17493" spans="1:7" ht="12" customHeight="1" outlineLevel="2" x14ac:dyDescent="0.2">
      <c r="A17493" s="14" t="s">
        <v>34427</v>
      </c>
      <c r="B17493" s="15" t="s">
        <v>34428</v>
      </c>
      <c r="C17493" s="16">
        <f>176.54/(1+B2)</f>
        <v>176.54</v>
      </c>
      <c r="D17493" s="17" t="s">
        <v>11</v>
      </c>
      <c r="E17493" s="17"/>
      <c r="F17493" s="18"/>
      <c r="G17493" s="36" t="str">
        <f>IF(ISNUMBER(F17493),C17493*F17493,"")</f>
        <v/>
      </c>
    </row>
    <row r="17494" spans="1:7" ht="12" customHeight="1" outlineLevel="2" x14ac:dyDescent="0.2">
      <c r="A17494" s="14" t="s">
        <v>34429</v>
      </c>
      <c r="B17494" s="15" t="s">
        <v>34430</v>
      </c>
      <c r="C17494" s="16">
        <f>504.12/(1+B2)</f>
        <v>504.12</v>
      </c>
      <c r="D17494" s="17" t="s">
        <v>11</v>
      </c>
      <c r="E17494" s="17"/>
      <c r="F17494" s="18"/>
      <c r="G17494" s="36" t="str">
        <f>IF(ISNUMBER(F17494),C17494*F17494,"")</f>
        <v/>
      </c>
    </row>
    <row r="17495" spans="1:7" ht="24" customHeight="1" outlineLevel="2" x14ac:dyDescent="0.2">
      <c r="A17495" s="14" t="s">
        <v>34431</v>
      </c>
      <c r="B17495" s="15" t="s">
        <v>34432</v>
      </c>
      <c r="C17495" s="16">
        <f>372.13/(1+B2)</f>
        <v>372.13</v>
      </c>
      <c r="D17495" s="17" t="s">
        <v>11</v>
      </c>
      <c r="E17495" s="17"/>
      <c r="F17495" s="18"/>
      <c r="G17495" s="36" t="str">
        <f>IF(ISNUMBER(F17495),C17495*F17495,"")</f>
        <v/>
      </c>
    </row>
    <row r="17496" spans="1:7" ht="24" customHeight="1" outlineLevel="2" x14ac:dyDescent="0.2">
      <c r="A17496" s="14" t="s">
        <v>34433</v>
      </c>
      <c r="B17496" s="15" t="s">
        <v>34434</v>
      </c>
      <c r="C17496" s="16">
        <f>372.13/(1+B2)</f>
        <v>372.13</v>
      </c>
      <c r="D17496" s="17" t="s">
        <v>11</v>
      </c>
      <c r="E17496" s="17"/>
      <c r="F17496" s="18"/>
      <c r="G17496" s="36" t="str">
        <f>IF(ISNUMBER(F17496),C17496*F17496,"")</f>
        <v/>
      </c>
    </row>
    <row r="17497" spans="1:7" ht="12" customHeight="1" outlineLevel="2" x14ac:dyDescent="0.2">
      <c r="A17497" s="14" t="s">
        <v>34435</v>
      </c>
      <c r="B17497" s="15" t="s">
        <v>34436</v>
      </c>
      <c r="C17497" s="16">
        <f>435/(1+B2)</f>
        <v>435</v>
      </c>
      <c r="D17497" s="17" t="s">
        <v>11</v>
      </c>
      <c r="E17497" s="17"/>
      <c r="F17497" s="18"/>
      <c r="G17497" s="36" t="str">
        <f>IF(ISNUMBER(F17497),C17497*F17497,"")</f>
        <v/>
      </c>
    </row>
    <row r="17498" spans="1:7" ht="12" customHeight="1" outlineLevel="2" x14ac:dyDescent="0.2">
      <c r="A17498" s="14" t="s">
        <v>34437</v>
      </c>
      <c r="B17498" s="15" t="s">
        <v>34438</v>
      </c>
      <c r="C17498" s="16">
        <f>395.45/(1+B2)</f>
        <v>395.45</v>
      </c>
      <c r="D17498" s="17" t="s">
        <v>11</v>
      </c>
      <c r="E17498" s="17"/>
      <c r="F17498" s="18"/>
      <c r="G17498" s="36" t="str">
        <f>IF(ISNUMBER(F17498),C17498*F17498,"")</f>
        <v/>
      </c>
    </row>
    <row r="17499" spans="1:7" s="1" customFormat="1" ht="15.95" customHeight="1" outlineLevel="1" x14ac:dyDescent="0.25">
      <c r="A17499" s="11"/>
      <c r="B17499" s="12" t="s">
        <v>34439</v>
      </c>
      <c r="C17499" s="13"/>
      <c r="D17499" s="13"/>
      <c r="E17499" s="13"/>
      <c r="F17499" s="13"/>
      <c r="G17499" s="35"/>
    </row>
    <row r="17500" spans="1:7" ht="12" customHeight="1" outlineLevel="2" x14ac:dyDescent="0.2">
      <c r="A17500" s="14" t="s">
        <v>34440</v>
      </c>
      <c r="B17500" s="15" t="s">
        <v>34441</v>
      </c>
      <c r="C17500" s="16">
        <f>170.15/(1+B2)</f>
        <v>170.15</v>
      </c>
      <c r="D17500" s="17" t="s">
        <v>11</v>
      </c>
      <c r="E17500" s="17"/>
      <c r="F17500" s="18"/>
      <c r="G17500" s="36" t="str">
        <f>IF(ISNUMBER(F17500),C17500*F17500,"")</f>
        <v/>
      </c>
    </row>
    <row r="17501" spans="1:7" ht="12" customHeight="1" outlineLevel="2" x14ac:dyDescent="0.2">
      <c r="A17501" s="14" t="s">
        <v>34442</v>
      </c>
      <c r="B17501" s="15" t="s">
        <v>34443</v>
      </c>
      <c r="C17501" s="16">
        <f>283.77/(1+B2)</f>
        <v>283.77</v>
      </c>
      <c r="D17501" s="17" t="s">
        <v>11</v>
      </c>
      <c r="E17501" s="17"/>
      <c r="F17501" s="18"/>
      <c r="G17501" s="36" t="str">
        <f>IF(ISNUMBER(F17501),C17501*F17501,"")</f>
        <v/>
      </c>
    </row>
    <row r="17502" spans="1:7" ht="12" customHeight="1" outlineLevel="2" x14ac:dyDescent="0.2">
      <c r="A17502" s="14" t="s">
        <v>34444</v>
      </c>
      <c r="B17502" s="15" t="s">
        <v>34445</v>
      </c>
      <c r="C17502" s="16">
        <f>221.05/(1+B2)</f>
        <v>221.05</v>
      </c>
      <c r="D17502" s="17" t="s">
        <v>14</v>
      </c>
      <c r="E17502" s="17"/>
      <c r="F17502" s="18"/>
      <c r="G17502" s="36" t="str">
        <f>IF(ISNUMBER(F17502),C17502*F17502,"")</f>
        <v/>
      </c>
    </row>
    <row r="17503" spans="1:7" ht="12" customHeight="1" outlineLevel="2" x14ac:dyDescent="0.2">
      <c r="A17503" s="14" t="s">
        <v>34446</v>
      </c>
      <c r="B17503" s="15" t="s">
        <v>34447</v>
      </c>
      <c r="C17503" s="16">
        <f>137.06/(1+B2)</f>
        <v>137.06</v>
      </c>
      <c r="D17503" s="17" t="s">
        <v>11</v>
      </c>
      <c r="E17503" s="17"/>
      <c r="F17503" s="18"/>
      <c r="G17503" s="36" t="str">
        <f>IF(ISNUMBER(F17503),C17503*F17503,"")</f>
        <v/>
      </c>
    </row>
    <row r="17504" spans="1:7" ht="12" customHeight="1" outlineLevel="2" x14ac:dyDescent="0.2">
      <c r="A17504" s="14" t="s">
        <v>34448</v>
      </c>
      <c r="B17504" s="15" t="s">
        <v>34449</v>
      </c>
      <c r="C17504" s="16">
        <f>195.08/(1+B2)</f>
        <v>195.08</v>
      </c>
      <c r="D17504" s="17" t="s">
        <v>11</v>
      </c>
      <c r="E17504" s="17"/>
      <c r="F17504" s="18"/>
      <c r="G17504" s="36" t="str">
        <f>IF(ISNUMBER(F17504),C17504*F17504,"")</f>
        <v/>
      </c>
    </row>
    <row r="17505" spans="1:7" ht="12" customHeight="1" outlineLevel="2" x14ac:dyDescent="0.2">
      <c r="A17505" s="14" t="s">
        <v>34450</v>
      </c>
      <c r="B17505" s="15" t="s">
        <v>34451</v>
      </c>
      <c r="C17505" s="16">
        <f>186.96/(1+B2)</f>
        <v>186.96</v>
      </c>
      <c r="D17505" s="17" t="s">
        <v>11</v>
      </c>
      <c r="E17505" s="17"/>
      <c r="F17505" s="18"/>
      <c r="G17505" s="36" t="str">
        <f>IF(ISNUMBER(F17505),C17505*F17505,"")</f>
        <v/>
      </c>
    </row>
    <row r="17506" spans="1:7" ht="12" customHeight="1" outlineLevel="2" x14ac:dyDescent="0.2">
      <c r="A17506" s="14" t="s">
        <v>34452</v>
      </c>
      <c r="B17506" s="15" t="s">
        <v>34453</v>
      </c>
      <c r="C17506" s="16">
        <f>195.87/(1+B2)</f>
        <v>195.87</v>
      </c>
      <c r="D17506" s="17" t="s">
        <v>11</v>
      </c>
      <c r="E17506" s="17"/>
      <c r="F17506" s="18"/>
      <c r="G17506" s="36" t="str">
        <f>IF(ISNUMBER(F17506),C17506*F17506,"")</f>
        <v/>
      </c>
    </row>
    <row r="17507" spans="1:7" ht="12" customHeight="1" outlineLevel="2" x14ac:dyDescent="0.2">
      <c r="A17507" s="14" t="s">
        <v>34454</v>
      </c>
      <c r="B17507" s="15" t="s">
        <v>34455</v>
      </c>
      <c r="C17507" s="16">
        <f>250.52/(1+B2)</f>
        <v>250.52</v>
      </c>
      <c r="D17507" s="17" t="s">
        <v>11</v>
      </c>
      <c r="E17507" s="17"/>
      <c r="F17507" s="18"/>
      <c r="G17507" s="36" t="str">
        <f>IF(ISNUMBER(F17507),C17507*F17507,"")</f>
        <v/>
      </c>
    </row>
    <row r="17508" spans="1:7" ht="24" customHeight="1" outlineLevel="2" x14ac:dyDescent="0.2">
      <c r="A17508" s="14" t="s">
        <v>34456</v>
      </c>
      <c r="B17508" s="15" t="s">
        <v>34457</v>
      </c>
      <c r="C17508" s="16">
        <f>112/(1+B2)</f>
        <v>112</v>
      </c>
      <c r="D17508" s="17" t="s">
        <v>11</v>
      </c>
      <c r="E17508" s="17"/>
      <c r="F17508" s="18"/>
      <c r="G17508" s="36" t="str">
        <f>IF(ISNUMBER(F17508),C17508*F17508,"")</f>
        <v/>
      </c>
    </row>
    <row r="17509" spans="1:7" ht="12" customHeight="1" outlineLevel="2" x14ac:dyDescent="0.2">
      <c r="A17509" s="14" t="s">
        <v>34458</v>
      </c>
      <c r="B17509" s="15" t="s">
        <v>34459</v>
      </c>
      <c r="C17509" s="16">
        <f>150.13/(1+B2)</f>
        <v>150.13</v>
      </c>
      <c r="D17509" s="17" t="s">
        <v>11</v>
      </c>
      <c r="E17509" s="17"/>
      <c r="F17509" s="18"/>
      <c r="G17509" s="36" t="str">
        <f>IF(ISNUMBER(F17509),C17509*F17509,"")</f>
        <v/>
      </c>
    </row>
    <row r="17510" spans="1:7" ht="12" customHeight="1" outlineLevel="2" x14ac:dyDescent="0.2">
      <c r="A17510" s="14" t="s">
        <v>34460</v>
      </c>
      <c r="B17510" s="15" t="s">
        <v>34461</v>
      </c>
      <c r="C17510" s="16">
        <f>127.03/(1+B2)</f>
        <v>127.03</v>
      </c>
      <c r="D17510" s="17" t="s">
        <v>11</v>
      </c>
      <c r="E17510" s="17"/>
      <c r="F17510" s="18"/>
      <c r="G17510" s="36" t="str">
        <f>IF(ISNUMBER(F17510),C17510*F17510,"")</f>
        <v/>
      </c>
    </row>
    <row r="17511" spans="1:7" ht="12" customHeight="1" outlineLevel="2" x14ac:dyDescent="0.2">
      <c r="A17511" s="14" t="s">
        <v>34462</v>
      </c>
      <c r="B17511" s="15" t="s">
        <v>34463</v>
      </c>
      <c r="C17511" s="16">
        <f>202.63/(1+B2)</f>
        <v>202.63</v>
      </c>
      <c r="D17511" s="17" t="s">
        <v>14</v>
      </c>
      <c r="E17511" s="17"/>
      <c r="F17511" s="18"/>
      <c r="G17511" s="36" t="str">
        <f>IF(ISNUMBER(F17511),C17511*F17511,"")</f>
        <v/>
      </c>
    </row>
    <row r="17512" spans="1:7" ht="12" customHeight="1" outlineLevel="2" x14ac:dyDescent="0.2">
      <c r="A17512" s="14" t="s">
        <v>34464</v>
      </c>
      <c r="B17512" s="15" t="s">
        <v>34465</v>
      </c>
      <c r="C17512" s="16">
        <f>110.81/(1+B2)</f>
        <v>110.81</v>
      </c>
      <c r="D17512" s="17" t="s">
        <v>11</v>
      </c>
      <c r="E17512" s="17"/>
      <c r="F17512" s="18"/>
      <c r="G17512" s="36" t="str">
        <f>IF(ISNUMBER(F17512),C17512*F17512,"")</f>
        <v/>
      </c>
    </row>
    <row r="17513" spans="1:7" ht="12" customHeight="1" outlineLevel="2" x14ac:dyDescent="0.2">
      <c r="A17513" s="14" t="s">
        <v>34466</v>
      </c>
      <c r="B17513" s="15" t="s">
        <v>34467</v>
      </c>
      <c r="C17513" s="16">
        <f>109.86/(1+B2)</f>
        <v>109.86</v>
      </c>
      <c r="D17513" s="17" t="s">
        <v>11</v>
      </c>
      <c r="E17513" s="17" t="s">
        <v>14</v>
      </c>
      <c r="F17513" s="18"/>
      <c r="G17513" s="36" t="str">
        <f>IF(ISNUMBER(F17513),C17513*F17513,"")</f>
        <v/>
      </c>
    </row>
    <row r="17514" spans="1:7" ht="12" customHeight="1" outlineLevel="2" x14ac:dyDescent="0.2">
      <c r="A17514" s="14" t="s">
        <v>34468</v>
      </c>
      <c r="B17514" s="15" t="s">
        <v>34469</v>
      </c>
      <c r="C17514" s="16">
        <f>288.12/(1+B2)</f>
        <v>288.12</v>
      </c>
      <c r="D17514" s="17" t="s">
        <v>14</v>
      </c>
      <c r="E17514" s="17"/>
      <c r="F17514" s="18"/>
      <c r="G17514" s="36" t="str">
        <f>IF(ISNUMBER(F17514),C17514*F17514,"")</f>
        <v/>
      </c>
    </row>
    <row r="17515" spans="1:7" ht="12" customHeight="1" outlineLevel="2" x14ac:dyDescent="0.2">
      <c r="A17515" s="14" t="s">
        <v>34470</v>
      </c>
      <c r="B17515" s="15" t="s">
        <v>34471</v>
      </c>
      <c r="C17515" s="16">
        <f>288.12/(1+B2)</f>
        <v>288.12</v>
      </c>
      <c r="D17515" s="17" t="s">
        <v>14</v>
      </c>
      <c r="E17515" s="17"/>
      <c r="F17515" s="18"/>
      <c r="G17515" s="36" t="str">
        <f>IF(ISNUMBER(F17515),C17515*F17515,"")</f>
        <v/>
      </c>
    </row>
    <row r="17516" spans="1:7" ht="12" customHeight="1" outlineLevel="2" x14ac:dyDescent="0.2">
      <c r="A17516" s="14" t="s">
        <v>34472</v>
      </c>
      <c r="B17516" s="15" t="s">
        <v>34473</v>
      </c>
      <c r="C17516" s="16">
        <f>150.24/(1+B2)</f>
        <v>150.24</v>
      </c>
      <c r="D17516" s="17" t="s">
        <v>14</v>
      </c>
      <c r="E17516" s="17"/>
      <c r="F17516" s="18"/>
      <c r="G17516" s="36" t="str">
        <f>IF(ISNUMBER(F17516),C17516*F17516,"")</f>
        <v/>
      </c>
    </row>
    <row r="17517" spans="1:7" ht="12" customHeight="1" outlineLevel="2" x14ac:dyDescent="0.2">
      <c r="A17517" s="14" t="s">
        <v>34474</v>
      </c>
      <c r="B17517" s="15" t="s">
        <v>34475</v>
      </c>
      <c r="C17517" s="16">
        <f>144.06/(1+B2)</f>
        <v>144.06</v>
      </c>
      <c r="D17517" s="17" t="s">
        <v>14</v>
      </c>
      <c r="E17517" s="17"/>
      <c r="F17517" s="18"/>
      <c r="G17517" s="36" t="str">
        <f>IF(ISNUMBER(F17517),C17517*F17517,"")</f>
        <v/>
      </c>
    </row>
    <row r="17518" spans="1:7" ht="12" customHeight="1" outlineLevel="2" x14ac:dyDescent="0.2">
      <c r="A17518" s="14" t="s">
        <v>34476</v>
      </c>
      <c r="B17518" s="15" t="s">
        <v>34477</v>
      </c>
      <c r="C17518" s="16">
        <f>270.48/(1+B2)</f>
        <v>270.48</v>
      </c>
      <c r="D17518" s="17" t="s">
        <v>11</v>
      </c>
      <c r="E17518" s="17" t="s">
        <v>11</v>
      </c>
      <c r="F17518" s="18"/>
      <c r="G17518" s="36" t="str">
        <f>IF(ISNUMBER(F17518),C17518*F17518,"")</f>
        <v/>
      </c>
    </row>
    <row r="17519" spans="1:7" ht="12" customHeight="1" outlineLevel="2" x14ac:dyDescent="0.2">
      <c r="A17519" s="14" t="s">
        <v>34478</v>
      </c>
      <c r="B17519" s="15" t="s">
        <v>34479</v>
      </c>
      <c r="C17519" s="16">
        <f>257.76/(1+B2)</f>
        <v>257.76</v>
      </c>
      <c r="D17519" s="17" t="s">
        <v>11</v>
      </c>
      <c r="E17519" s="17" t="s">
        <v>11</v>
      </c>
      <c r="F17519" s="18"/>
      <c r="G17519" s="36" t="str">
        <f>IF(ISNUMBER(F17519),C17519*F17519,"")</f>
        <v/>
      </c>
    </row>
    <row r="17520" spans="1:7" ht="12" customHeight="1" outlineLevel="2" x14ac:dyDescent="0.2">
      <c r="A17520" s="14" t="s">
        <v>34480</v>
      </c>
      <c r="B17520" s="15" t="s">
        <v>34481</v>
      </c>
      <c r="C17520" s="16">
        <f>240.42/(1+B2)</f>
        <v>240.42</v>
      </c>
      <c r="D17520" s="17" t="s">
        <v>11</v>
      </c>
      <c r="E17520" s="17"/>
      <c r="F17520" s="18"/>
      <c r="G17520" s="36" t="str">
        <f>IF(ISNUMBER(F17520),C17520*F17520,"")</f>
        <v/>
      </c>
    </row>
    <row r="17521" spans="1:7" ht="12" customHeight="1" outlineLevel="2" x14ac:dyDescent="0.2">
      <c r="A17521" s="14" t="s">
        <v>34482</v>
      </c>
      <c r="B17521" s="15" t="s">
        <v>34483</v>
      </c>
      <c r="C17521" s="16">
        <f>241.44/(1+B2)</f>
        <v>241.44</v>
      </c>
      <c r="D17521" s="17" t="s">
        <v>11</v>
      </c>
      <c r="E17521" s="17"/>
      <c r="F17521" s="18"/>
      <c r="G17521" s="36" t="str">
        <f>IF(ISNUMBER(F17521),C17521*F17521,"")</f>
        <v/>
      </c>
    </row>
    <row r="17522" spans="1:7" ht="12" customHeight="1" outlineLevel="2" x14ac:dyDescent="0.2">
      <c r="A17522" s="14" t="s">
        <v>34484</v>
      </c>
      <c r="B17522" s="15" t="s">
        <v>34485</v>
      </c>
      <c r="C17522" s="16">
        <f>241.44/(1+B2)</f>
        <v>241.44</v>
      </c>
      <c r="D17522" s="17" t="s">
        <v>11</v>
      </c>
      <c r="E17522" s="17"/>
      <c r="F17522" s="18"/>
      <c r="G17522" s="36" t="str">
        <f>IF(ISNUMBER(F17522),C17522*F17522,"")</f>
        <v/>
      </c>
    </row>
    <row r="17523" spans="1:7" ht="12" customHeight="1" outlineLevel="2" x14ac:dyDescent="0.2">
      <c r="A17523" s="14" t="s">
        <v>34486</v>
      </c>
      <c r="B17523" s="15" t="s">
        <v>34487</v>
      </c>
      <c r="C17523" s="16">
        <f>152.16/(1+B2)</f>
        <v>152.16</v>
      </c>
      <c r="D17523" s="17" t="s">
        <v>14</v>
      </c>
      <c r="E17523" s="17"/>
      <c r="F17523" s="18"/>
      <c r="G17523" s="36" t="str">
        <f>IF(ISNUMBER(F17523),C17523*F17523,"")</f>
        <v/>
      </c>
    </row>
    <row r="17524" spans="1:7" ht="12" customHeight="1" outlineLevel="2" x14ac:dyDescent="0.2">
      <c r="A17524" s="14" t="s">
        <v>34488</v>
      </c>
      <c r="B17524" s="15" t="s">
        <v>34489</v>
      </c>
      <c r="C17524" s="16">
        <f>152.16/(1+B2)</f>
        <v>152.16</v>
      </c>
      <c r="D17524" s="17" t="s">
        <v>11</v>
      </c>
      <c r="E17524" s="17"/>
      <c r="F17524" s="18"/>
      <c r="G17524" s="36" t="str">
        <f>IF(ISNUMBER(F17524),C17524*F17524,"")</f>
        <v/>
      </c>
    </row>
    <row r="17525" spans="1:7" ht="12" customHeight="1" outlineLevel="2" x14ac:dyDescent="0.2">
      <c r="A17525" s="14" t="s">
        <v>34490</v>
      </c>
      <c r="B17525" s="15" t="s">
        <v>34491</v>
      </c>
      <c r="C17525" s="16">
        <f>223.81/(1+B2)</f>
        <v>223.81</v>
      </c>
      <c r="D17525" s="17" t="s">
        <v>11</v>
      </c>
      <c r="E17525" s="17"/>
      <c r="F17525" s="18"/>
      <c r="G17525" s="36" t="str">
        <f>IF(ISNUMBER(F17525),C17525*F17525,"")</f>
        <v/>
      </c>
    </row>
    <row r="17526" spans="1:7" ht="24" customHeight="1" outlineLevel="2" x14ac:dyDescent="0.2">
      <c r="A17526" s="14" t="s">
        <v>34492</v>
      </c>
      <c r="B17526" s="15" t="s">
        <v>34493</v>
      </c>
      <c r="C17526" s="16">
        <f>175.35/(1+B2)</f>
        <v>175.35</v>
      </c>
      <c r="D17526" s="17" t="s">
        <v>11</v>
      </c>
      <c r="E17526" s="17"/>
      <c r="F17526" s="18"/>
      <c r="G17526" s="36" t="str">
        <f>IF(ISNUMBER(F17526),C17526*F17526,"")</f>
        <v/>
      </c>
    </row>
    <row r="17527" spans="1:7" ht="24" customHeight="1" outlineLevel="2" x14ac:dyDescent="0.2">
      <c r="A17527" s="14" t="s">
        <v>34494</v>
      </c>
      <c r="B17527" s="15" t="s">
        <v>34495</v>
      </c>
      <c r="C17527" s="16">
        <f>256.68/(1+B2)</f>
        <v>256.68</v>
      </c>
      <c r="D17527" s="17" t="s">
        <v>11</v>
      </c>
      <c r="E17527" s="17"/>
      <c r="F17527" s="18"/>
      <c r="G17527" s="36" t="str">
        <f>IF(ISNUMBER(F17527),C17527*F17527,"")</f>
        <v/>
      </c>
    </row>
    <row r="17528" spans="1:7" ht="12" customHeight="1" outlineLevel="2" x14ac:dyDescent="0.2">
      <c r="A17528" s="14" t="s">
        <v>34496</v>
      </c>
      <c r="B17528" s="15" t="s">
        <v>34497</v>
      </c>
      <c r="C17528" s="16">
        <f>80.54/(1+B2)</f>
        <v>80.540000000000006</v>
      </c>
      <c r="D17528" s="17" t="s">
        <v>11</v>
      </c>
      <c r="E17528" s="17"/>
      <c r="F17528" s="18"/>
      <c r="G17528" s="36" t="str">
        <f>IF(ISNUMBER(F17528),C17528*F17528,"")</f>
        <v/>
      </c>
    </row>
    <row r="17529" spans="1:7" ht="12" customHeight="1" outlineLevel="2" x14ac:dyDescent="0.2">
      <c r="A17529" s="14" t="s">
        <v>34498</v>
      </c>
      <c r="B17529" s="15" t="s">
        <v>34499</v>
      </c>
      <c r="C17529" s="16">
        <f>67.67/(1+B2)</f>
        <v>67.67</v>
      </c>
      <c r="D17529" s="17" t="s">
        <v>11</v>
      </c>
      <c r="E17529" s="17"/>
      <c r="F17529" s="18"/>
      <c r="G17529" s="36" t="str">
        <f>IF(ISNUMBER(F17529),C17529*F17529,"")</f>
        <v/>
      </c>
    </row>
    <row r="17530" spans="1:7" ht="12" customHeight="1" outlineLevel="2" x14ac:dyDescent="0.2">
      <c r="A17530" s="14" t="s">
        <v>34500</v>
      </c>
      <c r="B17530" s="15" t="s">
        <v>34501</v>
      </c>
      <c r="C17530" s="16">
        <f>91.36/(1+B2)</f>
        <v>91.36</v>
      </c>
      <c r="D17530" s="17" t="s">
        <v>11</v>
      </c>
      <c r="E17530" s="17"/>
      <c r="F17530" s="18"/>
      <c r="G17530" s="36" t="str">
        <f>IF(ISNUMBER(F17530),C17530*F17530,"")</f>
        <v/>
      </c>
    </row>
    <row r="17531" spans="1:7" ht="12" customHeight="1" outlineLevel="2" x14ac:dyDescent="0.2">
      <c r="A17531" s="14" t="s">
        <v>34502</v>
      </c>
      <c r="B17531" s="15" t="s">
        <v>34503</v>
      </c>
      <c r="C17531" s="16">
        <f>111.12/(1+B2)</f>
        <v>111.12</v>
      </c>
      <c r="D17531" s="17" t="s">
        <v>11</v>
      </c>
      <c r="E17531" s="17"/>
      <c r="F17531" s="18"/>
      <c r="G17531" s="36" t="str">
        <f>IF(ISNUMBER(F17531),C17531*F17531,"")</f>
        <v/>
      </c>
    </row>
    <row r="17532" spans="1:7" ht="24" customHeight="1" outlineLevel="2" x14ac:dyDescent="0.2">
      <c r="A17532" s="14" t="s">
        <v>34504</v>
      </c>
      <c r="B17532" s="15" t="s">
        <v>34505</v>
      </c>
      <c r="C17532" s="16">
        <f>301.21/(1+B2)</f>
        <v>301.20999999999998</v>
      </c>
      <c r="D17532" s="17" t="s">
        <v>11</v>
      </c>
      <c r="E17532" s="17"/>
      <c r="F17532" s="18"/>
      <c r="G17532" s="36" t="str">
        <f>IF(ISNUMBER(F17532),C17532*F17532,"")</f>
        <v/>
      </c>
    </row>
    <row r="17533" spans="1:7" ht="12" customHeight="1" outlineLevel="2" x14ac:dyDescent="0.2">
      <c r="A17533" s="14" t="s">
        <v>34506</v>
      </c>
      <c r="B17533" s="15" t="s">
        <v>34507</v>
      </c>
      <c r="C17533" s="16">
        <f>227.55/(1+B2)</f>
        <v>227.55</v>
      </c>
      <c r="D17533" s="17" t="s">
        <v>11</v>
      </c>
      <c r="E17533" s="17"/>
      <c r="F17533" s="18"/>
      <c r="G17533" s="36" t="str">
        <f>IF(ISNUMBER(F17533),C17533*F17533,"")</f>
        <v/>
      </c>
    </row>
    <row r="17534" spans="1:7" ht="12" customHeight="1" outlineLevel="2" x14ac:dyDescent="0.2">
      <c r="A17534" s="14" t="s">
        <v>34508</v>
      </c>
      <c r="B17534" s="15" t="s">
        <v>34509</v>
      </c>
      <c r="C17534" s="16">
        <f>184.82/(1+B2)</f>
        <v>184.82</v>
      </c>
      <c r="D17534" s="17" t="s">
        <v>11</v>
      </c>
      <c r="E17534" s="17"/>
      <c r="F17534" s="18"/>
      <c r="G17534" s="36" t="str">
        <f>IF(ISNUMBER(F17534),C17534*F17534,"")</f>
        <v/>
      </c>
    </row>
    <row r="17535" spans="1:7" ht="24" customHeight="1" outlineLevel="2" x14ac:dyDescent="0.2">
      <c r="A17535" s="14" t="s">
        <v>34510</v>
      </c>
      <c r="B17535" s="15" t="s">
        <v>34511</v>
      </c>
      <c r="C17535" s="16">
        <f>100.02/(1+B2)</f>
        <v>100.02</v>
      </c>
      <c r="D17535" s="17" t="s">
        <v>11</v>
      </c>
      <c r="E17535" s="17"/>
      <c r="F17535" s="18"/>
      <c r="G17535" s="36" t="str">
        <f>IF(ISNUMBER(F17535),C17535*F17535,"")</f>
        <v/>
      </c>
    </row>
    <row r="17536" spans="1:7" ht="12" customHeight="1" outlineLevel="2" x14ac:dyDescent="0.2">
      <c r="A17536" s="14" t="s">
        <v>34512</v>
      </c>
      <c r="B17536" s="15" t="s">
        <v>34513</v>
      </c>
      <c r="C17536" s="16">
        <f>71.51/(1+B2)</f>
        <v>71.510000000000005</v>
      </c>
      <c r="D17536" s="17" t="s">
        <v>11</v>
      </c>
      <c r="E17536" s="17"/>
      <c r="F17536" s="18"/>
      <c r="G17536" s="36" t="str">
        <f>IF(ISNUMBER(F17536),C17536*F17536,"")</f>
        <v/>
      </c>
    </row>
    <row r="17537" spans="1:7" ht="12" customHeight="1" outlineLevel="2" x14ac:dyDescent="0.2">
      <c r="A17537" s="14" t="s">
        <v>34514</v>
      </c>
      <c r="B17537" s="15" t="s">
        <v>34515</v>
      </c>
      <c r="C17537" s="16">
        <f>133.55/(1+B2)</f>
        <v>133.55000000000001</v>
      </c>
      <c r="D17537" s="17" t="s">
        <v>11</v>
      </c>
      <c r="E17537" s="17"/>
      <c r="F17537" s="18"/>
      <c r="G17537" s="36" t="str">
        <f>IF(ISNUMBER(F17537),C17537*F17537,"")</f>
        <v/>
      </c>
    </row>
    <row r="17538" spans="1:7" ht="12" customHeight="1" outlineLevel="2" x14ac:dyDescent="0.2">
      <c r="A17538" s="14" t="s">
        <v>34516</v>
      </c>
      <c r="B17538" s="15" t="s">
        <v>34517</v>
      </c>
      <c r="C17538" s="16">
        <f>166.04/(1+B2)</f>
        <v>166.04</v>
      </c>
      <c r="D17538" s="17" t="s">
        <v>11</v>
      </c>
      <c r="E17538" s="17"/>
      <c r="F17538" s="18"/>
      <c r="G17538" s="36" t="str">
        <f>IF(ISNUMBER(F17538),C17538*F17538,"")</f>
        <v/>
      </c>
    </row>
    <row r="17539" spans="1:7" ht="12" customHeight="1" outlineLevel="2" x14ac:dyDescent="0.2">
      <c r="A17539" s="14" t="s">
        <v>34518</v>
      </c>
      <c r="B17539" s="15" t="s">
        <v>34519</v>
      </c>
      <c r="C17539" s="16">
        <f>197.43/(1+B2)</f>
        <v>197.43</v>
      </c>
      <c r="D17539" s="17" t="s">
        <v>14</v>
      </c>
      <c r="E17539" s="17"/>
      <c r="F17539" s="18"/>
      <c r="G17539" s="36" t="str">
        <f>IF(ISNUMBER(F17539),C17539*F17539,"")</f>
        <v/>
      </c>
    </row>
    <row r="17540" spans="1:7" ht="12" customHeight="1" outlineLevel="2" x14ac:dyDescent="0.2">
      <c r="A17540" s="14" t="s">
        <v>34520</v>
      </c>
      <c r="B17540" s="15" t="s">
        <v>34521</v>
      </c>
      <c r="C17540" s="16">
        <f>151.84/(1+B2)</f>
        <v>151.84</v>
      </c>
      <c r="D17540" s="17" t="s">
        <v>11</v>
      </c>
      <c r="E17540" s="17"/>
      <c r="F17540" s="18"/>
      <c r="G17540" s="36" t="str">
        <f>IF(ISNUMBER(F17540),C17540*F17540,"")</f>
        <v/>
      </c>
    </row>
    <row r="17541" spans="1:7" ht="24" customHeight="1" outlineLevel="2" x14ac:dyDescent="0.2">
      <c r="A17541" s="14" t="s">
        <v>34522</v>
      </c>
      <c r="B17541" s="15" t="s">
        <v>34523</v>
      </c>
      <c r="C17541" s="16">
        <f>126.65/(1+B2)</f>
        <v>126.65</v>
      </c>
      <c r="D17541" s="17" t="s">
        <v>11</v>
      </c>
      <c r="E17541" s="17" t="s">
        <v>11</v>
      </c>
      <c r="F17541" s="18"/>
      <c r="G17541" s="36" t="str">
        <f>IF(ISNUMBER(F17541),C17541*F17541,"")</f>
        <v/>
      </c>
    </row>
    <row r="17542" spans="1:7" ht="12" customHeight="1" outlineLevel="2" x14ac:dyDescent="0.2">
      <c r="A17542" s="14" t="s">
        <v>34524</v>
      </c>
      <c r="B17542" s="15" t="s">
        <v>34525</v>
      </c>
      <c r="C17542" s="16">
        <f>211.85/(1+B2)</f>
        <v>211.85</v>
      </c>
      <c r="D17542" s="17" t="s">
        <v>11</v>
      </c>
      <c r="E17542" s="17"/>
      <c r="F17542" s="18"/>
      <c r="G17542" s="36" t="str">
        <f>IF(ISNUMBER(F17542),C17542*F17542,"")</f>
        <v/>
      </c>
    </row>
    <row r="17543" spans="1:7" ht="12" customHeight="1" outlineLevel="2" x14ac:dyDescent="0.2">
      <c r="A17543" s="14" t="s">
        <v>34526</v>
      </c>
      <c r="B17543" s="15" t="s">
        <v>34527</v>
      </c>
      <c r="C17543" s="16">
        <f>148.41/(1+B2)</f>
        <v>148.41</v>
      </c>
      <c r="D17543" s="17" t="s">
        <v>14</v>
      </c>
      <c r="E17543" s="17"/>
      <c r="F17543" s="18"/>
      <c r="G17543" s="36" t="str">
        <f>IF(ISNUMBER(F17543),C17543*F17543,"")</f>
        <v/>
      </c>
    </row>
    <row r="17544" spans="1:7" s="1" customFormat="1" ht="15.95" customHeight="1" outlineLevel="1" x14ac:dyDescent="0.25">
      <c r="A17544" s="11"/>
      <c r="B17544" s="12" t="s">
        <v>34528</v>
      </c>
      <c r="C17544" s="13"/>
      <c r="D17544" s="13"/>
      <c r="E17544" s="13"/>
      <c r="F17544" s="13"/>
      <c r="G17544" s="35"/>
    </row>
    <row r="17545" spans="1:7" ht="12" customHeight="1" outlineLevel="2" x14ac:dyDescent="0.2">
      <c r="A17545" s="14" t="s">
        <v>34529</v>
      </c>
      <c r="B17545" s="15" t="s">
        <v>34530</v>
      </c>
      <c r="C17545" s="16">
        <f>392.4/(1+B2)</f>
        <v>392.4</v>
      </c>
      <c r="D17545" s="17" t="s">
        <v>11</v>
      </c>
      <c r="E17545" s="17" t="s">
        <v>14</v>
      </c>
      <c r="F17545" s="18"/>
      <c r="G17545" s="36" t="str">
        <f>IF(ISNUMBER(F17545),C17545*F17545,"")</f>
        <v/>
      </c>
    </row>
    <row r="17546" spans="1:7" ht="12" customHeight="1" outlineLevel="2" x14ac:dyDescent="0.2">
      <c r="A17546" s="14" t="s">
        <v>34531</v>
      </c>
      <c r="B17546" s="15" t="s">
        <v>34532</v>
      </c>
      <c r="C17546" s="16">
        <f>392.4/(1+B2)</f>
        <v>392.4</v>
      </c>
      <c r="D17546" s="17" t="s">
        <v>11</v>
      </c>
      <c r="E17546" s="17" t="s">
        <v>11</v>
      </c>
      <c r="F17546" s="18"/>
      <c r="G17546" s="36" t="str">
        <f>IF(ISNUMBER(F17546),C17546*F17546,"")</f>
        <v/>
      </c>
    </row>
    <row r="17547" spans="1:7" ht="12" customHeight="1" outlineLevel="2" x14ac:dyDescent="0.2">
      <c r="A17547" s="14" t="s">
        <v>34533</v>
      </c>
      <c r="B17547" s="15" t="s">
        <v>34534</v>
      </c>
      <c r="C17547" s="16">
        <f>671.94/(1+B2)</f>
        <v>671.94</v>
      </c>
      <c r="D17547" s="17" t="s">
        <v>11</v>
      </c>
      <c r="E17547" s="17"/>
      <c r="F17547" s="18"/>
      <c r="G17547" s="36" t="str">
        <f>IF(ISNUMBER(F17547),C17547*F17547,"")</f>
        <v/>
      </c>
    </row>
    <row r="17548" spans="1:7" ht="12" customHeight="1" outlineLevel="2" x14ac:dyDescent="0.2">
      <c r="A17548" s="14" t="s">
        <v>34535</v>
      </c>
      <c r="B17548" s="15" t="s">
        <v>34536</v>
      </c>
      <c r="C17548" s="16">
        <f>671.94/(1+B2)</f>
        <v>671.94</v>
      </c>
      <c r="D17548" s="17" t="s">
        <v>11</v>
      </c>
      <c r="E17548" s="17"/>
      <c r="F17548" s="18"/>
      <c r="G17548" s="36" t="str">
        <f>IF(ISNUMBER(F17548),C17548*F17548,"")</f>
        <v/>
      </c>
    </row>
    <row r="17549" spans="1:7" ht="12" customHeight="1" outlineLevel="2" x14ac:dyDescent="0.2">
      <c r="A17549" s="14" t="s">
        <v>34537</v>
      </c>
      <c r="B17549" s="15" t="s">
        <v>34538</v>
      </c>
      <c r="C17549" s="16">
        <f>324.36/(1+B2)</f>
        <v>324.36</v>
      </c>
      <c r="D17549" s="17" t="s">
        <v>11</v>
      </c>
      <c r="E17549" s="17" t="s">
        <v>11</v>
      </c>
      <c r="F17549" s="18"/>
      <c r="G17549" s="36" t="str">
        <f>IF(ISNUMBER(F17549),C17549*F17549,"")</f>
        <v/>
      </c>
    </row>
    <row r="17550" spans="1:7" ht="12" customHeight="1" outlineLevel="2" x14ac:dyDescent="0.2">
      <c r="A17550" s="14" t="s">
        <v>34539</v>
      </c>
      <c r="B17550" s="15" t="s">
        <v>34540</v>
      </c>
      <c r="C17550" s="16">
        <f>524.16/(1+B2)</f>
        <v>524.16</v>
      </c>
      <c r="D17550" s="17" t="s">
        <v>11</v>
      </c>
      <c r="E17550" s="17"/>
      <c r="F17550" s="18"/>
      <c r="G17550" s="36" t="str">
        <f>IF(ISNUMBER(F17550),C17550*F17550,"")</f>
        <v/>
      </c>
    </row>
    <row r="17551" spans="1:7" ht="12" customHeight="1" outlineLevel="2" x14ac:dyDescent="0.2">
      <c r="A17551" s="14" t="s">
        <v>34541</v>
      </c>
      <c r="B17551" s="15" t="s">
        <v>34542</v>
      </c>
      <c r="C17551" s="16">
        <f>324.36/(1+B2)</f>
        <v>324.36</v>
      </c>
      <c r="D17551" s="17" t="s">
        <v>11</v>
      </c>
      <c r="E17551" s="17" t="s">
        <v>11</v>
      </c>
      <c r="F17551" s="18"/>
      <c r="G17551" s="36" t="str">
        <f>IF(ISNUMBER(F17551),C17551*F17551,"")</f>
        <v/>
      </c>
    </row>
    <row r="17552" spans="1:7" ht="12" customHeight="1" outlineLevel="2" x14ac:dyDescent="0.2">
      <c r="A17552" s="14" t="s">
        <v>34543</v>
      </c>
      <c r="B17552" s="15" t="s">
        <v>34544</v>
      </c>
      <c r="C17552" s="16">
        <f>211.02/(1+B2)</f>
        <v>211.02</v>
      </c>
      <c r="D17552" s="17" t="s">
        <v>11</v>
      </c>
      <c r="E17552" s="17"/>
      <c r="F17552" s="18"/>
      <c r="G17552" s="36" t="str">
        <f>IF(ISNUMBER(F17552),C17552*F17552,"")</f>
        <v/>
      </c>
    </row>
    <row r="17553" spans="1:7" ht="12" customHeight="1" outlineLevel="2" x14ac:dyDescent="0.2">
      <c r="A17553" s="14" t="s">
        <v>34545</v>
      </c>
      <c r="B17553" s="15" t="s">
        <v>34546</v>
      </c>
      <c r="C17553" s="16">
        <f>211.02/(1+B2)</f>
        <v>211.02</v>
      </c>
      <c r="D17553" s="17" t="s">
        <v>11</v>
      </c>
      <c r="E17553" s="17" t="s">
        <v>11</v>
      </c>
      <c r="F17553" s="18"/>
      <c r="G17553" s="36" t="str">
        <f>IF(ISNUMBER(F17553),C17553*F17553,"")</f>
        <v/>
      </c>
    </row>
    <row r="17554" spans="1:7" ht="12" customHeight="1" outlineLevel="2" x14ac:dyDescent="0.2">
      <c r="A17554" s="14" t="s">
        <v>34547</v>
      </c>
      <c r="B17554" s="15" t="s">
        <v>34548</v>
      </c>
      <c r="C17554" s="16">
        <f>290.1/(1+B2)</f>
        <v>290.10000000000002</v>
      </c>
      <c r="D17554" s="17" t="s">
        <v>11</v>
      </c>
      <c r="E17554" s="17" t="s">
        <v>11</v>
      </c>
      <c r="F17554" s="18"/>
      <c r="G17554" s="36" t="str">
        <f>IF(ISNUMBER(F17554),C17554*F17554,"")</f>
        <v/>
      </c>
    </row>
    <row r="17555" spans="1:7" ht="12" customHeight="1" outlineLevel="2" x14ac:dyDescent="0.2">
      <c r="A17555" s="14" t="s">
        <v>34549</v>
      </c>
      <c r="B17555" s="15" t="s">
        <v>34550</v>
      </c>
      <c r="C17555" s="16">
        <f>290.1/(1+B2)</f>
        <v>290.10000000000002</v>
      </c>
      <c r="D17555" s="17" t="s">
        <v>11</v>
      </c>
      <c r="E17555" s="17" t="s">
        <v>11</v>
      </c>
      <c r="F17555" s="18"/>
      <c r="G17555" s="36" t="str">
        <f>IF(ISNUMBER(F17555),C17555*F17555,"")</f>
        <v/>
      </c>
    </row>
    <row r="17556" spans="1:7" ht="12" customHeight="1" outlineLevel="2" x14ac:dyDescent="0.2">
      <c r="A17556" s="14" t="s">
        <v>34551</v>
      </c>
      <c r="B17556" s="15" t="s">
        <v>34552</v>
      </c>
      <c r="C17556" s="16">
        <f>341.34/(1+B2)</f>
        <v>341.34</v>
      </c>
      <c r="D17556" s="17" t="s">
        <v>11</v>
      </c>
      <c r="E17556" s="17" t="s">
        <v>14</v>
      </c>
      <c r="F17556" s="18"/>
      <c r="G17556" s="36" t="str">
        <f>IF(ISNUMBER(F17556),C17556*F17556,"")</f>
        <v/>
      </c>
    </row>
    <row r="17557" spans="1:7" ht="12" customHeight="1" outlineLevel="2" x14ac:dyDescent="0.2">
      <c r="A17557" s="14" t="s">
        <v>34553</v>
      </c>
      <c r="B17557" s="15" t="s">
        <v>34554</v>
      </c>
      <c r="C17557" s="16">
        <f>341.34/(1+B2)</f>
        <v>341.34</v>
      </c>
      <c r="D17557" s="17" t="s">
        <v>11</v>
      </c>
      <c r="E17557" s="17" t="s">
        <v>11</v>
      </c>
      <c r="F17557" s="18"/>
      <c r="G17557" s="36" t="str">
        <f>IF(ISNUMBER(F17557),C17557*F17557,"")</f>
        <v/>
      </c>
    </row>
    <row r="17558" spans="1:7" ht="24" customHeight="1" outlineLevel="2" x14ac:dyDescent="0.2">
      <c r="A17558" s="14" t="s">
        <v>34555</v>
      </c>
      <c r="B17558" s="15" t="s">
        <v>34556</v>
      </c>
      <c r="C17558" s="16">
        <f>102.8/(1+B2)</f>
        <v>102.8</v>
      </c>
      <c r="D17558" s="17" t="s">
        <v>14</v>
      </c>
      <c r="E17558" s="17"/>
      <c r="F17558" s="18"/>
      <c r="G17558" s="36" t="str">
        <f>IF(ISNUMBER(F17558),C17558*F17558,"")</f>
        <v/>
      </c>
    </row>
    <row r="17559" spans="1:7" ht="12" customHeight="1" outlineLevel="2" x14ac:dyDescent="0.2">
      <c r="A17559" s="14" t="s">
        <v>34557</v>
      </c>
      <c r="B17559" s="15" t="s">
        <v>34558</v>
      </c>
      <c r="C17559" s="16">
        <f>78.19/(1+B2)</f>
        <v>78.19</v>
      </c>
      <c r="D17559" s="17" t="s">
        <v>11</v>
      </c>
      <c r="E17559" s="17"/>
      <c r="F17559" s="18"/>
      <c r="G17559" s="36" t="str">
        <f>IF(ISNUMBER(F17559),C17559*F17559,"")</f>
        <v/>
      </c>
    </row>
    <row r="17560" spans="1:7" ht="12" customHeight="1" outlineLevel="2" x14ac:dyDescent="0.2">
      <c r="A17560" s="14" t="s">
        <v>34559</v>
      </c>
      <c r="B17560" s="15" t="s">
        <v>34560</v>
      </c>
      <c r="C17560" s="16">
        <f>106.7/(1+B2)</f>
        <v>106.7</v>
      </c>
      <c r="D17560" s="17" t="s">
        <v>11</v>
      </c>
      <c r="E17560" s="17"/>
      <c r="F17560" s="18"/>
      <c r="G17560" s="36" t="str">
        <f>IF(ISNUMBER(F17560),C17560*F17560,"")</f>
        <v/>
      </c>
    </row>
    <row r="17561" spans="1:7" ht="12" customHeight="1" outlineLevel="2" x14ac:dyDescent="0.2">
      <c r="A17561" s="14" t="s">
        <v>34561</v>
      </c>
      <c r="B17561" s="15" t="s">
        <v>34562</v>
      </c>
      <c r="C17561" s="16">
        <f>119.28/(1+B2)</f>
        <v>119.28</v>
      </c>
      <c r="D17561" s="17" t="s">
        <v>11</v>
      </c>
      <c r="E17561" s="17" t="s">
        <v>11</v>
      </c>
      <c r="F17561" s="18"/>
      <c r="G17561" s="36" t="str">
        <f>IF(ISNUMBER(F17561),C17561*F17561,"")</f>
        <v/>
      </c>
    </row>
    <row r="17562" spans="1:7" ht="12" customHeight="1" outlineLevel="2" x14ac:dyDescent="0.2">
      <c r="A17562" s="14" t="s">
        <v>34563</v>
      </c>
      <c r="B17562" s="15" t="s">
        <v>34564</v>
      </c>
      <c r="C17562" s="16">
        <f>119.28/(1+B2)</f>
        <v>119.28</v>
      </c>
      <c r="D17562" s="17" t="s">
        <v>11</v>
      </c>
      <c r="E17562" s="17"/>
      <c r="F17562" s="18"/>
      <c r="G17562" s="36" t="str">
        <f>IF(ISNUMBER(F17562),C17562*F17562,"")</f>
        <v/>
      </c>
    </row>
    <row r="17563" spans="1:7" ht="12" customHeight="1" outlineLevel="2" x14ac:dyDescent="0.2">
      <c r="A17563" s="14" t="s">
        <v>34565</v>
      </c>
      <c r="B17563" s="15" t="s">
        <v>34566</v>
      </c>
      <c r="C17563" s="16">
        <f>84.9/(1+B2)</f>
        <v>84.9</v>
      </c>
      <c r="D17563" s="17" t="s">
        <v>11</v>
      </c>
      <c r="E17563" s="17"/>
      <c r="F17563" s="18"/>
      <c r="G17563" s="36" t="str">
        <f>IF(ISNUMBER(F17563),C17563*F17563,"")</f>
        <v/>
      </c>
    </row>
    <row r="17564" spans="1:7" ht="12" customHeight="1" outlineLevel="2" x14ac:dyDescent="0.2">
      <c r="A17564" s="14" t="s">
        <v>34567</v>
      </c>
      <c r="B17564" s="15" t="s">
        <v>34568</v>
      </c>
      <c r="C17564" s="16">
        <f>141.58/(1+B2)</f>
        <v>141.58000000000001</v>
      </c>
      <c r="D17564" s="17" t="s">
        <v>14</v>
      </c>
      <c r="E17564" s="17"/>
      <c r="F17564" s="18"/>
      <c r="G17564" s="36" t="str">
        <f>IF(ISNUMBER(F17564),C17564*F17564,"")</f>
        <v/>
      </c>
    </row>
    <row r="17565" spans="1:7" ht="12" customHeight="1" outlineLevel="2" x14ac:dyDescent="0.2">
      <c r="A17565" s="14" t="s">
        <v>34569</v>
      </c>
      <c r="B17565" s="15" t="s">
        <v>34570</v>
      </c>
      <c r="C17565" s="16">
        <f>179.45/(1+B2)</f>
        <v>179.45</v>
      </c>
      <c r="D17565" s="17" t="s">
        <v>11</v>
      </c>
      <c r="E17565" s="17"/>
      <c r="F17565" s="18"/>
      <c r="G17565" s="36" t="str">
        <f>IF(ISNUMBER(F17565),C17565*F17565,"")</f>
        <v/>
      </c>
    </row>
    <row r="17566" spans="1:7" ht="12" customHeight="1" outlineLevel="2" x14ac:dyDescent="0.2">
      <c r="A17566" s="14" t="s">
        <v>34571</v>
      </c>
      <c r="B17566" s="15" t="s">
        <v>34572</v>
      </c>
      <c r="C17566" s="16">
        <f>240.04/(1+B2)</f>
        <v>240.04</v>
      </c>
      <c r="D17566" s="17" t="s">
        <v>11</v>
      </c>
      <c r="E17566" s="17"/>
      <c r="F17566" s="18"/>
      <c r="G17566" s="36" t="str">
        <f>IF(ISNUMBER(F17566),C17566*F17566,"")</f>
        <v/>
      </c>
    </row>
    <row r="17567" spans="1:7" ht="12" customHeight="1" outlineLevel="2" x14ac:dyDescent="0.2">
      <c r="A17567" s="14" t="s">
        <v>34573</v>
      </c>
      <c r="B17567" s="15" t="s">
        <v>34574</v>
      </c>
      <c r="C17567" s="16">
        <f>556.76/(1+B2)</f>
        <v>556.76</v>
      </c>
      <c r="D17567" s="17" t="s">
        <v>11</v>
      </c>
      <c r="E17567" s="17"/>
      <c r="F17567" s="18"/>
      <c r="G17567" s="36" t="str">
        <f>IF(ISNUMBER(F17567),C17567*F17567,"")</f>
        <v/>
      </c>
    </row>
    <row r="17568" spans="1:7" ht="12" customHeight="1" outlineLevel="2" x14ac:dyDescent="0.2">
      <c r="A17568" s="14" t="s">
        <v>34575</v>
      </c>
      <c r="B17568" s="15" t="s">
        <v>34576</v>
      </c>
      <c r="C17568" s="16">
        <f>556.76/(1+B2)</f>
        <v>556.76</v>
      </c>
      <c r="D17568" s="17" t="s">
        <v>11</v>
      </c>
      <c r="E17568" s="17"/>
      <c r="F17568" s="18"/>
      <c r="G17568" s="36" t="str">
        <f>IF(ISNUMBER(F17568),C17568*F17568,"")</f>
        <v/>
      </c>
    </row>
    <row r="17569" spans="1:7" ht="24" customHeight="1" outlineLevel="2" x14ac:dyDescent="0.2">
      <c r="A17569" s="14" t="s">
        <v>34577</v>
      </c>
      <c r="B17569" s="15" t="s">
        <v>34578</v>
      </c>
      <c r="C17569" s="16">
        <f>590.48/(1+B2)</f>
        <v>590.48</v>
      </c>
      <c r="D17569" s="17" t="s">
        <v>11</v>
      </c>
      <c r="E17569" s="17"/>
      <c r="F17569" s="18"/>
      <c r="G17569" s="36" t="str">
        <f>IF(ISNUMBER(F17569),C17569*F17569,"")</f>
        <v/>
      </c>
    </row>
    <row r="17570" spans="1:7" ht="24" customHeight="1" outlineLevel="2" x14ac:dyDescent="0.2">
      <c r="A17570" s="14" t="s">
        <v>34579</v>
      </c>
      <c r="B17570" s="15" t="s">
        <v>34580</v>
      </c>
      <c r="C17570" s="16">
        <f>590.48/(1+B2)</f>
        <v>590.48</v>
      </c>
      <c r="D17570" s="17" t="s">
        <v>11</v>
      </c>
      <c r="E17570" s="17"/>
      <c r="F17570" s="18"/>
      <c r="G17570" s="36" t="str">
        <f>IF(ISNUMBER(F17570),C17570*F17570,"")</f>
        <v/>
      </c>
    </row>
    <row r="17571" spans="1:7" ht="12" customHeight="1" outlineLevel="2" x14ac:dyDescent="0.2">
      <c r="A17571" s="14" t="s">
        <v>34581</v>
      </c>
      <c r="B17571" s="15" t="s">
        <v>34582</v>
      </c>
      <c r="C17571" s="16">
        <f>107.65/(1+B2)</f>
        <v>107.65</v>
      </c>
      <c r="D17571" s="17" t="s">
        <v>14</v>
      </c>
      <c r="E17571" s="17"/>
      <c r="F17571" s="18"/>
      <c r="G17571" s="36" t="str">
        <f>IF(ISNUMBER(F17571),C17571*F17571,"")</f>
        <v/>
      </c>
    </row>
    <row r="17572" spans="1:7" ht="12" customHeight="1" outlineLevel="2" x14ac:dyDescent="0.2">
      <c r="A17572" s="14" t="s">
        <v>34583</v>
      </c>
      <c r="B17572" s="15" t="s">
        <v>34584</v>
      </c>
      <c r="C17572" s="16">
        <f>156.96/(1+B2)</f>
        <v>156.96</v>
      </c>
      <c r="D17572" s="17" t="s">
        <v>14</v>
      </c>
      <c r="E17572" s="17"/>
      <c r="F17572" s="18"/>
      <c r="G17572" s="36" t="str">
        <f>IF(ISNUMBER(F17572),C17572*F17572,"")</f>
        <v/>
      </c>
    </row>
    <row r="17573" spans="1:7" ht="12" customHeight="1" outlineLevel="2" x14ac:dyDescent="0.2">
      <c r="A17573" s="14" t="s">
        <v>34585</v>
      </c>
      <c r="B17573" s="15" t="s">
        <v>34586</v>
      </c>
      <c r="C17573" s="16">
        <f>167.15/(1+B2)</f>
        <v>167.15</v>
      </c>
      <c r="D17573" s="17" t="s">
        <v>14</v>
      </c>
      <c r="E17573" s="17"/>
      <c r="F17573" s="18"/>
      <c r="G17573" s="36" t="str">
        <f>IF(ISNUMBER(F17573),C17573*F17573,"")</f>
        <v/>
      </c>
    </row>
    <row r="17574" spans="1:7" ht="12" customHeight="1" outlineLevel="2" x14ac:dyDescent="0.2">
      <c r="A17574" s="14" t="s">
        <v>34587</v>
      </c>
      <c r="B17574" s="15" t="s">
        <v>34588</v>
      </c>
      <c r="C17574" s="16">
        <f>117.06/(1+B2)</f>
        <v>117.06</v>
      </c>
      <c r="D17574" s="17" t="s">
        <v>14</v>
      </c>
      <c r="E17574" s="17"/>
      <c r="F17574" s="18"/>
      <c r="G17574" s="36" t="str">
        <f>IF(ISNUMBER(F17574),C17574*F17574,"")</f>
        <v/>
      </c>
    </row>
    <row r="17575" spans="1:7" ht="12" customHeight="1" outlineLevel="2" x14ac:dyDescent="0.2">
      <c r="A17575" s="14" t="s">
        <v>34589</v>
      </c>
      <c r="B17575" s="15" t="s">
        <v>34590</v>
      </c>
      <c r="C17575" s="16">
        <f>118.6/(1+B2)</f>
        <v>118.6</v>
      </c>
      <c r="D17575" s="17" t="s">
        <v>14</v>
      </c>
      <c r="E17575" s="17"/>
      <c r="F17575" s="18"/>
      <c r="G17575" s="36" t="str">
        <f>IF(ISNUMBER(F17575),C17575*F17575,"")</f>
        <v/>
      </c>
    </row>
    <row r="17576" spans="1:7" ht="12" customHeight="1" outlineLevel="2" x14ac:dyDescent="0.2">
      <c r="A17576" s="14" t="s">
        <v>34591</v>
      </c>
      <c r="B17576" s="15" t="s">
        <v>34592</v>
      </c>
      <c r="C17576" s="16">
        <f>154.4/(1+B2)</f>
        <v>154.4</v>
      </c>
      <c r="D17576" s="17" t="s">
        <v>14</v>
      </c>
      <c r="E17576" s="17"/>
      <c r="F17576" s="18"/>
      <c r="G17576" s="36" t="str">
        <f>IF(ISNUMBER(F17576),C17576*F17576,"")</f>
        <v/>
      </c>
    </row>
    <row r="17577" spans="1:7" s="1" customFormat="1" ht="15.95" customHeight="1" outlineLevel="1" x14ac:dyDescent="0.25">
      <c r="A17577" s="11"/>
      <c r="B17577" s="12" t="s">
        <v>34593</v>
      </c>
      <c r="C17577" s="13"/>
      <c r="D17577" s="13"/>
      <c r="E17577" s="13"/>
      <c r="F17577" s="13"/>
      <c r="G17577" s="35"/>
    </row>
    <row r="17578" spans="1:7" ht="12" customHeight="1" outlineLevel="2" x14ac:dyDescent="0.2">
      <c r="A17578" s="14" t="s">
        <v>34594</v>
      </c>
      <c r="B17578" s="15" t="s">
        <v>34595</v>
      </c>
      <c r="C17578" s="16">
        <f>62.81/(1+B2)</f>
        <v>62.81</v>
      </c>
      <c r="D17578" s="17" t="s">
        <v>11</v>
      </c>
      <c r="E17578" s="17" t="s">
        <v>14</v>
      </c>
      <c r="F17578" s="18"/>
      <c r="G17578" s="36" t="str">
        <f>IF(ISNUMBER(F17578),C17578*F17578,"")</f>
        <v/>
      </c>
    </row>
    <row r="17579" spans="1:7" ht="12" customHeight="1" outlineLevel="2" x14ac:dyDescent="0.2">
      <c r="A17579" s="14" t="s">
        <v>34596</v>
      </c>
      <c r="B17579" s="15" t="s">
        <v>34597</v>
      </c>
      <c r="C17579" s="16">
        <f>62.23/(1+B2)</f>
        <v>62.23</v>
      </c>
      <c r="D17579" s="17" t="s">
        <v>53</v>
      </c>
      <c r="E17579" s="17" t="s">
        <v>11</v>
      </c>
      <c r="F17579" s="18"/>
      <c r="G17579" s="36" t="str">
        <f>IF(ISNUMBER(F17579),C17579*F17579,"")</f>
        <v/>
      </c>
    </row>
    <row r="17580" spans="1:7" ht="12" customHeight="1" outlineLevel="2" x14ac:dyDescent="0.2">
      <c r="A17580" s="14" t="s">
        <v>34598</v>
      </c>
      <c r="B17580" s="15" t="s">
        <v>34599</v>
      </c>
      <c r="C17580" s="16">
        <f>58.25/(1+B2)</f>
        <v>58.25</v>
      </c>
      <c r="D17580" s="17" t="s">
        <v>11</v>
      </c>
      <c r="E17580" s="17"/>
      <c r="F17580" s="18"/>
      <c r="G17580" s="36" t="str">
        <f>IF(ISNUMBER(F17580),C17580*F17580,"")</f>
        <v/>
      </c>
    </row>
    <row r="17581" spans="1:7" ht="24" customHeight="1" outlineLevel="2" x14ac:dyDescent="0.2">
      <c r="A17581" s="14" t="s">
        <v>34600</v>
      </c>
      <c r="B17581" s="15" t="s">
        <v>34601</v>
      </c>
      <c r="C17581" s="16">
        <f>76.92/(1+B2)</f>
        <v>76.92</v>
      </c>
      <c r="D17581" s="17" t="s">
        <v>11</v>
      </c>
      <c r="E17581" s="17" t="s">
        <v>14</v>
      </c>
      <c r="F17581" s="18"/>
      <c r="G17581" s="36" t="str">
        <f>IF(ISNUMBER(F17581),C17581*F17581,"")</f>
        <v/>
      </c>
    </row>
    <row r="17582" spans="1:7" ht="12" customHeight="1" outlineLevel="2" x14ac:dyDescent="0.2">
      <c r="A17582" s="14" t="s">
        <v>34602</v>
      </c>
      <c r="B17582" s="15" t="s">
        <v>34603</v>
      </c>
      <c r="C17582" s="16">
        <f>50.1/(1+B2)</f>
        <v>50.1</v>
      </c>
      <c r="D17582" s="17" t="s">
        <v>11</v>
      </c>
      <c r="E17582" s="17" t="s">
        <v>53</v>
      </c>
      <c r="F17582" s="18"/>
      <c r="G17582" s="36" t="str">
        <f>IF(ISNUMBER(F17582),C17582*F17582,"")</f>
        <v/>
      </c>
    </row>
    <row r="17583" spans="1:7" ht="12" customHeight="1" outlineLevel="2" x14ac:dyDescent="0.2">
      <c r="A17583" s="14" t="s">
        <v>34604</v>
      </c>
      <c r="B17583" s="15" t="s">
        <v>34605</v>
      </c>
      <c r="C17583" s="16">
        <f>53.71/(1+B2)</f>
        <v>53.71</v>
      </c>
      <c r="D17583" s="17" t="s">
        <v>11</v>
      </c>
      <c r="E17583" s="17" t="s">
        <v>53</v>
      </c>
      <c r="F17583" s="18"/>
      <c r="G17583" s="36" t="str">
        <f>IF(ISNUMBER(F17583),C17583*F17583,"")</f>
        <v/>
      </c>
    </row>
    <row r="17584" spans="1:7" ht="12" customHeight="1" outlineLevel="2" x14ac:dyDescent="0.2">
      <c r="A17584" s="14" t="s">
        <v>34606</v>
      </c>
      <c r="B17584" s="15" t="s">
        <v>34607</v>
      </c>
      <c r="C17584" s="16">
        <f>53.71/(1+B2)</f>
        <v>53.71</v>
      </c>
      <c r="D17584" s="17" t="s">
        <v>14</v>
      </c>
      <c r="E17584" s="17" t="s">
        <v>14</v>
      </c>
      <c r="F17584" s="18"/>
      <c r="G17584" s="36" t="str">
        <f>IF(ISNUMBER(F17584),C17584*F17584,"")</f>
        <v/>
      </c>
    </row>
    <row r="17585" spans="1:7" ht="12" customHeight="1" outlineLevel="2" x14ac:dyDescent="0.2">
      <c r="A17585" s="14" t="s">
        <v>34608</v>
      </c>
      <c r="B17585" s="15" t="s">
        <v>34609</v>
      </c>
      <c r="C17585" s="16">
        <f>91.2/(1+B2)</f>
        <v>91.2</v>
      </c>
      <c r="D17585" s="17" t="s">
        <v>53</v>
      </c>
      <c r="E17585" s="17" t="s">
        <v>11</v>
      </c>
      <c r="F17585" s="18"/>
      <c r="G17585" s="36" t="str">
        <f>IF(ISNUMBER(F17585),C17585*F17585,"")</f>
        <v/>
      </c>
    </row>
    <row r="17586" spans="1:7" ht="12" customHeight="1" outlineLevel="2" x14ac:dyDescent="0.2">
      <c r="A17586" s="14" t="s">
        <v>34610</v>
      </c>
      <c r="B17586" s="15" t="s">
        <v>34611</v>
      </c>
      <c r="C17586" s="16">
        <f>63.6/(1+B2)</f>
        <v>63.6</v>
      </c>
      <c r="D17586" s="17" t="s">
        <v>14</v>
      </c>
      <c r="E17586" s="17"/>
      <c r="F17586" s="18"/>
      <c r="G17586" s="36" t="str">
        <f>IF(ISNUMBER(F17586),C17586*F17586,"")</f>
        <v/>
      </c>
    </row>
    <row r="17587" spans="1:7" ht="12" customHeight="1" outlineLevel="2" x14ac:dyDescent="0.2">
      <c r="A17587" s="14" t="s">
        <v>34612</v>
      </c>
      <c r="B17587" s="15" t="s">
        <v>34613</v>
      </c>
      <c r="C17587" s="16">
        <f>63.6/(1+B2)</f>
        <v>63.6</v>
      </c>
      <c r="D17587" s="17" t="s">
        <v>14</v>
      </c>
      <c r="E17587" s="17" t="s">
        <v>11</v>
      </c>
      <c r="F17587" s="18"/>
      <c r="G17587" s="36" t="str">
        <f>IF(ISNUMBER(F17587),C17587*F17587,"")</f>
        <v/>
      </c>
    </row>
    <row r="17588" spans="1:7" ht="12" customHeight="1" outlineLevel="2" x14ac:dyDescent="0.2">
      <c r="A17588" s="14" t="s">
        <v>34614</v>
      </c>
      <c r="B17588" s="15" t="s">
        <v>34615</v>
      </c>
      <c r="C17588" s="16">
        <f>45.54/(1+B2)</f>
        <v>45.54</v>
      </c>
      <c r="D17588" s="17" t="s">
        <v>53</v>
      </c>
      <c r="E17588" s="17"/>
      <c r="F17588" s="18"/>
      <c r="G17588" s="36" t="str">
        <f>IF(ISNUMBER(F17588),C17588*F17588,"")</f>
        <v/>
      </c>
    </row>
    <row r="17589" spans="1:7" ht="12" customHeight="1" outlineLevel="2" x14ac:dyDescent="0.2">
      <c r="A17589" s="14" t="s">
        <v>34616</v>
      </c>
      <c r="B17589" s="15" t="s">
        <v>34617</v>
      </c>
      <c r="C17589" s="16">
        <f>56.59/(1+B2)</f>
        <v>56.59</v>
      </c>
      <c r="D17589" s="17" t="s">
        <v>11</v>
      </c>
      <c r="E17589" s="17"/>
      <c r="F17589" s="18"/>
      <c r="G17589" s="36" t="str">
        <f>IF(ISNUMBER(F17589),C17589*F17589,"")</f>
        <v/>
      </c>
    </row>
    <row r="17590" spans="1:7" ht="12" customHeight="1" outlineLevel="2" x14ac:dyDescent="0.2">
      <c r="A17590" s="14" t="s">
        <v>34618</v>
      </c>
      <c r="B17590" s="15" t="s">
        <v>34619</v>
      </c>
      <c r="C17590" s="16">
        <f>59.89/(1+B2)</f>
        <v>59.89</v>
      </c>
      <c r="D17590" s="17" t="s">
        <v>11</v>
      </c>
      <c r="E17590" s="17"/>
      <c r="F17590" s="18"/>
      <c r="G17590" s="36" t="str">
        <f>IF(ISNUMBER(F17590),C17590*F17590,"")</f>
        <v/>
      </c>
    </row>
    <row r="17591" spans="1:7" ht="12" customHeight="1" outlineLevel="2" x14ac:dyDescent="0.2">
      <c r="A17591" s="14" t="s">
        <v>34620</v>
      </c>
      <c r="B17591" s="15" t="s">
        <v>34621</v>
      </c>
      <c r="C17591" s="16">
        <f>108.18/(1+B2)</f>
        <v>108.18</v>
      </c>
      <c r="D17591" s="17" t="s">
        <v>14</v>
      </c>
      <c r="E17591" s="17" t="s">
        <v>11</v>
      </c>
      <c r="F17591" s="18"/>
      <c r="G17591" s="36" t="str">
        <f>IF(ISNUMBER(F17591),C17591*F17591,"")</f>
        <v/>
      </c>
    </row>
    <row r="17592" spans="1:7" ht="12" customHeight="1" outlineLevel="2" x14ac:dyDescent="0.2">
      <c r="A17592" s="14" t="s">
        <v>34622</v>
      </c>
      <c r="B17592" s="15" t="s">
        <v>34623</v>
      </c>
      <c r="C17592" s="16">
        <f>67.85/(1+B2)</f>
        <v>67.849999999999994</v>
      </c>
      <c r="D17592" s="17" t="s">
        <v>11</v>
      </c>
      <c r="E17592" s="17" t="s">
        <v>106</v>
      </c>
      <c r="F17592" s="18"/>
      <c r="G17592" s="36" t="str">
        <f>IF(ISNUMBER(F17592),C17592*F17592,"")</f>
        <v/>
      </c>
    </row>
    <row r="17593" spans="1:7" ht="12" customHeight="1" outlineLevel="2" x14ac:dyDescent="0.2">
      <c r="A17593" s="14" t="s">
        <v>34624</v>
      </c>
      <c r="B17593" s="15" t="s">
        <v>34625</v>
      </c>
      <c r="C17593" s="16">
        <f>48.59/(1+B2)</f>
        <v>48.59</v>
      </c>
      <c r="D17593" s="17" t="s">
        <v>53</v>
      </c>
      <c r="E17593" s="17" t="s">
        <v>53</v>
      </c>
      <c r="F17593" s="18"/>
      <c r="G17593" s="36" t="str">
        <f>IF(ISNUMBER(F17593),C17593*F17593,"")</f>
        <v/>
      </c>
    </row>
    <row r="17594" spans="1:7" ht="12" customHeight="1" outlineLevel="2" x14ac:dyDescent="0.2">
      <c r="A17594" s="14" t="s">
        <v>34626</v>
      </c>
      <c r="B17594" s="15" t="s">
        <v>34627</v>
      </c>
      <c r="C17594" s="16">
        <f>74.95/(1+B2)</f>
        <v>74.95</v>
      </c>
      <c r="D17594" s="17" t="s">
        <v>11</v>
      </c>
      <c r="E17594" s="17" t="s">
        <v>11</v>
      </c>
      <c r="F17594" s="18"/>
      <c r="G17594" s="36" t="str">
        <f>IF(ISNUMBER(F17594),C17594*F17594,"")</f>
        <v/>
      </c>
    </row>
    <row r="17595" spans="1:7" ht="12" customHeight="1" outlineLevel="2" x14ac:dyDescent="0.2">
      <c r="A17595" s="14" t="s">
        <v>34628</v>
      </c>
      <c r="B17595" s="15" t="s">
        <v>34629</v>
      </c>
      <c r="C17595" s="16">
        <f>74.91/(1+B2)</f>
        <v>74.91</v>
      </c>
      <c r="D17595" s="17" t="s">
        <v>11</v>
      </c>
      <c r="E17595" s="17" t="s">
        <v>11</v>
      </c>
      <c r="F17595" s="18"/>
      <c r="G17595" s="36" t="str">
        <f>IF(ISNUMBER(F17595),C17595*F17595,"")</f>
        <v/>
      </c>
    </row>
    <row r="17596" spans="1:7" ht="12" customHeight="1" outlineLevel="2" x14ac:dyDescent="0.2">
      <c r="A17596" s="14" t="s">
        <v>34630</v>
      </c>
      <c r="B17596" s="15" t="s">
        <v>34631</v>
      </c>
      <c r="C17596" s="16">
        <f>60.26/(1+B2)</f>
        <v>60.26</v>
      </c>
      <c r="D17596" s="17" t="s">
        <v>11</v>
      </c>
      <c r="E17596" s="17" t="s">
        <v>14</v>
      </c>
      <c r="F17596" s="18"/>
      <c r="G17596" s="36" t="str">
        <f>IF(ISNUMBER(F17596),C17596*F17596,"")</f>
        <v/>
      </c>
    </row>
    <row r="17597" spans="1:7" ht="12" customHeight="1" outlineLevel="2" x14ac:dyDescent="0.2">
      <c r="A17597" s="14" t="s">
        <v>34632</v>
      </c>
      <c r="B17597" s="15" t="s">
        <v>34633</v>
      </c>
      <c r="C17597" s="16">
        <f>172.13/(1+B2)</f>
        <v>172.13</v>
      </c>
      <c r="D17597" s="17" t="s">
        <v>11</v>
      </c>
      <c r="E17597" s="17" t="s">
        <v>11</v>
      </c>
      <c r="F17597" s="18"/>
      <c r="G17597" s="36" t="str">
        <f>IF(ISNUMBER(F17597),C17597*F17597,"")</f>
        <v/>
      </c>
    </row>
    <row r="17598" spans="1:7" ht="12" customHeight="1" outlineLevel="2" x14ac:dyDescent="0.2">
      <c r="A17598" s="14" t="s">
        <v>34634</v>
      </c>
      <c r="B17598" s="15" t="s">
        <v>34635</v>
      </c>
      <c r="C17598" s="16">
        <f>198.36/(1+B2)</f>
        <v>198.36</v>
      </c>
      <c r="D17598" s="17" t="s">
        <v>11</v>
      </c>
      <c r="E17598" s="17"/>
      <c r="F17598" s="18"/>
      <c r="G17598" s="36" t="str">
        <f>IF(ISNUMBER(F17598),C17598*F17598,"")</f>
        <v/>
      </c>
    </row>
    <row r="17599" spans="1:7" ht="12" customHeight="1" outlineLevel="2" x14ac:dyDescent="0.2">
      <c r="A17599" s="14" t="s">
        <v>34636</v>
      </c>
      <c r="B17599" s="15" t="s">
        <v>34637</v>
      </c>
      <c r="C17599" s="16">
        <f>89.22/(1+B2)</f>
        <v>89.22</v>
      </c>
      <c r="D17599" s="17" t="s">
        <v>11</v>
      </c>
      <c r="E17599" s="17"/>
      <c r="F17599" s="18"/>
      <c r="G17599" s="36" t="str">
        <f>IF(ISNUMBER(F17599),C17599*F17599,"")</f>
        <v/>
      </c>
    </row>
    <row r="17600" spans="1:7" ht="12" customHeight="1" outlineLevel="2" x14ac:dyDescent="0.2">
      <c r="A17600" s="14" t="s">
        <v>34638</v>
      </c>
      <c r="B17600" s="15" t="s">
        <v>34639</v>
      </c>
      <c r="C17600" s="16">
        <f>172.24/(1+B2)</f>
        <v>172.24</v>
      </c>
      <c r="D17600" s="17" t="s">
        <v>11</v>
      </c>
      <c r="E17600" s="17" t="s">
        <v>53</v>
      </c>
      <c r="F17600" s="18"/>
      <c r="G17600" s="36" t="str">
        <f>IF(ISNUMBER(F17600),C17600*F17600,"")</f>
        <v/>
      </c>
    </row>
    <row r="17601" spans="1:7" ht="12" customHeight="1" outlineLevel="2" x14ac:dyDescent="0.2">
      <c r="A17601" s="14" t="s">
        <v>34640</v>
      </c>
      <c r="B17601" s="15" t="s">
        <v>34641</v>
      </c>
      <c r="C17601" s="16">
        <f>172.24/(1+B2)</f>
        <v>172.24</v>
      </c>
      <c r="D17601" s="17" t="s">
        <v>53</v>
      </c>
      <c r="E17601" s="17" t="s">
        <v>11</v>
      </c>
      <c r="F17601" s="18"/>
      <c r="G17601" s="36" t="str">
        <f>IF(ISNUMBER(F17601),C17601*F17601,"")</f>
        <v/>
      </c>
    </row>
    <row r="17602" spans="1:7" ht="12" customHeight="1" outlineLevel="2" x14ac:dyDescent="0.2">
      <c r="A17602" s="14" t="s">
        <v>34642</v>
      </c>
      <c r="B17602" s="15" t="s">
        <v>34643</v>
      </c>
      <c r="C17602" s="16">
        <f>172.24/(1+B2)</f>
        <v>172.24</v>
      </c>
      <c r="D17602" s="17" t="s">
        <v>14</v>
      </c>
      <c r="E17602" s="17" t="s">
        <v>14</v>
      </c>
      <c r="F17602" s="18"/>
      <c r="G17602" s="36" t="str">
        <f>IF(ISNUMBER(F17602),C17602*F17602,"")</f>
        <v/>
      </c>
    </row>
    <row r="17603" spans="1:7" ht="12" customHeight="1" outlineLevel="2" x14ac:dyDescent="0.2">
      <c r="A17603" s="14" t="s">
        <v>34644</v>
      </c>
      <c r="B17603" s="15" t="s">
        <v>34645</v>
      </c>
      <c r="C17603" s="16">
        <f>225.93/(1+B2)</f>
        <v>225.93</v>
      </c>
      <c r="D17603" s="17" t="s">
        <v>11</v>
      </c>
      <c r="E17603" s="17" t="s">
        <v>11</v>
      </c>
      <c r="F17603" s="18"/>
      <c r="G17603" s="36" t="str">
        <f>IF(ISNUMBER(F17603),C17603*F17603,"")</f>
        <v/>
      </c>
    </row>
    <row r="17604" spans="1:7" ht="12" customHeight="1" outlineLevel="2" x14ac:dyDescent="0.2">
      <c r="A17604" s="14" t="s">
        <v>34646</v>
      </c>
      <c r="B17604" s="15" t="s">
        <v>34647</v>
      </c>
      <c r="C17604" s="16">
        <f>225.93/(1+B2)</f>
        <v>225.93</v>
      </c>
      <c r="D17604" s="17" t="s">
        <v>14</v>
      </c>
      <c r="E17604" s="17"/>
      <c r="F17604" s="18"/>
      <c r="G17604" s="36" t="str">
        <f>IF(ISNUMBER(F17604),C17604*F17604,"")</f>
        <v/>
      </c>
    </row>
    <row r="17605" spans="1:7" ht="12" customHeight="1" outlineLevel="2" x14ac:dyDescent="0.2">
      <c r="A17605" s="14" t="s">
        <v>34648</v>
      </c>
      <c r="B17605" s="15" t="s">
        <v>34649</v>
      </c>
      <c r="C17605" s="16">
        <f>44.4/(1+B2)</f>
        <v>44.4</v>
      </c>
      <c r="D17605" s="17" t="s">
        <v>14</v>
      </c>
      <c r="E17605" s="17"/>
      <c r="F17605" s="18"/>
      <c r="G17605" s="36" t="str">
        <f>IF(ISNUMBER(F17605),C17605*F17605,"")</f>
        <v/>
      </c>
    </row>
    <row r="17606" spans="1:7" ht="12" customHeight="1" outlineLevel="2" x14ac:dyDescent="0.2">
      <c r="A17606" s="14" t="s">
        <v>34650</v>
      </c>
      <c r="B17606" s="15" t="s">
        <v>34651</v>
      </c>
      <c r="C17606" s="16">
        <f>58.92/(1+B2)</f>
        <v>58.92</v>
      </c>
      <c r="D17606" s="17" t="s">
        <v>11</v>
      </c>
      <c r="E17606" s="17"/>
      <c r="F17606" s="18"/>
      <c r="G17606" s="36" t="str">
        <f>IF(ISNUMBER(F17606),C17606*F17606,"")</f>
        <v/>
      </c>
    </row>
    <row r="17607" spans="1:7" ht="12" customHeight="1" outlineLevel="2" x14ac:dyDescent="0.2">
      <c r="A17607" s="14" t="s">
        <v>34652</v>
      </c>
      <c r="B17607" s="15" t="s">
        <v>34653</v>
      </c>
      <c r="C17607" s="16">
        <f>156.48/(1+B2)</f>
        <v>156.47999999999999</v>
      </c>
      <c r="D17607" s="17" t="s">
        <v>11</v>
      </c>
      <c r="E17607" s="17"/>
      <c r="F17607" s="18"/>
      <c r="G17607" s="36" t="str">
        <f>IF(ISNUMBER(F17607),C17607*F17607,"")</f>
        <v/>
      </c>
    </row>
    <row r="17608" spans="1:7" ht="12" customHeight="1" outlineLevel="2" x14ac:dyDescent="0.2">
      <c r="A17608" s="14" t="s">
        <v>34654</v>
      </c>
      <c r="B17608" s="15" t="s">
        <v>34655</v>
      </c>
      <c r="C17608" s="16">
        <f>112.35/(1+B2)</f>
        <v>112.35</v>
      </c>
      <c r="D17608" s="17" t="s">
        <v>53</v>
      </c>
      <c r="E17608" s="17"/>
      <c r="F17608" s="18"/>
      <c r="G17608" s="36" t="str">
        <f>IF(ISNUMBER(F17608),C17608*F17608,"")</f>
        <v/>
      </c>
    </row>
    <row r="17609" spans="1:7" ht="12" customHeight="1" outlineLevel="2" x14ac:dyDescent="0.2">
      <c r="A17609" s="14" t="s">
        <v>34656</v>
      </c>
      <c r="B17609" s="15" t="s">
        <v>34657</v>
      </c>
      <c r="C17609" s="16">
        <f>112.35/(1+B2)</f>
        <v>112.35</v>
      </c>
      <c r="D17609" s="17" t="s">
        <v>53</v>
      </c>
      <c r="E17609" s="17"/>
      <c r="F17609" s="18"/>
      <c r="G17609" s="36" t="str">
        <f>IF(ISNUMBER(F17609),C17609*F17609,"")</f>
        <v/>
      </c>
    </row>
    <row r="17610" spans="1:7" ht="12" customHeight="1" outlineLevel="2" x14ac:dyDescent="0.2">
      <c r="A17610" s="14" t="s">
        <v>34658</v>
      </c>
      <c r="B17610" s="15" t="s">
        <v>34659</v>
      </c>
      <c r="C17610" s="16">
        <f>86.06/(1+B2)</f>
        <v>86.06</v>
      </c>
      <c r="D17610" s="17" t="s">
        <v>11</v>
      </c>
      <c r="E17610" s="17"/>
      <c r="F17610" s="18"/>
      <c r="G17610" s="36" t="str">
        <f>IF(ISNUMBER(F17610),C17610*F17610,"")</f>
        <v/>
      </c>
    </row>
    <row r="17611" spans="1:7" ht="12" customHeight="1" outlineLevel="2" x14ac:dyDescent="0.2">
      <c r="A17611" s="14" t="s">
        <v>34660</v>
      </c>
      <c r="B17611" s="15" t="s">
        <v>34661</v>
      </c>
      <c r="C17611" s="16">
        <f>122.53/(1+B2)</f>
        <v>122.53</v>
      </c>
      <c r="D17611" s="17" t="s">
        <v>11</v>
      </c>
      <c r="E17611" s="17"/>
      <c r="F17611" s="18"/>
      <c r="G17611" s="36" t="str">
        <f>IF(ISNUMBER(F17611),C17611*F17611,"")</f>
        <v/>
      </c>
    </row>
    <row r="17612" spans="1:7" ht="12" customHeight="1" outlineLevel="2" x14ac:dyDescent="0.2">
      <c r="A17612" s="14" t="s">
        <v>34662</v>
      </c>
      <c r="B17612" s="15" t="s">
        <v>34663</v>
      </c>
      <c r="C17612" s="16">
        <f>117.45/(1+B2)</f>
        <v>117.45</v>
      </c>
      <c r="D17612" s="17" t="s">
        <v>11</v>
      </c>
      <c r="E17612" s="17"/>
      <c r="F17612" s="18"/>
      <c r="G17612" s="36" t="str">
        <f>IF(ISNUMBER(F17612),C17612*F17612,"")</f>
        <v/>
      </c>
    </row>
    <row r="17613" spans="1:7" ht="12" customHeight="1" outlineLevel="2" x14ac:dyDescent="0.2">
      <c r="A17613" s="14" t="s">
        <v>34664</v>
      </c>
      <c r="B17613" s="15" t="s">
        <v>34665</v>
      </c>
      <c r="C17613" s="16">
        <f>166.04/(1+B2)</f>
        <v>166.04</v>
      </c>
      <c r="D17613" s="17" t="s">
        <v>11</v>
      </c>
      <c r="E17613" s="17"/>
      <c r="F17613" s="18"/>
      <c r="G17613" s="36" t="str">
        <f>IF(ISNUMBER(F17613),C17613*F17613,"")</f>
        <v/>
      </c>
    </row>
    <row r="17614" spans="1:7" ht="12" customHeight="1" outlineLevel="2" x14ac:dyDescent="0.2">
      <c r="A17614" s="14" t="s">
        <v>34666</v>
      </c>
      <c r="B17614" s="15" t="s">
        <v>34667</v>
      </c>
      <c r="C17614" s="16">
        <f>104.14/(1+B2)</f>
        <v>104.14</v>
      </c>
      <c r="D17614" s="17" t="s">
        <v>11</v>
      </c>
      <c r="E17614" s="17"/>
      <c r="F17614" s="18"/>
      <c r="G17614" s="36" t="str">
        <f>IF(ISNUMBER(F17614),C17614*F17614,"")</f>
        <v/>
      </c>
    </row>
    <row r="17615" spans="1:7" ht="12" customHeight="1" outlineLevel="2" x14ac:dyDescent="0.2">
      <c r="A17615" s="14" t="s">
        <v>34668</v>
      </c>
      <c r="B17615" s="15" t="s">
        <v>34669</v>
      </c>
      <c r="C17615" s="16">
        <f>77.54/(1+B2)</f>
        <v>77.540000000000006</v>
      </c>
      <c r="D17615" s="17" t="s">
        <v>11</v>
      </c>
      <c r="E17615" s="17"/>
      <c r="F17615" s="18"/>
      <c r="G17615" s="36" t="str">
        <f>IF(ISNUMBER(F17615),C17615*F17615,"")</f>
        <v/>
      </c>
    </row>
    <row r="17616" spans="1:7" ht="12" customHeight="1" outlineLevel="2" x14ac:dyDescent="0.2">
      <c r="A17616" s="14" t="s">
        <v>34670</v>
      </c>
      <c r="B17616" s="15" t="s">
        <v>34671</v>
      </c>
      <c r="C17616" s="16">
        <f>72.9/(1+B2)</f>
        <v>72.900000000000006</v>
      </c>
      <c r="D17616" s="17" t="s">
        <v>11</v>
      </c>
      <c r="E17616" s="17"/>
      <c r="F17616" s="18"/>
      <c r="G17616" s="36" t="str">
        <f>IF(ISNUMBER(F17616),C17616*F17616,"")</f>
        <v/>
      </c>
    </row>
    <row r="17617" spans="1:7" ht="12" customHeight="1" outlineLevel="2" x14ac:dyDescent="0.2">
      <c r="A17617" s="14" t="s">
        <v>34672</v>
      </c>
      <c r="B17617" s="15" t="s">
        <v>34673</v>
      </c>
      <c r="C17617" s="16">
        <f>46.6/(1+B2)</f>
        <v>46.6</v>
      </c>
      <c r="D17617" s="17" t="s">
        <v>53</v>
      </c>
      <c r="E17617" s="17"/>
      <c r="F17617" s="18"/>
      <c r="G17617" s="36" t="str">
        <f>IF(ISNUMBER(F17617),C17617*F17617,"")</f>
        <v/>
      </c>
    </row>
    <row r="17618" spans="1:7" ht="12" customHeight="1" outlineLevel="2" x14ac:dyDescent="0.2">
      <c r="A17618" s="14" t="s">
        <v>34674</v>
      </c>
      <c r="B17618" s="15" t="s">
        <v>34675</v>
      </c>
      <c r="C17618" s="16">
        <f>61.37/(1+B2)</f>
        <v>61.37</v>
      </c>
      <c r="D17618" s="17" t="s">
        <v>14</v>
      </c>
      <c r="E17618" s="17" t="s">
        <v>14</v>
      </c>
      <c r="F17618" s="18"/>
      <c r="G17618" s="36" t="str">
        <f>IF(ISNUMBER(F17618),C17618*F17618,"")</f>
        <v/>
      </c>
    </row>
    <row r="17619" spans="1:7" ht="24" customHeight="1" outlineLevel="2" x14ac:dyDescent="0.2">
      <c r="A17619" s="14" t="s">
        <v>34676</v>
      </c>
      <c r="B17619" s="15" t="s">
        <v>34677</v>
      </c>
      <c r="C17619" s="16">
        <f>137.38/(1+B2)</f>
        <v>137.38</v>
      </c>
      <c r="D17619" s="17" t="s">
        <v>11</v>
      </c>
      <c r="E17619" s="17"/>
      <c r="F17619" s="18"/>
      <c r="G17619" s="36" t="str">
        <f>IF(ISNUMBER(F17619),C17619*F17619,"")</f>
        <v/>
      </c>
    </row>
    <row r="17620" spans="1:7" s="1" customFormat="1" ht="15.95" customHeight="1" outlineLevel="1" x14ac:dyDescent="0.25">
      <c r="A17620" s="11"/>
      <c r="B17620" s="12" t="s">
        <v>34678</v>
      </c>
      <c r="C17620" s="13"/>
      <c r="D17620" s="13"/>
      <c r="E17620" s="13"/>
      <c r="F17620" s="13"/>
      <c r="G17620" s="35"/>
    </row>
    <row r="17621" spans="1:7" ht="12" customHeight="1" outlineLevel="2" x14ac:dyDescent="0.2">
      <c r="A17621" s="14" t="s">
        <v>34679</v>
      </c>
      <c r="B17621" s="15" t="s">
        <v>34680</v>
      </c>
      <c r="C17621" s="16">
        <f>100.18/(1+B2)</f>
        <v>100.18</v>
      </c>
      <c r="D17621" s="17" t="s">
        <v>11</v>
      </c>
      <c r="E17621" s="17"/>
      <c r="F17621" s="18"/>
      <c r="G17621" s="36" t="str">
        <f>IF(ISNUMBER(F17621),C17621*F17621,"")</f>
        <v/>
      </c>
    </row>
    <row r="17622" spans="1:7" ht="12" customHeight="1" outlineLevel="2" x14ac:dyDescent="0.2">
      <c r="A17622" s="14" t="s">
        <v>34681</v>
      </c>
      <c r="B17622" s="15" t="s">
        <v>34682</v>
      </c>
      <c r="C17622" s="16">
        <f>129.04/(1+B2)</f>
        <v>129.04</v>
      </c>
      <c r="D17622" s="17" t="s">
        <v>11</v>
      </c>
      <c r="E17622" s="17" t="s">
        <v>11</v>
      </c>
      <c r="F17622" s="18"/>
      <c r="G17622" s="36" t="str">
        <f>IF(ISNUMBER(F17622),C17622*F17622,"")</f>
        <v/>
      </c>
    </row>
    <row r="17623" spans="1:7" ht="12" customHeight="1" outlineLevel="2" x14ac:dyDescent="0.2">
      <c r="A17623" s="14" t="s">
        <v>34683</v>
      </c>
      <c r="B17623" s="15" t="s">
        <v>34684</v>
      </c>
      <c r="C17623" s="16">
        <f>194.12/(1+B2)</f>
        <v>194.12</v>
      </c>
      <c r="D17623" s="17" t="s">
        <v>11</v>
      </c>
      <c r="E17623" s="17"/>
      <c r="F17623" s="18"/>
      <c r="G17623" s="36" t="str">
        <f>IF(ISNUMBER(F17623),C17623*F17623,"")</f>
        <v/>
      </c>
    </row>
    <row r="17624" spans="1:7" ht="12" customHeight="1" outlineLevel="2" x14ac:dyDescent="0.2">
      <c r="A17624" s="14" t="s">
        <v>34685</v>
      </c>
      <c r="B17624" s="15" t="s">
        <v>34686</v>
      </c>
      <c r="C17624" s="16">
        <f>247.27/(1+B2)</f>
        <v>247.27</v>
      </c>
      <c r="D17624" s="17" t="s">
        <v>11</v>
      </c>
      <c r="E17624" s="17"/>
      <c r="F17624" s="18"/>
      <c r="G17624" s="36" t="str">
        <f>IF(ISNUMBER(F17624),C17624*F17624,"")</f>
        <v/>
      </c>
    </row>
    <row r="17625" spans="1:7" ht="12" customHeight="1" outlineLevel="2" x14ac:dyDescent="0.2">
      <c r="A17625" s="14" t="s">
        <v>34687</v>
      </c>
      <c r="B17625" s="15" t="s">
        <v>34688</v>
      </c>
      <c r="C17625" s="16">
        <f>101.87/(1+B2)</f>
        <v>101.87</v>
      </c>
      <c r="D17625" s="17" t="s">
        <v>11</v>
      </c>
      <c r="E17625" s="17"/>
      <c r="F17625" s="18"/>
      <c r="G17625" s="36" t="str">
        <f>IF(ISNUMBER(F17625),C17625*F17625,"")</f>
        <v/>
      </c>
    </row>
    <row r="17626" spans="1:7" ht="12" customHeight="1" outlineLevel="2" x14ac:dyDescent="0.2">
      <c r="A17626" s="14" t="s">
        <v>34689</v>
      </c>
      <c r="B17626" s="15" t="s">
        <v>34690</v>
      </c>
      <c r="C17626" s="16">
        <f>115.55/(1+B2)</f>
        <v>115.55</v>
      </c>
      <c r="D17626" s="17" t="s">
        <v>11</v>
      </c>
      <c r="E17626" s="17"/>
      <c r="F17626" s="18"/>
      <c r="G17626" s="36" t="str">
        <f>IF(ISNUMBER(F17626),C17626*F17626,"")</f>
        <v/>
      </c>
    </row>
    <row r="17627" spans="1:7" ht="12" customHeight="1" outlineLevel="2" x14ac:dyDescent="0.2">
      <c r="A17627" s="14" t="s">
        <v>34691</v>
      </c>
      <c r="B17627" s="15" t="s">
        <v>34692</v>
      </c>
      <c r="C17627" s="16">
        <f>229.85/(1+B2)</f>
        <v>229.85</v>
      </c>
      <c r="D17627" s="17" t="s">
        <v>11</v>
      </c>
      <c r="E17627" s="17"/>
      <c r="F17627" s="18"/>
      <c r="G17627" s="36" t="str">
        <f>IF(ISNUMBER(F17627),C17627*F17627,"")</f>
        <v/>
      </c>
    </row>
    <row r="17628" spans="1:7" ht="12" customHeight="1" outlineLevel="2" x14ac:dyDescent="0.2">
      <c r="A17628" s="14" t="s">
        <v>34693</v>
      </c>
      <c r="B17628" s="15" t="s">
        <v>34694</v>
      </c>
      <c r="C17628" s="16">
        <f>32.89/(1+B2)</f>
        <v>32.89</v>
      </c>
      <c r="D17628" s="17" t="s">
        <v>53</v>
      </c>
      <c r="E17628" s="17"/>
      <c r="F17628" s="18"/>
      <c r="G17628" s="36" t="str">
        <f>IF(ISNUMBER(F17628),C17628*F17628,"")</f>
        <v/>
      </c>
    </row>
    <row r="17629" spans="1:7" ht="12" customHeight="1" outlineLevel="2" x14ac:dyDescent="0.2">
      <c r="A17629" s="14" t="s">
        <v>34695</v>
      </c>
      <c r="B17629" s="15" t="s">
        <v>34696</v>
      </c>
      <c r="C17629" s="16">
        <f>22.31/(1+B2)</f>
        <v>22.31</v>
      </c>
      <c r="D17629" s="17" t="s">
        <v>11</v>
      </c>
      <c r="E17629" s="17"/>
      <c r="F17629" s="18"/>
      <c r="G17629" s="36" t="str">
        <f>IF(ISNUMBER(F17629),C17629*F17629,"")</f>
        <v/>
      </c>
    </row>
    <row r="17630" spans="1:7" ht="12" customHeight="1" outlineLevel="2" x14ac:dyDescent="0.2">
      <c r="A17630" s="14" t="s">
        <v>34697</v>
      </c>
      <c r="B17630" s="15" t="s">
        <v>34698</v>
      </c>
      <c r="C17630" s="16">
        <f>26.33/(1+B2)</f>
        <v>26.33</v>
      </c>
      <c r="D17630" s="17" t="s">
        <v>11</v>
      </c>
      <c r="E17630" s="17"/>
      <c r="F17630" s="18"/>
      <c r="G17630" s="36" t="str">
        <f>IF(ISNUMBER(F17630),C17630*F17630,"")</f>
        <v/>
      </c>
    </row>
    <row r="17631" spans="1:7" ht="12" customHeight="1" outlineLevel="2" x14ac:dyDescent="0.2">
      <c r="A17631" s="14" t="s">
        <v>34699</v>
      </c>
      <c r="B17631" s="15" t="s">
        <v>34700</v>
      </c>
      <c r="C17631" s="16">
        <f>44.58/(1+B2)</f>
        <v>44.58</v>
      </c>
      <c r="D17631" s="17" t="s">
        <v>11</v>
      </c>
      <c r="E17631" s="17"/>
      <c r="F17631" s="18"/>
      <c r="G17631" s="36" t="str">
        <f>IF(ISNUMBER(F17631),C17631*F17631,"")</f>
        <v/>
      </c>
    </row>
    <row r="17632" spans="1:7" ht="12" customHeight="1" outlineLevel="2" x14ac:dyDescent="0.2">
      <c r="A17632" s="14" t="s">
        <v>34701</v>
      </c>
      <c r="B17632" s="15" t="s">
        <v>34702</v>
      </c>
      <c r="C17632" s="16">
        <f>34.44/(1+B2)</f>
        <v>34.44</v>
      </c>
      <c r="D17632" s="17" t="s">
        <v>14</v>
      </c>
      <c r="E17632" s="17"/>
      <c r="F17632" s="18"/>
      <c r="G17632" s="36" t="str">
        <f>IF(ISNUMBER(F17632),C17632*F17632,"")</f>
        <v/>
      </c>
    </row>
    <row r="17633" spans="1:7" ht="12" customHeight="1" outlineLevel="2" x14ac:dyDescent="0.2">
      <c r="A17633" s="14" t="s">
        <v>34703</v>
      </c>
      <c r="B17633" s="15" t="s">
        <v>34704</v>
      </c>
      <c r="C17633" s="16">
        <f>19.44/(1+B2)</f>
        <v>19.440000000000001</v>
      </c>
      <c r="D17633" s="17" t="s">
        <v>11</v>
      </c>
      <c r="E17633" s="17"/>
      <c r="F17633" s="18"/>
      <c r="G17633" s="36" t="str">
        <f>IF(ISNUMBER(F17633),C17633*F17633,"")</f>
        <v/>
      </c>
    </row>
    <row r="17634" spans="1:7" ht="12" customHeight="1" outlineLevel="2" x14ac:dyDescent="0.2">
      <c r="A17634" s="14" t="s">
        <v>34705</v>
      </c>
      <c r="B17634" s="15" t="s">
        <v>34706</v>
      </c>
      <c r="C17634" s="16">
        <f>69.88/(1+B2)</f>
        <v>69.88</v>
      </c>
      <c r="D17634" s="17" t="s">
        <v>14</v>
      </c>
      <c r="E17634" s="17"/>
      <c r="F17634" s="18"/>
      <c r="G17634" s="36" t="str">
        <f>IF(ISNUMBER(F17634),C17634*F17634,"")</f>
        <v/>
      </c>
    </row>
    <row r="17635" spans="1:7" ht="12" customHeight="1" outlineLevel="2" x14ac:dyDescent="0.2">
      <c r="A17635" s="14" t="s">
        <v>34707</v>
      </c>
      <c r="B17635" s="15" t="s">
        <v>34708</v>
      </c>
      <c r="C17635" s="16">
        <f>177.01/(1+B2)</f>
        <v>177.01</v>
      </c>
      <c r="D17635" s="17" t="s">
        <v>11</v>
      </c>
      <c r="E17635" s="17"/>
      <c r="F17635" s="18"/>
      <c r="G17635" s="36" t="str">
        <f>IF(ISNUMBER(F17635),C17635*F17635,"")</f>
        <v/>
      </c>
    </row>
    <row r="17636" spans="1:7" ht="12" customHeight="1" outlineLevel="2" x14ac:dyDescent="0.2">
      <c r="A17636" s="14" t="s">
        <v>34709</v>
      </c>
      <c r="B17636" s="15" t="s">
        <v>34710</v>
      </c>
      <c r="C17636" s="16">
        <f>46.53/(1+B2)</f>
        <v>46.53</v>
      </c>
      <c r="D17636" s="17" t="s">
        <v>11</v>
      </c>
      <c r="E17636" s="17"/>
      <c r="F17636" s="18"/>
      <c r="G17636" s="36" t="str">
        <f>IF(ISNUMBER(F17636),C17636*F17636,"")</f>
        <v/>
      </c>
    </row>
    <row r="17637" spans="1:7" ht="12" customHeight="1" outlineLevel="2" x14ac:dyDescent="0.2">
      <c r="A17637" s="14" t="s">
        <v>34711</v>
      </c>
      <c r="B17637" s="15" t="s">
        <v>34712</v>
      </c>
      <c r="C17637" s="16">
        <f>63.97/(1+B2)</f>
        <v>63.97</v>
      </c>
      <c r="D17637" s="17" t="s">
        <v>11</v>
      </c>
      <c r="E17637" s="17"/>
      <c r="F17637" s="18"/>
      <c r="G17637" s="36" t="str">
        <f>IF(ISNUMBER(F17637),C17637*F17637,"")</f>
        <v/>
      </c>
    </row>
    <row r="17638" spans="1:7" ht="12" customHeight="1" outlineLevel="2" x14ac:dyDescent="0.2">
      <c r="A17638" s="14" t="s">
        <v>34713</v>
      </c>
      <c r="B17638" s="15" t="s">
        <v>34714</v>
      </c>
      <c r="C17638" s="16">
        <f>41.78/(1+B2)</f>
        <v>41.78</v>
      </c>
      <c r="D17638" s="17" t="s">
        <v>11</v>
      </c>
      <c r="E17638" s="17"/>
      <c r="F17638" s="18"/>
      <c r="G17638" s="36" t="str">
        <f>IF(ISNUMBER(F17638),C17638*F17638,"")</f>
        <v/>
      </c>
    </row>
    <row r="17639" spans="1:7" ht="12" customHeight="1" outlineLevel="2" x14ac:dyDescent="0.2">
      <c r="A17639" s="14" t="s">
        <v>34715</v>
      </c>
      <c r="B17639" s="15" t="s">
        <v>34716</v>
      </c>
      <c r="C17639" s="16">
        <f>35.55/(1+B2)</f>
        <v>35.549999999999997</v>
      </c>
      <c r="D17639" s="17" t="s">
        <v>11</v>
      </c>
      <c r="E17639" s="17"/>
      <c r="F17639" s="18"/>
      <c r="G17639" s="36" t="str">
        <f>IF(ISNUMBER(F17639),C17639*F17639,"")</f>
        <v/>
      </c>
    </row>
    <row r="17640" spans="1:7" ht="12" customHeight="1" outlineLevel="2" x14ac:dyDescent="0.2">
      <c r="A17640" s="14" t="s">
        <v>34717</v>
      </c>
      <c r="B17640" s="15" t="s">
        <v>34718</v>
      </c>
      <c r="C17640" s="16">
        <f>178.26/(1+B2)</f>
        <v>178.26</v>
      </c>
      <c r="D17640" s="17" t="s">
        <v>53</v>
      </c>
      <c r="E17640" s="17"/>
      <c r="F17640" s="18"/>
      <c r="G17640" s="36" t="str">
        <f>IF(ISNUMBER(F17640),C17640*F17640,"")</f>
        <v/>
      </c>
    </row>
    <row r="17641" spans="1:7" ht="12" customHeight="1" outlineLevel="2" x14ac:dyDescent="0.2">
      <c r="A17641" s="14" t="s">
        <v>34719</v>
      </c>
      <c r="B17641" s="15" t="s">
        <v>34720</v>
      </c>
      <c r="C17641" s="16">
        <f>32.33/(1+B2)</f>
        <v>32.33</v>
      </c>
      <c r="D17641" s="17" t="s">
        <v>11</v>
      </c>
      <c r="E17641" s="17"/>
      <c r="F17641" s="18"/>
      <c r="G17641" s="36" t="str">
        <f>IF(ISNUMBER(F17641),C17641*F17641,"")</f>
        <v/>
      </c>
    </row>
    <row r="17642" spans="1:7" ht="12" customHeight="1" outlineLevel="2" x14ac:dyDescent="0.2">
      <c r="A17642" s="14" t="s">
        <v>34721</v>
      </c>
      <c r="B17642" s="15" t="s">
        <v>34722</v>
      </c>
      <c r="C17642" s="16">
        <f>72.78/(1+B2)</f>
        <v>72.78</v>
      </c>
      <c r="D17642" s="17" t="s">
        <v>11</v>
      </c>
      <c r="E17642" s="17"/>
      <c r="F17642" s="18"/>
      <c r="G17642" s="36" t="str">
        <f>IF(ISNUMBER(F17642),C17642*F17642,"")</f>
        <v/>
      </c>
    </row>
    <row r="17643" spans="1:7" ht="12" customHeight="1" outlineLevel="2" x14ac:dyDescent="0.2">
      <c r="A17643" s="14" t="s">
        <v>34723</v>
      </c>
      <c r="B17643" s="15" t="s">
        <v>34724</v>
      </c>
      <c r="C17643" s="16">
        <f>55.06/(1+B2)</f>
        <v>55.06</v>
      </c>
      <c r="D17643" s="17" t="s">
        <v>11</v>
      </c>
      <c r="E17643" s="17"/>
      <c r="F17643" s="18"/>
      <c r="G17643" s="36" t="str">
        <f>IF(ISNUMBER(F17643),C17643*F17643,"")</f>
        <v/>
      </c>
    </row>
    <row r="17644" spans="1:7" ht="12" customHeight="1" outlineLevel="2" x14ac:dyDescent="0.2">
      <c r="A17644" s="14" t="s">
        <v>34725</v>
      </c>
      <c r="B17644" s="15" t="s">
        <v>34726</v>
      </c>
      <c r="C17644" s="16">
        <f>152.81/(1+B2)</f>
        <v>152.81</v>
      </c>
      <c r="D17644" s="17" t="s">
        <v>14</v>
      </c>
      <c r="E17644" s="17"/>
      <c r="F17644" s="18"/>
      <c r="G17644" s="36" t="str">
        <f>IF(ISNUMBER(F17644),C17644*F17644,"")</f>
        <v/>
      </c>
    </row>
    <row r="17645" spans="1:7" ht="12" customHeight="1" outlineLevel="2" x14ac:dyDescent="0.2">
      <c r="A17645" s="14" t="s">
        <v>34727</v>
      </c>
      <c r="B17645" s="15" t="s">
        <v>34728</v>
      </c>
      <c r="C17645" s="16">
        <f>27.16/(1+B2)</f>
        <v>27.16</v>
      </c>
      <c r="D17645" s="17" t="s">
        <v>11</v>
      </c>
      <c r="E17645" s="17"/>
      <c r="F17645" s="18"/>
      <c r="G17645" s="36" t="str">
        <f>IF(ISNUMBER(F17645),C17645*F17645,"")</f>
        <v/>
      </c>
    </row>
    <row r="17646" spans="1:7" ht="12" customHeight="1" outlineLevel="2" x14ac:dyDescent="0.2">
      <c r="A17646" s="14" t="s">
        <v>34729</v>
      </c>
      <c r="B17646" s="15" t="s">
        <v>34730</v>
      </c>
      <c r="C17646" s="16">
        <f>84.01/(1+B2)</f>
        <v>84.01</v>
      </c>
      <c r="D17646" s="17" t="s">
        <v>11</v>
      </c>
      <c r="E17646" s="17"/>
      <c r="F17646" s="18"/>
      <c r="G17646" s="36" t="str">
        <f>IF(ISNUMBER(F17646),C17646*F17646,"")</f>
        <v/>
      </c>
    </row>
    <row r="17647" spans="1:7" ht="12" customHeight="1" outlineLevel="2" x14ac:dyDescent="0.2">
      <c r="A17647" s="14" t="s">
        <v>34731</v>
      </c>
      <c r="B17647" s="15" t="s">
        <v>34732</v>
      </c>
      <c r="C17647" s="16">
        <f>37.32/(1+B2)</f>
        <v>37.32</v>
      </c>
      <c r="D17647" s="17" t="s">
        <v>53</v>
      </c>
      <c r="E17647" s="17"/>
      <c r="F17647" s="18"/>
      <c r="G17647" s="36" t="str">
        <f>IF(ISNUMBER(F17647),C17647*F17647,"")</f>
        <v/>
      </c>
    </row>
    <row r="17648" spans="1:7" ht="12" customHeight="1" outlineLevel="2" x14ac:dyDescent="0.2">
      <c r="A17648" s="14" t="s">
        <v>34733</v>
      </c>
      <c r="B17648" s="15" t="s">
        <v>34734</v>
      </c>
      <c r="C17648" s="16">
        <f>54.2/(1+B2)</f>
        <v>54.2</v>
      </c>
      <c r="D17648" s="17" t="s">
        <v>11</v>
      </c>
      <c r="E17648" s="17"/>
      <c r="F17648" s="18"/>
      <c r="G17648" s="36" t="str">
        <f>IF(ISNUMBER(F17648),C17648*F17648,"")</f>
        <v/>
      </c>
    </row>
    <row r="17649" spans="1:7" ht="12" customHeight="1" outlineLevel="2" x14ac:dyDescent="0.2">
      <c r="A17649" s="14" t="s">
        <v>34735</v>
      </c>
      <c r="B17649" s="15" t="s">
        <v>34736</v>
      </c>
      <c r="C17649" s="16">
        <f>50.68/(1+B2)</f>
        <v>50.68</v>
      </c>
      <c r="D17649" s="17" t="s">
        <v>11</v>
      </c>
      <c r="E17649" s="17"/>
      <c r="F17649" s="18"/>
      <c r="G17649" s="36" t="str">
        <f>IF(ISNUMBER(F17649),C17649*F17649,"")</f>
        <v/>
      </c>
    </row>
    <row r="17650" spans="1:7" ht="12" customHeight="1" outlineLevel="2" x14ac:dyDescent="0.2">
      <c r="A17650" s="14" t="s">
        <v>34737</v>
      </c>
      <c r="B17650" s="15" t="s">
        <v>34738</v>
      </c>
      <c r="C17650" s="16">
        <f>81.31/(1+B2)</f>
        <v>81.31</v>
      </c>
      <c r="D17650" s="17" t="s">
        <v>11</v>
      </c>
      <c r="E17650" s="17"/>
      <c r="F17650" s="18"/>
      <c r="G17650" s="36" t="str">
        <f>IF(ISNUMBER(F17650),C17650*F17650,"")</f>
        <v/>
      </c>
    </row>
    <row r="17651" spans="1:7" ht="12" customHeight="1" outlineLevel="2" x14ac:dyDescent="0.2">
      <c r="A17651" s="14" t="s">
        <v>34739</v>
      </c>
      <c r="B17651" s="15" t="s">
        <v>34740</v>
      </c>
      <c r="C17651" s="16">
        <f>81.25/(1+B2)</f>
        <v>81.25</v>
      </c>
      <c r="D17651" s="17" t="s">
        <v>11</v>
      </c>
      <c r="E17651" s="17"/>
      <c r="F17651" s="18"/>
      <c r="G17651" s="36" t="str">
        <f>IF(ISNUMBER(F17651),C17651*F17651,"")</f>
        <v/>
      </c>
    </row>
    <row r="17652" spans="1:7" ht="12" customHeight="1" outlineLevel="2" x14ac:dyDescent="0.2">
      <c r="A17652" s="14" t="s">
        <v>34741</v>
      </c>
      <c r="B17652" s="15" t="s">
        <v>34742</v>
      </c>
      <c r="C17652" s="16">
        <f>37.44/(1+B2)</f>
        <v>37.44</v>
      </c>
      <c r="D17652" s="17" t="s">
        <v>53</v>
      </c>
      <c r="E17652" s="17"/>
      <c r="F17652" s="18"/>
      <c r="G17652" s="36" t="str">
        <f>IF(ISNUMBER(F17652),C17652*F17652,"")</f>
        <v/>
      </c>
    </row>
    <row r="17653" spans="1:7" ht="12" customHeight="1" outlineLevel="2" x14ac:dyDescent="0.2">
      <c r="A17653" s="14" t="s">
        <v>34743</v>
      </c>
      <c r="B17653" s="15" t="s">
        <v>34744</v>
      </c>
      <c r="C17653" s="16">
        <f>37.44/(1+B2)</f>
        <v>37.44</v>
      </c>
      <c r="D17653" s="17" t="s">
        <v>14</v>
      </c>
      <c r="E17653" s="17"/>
      <c r="F17653" s="18"/>
      <c r="G17653" s="36" t="str">
        <f>IF(ISNUMBER(F17653),C17653*F17653,"")</f>
        <v/>
      </c>
    </row>
    <row r="17654" spans="1:7" ht="12" customHeight="1" outlineLevel="2" x14ac:dyDescent="0.2">
      <c r="A17654" s="14" t="s">
        <v>34745</v>
      </c>
      <c r="B17654" s="15" t="s">
        <v>34746</v>
      </c>
      <c r="C17654" s="16">
        <f>35.64/(1+B2)</f>
        <v>35.64</v>
      </c>
      <c r="D17654" s="17" t="s">
        <v>14</v>
      </c>
      <c r="E17654" s="17"/>
      <c r="F17654" s="18"/>
      <c r="G17654" s="36" t="str">
        <f>IF(ISNUMBER(F17654),C17654*F17654,"")</f>
        <v/>
      </c>
    </row>
    <row r="17655" spans="1:7" ht="12" customHeight="1" outlineLevel="2" x14ac:dyDescent="0.2">
      <c r="A17655" s="14" t="s">
        <v>34747</v>
      </c>
      <c r="B17655" s="15" t="s">
        <v>34748</v>
      </c>
      <c r="C17655" s="16">
        <f>51.9/(1+B2)</f>
        <v>51.9</v>
      </c>
      <c r="D17655" s="17" t="s">
        <v>53</v>
      </c>
      <c r="E17655" s="17"/>
      <c r="F17655" s="18"/>
      <c r="G17655" s="36" t="str">
        <f>IF(ISNUMBER(F17655),C17655*F17655,"")</f>
        <v/>
      </c>
    </row>
    <row r="17656" spans="1:7" ht="12" customHeight="1" outlineLevel="2" x14ac:dyDescent="0.2">
      <c r="A17656" s="14" t="s">
        <v>34749</v>
      </c>
      <c r="B17656" s="15" t="s">
        <v>34750</v>
      </c>
      <c r="C17656" s="16">
        <f>51.9/(1+B2)</f>
        <v>51.9</v>
      </c>
      <c r="D17656" s="17" t="s">
        <v>11</v>
      </c>
      <c r="E17656" s="17"/>
      <c r="F17656" s="18"/>
      <c r="G17656" s="36" t="str">
        <f>IF(ISNUMBER(F17656),C17656*F17656,"")</f>
        <v/>
      </c>
    </row>
    <row r="17657" spans="1:7" ht="12" customHeight="1" outlineLevel="2" x14ac:dyDescent="0.2">
      <c r="A17657" s="14" t="s">
        <v>34751</v>
      </c>
      <c r="B17657" s="15" t="s">
        <v>34752</v>
      </c>
      <c r="C17657" s="16">
        <f>49.44/(1+B2)</f>
        <v>49.44</v>
      </c>
      <c r="D17657" s="17" t="s">
        <v>11</v>
      </c>
      <c r="E17657" s="17"/>
      <c r="F17657" s="18"/>
      <c r="G17657" s="36" t="str">
        <f>IF(ISNUMBER(F17657),C17657*F17657,"")</f>
        <v/>
      </c>
    </row>
    <row r="17658" spans="1:7" ht="12" customHeight="1" outlineLevel="2" x14ac:dyDescent="0.2">
      <c r="A17658" s="14" t="s">
        <v>34753</v>
      </c>
      <c r="B17658" s="15" t="s">
        <v>34754</v>
      </c>
      <c r="C17658" s="16">
        <f>66.42/(1+B2)</f>
        <v>66.42</v>
      </c>
      <c r="D17658" s="17" t="s">
        <v>14</v>
      </c>
      <c r="E17658" s="17"/>
      <c r="F17658" s="18"/>
      <c r="G17658" s="36" t="str">
        <f>IF(ISNUMBER(F17658),C17658*F17658,"")</f>
        <v/>
      </c>
    </row>
    <row r="17659" spans="1:7" ht="12" customHeight="1" outlineLevel="2" x14ac:dyDescent="0.2">
      <c r="A17659" s="14" t="s">
        <v>34755</v>
      </c>
      <c r="B17659" s="15" t="s">
        <v>34756</v>
      </c>
      <c r="C17659" s="16">
        <f>82.02/(1+B2)</f>
        <v>82.02</v>
      </c>
      <c r="D17659" s="17" t="s">
        <v>14</v>
      </c>
      <c r="E17659" s="17"/>
      <c r="F17659" s="18"/>
      <c r="G17659" s="36" t="str">
        <f>IF(ISNUMBER(F17659),C17659*F17659,"")</f>
        <v/>
      </c>
    </row>
    <row r="17660" spans="1:7" ht="12" customHeight="1" outlineLevel="2" x14ac:dyDescent="0.2">
      <c r="A17660" s="14" t="s">
        <v>34757</v>
      </c>
      <c r="B17660" s="15" t="s">
        <v>34758</v>
      </c>
      <c r="C17660" s="16">
        <f>82.02/(1+B2)</f>
        <v>82.02</v>
      </c>
      <c r="D17660" s="17" t="s">
        <v>14</v>
      </c>
      <c r="E17660" s="17"/>
      <c r="F17660" s="18"/>
      <c r="G17660" s="36" t="str">
        <f>IF(ISNUMBER(F17660),C17660*F17660,"")</f>
        <v/>
      </c>
    </row>
    <row r="17661" spans="1:7" ht="12" customHeight="1" outlineLevel="2" x14ac:dyDescent="0.2">
      <c r="A17661" s="14" t="s">
        <v>34759</v>
      </c>
      <c r="B17661" s="15" t="s">
        <v>34760</v>
      </c>
      <c r="C17661" s="16">
        <f>82.02/(1+B2)</f>
        <v>82.02</v>
      </c>
      <c r="D17661" s="17" t="s">
        <v>11</v>
      </c>
      <c r="E17661" s="17"/>
      <c r="F17661" s="18"/>
      <c r="G17661" s="36" t="str">
        <f>IF(ISNUMBER(F17661),C17661*F17661,"")</f>
        <v/>
      </c>
    </row>
    <row r="17662" spans="1:7" ht="12" customHeight="1" outlineLevel="2" x14ac:dyDescent="0.2">
      <c r="A17662" s="14" t="s">
        <v>34761</v>
      </c>
      <c r="B17662" s="15" t="s">
        <v>34762</v>
      </c>
      <c r="C17662" s="16">
        <f>26.02/(1+B2)</f>
        <v>26.02</v>
      </c>
      <c r="D17662" s="17" t="s">
        <v>11</v>
      </c>
      <c r="E17662" s="17" t="s">
        <v>53</v>
      </c>
      <c r="F17662" s="18"/>
      <c r="G17662" s="36" t="str">
        <f>IF(ISNUMBER(F17662),C17662*F17662,"")</f>
        <v/>
      </c>
    </row>
    <row r="17663" spans="1:7" ht="12" customHeight="1" outlineLevel="2" x14ac:dyDescent="0.2">
      <c r="A17663" s="14" t="s">
        <v>34763</v>
      </c>
      <c r="B17663" s="15" t="s">
        <v>34764</v>
      </c>
      <c r="C17663" s="16">
        <f>55.91/(1+B2)</f>
        <v>55.91</v>
      </c>
      <c r="D17663" s="17" t="s">
        <v>11</v>
      </c>
      <c r="E17663" s="17"/>
      <c r="F17663" s="18"/>
      <c r="G17663" s="36" t="str">
        <f>IF(ISNUMBER(F17663),C17663*F17663,"")</f>
        <v/>
      </c>
    </row>
    <row r="17664" spans="1:7" ht="12" customHeight="1" outlineLevel="2" x14ac:dyDescent="0.2">
      <c r="A17664" s="14" t="s">
        <v>34765</v>
      </c>
      <c r="B17664" s="15" t="s">
        <v>34766</v>
      </c>
      <c r="C17664" s="16">
        <f>156.48/(1+B2)</f>
        <v>156.47999999999999</v>
      </c>
      <c r="D17664" s="17" t="s">
        <v>11</v>
      </c>
      <c r="E17664" s="17"/>
      <c r="F17664" s="18"/>
      <c r="G17664" s="36" t="str">
        <f>IF(ISNUMBER(F17664),C17664*F17664,"")</f>
        <v/>
      </c>
    </row>
    <row r="17665" spans="1:7" ht="12" customHeight="1" outlineLevel="2" x14ac:dyDescent="0.2">
      <c r="A17665" s="14" t="s">
        <v>34767</v>
      </c>
      <c r="B17665" s="15" t="s">
        <v>34768</v>
      </c>
      <c r="C17665" s="16">
        <f>172.2/(1+B2)</f>
        <v>172.2</v>
      </c>
      <c r="D17665" s="17" t="s">
        <v>11</v>
      </c>
      <c r="E17665" s="17"/>
      <c r="F17665" s="18"/>
      <c r="G17665" s="36" t="str">
        <f>IF(ISNUMBER(F17665),C17665*F17665,"")</f>
        <v/>
      </c>
    </row>
    <row r="17666" spans="1:7" ht="12" customHeight="1" outlineLevel="2" x14ac:dyDescent="0.2">
      <c r="A17666" s="14" t="s">
        <v>34769</v>
      </c>
      <c r="B17666" s="15" t="s">
        <v>34770</v>
      </c>
      <c r="C17666" s="16">
        <f>70.74/(1+B2)</f>
        <v>70.739999999999995</v>
      </c>
      <c r="D17666" s="17" t="s">
        <v>11</v>
      </c>
      <c r="E17666" s="17"/>
      <c r="F17666" s="18"/>
      <c r="G17666" s="36" t="str">
        <f>IF(ISNUMBER(F17666),C17666*F17666,"")</f>
        <v/>
      </c>
    </row>
    <row r="17667" spans="1:7" ht="12" customHeight="1" outlineLevel="2" x14ac:dyDescent="0.2">
      <c r="A17667" s="14" t="s">
        <v>34771</v>
      </c>
      <c r="B17667" s="15" t="s">
        <v>34772</v>
      </c>
      <c r="C17667" s="16">
        <f>70.74/(1+B2)</f>
        <v>70.739999999999995</v>
      </c>
      <c r="D17667" s="17" t="s">
        <v>11</v>
      </c>
      <c r="E17667" s="17"/>
      <c r="F17667" s="18"/>
      <c r="G17667" s="36" t="str">
        <f>IF(ISNUMBER(F17667),C17667*F17667,"")</f>
        <v/>
      </c>
    </row>
    <row r="17668" spans="1:7" ht="12" customHeight="1" outlineLevel="2" x14ac:dyDescent="0.2">
      <c r="A17668" s="14" t="s">
        <v>34773</v>
      </c>
      <c r="B17668" s="15" t="s">
        <v>34774</v>
      </c>
      <c r="C17668" s="16">
        <f>78.86/(1+B2)</f>
        <v>78.86</v>
      </c>
      <c r="D17668" s="17" t="s">
        <v>11</v>
      </c>
      <c r="E17668" s="17" t="s">
        <v>11</v>
      </c>
      <c r="F17668" s="18"/>
      <c r="G17668" s="36" t="str">
        <f>IF(ISNUMBER(F17668),C17668*F17668,"")</f>
        <v/>
      </c>
    </row>
    <row r="17669" spans="1:7" ht="12" customHeight="1" outlineLevel="2" x14ac:dyDescent="0.2">
      <c r="A17669" s="14" t="s">
        <v>34775</v>
      </c>
      <c r="B17669" s="15" t="s">
        <v>34776</v>
      </c>
      <c r="C17669" s="16">
        <f>88.56/(1+B2)</f>
        <v>88.56</v>
      </c>
      <c r="D17669" s="17" t="s">
        <v>14</v>
      </c>
      <c r="E17669" s="17"/>
      <c r="F17669" s="18"/>
      <c r="G17669" s="36" t="str">
        <f>IF(ISNUMBER(F17669),C17669*F17669,"")</f>
        <v/>
      </c>
    </row>
    <row r="17670" spans="1:7" ht="12" customHeight="1" outlineLevel="2" x14ac:dyDescent="0.2">
      <c r="A17670" s="14" t="s">
        <v>34777</v>
      </c>
      <c r="B17670" s="15" t="s">
        <v>34778</v>
      </c>
      <c r="C17670" s="16">
        <f>88.56/(1+B2)</f>
        <v>88.56</v>
      </c>
      <c r="D17670" s="17" t="s">
        <v>11</v>
      </c>
      <c r="E17670" s="17"/>
      <c r="F17670" s="18"/>
      <c r="G17670" s="36" t="str">
        <f>IF(ISNUMBER(F17670),C17670*F17670,"")</f>
        <v/>
      </c>
    </row>
    <row r="17671" spans="1:7" ht="12" customHeight="1" outlineLevel="2" x14ac:dyDescent="0.2">
      <c r="A17671" s="14" t="s">
        <v>34779</v>
      </c>
      <c r="B17671" s="15" t="s">
        <v>34780</v>
      </c>
      <c r="C17671" s="16">
        <f>88.56/(1+B2)</f>
        <v>88.56</v>
      </c>
      <c r="D17671" s="17" t="s">
        <v>11</v>
      </c>
      <c r="E17671" s="17"/>
      <c r="F17671" s="18"/>
      <c r="G17671" s="36" t="str">
        <f>IF(ISNUMBER(F17671),C17671*F17671,"")</f>
        <v/>
      </c>
    </row>
    <row r="17672" spans="1:7" ht="12" customHeight="1" outlineLevel="2" x14ac:dyDescent="0.2">
      <c r="A17672" s="14" t="s">
        <v>34781</v>
      </c>
      <c r="B17672" s="15" t="s">
        <v>34782</v>
      </c>
      <c r="C17672" s="16">
        <f>138.3/(1+B2)</f>
        <v>138.30000000000001</v>
      </c>
      <c r="D17672" s="17" t="s">
        <v>11</v>
      </c>
      <c r="E17672" s="17"/>
      <c r="F17672" s="18"/>
      <c r="G17672" s="36" t="str">
        <f>IF(ISNUMBER(F17672),C17672*F17672,"")</f>
        <v/>
      </c>
    </row>
    <row r="17673" spans="1:7" ht="12" customHeight="1" outlineLevel="2" x14ac:dyDescent="0.2">
      <c r="A17673" s="14" t="s">
        <v>34783</v>
      </c>
      <c r="B17673" s="15" t="s">
        <v>34784</v>
      </c>
      <c r="C17673" s="16">
        <f>138.3/(1+B2)</f>
        <v>138.30000000000001</v>
      </c>
      <c r="D17673" s="17" t="s">
        <v>11</v>
      </c>
      <c r="E17673" s="17"/>
      <c r="F17673" s="18"/>
      <c r="G17673" s="36" t="str">
        <f>IF(ISNUMBER(F17673),C17673*F17673,"")</f>
        <v/>
      </c>
    </row>
    <row r="17674" spans="1:7" ht="12" customHeight="1" outlineLevel="2" x14ac:dyDescent="0.2">
      <c r="A17674" s="14" t="s">
        <v>34785</v>
      </c>
      <c r="B17674" s="15" t="s">
        <v>34786</v>
      </c>
      <c r="C17674" s="16">
        <f>138.3/(1+B2)</f>
        <v>138.30000000000001</v>
      </c>
      <c r="D17674" s="17" t="s">
        <v>11</v>
      </c>
      <c r="E17674" s="17"/>
      <c r="F17674" s="18"/>
      <c r="G17674" s="36" t="str">
        <f>IF(ISNUMBER(F17674),C17674*F17674,"")</f>
        <v/>
      </c>
    </row>
    <row r="17675" spans="1:7" ht="12" customHeight="1" outlineLevel="2" x14ac:dyDescent="0.2">
      <c r="A17675" s="14" t="s">
        <v>34787</v>
      </c>
      <c r="B17675" s="15" t="s">
        <v>34788</v>
      </c>
      <c r="C17675" s="16">
        <f>165.54/(1+B2)</f>
        <v>165.54</v>
      </c>
      <c r="D17675" s="17" t="s">
        <v>14</v>
      </c>
      <c r="E17675" s="17"/>
      <c r="F17675" s="18"/>
      <c r="G17675" s="36" t="str">
        <f>IF(ISNUMBER(F17675),C17675*F17675,"")</f>
        <v/>
      </c>
    </row>
    <row r="17676" spans="1:7" ht="12" customHeight="1" outlineLevel="2" x14ac:dyDescent="0.2">
      <c r="A17676" s="14" t="s">
        <v>34789</v>
      </c>
      <c r="B17676" s="15" t="s">
        <v>34790</v>
      </c>
      <c r="C17676" s="16">
        <f>22.62/(1+B2)</f>
        <v>22.62</v>
      </c>
      <c r="D17676" s="17" t="s">
        <v>11</v>
      </c>
      <c r="E17676" s="17" t="s">
        <v>14</v>
      </c>
      <c r="F17676" s="18"/>
      <c r="G17676" s="36" t="str">
        <f>IF(ISNUMBER(F17676),C17676*F17676,"")</f>
        <v/>
      </c>
    </row>
    <row r="17677" spans="1:7" ht="12" customHeight="1" outlineLevel="2" x14ac:dyDescent="0.2">
      <c r="A17677" s="14" t="s">
        <v>34791</v>
      </c>
      <c r="B17677" s="15" t="s">
        <v>34792</v>
      </c>
      <c r="C17677" s="16">
        <f>43.99/(1+B2)</f>
        <v>43.99</v>
      </c>
      <c r="D17677" s="17" t="s">
        <v>11</v>
      </c>
      <c r="E17677" s="17" t="s">
        <v>11</v>
      </c>
      <c r="F17677" s="18"/>
      <c r="G17677" s="36" t="str">
        <f>IF(ISNUMBER(F17677),C17677*F17677,"")</f>
        <v/>
      </c>
    </row>
    <row r="17678" spans="1:7" ht="12" customHeight="1" outlineLevel="2" x14ac:dyDescent="0.2">
      <c r="A17678" s="14" t="s">
        <v>34793</v>
      </c>
      <c r="B17678" s="15" t="s">
        <v>34794</v>
      </c>
      <c r="C17678" s="16">
        <f>49.32/(1+B2)</f>
        <v>49.32</v>
      </c>
      <c r="D17678" s="17" t="s">
        <v>14</v>
      </c>
      <c r="E17678" s="17" t="s">
        <v>11</v>
      </c>
      <c r="F17678" s="18"/>
      <c r="G17678" s="36" t="str">
        <f>IF(ISNUMBER(F17678),C17678*F17678,"")</f>
        <v/>
      </c>
    </row>
    <row r="17679" spans="1:7" ht="12" customHeight="1" outlineLevel="2" x14ac:dyDescent="0.2">
      <c r="A17679" s="14" t="s">
        <v>34795</v>
      </c>
      <c r="B17679" s="15" t="s">
        <v>34796</v>
      </c>
      <c r="C17679" s="16">
        <f>67.5/(1+B2)</f>
        <v>67.5</v>
      </c>
      <c r="D17679" s="17" t="s">
        <v>11</v>
      </c>
      <c r="E17679" s="17" t="s">
        <v>11</v>
      </c>
      <c r="F17679" s="18"/>
      <c r="G17679" s="36" t="str">
        <f>IF(ISNUMBER(F17679),C17679*F17679,"")</f>
        <v/>
      </c>
    </row>
    <row r="17680" spans="1:7" ht="12" customHeight="1" outlineLevel="2" x14ac:dyDescent="0.2">
      <c r="A17680" s="14" t="s">
        <v>34797</v>
      </c>
      <c r="B17680" s="15" t="s">
        <v>34798</v>
      </c>
      <c r="C17680" s="16">
        <f>76.26/(1+B2)</f>
        <v>76.260000000000005</v>
      </c>
      <c r="D17680" s="17" t="s">
        <v>11</v>
      </c>
      <c r="E17680" s="17"/>
      <c r="F17680" s="18"/>
      <c r="G17680" s="36" t="str">
        <f>IF(ISNUMBER(F17680),C17680*F17680,"")</f>
        <v/>
      </c>
    </row>
    <row r="17681" spans="1:7" ht="12" customHeight="1" outlineLevel="2" x14ac:dyDescent="0.2">
      <c r="A17681" s="14" t="s">
        <v>34799</v>
      </c>
      <c r="B17681" s="15" t="s">
        <v>34800</v>
      </c>
      <c r="C17681" s="16">
        <f>76.26/(1+B2)</f>
        <v>76.260000000000005</v>
      </c>
      <c r="D17681" s="17" t="s">
        <v>14</v>
      </c>
      <c r="E17681" s="17"/>
      <c r="F17681" s="18"/>
      <c r="G17681" s="36" t="str">
        <f>IF(ISNUMBER(F17681),C17681*F17681,"")</f>
        <v/>
      </c>
    </row>
    <row r="17682" spans="1:7" ht="12" customHeight="1" outlineLevel="2" x14ac:dyDescent="0.2">
      <c r="A17682" s="14" t="s">
        <v>34801</v>
      </c>
      <c r="B17682" s="15" t="s">
        <v>34802</v>
      </c>
      <c r="C17682" s="16">
        <f>76.26/(1+B2)</f>
        <v>76.260000000000005</v>
      </c>
      <c r="D17682" s="17" t="s">
        <v>14</v>
      </c>
      <c r="E17682" s="17"/>
      <c r="F17682" s="18"/>
      <c r="G17682" s="36" t="str">
        <f>IF(ISNUMBER(F17682),C17682*F17682,"")</f>
        <v/>
      </c>
    </row>
    <row r="17683" spans="1:7" ht="12" customHeight="1" outlineLevel="2" x14ac:dyDescent="0.2">
      <c r="A17683" s="14" t="s">
        <v>34803</v>
      </c>
      <c r="B17683" s="15" t="s">
        <v>34804</v>
      </c>
      <c r="C17683" s="16">
        <f>93.06/(1+B2)</f>
        <v>93.06</v>
      </c>
      <c r="D17683" s="17" t="s">
        <v>14</v>
      </c>
      <c r="E17683" s="17"/>
      <c r="F17683" s="18"/>
      <c r="G17683" s="36" t="str">
        <f>IF(ISNUMBER(F17683),C17683*F17683,"")</f>
        <v/>
      </c>
    </row>
    <row r="17684" spans="1:7" ht="12" customHeight="1" outlineLevel="2" x14ac:dyDescent="0.2">
      <c r="A17684" s="14" t="s">
        <v>34805</v>
      </c>
      <c r="B17684" s="15" t="s">
        <v>34806</v>
      </c>
      <c r="C17684" s="16">
        <f>83.76/(1+B2)</f>
        <v>83.76</v>
      </c>
      <c r="D17684" s="17" t="s">
        <v>53</v>
      </c>
      <c r="E17684" s="17"/>
      <c r="F17684" s="18"/>
      <c r="G17684" s="36" t="str">
        <f>IF(ISNUMBER(F17684),C17684*F17684,"")</f>
        <v/>
      </c>
    </row>
    <row r="17685" spans="1:7" ht="12" customHeight="1" outlineLevel="2" x14ac:dyDescent="0.2">
      <c r="A17685" s="14" t="s">
        <v>34807</v>
      </c>
      <c r="B17685" s="15" t="s">
        <v>34808</v>
      </c>
      <c r="C17685" s="16">
        <f>93.06/(1+B2)</f>
        <v>93.06</v>
      </c>
      <c r="D17685" s="17" t="s">
        <v>14</v>
      </c>
      <c r="E17685" s="17"/>
      <c r="F17685" s="18"/>
      <c r="G17685" s="36" t="str">
        <f>IF(ISNUMBER(F17685),C17685*F17685,"")</f>
        <v/>
      </c>
    </row>
    <row r="17686" spans="1:7" ht="12" customHeight="1" outlineLevel="2" x14ac:dyDescent="0.2">
      <c r="A17686" s="14" t="s">
        <v>34809</v>
      </c>
      <c r="B17686" s="15" t="s">
        <v>34810</v>
      </c>
      <c r="C17686" s="16">
        <f>120.23/(1+B2)</f>
        <v>120.23</v>
      </c>
      <c r="D17686" s="17" t="s">
        <v>11</v>
      </c>
      <c r="E17686" s="17"/>
      <c r="F17686" s="18"/>
      <c r="G17686" s="36" t="str">
        <f>IF(ISNUMBER(F17686),C17686*F17686,"")</f>
        <v/>
      </c>
    </row>
    <row r="17687" spans="1:7" ht="12" customHeight="1" outlineLevel="2" x14ac:dyDescent="0.2">
      <c r="A17687" s="14" t="s">
        <v>34811</v>
      </c>
      <c r="B17687" s="15" t="s">
        <v>34812</v>
      </c>
      <c r="C17687" s="16">
        <f>108.2/(1+B2)</f>
        <v>108.2</v>
      </c>
      <c r="D17687" s="17" t="s">
        <v>53</v>
      </c>
      <c r="E17687" s="17"/>
      <c r="F17687" s="18"/>
      <c r="G17687" s="36" t="str">
        <f>IF(ISNUMBER(F17687),C17687*F17687,"")</f>
        <v/>
      </c>
    </row>
    <row r="17688" spans="1:7" ht="12" customHeight="1" outlineLevel="2" x14ac:dyDescent="0.2">
      <c r="A17688" s="14" t="s">
        <v>34813</v>
      </c>
      <c r="B17688" s="15" t="s">
        <v>34814</v>
      </c>
      <c r="C17688" s="16">
        <f>120.23/(1+B2)</f>
        <v>120.23</v>
      </c>
      <c r="D17688" s="17" t="s">
        <v>14</v>
      </c>
      <c r="E17688" s="17" t="s">
        <v>14</v>
      </c>
      <c r="F17688" s="18"/>
      <c r="G17688" s="36" t="str">
        <f>IF(ISNUMBER(F17688),C17688*F17688,"")</f>
        <v/>
      </c>
    </row>
    <row r="17689" spans="1:7" ht="12" customHeight="1" outlineLevel="2" x14ac:dyDescent="0.2">
      <c r="A17689" s="14" t="s">
        <v>34815</v>
      </c>
      <c r="B17689" s="15" t="s">
        <v>34816</v>
      </c>
      <c r="C17689" s="16">
        <f>82.9/(1+B2)</f>
        <v>82.9</v>
      </c>
      <c r="D17689" s="17" t="s">
        <v>53</v>
      </c>
      <c r="E17689" s="17"/>
      <c r="F17689" s="18"/>
      <c r="G17689" s="36" t="str">
        <f>IF(ISNUMBER(F17689),C17689*F17689,"")</f>
        <v/>
      </c>
    </row>
    <row r="17690" spans="1:7" s="1" customFormat="1" ht="15.95" customHeight="1" outlineLevel="1" x14ac:dyDescent="0.25">
      <c r="A17690" s="11"/>
      <c r="B17690" s="12" t="s">
        <v>34817</v>
      </c>
      <c r="C17690" s="13"/>
      <c r="D17690" s="13"/>
      <c r="E17690" s="13"/>
      <c r="F17690" s="13"/>
      <c r="G17690" s="35"/>
    </row>
    <row r="17691" spans="1:7" ht="12" customHeight="1" outlineLevel="2" x14ac:dyDescent="0.2">
      <c r="A17691" s="14" t="s">
        <v>34818</v>
      </c>
      <c r="B17691" s="15" t="s">
        <v>34819</v>
      </c>
      <c r="C17691" s="16">
        <f>136.03/(1+B2)</f>
        <v>136.03</v>
      </c>
      <c r="D17691" s="17" t="s">
        <v>11</v>
      </c>
      <c r="E17691" s="17"/>
      <c r="F17691" s="18"/>
      <c r="G17691" s="36" t="str">
        <f>IF(ISNUMBER(F17691),C17691*F17691,"")</f>
        <v/>
      </c>
    </row>
    <row r="17692" spans="1:7" ht="12" customHeight="1" outlineLevel="2" x14ac:dyDescent="0.2">
      <c r="A17692" s="14" t="s">
        <v>34820</v>
      </c>
      <c r="B17692" s="15" t="s">
        <v>34821</v>
      </c>
      <c r="C17692" s="16">
        <f>72.13/(1+B2)</f>
        <v>72.13</v>
      </c>
      <c r="D17692" s="17" t="s">
        <v>11</v>
      </c>
      <c r="E17692" s="17"/>
      <c r="F17692" s="18"/>
      <c r="G17692" s="36" t="str">
        <f>IF(ISNUMBER(F17692),C17692*F17692,"")</f>
        <v/>
      </c>
    </row>
    <row r="17693" spans="1:7" ht="12" customHeight="1" outlineLevel="2" x14ac:dyDescent="0.2">
      <c r="A17693" s="14" t="s">
        <v>34822</v>
      </c>
      <c r="B17693" s="15" t="s">
        <v>34823</v>
      </c>
      <c r="C17693" s="16">
        <f>31.56/(1+B2)</f>
        <v>31.56</v>
      </c>
      <c r="D17693" s="17" t="s">
        <v>53</v>
      </c>
      <c r="E17693" s="17" t="s">
        <v>53</v>
      </c>
      <c r="F17693" s="18"/>
      <c r="G17693" s="36" t="str">
        <f>IF(ISNUMBER(F17693),C17693*F17693,"")</f>
        <v/>
      </c>
    </row>
    <row r="17694" spans="1:7" ht="12" customHeight="1" outlineLevel="2" x14ac:dyDescent="0.2">
      <c r="A17694" s="14" t="s">
        <v>34824</v>
      </c>
      <c r="B17694" s="15" t="s">
        <v>34825</v>
      </c>
      <c r="C17694" s="16">
        <f>47.88/(1+B2)</f>
        <v>47.88</v>
      </c>
      <c r="D17694" s="17" t="s">
        <v>11</v>
      </c>
      <c r="E17694" s="17"/>
      <c r="F17694" s="18"/>
      <c r="G17694" s="36" t="str">
        <f>IF(ISNUMBER(F17694),C17694*F17694,"")</f>
        <v/>
      </c>
    </row>
    <row r="17695" spans="1:7" ht="12" customHeight="1" outlineLevel="2" x14ac:dyDescent="0.2">
      <c r="A17695" s="14" t="s">
        <v>34826</v>
      </c>
      <c r="B17695" s="15" t="s">
        <v>34827</v>
      </c>
      <c r="C17695" s="16">
        <f>44.1/(1+B2)</f>
        <v>44.1</v>
      </c>
      <c r="D17695" s="17" t="s">
        <v>14</v>
      </c>
      <c r="E17695" s="17"/>
      <c r="F17695" s="18"/>
      <c r="G17695" s="36" t="str">
        <f>IF(ISNUMBER(F17695),C17695*F17695,"")</f>
        <v/>
      </c>
    </row>
    <row r="17696" spans="1:7" ht="12" customHeight="1" outlineLevel="2" x14ac:dyDescent="0.2">
      <c r="A17696" s="14" t="s">
        <v>34828</v>
      </c>
      <c r="B17696" s="15" t="s">
        <v>34829</v>
      </c>
      <c r="C17696" s="16">
        <f>56.28/(1+B2)</f>
        <v>56.28</v>
      </c>
      <c r="D17696" s="17" t="s">
        <v>11</v>
      </c>
      <c r="E17696" s="17" t="s">
        <v>14</v>
      </c>
      <c r="F17696" s="18"/>
      <c r="G17696" s="36" t="str">
        <f>IF(ISNUMBER(F17696),C17696*F17696,"")</f>
        <v/>
      </c>
    </row>
    <row r="17697" spans="1:7" ht="12" customHeight="1" outlineLevel="2" x14ac:dyDescent="0.2">
      <c r="A17697" s="14" t="s">
        <v>34830</v>
      </c>
      <c r="B17697" s="15" t="s">
        <v>34831</v>
      </c>
      <c r="C17697" s="16">
        <f>39.58/(1+B2)</f>
        <v>39.58</v>
      </c>
      <c r="D17697" s="17" t="s">
        <v>11</v>
      </c>
      <c r="E17697" s="17"/>
      <c r="F17697" s="18"/>
      <c r="G17697" s="36" t="str">
        <f>IF(ISNUMBER(F17697),C17697*F17697,"")</f>
        <v/>
      </c>
    </row>
    <row r="17698" spans="1:7" ht="12" customHeight="1" outlineLevel="2" x14ac:dyDescent="0.2">
      <c r="A17698" s="14" t="s">
        <v>34832</v>
      </c>
      <c r="B17698" s="15" t="s">
        <v>34833</v>
      </c>
      <c r="C17698" s="16">
        <f>55.68/(1+B2)</f>
        <v>55.68</v>
      </c>
      <c r="D17698" s="17" t="s">
        <v>14</v>
      </c>
      <c r="E17698" s="17"/>
      <c r="F17698" s="18"/>
      <c r="G17698" s="36" t="str">
        <f>IF(ISNUMBER(F17698),C17698*F17698,"")</f>
        <v/>
      </c>
    </row>
    <row r="17699" spans="1:7" ht="12" customHeight="1" outlineLevel="2" x14ac:dyDescent="0.2">
      <c r="A17699" s="14" t="s">
        <v>34834</v>
      </c>
      <c r="B17699" s="15" t="s">
        <v>34835</v>
      </c>
      <c r="C17699" s="16">
        <f>45.3/(1+B2)</f>
        <v>45.3</v>
      </c>
      <c r="D17699" s="17" t="s">
        <v>14</v>
      </c>
      <c r="E17699" s="17"/>
      <c r="F17699" s="18"/>
      <c r="G17699" s="36" t="str">
        <f>IF(ISNUMBER(F17699),C17699*F17699,"")</f>
        <v/>
      </c>
    </row>
    <row r="17700" spans="1:7" ht="12" customHeight="1" outlineLevel="2" x14ac:dyDescent="0.2">
      <c r="A17700" s="14" t="s">
        <v>34836</v>
      </c>
      <c r="B17700" s="15" t="s">
        <v>34837</v>
      </c>
      <c r="C17700" s="16">
        <f>59.58/(1+B2)</f>
        <v>59.58</v>
      </c>
      <c r="D17700" s="17" t="s">
        <v>11</v>
      </c>
      <c r="E17700" s="17" t="s">
        <v>11</v>
      </c>
      <c r="F17700" s="18"/>
      <c r="G17700" s="36" t="str">
        <f>IF(ISNUMBER(F17700),C17700*F17700,"")</f>
        <v/>
      </c>
    </row>
    <row r="17701" spans="1:7" ht="12" customHeight="1" outlineLevel="2" x14ac:dyDescent="0.2">
      <c r="A17701" s="14" t="s">
        <v>34838</v>
      </c>
      <c r="B17701" s="15" t="s">
        <v>34839</v>
      </c>
      <c r="C17701" s="16">
        <f>64.44/(1+B2)</f>
        <v>64.44</v>
      </c>
      <c r="D17701" s="17" t="s">
        <v>11</v>
      </c>
      <c r="E17701" s="17"/>
      <c r="F17701" s="18"/>
      <c r="G17701" s="36" t="str">
        <f>IF(ISNUMBER(F17701),C17701*F17701,"")</f>
        <v/>
      </c>
    </row>
    <row r="17702" spans="1:7" ht="12" customHeight="1" outlineLevel="2" x14ac:dyDescent="0.2">
      <c r="A17702" s="14" t="s">
        <v>34840</v>
      </c>
      <c r="B17702" s="15" t="s">
        <v>34841</v>
      </c>
      <c r="C17702" s="16">
        <f>71.88/(1+B2)</f>
        <v>71.88</v>
      </c>
      <c r="D17702" s="17" t="s">
        <v>11</v>
      </c>
      <c r="E17702" s="17" t="s">
        <v>11</v>
      </c>
      <c r="F17702" s="18"/>
      <c r="G17702" s="36" t="str">
        <f>IF(ISNUMBER(F17702),C17702*F17702,"")</f>
        <v/>
      </c>
    </row>
    <row r="17703" spans="1:7" ht="12" customHeight="1" outlineLevel="2" x14ac:dyDescent="0.2">
      <c r="A17703" s="14" t="s">
        <v>34842</v>
      </c>
      <c r="B17703" s="15" t="s">
        <v>34843</v>
      </c>
      <c r="C17703" s="16">
        <f>62.22/(1+B2)</f>
        <v>62.22</v>
      </c>
      <c r="D17703" s="17" t="s">
        <v>11</v>
      </c>
      <c r="E17703" s="17" t="s">
        <v>11</v>
      </c>
      <c r="F17703" s="18"/>
      <c r="G17703" s="36" t="str">
        <f>IF(ISNUMBER(F17703),C17703*F17703,"")</f>
        <v/>
      </c>
    </row>
    <row r="17704" spans="1:7" ht="12" customHeight="1" outlineLevel="2" x14ac:dyDescent="0.2">
      <c r="A17704" s="14" t="s">
        <v>34844</v>
      </c>
      <c r="B17704" s="15" t="s">
        <v>34845</v>
      </c>
      <c r="C17704" s="16">
        <f>78.36/(1+B2)</f>
        <v>78.36</v>
      </c>
      <c r="D17704" s="17" t="s">
        <v>11</v>
      </c>
      <c r="E17704" s="17"/>
      <c r="F17704" s="18"/>
      <c r="G17704" s="36" t="str">
        <f>IF(ISNUMBER(F17704),C17704*F17704,"")</f>
        <v/>
      </c>
    </row>
    <row r="17705" spans="1:7" ht="12" customHeight="1" outlineLevel="2" x14ac:dyDescent="0.2">
      <c r="A17705" s="14" t="s">
        <v>34846</v>
      </c>
      <c r="B17705" s="15" t="s">
        <v>34847</v>
      </c>
      <c r="C17705" s="16">
        <f>99.78/(1+B2)</f>
        <v>99.78</v>
      </c>
      <c r="D17705" s="17" t="s">
        <v>11</v>
      </c>
      <c r="E17705" s="17" t="s">
        <v>11</v>
      </c>
      <c r="F17705" s="18"/>
      <c r="G17705" s="36" t="str">
        <f>IF(ISNUMBER(F17705),C17705*F17705,"")</f>
        <v/>
      </c>
    </row>
    <row r="17706" spans="1:7" ht="12" customHeight="1" outlineLevel="2" x14ac:dyDescent="0.2">
      <c r="A17706" s="14" t="s">
        <v>34848</v>
      </c>
      <c r="B17706" s="15" t="s">
        <v>34849</v>
      </c>
      <c r="C17706" s="16">
        <f>55.44/(1+B2)</f>
        <v>55.44</v>
      </c>
      <c r="D17706" s="17" t="s">
        <v>11</v>
      </c>
      <c r="E17706" s="17"/>
      <c r="F17706" s="18"/>
      <c r="G17706" s="36" t="str">
        <f>IF(ISNUMBER(F17706),C17706*F17706,"")</f>
        <v/>
      </c>
    </row>
    <row r="17707" spans="1:7" ht="12" customHeight="1" outlineLevel="2" x14ac:dyDescent="0.2">
      <c r="A17707" s="14" t="s">
        <v>34850</v>
      </c>
      <c r="B17707" s="15" t="s">
        <v>34851</v>
      </c>
      <c r="C17707" s="16">
        <f>47.87/(1+B2)</f>
        <v>47.87</v>
      </c>
      <c r="D17707" s="17" t="s">
        <v>11</v>
      </c>
      <c r="E17707" s="17"/>
      <c r="F17707" s="18"/>
      <c r="G17707" s="36" t="str">
        <f>IF(ISNUMBER(F17707),C17707*F17707,"")</f>
        <v/>
      </c>
    </row>
    <row r="17708" spans="1:7" ht="12" customHeight="1" outlineLevel="2" x14ac:dyDescent="0.2">
      <c r="A17708" s="14" t="s">
        <v>34852</v>
      </c>
      <c r="B17708" s="15" t="s">
        <v>34853</v>
      </c>
      <c r="C17708" s="16">
        <f>51/(1+B2)</f>
        <v>51</v>
      </c>
      <c r="D17708" s="17" t="s">
        <v>11</v>
      </c>
      <c r="E17708" s="17"/>
      <c r="F17708" s="18"/>
      <c r="G17708" s="36" t="str">
        <f>IF(ISNUMBER(F17708),C17708*F17708,"")</f>
        <v/>
      </c>
    </row>
    <row r="17709" spans="1:7" ht="12" customHeight="1" outlineLevel="2" x14ac:dyDescent="0.2">
      <c r="A17709" s="14" t="s">
        <v>34854</v>
      </c>
      <c r="B17709" s="15" t="s">
        <v>34855</v>
      </c>
      <c r="C17709" s="16">
        <f>65.78/(1+B2)</f>
        <v>65.78</v>
      </c>
      <c r="D17709" s="17" t="s">
        <v>11</v>
      </c>
      <c r="E17709" s="17"/>
      <c r="F17709" s="18"/>
      <c r="G17709" s="36" t="str">
        <f>IF(ISNUMBER(F17709),C17709*F17709,"")</f>
        <v/>
      </c>
    </row>
    <row r="17710" spans="1:7" ht="12" customHeight="1" outlineLevel="2" x14ac:dyDescent="0.2">
      <c r="A17710" s="14" t="s">
        <v>34856</v>
      </c>
      <c r="B17710" s="15" t="s">
        <v>34857</v>
      </c>
      <c r="C17710" s="16">
        <f>77.64/(1+B2)</f>
        <v>77.64</v>
      </c>
      <c r="D17710" s="17" t="s">
        <v>11</v>
      </c>
      <c r="E17710" s="17"/>
      <c r="F17710" s="18"/>
      <c r="G17710" s="36" t="str">
        <f>IF(ISNUMBER(F17710),C17710*F17710,"")</f>
        <v/>
      </c>
    </row>
    <row r="17711" spans="1:7" ht="24" customHeight="1" outlineLevel="2" x14ac:dyDescent="0.2">
      <c r="A17711" s="14" t="s">
        <v>34858</v>
      </c>
      <c r="B17711" s="15" t="s">
        <v>34859</v>
      </c>
      <c r="C17711" s="16">
        <f>102.61/(1+B2)</f>
        <v>102.61</v>
      </c>
      <c r="D17711" s="17" t="s">
        <v>11</v>
      </c>
      <c r="E17711" s="17" t="s">
        <v>53</v>
      </c>
      <c r="F17711" s="18"/>
      <c r="G17711" s="36" t="str">
        <f>IF(ISNUMBER(F17711),C17711*F17711,"")</f>
        <v/>
      </c>
    </row>
    <row r="17712" spans="1:7" ht="24" customHeight="1" outlineLevel="2" x14ac:dyDescent="0.2">
      <c r="A17712" s="14" t="s">
        <v>34860</v>
      </c>
      <c r="B17712" s="15" t="s">
        <v>34861</v>
      </c>
      <c r="C17712" s="16">
        <f>80.98/(1+B2)</f>
        <v>80.98</v>
      </c>
      <c r="D17712" s="17" t="s">
        <v>53</v>
      </c>
      <c r="E17712" s="17" t="s">
        <v>11</v>
      </c>
      <c r="F17712" s="18"/>
      <c r="G17712" s="36" t="str">
        <f>IF(ISNUMBER(F17712),C17712*F17712,"")</f>
        <v/>
      </c>
    </row>
    <row r="17713" spans="1:7" ht="12" customHeight="1" outlineLevel="2" x14ac:dyDescent="0.2">
      <c r="A17713" s="14" t="s">
        <v>34862</v>
      </c>
      <c r="B17713" s="15" t="s">
        <v>34863</v>
      </c>
      <c r="C17713" s="16">
        <f>65.83/(1+B2)</f>
        <v>65.83</v>
      </c>
      <c r="D17713" s="17" t="s">
        <v>14</v>
      </c>
      <c r="E17713" s="17" t="s">
        <v>11</v>
      </c>
      <c r="F17713" s="18"/>
      <c r="G17713" s="36" t="str">
        <f>IF(ISNUMBER(F17713),C17713*F17713,"")</f>
        <v/>
      </c>
    </row>
    <row r="17714" spans="1:7" ht="12" customHeight="1" outlineLevel="2" x14ac:dyDescent="0.2">
      <c r="A17714" s="14" t="s">
        <v>34864</v>
      </c>
      <c r="B17714" s="15" t="s">
        <v>34865</v>
      </c>
      <c r="C17714" s="16">
        <f>84.92/(1+B2)</f>
        <v>84.92</v>
      </c>
      <c r="D17714" s="17" t="s">
        <v>11</v>
      </c>
      <c r="E17714" s="17"/>
      <c r="F17714" s="18"/>
      <c r="G17714" s="36" t="str">
        <f>IF(ISNUMBER(F17714),C17714*F17714,"")</f>
        <v/>
      </c>
    </row>
    <row r="17715" spans="1:7" ht="12" customHeight="1" outlineLevel="2" x14ac:dyDescent="0.2">
      <c r="A17715" s="14" t="s">
        <v>34866</v>
      </c>
      <c r="B17715" s="15" t="s">
        <v>34867</v>
      </c>
      <c r="C17715" s="16">
        <f>31.8/(1+B2)</f>
        <v>31.8</v>
      </c>
      <c r="D17715" s="17" t="s">
        <v>11</v>
      </c>
      <c r="E17715" s="17"/>
      <c r="F17715" s="18"/>
      <c r="G17715" s="36" t="str">
        <f>IF(ISNUMBER(F17715),C17715*F17715,"")</f>
        <v/>
      </c>
    </row>
    <row r="17716" spans="1:7" ht="12" customHeight="1" outlineLevel="2" x14ac:dyDescent="0.2">
      <c r="A17716" s="14" t="s">
        <v>34868</v>
      </c>
      <c r="B17716" s="15" t="s">
        <v>34869</v>
      </c>
      <c r="C17716" s="16">
        <f>39.4/(1+B2)</f>
        <v>39.4</v>
      </c>
      <c r="D17716" s="17" t="s">
        <v>11</v>
      </c>
      <c r="E17716" s="17"/>
      <c r="F17716" s="18"/>
      <c r="G17716" s="36" t="str">
        <f>IF(ISNUMBER(F17716),C17716*F17716,"")</f>
        <v/>
      </c>
    </row>
    <row r="17717" spans="1:7" ht="12" customHeight="1" outlineLevel="2" x14ac:dyDescent="0.2">
      <c r="A17717" s="14" t="s">
        <v>34870</v>
      </c>
      <c r="B17717" s="15" t="s">
        <v>34871</v>
      </c>
      <c r="C17717" s="16">
        <f>38.52/(1+B2)</f>
        <v>38.520000000000003</v>
      </c>
      <c r="D17717" s="17" t="s">
        <v>11</v>
      </c>
      <c r="E17717" s="17" t="s">
        <v>11</v>
      </c>
      <c r="F17717" s="18"/>
      <c r="G17717" s="36" t="str">
        <f>IF(ISNUMBER(F17717),C17717*F17717,"")</f>
        <v/>
      </c>
    </row>
    <row r="17718" spans="1:7" ht="12" customHeight="1" outlineLevel="2" x14ac:dyDescent="0.2">
      <c r="A17718" s="14" t="s">
        <v>34872</v>
      </c>
      <c r="B17718" s="15" t="s">
        <v>34873</v>
      </c>
      <c r="C17718" s="16">
        <f>47.82/(1+B2)</f>
        <v>47.82</v>
      </c>
      <c r="D17718" s="17" t="s">
        <v>11</v>
      </c>
      <c r="E17718" s="17" t="s">
        <v>11</v>
      </c>
      <c r="F17718" s="18"/>
      <c r="G17718" s="36" t="str">
        <f>IF(ISNUMBER(F17718),C17718*F17718,"")</f>
        <v/>
      </c>
    </row>
    <row r="17719" spans="1:7" ht="12" customHeight="1" outlineLevel="2" x14ac:dyDescent="0.2">
      <c r="A17719" s="14" t="s">
        <v>34874</v>
      </c>
      <c r="B17719" s="15" t="s">
        <v>34875</v>
      </c>
      <c r="C17719" s="16">
        <f>59.52/(1+B2)</f>
        <v>59.52</v>
      </c>
      <c r="D17719" s="17" t="s">
        <v>11</v>
      </c>
      <c r="E17719" s="17" t="s">
        <v>11</v>
      </c>
      <c r="F17719" s="18"/>
      <c r="G17719" s="36" t="str">
        <f>IF(ISNUMBER(F17719),C17719*F17719,"")</f>
        <v/>
      </c>
    </row>
    <row r="17720" spans="1:7" ht="12" customHeight="1" outlineLevel="2" x14ac:dyDescent="0.2">
      <c r="A17720" s="14" t="s">
        <v>34876</v>
      </c>
      <c r="B17720" s="15" t="s">
        <v>34877</v>
      </c>
      <c r="C17720" s="16">
        <f>35.87/(1+B2)</f>
        <v>35.869999999999997</v>
      </c>
      <c r="D17720" s="17" t="s">
        <v>14</v>
      </c>
      <c r="E17720" s="17"/>
      <c r="F17720" s="18"/>
      <c r="G17720" s="36" t="str">
        <f>IF(ISNUMBER(F17720),C17720*F17720,"")</f>
        <v/>
      </c>
    </row>
    <row r="17721" spans="1:7" ht="12" customHeight="1" outlineLevel="2" x14ac:dyDescent="0.2">
      <c r="A17721" s="14" t="s">
        <v>34878</v>
      </c>
      <c r="B17721" s="15" t="s">
        <v>34879</v>
      </c>
      <c r="C17721" s="16">
        <f>49.24/(1+B2)</f>
        <v>49.24</v>
      </c>
      <c r="D17721" s="17" t="s">
        <v>11</v>
      </c>
      <c r="E17721" s="17"/>
      <c r="F17721" s="18"/>
      <c r="G17721" s="36" t="str">
        <f>IF(ISNUMBER(F17721),C17721*F17721,"")</f>
        <v/>
      </c>
    </row>
    <row r="17722" spans="1:7" ht="12" customHeight="1" outlineLevel="2" x14ac:dyDescent="0.2">
      <c r="A17722" s="14" t="s">
        <v>34880</v>
      </c>
      <c r="B17722" s="15" t="s">
        <v>34881</v>
      </c>
      <c r="C17722" s="16">
        <f>48.53/(1+B2)</f>
        <v>48.53</v>
      </c>
      <c r="D17722" s="17" t="s">
        <v>11</v>
      </c>
      <c r="E17722" s="17"/>
      <c r="F17722" s="18"/>
      <c r="G17722" s="36" t="str">
        <f>IF(ISNUMBER(F17722),C17722*F17722,"")</f>
        <v/>
      </c>
    </row>
    <row r="17723" spans="1:7" ht="12" customHeight="1" outlineLevel="2" x14ac:dyDescent="0.2">
      <c r="A17723" s="14" t="s">
        <v>34882</v>
      </c>
      <c r="B17723" s="15" t="s">
        <v>34883</v>
      </c>
      <c r="C17723" s="16">
        <f>89.54/(1+B2)</f>
        <v>89.54</v>
      </c>
      <c r="D17723" s="17" t="s">
        <v>53</v>
      </c>
      <c r="E17723" s="17" t="s">
        <v>53</v>
      </c>
      <c r="F17723" s="18"/>
      <c r="G17723" s="36" t="str">
        <f>IF(ISNUMBER(F17723),C17723*F17723,"")</f>
        <v/>
      </c>
    </row>
    <row r="17724" spans="1:7" ht="12" customHeight="1" outlineLevel="2" x14ac:dyDescent="0.2">
      <c r="A17724" s="14" t="s">
        <v>34884</v>
      </c>
      <c r="B17724" s="15" t="s">
        <v>34885</v>
      </c>
      <c r="C17724" s="16">
        <f>51.28/(1+B2)</f>
        <v>51.28</v>
      </c>
      <c r="D17724" s="17" t="s">
        <v>11</v>
      </c>
      <c r="E17724" s="17"/>
      <c r="F17724" s="18"/>
      <c r="G17724" s="36" t="str">
        <f>IF(ISNUMBER(F17724),C17724*F17724,"")</f>
        <v/>
      </c>
    </row>
    <row r="17725" spans="1:7" ht="12" customHeight="1" outlineLevel="2" x14ac:dyDescent="0.2">
      <c r="A17725" s="14" t="s">
        <v>34886</v>
      </c>
      <c r="B17725" s="15" t="s">
        <v>34887</v>
      </c>
      <c r="C17725" s="16">
        <f>68.4/(1+B2)</f>
        <v>68.400000000000006</v>
      </c>
      <c r="D17725" s="17" t="s">
        <v>14</v>
      </c>
      <c r="E17725" s="17" t="s">
        <v>11</v>
      </c>
      <c r="F17725" s="18"/>
      <c r="G17725" s="36" t="str">
        <f>IF(ISNUMBER(F17725),C17725*F17725,"")</f>
        <v/>
      </c>
    </row>
    <row r="17726" spans="1:7" ht="12" customHeight="1" outlineLevel="2" x14ac:dyDescent="0.2">
      <c r="A17726" s="14" t="s">
        <v>34888</v>
      </c>
      <c r="B17726" s="15" t="s">
        <v>34889</v>
      </c>
      <c r="C17726" s="16">
        <f>102.04/(1+B2)</f>
        <v>102.04</v>
      </c>
      <c r="D17726" s="17" t="s">
        <v>14</v>
      </c>
      <c r="E17726" s="17"/>
      <c r="F17726" s="18"/>
      <c r="G17726" s="36" t="str">
        <f>IF(ISNUMBER(F17726),C17726*F17726,"")</f>
        <v/>
      </c>
    </row>
    <row r="17727" spans="1:7" ht="24" customHeight="1" outlineLevel="2" x14ac:dyDescent="0.2">
      <c r="A17727" s="14" t="s">
        <v>34890</v>
      </c>
      <c r="B17727" s="15" t="s">
        <v>34891</v>
      </c>
      <c r="C17727" s="16">
        <f>99.36/(1+B2)</f>
        <v>99.36</v>
      </c>
      <c r="D17727" s="17" t="s">
        <v>11</v>
      </c>
      <c r="E17727" s="17" t="s">
        <v>14</v>
      </c>
      <c r="F17727" s="18"/>
      <c r="G17727" s="36" t="str">
        <f>IF(ISNUMBER(F17727),C17727*F17727,"")</f>
        <v/>
      </c>
    </row>
    <row r="17728" spans="1:7" ht="12" customHeight="1" outlineLevel="2" x14ac:dyDescent="0.2">
      <c r="A17728" s="14" t="s">
        <v>34892</v>
      </c>
      <c r="B17728" s="15" t="s">
        <v>34893</v>
      </c>
      <c r="C17728" s="16">
        <f>193.82/(1+B2)</f>
        <v>193.82</v>
      </c>
      <c r="D17728" s="17" t="s">
        <v>14</v>
      </c>
      <c r="E17728" s="17" t="s">
        <v>11</v>
      </c>
      <c r="F17728" s="18"/>
      <c r="G17728" s="36" t="str">
        <f>IF(ISNUMBER(F17728),C17728*F17728,"")</f>
        <v/>
      </c>
    </row>
    <row r="17729" spans="1:7" ht="12" customHeight="1" outlineLevel="2" x14ac:dyDescent="0.2">
      <c r="A17729" s="14" t="s">
        <v>34894</v>
      </c>
      <c r="B17729" s="15" t="s">
        <v>34895</v>
      </c>
      <c r="C17729" s="16">
        <f>73.49/(1+B2)</f>
        <v>73.489999999999995</v>
      </c>
      <c r="D17729" s="17" t="s">
        <v>14</v>
      </c>
      <c r="E17729" s="17"/>
      <c r="F17729" s="18"/>
      <c r="G17729" s="36" t="str">
        <f>IF(ISNUMBER(F17729),C17729*F17729,"")</f>
        <v/>
      </c>
    </row>
    <row r="17730" spans="1:7" ht="24" customHeight="1" outlineLevel="2" x14ac:dyDescent="0.2">
      <c r="A17730" s="14" t="s">
        <v>34896</v>
      </c>
      <c r="B17730" s="15" t="s">
        <v>34897</v>
      </c>
      <c r="C17730" s="16">
        <f>206.63/(1+B2)</f>
        <v>206.63</v>
      </c>
      <c r="D17730" s="17" t="s">
        <v>11</v>
      </c>
      <c r="E17730" s="17"/>
      <c r="F17730" s="18"/>
      <c r="G17730" s="36" t="str">
        <f>IF(ISNUMBER(F17730),C17730*F17730,"")</f>
        <v/>
      </c>
    </row>
    <row r="17731" spans="1:7" ht="24" customHeight="1" outlineLevel="2" x14ac:dyDescent="0.2">
      <c r="A17731" s="14" t="s">
        <v>34898</v>
      </c>
      <c r="B17731" s="15" t="s">
        <v>34899</v>
      </c>
      <c r="C17731" s="16">
        <f>132.43/(1+B2)</f>
        <v>132.43</v>
      </c>
      <c r="D17731" s="17" t="s">
        <v>53</v>
      </c>
      <c r="E17731" s="17"/>
      <c r="F17731" s="18"/>
      <c r="G17731" s="36" t="str">
        <f>IF(ISNUMBER(F17731),C17731*F17731,"")</f>
        <v/>
      </c>
    </row>
    <row r="17732" spans="1:7" ht="24" customHeight="1" outlineLevel="2" x14ac:dyDescent="0.2">
      <c r="A17732" s="14" t="s">
        <v>34900</v>
      </c>
      <c r="B17732" s="15" t="s">
        <v>34901</v>
      </c>
      <c r="C17732" s="16">
        <f>140.58/(1+B2)</f>
        <v>140.58000000000001</v>
      </c>
      <c r="D17732" s="17" t="s">
        <v>11</v>
      </c>
      <c r="E17732" s="17"/>
      <c r="F17732" s="18"/>
      <c r="G17732" s="36" t="str">
        <f>IF(ISNUMBER(F17732),C17732*F17732,"")</f>
        <v/>
      </c>
    </row>
    <row r="17733" spans="1:7" ht="24" customHeight="1" outlineLevel="2" x14ac:dyDescent="0.2">
      <c r="A17733" s="14" t="s">
        <v>34902</v>
      </c>
      <c r="B17733" s="15" t="s">
        <v>34903</v>
      </c>
      <c r="C17733" s="16">
        <f>150.25/(1+B2)</f>
        <v>150.25</v>
      </c>
      <c r="D17733" s="17" t="s">
        <v>14</v>
      </c>
      <c r="E17733" s="17"/>
      <c r="F17733" s="18"/>
      <c r="G17733" s="36" t="str">
        <f>IF(ISNUMBER(F17733),C17733*F17733,"")</f>
        <v/>
      </c>
    </row>
    <row r="17734" spans="1:7" ht="24" customHeight="1" outlineLevel="2" x14ac:dyDescent="0.2">
      <c r="A17734" s="14" t="s">
        <v>34904</v>
      </c>
      <c r="B17734" s="15" t="s">
        <v>34905</v>
      </c>
      <c r="C17734" s="16">
        <f>257.91/(1+B2)</f>
        <v>257.91000000000003</v>
      </c>
      <c r="D17734" s="17" t="s">
        <v>11</v>
      </c>
      <c r="E17734" s="17"/>
      <c r="F17734" s="18"/>
      <c r="G17734" s="36" t="str">
        <f>IF(ISNUMBER(F17734),C17734*F17734,"")</f>
        <v/>
      </c>
    </row>
    <row r="17735" spans="1:7" ht="12" customHeight="1" outlineLevel="2" x14ac:dyDescent="0.2">
      <c r="A17735" s="14" t="s">
        <v>34906</v>
      </c>
      <c r="B17735" s="15" t="s">
        <v>34907</v>
      </c>
      <c r="C17735" s="16">
        <f>93.98/(1+B2)</f>
        <v>93.98</v>
      </c>
      <c r="D17735" s="17" t="s">
        <v>11</v>
      </c>
      <c r="E17735" s="17" t="s">
        <v>14</v>
      </c>
      <c r="F17735" s="18"/>
      <c r="G17735" s="36" t="str">
        <f>IF(ISNUMBER(F17735),C17735*F17735,"")</f>
        <v/>
      </c>
    </row>
    <row r="17736" spans="1:7" ht="24" customHeight="1" outlineLevel="2" x14ac:dyDescent="0.2">
      <c r="A17736" s="14" t="s">
        <v>34908</v>
      </c>
      <c r="B17736" s="15" t="s">
        <v>34909</v>
      </c>
      <c r="C17736" s="16">
        <f>182.89/(1+B2)</f>
        <v>182.89</v>
      </c>
      <c r="D17736" s="17" t="s">
        <v>11</v>
      </c>
      <c r="E17736" s="17" t="s">
        <v>53</v>
      </c>
      <c r="F17736" s="18"/>
      <c r="G17736" s="36" t="str">
        <f>IF(ISNUMBER(F17736),C17736*F17736,"")</f>
        <v/>
      </c>
    </row>
    <row r="17737" spans="1:7" ht="24" customHeight="1" outlineLevel="2" x14ac:dyDescent="0.2">
      <c r="A17737" s="14" t="s">
        <v>34910</v>
      </c>
      <c r="B17737" s="15" t="s">
        <v>34911</v>
      </c>
      <c r="C17737" s="16">
        <f>127.9/(1+B2)</f>
        <v>127.9</v>
      </c>
      <c r="D17737" s="17" t="s">
        <v>11</v>
      </c>
      <c r="E17737" s="17"/>
      <c r="F17737" s="18"/>
      <c r="G17737" s="36" t="str">
        <f>IF(ISNUMBER(F17737),C17737*F17737,"")</f>
        <v/>
      </c>
    </row>
    <row r="17738" spans="1:7" ht="24" customHeight="1" outlineLevel="2" x14ac:dyDescent="0.2">
      <c r="A17738" s="14" t="s">
        <v>34912</v>
      </c>
      <c r="B17738" s="15" t="s">
        <v>34913</v>
      </c>
      <c r="C17738" s="16">
        <f>130.27/(1+B2)</f>
        <v>130.27000000000001</v>
      </c>
      <c r="D17738" s="17" t="s">
        <v>11</v>
      </c>
      <c r="E17738" s="17" t="s">
        <v>11</v>
      </c>
      <c r="F17738" s="18"/>
      <c r="G17738" s="36" t="str">
        <f>IF(ISNUMBER(F17738),C17738*F17738,"")</f>
        <v/>
      </c>
    </row>
    <row r="17739" spans="1:7" ht="12" customHeight="1" outlineLevel="2" x14ac:dyDescent="0.2">
      <c r="A17739" s="14" t="s">
        <v>34914</v>
      </c>
      <c r="B17739" s="15" t="s">
        <v>34915</v>
      </c>
      <c r="C17739" s="16">
        <f>131.69/(1+B2)</f>
        <v>131.69</v>
      </c>
      <c r="D17739" s="17" t="s">
        <v>14</v>
      </c>
      <c r="E17739" s="17"/>
      <c r="F17739" s="18"/>
      <c r="G17739" s="36" t="str">
        <f>IF(ISNUMBER(F17739),C17739*F17739,"")</f>
        <v/>
      </c>
    </row>
    <row r="17740" spans="1:7" ht="12" customHeight="1" outlineLevel="2" x14ac:dyDescent="0.2">
      <c r="A17740" s="14" t="s">
        <v>34916</v>
      </c>
      <c r="B17740" s="15" t="s">
        <v>34917</v>
      </c>
      <c r="C17740" s="16">
        <f>135.11/(1+B2)</f>
        <v>135.11000000000001</v>
      </c>
      <c r="D17740" s="17" t="s">
        <v>14</v>
      </c>
      <c r="E17740" s="17" t="s">
        <v>14</v>
      </c>
      <c r="F17740" s="18"/>
      <c r="G17740" s="36" t="str">
        <f>IF(ISNUMBER(F17740),C17740*F17740,"")</f>
        <v/>
      </c>
    </row>
    <row r="17741" spans="1:7" ht="12" customHeight="1" outlineLevel="2" x14ac:dyDescent="0.2">
      <c r="A17741" s="14" t="s">
        <v>34918</v>
      </c>
      <c r="B17741" s="15" t="s">
        <v>34919</v>
      </c>
      <c r="C17741" s="16">
        <f>138.98/(1+B2)</f>
        <v>138.97999999999999</v>
      </c>
      <c r="D17741" s="17" t="s">
        <v>11</v>
      </c>
      <c r="E17741" s="17" t="s">
        <v>11</v>
      </c>
      <c r="F17741" s="18"/>
      <c r="G17741" s="36" t="str">
        <f>IF(ISNUMBER(F17741),C17741*F17741,"")</f>
        <v/>
      </c>
    </row>
    <row r="17742" spans="1:7" ht="12" customHeight="1" outlineLevel="2" x14ac:dyDescent="0.2">
      <c r="A17742" s="14" t="s">
        <v>34920</v>
      </c>
      <c r="B17742" s="15" t="s">
        <v>34921</v>
      </c>
      <c r="C17742" s="16">
        <f>205.19/(1+B2)</f>
        <v>205.19</v>
      </c>
      <c r="D17742" s="17" t="s">
        <v>11</v>
      </c>
      <c r="E17742" s="17" t="s">
        <v>11</v>
      </c>
      <c r="F17742" s="18"/>
      <c r="G17742" s="36" t="str">
        <f>IF(ISNUMBER(F17742),C17742*F17742,"")</f>
        <v/>
      </c>
    </row>
    <row r="17743" spans="1:7" ht="12" customHeight="1" outlineLevel="2" x14ac:dyDescent="0.2">
      <c r="A17743" s="14" t="s">
        <v>34922</v>
      </c>
      <c r="B17743" s="15" t="s">
        <v>34923</v>
      </c>
      <c r="C17743" s="16">
        <f>163.28/(1+B2)</f>
        <v>163.28</v>
      </c>
      <c r="D17743" s="17" t="s">
        <v>11</v>
      </c>
      <c r="E17743" s="17" t="s">
        <v>53</v>
      </c>
      <c r="F17743" s="18"/>
      <c r="G17743" s="36" t="str">
        <f>IF(ISNUMBER(F17743),C17743*F17743,"")</f>
        <v/>
      </c>
    </row>
    <row r="17744" spans="1:7" ht="12" customHeight="1" outlineLevel="2" x14ac:dyDescent="0.2">
      <c r="A17744" s="14" t="s">
        <v>34924</v>
      </c>
      <c r="B17744" s="15" t="s">
        <v>34925</v>
      </c>
      <c r="C17744" s="16">
        <f>92.52/(1+B2)</f>
        <v>92.52</v>
      </c>
      <c r="D17744" s="17" t="s">
        <v>11</v>
      </c>
      <c r="E17744" s="17"/>
      <c r="F17744" s="18"/>
      <c r="G17744" s="36" t="str">
        <f>IF(ISNUMBER(F17744),C17744*F17744,"")</f>
        <v/>
      </c>
    </row>
    <row r="17745" spans="1:7" ht="12" customHeight="1" outlineLevel="2" x14ac:dyDescent="0.2">
      <c r="A17745" s="14" t="s">
        <v>34926</v>
      </c>
      <c r="B17745" s="15" t="s">
        <v>34927</v>
      </c>
      <c r="C17745" s="16">
        <f>116.83/(1+B2)</f>
        <v>116.83</v>
      </c>
      <c r="D17745" s="17" t="s">
        <v>14</v>
      </c>
      <c r="E17745" s="17"/>
      <c r="F17745" s="18"/>
      <c r="G17745" s="36" t="str">
        <f>IF(ISNUMBER(F17745),C17745*F17745,"")</f>
        <v/>
      </c>
    </row>
    <row r="17746" spans="1:7" ht="12" customHeight="1" outlineLevel="2" x14ac:dyDescent="0.2">
      <c r="A17746" s="14" t="s">
        <v>34928</v>
      </c>
      <c r="B17746" s="15" t="s">
        <v>34929</v>
      </c>
      <c r="C17746" s="16">
        <f>163.48/(1+B2)</f>
        <v>163.47999999999999</v>
      </c>
      <c r="D17746" s="17" t="s">
        <v>11</v>
      </c>
      <c r="E17746" s="17"/>
      <c r="F17746" s="18"/>
      <c r="G17746" s="36" t="str">
        <f>IF(ISNUMBER(F17746),C17746*F17746,"")</f>
        <v/>
      </c>
    </row>
    <row r="17747" spans="1:7" s="1" customFormat="1" ht="15.95" customHeight="1" outlineLevel="1" x14ac:dyDescent="0.25">
      <c r="A17747" s="11"/>
      <c r="B17747" s="12" t="s">
        <v>34930</v>
      </c>
      <c r="C17747" s="13"/>
      <c r="D17747" s="13"/>
      <c r="E17747" s="13"/>
      <c r="F17747" s="13"/>
      <c r="G17747" s="35"/>
    </row>
    <row r="17748" spans="1:7" ht="12" customHeight="1" outlineLevel="2" x14ac:dyDescent="0.2">
      <c r="A17748" s="14" t="s">
        <v>34931</v>
      </c>
      <c r="B17748" s="15" t="s">
        <v>34932</v>
      </c>
      <c r="C17748" s="16">
        <f>39.5/(1+B2)</f>
        <v>39.5</v>
      </c>
      <c r="D17748" s="17" t="s">
        <v>11</v>
      </c>
      <c r="E17748" s="17" t="s">
        <v>53</v>
      </c>
      <c r="F17748" s="18"/>
      <c r="G17748" s="36" t="str">
        <f>IF(ISNUMBER(F17748),C17748*F17748,"")</f>
        <v/>
      </c>
    </row>
    <row r="17749" spans="1:7" ht="12" customHeight="1" outlineLevel="2" x14ac:dyDescent="0.2">
      <c r="A17749" s="14" t="s">
        <v>34933</v>
      </c>
      <c r="B17749" s="15" t="s">
        <v>34934</v>
      </c>
      <c r="C17749" s="16">
        <f>80.18/(1+B2)</f>
        <v>80.180000000000007</v>
      </c>
      <c r="D17749" s="17" t="s">
        <v>11</v>
      </c>
      <c r="E17749" s="17"/>
      <c r="F17749" s="18"/>
      <c r="G17749" s="36" t="str">
        <f>IF(ISNUMBER(F17749),C17749*F17749,"")</f>
        <v/>
      </c>
    </row>
    <row r="17750" spans="1:7" ht="24" customHeight="1" outlineLevel="2" x14ac:dyDescent="0.2">
      <c r="A17750" s="14" t="s">
        <v>34935</v>
      </c>
      <c r="B17750" s="15" t="s">
        <v>34936</v>
      </c>
      <c r="C17750" s="16">
        <f>174.15/(1+B2)</f>
        <v>174.15</v>
      </c>
      <c r="D17750" s="17" t="s">
        <v>11</v>
      </c>
      <c r="E17750" s="17"/>
      <c r="F17750" s="18"/>
      <c r="G17750" s="36" t="str">
        <f>IF(ISNUMBER(F17750),C17750*F17750,"")</f>
        <v/>
      </c>
    </row>
    <row r="17751" spans="1:7" ht="24" customHeight="1" outlineLevel="2" x14ac:dyDescent="0.2">
      <c r="A17751" s="14" t="s">
        <v>34937</v>
      </c>
      <c r="B17751" s="15" t="s">
        <v>34938</v>
      </c>
      <c r="C17751" s="16">
        <f>201.44/(1+B2)</f>
        <v>201.44</v>
      </c>
      <c r="D17751" s="17" t="s">
        <v>11</v>
      </c>
      <c r="E17751" s="17"/>
      <c r="F17751" s="18"/>
      <c r="G17751" s="36" t="str">
        <f>IF(ISNUMBER(F17751),C17751*F17751,"")</f>
        <v/>
      </c>
    </row>
    <row r="17752" spans="1:7" ht="24" customHeight="1" outlineLevel="2" x14ac:dyDescent="0.2">
      <c r="A17752" s="14" t="s">
        <v>34939</v>
      </c>
      <c r="B17752" s="15" t="s">
        <v>34940</v>
      </c>
      <c r="C17752" s="16">
        <f>161.99/(1+B2)</f>
        <v>161.99</v>
      </c>
      <c r="D17752" s="17" t="s">
        <v>11</v>
      </c>
      <c r="E17752" s="17"/>
      <c r="F17752" s="18"/>
      <c r="G17752" s="36" t="str">
        <f>IF(ISNUMBER(F17752),C17752*F17752,"")</f>
        <v/>
      </c>
    </row>
    <row r="17753" spans="1:7" ht="12" customHeight="1" outlineLevel="2" x14ac:dyDescent="0.2">
      <c r="A17753" s="14" t="s">
        <v>34941</v>
      </c>
      <c r="B17753" s="15" t="s">
        <v>34942</v>
      </c>
      <c r="C17753" s="16">
        <f>172.46/(1+B2)</f>
        <v>172.46</v>
      </c>
      <c r="D17753" s="17" t="s">
        <v>11</v>
      </c>
      <c r="E17753" s="17"/>
      <c r="F17753" s="18"/>
      <c r="G17753" s="36" t="str">
        <f>IF(ISNUMBER(F17753),C17753*F17753,"")</f>
        <v/>
      </c>
    </row>
    <row r="17754" spans="1:7" ht="12" customHeight="1" outlineLevel="2" x14ac:dyDescent="0.2">
      <c r="A17754" s="14" t="s">
        <v>34943</v>
      </c>
      <c r="B17754" s="15" t="s">
        <v>34944</v>
      </c>
      <c r="C17754" s="16">
        <f>172.46/(1+B2)</f>
        <v>172.46</v>
      </c>
      <c r="D17754" s="17" t="s">
        <v>11</v>
      </c>
      <c r="E17754" s="17"/>
      <c r="F17754" s="18"/>
      <c r="G17754" s="36" t="str">
        <f>IF(ISNUMBER(F17754),C17754*F17754,"")</f>
        <v/>
      </c>
    </row>
    <row r="17755" spans="1:7" ht="12" customHeight="1" outlineLevel="2" x14ac:dyDescent="0.2">
      <c r="A17755" s="14" t="s">
        <v>34945</v>
      </c>
      <c r="B17755" s="15" t="s">
        <v>34946</v>
      </c>
      <c r="C17755" s="16">
        <f>172.46/(1+B2)</f>
        <v>172.46</v>
      </c>
      <c r="D17755" s="17" t="s">
        <v>11</v>
      </c>
      <c r="E17755" s="17"/>
      <c r="F17755" s="18"/>
      <c r="G17755" s="36" t="str">
        <f>IF(ISNUMBER(F17755),C17755*F17755,"")</f>
        <v/>
      </c>
    </row>
    <row r="17756" spans="1:7" ht="12" customHeight="1" outlineLevel="2" x14ac:dyDescent="0.2">
      <c r="A17756" s="14" t="s">
        <v>34947</v>
      </c>
      <c r="B17756" s="15" t="s">
        <v>34948</v>
      </c>
      <c r="C17756" s="16">
        <f>72.33/(1+B2)</f>
        <v>72.33</v>
      </c>
      <c r="D17756" s="17" t="s">
        <v>11</v>
      </c>
      <c r="E17756" s="17"/>
      <c r="F17756" s="18"/>
      <c r="G17756" s="36" t="str">
        <f>IF(ISNUMBER(F17756),C17756*F17756,"")</f>
        <v/>
      </c>
    </row>
    <row r="17757" spans="1:7" ht="12" customHeight="1" outlineLevel="2" x14ac:dyDescent="0.2">
      <c r="A17757" s="14" t="s">
        <v>34949</v>
      </c>
      <c r="B17757" s="15" t="s">
        <v>34950</v>
      </c>
      <c r="C17757" s="16">
        <f>72.33/(1+B2)</f>
        <v>72.33</v>
      </c>
      <c r="D17757" s="17" t="s">
        <v>14</v>
      </c>
      <c r="E17757" s="17"/>
      <c r="F17757" s="18"/>
      <c r="G17757" s="36" t="str">
        <f>IF(ISNUMBER(F17757),C17757*F17757,"")</f>
        <v/>
      </c>
    </row>
    <row r="17758" spans="1:7" ht="12" customHeight="1" outlineLevel="2" x14ac:dyDescent="0.2">
      <c r="A17758" s="14" t="s">
        <v>34951</v>
      </c>
      <c r="B17758" s="15" t="s">
        <v>34952</v>
      </c>
      <c r="C17758" s="16">
        <f>100.15/(1+B2)</f>
        <v>100.15</v>
      </c>
      <c r="D17758" s="17" t="s">
        <v>11</v>
      </c>
      <c r="E17758" s="17"/>
      <c r="F17758" s="18"/>
      <c r="G17758" s="36" t="str">
        <f>IF(ISNUMBER(F17758),C17758*F17758,"")</f>
        <v/>
      </c>
    </row>
    <row r="17759" spans="1:7" ht="12" customHeight="1" outlineLevel="2" x14ac:dyDescent="0.2">
      <c r="A17759" s="14" t="s">
        <v>34953</v>
      </c>
      <c r="B17759" s="15" t="s">
        <v>34954</v>
      </c>
      <c r="C17759" s="16">
        <f>100.15/(1+B2)</f>
        <v>100.15</v>
      </c>
      <c r="D17759" s="17" t="s">
        <v>11</v>
      </c>
      <c r="E17759" s="17"/>
      <c r="F17759" s="18"/>
      <c r="G17759" s="36" t="str">
        <f>IF(ISNUMBER(F17759),C17759*F17759,"")</f>
        <v/>
      </c>
    </row>
    <row r="17760" spans="1:7" ht="12" customHeight="1" outlineLevel="2" x14ac:dyDescent="0.2">
      <c r="A17760" s="14" t="s">
        <v>34955</v>
      </c>
      <c r="B17760" s="15" t="s">
        <v>34956</v>
      </c>
      <c r="C17760" s="16">
        <f>100.15/(1+B2)</f>
        <v>100.15</v>
      </c>
      <c r="D17760" s="17" t="s">
        <v>11</v>
      </c>
      <c r="E17760" s="17"/>
      <c r="F17760" s="18"/>
      <c r="G17760" s="36" t="str">
        <f>IF(ISNUMBER(F17760),C17760*F17760,"")</f>
        <v/>
      </c>
    </row>
    <row r="17761" spans="1:7" ht="12" customHeight="1" outlineLevel="2" x14ac:dyDescent="0.2">
      <c r="A17761" s="14" t="s">
        <v>34957</v>
      </c>
      <c r="B17761" s="15" t="s">
        <v>34958</v>
      </c>
      <c r="C17761" s="16">
        <f>86.5/(1+B2)</f>
        <v>86.5</v>
      </c>
      <c r="D17761" s="17" t="s">
        <v>14</v>
      </c>
      <c r="E17761" s="17"/>
      <c r="F17761" s="18"/>
      <c r="G17761" s="36" t="str">
        <f>IF(ISNUMBER(F17761),C17761*F17761,"")</f>
        <v/>
      </c>
    </row>
    <row r="17762" spans="1:7" ht="12" customHeight="1" outlineLevel="2" x14ac:dyDescent="0.2">
      <c r="A17762" s="14" t="s">
        <v>34959</v>
      </c>
      <c r="B17762" s="15" t="s">
        <v>34960</v>
      </c>
      <c r="C17762" s="16">
        <f>111.96/(1+B2)</f>
        <v>111.96</v>
      </c>
      <c r="D17762" s="17" t="s">
        <v>11</v>
      </c>
      <c r="E17762" s="17"/>
      <c r="F17762" s="18"/>
      <c r="G17762" s="36" t="str">
        <f>IF(ISNUMBER(F17762),C17762*F17762,"")</f>
        <v/>
      </c>
    </row>
    <row r="17763" spans="1:7" ht="12" customHeight="1" outlineLevel="2" x14ac:dyDescent="0.2">
      <c r="A17763" s="14" t="s">
        <v>34961</v>
      </c>
      <c r="B17763" s="15" t="s">
        <v>34962</v>
      </c>
      <c r="C17763" s="16">
        <f>184.28/(1+B2)</f>
        <v>184.28</v>
      </c>
      <c r="D17763" s="17" t="s">
        <v>11</v>
      </c>
      <c r="E17763" s="17"/>
      <c r="F17763" s="18"/>
      <c r="G17763" s="36" t="str">
        <f>IF(ISNUMBER(F17763),C17763*F17763,"")</f>
        <v/>
      </c>
    </row>
    <row r="17764" spans="1:7" ht="12" customHeight="1" outlineLevel="2" x14ac:dyDescent="0.2">
      <c r="A17764" s="14" t="s">
        <v>34963</v>
      </c>
      <c r="B17764" s="15" t="s">
        <v>34964</v>
      </c>
      <c r="C17764" s="16">
        <f>184.28/(1+B2)</f>
        <v>184.28</v>
      </c>
      <c r="D17764" s="17" t="s">
        <v>11</v>
      </c>
      <c r="E17764" s="17"/>
      <c r="F17764" s="18"/>
      <c r="G17764" s="36" t="str">
        <f>IF(ISNUMBER(F17764),C17764*F17764,"")</f>
        <v/>
      </c>
    </row>
    <row r="17765" spans="1:7" ht="12" customHeight="1" outlineLevel="2" x14ac:dyDescent="0.2">
      <c r="A17765" s="14" t="s">
        <v>34965</v>
      </c>
      <c r="B17765" s="15" t="s">
        <v>34966</v>
      </c>
      <c r="C17765" s="16">
        <f>86.5/(1+B2)</f>
        <v>86.5</v>
      </c>
      <c r="D17765" s="17" t="s">
        <v>14</v>
      </c>
      <c r="E17765" s="17"/>
      <c r="F17765" s="18"/>
      <c r="G17765" s="36" t="str">
        <f>IF(ISNUMBER(F17765),C17765*F17765,"")</f>
        <v/>
      </c>
    </row>
    <row r="17766" spans="1:7" ht="12" customHeight="1" outlineLevel="2" x14ac:dyDescent="0.2">
      <c r="A17766" s="14" t="s">
        <v>34967</v>
      </c>
      <c r="B17766" s="15" t="s">
        <v>34968</v>
      </c>
      <c r="C17766" s="16">
        <f>111.96/(1+B2)</f>
        <v>111.96</v>
      </c>
      <c r="D17766" s="17" t="s">
        <v>14</v>
      </c>
      <c r="E17766" s="17"/>
      <c r="F17766" s="18"/>
      <c r="G17766" s="36" t="str">
        <f>IF(ISNUMBER(F17766),C17766*F17766,"")</f>
        <v/>
      </c>
    </row>
    <row r="17767" spans="1:7" ht="12" customHeight="1" outlineLevel="2" x14ac:dyDescent="0.2">
      <c r="A17767" s="14" t="s">
        <v>34969</v>
      </c>
      <c r="B17767" s="15" t="s">
        <v>34970</v>
      </c>
      <c r="C17767" s="16">
        <f>184.28/(1+B2)</f>
        <v>184.28</v>
      </c>
      <c r="D17767" s="17" t="s">
        <v>11</v>
      </c>
      <c r="E17767" s="17"/>
      <c r="F17767" s="18"/>
      <c r="G17767" s="36" t="str">
        <f>IF(ISNUMBER(F17767),C17767*F17767,"")</f>
        <v/>
      </c>
    </row>
    <row r="17768" spans="1:7" ht="12" customHeight="1" outlineLevel="2" x14ac:dyDescent="0.2">
      <c r="A17768" s="14" t="s">
        <v>34971</v>
      </c>
      <c r="B17768" s="15" t="s">
        <v>34972</v>
      </c>
      <c r="C17768" s="16">
        <f>121.94/(1+B2)</f>
        <v>121.94</v>
      </c>
      <c r="D17768" s="17" t="s">
        <v>11</v>
      </c>
      <c r="E17768" s="17" t="s">
        <v>14</v>
      </c>
      <c r="F17768" s="18"/>
      <c r="G17768" s="36" t="str">
        <f>IF(ISNUMBER(F17768),C17768*F17768,"")</f>
        <v/>
      </c>
    </row>
    <row r="17769" spans="1:7" ht="12" customHeight="1" outlineLevel="2" x14ac:dyDescent="0.2">
      <c r="A17769" s="14" t="s">
        <v>34973</v>
      </c>
      <c r="B17769" s="15" t="s">
        <v>34974</v>
      </c>
      <c r="C17769" s="16">
        <f>121.94/(1+B2)</f>
        <v>121.94</v>
      </c>
      <c r="D17769" s="17" t="s">
        <v>11</v>
      </c>
      <c r="E17769" s="17" t="s">
        <v>14</v>
      </c>
      <c r="F17769" s="18"/>
      <c r="G17769" s="36" t="str">
        <f>IF(ISNUMBER(F17769),C17769*F17769,"")</f>
        <v/>
      </c>
    </row>
    <row r="17770" spans="1:7" ht="12" customHeight="1" outlineLevel="2" x14ac:dyDescent="0.2">
      <c r="A17770" s="14" t="s">
        <v>34975</v>
      </c>
      <c r="B17770" s="15" t="s">
        <v>34976</v>
      </c>
      <c r="C17770" s="16">
        <f>182.84/(1+B2)</f>
        <v>182.84</v>
      </c>
      <c r="D17770" s="17" t="s">
        <v>11</v>
      </c>
      <c r="E17770" s="17" t="s">
        <v>11</v>
      </c>
      <c r="F17770" s="18"/>
      <c r="G17770" s="36" t="str">
        <f>IF(ISNUMBER(F17770),C17770*F17770,"")</f>
        <v/>
      </c>
    </row>
    <row r="17771" spans="1:7" ht="12" customHeight="1" outlineLevel="2" x14ac:dyDescent="0.2">
      <c r="A17771" s="14" t="s">
        <v>34977</v>
      </c>
      <c r="B17771" s="15" t="s">
        <v>34978</v>
      </c>
      <c r="C17771" s="16">
        <f>182.84/(1+B2)</f>
        <v>182.84</v>
      </c>
      <c r="D17771" s="17" t="s">
        <v>11</v>
      </c>
      <c r="E17771" s="17" t="s">
        <v>11</v>
      </c>
      <c r="F17771" s="18"/>
      <c r="G17771" s="36" t="str">
        <f>IF(ISNUMBER(F17771),C17771*F17771,"")</f>
        <v/>
      </c>
    </row>
    <row r="17772" spans="1:7" ht="24" customHeight="1" outlineLevel="2" x14ac:dyDescent="0.2">
      <c r="A17772" s="14" t="s">
        <v>34979</v>
      </c>
      <c r="B17772" s="15" t="s">
        <v>34980</v>
      </c>
      <c r="C17772" s="16">
        <f>76.95/(1+B2)</f>
        <v>76.95</v>
      </c>
      <c r="D17772" s="17" t="s">
        <v>14</v>
      </c>
      <c r="E17772" s="17"/>
      <c r="F17772" s="18"/>
      <c r="G17772" s="36" t="str">
        <f>IF(ISNUMBER(F17772),C17772*F17772,"")</f>
        <v/>
      </c>
    </row>
    <row r="17773" spans="1:7" ht="24" customHeight="1" outlineLevel="2" x14ac:dyDescent="0.2">
      <c r="A17773" s="14" t="s">
        <v>34981</v>
      </c>
      <c r="B17773" s="15" t="s">
        <v>34982</v>
      </c>
      <c r="C17773" s="16">
        <f>93.96/(1+B2)</f>
        <v>93.96</v>
      </c>
      <c r="D17773" s="17" t="s">
        <v>11</v>
      </c>
      <c r="E17773" s="17" t="s">
        <v>14</v>
      </c>
      <c r="F17773" s="18"/>
      <c r="G17773" s="36" t="str">
        <f>IF(ISNUMBER(F17773),C17773*F17773,"")</f>
        <v/>
      </c>
    </row>
    <row r="17774" spans="1:7" ht="12" customHeight="1" outlineLevel="2" x14ac:dyDescent="0.2">
      <c r="A17774" s="14" t="s">
        <v>34983</v>
      </c>
      <c r="B17774" s="15" t="s">
        <v>34984</v>
      </c>
      <c r="C17774" s="16">
        <f>62.79/(1+B2)</f>
        <v>62.79</v>
      </c>
      <c r="D17774" s="17" t="s">
        <v>11</v>
      </c>
      <c r="E17774" s="17"/>
      <c r="F17774" s="18"/>
      <c r="G17774" s="36" t="str">
        <f>IF(ISNUMBER(F17774),C17774*F17774,"")</f>
        <v/>
      </c>
    </row>
    <row r="17775" spans="1:7" ht="12" customHeight="1" outlineLevel="2" x14ac:dyDescent="0.2">
      <c r="A17775" s="14" t="s">
        <v>34985</v>
      </c>
      <c r="B17775" s="15" t="s">
        <v>34986</v>
      </c>
      <c r="C17775" s="16">
        <f>68.86/(1+B2)</f>
        <v>68.86</v>
      </c>
      <c r="D17775" s="17" t="s">
        <v>11</v>
      </c>
      <c r="E17775" s="17"/>
      <c r="F17775" s="18"/>
      <c r="G17775" s="36" t="str">
        <f>IF(ISNUMBER(F17775),C17775*F17775,"")</f>
        <v/>
      </c>
    </row>
    <row r="17776" spans="1:7" ht="12" customHeight="1" outlineLevel="2" x14ac:dyDescent="0.2">
      <c r="A17776" s="14" t="s">
        <v>34987</v>
      </c>
      <c r="B17776" s="15" t="s">
        <v>34988</v>
      </c>
      <c r="C17776" s="16">
        <f>105.29/(1+B2)</f>
        <v>105.29</v>
      </c>
      <c r="D17776" s="17" t="s">
        <v>11</v>
      </c>
      <c r="E17776" s="17" t="s">
        <v>14</v>
      </c>
      <c r="F17776" s="18"/>
      <c r="G17776" s="36" t="str">
        <f>IF(ISNUMBER(F17776),C17776*F17776,"")</f>
        <v/>
      </c>
    </row>
    <row r="17777" spans="1:7" ht="12" customHeight="1" outlineLevel="2" x14ac:dyDescent="0.2">
      <c r="A17777" s="14" t="s">
        <v>34989</v>
      </c>
      <c r="B17777" s="15" t="s">
        <v>34990</v>
      </c>
      <c r="C17777" s="16">
        <f>26.33/(1+B2)</f>
        <v>26.33</v>
      </c>
      <c r="D17777" s="17" t="s">
        <v>11</v>
      </c>
      <c r="E17777" s="17" t="s">
        <v>14</v>
      </c>
      <c r="F17777" s="18"/>
      <c r="G17777" s="36" t="str">
        <f>IF(ISNUMBER(F17777),C17777*F17777,"")</f>
        <v/>
      </c>
    </row>
    <row r="17778" spans="1:7" ht="24" customHeight="1" outlineLevel="2" x14ac:dyDescent="0.2">
      <c r="A17778" s="14" t="s">
        <v>34991</v>
      </c>
      <c r="B17778" s="15" t="s">
        <v>34992</v>
      </c>
      <c r="C17778" s="16">
        <f>111.36/(1+B2)</f>
        <v>111.36</v>
      </c>
      <c r="D17778" s="17" t="s">
        <v>11</v>
      </c>
      <c r="E17778" s="17" t="s">
        <v>14</v>
      </c>
      <c r="F17778" s="18"/>
      <c r="G17778" s="36" t="str">
        <f>IF(ISNUMBER(F17778),C17778*F17778,"")</f>
        <v/>
      </c>
    </row>
    <row r="17779" spans="1:7" ht="24" customHeight="1" outlineLevel="2" x14ac:dyDescent="0.2">
      <c r="A17779" s="14" t="s">
        <v>34993</v>
      </c>
      <c r="B17779" s="15" t="s">
        <v>34994</v>
      </c>
      <c r="C17779" s="16">
        <f>140.73/(1+B2)</f>
        <v>140.72999999999999</v>
      </c>
      <c r="D17779" s="17" t="s">
        <v>11</v>
      </c>
      <c r="E17779" s="17" t="s">
        <v>11</v>
      </c>
      <c r="F17779" s="18"/>
      <c r="G17779" s="36" t="str">
        <f>IF(ISNUMBER(F17779),C17779*F17779,"")</f>
        <v/>
      </c>
    </row>
    <row r="17780" spans="1:7" ht="12" customHeight="1" outlineLevel="2" x14ac:dyDescent="0.2">
      <c r="A17780" s="14" t="s">
        <v>34995</v>
      </c>
      <c r="B17780" s="15" t="s">
        <v>34996</v>
      </c>
      <c r="C17780" s="16">
        <f>32.4/(1+B2)</f>
        <v>32.4</v>
      </c>
      <c r="D17780" s="17" t="s">
        <v>11</v>
      </c>
      <c r="E17780" s="17" t="s">
        <v>106</v>
      </c>
      <c r="F17780" s="18"/>
      <c r="G17780" s="36" t="str">
        <f>IF(ISNUMBER(F17780),C17780*F17780,"")</f>
        <v/>
      </c>
    </row>
    <row r="17781" spans="1:7" ht="12" customHeight="1" outlineLevel="2" x14ac:dyDescent="0.2">
      <c r="A17781" s="14" t="s">
        <v>34997</v>
      </c>
      <c r="B17781" s="15" t="s">
        <v>34998</v>
      </c>
      <c r="C17781" s="16">
        <f>25.31/(1+B2)</f>
        <v>25.31</v>
      </c>
      <c r="D17781" s="17" t="s">
        <v>53</v>
      </c>
      <c r="E17781" s="17"/>
      <c r="F17781" s="18"/>
      <c r="G17781" s="36" t="str">
        <f>IF(ISNUMBER(F17781),C17781*F17781,"")</f>
        <v/>
      </c>
    </row>
    <row r="17782" spans="1:7" ht="12" customHeight="1" outlineLevel="2" x14ac:dyDescent="0.2">
      <c r="A17782" s="14" t="s">
        <v>34999</v>
      </c>
      <c r="B17782" s="15" t="s">
        <v>35000</v>
      </c>
      <c r="C17782" s="16">
        <f>39.5/(1+B2)</f>
        <v>39.5</v>
      </c>
      <c r="D17782" s="17" t="s">
        <v>11</v>
      </c>
      <c r="E17782" s="17" t="s">
        <v>53</v>
      </c>
      <c r="F17782" s="18"/>
      <c r="G17782" s="36" t="str">
        <f>IF(ISNUMBER(F17782),C17782*F17782,"")</f>
        <v/>
      </c>
    </row>
    <row r="17783" spans="1:7" ht="12" customHeight="1" outlineLevel="2" x14ac:dyDescent="0.2">
      <c r="A17783" s="14" t="s">
        <v>35001</v>
      </c>
      <c r="B17783" s="15" t="s">
        <v>35002</v>
      </c>
      <c r="C17783" s="16">
        <f>30.38/(1+B2)</f>
        <v>30.38</v>
      </c>
      <c r="D17783" s="17" t="s">
        <v>11</v>
      </c>
      <c r="E17783" s="17"/>
      <c r="F17783" s="18"/>
      <c r="G17783" s="36" t="str">
        <f>IF(ISNUMBER(F17783),C17783*F17783,"")</f>
        <v/>
      </c>
    </row>
    <row r="17784" spans="1:7" ht="12" customHeight="1" outlineLevel="2" x14ac:dyDescent="0.2">
      <c r="A17784" s="14" t="s">
        <v>35003</v>
      </c>
      <c r="B17784" s="15" t="s">
        <v>35004</v>
      </c>
      <c r="C17784" s="16">
        <f>26.33/(1+B2)</f>
        <v>26.33</v>
      </c>
      <c r="D17784" s="17" t="s">
        <v>11</v>
      </c>
      <c r="E17784" s="17"/>
      <c r="F17784" s="18"/>
      <c r="G17784" s="36" t="str">
        <f>IF(ISNUMBER(F17784),C17784*F17784,"")</f>
        <v/>
      </c>
    </row>
    <row r="17785" spans="1:7" ht="12" customHeight="1" outlineLevel="2" x14ac:dyDescent="0.2">
      <c r="A17785" s="14" t="s">
        <v>35005</v>
      </c>
      <c r="B17785" s="15" t="s">
        <v>35006</v>
      </c>
      <c r="C17785" s="16">
        <f>46.6/(1+B2)</f>
        <v>46.6</v>
      </c>
      <c r="D17785" s="17" t="s">
        <v>11</v>
      </c>
      <c r="E17785" s="17" t="s">
        <v>53</v>
      </c>
      <c r="F17785" s="18"/>
      <c r="G17785" s="36" t="str">
        <f>IF(ISNUMBER(F17785),C17785*F17785,"")</f>
        <v/>
      </c>
    </row>
    <row r="17786" spans="1:7" ht="12" customHeight="1" outlineLevel="2" x14ac:dyDescent="0.2">
      <c r="A17786" s="14" t="s">
        <v>35007</v>
      </c>
      <c r="B17786" s="15" t="s">
        <v>35008</v>
      </c>
      <c r="C17786" s="16">
        <f>44.58/(1+B2)</f>
        <v>44.58</v>
      </c>
      <c r="D17786" s="17" t="s">
        <v>11</v>
      </c>
      <c r="E17786" s="17" t="s">
        <v>53</v>
      </c>
      <c r="F17786" s="18"/>
      <c r="G17786" s="36" t="str">
        <f>IF(ISNUMBER(F17786),C17786*F17786,"")</f>
        <v/>
      </c>
    </row>
    <row r="17787" spans="1:7" ht="12" customHeight="1" outlineLevel="2" x14ac:dyDescent="0.2">
      <c r="A17787" s="14" t="s">
        <v>35009</v>
      </c>
      <c r="B17787" s="15" t="s">
        <v>35010</v>
      </c>
      <c r="C17787" s="16">
        <f>61.76/(1+B2)</f>
        <v>61.76</v>
      </c>
      <c r="D17787" s="17" t="s">
        <v>11</v>
      </c>
      <c r="E17787" s="17" t="s">
        <v>11</v>
      </c>
      <c r="F17787" s="18"/>
      <c r="G17787" s="36" t="str">
        <f>IF(ISNUMBER(F17787),C17787*F17787,"")</f>
        <v/>
      </c>
    </row>
    <row r="17788" spans="1:7" ht="12" customHeight="1" outlineLevel="2" x14ac:dyDescent="0.2">
      <c r="A17788" s="14" t="s">
        <v>35011</v>
      </c>
      <c r="B17788" s="15" t="s">
        <v>35012</v>
      </c>
      <c r="C17788" s="16">
        <f>83.03/(1+B2)</f>
        <v>83.03</v>
      </c>
      <c r="D17788" s="17" t="s">
        <v>11</v>
      </c>
      <c r="E17788" s="17" t="s">
        <v>11</v>
      </c>
      <c r="F17788" s="18"/>
      <c r="G17788" s="36" t="str">
        <f>IF(ISNUMBER(F17788),C17788*F17788,"")</f>
        <v/>
      </c>
    </row>
    <row r="17789" spans="1:7" ht="12" customHeight="1" outlineLevel="2" x14ac:dyDescent="0.2">
      <c r="A17789" s="14" t="s">
        <v>35013</v>
      </c>
      <c r="B17789" s="15" t="s">
        <v>35014</v>
      </c>
      <c r="C17789" s="16">
        <f>87.08/(1+B2)</f>
        <v>87.08</v>
      </c>
      <c r="D17789" s="17" t="s">
        <v>11</v>
      </c>
      <c r="E17789" s="17" t="s">
        <v>11</v>
      </c>
      <c r="F17789" s="18"/>
      <c r="G17789" s="36" t="str">
        <f>IF(ISNUMBER(F17789),C17789*F17789,"")</f>
        <v/>
      </c>
    </row>
    <row r="17790" spans="1:7" ht="12" customHeight="1" outlineLevel="2" x14ac:dyDescent="0.2">
      <c r="A17790" s="14" t="s">
        <v>35015</v>
      </c>
      <c r="B17790" s="15" t="s">
        <v>35016</v>
      </c>
      <c r="C17790" s="16">
        <f>110.35/(1+B2)</f>
        <v>110.35</v>
      </c>
      <c r="D17790" s="17" t="s">
        <v>11</v>
      </c>
      <c r="E17790" s="17" t="s">
        <v>11</v>
      </c>
      <c r="F17790" s="18"/>
      <c r="G17790" s="36" t="str">
        <f>IF(ISNUMBER(F17790),C17790*F17790,"")</f>
        <v/>
      </c>
    </row>
    <row r="17791" spans="1:7" ht="12" customHeight="1" outlineLevel="2" x14ac:dyDescent="0.2">
      <c r="A17791" s="14" t="s">
        <v>35017</v>
      </c>
      <c r="B17791" s="15" t="s">
        <v>35018</v>
      </c>
      <c r="C17791" s="16">
        <f>151.84/(1+B2)</f>
        <v>151.84</v>
      </c>
      <c r="D17791" s="17" t="s">
        <v>11</v>
      </c>
      <c r="E17791" s="17" t="s">
        <v>11</v>
      </c>
      <c r="F17791" s="18"/>
      <c r="G17791" s="36" t="str">
        <f>IF(ISNUMBER(F17791),C17791*F17791,"")</f>
        <v/>
      </c>
    </row>
    <row r="17792" spans="1:7" ht="24" customHeight="1" outlineLevel="2" x14ac:dyDescent="0.2">
      <c r="A17792" s="14" t="s">
        <v>35019</v>
      </c>
      <c r="B17792" s="15" t="s">
        <v>35020</v>
      </c>
      <c r="C17792" s="16">
        <f>39.5/(1+B2)</f>
        <v>39.5</v>
      </c>
      <c r="D17792" s="17" t="s">
        <v>11</v>
      </c>
      <c r="E17792" s="17" t="s">
        <v>106</v>
      </c>
      <c r="F17792" s="18"/>
      <c r="G17792" s="36" t="str">
        <f>IF(ISNUMBER(F17792),C17792*F17792,"")</f>
        <v/>
      </c>
    </row>
    <row r="17793" spans="1:7" ht="24" customHeight="1" outlineLevel="2" x14ac:dyDescent="0.2">
      <c r="A17793" s="14" t="s">
        <v>35021</v>
      </c>
      <c r="B17793" s="15" t="s">
        <v>35022</v>
      </c>
      <c r="C17793" s="16">
        <f>76.94/(1+B2)</f>
        <v>76.94</v>
      </c>
      <c r="D17793" s="17" t="s">
        <v>11</v>
      </c>
      <c r="E17793" s="17" t="s">
        <v>14</v>
      </c>
      <c r="F17793" s="18"/>
      <c r="G17793" s="36" t="str">
        <f>IF(ISNUMBER(F17793),C17793*F17793,"")</f>
        <v/>
      </c>
    </row>
    <row r="17794" spans="1:7" ht="24" customHeight="1" outlineLevel="2" x14ac:dyDescent="0.2">
      <c r="A17794" s="14" t="s">
        <v>35023</v>
      </c>
      <c r="B17794" s="15" t="s">
        <v>35024</v>
      </c>
      <c r="C17794" s="16">
        <f>63.8/(1+B2)</f>
        <v>63.8</v>
      </c>
      <c r="D17794" s="17" t="s">
        <v>11</v>
      </c>
      <c r="E17794" s="17" t="s">
        <v>53</v>
      </c>
      <c r="F17794" s="18"/>
      <c r="G17794" s="36" t="str">
        <f>IF(ISNUMBER(F17794),C17794*F17794,"")</f>
        <v/>
      </c>
    </row>
    <row r="17795" spans="1:7" s="1" customFormat="1" ht="15.95" customHeight="1" outlineLevel="1" x14ac:dyDescent="0.25">
      <c r="A17795" s="11"/>
      <c r="B17795" s="12" t="s">
        <v>35025</v>
      </c>
      <c r="C17795" s="13"/>
      <c r="D17795" s="13"/>
      <c r="E17795" s="13"/>
      <c r="F17795" s="13"/>
      <c r="G17795" s="35"/>
    </row>
    <row r="17796" spans="1:7" ht="12" customHeight="1" outlineLevel="2" x14ac:dyDescent="0.2">
      <c r="A17796" s="14" t="s">
        <v>35026</v>
      </c>
      <c r="B17796" s="15" t="s">
        <v>35027</v>
      </c>
      <c r="C17796" s="16">
        <f>208.76/(1+B2)</f>
        <v>208.76</v>
      </c>
      <c r="D17796" s="17" t="s">
        <v>11</v>
      </c>
      <c r="E17796" s="17" t="s">
        <v>14</v>
      </c>
      <c r="F17796" s="18"/>
      <c r="G17796" s="36" t="str">
        <f>IF(ISNUMBER(F17796),C17796*F17796,"")</f>
        <v/>
      </c>
    </row>
    <row r="17797" spans="1:7" ht="12" customHeight="1" outlineLevel="2" x14ac:dyDescent="0.2">
      <c r="A17797" s="14" t="s">
        <v>35028</v>
      </c>
      <c r="B17797" s="15" t="s">
        <v>35029</v>
      </c>
      <c r="C17797" s="16">
        <f>190.28/(1+B2)</f>
        <v>190.28</v>
      </c>
      <c r="D17797" s="17" t="s">
        <v>11</v>
      </c>
      <c r="E17797" s="17" t="s">
        <v>14</v>
      </c>
      <c r="F17797" s="18"/>
      <c r="G17797" s="36" t="str">
        <f>IF(ISNUMBER(F17797),C17797*F17797,"")</f>
        <v/>
      </c>
    </row>
    <row r="17798" spans="1:7" ht="12" customHeight="1" outlineLevel="2" x14ac:dyDescent="0.2">
      <c r="A17798" s="14" t="s">
        <v>35030</v>
      </c>
      <c r="B17798" s="15" t="s">
        <v>35031</v>
      </c>
      <c r="C17798" s="16">
        <f>234.3/(1+B2)</f>
        <v>234.3</v>
      </c>
      <c r="D17798" s="17" t="s">
        <v>11</v>
      </c>
      <c r="E17798" s="17"/>
      <c r="F17798" s="18"/>
      <c r="G17798" s="36" t="str">
        <f>IF(ISNUMBER(F17798),C17798*F17798,"")</f>
        <v/>
      </c>
    </row>
    <row r="17799" spans="1:7" ht="12" customHeight="1" outlineLevel="2" x14ac:dyDescent="0.2">
      <c r="A17799" s="14" t="s">
        <v>35032</v>
      </c>
      <c r="B17799" s="15" t="s">
        <v>35033</v>
      </c>
      <c r="C17799" s="16">
        <f>341.39/(1+B2)</f>
        <v>341.39</v>
      </c>
      <c r="D17799" s="17" t="s">
        <v>11</v>
      </c>
      <c r="E17799" s="17" t="s">
        <v>11</v>
      </c>
      <c r="F17799" s="18"/>
      <c r="G17799" s="36" t="str">
        <f>IF(ISNUMBER(F17799),C17799*F17799,"")</f>
        <v/>
      </c>
    </row>
    <row r="17800" spans="1:7" ht="12" customHeight="1" outlineLevel="2" x14ac:dyDescent="0.2">
      <c r="A17800" s="14" t="s">
        <v>35034</v>
      </c>
      <c r="B17800" s="15" t="s">
        <v>35035</v>
      </c>
      <c r="C17800" s="16">
        <f>369.94/(1+B2)</f>
        <v>369.94</v>
      </c>
      <c r="D17800" s="17" t="s">
        <v>11</v>
      </c>
      <c r="E17800" s="17" t="s">
        <v>14</v>
      </c>
      <c r="F17800" s="18"/>
      <c r="G17800" s="36" t="str">
        <f>IF(ISNUMBER(F17800),C17800*F17800,"")</f>
        <v/>
      </c>
    </row>
    <row r="17801" spans="1:7" ht="12" customHeight="1" outlineLevel="2" x14ac:dyDescent="0.2">
      <c r="A17801" s="14" t="s">
        <v>35036</v>
      </c>
      <c r="B17801" s="15" t="s">
        <v>35037</v>
      </c>
      <c r="C17801" s="16">
        <f>490.28/(1+B2)</f>
        <v>490.28</v>
      </c>
      <c r="D17801" s="17" t="s">
        <v>11</v>
      </c>
      <c r="E17801" s="17" t="s">
        <v>14</v>
      </c>
      <c r="F17801" s="18"/>
      <c r="G17801" s="36" t="str">
        <f>IF(ISNUMBER(F17801),C17801*F17801,"")</f>
        <v/>
      </c>
    </row>
    <row r="17802" spans="1:7" ht="12" customHeight="1" outlineLevel="2" x14ac:dyDescent="0.2">
      <c r="A17802" s="14" t="s">
        <v>35038</v>
      </c>
      <c r="B17802" s="15" t="s">
        <v>35039</v>
      </c>
      <c r="C17802" s="16">
        <f>573.6/(1+B2)</f>
        <v>573.6</v>
      </c>
      <c r="D17802" s="17" t="s">
        <v>11</v>
      </c>
      <c r="E17802" s="17" t="s">
        <v>11</v>
      </c>
      <c r="F17802" s="18"/>
      <c r="G17802" s="36" t="str">
        <f>IF(ISNUMBER(F17802),C17802*F17802,"")</f>
        <v/>
      </c>
    </row>
    <row r="17803" spans="1:7" ht="12" customHeight="1" outlineLevel="2" x14ac:dyDescent="0.2">
      <c r="A17803" s="14" t="s">
        <v>35040</v>
      </c>
      <c r="B17803" s="15" t="s">
        <v>35041</v>
      </c>
      <c r="C17803" s="16">
        <f>323.15/(1+B2)</f>
        <v>323.14999999999998</v>
      </c>
      <c r="D17803" s="17" t="s">
        <v>11</v>
      </c>
      <c r="E17803" s="17" t="s">
        <v>14</v>
      </c>
      <c r="F17803" s="18"/>
      <c r="G17803" s="36" t="str">
        <f>IF(ISNUMBER(F17803),C17803*F17803,"")</f>
        <v/>
      </c>
    </row>
    <row r="17804" spans="1:7" ht="12" customHeight="1" outlineLevel="2" x14ac:dyDescent="0.2">
      <c r="A17804" s="14" t="s">
        <v>35042</v>
      </c>
      <c r="B17804" s="15" t="s">
        <v>35043</v>
      </c>
      <c r="C17804" s="16">
        <f>394.34/(1+B2)</f>
        <v>394.34</v>
      </c>
      <c r="D17804" s="17" t="s">
        <v>11</v>
      </c>
      <c r="E17804" s="17"/>
      <c r="F17804" s="18"/>
      <c r="G17804" s="36" t="str">
        <f>IF(ISNUMBER(F17804),C17804*F17804,"")</f>
        <v/>
      </c>
    </row>
    <row r="17805" spans="1:7" ht="12" customHeight="1" outlineLevel="2" x14ac:dyDescent="0.2">
      <c r="A17805" s="14" t="s">
        <v>35044</v>
      </c>
      <c r="B17805" s="15" t="s">
        <v>35045</v>
      </c>
      <c r="C17805" s="16">
        <f>510.32/(1+B2)</f>
        <v>510.32</v>
      </c>
      <c r="D17805" s="17" t="s">
        <v>11</v>
      </c>
      <c r="E17805" s="17" t="s">
        <v>11</v>
      </c>
      <c r="F17805" s="18"/>
      <c r="G17805" s="36" t="str">
        <f>IF(ISNUMBER(F17805),C17805*F17805,"")</f>
        <v/>
      </c>
    </row>
    <row r="17806" spans="1:7" ht="12" customHeight="1" outlineLevel="2" x14ac:dyDescent="0.2">
      <c r="A17806" s="14" t="s">
        <v>35046</v>
      </c>
      <c r="B17806" s="15" t="s">
        <v>35047</v>
      </c>
      <c r="C17806" s="16">
        <f>479.96/(1+B2)</f>
        <v>479.96</v>
      </c>
      <c r="D17806" s="17" t="s">
        <v>11</v>
      </c>
      <c r="E17806" s="17" t="s">
        <v>11</v>
      </c>
      <c r="F17806" s="18"/>
      <c r="G17806" s="36" t="str">
        <f>IF(ISNUMBER(F17806),C17806*F17806,"")</f>
        <v/>
      </c>
    </row>
    <row r="17807" spans="1:7" ht="12" customHeight="1" outlineLevel="2" x14ac:dyDescent="0.2">
      <c r="A17807" s="14" t="s">
        <v>35048</v>
      </c>
      <c r="B17807" s="15" t="s">
        <v>35049</v>
      </c>
      <c r="C17807" s="19">
        <f>1102.36/(1+B2)</f>
        <v>1102.3599999999999</v>
      </c>
      <c r="D17807" s="17" t="s">
        <v>11</v>
      </c>
      <c r="E17807" s="17" t="s">
        <v>11</v>
      </c>
      <c r="F17807" s="18"/>
      <c r="G17807" s="36" t="str">
        <f>IF(ISNUMBER(F17807),C17807*F17807,"")</f>
        <v/>
      </c>
    </row>
    <row r="17808" spans="1:7" ht="12" customHeight="1" outlineLevel="2" x14ac:dyDescent="0.2">
      <c r="A17808" s="14" t="s">
        <v>35050</v>
      </c>
      <c r="B17808" s="15" t="s">
        <v>35051</v>
      </c>
      <c r="C17808" s="19">
        <f>1434.54/(1+B2)</f>
        <v>1434.54</v>
      </c>
      <c r="D17808" s="17" t="s">
        <v>11</v>
      </c>
      <c r="E17808" s="17" t="s">
        <v>11</v>
      </c>
      <c r="F17808" s="18"/>
      <c r="G17808" s="36" t="str">
        <f>IF(ISNUMBER(F17808),C17808*F17808,"")</f>
        <v/>
      </c>
    </row>
    <row r="17809" spans="1:7" ht="12" customHeight="1" outlineLevel="2" x14ac:dyDescent="0.2">
      <c r="A17809" s="14" t="s">
        <v>35052</v>
      </c>
      <c r="B17809" s="15" t="s">
        <v>35053</v>
      </c>
      <c r="C17809" s="16">
        <f>327.06/(1+B2)</f>
        <v>327.06</v>
      </c>
      <c r="D17809" s="17" t="s">
        <v>11</v>
      </c>
      <c r="E17809" s="17"/>
      <c r="F17809" s="18"/>
      <c r="G17809" s="36" t="str">
        <f>IF(ISNUMBER(F17809),C17809*F17809,"")</f>
        <v/>
      </c>
    </row>
    <row r="17810" spans="1:7" ht="12" customHeight="1" outlineLevel="2" x14ac:dyDescent="0.2">
      <c r="A17810" s="14" t="s">
        <v>35054</v>
      </c>
      <c r="B17810" s="15" t="s">
        <v>35055</v>
      </c>
      <c r="C17810" s="16">
        <f>404/(1+B2)</f>
        <v>404</v>
      </c>
      <c r="D17810" s="17" t="s">
        <v>11</v>
      </c>
      <c r="E17810" s="17" t="s">
        <v>11</v>
      </c>
      <c r="F17810" s="18"/>
      <c r="G17810" s="36" t="str">
        <f>IF(ISNUMBER(F17810),C17810*F17810,"")</f>
        <v/>
      </c>
    </row>
    <row r="17811" spans="1:7" ht="12" customHeight="1" outlineLevel="2" x14ac:dyDescent="0.2">
      <c r="A17811" s="14" t="s">
        <v>35056</v>
      </c>
      <c r="B17811" s="15" t="s">
        <v>35057</v>
      </c>
      <c r="C17811" s="16">
        <f>567.78/(1+B2)</f>
        <v>567.78</v>
      </c>
      <c r="D17811" s="17" t="s">
        <v>11</v>
      </c>
      <c r="E17811" s="17" t="s">
        <v>11</v>
      </c>
      <c r="F17811" s="18"/>
      <c r="G17811" s="36" t="str">
        <f>IF(ISNUMBER(F17811),C17811*F17811,"")</f>
        <v/>
      </c>
    </row>
    <row r="17812" spans="1:7" ht="12" customHeight="1" outlineLevel="2" x14ac:dyDescent="0.2">
      <c r="A17812" s="14" t="s">
        <v>35058</v>
      </c>
      <c r="B17812" s="15" t="s">
        <v>35059</v>
      </c>
      <c r="C17812" s="16">
        <f>269.49/(1+B2)</f>
        <v>269.49</v>
      </c>
      <c r="D17812" s="17" t="s">
        <v>11</v>
      </c>
      <c r="E17812" s="17"/>
      <c r="F17812" s="18"/>
      <c r="G17812" s="36" t="str">
        <f>IF(ISNUMBER(F17812),C17812*F17812,"")</f>
        <v/>
      </c>
    </row>
    <row r="17813" spans="1:7" ht="12" customHeight="1" outlineLevel="2" x14ac:dyDescent="0.2">
      <c r="A17813" s="14" t="s">
        <v>35060</v>
      </c>
      <c r="B17813" s="15" t="s">
        <v>35061</v>
      </c>
      <c r="C17813" s="16">
        <f>196.7/(1+B2)</f>
        <v>196.7</v>
      </c>
      <c r="D17813" s="17" t="s">
        <v>11</v>
      </c>
      <c r="E17813" s="17"/>
      <c r="F17813" s="18"/>
      <c r="G17813" s="36" t="str">
        <f>IF(ISNUMBER(F17813),C17813*F17813,"")</f>
        <v/>
      </c>
    </row>
    <row r="17814" spans="1:7" ht="12" customHeight="1" outlineLevel="2" x14ac:dyDescent="0.2">
      <c r="A17814" s="14" t="s">
        <v>35062</v>
      </c>
      <c r="B17814" s="15" t="s">
        <v>35063</v>
      </c>
      <c r="C17814" s="16">
        <f>429.96/(1+B2)</f>
        <v>429.96</v>
      </c>
      <c r="D17814" s="17" t="s">
        <v>11</v>
      </c>
      <c r="E17814" s="17"/>
      <c r="F17814" s="18"/>
      <c r="G17814" s="36" t="str">
        <f>IF(ISNUMBER(F17814),C17814*F17814,"")</f>
        <v/>
      </c>
    </row>
    <row r="17815" spans="1:7" ht="12" customHeight="1" outlineLevel="2" x14ac:dyDescent="0.2">
      <c r="A17815" s="14" t="s">
        <v>35064</v>
      </c>
      <c r="B17815" s="15" t="s">
        <v>35065</v>
      </c>
      <c r="C17815" s="16">
        <f>267.96/(1+B2)</f>
        <v>267.95999999999998</v>
      </c>
      <c r="D17815" s="17" t="s">
        <v>11</v>
      </c>
      <c r="E17815" s="17" t="s">
        <v>11</v>
      </c>
      <c r="F17815" s="18"/>
      <c r="G17815" s="36" t="str">
        <f>IF(ISNUMBER(F17815),C17815*F17815,"")</f>
        <v/>
      </c>
    </row>
    <row r="17816" spans="1:7" ht="12" customHeight="1" outlineLevel="2" x14ac:dyDescent="0.2">
      <c r="A17816" s="14" t="s">
        <v>35066</v>
      </c>
      <c r="B17816" s="15" t="s">
        <v>35067</v>
      </c>
      <c r="C17816" s="16">
        <f>348.9/(1+B2)</f>
        <v>348.9</v>
      </c>
      <c r="D17816" s="17" t="s">
        <v>11</v>
      </c>
      <c r="E17816" s="17" t="s">
        <v>11</v>
      </c>
      <c r="F17816" s="18"/>
      <c r="G17816" s="36" t="str">
        <f>IF(ISNUMBER(F17816),C17816*F17816,"")</f>
        <v/>
      </c>
    </row>
    <row r="17817" spans="1:7" ht="12" customHeight="1" outlineLevel="2" x14ac:dyDescent="0.2">
      <c r="A17817" s="14" t="s">
        <v>35068</v>
      </c>
      <c r="B17817" s="15" t="s">
        <v>35069</v>
      </c>
      <c r="C17817" s="16">
        <f>524.24/(1+B2)</f>
        <v>524.24</v>
      </c>
      <c r="D17817" s="17" t="s">
        <v>11</v>
      </c>
      <c r="E17817" s="17" t="s">
        <v>11</v>
      </c>
      <c r="F17817" s="18"/>
      <c r="G17817" s="36" t="str">
        <f>IF(ISNUMBER(F17817),C17817*F17817,"")</f>
        <v/>
      </c>
    </row>
    <row r="17818" spans="1:7" ht="12" customHeight="1" outlineLevel="2" x14ac:dyDescent="0.2">
      <c r="A17818" s="14" t="s">
        <v>35070</v>
      </c>
      <c r="B17818" s="15" t="s">
        <v>35071</v>
      </c>
      <c r="C17818" s="16">
        <f>578.41/(1+B2)</f>
        <v>578.41</v>
      </c>
      <c r="D17818" s="17" t="s">
        <v>11</v>
      </c>
      <c r="E17818" s="17" t="s">
        <v>11</v>
      </c>
      <c r="F17818" s="18"/>
      <c r="G17818" s="36" t="str">
        <f>IF(ISNUMBER(F17818),C17818*F17818,"")</f>
        <v/>
      </c>
    </row>
    <row r="17819" spans="1:7" ht="12" customHeight="1" outlineLevel="2" x14ac:dyDescent="0.2">
      <c r="A17819" s="14" t="s">
        <v>35072</v>
      </c>
      <c r="B17819" s="15" t="s">
        <v>35073</v>
      </c>
      <c r="C17819" s="16">
        <f>613.32/(1+B2)</f>
        <v>613.32000000000005</v>
      </c>
      <c r="D17819" s="17" t="s">
        <v>11</v>
      </c>
      <c r="E17819" s="17"/>
      <c r="F17819" s="18"/>
      <c r="G17819" s="36" t="str">
        <f>IF(ISNUMBER(F17819),C17819*F17819,"")</f>
        <v/>
      </c>
    </row>
    <row r="17820" spans="1:7" ht="12" customHeight="1" outlineLevel="2" x14ac:dyDescent="0.2">
      <c r="A17820" s="14" t="s">
        <v>35074</v>
      </c>
      <c r="B17820" s="15" t="s">
        <v>35075</v>
      </c>
      <c r="C17820" s="16">
        <f>164.7/(1+B2)</f>
        <v>164.7</v>
      </c>
      <c r="D17820" s="17" t="s">
        <v>11</v>
      </c>
      <c r="E17820" s="17"/>
      <c r="F17820" s="18"/>
      <c r="G17820" s="36" t="str">
        <f>IF(ISNUMBER(F17820),C17820*F17820,"")</f>
        <v/>
      </c>
    </row>
    <row r="17821" spans="1:7" ht="12" customHeight="1" outlineLevel="2" x14ac:dyDescent="0.2">
      <c r="A17821" s="14" t="s">
        <v>35076</v>
      </c>
      <c r="B17821" s="15" t="s">
        <v>35077</v>
      </c>
      <c r="C17821" s="16">
        <f>163.35/(1+B2)</f>
        <v>163.35</v>
      </c>
      <c r="D17821" s="17" t="s">
        <v>11</v>
      </c>
      <c r="E17821" s="17" t="s">
        <v>14</v>
      </c>
      <c r="F17821" s="18"/>
      <c r="G17821" s="36" t="str">
        <f>IF(ISNUMBER(F17821),C17821*F17821,"")</f>
        <v/>
      </c>
    </row>
    <row r="17822" spans="1:7" ht="12" customHeight="1" outlineLevel="2" x14ac:dyDescent="0.2">
      <c r="A17822" s="14" t="s">
        <v>35078</v>
      </c>
      <c r="B17822" s="15" t="s">
        <v>35079</v>
      </c>
      <c r="C17822" s="16">
        <f>184.95/(1+B2)</f>
        <v>184.95</v>
      </c>
      <c r="D17822" s="17" t="s">
        <v>11</v>
      </c>
      <c r="E17822" s="17" t="s">
        <v>14</v>
      </c>
      <c r="F17822" s="18"/>
      <c r="G17822" s="36" t="str">
        <f>IF(ISNUMBER(F17822),C17822*F17822,"")</f>
        <v/>
      </c>
    </row>
    <row r="17823" spans="1:7" ht="12" customHeight="1" outlineLevel="2" x14ac:dyDescent="0.2">
      <c r="A17823" s="14" t="s">
        <v>35080</v>
      </c>
      <c r="B17823" s="15" t="s">
        <v>35081</v>
      </c>
      <c r="C17823" s="16">
        <f>360.45/(1+B2)</f>
        <v>360.45</v>
      </c>
      <c r="D17823" s="17" t="s">
        <v>11</v>
      </c>
      <c r="E17823" s="17"/>
      <c r="F17823" s="18"/>
      <c r="G17823" s="36" t="str">
        <f>IF(ISNUMBER(F17823),C17823*F17823,"")</f>
        <v/>
      </c>
    </row>
    <row r="17824" spans="1:7" ht="12" customHeight="1" outlineLevel="2" x14ac:dyDescent="0.2">
      <c r="A17824" s="14" t="s">
        <v>35082</v>
      </c>
      <c r="B17824" s="15" t="s">
        <v>35083</v>
      </c>
      <c r="C17824" s="16">
        <f>351/(1+B2)</f>
        <v>351</v>
      </c>
      <c r="D17824" s="17" t="s">
        <v>11</v>
      </c>
      <c r="E17824" s="17" t="s">
        <v>53</v>
      </c>
      <c r="F17824" s="18"/>
      <c r="G17824" s="36" t="str">
        <f>IF(ISNUMBER(F17824),C17824*F17824,"")</f>
        <v/>
      </c>
    </row>
    <row r="17825" spans="1:7" ht="12" customHeight="1" outlineLevel="2" x14ac:dyDescent="0.2">
      <c r="A17825" s="14" t="s">
        <v>35084</v>
      </c>
      <c r="B17825" s="15" t="s">
        <v>35085</v>
      </c>
      <c r="C17825" s="16">
        <f>360.45/(1+B2)</f>
        <v>360.45</v>
      </c>
      <c r="D17825" s="17" t="s">
        <v>11</v>
      </c>
      <c r="E17825" s="17" t="s">
        <v>11</v>
      </c>
      <c r="F17825" s="18"/>
      <c r="G17825" s="36" t="str">
        <f>IF(ISNUMBER(F17825),C17825*F17825,"")</f>
        <v/>
      </c>
    </row>
    <row r="17826" spans="1:7" ht="12" customHeight="1" outlineLevel="2" x14ac:dyDescent="0.2">
      <c r="A17826" s="14" t="s">
        <v>35086</v>
      </c>
      <c r="B17826" s="15" t="s">
        <v>35087</v>
      </c>
      <c r="C17826" s="16">
        <f>419.9/(1+B2)</f>
        <v>419.9</v>
      </c>
      <c r="D17826" s="17" t="s">
        <v>11</v>
      </c>
      <c r="E17826" s="17" t="s">
        <v>106</v>
      </c>
      <c r="F17826" s="18"/>
      <c r="G17826" s="36" t="str">
        <f>IF(ISNUMBER(F17826),C17826*F17826,"")</f>
        <v/>
      </c>
    </row>
    <row r="17827" spans="1:7" ht="12" customHeight="1" outlineLevel="2" x14ac:dyDescent="0.2">
      <c r="A17827" s="14" t="s">
        <v>35088</v>
      </c>
      <c r="B17827" s="15" t="s">
        <v>35089</v>
      </c>
      <c r="C17827" s="16">
        <f>63.45/(1+B2)</f>
        <v>63.45</v>
      </c>
      <c r="D17827" s="17" t="s">
        <v>11</v>
      </c>
      <c r="E17827" s="17" t="s">
        <v>11</v>
      </c>
      <c r="F17827" s="18"/>
      <c r="G17827" s="36" t="str">
        <f>IF(ISNUMBER(F17827),C17827*F17827,"")</f>
        <v/>
      </c>
    </row>
    <row r="17828" spans="1:7" ht="12" customHeight="1" outlineLevel="2" x14ac:dyDescent="0.2">
      <c r="A17828" s="14" t="s">
        <v>35090</v>
      </c>
      <c r="B17828" s="15" t="s">
        <v>35091</v>
      </c>
      <c r="C17828" s="16">
        <f>99.9/(1+B2)</f>
        <v>99.9</v>
      </c>
      <c r="D17828" s="17" t="s">
        <v>11</v>
      </c>
      <c r="E17828" s="17" t="s">
        <v>11</v>
      </c>
      <c r="F17828" s="18"/>
      <c r="G17828" s="36" t="str">
        <f>IF(ISNUMBER(F17828),C17828*F17828,"")</f>
        <v/>
      </c>
    </row>
    <row r="17829" spans="1:7" ht="12" customHeight="1" outlineLevel="2" x14ac:dyDescent="0.2">
      <c r="A17829" s="14" t="s">
        <v>35092</v>
      </c>
      <c r="B17829" s="15" t="s">
        <v>35093</v>
      </c>
      <c r="C17829" s="16">
        <f>74.25/(1+B2)</f>
        <v>74.25</v>
      </c>
      <c r="D17829" s="17" t="s">
        <v>11</v>
      </c>
      <c r="E17829" s="17" t="s">
        <v>11</v>
      </c>
      <c r="F17829" s="18"/>
      <c r="G17829" s="36" t="str">
        <f>IF(ISNUMBER(F17829),C17829*F17829,"")</f>
        <v/>
      </c>
    </row>
    <row r="17830" spans="1:7" ht="12" customHeight="1" outlineLevel="2" x14ac:dyDescent="0.2">
      <c r="A17830" s="14" t="s">
        <v>35094</v>
      </c>
      <c r="B17830" s="15" t="s">
        <v>35095</v>
      </c>
      <c r="C17830" s="19">
        <f>1046.22/(1+B2)</f>
        <v>1046.22</v>
      </c>
      <c r="D17830" s="17" t="s">
        <v>11</v>
      </c>
      <c r="E17830" s="17" t="s">
        <v>106</v>
      </c>
      <c r="F17830" s="18"/>
      <c r="G17830" s="36" t="str">
        <f>IF(ISNUMBER(F17830),C17830*F17830,"")</f>
        <v/>
      </c>
    </row>
    <row r="17831" spans="1:7" ht="12" customHeight="1" outlineLevel="2" x14ac:dyDescent="0.2">
      <c r="A17831" s="14" t="s">
        <v>35096</v>
      </c>
      <c r="B17831" s="15" t="s">
        <v>35097</v>
      </c>
      <c r="C17831" s="19">
        <f>1010.1/(1+B2)</f>
        <v>1010.1</v>
      </c>
      <c r="D17831" s="17" t="s">
        <v>11</v>
      </c>
      <c r="E17831" s="17"/>
      <c r="F17831" s="18"/>
      <c r="G17831" s="36" t="str">
        <f>IF(ISNUMBER(F17831),C17831*F17831,"")</f>
        <v/>
      </c>
    </row>
    <row r="17832" spans="1:7" ht="12" customHeight="1" outlineLevel="2" x14ac:dyDescent="0.2">
      <c r="A17832" s="14" t="s">
        <v>35098</v>
      </c>
      <c r="B17832" s="15" t="s">
        <v>35099</v>
      </c>
      <c r="C17832" s="16">
        <f>90.45/(1+B2)</f>
        <v>90.45</v>
      </c>
      <c r="D17832" s="17" t="s">
        <v>11</v>
      </c>
      <c r="E17832" s="17" t="s">
        <v>11</v>
      </c>
      <c r="F17832" s="18"/>
      <c r="G17832" s="36" t="str">
        <f>IF(ISNUMBER(F17832),C17832*F17832,"")</f>
        <v/>
      </c>
    </row>
    <row r="17833" spans="1:7" ht="12" customHeight="1" outlineLevel="2" x14ac:dyDescent="0.2">
      <c r="A17833" s="14" t="s">
        <v>35100</v>
      </c>
      <c r="B17833" s="15" t="s">
        <v>35101</v>
      </c>
      <c r="C17833" s="16">
        <f>81/(1+B2)</f>
        <v>81</v>
      </c>
      <c r="D17833" s="17" t="s">
        <v>11</v>
      </c>
      <c r="E17833" s="17" t="s">
        <v>14</v>
      </c>
      <c r="F17833" s="18"/>
      <c r="G17833" s="36" t="str">
        <f>IF(ISNUMBER(F17833),C17833*F17833,"")</f>
        <v/>
      </c>
    </row>
    <row r="17834" spans="1:7" ht="12" customHeight="1" outlineLevel="2" x14ac:dyDescent="0.2">
      <c r="A17834" s="14" t="s">
        <v>35102</v>
      </c>
      <c r="B17834" s="15" t="s">
        <v>35103</v>
      </c>
      <c r="C17834" s="16">
        <f>123.96/(1+B2)</f>
        <v>123.96</v>
      </c>
      <c r="D17834" s="17" t="s">
        <v>11</v>
      </c>
      <c r="E17834" s="17" t="s">
        <v>14</v>
      </c>
      <c r="F17834" s="18"/>
      <c r="G17834" s="36" t="str">
        <f>IF(ISNUMBER(F17834),C17834*F17834,"")</f>
        <v/>
      </c>
    </row>
    <row r="17835" spans="1:7" ht="12" customHeight="1" outlineLevel="2" x14ac:dyDescent="0.2">
      <c r="A17835" s="14" t="s">
        <v>35104</v>
      </c>
      <c r="B17835" s="15" t="s">
        <v>35105</v>
      </c>
      <c r="C17835" s="16">
        <f>268.5/(1+B2)</f>
        <v>268.5</v>
      </c>
      <c r="D17835" s="17" t="s">
        <v>11</v>
      </c>
      <c r="E17835" s="17" t="s">
        <v>14</v>
      </c>
      <c r="F17835" s="18"/>
      <c r="G17835" s="36" t="str">
        <f>IF(ISNUMBER(F17835),C17835*F17835,"")</f>
        <v/>
      </c>
    </row>
    <row r="17836" spans="1:7" ht="12" customHeight="1" outlineLevel="2" x14ac:dyDescent="0.2">
      <c r="A17836" s="14" t="s">
        <v>35106</v>
      </c>
      <c r="B17836" s="15" t="s">
        <v>35107</v>
      </c>
      <c r="C17836" s="16">
        <f>145.08/(1+B2)</f>
        <v>145.08000000000001</v>
      </c>
      <c r="D17836" s="17" t="s">
        <v>11</v>
      </c>
      <c r="E17836" s="17" t="s">
        <v>11</v>
      </c>
      <c r="F17836" s="18"/>
      <c r="G17836" s="36" t="str">
        <f>IF(ISNUMBER(F17836),C17836*F17836,"")</f>
        <v/>
      </c>
    </row>
    <row r="17837" spans="1:7" ht="12" customHeight="1" outlineLevel="2" x14ac:dyDescent="0.2">
      <c r="A17837" s="14" t="s">
        <v>35108</v>
      </c>
      <c r="B17837" s="15" t="s">
        <v>35109</v>
      </c>
      <c r="C17837" s="16">
        <f>272.28/(1+B2)</f>
        <v>272.27999999999997</v>
      </c>
      <c r="D17837" s="17" t="s">
        <v>11</v>
      </c>
      <c r="E17837" s="17" t="s">
        <v>11</v>
      </c>
      <c r="F17837" s="18"/>
      <c r="G17837" s="36" t="str">
        <f>IF(ISNUMBER(F17837),C17837*F17837,"")</f>
        <v/>
      </c>
    </row>
    <row r="17838" spans="1:7" ht="12" customHeight="1" outlineLevel="2" x14ac:dyDescent="0.2">
      <c r="A17838" s="14" t="s">
        <v>35110</v>
      </c>
      <c r="B17838" s="15" t="s">
        <v>35111</v>
      </c>
      <c r="C17838" s="16">
        <f>337.02/(1+B2)</f>
        <v>337.02</v>
      </c>
      <c r="D17838" s="17" t="s">
        <v>11</v>
      </c>
      <c r="E17838" s="17" t="s">
        <v>11</v>
      </c>
      <c r="F17838" s="18"/>
      <c r="G17838" s="36" t="str">
        <f>IF(ISNUMBER(F17838),C17838*F17838,"")</f>
        <v/>
      </c>
    </row>
    <row r="17839" spans="1:7" ht="12" customHeight="1" outlineLevel="2" x14ac:dyDescent="0.2">
      <c r="A17839" s="14" t="s">
        <v>35112</v>
      </c>
      <c r="B17839" s="15" t="s">
        <v>35113</v>
      </c>
      <c r="C17839" s="16">
        <f>468.36/(1+B2)</f>
        <v>468.36</v>
      </c>
      <c r="D17839" s="17" t="s">
        <v>11</v>
      </c>
      <c r="E17839" s="17" t="s">
        <v>11</v>
      </c>
      <c r="F17839" s="18"/>
      <c r="G17839" s="36" t="str">
        <f>IF(ISNUMBER(F17839),C17839*F17839,"")</f>
        <v/>
      </c>
    </row>
    <row r="17840" spans="1:7" ht="12" customHeight="1" outlineLevel="2" x14ac:dyDescent="0.2">
      <c r="A17840" s="14" t="s">
        <v>35114</v>
      </c>
      <c r="B17840" s="15" t="s">
        <v>35115</v>
      </c>
      <c r="C17840" s="16">
        <f>548.4/(1+B2)</f>
        <v>548.4</v>
      </c>
      <c r="D17840" s="17" t="s">
        <v>11</v>
      </c>
      <c r="E17840" s="17" t="s">
        <v>11</v>
      </c>
      <c r="F17840" s="18"/>
      <c r="G17840" s="36" t="str">
        <f>IF(ISNUMBER(F17840),C17840*F17840,"")</f>
        <v/>
      </c>
    </row>
    <row r="17841" spans="1:7" ht="12" customHeight="1" outlineLevel="2" x14ac:dyDescent="0.2">
      <c r="A17841" s="14" t="s">
        <v>35116</v>
      </c>
      <c r="B17841" s="15" t="s">
        <v>35117</v>
      </c>
      <c r="C17841" s="16">
        <f>534.54/(1+B2)</f>
        <v>534.54</v>
      </c>
      <c r="D17841" s="17" t="s">
        <v>11</v>
      </c>
      <c r="E17841" s="17"/>
      <c r="F17841" s="18"/>
      <c r="G17841" s="36" t="str">
        <f>IF(ISNUMBER(F17841),C17841*F17841,"")</f>
        <v/>
      </c>
    </row>
    <row r="17842" spans="1:7" ht="12" customHeight="1" outlineLevel="2" x14ac:dyDescent="0.2">
      <c r="A17842" s="14" t="s">
        <v>35118</v>
      </c>
      <c r="B17842" s="15" t="s">
        <v>35119</v>
      </c>
      <c r="C17842" s="16">
        <f>330.78/(1+B2)</f>
        <v>330.78</v>
      </c>
      <c r="D17842" s="17" t="s">
        <v>11</v>
      </c>
      <c r="E17842" s="17"/>
      <c r="F17842" s="18"/>
      <c r="G17842" s="36" t="str">
        <f>IF(ISNUMBER(F17842),C17842*F17842,"")</f>
        <v/>
      </c>
    </row>
    <row r="17843" spans="1:7" ht="12" customHeight="1" outlineLevel="2" x14ac:dyDescent="0.2">
      <c r="A17843" s="14" t="s">
        <v>35120</v>
      </c>
      <c r="B17843" s="15" t="s">
        <v>35121</v>
      </c>
      <c r="C17843" s="16">
        <f>569.58/(1+B2)</f>
        <v>569.58000000000004</v>
      </c>
      <c r="D17843" s="17" t="s">
        <v>11</v>
      </c>
      <c r="E17843" s="17" t="s">
        <v>11</v>
      </c>
      <c r="F17843" s="18"/>
      <c r="G17843" s="36" t="str">
        <f>IF(ISNUMBER(F17843),C17843*F17843,"")</f>
        <v/>
      </c>
    </row>
    <row r="17844" spans="1:7" ht="12" customHeight="1" outlineLevel="2" x14ac:dyDescent="0.2">
      <c r="A17844" s="14" t="s">
        <v>35122</v>
      </c>
      <c r="B17844" s="15" t="s">
        <v>35123</v>
      </c>
      <c r="C17844" s="16">
        <f>592.92/(1+B2)</f>
        <v>592.91999999999996</v>
      </c>
      <c r="D17844" s="17" t="s">
        <v>11</v>
      </c>
      <c r="E17844" s="17" t="s">
        <v>11</v>
      </c>
      <c r="F17844" s="18"/>
      <c r="G17844" s="36" t="str">
        <f>IF(ISNUMBER(F17844),C17844*F17844,"")</f>
        <v/>
      </c>
    </row>
    <row r="17845" spans="1:7" ht="12" customHeight="1" outlineLevel="2" x14ac:dyDescent="0.2">
      <c r="A17845" s="14" t="s">
        <v>35124</v>
      </c>
      <c r="B17845" s="15" t="s">
        <v>35125</v>
      </c>
      <c r="C17845" s="16">
        <f>627.48/(1+B2)</f>
        <v>627.48</v>
      </c>
      <c r="D17845" s="17" t="s">
        <v>11</v>
      </c>
      <c r="E17845" s="17" t="s">
        <v>11</v>
      </c>
      <c r="F17845" s="18"/>
      <c r="G17845" s="36" t="str">
        <f>IF(ISNUMBER(F17845),C17845*F17845,"")</f>
        <v/>
      </c>
    </row>
    <row r="17846" spans="1:7" ht="12" customHeight="1" outlineLevel="2" x14ac:dyDescent="0.2">
      <c r="A17846" s="14" t="s">
        <v>35126</v>
      </c>
      <c r="B17846" s="15" t="s">
        <v>35127</v>
      </c>
      <c r="C17846" s="16">
        <f>696.84/(1+B2)</f>
        <v>696.84</v>
      </c>
      <c r="D17846" s="17" t="s">
        <v>11</v>
      </c>
      <c r="E17846" s="17"/>
      <c r="F17846" s="18"/>
      <c r="G17846" s="36" t="str">
        <f>IF(ISNUMBER(F17846),C17846*F17846,"")</f>
        <v/>
      </c>
    </row>
    <row r="17847" spans="1:7" ht="12" customHeight="1" outlineLevel="2" x14ac:dyDescent="0.2">
      <c r="A17847" s="14" t="s">
        <v>35128</v>
      </c>
      <c r="B17847" s="15" t="s">
        <v>35129</v>
      </c>
      <c r="C17847" s="16">
        <f>679.62/(1+B2)</f>
        <v>679.62</v>
      </c>
      <c r="D17847" s="17" t="s">
        <v>11</v>
      </c>
      <c r="E17847" s="17"/>
      <c r="F17847" s="18"/>
      <c r="G17847" s="36" t="str">
        <f>IF(ISNUMBER(F17847),C17847*F17847,"")</f>
        <v/>
      </c>
    </row>
    <row r="17848" spans="1:7" ht="12" customHeight="1" outlineLevel="2" x14ac:dyDescent="0.2">
      <c r="A17848" s="14" t="s">
        <v>35130</v>
      </c>
      <c r="B17848" s="15" t="s">
        <v>35131</v>
      </c>
      <c r="C17848" s="16">
        <f>733.92/(1+B2)</f>
        <v>733.92</v>
      </c>
      <c r="D17848" s="17" t="s">
        <v>11</v>
      </c>
      <c r="E17848" s="17"/>
      <c r="F17848" s="18"/>
      <c r="G17848" s="36" t="str">
        <f>IF(ISNUMBER(F17848),C17848*F17848,"")</f>
        <v/>
      </c>
    </row>
    <row r="17849" spans="1:7" ht="12" customHeight="1" outlineLevel="2" x14ac:dyDescent="0.2">
      <c r="A17849" s="14" t="s">
        <v>35132</v>
      </c>
      <c r="B17849" s="15" t="s">
        <v>35133</v>
      </c>
      <c r="C17849" s="16">
        <f>746.7/(1+B2)</f>
        <v>746.7</v>
      </c>
      <c r="D17849" s="17" t="s">
        <v>11</v>
      </c>
      <c r="E17849" s="17" t="s">
        <v>11</v>
      </c>
      <c r="F17849" s="18"/>
      <c r="G17849" s="36" t="str">
        <f>IF(ISNUMBER(F17849),C17849*F17849,"")</f>
        <v/>
      </c>
    </row>
    <row r="17850" spans="1:7" ht="12" customHeight="1" outlineLevel="2" x14ac:dyDescent="0.2">
      <c r="A17850" s="14" t="s">
        <v>35134</v>
      </c>
      <c r="B17850" s="15" t="s">
        <v>35135</v>
      </c>
      <c r="C17850" s="16">
        <f>880.51/(1+B2)</f>
        <v>880.51</v>
      </c>
      <c r="D17850" s="17" t="s">
        <v>11</v>
      </c>
      <c r="E17850" s="17" t="s">
        <v>11</v>
      </c>
      <c r="F17850" s="18"/>
      <c r="G17850" s="36" t="str">
        <f>IF(ISNUMBER(F17850),C17850*F17850,"")</f>
        <v/>
      </c>
    </row>
    <row r="17851" spans="1:7" ht="12" customHeight="1" outlineLevel="2" x14ac:dyDescent="0.2">
      <c r="A17851" s="14" t="s">
        <v>35136</v>
      </c>
      <c r="B17851" s="15" t="s">
        <v>35137</v>
      </c>
      <c r="C17851" s="16">
        <f>843.42/(1+B2)</f>
        <v>843.42</v>
      </c>
      <c r="D17851" s="17" t="s">
        <v>11</v>
      </c>
      <c r="E17851" s="17" t="s">
        <v>11</v>
      </c>
      <c r="F17851" s="18"/>
      <c r="G17851" s="36" t="str">
        <f>IF(ISNUMBER(F17851),C17851*F17851,"")</f>
        <v/>
      </c>
    </row>
    <row r="17852" spans="1:7" ht="12" customHeight="1" outlineLevel="2" x14ac:dyDescent="0.2">
      <c r="A17852" s="14" t="s">
        <v>35138</v>
      </c>
      <c r="B17852" s="15" t="s">
        <v>35139</v>
      </c>
      <c r="C17852" s="16">
        <f>957.66/(1+B2)</f>
        <v>957.66</v>
      </c>
      <c r="D17852" s="17" t="s">
        <v>11</v>
      </c>
      <c r="E17852" s="17"/>
      <c r="F17852" s="18"/>
      <c r="G17852" s="36" t="str">
        <f>IF(ISNUMBER(F17852),C17852*F17852,"")</f>
        <v/>
      </c>
    </row>
    <row r="17853" spans="1:7" ht="24" customHeight="1" outlineLevel="2" x14ac:dyDescent="0.2">
      <c r="A17853" s="14" t="s">
        <v>35140</v>
      </c>
      <c r="B17853" s="15" t="s">
        <v>35141</v>
      </c>
      <c r="C17853" s="16">
        <f>993.94/(1+B2)</f>
        <v>993.94</v>
      </c>
      <c r="D17853" s="17" t="s">
        <v>11</v>
      </c>
      <c r="E17853" s="17" t="s">
        <v>11</v>
      </c>
      <c r="F17853" s="18"/>
      <c r="G17853" s="36" t="str">
        <f>IF(ISNUMBER(F17853),C17853*F17853,"")</f>
        <v/>
      </c>
    </row>
    <row r="17854" spans="1:7" ht="12" customHeight="1" outlineLevel="2" x14ac:dyDescent="0.2">
      <c r="A17854" s="14" t="s">
        <v>35142</v>
      </c>
      <c r="B17854" s="15" t="s">
        <v>35143</v>
      </c>
      <c r="C17854" s="19">
        <f>1095.24/(1+B2)</f>
        <v>1095.24</v>
      </c>
      <c r="D17854" s="17" t="s">
        <v>11</v>
      </c>
      <c r="E17854" s="17"/>
      <c r="F17854" s="18"/>
      <c r="G17854" s="36" t="str">
        <f>IF(ISNUMBER(F17854),C17854*F17854,"")</f>
        <v/>
      </c>
    </row>
    <row r="17855" spans="1:7" ht="12" customHeight="1" outlineLevel="2" x14ac:dyDescent="0.2">
      <c r="A17855" s="14" t="s">
        <v>35144</v>
      </c>
      <c r="B17855" s="15" t="s">
        <v>35145</v>
      </c>
      <c r="C17855" s="19">
        <f>1542.66/(1+B2)</f>
        <v>1542.66</v>
      </c>
      <c r="D17855" s="17" t="s">
        <v>11</v>
      </c>
      <c r="E17855" s="17" t="s">
        <v>11</v>
      </c>
      <c r="F17855" s="18"/>
      <c r="G17855" s="36" t="str">
        <f>IF(ISNUMBER(F17855),C17855*F17855,"")</f>
        <v/>
      </c>
    </row>
    <row r="17856" spans="1:7" ht="12" customHeight="1" outlineLevel="2" x14ac:dyDescent="0.2">
      <c r="A17856" s="14" t="s">
        <v>35146</v>
      </c>
      <c r="B17856" s="15" t="s">
        <v>35147</v>
      </c>
      <c r="C17856" s="16">
        <f>542.04/(1+B2)</f>
        <v>542.04</v>
      </c>
      <c r="D17856" s="17" t="s">
        <v>11</v>
      </c>
      <c r="E17856" s="17" t="s">
        <v>11</v>
      </c>
      <c r="F17856" s="18"/>
      <c r="G17856" s="36" t="str">
        <f>IF(ISNUMBER(F17856),C17856*F17856,"")</f>
        <v/>
      </c>
    </row>
    <row r="17857" spans="1:7" ht="12" customHeight="1" outlineLevel="2" x14ac:dyDescent="0.2">
      <c r="A17857" s="14" t="s">
        <v>35148</v>
      </c>
      <c r="B17857" s="15" t="s">
        <v>35149</v>
      </c>
      <c r="C17857" s="16">
        <f>609.6/(1+B2)</f>
        <v>609.6</v>
      </c>
      <c r="D17857" s="17" t="s">
        <v>11</v>
      </c>
      <c r="E17857" s="17" t="s">
        <v>11</v>
      </c>
      <c r="F17857" s="18"/>
      <c r="G17857" s="36" t="str">
        <f>IF(ISNUMBER(F17857),C17857*F17857,"")</f>
        <v/>
      </c>
    </row>
    <row r="17858" spans="1:7" ht="12" customHeight="1" outlineLevel="2" x14ac:dyDescent="0.2">
      <c r="A17858" s="14" t="s">
        <v>35150</v>
      </c>
      <c r="B17858" s="15" t="s">
        <v>35151</v>
      </c>
      <c r="C17858" s="16">
        <f>752.52/(1+B2)</f>
        <v>752.52</v>
      </c>
      <c r="D17858" s="17" t="s">
        <v>11</v>
      </c>
      <c r="E17858" s="17" t="s">
        <v>11</v>
      </c>
      <c r="F17858" s="18"/>
      <c r="G17858" s="36" t="str">
        <f>IF(ISNUMBER(F17858),C17858*F17858,"")</f>
        <v/>
      </c>
    </row>
    <row r="17859" spans="1:7" ht="12" customHeight="1" outlineLevel="2" x14ac:dyDescent="0.2">
      <c r="A17859" s="14" t="s">
        <v>35152</v>
      </c>
      <c r="B17859" s="15" t="s">
        <v>35153</v>
      </c>
      <c r="C17859" s="16">
        <f>242.7/(1+B2)</f>
        <v>242.7</v>
      </c>
      <c r="D17859" s="17" t="s">
        <v>11</v>
      </c>
      <c r="E17859" s="17" t="s">
        <v>14</v>
      </c>
      <c r="F17859" s="18"/>
      <c r="G17859" s="36" t="str">
        <f>IF(ISNUMBER(F17859),C17859*F17859,"")</f>
        <v/>
      </c>
    </row>
    <row r="17860" spans="1:7" ht="12" customHeight="1" outlineLevel="2" x14ac:dyDescent="0.2">
      <c r="A17860" s="14" t="s">
        <v>35154</v>
      </c>
      <c r="B17860" s="15" t="s">
        <v>35155</v>
      </c>
      <c r="C17860" s="16">
        <f>346.25/(1+B2)</f>
        <v>346.25</v>
      </c>
      <c r="D17860" s="17" t="s">
        <v>11</v>
      </c>
      <c r="E17860" s="17" t="s">
        <v>11</v>
      </c>
      <c r="F17860" s="18"/>
      <c r="G17860" s="36" t="str">
        <f>IF(ISNUMBER(F17860),C17860*F17860,"")</f>
        <v/>
      </c>
    </row>
    <row r="17861" spans="1:7" ht="12" customHeight="1" outlineLevel="2" x14ac:dyDescent="0.2">
      <c r="A17861" s="14" t="s">
        <v>35156</v>
      </c>
      <c r="B17861" s="15" t="s">
        <v>35157</v>
      </c>
      <c r="C17861" s="16">
        <f>443.94/(1+B2)</f>
        <v>443.94</v>
      </c>
      <c r="D17861" s="17" t="s">
        <v>11</v>
      </c>
      <c r="E17861" s="17"/>
      <c r="F17861" s="18"/>
      <c r="G17861" s="36" t="str">
        <f>IF(ISNUMBER(F17861),C17861*F17861,"")</f>
        <v/>
      </c>
    </row>
    <row r="17862" spans="1:7" ht="12" customHeight="1" outlineLevel="2" x14ac:dyDescent="0.2">
      <c r="A17862" s="14" t="s">
        <v>35158</v>
      </c>
      <c r="B17862" s="15" t="s">
        <v>35159</v>
      </c>
      <c r="C17862" s="16">
        <f>510.78/(1+B2)</f>
        <v>510.78</v>
      </c>
      <c r="D17862" s="17" t="s">
        <v>11</v>
      </c>
      <c r="E17862" s="17" t="s">
        <v>11</v>
      </c>
      <c r="F17862" s="18"/>
      <c r="G17862" s="36" t="str">
        <f>IF(ISNUMBER(F17862),C17862*F17862,"")</f>
        <v/>
      </c>
    </row>
    <row r="17863" spans="1:7" ht="12" customHeight="1" outlineLevel="2" x14ac:dyDescent="0.2">
      <c r="A17863" s="14" t="s">
        <v>35160</v>
      </c>
      <c r="B17863" s="15" t="s">
        <v>35161</v>
      </c>
      <c r="C17863" s="16">
        <f>379.2/(1+B2)</f>
        <v>379.2</v>
      </c>
      <c r="D17863" s="17" t="s">
        <v>11</v>
      </c>
      <c r="E17863" s="17" t="s">
        <v>11</v>
      </c>
      <c r="F17863" s="18"/>
      <c r="G17863" s="36" t="str">
        <f>IF(ISNUMBER(F17863),C17863*F17863,"")</f>
        <v/>
      </c>
    </row>
    <row r="17864" spans="1:7" ht="12" customHeight="1" outlineLevel="2" x14ac:dyDescent="0.2">
      <c r="A17864" s="14" t="s">
        <v>35162</v>
      </c>
      <c r="B17864" s="15" t="s">
        <v>35163</v>
      </c>
      <c r="C17864" s="19">
        <f>2079/(1+B2)</f>
        <v>2079</v>
      </c>
      <c r="D17864" s="17" t="s">
        <v>11</v>
      </c>
      <c r="E17864" s="17" t="s">
        <v>11</v>
      </c>
      <c r="F17864" s="18"/>
      <c r="G17864" s="36" t="str">
        <f>IF(ISNUMBER(F17864),C17864*F17864,"")</f>
        <v/>
      </c>
    </row>
    <row r="17865" spans="1:7" ht="12" customHeight="1" outlineLevel="2" x14ac:dyDescent="0.2">
      <c r="A17865" s="14" t="s">
        <v>35164</v>
      </c>
      <c r="B17865" s="15" t="s">
        <v>35165</v>
      </c>
      <c r="C17865" s="16">
        <f>533.25/(1+B2)</f>
        <v>533.25</v>
      </c>
      <c r="D17865" s="17" t="s">
        <v>11</v>
      </c>
      <c r="E17865" s="17" t="s">
        <v>11</v>
      </c>
      <c r="F17865" s="18"/>
      <c r="G17865" s="36" t="str">
        <f>IF(ISNUMBER(F17865),C17865*F17865,"")</f>
        <v/>
      </c>
    </row>
    <row r="17866" spans="1:7" ht="12" customHeight="1" outlineLevel="2" x14ac:dyDescent="0.2">
      <c r="A17866" s="14" t="s">
        <v>35166</v>
      </c>
      <c r="B17866" s="15" t="s">
        <v>35167</v>
      </c>
      <c r="C17866" s="19">
        <f>1228.5/(1+B2)</f>
        <v>1228.5</v>
      </c>
      <c r="D17866" s="17" t="s">
        <v>11</v>
      </c>
      <c r="E17866" s="17" t="s">
        <v>11</v>
      </c>
      <c r="F17866" s="18"/>
      <c r="G17866" s="36" t="str">
        <f>IF(ISNUMBER(F17866),C17866*F17866,"")</f>
        <v/>
      </c>
    </row>
    <row r="17867" spans="1:7" ht="12" customHeight="1" outlineLevel="2" x14ac:dyDescent="0.2">
      <c r="A17867" s="14" t="s">
        <v>35168</v>
      </c>
      <c r="B17867" s="15" t="s">
        <v>35169</v>
      </c>
      <c r="C17867" s="19">
        <f>1687.5/(1+B2)</f>
        <v>1687.5</v>
      </c>
      <c r="D17867" s="17" t="s">
        <v>11</v>
      </c>
      <c r="E17867" s="17" t="s">
        <v>11</v>
      </c>
      <c r="F17867" s="18"/>
      <c r="G17867" s="36" t="str">
        <f>IF(ISNUMBER(F17867),C17867*F17867,"")</f>
        <v/>
      </c>
    </row>
    <row r="17868" spans="1:7" s="1" customFormat="1" ht="15.95" customHeight="1" outlineLevel="1" x14ac:dyDescent="0.25">
      <c r="A17868" s="11"/>
      <c r="B17868" s="12" t="s">
        <v>35170</v>
      </c>
      <c r="C17868" s="13"/>
      <c r="D17868" s="13"/>
      <c r="E17868" s="13"/>
      <c r="F17868" s="13"/>
      <c r="G17868" s="35"/>
    </row>
    <row r="17869" spans="1:7" ht="12" customHeight="1" outlineLevel="2" x14ac:dyDescent="0.2">
      <c r="A17869" s="14" t="s">
        <v>35171</v>
      </c>
      <c r="B17869" s="15" t="s">
        <v>35172</v>
      </c>
      <c r="C17869" s="16">
        <f>39.42/(1+B2)</f>
        <v>39.42</v>
      </c>
      <c r="D17869" s="17" t="s">
        <v>11</v>
      </c>
      <c r="E17869" s="17" t="s">
        <v>14</v>
      </c>
      <c r="F17869" s="18"/>
      <c r="G17869" s="36" t="str">
        <f>IF(ISNUMBER(F17869),C17869*F17869,"")</f>
        <v/>
      </c>
    </row>
    <row r="17870" spans="1:7" ht="12" customHeight="1" outlineLevel="2" x14ac:dyDescent="0.2">
      <c r="A17870" s="14" t="s">
        <v>35173</v>
      </c>
      <c r="B17870" s="15" t="s">
        <v>35174</v>
      </c>
      <c r="C17870" s="16">
        <f>36.72/(1+B2)</f>
        <v>36.72</v>
      </c>
      <c r="D17870" s="17" t="s">
        <v>11</v>
      </c>
      <c r="E17870" s="17" t="s">
        <v>53</v>
      </c>
      <c r="F17870" s="18"/>
      <c r="G17870" s="36" t="str">
        <f>IF(ISNUMBER(F17870),C17870*F17870,"")</f>
        <v/>
      </c>
    </row>
    <row r="17871" spans="1:7" ht="12" customHeight="1" outlineLevel="2" x14ac:dyDescent="0.2">
      <c r="A17871" s="14" t="s">
        <v>35175</v>
      </c>
      <c r="B17871" s="15" t="s">
        <v>35176</v>
      </c>
      <c r="C17871" s="16">
        <f>36.72/(1+B2)</f>
        <v>36.72</v>
      </c>
      <c r="D17871" s="17" t="s">
        <v>11</v>
      </c>
      <c r="E17871" s="17" t="s">
        <v>14</v>
      </c>
      <c r="F17871" s="18"/>
      <c r="G17871" s="36" t="str">
        <f>IF(ISNUMBER(F17871),C17871*F17871,"")</f>
        <v/>
      </c>
    </row>
    <row r="17872" spans="1:7" ht="12" customHeight="1" outlineLevel="2" x14ac:dyDescent="0.2">
      <c r="A17872" s="14" t="s">
        <v>35177</v>
      </c>
      <c r="B17872" s="15" t="s">
        <v>35178</v>
      </c>
      <c r="C17872" s="16">
        <f>41.83/(1+B2)</f>
        <v>41.83</v>
      </c>
      <c r="D17872" s="17" t="s">
        <v>11</v>
      </c>
      <c r="E17872" s="17" t="s">
        <v>14</v>
      </c>
      <c r="F17872" s="18"/>
      <c r="G17872" s="36" t="str">
        <f>IF(ISNUMBER(F17872),C17872*F17872,"")</f>
        <v/>
      </c>
    </row>
    <row r="17873" spans="1:7" ht="12" customHeight="1" outlineLevel="2" x14ac:dyDescent="0.2">
      <c r="A17873" s="14" t="s">
        <v>35179</v>
      </c>
      <c r="B17873" s="15" t="s">
        <v>35180</v>
      </c>
      <c r="C17873" s="16">
        <f>69.08/(1+B2)</f>
        <v>69.08</v>
      </c>
      <c r="D17873" s="17" t="s">
        <v>53</v>
      </c>
      <c r="E17873" s="17"/>
      <c r="F17873" s="18"/>
      <c r="G17873" s="36" t="str">
        <f>IF(ISNUMBER(F17873),C17873*F17873,"")</f>
        <v/>
      </c>
    </row>
    <row r="17874" spans="1:7" ht="12" customHeight="1" outlineLevel="2" x14ac:dyDescent="0.2">
      <c r="A17874" s="14" t="s">
        <v>35181</v>
      </c>
      <c r="B17874" s="15" t="s">
        <v>35182</v>
      </c>
      <c r="C17874" s="16">
        <f>72.24/(1+B2)</f>
        <v>72.239999999999995</v>
      </c>
      <c r="D17874" s="17" t="s">
        <v>14</v>
      </c>
      <c r="E17874" s="17" t="s">
        <v>11</v>
      </c>
      <c r="F17874" s="18"/>
      <c r="G17874" s="36" t="str">
        <f>IF(ISNUMBER(F17874),C17874*F17874,"")</f>
        <v/>
      </c>
    </row>
    <row r="17875" spans="1:7" ht="12" customHeight="1" outlineLevel="2" x14ac:dyDescent="0.2">
      <c r="A17875" s="14" t="s">
        <v>35183</v>
      </c>
      <c r="B17875" s="15" t="s">
        <v>35184</v>
      </c>
      <c r="C17875" s="16">
        <f>105.26/(1+B2)</f>
        <v>105.26</v>
      </c>
      <c r="D17875" s="17" t="s">
        <v>11</v>
      </c>
      <c r="E17875" s="17" t="s">
        <v>14</v>
      </c>
      <c r="F17875" s="18"/>
      <c r="G17875" s="36" t="str">
        <f>IF(ISNUMBER(F17875),C17875*F17875,"")</f>
        <v/>
      </c>
    </row>
    <row r="17876" spans="1:7" ht="12" customHeight="1" outlineLevel="2" x14ac:dyDescent="0.2">
      <c r="A17876" s="14" t="s">
        <v>35185</v>
      </c>
      <c r="B17876" s="15" t="s">
        <v>35186</v>
      </c>
      <c r="C17876" s="16">
        <f>110.1/(1+B2)</f>
        <v>110.1</v>
      </c>
      <c r="D17876" s="17" t="s">
        <v>11</v>
      </c>
      <c r="E17876" s="17"/>
      <c r="F17876" s="18"/>
      <c r="G17876" s="36" t="str">
        <f>IF(ISNUMBER(F17876),C17876*F17876,"")</f>
        <v/>
      </c>
    </row>
    <row r="17877" spans="1:7" ht="12" customHeight="1" outlineLevel="2" x14ac:dyDescent="0.2">
      <c r="A17877" s="14" t="s">
        <v>35187</v>
      </c>
      <c r="B17877" s="15" t="s">
        <v>35188</v>
      </c>
      <c r="C17877" s="16">
        <f>136.52/(1+B2)</f>
        <v>136.52000000000001</v>
      </c>
      <c r="D17877" s="17" t="s">
        <v>11</v>
      </c>
      <c r="E17877" s="17"/>
      <c r="F17877" s="18"/>
      <c r="G17877" s="36" t="str">
        <f>IF(ISNUMBER(F17877),C17877*F17877,"")</f>
        <v/>
      </c>
    </row>
    <row r="17878" spans="1:7" ht="12" customHeight="1" outlineLevel="2" x14ac:dyDescent="0.2">
      <c r="A17878" s="14" t="s">
        <v>35189</v>
      </c>
      <c r="B17878" s="15" t="s">
        <v>35190</v>
      </c>
      <c r="C17878" s="16">
        <f>142.8/(1+B2)</f>
        <v>142.80000000000001</v>
      </c>
      <c r="D17878" s="17" t="s">
        <v>11</v>
      </c>
      <c r="E17878" s="17" t="s">
        <v>11</v>
      </c>
      <c r="F17878" s="18"/>
      <c r="G17878" s="36" t="str">
        <f>IF(ISNUMBER(F17878),C17878*F17878,"")</f>
        <v/>
      </c>
    </row>
    <row r="17879" spans="1:7" ht="12" customHeight="1" outlineLevel="2" x14ac:dyDescent="0.2">
      <c r="A17879" s="14" t="s">
        <v>35191</v>
      </c>
      <c r="B17879" s="15" t="s">
        <v>35192</v>
      </c>
      <c r="C17879" s="16">
        <f>101.34/(1+B2)</f>
        <v>101.34</v>
      </c>
      <c r="D17879" s="17" t="s">
        <v>11</v>
      </c>
      <c r="E17879" s="17"/>
      <c r="F17879" s="18"/>
      <c r="G17879" s="36" t="str">
        <f>IF(ISNUMBER(F17879),C17879*F17879,"")</f>
        <v/>
      </c>
    </row>
    <row r="17880" spans="1:7" ht="24" customHeight="1" outlineLevel="2" x14ac:dyDescent="0.2">
      <c r="A17880" s="14" t="s">
        <v>35193</v>
      </c>
      <c r="B17880" s="15" t="s">
        <v>35194</v>
      </c>
      <c r="C17880" s="16">
        <f>156.96/(1+B2)</f>
        <v>156.96</v>
      </c>
      <c r="D17880" s="17" t="s">
        <v>11</v>
      </c>
      <c r="E17880" s="17"/>
      <c r="F17880" s="18"/>
      <c r="G17880" s="36" t="str">
        <f>IF(ISNUMBER(F17880),C17880*F17880,"")</f>
        <v/>
      </c>
    </row>
    <row r="17881" spans="1:7" ht="24" customHeight="1" outlineLevel="2" x14ac:dyDescent="0.2">
      <c r="A17881" s="14" t="s">
        <v>35195</v>
      </c>
      <c r="B17881" s="15" t="s">
        <v>35196</v>
      </c>
      <c r="C17881" s="16">
        <f>156.96/(1+B2)</f>
        <v>156.96</v>
      </c>
      <c r="D17881" s="17" t="s">
        <v>11</v>
      </c>
      <c r="E17881" s="17"/>
      <c r="F17881" s="18"/>
      <c r="G17881" s="36" t="str">
        <f>IF(ISNUMBER(F17881),C17881*F17881,"")</f>
        <v/>
      </c>
    </row>
    <row r="17882" spans="1:7" ht="24" customHeight="1" outlineLevel="2" x14ac:dyDescent="0.2">
      <c r="A17882" s="14" t="s">
        <v>35197</v>
      </c>
      <c r="B17882" s="15" t="s">
        <v>35198</v>
      </c>
      <c r="C17882" s="16">
        <f>113.53/(1+B2)</f>
        <v>113.53</v>
      </c>
      <c r="D17882" s="17" t="s">
        <v>11</v>
      </c>
      <c r="E17882" s="17"/>
      <c r="F17882" s="18"/>
      <c r="G17882" s="36" t="str">
        <f>IF(ISNUMBER(F17882),C17882*F17882,"")</f>
        <v/>
      </c>
    </row>
    <row r="17883" spans="1:7" ht="24" customHeight="1" outlineLevel="2" x14ac:dyDescent="0.2">
      <c r="A17883" s="14" t="s">
        <v>35199</v>
      </c>
      <c r="B17883" s="15" t="s">
        <v>35200</v>
      </c>
      <c r="C17883" s="16">
        <f>266.82/(1+B2)</f>
        <v>266.82</v>
      </c>
      <c r="D17883" s="17" t="s">
        <v>14</v>
      </c>
      <c r="E17883" s="17" t="s">
        <v>11</v>
      </c>
      <c r="F17883" s="18"/>
      <c r="G17883" s="36" t="str">
        <f>IF(ISNUMBER(F17883),C17883*F17883,"")</f>
        <v/>
      </c>
    </row>
    <row r="17884" spans="1:7" ht="24" customHeight="1" outlineLevel="2" x14ac:dyDescent="0.2">
      <c r="A17884" s="14" t="s">
        <v>35201</v>
      </c>
      <c r="B17884" s="15" t="s">
        <v>35202</v>
      </c>
      <c r="C17884" s="16">
        <f>266.82/(1+B2)</f>
        <v>266.82</v>
      </c>
      <c r="D17884" s="17" t="s">
        <v>11</v>
      </c>
      <c r="E17884" s="17" t="s">
        <v>14</v>
      </c>
      <c r="F17884" s="18"/>
      <c r="G17884" s="36" t="str">
        <f>IF(ISNUMBER(F17884),C17884*F17884,"")</f>
        <v/>
      </c>
    </row>
    <row r="17885" spans="1:7" ht="24" customHeight="1" outlineLevel="2" x14ac:dyDescent="0.2">
      <c r="A17885" s="14" t="s">
        <v>35203</v>
      </c>
      <c r="B17885" s="15" t="s">
        <v>35204</v>
      </c>
      <c r="C17885" s="16">
        <f>192.87/(1+B2)</f>
        <v>192.87</v>
      </c>
      <c r="D17885" s="17" t="s">
        <v>11</v>
      </c>
      <c r="E17885" s="17"/>
      <c r="F17885" s="18"/>
      <c r="G17885" s="36" t="str">
        <f>IF(ISNUMBER(F17885),C17885*F17885,"")</f>
        <v/>
      </c>
    </row>
    <row r="17886" spans="1:7" ht="12" customHeight="1" outlineLevel="2" x14ac:dyDescent="0.2">
      <c r="A17886" s="14" t="s">
        <v>35205</v>
      </c>
      <c r="B17886" s="15" t="s">
        <v>35206</v>
      </c>
      <c r="C17886" s="16">
        <f>301.2/(1+B2)</f>
        <v>301.2</v>
      </c>
      <c r="D17886" s="17" t="s">
        <v>11</v>
      </c>
      <c r="E17886" s="17"/>
      <c r="F17886" s="18"/>
      <c r="G17886" s="36" t="str">
        <f>IF(ISNUMBER(F17886),C17886*F17886,"")</f>
        <v/>
      </c>
    </row>
    <row r="17887" spans="1:7" ht="12" customHeight="1" outlineLevel="2" x14ac:dyDescent="0.2">
      <c r="A17887" s="14" t="s">
        <v>35207</v>
      </c>
      <c r="B17887" s="15" t="s">
        <v>35208</v>
      </c>
      <c r="C17887" s="16">
        <f>301.2/(1+B2)</f>
        <v>301.2</v>
      </c>
      <c r="D17887" s="17" t="s">
        <v>11</v>
      </c>
      <c r="E17887" s="17"/>
      <c r="F17887" s="18"/>
      <c r="G17887" s="36" t="str">
        <f>IF(ISNUMBER(F17887),C17887*F17887,"")</f>
        <v/>
      </c>
    </row>
    <row r="17888" spans="1:7" ht="12" customHeight="1" outlineLevel="2" x14ac:dyDescent="0.2">
      <c r="A17888" s="14" t="s">
        <v>35209</v>
      </c>
      <c r="B17888" s="15" t="s">
        <v>35210</v>
      </c>
      <c r="C17888" s="16">
        <f>396.96/(1+B2)</f>
        <v>396.96</v>
      </c>
      <c r="D17888" s="17" t="s">
        <v>11</v>
      </c>
      <c r="E17888" s="17"/>
      <c r="F17888" s="18"/>
      <c r="G17888" s="36" t="str">
        <f>IF(ISNUMBER(F17888),C17888*F17888,"")</f>
        <v/>
      </c>
    </row>
    <row r="17889" spans="1:7" ht="12" customHeight="1" outlineLevel="2" x14ac:dyDescent="0.2">
      <c r="A17889" s="14" t="s">
        <v>35211</v>
      </c>
      <c r="B17889" s="15" t="s">
        <v>35212</v>
      </c>
      <c r="C17889" s="16">
        <f>396.96/(1+B2)</f>
        <v>396.96</v>
      </c>
      <c r="D17889" s="17" t="s">
        <v>11</v>
      </c>
      <c r="E17889" s="17"/>
      <c r="F17889" s="18"/>
      <c r="G17889" s="36" t="str">
        <f>IF(ISNUMBER(F17889),C17889*F17889,"")</f>
        <v/>
      </c>
    </row>
    <row r="17890" spans="1:7" ht="12" customHeight="1" outlineLevel="2" x14ac:dyDescent="0.2">
      <c r="A17890" s="14" t="s">
        <v>35213</v>
      </c>
      <c r="B17890" s="15" t="s">
        <v>35214</v>
      </c>
      <c r="C17890" s="16">
        <f>44.52/(1+B2)</f>
        <v>44.52</v>
      </c>
      <c r="D17890" s="17" t="s">
        <v>11</v>
      </c>
      <c r="E17890" s="17"/>
      <c r="F17890" s="18"/>
      <c r="G17890" s="36" t="str">
        <f>IF(ISNUMBER(F17890),C17890*F17890,"")</f>
        <v/>
      </c>
    </row>
    <row r="17891" spans="1:7" ht="12" customHeight="1" outlineLevel="2" x14ac:dyDescent="0.2">
      <c r="A17891" s="14" t="s">
        <v>35215</v>
      </c>
      <c r="B17891" s="15" t="s">
        <v>35216</v>
      </c>
      <c r="C17891" s="16">
        <f>44.52/(1+B2)</f>
        <v>44.52</v>
      </c>
      <c r="D17891" s="17" t="s">
        <v>11</v>
      </c>
      <c r="E17891" s="17"/>
      <c r="F17891" s="18"/>
      <c r="G17891" s="36" t="str">
        <f>IF(ISNUMBER(F17891),C17891*F17891,"")</f>
        <v/>
      </c>
    </row>
    <row r="17892" spans="1:7" ht="12" customHeight="1" outlineLevel="2" x14ac:dyDescent="0.2">
      <c r="A17892" s="14" t="s">
        <v>35217</v>
      </c>
      <c r="B17892" s="15" t="s">
        <v>35218</v>
      </c>
      <c r="C17892" s="16">
        <f>74.58/(1+B2)</f>
        <v>74.58</v>
      </c>
      <c r="D17892" s="17" t="s">
        <v>14</v>
      </c>
      <c r="E17892" s="17"/>
      <c r="F17892" s="18"/>
      <c r="G17892" s="36" t="str">
        <f>IF(ISNUMBER(F17892),C17892*F17892,"")</f>
        <v/>
      </c>
    </row>
    <row r="17893" spans="1:7" ht="12" customHeight="1" outlineLevel="2" x14ac:dyDescent="0.2">
      <c r="A17893" s="14" t="s">
        <v>35219</v>
      </c>
      <c r="B17893" s="15" t="s">
        <v>35220</v>
      </c>
      <c r="C17893" s="16">
        <f>74.58/(1+B2)</f>
        <v>74.58</v>
      </c>
      <c r="D17893" s="17" t="s">
        <v>11</v>
      </c>
      <c r="E17893" s="17"/>
      <c r="F17893" s="18"/>
      <c r="G17893" s="36" t="str">
        <f>IF(ISNUMBER(F17893),C17893*F17893,"")</f>
        <v/>
      </c>
    </row>
    <row r="17894" spans="1:7" ht="12" customHeight="1" outlineLevel="2" x14ac:dyDescent="0.2">
      <c r="A17894" s="14" t="s">
        <v>35221</v>
      </c>
      <c r="B17894" s="15" t="s">
        <v>35222</v>
      </c>
      <c r="C17894" s="16">
        <f>110.88/(1+B2)</f>
        <v>110.88</v>
      </c>
      <c r="D17894" s="17" t="s">
        <v>14</v>
      </c>
      <c r="E17894" s="17"/>
      <c r="F17894" s="18"/>
      <c r="G17894" s="36" t="str">
        <f>IF(ISNUMBER(F17894),C17894*F17894,"")</f>
        <v/>
      </c>
    </row>
    <row r="17895" spans="1:7" ht="12" customHeight="1" outlineLevel="2" x14ac:dyDescent="0.2">
      <c r="A17895" s="14" t="s">
        <v>35223</v>
      </c>
      <c r="B17895" s="15" t="s">
        <v>35224</v>
      </c>
      <c r="C17895" s="16">
        <f>110.88/(1+B2)</f>
        <v>110.88</v>
      </c>
      <c r="D17895" s="17" t="s">
        <v>11</v>
      </c>
      <c r="E17895" s="17" t="s">
        <v>14</v>
      </c>
      <c r="F17895" s="18"/>
      <c r="G17895" s="36" t="str">
        <f>IF(ISNUMBER(F17895),C17895*F17895,"")</f>
        <v/>
      </c>
    </row>
    <row r="17896" spans="1:7" ht="12" customHeight="1" outlineLevel="2" x14ac:dyDescent="0.2">
      <c r="A17896" s="14" t="s">
        <v>35225</v>
      </c>
      <c r="B17896" s="15" t="s">
        <v>35226</v>
      </c>
      <c r="C17896" s="16">
        <f>140.76/(1+B2)</f>
        <v>140.76</v>
      </c>
      <c r="D17896" s="17" t="s">
        <v>11</v>
      </c>
      <c r="E17896" s="17" t="s">
        <v>11</v>
      </c>
      <c r="F17896" s="18"/>
      <c r="G17896" s="36" t="str">
        <f>IF(ISNUMBER(F17896),C17896*F17896,"")</f>
        <v/>
      </c>
    </row>
    <row r="17897" spans="1:7" ht="12" customHeight="1" outlineLevel="2" x14ac:dyDescent="0.2">
      <c r="A17897" s="14" t="s">
        <v>35227</v>
      </c>
      <c r="B17897" s="15" t="s">
        <v>35228</v>
      </c>
      <c r="C17897" s="16">
        <f>140.76/(1+B2)</f>
        <v>140.76</v>
      </c>
      <c r="D17897" s="17" t="s">
        <v>14</v>
      </c>
      <c r="E17897" s="17"/>
      <c r="F17897" s="18"/>
      <c r="G17897" s="36" t="str">
        <f>IF(ISNUMBER(F17897),C17897*F17897,"")</f>
        <v/>
      </c>
    </row>
    <row r="17898" spans="1:7" ht="12" customHeight="1" outlineLevel="2" x14ac:dyDescent="0.2">
      <c r="A17898" s="14" t="s">
        <v>35229</v>
      </c>
      <c r="B17898" s="15" t="s">
        <v>35230</v>
      </c>
      <c r="C17898" s="16">
        <f>77.22/(1+B2)</f>
        <v>77.22</v>
      </c>
      <c r="D17898" s="17" t="s">
        <v>11</v>
      </c>
      <c r="E17898" s="17"/>
      <c r="F17898" s="18"/>
      <c r="G17898" s="36" t="str">
        <f>IF(ISNUMBER(F17898),C17898*F17898,"")</f>
        <v/>
      </c>
    </row>
    <row r="17899" spans="1:7" ht="12" customHeight="1" outlineLevel="2" x14ac:dyDescent="0.2">
      <c r="A17899" s="14" t="s">
        <v>35231</v>
      </c>
      <c r="B17899" s="15" t="s">
        <v>35232</v>
      </c>
      <c r="C17899" s="16">
        <f>70.08/(1+B2)</f>
        <v>70.08</v>
      </c>
      <c r="D17899" s="17" t="s">
        <v>53</v>
      </c>
      <c r="E17899" s="17"/>
      <c r="F17899" s="18"/>
      <c r="G17899" s="36" t="str">
        <f>IF(ISNUMBER(F17899),C17899*F17899,"")</f>
        <v/>
      </c>
    </row>
    <row r="17900" spans="1:7" ht="24" customHeight="1" outlineLevel="2" x14ac:dyDescent="0.2">
      <c r="A17900" s="14" t="s">
        <v>35233</v>
      </c>
      <c r="B17900" s="15" t="s">
        <v>35234</v>
      </c>
      <c r="C17900" s="16">
        <f>111.46/(1+B2)</f>
        <v>111.46</v>
      </c>
      <c r="D17900" s="17" t="s">
        <v>14</v>
      </c>
      <c r="E17900" s="17"/>
      <c r="F17900" s="18"/>
      <c r="G17900" s="36" t="str">
        <f>IF(ISNUMBER(F17900),C17900*F17900,"")</f>
        <v/>
      </c>
    </row>
    <row r="17901" spans="1:7" ht="12" customHeight="1" outlineLevel="2" x14ac:dyDescent="0.2">
      <c r="A17901" s="14" t="s">
        <v>35235</v>
      </c>
      <c r="B17901" s="15" t="s">
        <v>35236</v>
      </c>
      <c r="C17901" s="16">
        <f>119.94/(1+B2)</f>
        <v>119.94</v>
      </c>
      <c r="D17901" s="17" t="s">
        <v>14</v>
      </c>
      <c r="E17901" s="17"/>
      <c r="F17901" s="18"/>
      <c r="G17901" s="36" t="str">
        <f>IF(ISNUMBER(F17901),C17901*F17901,"")</f>
        <v/>
      </c>
    </row>
    <row r="17902" spans="1:7" ht="12" customHeight="1" outlineLevel="2" x14ac:dyDescent="0.2">
      <c r="A17902" s="14" t="s">
        <v>35237</v>
      </c>
      <c r="B17902" s="15" t="s">
        <v>35238</v>
      </c>
      <c r="C17902" s="16">
        <f>39.18/(1+B2)</f>
        <v>39.18</v>
      </c>
      <c r="D17902" s="17" t="s">
        <v>11</v>
      </c>
      <c r="E17902" s="17" t="s">
        <v>11</v>
      </c>
      <c r="F17902" s="18"/>
      <c r="G17902" s="36" t="str">
        <f>IF(ISNUMBER(F17902),C17902*F17902,"")</f>
        <v/>
      </c>
    </row>
    <row r="17903" spans="1:7" ht="24" customHeight="1" outlineLevel="2" x14ac:dyDescent="0.2">
      <c r="A17903" s="14" t="s">
        <v>35239</v>
      </c>
      <c r="B17903" s="15" t="s">
        <v>35240</v>
      </c>
      <c r="C17903" s="16">
        <f>39.18/(1+B2)</f>
        <v>39.18</v>
      </c>
      <c r="D17903" s="17" t="s">
        <v>14</v>
      </c>
      <c r="E17903" s="17"/>
      <c r="F17903" s="18"/>
      <c r="G17903" s="36" t="str">
        <f>IF(ISNUMBER(F17903),C17903*F17903,"")</f>
        <v/>
      </c>
    </row>
    <row r="17904" spans="1:7" ht="12" customHeight="1" outlineLevel="2" x14ac:dyDescent="0.2">
      <c r="A17904" s="14" t="s">
        <v>35241</v>
      </c>
      <c r="B17904" s="15" t="s">
        <v>35242</v>
      </c>
      <c r="C17904" s="16">
        <f>69.24/(1+B2)</f>
        <v>69.239999999999995</v>
      </c>
      <c r="D17904" s="17" t="s">
        <v>53</v>
      </c>
      <c r="E17904" s="17" t="s">
        <v>14</v>
      </c>
      <c r="F17904" s="18"/>
      <c r="G17904" s="36" t="str">
        <f>IF(ISNUMBER(F17904),C17904*F17904,"")</f>
        <v/>
      </c>
    </row>
    <row r="17905" spans="1:7" ht="24" customHeight="1" outlineLevel="2" x14ac:dyDescent="0.2">
      <c r="A17905" s="14" t="s">
        <v>35243</v>
      </c>
      <c r="B17905" s="15" t="s">
        <v>35244</v>
      </c>
      <c r="C17905" s="16">
        <f>69.24/(1+B2)</f>
        <v>69.239999999999995</v>
      </c>
      <c r="D17905" s="17" t="s">
        <v>11</v>
      </c>
      <c r="E17905" s="17" t="s">
        <v>53</v>
      </c>
      <c r="F17905" s="18"/>
      <c r="G17905" s="36" t="str">
        <f>IF(ISNUMBER(F17905),C17905*F17905,"")</f>
        <v/>
      </c>
    </row>
    <row r="17906" spans="1:7" ht="12" customHeight="1" outlineLevel="2" x14ac:dyDescent="0.2">
      <c r="A17906" s="14" t="s">
        <v>35245</v>
      </c>
      <c r="B17906" s="15" t="s">
        <v>35246</v>
      </c>
      <c r="C17906" s="16">
        <f>100.2/(1+B2)</f>
        <v>100.2</v>
      </c>
      <c r="D17906" s="17" t="s">
        <v>11</v>
      </c>
      <c r="E17906" s="17"/>
      <c r="F17906" s="18"/>
      <c r="G17906" s="36" t="str">
        <f>IF(ISNUMBER(F17906),C17906*F17906,"")</f>
        <v/>
      </c>
    </row>
    <row r="17907" spans="1:7" ht="24" customHeight="1" outlineLevel="2" x14ac:dyDescent="0.2">
      <c r="A17907" s="14" t="s">
        <v>35247</v>
      </c>
      <c r="B17907" s="15" t="s">
        <v>35248</v>
      </c>
      <c r="C17907" s="16">
        <f>100.2/(1+B2)</f>
        <v>100.2</v>
      </c>
      <c r="D17907" s="17" t="s">
        <v>11</v>
      </c>
      <c r="E17907" s="17" t="s">
        <v>11</v>
      </c>
      <c r="F17907" s="18"/>
      <c r="G17907" s="36" t="str">
        <f>IF(ISNUMBER(F17907),C17907*F17907,"")</f>
        <v/>
      </c>
    </row>
    <row r="17908" spans="1:7" ht="12" customHeight="1" outlineLevel="2" x14ac:dyDescent="0.2">
      <c r="A17908" s="14" t="s">
        <v>35249</v>
      </c>
      <c r="B17908" s="15" t="s">
        <v>35250</v>
      </c>
      <c r="C17908" s="16">
        <f>136.98/(1+B2)</f>
        <v>136.97999999999999</v>
      </c>
      <c r="D17908" s="17" t="s">
        <v>14</v>
      </c>
      <c r="E17908" s="17"/>
      <c r="F17908" s="18"/>
      <c r="G17908" s="36" t="str">
        <f>IF(ISNUMBER(F17908),C17908*F17908,"")</f>
        <v/>
      </c>
    </row>
    <row r="17909" spans="1:7" ht="12" customHeight="1" outlineLevel="2" x14ac:dyDescent="0.2">
      <c r="A17909" s="14" t="s">
        <v>35251</v>
      </c>
      <c r="B17909" s="15" t="s">
        <v>35252</v>
      </c>
      <c r="C17909" s="16">
        <f>82.38/(1+B2)</f>
        <v>82.38</v>
      </c>
      <c r="D17909" s="17" t="s">
        <v>11</v>
      </c>
      <c r="E17909" s="17"/>
      <c r="F17909" s="18"/>
      <c r="G17909" s="36" t="str">
        <f>IF(ISNUMBER(F17909),C17909*F17909,"")</f>
        <v/>
      </c>
    </row>
    <row r="17910" spans="1:7" ht="24" customHeight="1" outlineLevel="2" x14ac:dyDescent="0.2">
      <c r="A17910" s="14" t="s">
        <v>35253</v>
      </c>
      <c r="B17910" s="15" t="s">
        <v>35254</v>
      </c>
      <c r="C17910" s="16">
        <f>45.18/(1+B2)</f>
        <v>45.18</v>
      </c>
      <c r="D17910" s="17" t="s">
        <v>14</v>
      </c>
      <c r="E17910" s="17"/>
      <c r="F17910" s="18"/>
      <c r="G17910" s="36" t="str">
        <f>IF(ISNUMBER(F17910),C17910*F17910,"")</f>
        <v/>
      </c>
    </row>
    <row r="17911" spans="1:7" ht="24" customHeight="1" outlineLevel="2" x14ac:dyDescent="0.2">
      <c r="A17911" s="14" t="s">
        <v>35255</v>
      </c>
      <c r="B17911" s="15" t="s">
        <v>35256</v>
      </c>
      <c r="C17911" s="16">
        <f>91.02/(1+B2)</f>
        <v>91.02</v>
      </c>
      <c r="D17911" s="17" t="s">
        <v>11</v>
      </c>
      <c r="E17911" s="17" t="s">
        <v>11</v>
      </c>
      <c r="F17911" s="18"/>
      <c r="G17911" s="36" t="str">
        <f>IF(ISNUMBER(F17911),C17911*F17911,"")</f>
        <v/>
      </c>
    </row>
    <row r="17912" spans="1:7" ht="24" customHeight="1" outlineLevel="2" x14ac:dyDescent="0.2">
      <c r="A17912" s="14" t="s">
        <v>35257</v>
      </c>
      <c r="B17912" s="15" t="s">
        <v>35258</v>
      </c>
      <c r="C17912" s="16">
        <f>87.85/(1+B2)</f>
        <v>87.85</v>
      </c>
      <c r="D17912" s="17" t="s">
        <v>11</v>
      </c>
      <c r="E17912" s="17"/>
      <c r="F17912" s="18"/>
      <c r="G17912" s="36" t="str">
        <f>IF(ISNUMBER(F17912),C17912*F17912,"")</f>
        <v/>
      </c>
    </row>
    <row r="17913" spans="1:7" ht="24" customHeight="1" outlineLevel="2" x14ac:dyDescent="0.2">
      <c r="A17913" s="14" t="s">
        <v>35259</v>
      </c>
      <c r="B17913" s="15" t="s">
        <v>35260</v>
      </c>
      <c r="C17913" s="16">
        <f>75/(1+B2)</f>
        <v>75</v>
      </c>
      <c r="D17913" s="17" t="s">
        <v>14</v>
      </c>
      <c r="E17913" s="17" t="s">
        <v>14</v>
      </c>
      <c r="F17913" s="18"/>
      <c r="G17913" s="36" t="str">
        <f>IF(ISNUMBER(F17913),C17913*F17913,"")</f>
        <v/>
      </c>
    </row>
    <row r="17914" spans="1:7" ht="24" customHeight="1" outlineLevel="2" x14ac:dyDescent="0.2">
      <c r="A17914" s="14" t="s">
        <v>35261</v>
      </c>
      <c r="B17914" s="15" t="s">
        <v>35262</v>
      </c>
      <c r="C17914" s="16">
        <f>98.22/(1+B2)</f>
        <v>98.22</v>
      </c>
      <c r="D17914" s="17" t="s">
        <v>11</v>
      </c>
      <c r="E17914" s="17"/>
      <c r="F17914" s="18"/>
      <c r="G17914" s="36" t="str">
        <f>IF(ISNUMBER(F17914),C17914*F17914,"")</f>
        <v/>
      </c>
    </row>
    <row r="17915" spans="1:7" ht="24" customHeight="1" outlineLevel="2" x14ac:dyDescent="0.2">
      <c r="A17915" s="14" t="s">
        <v>35263</v>
      </c>
      <c r="B17915" s="15" t="s">
        <v>35264</v>
      </c>
      <c r="C17915" s="16">
        <f>104.19/(1+B2)</f>
        <v>104.19</v>
      </c>
      <c r="D17915" s="17" t="s">
        <v>11</v>
      </c>
      <c r="E17915" s="17"/>
      <c r="F17915" s="18"/>
      <c r="G17915" s="36" t="str">
        <f>IF(ISNUMBER(F17915),C17915*F17915,"")</f>
        <v/>
      </c>
    </row>
    <row r="17916" spans="1:7" ht="24" customHeight="1" outlineLevel="2" x14ac:dyDescent="0.2">
      <c r="A17916" s="14" t="s">
        <v>35265</v>
      </c>
      <c r="B17916" s="15" t="s">
        <v>35266</v>
      </c>
      <c r="C17916" s="16">
        <f>90.92/(1+B2)</f>
        <v>90.92</v>
      </c>
      <c r="D17916" s="17" t="s">
        <v>11</v>
      </c>
      <c r="E17916" s="17"/>
      <c r="F17916" s="18"/>
      <c r="G17916" s="36" t="str">
        <f>IF(ISNUMBER(F17916),C17916*F17916,"")</f>
        <v/>
      </c>
    </row>
    <row r="17917" spans="1:7" ht="24" customHeight="1" outlineLevel="2" x14ac:dyDescent="0.2">
      <c r="A17917" s="14" t="s">
        <v>35267</v>
      </c>
      <c r="B17917" s="15" t="s">
        <v>35268</v>
      </c>
      <c r="C17917" s="16">
        <f>73.98/(1+B2)</f>
        <v>73.98</v>
      </c>
      <c r="D17917" s="17" t="s">
        <v>11</v>
      </c>
      <c r="E17917" s="17"/>
      <c r="F17917" s="18"/>
      <c r="G17917" s="36" t="str">
        <f>IF(ISNUMBER(F17917),C17917*F17917,"")</f>
        <v/>
      </c>
    </row>
    <row r="17918" spans="1:7" ht="12" customHeight="1" outlineLevel="2" x14ac:dyDescent="0.2">
      <c r="A17918" s="14" t="s">
        <v>35269</v>
      </c>
      <c r="B17918" s="15" t="s">
        <v>35270</v>
      </c>
      <c r="C17918" s="16">
        <f>90.92/(1+B2)</f>
        <v>90.92</v>
      </c>
      <c r="D17918" s="17" t="s">
        <v>14</v>
      </c>
      <c r="E17918" s="17"/>
      <c r="F17918" s="18"/>
      <c r="G17918" s="36" t="str">
        <f>IF(ISNUMBER(F17918),C17918*F17918,"")</f>
        <v/>
      </c>
    </row>
    <row r="17919" spans="1:7" ht="24" customHeight="1" outlineLevel="2" x14ac:dyDescent="0.2">
      <c r="A17919" s="14" t="s">
        <v>35271</v>
      </c>
      <c r="B17919" s="15" t="s">
        <v>35272</v>
      </c>
      <c r="C17919" s="16">
        <f>82.8/(1+B2)</f>
        <v>82.8</v>
      </c>
      <c r="D17919" s="17" t="s">
        <v>11</v>
      </c>
      <c r="E17919" s="17"/>
      <c r="F17919" s="18"/>
      <c r="G17919" s="36" t="str">
        <f>IF(ISNUMBER(F17919),C17919*F17919,"")</f>
        <v/>
      </c>
    </row>
    <row r="17920" spans="1:7" ht="24" customHeight="1" outlineLevel="2" x14ac:dyDescent="0.2">
      <c r="A17920" s="14" t="s">
        <v>35273</v>
      </c>
      <c r="B17920" s="15" t="s">
        <v>35274</v>
      </c>
      <c r="C17920" s="16">
        <f>91.6/(1+B2)</f>
        <v>91.6</v>
      </c>
      <c r="D17920" s="17" t="s">
        <v>11</v>
      </c>
      <c r="E17920" s="17"/>
      <c r="F17920" s="18"/>
      <c r="G17920" s="36" t="str">
        <f>IF(ISNUMBER(F17920),C17920*F17920,"")</f>
        <v/>
      </c>
    </row>
    <row r="17921" spans="1:7" ht="12" customHeight="1" outlineLevel="2" x14ac:dyDescent="0.2">
      <c r="A17921" s="14" t="s">
        <v>35275</v>
      </c>
      <c r="B17921" s="15" t="s">
        <v>35276</v>
      </c>
      <c r="C17921" s="16">
        <f>223.68/(1+B2)</f>
        <v>223.68</v>
      </c>
      <c r="D17921" s="17" t="s">
        <v>11</v>
      </c>
      <c r="E17921" s="17"/>
      <c r="F17921" s="18"/>
      <c r="G17921" s="36" t="str">
        <f>IF(ISNUMBER(F17921),C17921*F17921,"")</f>
        <v/>
      </c>
    </row>
    <row r="17922" spans="1:7" ht="12" customHeight="1" outlineLevel="2" x14ac:dyDescent="0.2">
      <c r="A17922" s="14" t="s">
        <v>35277</v>
      </c>
      <c r="B17922" s="15" t="s">
        <v>35278</v>
      </c>
      <c r="C17922" s="16">
        <f>122.88/(1+B2)</f>
        <v>122.88</v>
      </c>
      <c r="D17922" s="17" t="s">
        <v>11</v>
      </c>
      <c r="E17922" s="17" t="s">
        <v>11</v>
      </c>
      <c r="F17922" s="18"/>
      <c r="G17922" s="36" t="str">
        <f>IF(ISNUMBER(F17922),C17922*F17922,"")</f>
        <v/>
      </c>
    </row>
    <row r="17923" spans="1:7" ht="12" customHeight="1" outlineLevel="2" x14ac:dyDescent="0.2">
      <c r="A17923" s="14" t="s">
        <v>35279</v>
      </c>
      <c r="B17923" s="15" t="s">
        <v>35280</v>
      </c>
      <c r="C17923" s="16">
        <f>122.88/(1+B2)</f>
        <v>122.88</v>
      </c>
      <c r="D17923" s="17" t="s">
        <v>11</v>
      </c>
      <c r="E17923" s="17"/>
      <c r="F17923" s="18"/>
      <c r="G17923" s="36" t="str">
        <f>IF(ISNUMBER(F17923),C17923*F17923,"")</f>
        <v/>
      </c>
    </row>
    <row r="17924" spans="1:7" ht="24" customHeight="1" outlineLevel="2" x14ac:dyDescent="0.2">
      <c r="A17924" s="14" t="s">
        <v>35281</v>
      </c>
      <c r="B17924" s="15" t="s">
        <v>35282</v>
      </c>
      <c r="C17924" s="16">
        <f>122.88/(1+B2)</f>
        <v>122.88</v>
      </c>
      <c r="D17924" s="17" t="s">
        <v>11</v>
      </c>
      <c r="E17924" s="17"/>
      <c r="F17924" s="18"/>
      <c r="G17924" s="36" t="str">
        <f>IF(ISNUMBER(F17924),C17924*F17924,"")</f>
        <v/>
      </c>
    </row>
    <row r="17925" spans="1:7" ht="12" customHeight="1" outlineLevel="2" x14ac:dyDescent="0.2">
      <c r="A17925" s="14" t="s">
        <v>35283</v>
      </c>
      <c r="B17925" s="15" t="s">
        <v>35284</v>
      </c>
      <c r="C17925" s="16">
        <f>75.42/(1+B2)</f>
        <v>75.42</v>
      </c>
      <c r="D17925" s="17" t="s">
        <v>11</v>
      </c>
      <c r="E17925" s="17"/>
      <c r="F17925" s="18"/>
      <c r="G17925" s="36" t="str">
        <f>IF(ISNUMBER(F17925),C17925*F17925,"")</f>
        <v/>
      </c>
    </row>
    <row r="17926" spans="1:7" ht="24" customHeight="1" outlineLevel="2" x14ac:dyDescent="0.2">
      <c r="A17926" s="14" t="s">
        <v>35285</v>
      </c>
      <c r="B17926" s="15" t="s">
        <v>35286</v>
      </c>
      <c r="C17926" s="16">
        <f>75.42/(1+B2)</f>
        <v>75.42</v>
      </c>
      <c r="D17926" s="17" t="s">
        <v>14</v>
      </c>
      <c r="E17926" s="17"/>
      <c r="F17926" s="18"/>
      <c r="G17926" s="36" t="str">
        <f>IF(ISNUMBER(F17926),C17926*F17926,"")</f>
        <v/>
      </c>
    </row>
    <row r="17927" spans="1:7" ht="12" customHeight="1" outlineLevel="2" x14ac:dyDescent="0.2">
      <c r="A17927" s="14" t="s">
        <v>35287</v>
      </c>
      <c r="B17927" s="15" t="s">
        <v>35288</v>
      </c>
      <c r="C17927" s="16">
        <f>93.51/(1+B2)</f>
        <v>93.51</v>
      </c>
      <c r="D17927" s="17" t="s">
        <v>11</v>
      </c>
      <c r="E17927" s="17"/>
      <c r="F17927" s="18"/>
      <c r="G17927" s="36" t="str">
        <f>IF(ISNUMBER(F17927),C17927*F17927,"")</f>
        <v/>
      </c>
    </row>
    <row r="17928" spans="1:7" ht="24" customHeight="1" outlineLevel="2" x14ac:dyDescent="0.2">
      <c r="A17928" s="14" t="s">
        <v>35289</v>
      </c>
      <c r="B17928" s="15" t="s">
        <v>35290</v>
      </c>
      <c r="C17928" s="16">
        <f>113.21/(1+B2)</f>
        <v>113.21</v>
      </c>
      <c r="D17928" s="17" t="s">
        <v>14</v>
      </c>
      <c r="E17928" s="17"/>
      <c r="F17928" s="18"/>
      <c r="G17928" s="36" t="str">
        <f>IF(ISNUMBER(F17928),C17928*F17928,"")</f>
        <v/>
      </c>
    </row>
    <row r="17929" spans="1:7" ht="24" customHeight="1" outlineLevel="2" x14ac:dyDescent="0.2">
      <c r="A17929" s="14" t="s">
        <v>35291</v>
      </c>
      <c r="B17929" s="15" t="s">
        <v>35292</v>
      </c>
      <c r="C17929" s="16">
        <f>141.71/(1+B2)</f>
        <v>141.71</v>
      </c>
      <c r="D17929" s="17" t="s">
        <v>11</v>
      </c>
      <c r="E17929" s="17"/>
      <c r="F17929" s="18"/>
      <c r="G17929" s="36" t="str">
        <f>IF(ISNUMBER(F17929),C17929*F17929,"")</f>
        <v/>
      </c>
    </row>
    <row r="17930" spans="1:7" ht="12" customHeight="1" outlineLevel="2" x14ac:dyDescent="0.2">
      <c r="A17930" s="14" t="s">
        <v>35293</v>
      </c>
      <c r="B17930" s="15" t="s">
        <v>35294</v>
      </c>
      <c r="C17930" s="16">
        <f>43.08/(1+B2)</f>
        <v>43.08</v>
      </c>
      <c r="D17930" s="17" t="s">
        <v>11</v>
      </c>
      <c r="E17930" s="17" t="s">
        <v>53</v>
      </c>
      <c r="F17930" s="18"/>
      <c r="G17930" s="36" t="str">
        <f>IF(ISNUMBER(F17930),C17930*F17930,"")</f>
        <v/>
      </c>
    </row>
    <row r="17931" spans="1:7" ht="24" customHeight="1" outlineLevel="2" x14ac:dyDescent="0.2">
      <c r="A17931" s="14" t="s">
        <v>35295</v>
      </c>
      <c r="B17931" s="15" t="s">
        <v>35296</v>
      </c>
      <c r="C17931" s="16">
        <f>43.08/(1+B2)</f>
        <v>43.08</v>
      </c>
      <c r="D17931" s="17" t="s">
        <v>14</v>
      </c>
      <c r="E17931" s="17"/>
      <c r="F17931" s="18"/>
      <c r="G17931" s="36" t="str">
        <f>IF(ISNUMBER(F17931),C17931*F17931,"")</f>
        <v/>
      </c>
    </row>
    <row r="17932" spans="1:7" ht="12" customHeight="1" outlineLevel="2" x14ac:dyDescent="0.2">
      <c r="A17932" s="14" t="s">
        <v>35297</v>
      </c>
      <c r="B17932" s="15" t="s">
        <v>35298</v>
      </c>
      <c r="C17932" s="16">
        <f>62.82/(1+B2)</f>
        <v>62.82</v>
      </c>
      <c r="D17932" s="17" t="s">
        <v>11</v>
      </c>
      <c r="E17932" s="17" t="s">
        <v>53</v>
      </c>
      <c r="F17932" s="18"/>
      <c r="G17932" s="36" t="str">
        <f>IF(ISNUMBER(F17932),C17932*F17932,"")</f>
        <v/>
      </c>
    </row>
    <row r="17933" spans="1:7" ht="12" customHeight="1" outlineLevel="2" x14ac:dyDescent="0.2">
      <c r="A17933" s="14" t="s">
        <v>35299</v>
      </c>
      <c r="B17933" s="15" t="s">
        <v>35300</v>
      </c>
      <c r="C17933" s="16">
        <f>116.04/(1+B2)</f>
        <v>116.04</v>
      </c>
      <c r="D17933" s="17" t="s">
        <v>14</v>
      </c>
      <c r="E17933" s="17"/>
      <c r="F17933" s="18"/>
      <c r="G17933" s="36" t="str">
        <f>IF(ISNUMBER(F17933),C17933*F17933,"")</f>
        <v/>
      </c>
    </row>
    <row r="17934" spans="1:7" ht="24" customHeight="1" outlineLevel="2" x14ac:dyDescent="0.2">
      <c r="A17934" s="14" t="s">
        <v>35301</v>
      </c>
      <c r="B17934" s="15" t="s">
        <v>35302</v>
      </c>
      <c r="C17934" s="16">
        <f>116.04/(1+B2)</f>
        <v>116.04</v>
      </c>
      <c r="D17934" s="17" t="s">
        <v>53</v>
      </c>
      <c r="E17934" s="17" t="s">
        <v>14</v>
      </c>
      <c r="F17934" s="18"/>
      <c r="G17934" s="36" t="str">
        <f>IF(ISNUMBER(F17934),C17934*F17934,"")</f>
        <v/>
      </c>
    </row>
    <row r="17935" spans="1:7" ht="12" customHeight="1" outlineLevel="2" x14ac:dyDescent="0.2">
      <c r="A17935" s="14" t="s">
        <v>35303</v>
      </c>
      <c r="B17935" s="15" t="s">
        <v>35304</v>
      </c>
      <c r="C17935" s="16">
        <f>130.62/(1+B2)</f>
        <v>130.62</v>
      </c>
      <c r="D17935" s="17" t="s">
        <v>14</v>
      </c>
      <c r="E17935" s="17"/>
      <c r="F17935" s="18"/>
      <c r="G17935" s="36" t="str">
        <f>IF(ISNUMBER(F17935),C17935*F17935,"")</f>
        <v/>
      </c>
    </row>
    <row r="17936" spans="1:7" ht="24" customHeight="1" outlineLevel="2" x14ac:dyDescent="0.2">
      <c r="A17936" s="14" t="s">
        <v>35305</v>
      </c>
      <c r="B17936" s="15" t="s">
        <v>35306</v>
      </c>
      <c r="C17936" s="16">
        <f>44.47/(1+B2)</f>
        <v>44.47</v>
      </c>
      <c r="D17936" s="17" t="s">
        <v>11</v>
      </c>
      <c r="E17936" s="17"/>
      <c r="F17936" s="18"/>
      <c r="G17936" s="36" t="str">
        <f>IF(ISNUMBER(F17936),C17936*F17936,"")</f>
        <v/>
      </c>
    </row>
    <row r="17937" spans="1:7" s="1" customFormat="1" ht="15.95" customHeight="1" outlineLevel="1" x14ac:dyDescent="0.25">
      <c r="A17937" s="11"/>
      <c r="B17937" s="12" t="s">
        <v>35307</v>
      </c>
      <c r="C17937" s="13"/>
      <c r="D17937" s="13"/>
      <c r="E17937" s="13"/>
      <c r="F17937" s="13"/>
      <c r="G17937" s="35"/>
    </row>
    <row r="17938" spans="1:7" ht="12" customHeight="1" outlineLevel="2" x14ac:dyDescent="0.2">
      <c r="A17938" s="14" t="s">
        <v>35308</v>
      </c>
      <c r="B17938" s="15" t="s">
        <v>35309</v>
      </c>
      <c r="C17938" s="16">
        <f>584.17/(1+B2)</f>
        <v>584.16999999999996</v>
      </c>
      <c r="D17938" s="17" t="s">
        <v>11</v>
      </c>
      <c r="E17938" s="17" t="s">
        <v>11</v>
      </c>
      <c r="F17938" s="18"/>
      <c r="G17938" s="36" t="str">
        <f>IF(ISNUMBER(F17938),C17938*F17938,"")</f>
        <v/>
      </c>
    </row>
    <row r="17939" spans="1:7" ht="12" customHeight="1" outlineLevel="2" x14ac:dyDescent="0.2">
      <c r="A17939" s="14" t="s">
        <v>35310</v>
      </c>
      <c r="B17939" s="15" t="s">
        <v>35311</v>
      </c>
      <c r="C17939" s="16">
        <f>584.17/(1+B2)</f>
        <v>584.16999999999996</v>
      </c>
      <c r="D17939" s="17" t="s">
        <v>11</v>
      </c>
      <c r="E17939" s="17" t="s">
        <v>11</v>
      </c>
      <c r="F17939" s="18"/>
      <c r="G17939" s="36" t="str">
        <f>IF(ISNUMBER(F17939),C17939*F17939,"")</f>
        <v/>
      </c>
    </row>
    <row r="17940" spans="1:7" ht="12" customHeight="1" outlineLevel="2" x14ac:dyDescent="0.2">
      <c r="A17940" s="14" t="s">
        <v>35312</v>
      </c>
      <c r="B17940" s="15" t="s">
        <v>35313</v>
      </c>
      <c r="C17940" s="16">
        <f>606.18/(1+B2)</f>
        <v>606.17999999999995</v>
      </c>
      <c r="D17940" s="17" t="s">
        <v>11</v>
      </c>
      <c r="E17940" s="17" t="s">
        <v>11</v>
      </c>
      <c r="F17940" s="18"/>
      <c r="G17940" s="36" t="str">
        <f>IF(ISNUMBER(F17940),C17940*F17940,"")</f>
        <v/>
      </c>
    </row>
    <row r="17941" spans="1:7" ht="12" customHeight="1" outlineLevel="2" x14ac:dyDescent="0.2">
      <c r="A17941" s="14" t="s">
        <v>35314</v>
      </c>
      <c r="B17941" s="15" t="s">
        <v>35315</v>
      </c>
      <c r="C17941" s="16">
        <f>606.18/(1+B2)</f>
        <v>606.17999999999995</v>
      </c>
      <c r="D17941" s="17" t="s">
        <v>11</v>
      </c>
      <c r="E17941" s="17" t="s">
        <v>11</v>
      </c>
      <c r="F17941" s="18"/>
      <c r="G17941" s="36" t="str">
        <f>IF(ISNUMBER(F17941),C17941*F17941,"")</f>
        <v/>
      </c>
    </row>
    <row r="17942" spans="1:7" ht="12" customHeight="1" outlineLevel="2" x14ac:dyDescent="0.2">
      <c r="A17942" s="14" t="s">
        <v>35316</v>
      </c>
      <c r="B17942" s="15" t="s">
        <v>35317</v>
      </c>
      <c r="C17942" s="16">
        <f>588.23/(1+B2)</f>
        <v>588.23</v>
      </c>
      <c r="D17942" s="17" t="s">
        <v>11</v>
      </c>
      <c r="E17942" s="17" t="s">
        <v>11</v>
      </c>
      <c r="F17942" s="18"/>
      <c r="G17942" s="36" t="str">
        <f>IF(ISNUMBER(F17942),C17942*F17942,"")</f>
        <v/>
      </c>
    </row>
    <row r="17943" spans="1:7" ht="12" customHeight="1" outlineLevel="2" x14ac:dyDescent="0.2">
      <c r="A17943" s="14" t="s">
        <v>35318</v>
      </c>
      <c r="B17943" s="15" t="s">
        <v>35319</v>
      </c>
      <c r="C17943" s="16">
        <f>587.87/(1+B2)</f>
        <v>587.87</v>
      </c>
      <c r="D17943" s="17" t="s">
        <v>11</v>
      </c>
      <c r="E17943" s="17" t="s">
        <v>11</v>
      </c>
      <c r="F17943" s="18"/>
      <c r="G17943" s="36" t="str">
        <f>IF(ISNUMBER(F17943),C17943*F17943,"")</f>
        <v/>
      </c>
    </row>
    <row r="17944" spans="1:7" ht="12" customHeight="1" outlineLevel="2" x14ac:dyDescent="0.2">
      <c r="A17944" s="14" t="s">
        <v>35320</v>
      </c>
      <c r="B17944" s="15" t="s">
        <v>35321</v>
      </c>
      <c r="C17944" s="16">
        <f>463.64/(1+B2)</f>
        <v>463.64</v>
      </c>
      <c r="D17944" s="17" t="s">
        <v>11</v>
      </c>
      <c r="E17944" s="17" t="s">
        <v>11</v>
      </c>
      <c r="F17944" s="18"/>
      <c r="G17944" s="36" t="str">
        <f>IF(ISNUMBER(F17944),C17944*F17944,"")</f>
        <v/>
      </c>
    </row>
    <row r="17945" spans="1:7" ht="12" customHeight="1" outlineLevel="2" x14ac:dyDescent="0.2">
      <c r="A17945" s="14" t="s">
        <v>35322</v>
      </c>
      <c r="B17945" s="15" t="s">
        <v>35323</v>
      </c>
      <c r="C17945" s="16">
        <f>287.5/(1+B2)</f>
        <v>287.5</v>
      </c>
      <c r="D17945" s="17" t="s">
        <v>11</v>
      </c>
      <c r="E17945" s="17" t="s">
        <v>11</v>
      </c>
      <c r="F17945" s="18"/>
      <c r="G17945" s="36" t="str">
        <f>IF(ISNUMBER(F17945),C17945*F17945,"")</f>
        <v/>
      </c>
    </row>
    <row r="17946" spans="1:7" ht="12" customHeight="1" outlineLevel="2" x14ac:dyDescent="0.2">
      <c r="A17946" s="14" t="s">
        <v>35324</v>
      </c>
      <c r="B17946" s="15" t="s">
        <v>35325</v>
      </c>
      <c r="C17946" s="16">
        <f>87.42/(1+B2)</f>
        <v>87.42</v>
      </c>
      <c r="D17946" s="17" t="s">
        <v>11</v>
      </c>
      <c r="E17946" s="17" t="s">
        <v>106</v>
      </c>
      <c r="F17946" s="18"/>
      <c r="G17946" s="36" t="str">
        <f>IF(ISNUMBER(F17946),C17946*F17946,"")</f>
        <v/>
      </c>
    </row>
    <row r="17947" spans="1:7" ht="12" customHeight="1" outlineLevel="2" x14ac:dyDescent="0.2">
      <c r="A17947" s="14" t="s">
        <v>35326</v>
      </c>
      <c r="B17947" s="15" t="s">
        <v>35327</v>
      </c>
      <c r="C17947" s="16">
        <f>16.91/(1+B2)</f>
        <v>16.91</v>
      </c>
      <c r="D17947" s="17" t="s">
        <v>11</v>
      </c>
      <c r="E17947" s="17" t="s">
        <v>106</v>
      </c>
      <c r="F17947" s="18"/>
      <c r="G17947" s="36" t="str">
        <f>IF(ISNUMBER(F17947),C17947*F17947,"")</f>
        <v/>
      </c>
    </row>
    <row r="17948" spans="1:7" ht="24" customHeight="1" outlineLevel="2" x14ac:dyDescent="0.2">
      <c r="A17948" s="14" t="s">
        <v>35328</v>
      </c>
      <c r="B17948" s="15" t="s">
        <v>35329</v>
      </c>
      <c r="C17948" s="16">
        <f>75.93/(1+B2)</f>
        <v>75.930000000000007</v>
      </c>
      <c r="D17948" s="17" t="s">
        <v>11</v>
      </c>
      <c r="E17948" s="17" t="s">
        <v>53</v>
      </c>
      <c r="F17948" s="18"/>
      <c r="G17948" s="36" t="str">
        <f>IF(ISNUMBER(F17948),C17948*F17948,"")</f>
        <v/>
      </c>
    </row>
    <row r="17949" spans="1:7" ht="12" customHeight="1" outlineLevel="2" x14ac:dyDescent="0.2">
      <c r="A17949" s="14" t="s">
        <v>35330</v>
      </c>
      <c r="B17949" s="15" t="s">
        <v>35331</v>
      </c>
      <c r="C17949" s="16">
        <f>75.93/(1+B2)</f>
        <v>75.930000000000007</v>
      </c>
      <c r="D17949" s="17" t="s">
        <v>11</v>
      </c>
      <c r="E17949" s="17" t="s">
        <v>53</v>
      </c>
      <c r="F17949" s="18"/>
      <c r="G17949" s="36" t="str">
        <f>IF(ISNUMBER(F17949),C17949*F17949,"")</f>
        <v/>
      </c>
    </row>
    <row r="17950" spans="1:7" ht="12" customHeight="1" outlineLevel="2" x14ac:dyDescent="0.2">
      <c r="A17950" s="14" t="s">
        <v>35332</v>
      </c>
      <c r="B17950" s="15" t="s">
        <v>35333</v>
      </c>
      <c r="C17950" s="16">
        <f>100.91/(1+B2)</f>
        <v>100.91</v>
      </c>
      <c r="D17950" s="17" t="s">
        <v>11</v>
      </c>
      <c r="E17950" s="17" t="s">
        <v>53</v>
      </c>
      <c r="F17950" s="18"/>
      <c r="G17950" s="36" t="str">
        <f>IF(ISNUMBER(F17950),C17950*F17950,"")</f>
        <v/>
      </c>
    </row>
    <row r="17951" spans="1:7" ht="12" customHeight="1" outlineLevel="2" x14ac:dyDescent="0.2">
      <c r="A17951" s="14" t="s">
        <v>35334</v>
      </c>
      <c r="B17951" s="15" t="s">
        <v>35335</v>
      </c>
      <c r="C17951" s="16">
        <f>155.32/(1+B2)</f>
        <v>155.32</v>
      </c>
      <c r="D17951" s="17" t="s">
        <v>11</v>
      </c>
      <c r="E17951" s="17" t="s">
        <v>11</v>
      </c>
      <c r="F17951" s="18"/>
      <c r="G17951" s="36" t="str">
        <f>IF(ISNUMBER(F17951),C17951*F17951,"")</f>
        <v/>
      </c>
    </row>
    <row r="17952" spans="1:7" ht="12" customHeight="1" outlineLevel="2" x14ac:dyDescent="0.2">
      <c r="A17952" s="14" t="s">
        <v>35336</v>
      </c>
      <c r="B17952" s="15" t="s">
        <v>35337</v>
      </c>
      <c r="C17952" s="16">
        <f>292.24/(1+B2)</f>
        <v>292.24</v>
      </c>
      <c r="D17952" s="17" t="s">
        <v>11</v>
      </c>
      <c r="E17952" s="17"/>
      <c r="F17952" s="18"/>
      <c r="G17952" s="36" t="str">
        <f>IF(ISNUMBER(F17952),C17952*F17952,"")</f>
        <v/>
      </c>
    </row>
    <row r="17953" spans="1:7" ht="12" customHeight="1" outlineLevel="2" x14ac:dyDescent="0.2">
      <c r="A17953" s="14" t="s">
        <v>35338</v>
      </c>
      <c r="B17953" s="15" t="s">
        <v>35339</v>
      </c>
      <c r="C17953" s="16">
        <f>408.84/(1+B2)</f>
        <v>408.84</v>
      </c>
      <c r="D17953" s="17" t="s">
        <v>11</v>
      </c>
      <c r="E17953" s="17" t="s">
        <v>11</v>
      </c>
      <c r="F17953" s="18"/>
      <c r="G17953" s="36" t="str">
        <f>IF(ISNUMBER(F17953),C17953*F17953,"")</f>
        <v/>
      </c>
    </row>
    <row r="17954" spans="1:7" ht="12" customHeight="1" outlineLevel="2" x14ac:dyDescent="0.2">
      <c r="A17954" s="14" t="s">
        <v>35340</v>
      </c>
      <c r="B17954" s="15" t="s">
        <v>35341</v>
      </c>
      <c r="C17954" s="16">
        <f>408.84/(1+B2)</f>
        <v>408.84</v>
      </c>
      <c r="D17954" s="17" t="s">
        <v>11</v>
      </c>
      <c r="E17954" s="17" t="s">
        <v>11</v>
      </c>
      <c r="F17954" s="18"/>
      <c r="G17954" s="36" t="str">
        <f>IF(ISNUMBER(F17954),C17954*F17954,"")</f>
        <v/>
      </c>
    </row>
    <row r="17955" spans="1:7" s="1" customFormat="1" ht="15.95" customHeight="1" outlineLevel="1" x14ac:dyDescent="0.25">
      <c r="A17955" s="11"/>
      <c r="B17955" s="12" t="s">
        <v>35342</v>
      </c>
      <c r="C17955" s="13"/>
      <c r="D17955" s="13"/>
      <c r="E17955" s="13"/>
      <c r="F17955" s="13"/>
      <c r="G17955" s="35"/>
    </row>
    <row r="17956" spans="1:7" ht="12" customHeight="1" outlineLevel="2" x14ac:dyDescent="0.2">
      <c r="A17956" s="14" t="s">
        <v>35343</v>
      </c>
      <c r="B17956" s="15" t="s">
        <v>35344</v>
      </c>
      <c r="C17956" s="16">
        <f>385.2/(1+B2)</f>
        <v>385.2</v>
      </c>
      <c r="D17956" s="17" t="s">
        <v>11</v>
      </c>
      <c r="E17956" s="17"/>
      <c r="F17956" s="18"/>
      <c r="G17956" s="36" t="str">
        <f>IF(ISNUMBER(F17956),C17956*F17956,"")</f>
        <v/>
      </c>
    </row>
    <row r="17957" spans="1:7" ht="12" customHeight="1" outlineLevel="2" x14ac:dyDescent="0.2">
      <c r="A17957" s="14" t="s">
        <v>35345</v>
      </c>
      <c r="B17957" s="15" t="s">
        <v>35346</v>
      </c>
      <c r="C17957" s="16">
        <f>306/(1+B2)</f>
        <v>306</v>
      </c>
      <c r="D17957" s="17" t="s">
        <v>11</v>
      </c>
      <c r="E17957" s="17"/>
      <c r="F17957" s="18"/>
      <c r="G17957" s="36" t="str">
        <f>IF(ISNUMBER(F17957),C17957*F17957,"")</f>
        <v/>
      </c>
    </row>
    <row r="17958" spans="1:7" ht="24" customHeight="1" outlineLevel="2" x14ac:dyDescent="0.2">
      <c r="A17958" s="14" t="s">
        <v>35347</v>
      </c>
      <c r="B17958" s="15" t="s">
        <v>35348</v>
      </c>
      <c r="C17958" s="16">
        <f>381.6/(1+B2)</f>
        <v>381.6</v>
      </c>
      <c r="D17958" s="17" t="s">
        <v>11</v>
      </c>
      <c r="E17958" s="17"/>
      <c r="F17958" s="18"/>
      <c r="G17958" s="36" t="str">
        <f>IF(ISNUMBER(F17958),C17958*F17958,"")</f>
        <v/>
      </c>
    </row>
    <row r="17959" spans="1:7" ht="24" customHeight="1" outlineLevel="2" x14ac:dyDescent="0.2">
      <c r="A17959" s="14" t="s">
        <v>35349</v>
      </c>
      <c r="B17959" s="15" t="s">
        <v>35350</v>
      </c>
      <c r="C17959" s="16">
        <f>381.6/(1+B2)</f>
        <v>381.6</v>
      </c>
      <c r="D17959" s="17" t="s">
        <v>11</v>
      </c>
      <c r="E17959" s="17"/>
      <c r="F17959" s="18"/>
      <c r="G17959" s="36" t="str">
        <f>IF(ISNUMBER(F17959),C17959*F17959,"")</f>
        <v/>
      </c>
    </row>
    <row r="17960" spans="1:7" ht="12" customHeight="1" outlineLevel="2" x14ac:dyDescent="0.2">
      <c r="A17960" s="14" t="s">
        <v>35351</v>
      </c>
      <c r="B17960" s="15" t="s">
        <v>35352</v>
      </c>
      <c r="C17960" s="16">
        <f>325.26/(1+B2)</f>
        <v>325.26</v>
      </c>
      <c r="D17960" s="17" t="s">
        <v>11</v>
      </c>
      <c r="E17960" s="17"/>
      <c r="F17960" s="18"/>
      <c r="G17960" s="36" t="str">
        <f>IF(ISNUMBER(F17960),C17960*F17960,"")</f>
        <v/>
      </c>
    </row>
    <row r="17961" spans="1:7" ht="12" customHeight="1" outlineLevel="2" x14ac:dyDescent="0.2">
      <c r="A17961" s="14" t="s">
        <v>35353</v>
      </c>
      <c r="B17961" s="15" t="s">
        <v>35354</v>
      </c>
      <c r="C17961" s="16">
        <f>350.35/(1+B2)</f>
        <v>350.35</v>
      </c>
      <c r="D17961" s="17" t="s">
        <v>11</v>
      </c>
      <c r="E17961" s="17" t="s">
        <v>11</v>
      </c>
      <c r="F17961" s="18"/>
      <c r="G17961" s="36" t="str">
        <f>IF(ISNUMBER(F17961),C17961*F17961,"")</f>
        <v/>
      </c>
    </row>
    <row r="17962" spans="1:7" ht="12" customHeight="1" outlineLevel="2" x14ac:dyDescent="0.2">
      <c r="A17962" s="14" t="s">
        <v>35355</v>
      </c>
      <c r="B17962" s="15" t="s">
        <v>35356</v>
      </c>
      <c r="C17962" s="16">
        <f>416.88/(1+B2)</f>
        <v>416.88</v>
      </c>
      <c r="D17962" s="17" t="s">
        <v>11</v>
      </c>
      <c r="E17962" s="17" t="s">
        <v>11</v>
      </c>
      <c r="F17962" s="18"/>
      <c r="G17962" s="36" t="str">
        <f>IF(ISNUMBER(F17962),C17962*F17962,"")</f>
        <v/>
      </c>
    </row>
    <row r="17963" spans="1:7" ht="12" customHeight="1" outlineLevel="2" x14ac:dyDescent="0.2">
      <c r="A17963" s="14" t="s">
        <v>35357</v>
      </c>
      <c r="B17963" s="15" t="s">
        <v>35358</v>
      </c>
      <c r="C17963" s="16">
        <f>416.88/(1+B2)</f>
        <v>416.88</v>
      </c>
      <c r="D17963" s="17" t="s">
        <v>11</v>
      </c>
      <c r="E17963" s="17" t="s">
        <v>11</v>
      </c>
      <c r="F17963" s="18"/>
      <c r="G17963" s="36" t="str">
        <f>IF(ISNUMBER(F17963),C17963*F17963,"")</f>
        <v/>
      </c>
    </row>
    <row r="17964" spans="1:7" ht="12" customHeight="1" outlineLevel="2" x14ac:dyDescent="0.2">
      <c r="A17964" s="14" t="s">
        <v>35359</v>
      </c>
      <c r="B17964" s="15" t="s">
        <v>35360</v>
      </c>
      <c r="C17964" s="16">
        <f>416.88/(1+B2)</f>
        <v>416.88</v>
      </c>
      <c r="D17964" s="17" t="s">
        <v>11</v>
      </c>
      <c r="E17964" s="17"/>
      <c r="F17964" s="18"/>
      <c r="G17964" s="36" t="str">
        <f>IF(ISNUMBER(F17964),C17964*F17964,"")</f>
        <v/>
      </c>
    </row>
    <row r="17965" spans="1:7" ht="12" customHeight="1" outlineLevel="2" x14ac:dyDescent="0.2">
      <c r="A17965" s="14" t="s">
        <v>35361</v>
      </c>
      <c r="B17965" s="15" t="s">
        <v>35362</v>
      </c>
      <c r="C17965" s="16">
        <f>298.26/(1+B2)</f>
        <v>298.26</v>
      </c>
      <c r="D17965" s="17" t="s">
        <v>11</v>
      </c>
      <c r="E17965" s="17"/>
      <c r="F17965" s="18"/>
      <c r="G17965" s="36" t="str">
        <f>IF(ISNUMBER(F17965),C17965*F17965,"")</f>
        <v/>
      </c>
    </row>
    <row r="17966" spans="1:7" ht="12" customHeight="1" outlineLevel="2" x14ac:dyDescent="0.2">
      <c r="A17966" s="14" t="s">
        <v>35363</v>
      </c>
      <c r="B17966" s="15" t="s">
        <v>35364</v>
      </c>
      <c r="C17966" s="16">
        <f>317.04/(1+B2)</f>
        <v>317.04000000000002</v>
      </c>
      <c r="D17966" s="17" t="s">
        <v>11</v>
      </c>
      <c r="E17966" s="17" t="s">
        <v>11</v>
      </c>
      <c r="F17966" s="18"/>
      <c r="G17966" s="36" t="str">
        <f>IF(ISNUMBER(F17966),C17966*F17966,"")</f>
        <v/>
      </c>
    </row>
    <row r="17967" spans="1:7" ht="24" customHeight="1" outlineLevel="2" x14ac:dyDescent="0.2">
      <c r="A17967" s="14" t="s">
        <v>35365</v>
      </c>
      <c r="B17967" s="15" t="s">
        <v>35366</v>
      </c>
      <c r="C17967" s="16">
        <f>317.04/(1+B2)</f>
        <v>317.04000000000002</v>
      </c>
      <c r="D17967" s="17" t="s">
        <v>11</v>
      </c>
      <c r="E17967" s="17" t="s">
        <v>11</v>
      </c>
      <c r="F17967" s="18"/>
      <c r="G17967" s="36" t="str">
        <f>IF(ISNUMBER(F17967),C17967*F17967,"")</f>
        <v/>
      </c>
    </row>
    <row r="17968" spans="1:7" ht="12" customHeight="1" outlineLevel="2" x14ac:dyDescent="0.2">
      <c r="A17968" s="14" t="s">
        <v>35367</v>
      </c>
      <c r="B17968" s="15" t="s">
        <v>35368</v>
      </c>
      <c r="C17968" s="16">
        <f>577.56/(1+B2)</f>
        <v>577.55999999999995</v>
      </c>
      <c r="D17968" s="17" t="s">
        <v>11</v>
      </c>
      <c r="E17968" s="17"/>
      <c r="F17968" s="18"/>
      <c r="G17968" s="36" t="str">
        <f>IF(ISNUMBER(F17968),C17968*F17968,"")</f>
        <v/>
      </c>
    </row>
    <row r="17969" spans="1:7" ht="12" customHeight="1" outlineLevel="2" x14ac:dyDescent="0.2">
      <c r="A17969" s="14" t="s">
        <v>35369</v>
      </c>
      <c r="B17969" s="15" t="s">
        <v>35370</v>
      </c>
      <c r="C17969" s="16">
        <f>705.78/(1+B2)</f>
        <v>705.78</v>
      </c>
      <c r="D17969" s="17" t="s">
        <v>11</v>
      </c>
      <c r="E17969" s="17"/>
      <c r="F17969" s="18"/>
      <c r="G17969" s="36" t="str">
        <f>IF(ISNUMBER(F17969),C17969*F17969,"")</f>
        <v/>
      </c>
    </row>
    <row r="17970" spans="1:7" ht="12" customHeight="1" outlineLevel="2" x14ac:dyDescent="0.2">
      <c r="A17970" s="14" t="s">
        <v>35371</v>
      </c>
      <c r="B17970" s="15" t="s">
        <v>35372</v>
      </c>
      <c r="C17970" s="16">
        <f>643.67/(1+B2)</f>
        <v>643.66999999999996</v>
      </c>
      <c r="D17970" s="17" t="s">
        <v>11</v>
      </c>
      <c r="E17970" s="17" t="s">
        <v>11</v>
      </c>
      <c r="F17970" s="18"/>
      <c r="G17970" s="36" t="str">
        <f>IF(ISNUMBER(F17970),C17970*F17970,"")</f>
        <v/>
      </c>
    </row>
    <row r="17971" spans="1:7" ht="12" customHeight="1" outlineLevel="2" x14ac:dyDescent="0.2">
      <c r="A17971" s="14" t="s">
        <v>35373</v>
      </c>
      <c r="B17971" s="15" t="s">
        <v>35374</v>
      </c>
      <c r="C17971" s="16">
        <f>705.78/(1+B2)</f>
        <v>705.78</v>
      </c>
      <c r="D17971" s="17" t="s">
        <v>11</v>
      </c>
      <c r="E17971" s="17"/>
      <c r="F17971" s="18"/>
      <c r="G17971" s="36" t="str">
        <f>IF(ISNUMBER(F17971),C17971*F17971,"")</f>
        <v/>
      </c>
    </row>
    <row r="17972" spans="1:7" ht="12" customHeight="1" outlineLevel="2" x14ac:dyDescent="0.2">
      <c r="A17972" s="14" t="s">
        <v>35375</v>
      </c>
      <c r="B17972" s="15" t="s">
        <v>35376</v>
      </c>
      <c r="C17972" s="16">
        <f>307.08/(1+B2)</f>
        <v>307.08</v>
      </c>
      <c r="D17972" s="17" t="s">
        <v>11</v>
      </c>
      <c r="E17972" s="17" t="s">
        <v>11</v>
      </c>
      <c r="F17972" s="18"/>
      <c r="G17972" s="36" t="str">
        <f>IF(ISNUMBER(F17972),C17972*F17972,"")</f>
        <v/>
      </c>
    </row>
    <row r="17973" spans="1:7" ht="12" customHeight="1" outlineLevel="2" x14ac:dyDescent="0.2">
      <c r="A17973" s="14" t="s">
        <v>35377</v>
      </c>
      <c r="B17973" s="15" t="s">
        <v>35378</v>
      </c>
      <c r="C17973" s="16">
        <f>307.08/(1+B2)</f>
        <v>307.08</v>
      </c>
      <c r="D17973" s="17" t="s">
        <v>11</v>
      </c>
      <c r="E17973" s="17"/>
      <c r="F17973" s="18"/>
      <c r="G17973" s="36" t="str">
        <f>IF(ISNUMBER(F17973),C17973*F17973,"")</f>
        <v/>
      </c>
    </row>
    <row r="17974" spans="1:7" ht="12" customHeight="1" outlineLevel="2" x14ac:dyDescent="0.2">
      <c r="A17974" s="14" t="s">
        <v>35379</v>
      </c>
      <c r="B17974" s="15" t="s">
        <v>35380</v>
      </c>
      <c r="C17974" s="16">
        <f>307.08/(1+B2)</f>
        <v>307.08</v>
      </c>
      <c r="D17974" s="17" t="s">
        <v>11</v>
      </c>
      <c r="E17974" s="17"/>
      <c r="F17974" s="18"/>
      <c r="G17974" s="36" t="str">
        <f>IF(ISNUMBER(F17974),C17974*F17974,"")</f>
        <v/>
      </c>
    </row>
    <row r="17975" spans="1:7" ht="12" customHeight="1" outlineLevel="2" x14ac:dyDescent="0.2">
      <c r="A17975" s="14" t="s">
        <v>35381</v>
      </c>
      <c r="B17975" s="15" t="s">
        <v>35382</v>
      </c>
      <c r="C17975" s="16">
        <f>234.75/(1+B2)</f>
        <v>234.75</v>
      </c>
      <c r="D17975" s="17" t="s">
        <v>11</v>
      </c>
      <c r="E17975" s="17"/>
      <c r="F17975" s="18"/>
      <c r="G17975" s="36" t="str">
        <f>IF(ISNUMBER(F17975),C17975*F17975,"")</f>
        <v/>
      </c>
    </row>
    <row r="17976" spans="1:7" ht="12" customHeight="1" outlineLevel="2" x14ac:dyDescent="0.2">
      <c r="A17976" s="14" t="s">
        <v>35383</v>
      </c>
      <c r="B17976" s="15" t="s">
        <v>35384</v>
      </c>
      <c r="C17976" s="16">
        <f>819.3/(1+B2)</f>
        <v>819.3</v>
      </c>
      <c r="D17976" s="17" t="s">
        <v>11</v>
      </c>
      <c r="E17976" s="17"/>
      <c r="F17976" s="18"/>
      <c r="G17976" s="36" t="str">
        <f>IF(ISNUMBER(F17976),C17976*F17976,"")</f>
        <v/>
      </c>
    </row>
    <row r="17977" spans="1:7" ht="12" customHeight="1" outlineLevel="2" x14ac:dyDescent="0.2">
      <c r="A17977" s="14" t="s">
        <v>35385</v>
      </c>
      <c r="B17977" s="15" t="s">
        <v>35386</v>
      </c>
      <c r="C17977" s="16">
        <f>819.3/(1+B2)</f>
        <v>819.3</v>
      </c>
      <c r="D17977" s="17" t="s">
        <v>11</v>
      </c>
      <c r="E17977" s="17"/>
      <c r="F17977" s="18"/>
      <c r="G17977" s="36" t="str">
        <f>IF(ISNUMBER(F17977),C17977*F17977,"")</f>
        <v/>
      </c>
    </row>
    <row r="17978" spans="1:7" ht="24" customHeight="1" outlineLevel="2" x14ac:dyDescent="0.2">
      <c r="A17978" s="14" t="s">
        <v>35387</v>
      </c>
      <c r="B17978" s="15" t="s">
        <v>35388</v>
      </c>
      <c r="C17978" s="16">
        <f>819.3/(1+B2)</f>
        <v>819.3</v>
      </c>
      <c r="D17978" s="17" t="s">
        <v>11</v>
      </c>
      <c r="E17978" s="17"/>
      <c r="F17978" s="18"/>
      <c r="G17978" s="36" t="str">
        <f>IF(ISNUMBER(F17978),C17978*F17978,"")</f>
        <v/>
      </c>
    </row>
    <row r="17979" spans="1:7" ht="12" customHeight="1" outlineLevel="2" x14ac:dyDescent="0.2">
      <c r="A17979" s="14" t="s">
        <v>35389</v>
      </c>
      <c r="B17979" s="15" t="s">
        <v>35390</v>
      </c>
      <c r="C17979" s="16">
        <f>404.7/(1+B2)</f>
        <v>404.7</v>
      </c>
      <c r="D17979" s="17" t="s">
        <v>11</v>
      </c>
      <c r="E17979" s="17"/>
      <c r="F17979" s="18"/>
      <c r="G17979" s="36" t="str">
        <f>IF(ISNUMBER(F17979),C17979*F17979,"")</f>
        <v/>
      </c>
    </row>
    <row r="17980" spans="1:7" ht="24" customHeight="1" outlineLevel="2" x14ac:dyDescent="0.2">
      <c r="A17980" s="14" t="s">
        <v>35391</v>
      </c>
      <c r="B17980" s="15" t="s">
        <v>35392</v>
      </c>
      <c r="C17980" s="16">
        <f>391.7/(1+B2)</f>
        <v>391.7</v>
      </c>
      <c r="D17980" s="17" t="s">
        <v>11</v>
      </c>
      <c r="E17980" s="17" t="s">
        <v>11</v>
      </c>
      <c r="F17980" s="18"/>
      <c r="G17980" s="36" t="str">
        <f>IF(ISNUMBER(F17980),C17980*F17980,"")</f>
        <v/>
      </c>
    </row>
    <row r="17981" spans="1:7" ht="24" customHeight="1" outlineLevel="2" x14ac:dyDescent="0.2">
      <c r="A17981" s="14" t="s">
        <v>35393</v>
      </c>
      <c r="B17981" s="15" t="s">
        <v>35394</v>
      </c>
      <c r="C17981" s="16">
        <f>391.7/(1+B2)</f>
        <v>391.7</v>
      </c>
      <c r="D17981" s="17" t="s">
        <v>11</v>
      </c>
      <c r="E17981" s="17" t="s">
        <v>11</v>
      </c>
      <c r="F17981" s="18"/>
      <c r="G17981" s="36" t="str">
        <f>IF(ISNUMBER(F17981),C17981*F17981,"")</f>
        <v/>
      </c>
    </row>
    <row r="17982" spans="1:7" ht="24" customHeight="1" outlineLevel="2" x14ac:dyDescent="0.2">
      <c r="A17982" s="14" t="s">
        <v>35395</v>
      </c>
      <c r="B17982" s="15" t="s">
        <v>35396</v>
      </c>
      <c r="C17982" s="16">
        <f>391.7/(1+B2)</f>
        <v>391.7</v>
      </c>
      <c r="D17982" s="17" t="s">
        <v>11</v>
      </c>
      <c r="E17982" s="17" t="s">
        <v>11</v>
      </c>
      <c r="F17982" s="18"/>
      <c r="G17982" s="36" t="str">
        <f>IF(ISNUMBER(F17982),C17982*F17982,"")</f>
        <v/>
      </c>
    </row>
    <row r="17983" spans="1:7" ht="12" customHeight="1" outlineLevel="2" x14ac:dyDescent="0.2">
      <c r="A17983" s="14" t="s">
        <v>35397</v>
      </c>
      <c r="B17983" s="15" t="s">
        <v>35398</v>
      </c>
      <c r="C17983" s="16">
        <f>551.65/(1+B2)</f>
        <v>551.65</v>
      </c>
      <c r="D17983" s="17" t="s">
        <v>11</v>
      </c>
      <c r="E17983" s="17"/>
      <c r="F17983" s="18"/>
      <c r="G17983" s="36" t="str">
        <f>IF(ISNUMBER(F17983),C17983*F17983,"")</f>
        <v/>
      </c>
    </row>
    <row r="17984" spans="1:7" ht="12" customHeight="1" outlineLevel="2" x14ac:dyDescent="0.2">
      <c r="A17984" s="14" t="s">
        <v>35399</v>
      </c>
      <c r="B17984" s="15" t="s">
        <v>35400</v>
      </c>
      <c r="C17984" s="16">
        <f>551.65/(1+B2)</f>
        <v>551.65</v>
      </c>
      <c r="D17984" s="17" t="s">
        <v>11</v>
      </c>
      <c r="E17984" s="17"/>
      <c r="F17984" s="18"/>
      <c r="G17984" s="36" t="str">
        <f>IF(ISNUMBER(F17984),C17984*F17984,"")</f>
        <v/>
      </c>
    </row>
    <row r="17985" spans="1:7" ht="12" customHeight="1" outlineLevel="2" x14ac:dyDescent="0.2">
      <c r="A17985" s="14" t="s">
        <v>35401</v>
      </c>
      <c r="B17985" s="15" t="s">
        <v>35402</v>
      </c>
      <c r="C17985" s="16">
        <f>551.65/(1+B2)</f>
        <v>551.65</v>
      </c>
      <c r="D17985" s="17" t="s">
        <v>11</v>
      </c>
      <c r="E17985" s="17"/>
      <c r="F17985" s="18"/>
      <c r="G17985" s="36" t="str">
        <f>IF(ISNUMBER(F17985),C17985*F17985,"")</f>
        <v/>
      </c>
    </row>
    <row r="17986" spans="1:7" ht="12" customHeight="1" outlineLevel="2" x14ac:dyDescent="0.2">
      <c r="A17986" s="14" t="s">
        <v>35403</v>
      </c>
      <c r="B17986" s="15" t="s">
        <v>35404</v>
      </c>
      <c r="C17986" s="16">
        <f>551.65/(1+B2)</f>
        <v>551.65</v>
      </c>
      <c r="D17986" s="17" t="s">
        <v>11</v>
      </c>
      <c r="E17986" s="17"/>
      <c r="F17986" s="18"/>
      <c r="G17986" s="36" t="str">
        <f>IF(ISNUMBER(F17986),C17986*F17986,"")</f>
        <v/>
      </c>
    </row>
    <row r="17987" spans="1:7" ht="12" customHeight="1" outlineLevel="2" x14ac:dyDescent="0.2">
      <c r="A17987" s="14" t="s">
        <v>35405</v>
      </c>
      <c r="B17987" s="15" t="s">
        <v>35406</v>
      </c>
      <c r="C17987" s="16">
        <f>551.65/(1+B2)</f>
        <v>551.65</v>
      </c>
      <c r="D17987" s="17" t="s">
        <v>11</v>
      </c>
      <c r="E17987" s="17"/>
      <c r="F17987" s="18"/>
      <c r="G17987" s="36" t="str">
        <f>IF(ISNUMBER(F17987),C17987*F17987,"")</f>
        <v/>
      </c>
    </row>
    <row r="17988" spans="1:7" ht="12" customHeight="1" outlineLevel="2" x14ac:dyDescent="0.2">
      <c r="A17988" s="14" t="s">
        <v>35407</v>
      </c>
      <c r="B17988" s="15" t="s">
        <v>35408</v>
      </c>
      <c r="C17988" s="16">
        <f>551.65/(1+B2)</f>
        <v>551.65</v>
      </c>
      <c r="D17988" s="17" t="s">
        <v>11</v>
      </c>
      <c r="E17988" s="17"/>
      <c r="F17988" s="18"/>
      <c r="G17988" s="36" t="str">
        <f>IF(ISNUMBER(F17988),C17988*F17988,"")</f>
        <v/>
      </c>
    </row>
    <row r="17989" spans="1:7" ht="12" customHeight="1" outlineLevel="2" x14ac:dyDescent="0.2">
      <c r="A17989" s="14" t="s">
        <v>35409</v>
      </c>
      <c r="B17989" s="15" t="s">
        <v>35410</v>
      </c>
      <c r="C17989" s="16">
        <f>429.85/(1+B2)</f>
        <v>429.85</v>
      </c>
      <c r="D17989" s="17" t="s">
        <v>11</v>
      </c>
      <c r="E17989" s="17"/>
      <c r="F17989" s="18"/>
      <c r="G17989" s="36" t="str">
        <f>IF(ISNUMBER(F17989),C17989*F17989,"")</f>
        <v/>
      </c>
    </row>
    <row r="17990" spans="1:7" ht="12" customHeight="1" outlineLevel="2" x14ac:dyDescent="0.2">
      <c r="A17990" s="14" t="s">
        <v>35411</v>
      </c>
      <c r="B17990" s="15" t="s">
        <v>35412</v>
      </c>
      <c r="C17990" s="16">
        <f>230.74/(1+B2)</f>
        <v>230.74</v>
      </c>
      <c r="D17990" s="17" t="s">
        <v>14</v>
      </c>
      <c r="E17990" s="17"/>
      <c r="F17990" s="18"/>
      <c r="G17990" s="36" t="str">
        <f>IF(ISNUMBER(F17990),C17990*F17990,"")</f>
        <v/>
      </c>
    </row>
    <row r="17991" spans="1:7" ht="12" customHeight="1" outlineLevel="2" x14ac:dyDescent="0.2">
      <c r="A17991" s="14" t="s">
        <v>35413</v>
      </c>
      <c r="B17991" s="15" t="s">
        <v>35414</v>
      </c>
      <c r="C17991" s="16">
        <f>230.74/(1+B2)</f>
        <v>230.74</v>
      </c>
      <c r="D17991" s="17" t="s">
        <v>11</v>
      </c>
      <c r="E17991" s="17"/>
      <c r="F17991" s="18"/>
      <c r="G17991" s="36" t="str">
        <f>IF(ISNUMBER(F17991),C17991*F17991,"")</f>
        <v/>
      </c>
    </row>
    <row r="17992" spans="1:7" ht="12" customHeight="1" outlineLevel="2" x14ac:dyDescent="0.2">
      <c r="A17992" s="14" t="s">
        <v>35415</v>
      </c>
      <c r="B17992" s="15" t="s">
        <v>35416</v>
      </c>
      <c r="C17992" s="16">
        <f>230.74/(1+B2)</f>
        <v>230.74</v>
      </c>
      <c r="D17992" s="17" t="s">
        <v>11</v>
      </c>
      <c r="E17992" s="17"/>
      <c r="F17992" s="18"/>
      <c r="G17992" s="36" t="str">
        <f>IF(ISNUMBER(F17992),C17992*F17992,"")</f>
        <v/>
      </c>
    </row>
    <row r="17993" spans="1:7" ht="12" customHeight="1" outlineLevel="2" x14ac:dyDescent="0.2">
      <c r="A17993" s="14" t="s">
        <v>35417</v>
      </c>
      <c r="B17993" s="15" t="s">
        <v>35418</v>
      </c>
      <c r="C17993" s="16">
        <f>230.74/(1+B2)</f>
        <v>230.74</v>
      </c>
      <c r="D17993" s="17" t="s">
        <v>11</v>
      </c>
      <c r="E17993" s="17"/>
      <c r="F17993" s="18"/>
      <c r="G17993" s="36" t="str">
        <f>IF(ISNUMBER(F17993),C17993*F17993,"")</f>
        <v/>
      </c>
    </row>
    <row r="17994" spans="1:7" ht="12" customHeight="1" outlineLevel="2" x14ac:dyDescent="0.2">
      <c r="A17994" s="14" t="s">
        <v>35419</v>
      </c>
      <c r="B17994" s="15" t="s">
        <v>35420</v>
      </c>
      <c r="C17994" s="16">
        <f>230.74/(1+B2)</f>
        <v>230.74</v>
      </c>
      <c r="D17994" s="17" t="s">
        <v>11</v>
      </c>
      <c r="E17994" s="17"/>
      <c r="F17994" s="18"/>
      <c r="G17994" s="36" t="str">
        <f>IF(ISNUMBER(F17994),C17994*F17994,"")</f>
        <v/>
      </c>
    </row>
    <row r="17995" spans="1:7" ht="12" customHeight="1" outlineLevel="2" x14ac:dyDescent="0.2">
      <c r="A17995" s="14" t="s">
        <v>35421</v>
      </c>
      <c r="B17995" s="15" t="s">
        <v>35422</v>
      </c>
      <c r="C17995" s="16">
        <f>230.74/(1+B2)</f>
        <v>230.74</v>
      </c>
      <c r="D17995" s="17" t="s">
        <v>14</v>
      </c>
      <c r="E17995" s="17"/>
      <c r="F17995" s="18"/>
      <c r="G17995" s="36" t="str">
        <f>IF(ISNUMBER(F17995),C17995*F17995,"")</f>
        <v/>
      </c>
    </row>
    <row r="17996" spans="1:7" ht="12" customHeight="1" outlineLevel="2" x14ac:dyDescent="0.2">
      <c r="A17996" s="14" t="s">
        <v>35423</v>
      </c>
      <c r="B17996" s="15" t="s">
        <v>35424</v>
      </c>
      <c r="C17996" s="16">
        <f>329.93/(1+B2)</f>
        <v>329.93</v>
      </c>
      <c r="D17996" s="17" t="s">
        <v>11</v>
      </c>
      <c r="E17996" s="17" t="s">
        <v>11</v>
      </c>
      <c r="F17996" s="18"/>
      <c r="G17996" s="36" t="str">
        <f>IF(ISNUMBER(F17996),C17996*F17996,"")</f>
        <v/>
      </c>
    </row>
    <row r="17997" spans="1:7" ht="12" customHeight="1" outlineLevel="2" x14ac:dyDescent="0.2">
      <c r="A17997" s="14" t="s">
        <v>35425</v>
      </c>
      <c r="B17997" s="15" t="s">
        <v>35426</v>
      </c>
      <c r="C17997" s="16">
        <f>366.59/(1+B2)</f>
        <v>366.59</v>
      </c>
      <c r="D17997" s="17" t="s">
        <v>11</v>
      </c>
      <c r="E17997" s="17"/>
      <c r="F17997" s="18"/>
      <c r="G17997" s="36" t="str">
        <f>IF(ISNUMBER(F17997),C17997*F17997,"")</f>
        <v/>
      </c>
    </row>
    <row r="17998" spans="1:7" ht="12" customHeight="1" outlineLevel="2" x14ac:dyDescent="0.2">
      <c r="A17998" s="14" t="s">
        <v>35427</v>
      </c>
      <c r="B17998" s="15" t="s">
        <v>35428</v>
      </c>
      <c r="C17998" s="16">
        <f>253.63/(1+B2)</f>
        <v>253.63</v>
      </c>
      <c r="D17998" s="17" t="s">
        <v>11</v>
      </c>
      <c r="E17998" s="17" t="s">
        <v>11</v>
      </c>
      <c r="F17998" s="18"/>
      <c r="G17998" s="36" t="str">
        <f>IF(ISNUMBER(F17998),C17998*F17998,"")</f>
        <v/>
      </c>
    </row>
    <row r="17999" spans="1:7" ht="12" customHeight="1" outlineLevel="2" x14ac:dyDescent="0.2">
      <c r="A17999" s="14" t="s">
        <v>35429</v>
      </c>
      <c r="B17999" s="15" t="s">
        <v>35430</v>
      </c>
      <c r="C17999" s="16">
        <f>253.63/(1+B2)</f>
        <v>253.63</v>
      </c>
      <c r="D17999" s="17" t="s">
        <v>11</v>
      </c>
      <c r="E17999" s="17" t="s">
        <v>11</v>
      </c>
      <c r="F17999" s="18"/>
      <c r="G17999" s="36" t="str">
        <f>IF(ISNUMBER(F17999),C17999*F17999,"")</f>
        <v/>
      </c>
    </row>
    <row r="18000" spans="1:7" ht="12" customHeight="1" outlineLevel="2" x14ac:dyDescent="0.2">
      <c r="A18000" s="14" t="s">
        <v>35431</v>
      </c>
      <c r="B18000" s="15" t="s">
        <v>35432</v>
      </c>
      <c r="C18000" s="16">
        <f>335.42/(1+B2)</f>
        <v>335.42</v>
      </c>
      <c r="D18000" s="17" t="s">
        <v>11</v>
      </c>
      <c r="E18000" s="17"/>
      <c r="F18000" s="18"/>
      <c r="G18000" s="36" t="str">
        <f>IF(ISNUMBER(F18000),C18000*F18000,"")</f>
        <v/>
      </c>
    </row>
    <row r="18001" spans="1:7" ht="12" customHeight="1" outlineLevel="2" x14ac:dyDescent="0.2">
      <c r="A18001" s="14" t="s">
        <v>35433</v>
      </c>
      <c r="B18001" s="15" t="s">
        <v>35434</v>
      </c>
      <c r="C18001" s="16">
        <f>335.42/(1+B2)</f>
        <v>335.42</v>
      </c>
      <c r="D18001" s="17" t="s">
        <v>11</v>
      </c>
      <c r="E18001" s="17"/>
      <c r="F18001" s="18"/>
      <c r="G18001" s="36" t="str">
        <f>IF(ISNUMBER(F18001),C18001*F18001,"")</f>
        <v/>
      </c>
    </row>
    <row r="18002" spans="1:7" ht="12" customHeight="1" outlineLevel="2" x14ac:dyDescent="0.2">
      <c r="A18002" s="14" t="s">
        <v>35435</v>
      </c>
      <c r="B18002" s="15" t="s">
        <v>35436</v>
      </c>
      <c r="C18002" s="16">
        <f>196.44/(1+B2)</f>
        <v>196.44</v>
      </c>
      <c r="D18002" s="17" t="s">
        <v>11</v>
      </c>
      <c r="E18002" s="17"/>
      <c r="F18002" s="18"/>
      <c r="G18002" s="36" t="str">
        <f>IF(ISNUMBER(F18002),C18002*F18002,"")</f>
        <v/>
      </c>
    </row>
    <row r="18003" spans="1:7" ht="12" customHeight="1" outlineLevel="2" x14ac:dyDescent="0.2">
      <c r="A18003" s="14" t="s">
        <v>35437</v>
      </c>
      <c r="B18003" s="15" t="s">
        <v>35438</v>
      </c>
      <c r="C18003" s="16">
        <f>196.44/(1+B2)</f>
        <v>196.44</v>
      </c>
      <c r="D18003" s="17" t="s">
        <v>11</v>
      </c>
      <c r="E18003" s="17"/>
      <c r="F18003" s="18"/>
      <c r="G18003" s="36" t="str">
        <f>IF(ISNUMBER(F18003),C18003*F18003,"")</f>
        <v/>
      </c>
    </row>
    <row r="18004" spans="1:7" ht="12" customHeight="1" outlineLevel="2" x14ac:dyDescent="0.2">
      <c r="A18004" s="14" t="s">
        <v>35439</v>
      </c>
      <c r="B18004" s="15" t="s">
        <v>35440</v>
      </c>
      <c r="C18004" s="16">
        <f>123.3/(1+B2)</f>
        <v>123.3</v>
      </c>
      <c r="D18004" s="17" t="s">
        <v>11</v>
      </c>
      <c r="E18004" s="17"/>
      <c r="F18004" s="18"/>
      <c r="G18004" s="36" t="str">
        <f>IF(ISNUMBER(F18004),C18004*F18004,"")</f>
        <v/>
      </c>
    </row>
    <row r="18005" spans="1:7" ht="12" customHeight="1" outlineLevel="2" x14ac:dyDescent="0.2">
      <c r="A18005" s="14" t="s">
        <v>35441</v>
      </c>
      <c r="B18005" s="15" t="s">
        <v>35442</v>
      </c>
      <c r="C18005" s="16">
        <f>117.89/(1+B2)</f>
        <v>117.89</v>
      </c>
      <c r="D18005" s="17" t="s">
        <v>11</v>
      </c>
      <c r="E18005" s="17"/>
      <c r="F18005" s="18"/>
      <c r="G18005" s="36" t="str">
        <f>IF(ISNUMBER(F18005),C18005*F18005,"")</f>
        <v/>
      </c>
    </row>
    <row r="18006" spans="1:7" ht="12" customHeight="1" outlineLevel="2" x14ac:dyDescent="0.2">
      <c r="A18006" s="14" t="s">
        <v>35443</v>
      </c>
      <c r="B18006" s="15" t="s">
        <v>35444</v>
      </c>
      <c r="C18006" s="16">
        <f>123.3/(1+B2)</f>
        <v>123.3</v>
      </c>
      <c r="D18006" s="17" t="s">
        <v>11</v>
      </c>
      <c r="E18006" s="17"/>
      <c r="F18006" s="18"/>
      <c r="G18006" s="36" t="str">
        <f>IF(ISNUMBER(F18006),C18006*F18006,"")</f>
        <v/>
      </c>
    </row>
    <row r="18007" spans="1:7" ht="12" customHeight="1" outlineLevel="2" x14ac:dyDescent="0.2">
      <c r="A18007" s="14" t="s">
        <v>35445</v>
      </c>
      <c r="B18007" s="15" t="s">
        <v>35446</v>
      </c>
      <c r="C18007" s="16">
        <f>101.88/(1+B2)</f>
        <v>101.88</v>
      </c>
      <c r="D18007" s="17" t="s">
        <v>11</v>
      </c>
      <c r="E18007" s="17" t="s">
        <v>14</v>
      </c>
      <c r="F18007" s="18"/>
      <c r="G18007" s="36" t="str">
        <f>IF(ISNUMBER(F18007),C18007*F18007,"")</f>
        <v/>
      </c>
    </row>
    <row r="18008" spans="1:7" ht="12" customHeight="1" outlineLevel="2" x14ac:dyDescent="0.2">
      <c r="A18008" s="14" t="s">
        <v>35447</v>
      </c>
      <c r="B18008" s="15" t="s">
        <v>35448</v>
      </c>
      <c r="C18008" s="16">
        <f>126.12/(1+B2)</f>
        <v>126.12</v>
      </c>
      <c r="D18008" s="17" t="s">
        <v>14</v>
      </c>
      <c r="E18008" s="17"/>
      <c r="F18008" s="18"/>
      <c r="G18008" s="36" t="str">
        <f>IF(ISNUMBER(F18008),C18008*F18008,"")</f>
        <v/>
      </c>
    </row>
    <row r="18009" spans="1:7" ht="12" customHeight="1" outlineLevel="2" x14ac:dyDescent="0.2">
      <c r="A18009" s="14" t="s">
        <v>35449</v>
      </c>
      <c r="B18009" s="15" t="s">
        <v>35450</v>
      </c>
      <c r="C18009" s="16">
        <f>92.29/(1+B2)</f>
        <v>92.29</v>
      </c>
      <c r="D18009" s="17" t="s">
        <v>11</v>
      </c>
      <c r="E18009" s="17" t="s">
        <v>14</v>
      </c>
      <c r="F18009" s="18"/>
      <c r="G18009" s="36" t="str">
        <f>IF(ISNUMBER(F18009),C18009*F18009,"")</f>
        <v/>
      </c>
    </row>
    <row r="18010" spans="1:7" s="1" customFormat="1" ht="15.95" customHeight="1" outlineLevel="1" x14ac:dyDescent="0.25">
      <c r="A18010" s="11"/>
      <c r="B18010" s="12" t="s">
        <v>35451</v>
      </c>
      <c r="C18010" s="13"/>
      <c r="D18010" s="13"/>
      <c r="E18010" s="13"/>
      <c r="F18010" s="13"/>
      <c r="G18010" s="35"/>
    </row>
    <row r="18011" spans="1:7" ht="12" customHeight="1" outlineLevel="2" x14ac:dyDescent="0.2">
      <c r="A18011" s="14" t="s">
        <v>35452</v>
      </c>
      <c r="B18011" s="15" t="s">
        <v>35453</v>
      </c>
      <c r="C18011" s="16">
        <f>668.52/(1+B2)</f>
        <v>668.52</v>
      </c>
      <c r="D18011" s="17" t="s">
        <v>11</v>
      </c>
      <c r="E18011" s="17"/>
      <c r="F18011" s="18"/>
      <c r="G18011" s="36" t="str">
        <f>IF(ISNUMBER(F18011),C18011*F18011,"")</f>
        <v/>
      </c>
    </row>
    <row r="18012" spans="1:7" ht="12" customHeight="1" outlineLevel="2" x14ac:dyDescent="0.2">
      <c r="A18012" s="14" t="s">
        <v>35454</v>
      </c>
      <c r="B18012" s="15" t="s">
        <v>35455</v>
      </c>
      <c r="C18012" s="16">
        <f>310.86/(1+B2)</f>
        <v>310.86</v>
      </c>
      <c r="D18012" s="17" t="s">
        <v>11</v>
      </c>
      <c r="E18012" s="17" t="s">
        <v>11</v>
      </c>
      <c r="F18012" s="18"/>
      <c r="G18012" s="36" t="str">
        <f>IF(ISNUMBER(F18012),C18012*F18012,"")</f>
        <v/>
      </c>
    </row>
    <row r="18013" spans="1:7" ht="12" customHeight="1" outlineLevel="2" x14ac:dyDescent="0.2">
      <c r="A18013" s="14" t="s">
        <v>35456</v>
      </c>
      <c r="B18013" s="15" t="s">
        <v>35457</v>
      </c>
      <c r="C18013" s="16">
        <f>49.78/(1+B2)</f>
        <v>49.78</v>
      </c>
      <c r="D18013" s="17" t="s">
        <v>11</v>
      </c>
      <c r="E18013" s="17"/>
      <c r="F18013" s="18"/>
      <c r="G18013" s="36" t="str">
        <f>IF(ISNUMBER(F18013),C18013*F18013,"")</f>
        <v/>
      </c>
    </row>
    <row r="18014" spans="1:7" ht="12" customHeight="1" outlineLevel="2" x14ac:dyDescent="0.2">
      <c r="A18014" s="14" t="s">
        <v>35458</v>
      </c>
      <c r="B18014" s="15" t="s">
        <v>35459</v>
      </c>
      <c r="C18014" s="16">
        <f>51.38/(1+B2)</f>
        <v>51.38</v>
      </c>
      <c r="D18014" s="17" t="s">
        <v>11</v>
      </c>
      <c r="E18014" s="17"/>
      <c r="F18014" s="18"/>
      <c r="G18014" s="36" t="str">
        <f>IF(ISNUMBER(F18014),C18014*F18014,"")</f>
        <v/>
      </c>
    </row>
    <row r="18015" spans="1:7" ht="12" customHeight="1" outlineLevel="2" x14ac:dyDescent="0.2">
      <c r="A18015" s="14" t="s">
        <v>35460</v>
      </c>
      <c r="B18015" s="15" t="s">
        <v>35461</v>
      </c>
      <c r="C18015" s="16">
        <f>88.26/(1+B2)</f>
        <v>88.26</v>
      </c>
      <c r="D18015" s="17" t="s">
        <v>14</v>
      </c>
      <c r="E18015" s="17"/>
      <c r="F18015" s="18"/>
      <c r="G18015" s="36" t="str">
        <f>IF(ISNUMBER(F18015),C18015*F18015,"")</f>
        <v/>
      </c>
    </row>
    <row r="18016" spans="1:7" ht="12" customHeight="1" outlineLevel="2" x14ac:dyDescent="0.2">
      <c r="A18016" s="14" t="s">
        <v>35462</v>
      </c>
      <c r="B18016" s="15" t="s">
        <v>35463</v>
      </c>
      <c r="C18016" s="16">
        <f>132.83/(1+B2)</f>
        <v>132.83000000000001</v>
      </c>
      <c r="D18016" s="17" t="s">
        <v>11</v>
      </c>
      <c r="E18016" s="17"/>
      <c r="F18016" s="18"/>
      <c r="G18016" s="36" t="str">
        <f>IF(ISNUMBER(F18016),C18016*F18016,"")</f>
        <v/>
      </c>
    </row>
    <row r="18017" spans="1:7" ht="12" customHeight="1" outlineLevel="2" x14ac:dyDescent="0.2">
      <c r="A18017" s="14" t="s">
        <v>35464</v>
      </c>
      <c r="B18017" s="15" t="s">
        <v>35465</v>
      </c>
      <c r="C18017" s="16">
        <f>132.83/(1+B2)</f>
        <v>132.83000000000001</v>
      </c>
      <c r="D18017" s="17" t="s">
        <v>14</v>
      </c>
      <c r="E18017" s="17"/>
      <c r="F18017" s="18"/>
      <c r="G18017" s="36" t="str">
        <f>IF(ISNUMBER(F18017),C18017*F18017,"")</f>
        <v/>
      </c>
    </row>
    <row r="18018" spans="1:7" ht="12" customHeight="1" outlineLevel="2" x14ac:dyDescent="0.2">
      <c r="A18018" s="14" t="s">
        <v>35466</v>
      </c>
      <c r="B18018" s="15" t="s">
        <v>35467</v>
      </c>
      <c r="C18018" s="16">
        <f>24.72/(1+B2)</f>
        <v>24.72</v>
      </c>
      <c r="D18018" s="17" t="s">
        <v>11</v>
      </c>
      <c r="E18018" s="17" t="s">
        <v>14</v>
      </c>
      <c r="F18018" s="18"/>
      <c r="G18018" s="36" t="str">
        <f>IF(ISNUMBER(F18018),C18018*F18018,"")</f>
        <v/>
      </c>
    </row>
    <row r="18019" spans="1:7" ht="12" customHeight="1" outlineLevel="2" x14ac:dyDescent="0.2">
      <c r="A18019" s="14" t="s">
        <v>35468</v>
      </c>
      <c r="B18019" s="15" t="s">
        <v>35469</v>
      </c>
      <c r="C18019" s="16">
        <f>103.32/(1+B2)</f>
        <v>103.32</v>
      </c>
      <c r="D18019" s="17" t="s">
        <v>14</v>
      </c>
      <c r="E18019" s="17" t="s">
        <v>14</v>
      </c>
      <c r="F18019" s="18"/>
      <c r="G18019" s="36" t="str">
        <f>IF(ISNUMBER(F18019),C18019*F18019,"")</f>
        <v/>
      </c>
    </row>
    <row r="18020" spans="1:7" ht="12" customHeight="1" outlineLevel="2" x14ac:dyDescent="0.2">
      <c r="A18020" s="14" t="s">
        <v>35470</v>
      </c>
      <c r="B18020" s="15" t="s">
        <v>35471</v>
      </c>
      <c r="C18020" s="16">
        <f>103.32/(1+B2)</f>
        <v>103.32</v>
      </c>
      <c r="D18020" s="17" t="s">
        <v>53</v>
      </c>
      <c r="E18020" s="17" t="s">
        <v>14</v>
      </c>
      <c r="F18020" s="18"/>
      <c r="G18020" s="36" t="str">
        <f>IF(ISNUMBER(F18020),C18020*F18020,"")</f>
        <v/>
      </c>
    </row>
    <row r="18021" spans="1:7" ht="12" customHeight="1" outlineLevel="2" x14ac:dyDescent="0.2">
      <c r="A18021" s="14" t="s">
        <v>35472</v>
      </c>
      <c r="B18021" s="15" t="s">
        <v>35473</v>
      </c>
      <c r="C18021" s="16">
        <f>24.24/(1+B2)</f>
        <v>24.24</v>
      </c>
      <c r="D18021" s="17" t="s">
        <v>11</v>
      </c>
      <c r="E18021" s="17"/>
      <c r="F18021" s="18"/>
      <c r="G18021" s="36" t="str">
        <f>IF(ISNUMBER(F18021),C18021*F18021,"")</f>
        <v/>
      </c>
    </row>
    <row r="18022" spans="1:7" ht="12" customHeight="1" outlineLevel="2" x14ac:dyDescent="0.2">
      <c r="A18022" s="14" t="s">
        <v>35474</v>
      </c>
      <c r="B18022" s="15" t="s">
        <v>35475</v>
      </c>
      <c r="C18022" s="16">
        <f>77.94/(1+B2)</f>
        <v>77.94</v>
      </c>
      <c r="D18022" s="17" t="s">
        <v>53</v>
      </c>
      <c r="E18022" s="17"/>
      <c r="F18022" s="18"/>
      <c r="G18022" s="36" t="str">
        <f>IF(ISNUMBER(F18022),C18022*F18022,"")</f>
        <v/>
      </c>
    </row>
    <row r="18023" spans="1:7" ht="12" customHeight="1" outlineLevel="2" x14ac:dyDescent="0.2">
      <c r="A18023" s="14" t="s">
        <v>35476</v>
      </c>
      <c r="B18023" s="15" t="s">
        <v>35477</v>
      </c>
      <c r="C18023" s="16">
        <f>237.3/(1+B2)</f>
        <v>237.3</v>
      </c>
      <c r="D18023" s="17" t="s">
        <v>14</v>
      </c>
      <c r="E18023" s="17"/>
      <c r="F18023" s="18"/>
      <c r="G18023" s="36" t="str">
        <f>IF(ISNUMBER(F18023),C18023*F18023,"")</f>
        <v/>
      </c>
    </row>
    <row r="18024" spans="1:7" ht="12" customHeight="1" outlineLevel="2" x14ac:dyDescent="0.2">
      <c r="A18024" s="14" t="s">
        <v>35478</v>
      </c>
      <c r="B18024" s="15" t="s">
        <v>35479</v>
      </c>
      <c r="C18024" s="16">
        <f>237.3/(1+B2)</f>
        <v>237.3</v>
      </c>
      <c r="D18024" s="17" t="s">
        <v>11</v>
      </c>
      <c r="E18024" s="17"/>
      <c r="F18024" s="18"/>
      <c r="G18024" s="36" t="str">
        <f>IF(ISNUMBER(F18024),C18024*F18024,"")</f>
        <v/>
      </c>
    </row>
    <row r="18025" spans="1:7" ht="24" customHeight="1" outlineLevel="2" x14ac:dyDescent="0.2">
      <c r="A18025" s="14" t="s">
        <v>35480</v>
      </c>
      <c r="B18025" s="15" t="s">
        <v>35481</v>
      </c>
      <c r="C18025" s="16">
        <f>76.58/(1+B2)</f>
        <v>76.58</v>
      </c>
      <c r="D18025" s="17" t="s">
        <v>53</v>
      </c>
      <c r="E18025" s="17"/>
      <c r="F18025" s="18"/>
      <c r="G18025" s="36" t="str">
        <f>IF(ISNUMBER(F18025),C18025*F18025,"")</f>
        <v/>
      </c>
    </row>
    <row r="18026" spans="1:7" ht="24" customHeight="1" outlineLevel="2" x14ac:dyDescent="0.2">
      <c r="A18026" s="14" t="s">
        <v>35482</v>
      </c>
      <c r="B18026" s="15" t="s">
        <v>35483</v>
      </c>
      <c r="C18026" s="16">
        <f>85.14/(1+B2)</f>
        <v>85.14</v>
      </c>
      <c r="D18026" s="17" t="s">
        <v>53</v>
      </c>
      <c r="E18026" s="17"/>
      <c r="F18026" s="18"/>
      <c r="G18026" s="36" t="str">
        <f>IF(ISNUMBER(F18026),C18026*F18026,"")</f>
        <v/>
      </c>
    </row>
    <row r="18027" spans="1:7" ht="24" customHeight="1" outlineLevel="2" x14ac:dyDescent="0.2">
      <c r="A18027" s="14" t="s">
        <v>35484</v>
      </c>
      <c r="B18027" s="15" t="s">
        <v>35485</v>
      </c>
      <c r="C18027" s="16">
        <f>98.04/(1+B2)</f>
        <v>98.04</v>
      </c>
      <c r="D18027" s="17" t="s">
        <v>53</v>
      </c>
      <c r="E18027" s="17"/>
      <c r="F18027" s="18"/>
      <c r="G18027" s="36" t="str">
        <f>IF(ISNUMBER(F18027),C18027*F18027,"")</f>
        <v/>
      </c>
    </row>
    <row r="18028" spans="1:7" ht="12" customHeight="1" outlineLevel="2" x14ac:dyDescent="0.2">
      <c r="A18028" s="14" t="s">
        <v>35486</v>
      </c>
      <c r="B18028" s="15" t="s">
        <v>35487</v>
      </c>
      <c r="C18028" s="16">
        <f>28.68/(1+B2)</f>
        <v>28.68</v>
      </c>
      <c r="D18028" s="17" t="s">
        <v>106</v>
      </c>
      <c r="E18028" s="17" t="s">
        <v>11</v>
      </c>
      <c r="F18028" s="18"/>
      <c r="G18028" s="36" t="str">
        <f>IF(ISNUMBER(F18028),C18028*F18028,"")</f>
        <v/>
      </c>
    </row>
    <row r="18029" spans="1:7" ht="12" customHeight="1" outlineLevel="2" x14ac:dyDescent="0.2">
      <c r="A18029" s="14" t="s">
        <v>35488</v>
      </c>
      <c r="B18029" s="15" t="s">
        <v>35489</v>
      </c>
      <c r="C18029" s="16">
        <f>22.62/(1+B2)</f>
        <v>22.62</v>
      </c>
      <c r="D18029" s="17" t="s">
        <v>11</v>
      </c>
      <c r="E18029" s="17" t="s">
        <v>14</v>
      </c>
      <c r="F18029" s="18"/>
      <c r="G18029" s="36" t="str">
        <f>IF(ISNUMBER(F18029),C18029*F18029,"")</f>
        <v/>
      </c>
    </row>
    <row r="18030" spans="1:7" ht="24" customHeight="1" outlineLevel="2" x14ac:dyDescent="0.2">
      <c r="A18030" s="14" t="s">
        <v>35490</v>
      </c>
      <c r="B18030" s="15" t="s">
        <v>35491</v>
      </c>
      <c r="C18030" s="16">
        <f>72.66/(1+B2)</f>
        <v>72.66</v>
      </c>
      <c r="D18030" s="17" t="s">
        <v>11</v>
      </c>
      <c r="E18030" s="17"/>
      <c r="F18030" s="18"/>
      <c r="G18030" s="36" t="str">
        <f>IF(ISNUMBER(F18030),C18030*F18030,"")</f>
        <v/>
      </c>
    </row>
    <row r="18031" spans="1:7" ht="12" customHeight="1" outlineLevel="2" x14ac:dyDescent="0.2">
      <c r="A18031" s="14" t="s">
        <v>35492</v>
      </c>
      <c r="B18031" s="15" t="s">
        <v>35493</v>
      </c>
      <c r="C18031" s="16">
        <f>27.2/(1+B2)</f>
        <v>27.2</v>
      </c>
      <c r="D18031" s="17" t="s">
        <v>11</v>
      </c>
      <c r="E18031" s="17"/>
      <c r="F18031" s="18"/>
      <c r="G18031" s="36" t="str">
        <f>IF(ISNUMBER(F18031),C18031*F18031,"")</f>
        <v/>
      </c>
    </row>
    <row r="18032" spans="1:7" ht="12" customHeight="1" outlineLevel="2" x14ac:dyDescent="0.2">
      <c r="A18032" s="14" t="s">
        <v>35494</v>
      </c>
      <c r="B18032" s="15" t="s">
        <v>35495</v>
      </c>
      <c r="C18032" s="16">
        <f>116.66/(1+B2)</f>
        <v>116.66</v>
      </c>
      <c r="D18032" s="17" t="s">
        <v>11</v>
      </c>
      <c r="E18032" s="17"/>
      <c r="F18032" s="18"/>
      <c r="G18032" s="36" t="str">
        <f>IF(ISNUMBER(F18032),C18032*F18032,"")</f>
        <v/>
      </c>
    </row>
    <row r="18033" spans="1:7" ht="12" customHeight="1" outlineLevel="2" x14ac:dyDescent="0.2">
      <c r="A18033" s="14" t="s">
        <v>35496</v>
      </c>
      <c r="B18033" s="15" t="s">
        <v>35497</v>
      </c>
      <c r="C18033" s="16">
        <f>153.12/(1+B2)</f>
        <v>153.12</v>
      </c>
      <c r="D18033" s="17" t="s">
        <v>14</v>
      </c>
      <c r="E18033" s="17"/>
      <c r="F18033" s="18"/>
      <c r="G18033" s="36" t="str">
        <f>IF(ISNUMBER(F18033),C18033*F18033,"")</f>
        <v/>
      </c>
    </row>
    <row r="18034" spans="1:7" ht="12" customHeight="1" outlineLevel="2" x14ac:dyDescent="0.2">
      <c r="A18034" s="14" t="s">
        <v>35498</v>
      </c>
      <c r="B18034" s="15" t="s">
        <v>35499</v>
      </c>
      <c r="C18034" s="16">
        <f>43.57/(1+B2)</f>
        <v>43.57</v>
      </c>
      <c r="D18034" s="17" t="s">
        <v>14</v>
      </c>
      <c r="E18034" s="17"/>
      <c r="F18034" s="18"/>
      <c r="G18034" s="36" t="str">
        <f>IF(ISNUMBER(F18034),C18034*F18034,"")</f>
        <v/>
      </c>
    </row>
    <row r="18035" spans="1:7" ht="12" customHeight="1" outlineLevel="2" x14ac:dyDescent="0.2">
      <c r="A18035" s="14" t="s">
        <v>35500</v>
      </c>
      <c r="B18035" s="15" t="s">
        <v>35501</v>
      </c>
      <c r="C18035" s="16">
        <f>56.88/(1+B2)</f>
        <v>56.88</v>
      </c>
      <c r="D18035" s="17" t="s">
        <v>11</v>
      </c>
      <c r="E18035" s="17" t="s">
        <v>14</v>
      </c>
      <c r="F18035" s="18"/>
      <c r="G18035" s="36" t="str">
        <f>IF(ISNUMBER(F18035),C18035*F18035,"")</f>
        <v/>
      </c>
    </row>
    <row r="18036" spans="1:7" ht="12" customHeight="1" outlineLevel="2" x14ac:dyDescent="0.2">
      <c r="A18036" s="14" t="s">
        <v>35502</v>
      </c>
      <c r="B18036" s="15" t="s">
        <v>35503</v>
      </c>
      <c r="C18036" s="16">
        <f>28.8/(1+B2)</f>
        <v>28.8</v>
      </c>
      <c r="D18036" s="17" t="s">
        <v>53</v>
      </c>
      <c r="E18036" s="17"/>
      <c r="F18036" s="18"/>
      <c r="G18036" s="36" t="str">
        <f>IF(ISNUMBER(F18036),C18036*F18036,"")</f>
        <v/>
      </c>
    </row>
    <row r="18037" spans="1:7" ht="12" customHeight="1" outlineLevel="2" x14ac:dyDescent="0.2">
      <c r="A18037" s="14" t="s">
        <v>35504</v>
      </c>
      <c r="B18037" s="15" t="s">
        <v>35505</v>
      </c>
      <c r="C18037" s="16">
        <f>37.98/(1+B2)</f>
        <v>37.979999999999997</v>
      </c>
      <c r="D18037" s="17" t="s">
        <v>14</v>
      </c>
      <c r="E18037" s="17"/>
      <c r="F18037" s="18"/>
      <c r="G18037" s="36" t="str">
        <f>IF(ISNUMBER(F18037),C18037*F18037,"")</f>
        <v/>
      </c>
    </row>
    <row r="18038" spans="1:7" ht="12" customHeight="1" outlineLevel="2" x14ac:dyDescent="0.2">
      <c r="A18038" s="14" t="s">
        <v>35506</v>
      </c>
      <c r="B18038" s="15" t="s">
        <v>35507</v>
      </c>
      <c r="C18038" s="16">
        <f>17.64/(1+B2)</f>
        <v>17.64</v>
      </c>
      <c r="D18038" s="17" t="s">
        <v>11</v>
      </c>
      <c r="E18038" s="17"/>
      <c r="F18038" s="18"/>
      <c r="G18038" s="36" t="str">
        <f>IF(ISNUMBER(F18038),C18038*F18038,"")</f>
        <v/>
      </c>
    </row>
    <row r="18039" spans="1:7" ht="12" customHeight="1" outlineLevel="2" x14ac:dyDescent="0.2">
      <c r="A18039" s="14" t="s">
        <v>35508</v>
      </c>
      <c r="B18039" s="15" t="s">
        <v>35509</v>
      </c>
      <c r="C18039" s="16">
        <f>46.6/(1+B2)</f>
        <v>46.6</v>
      </c>
      <c r="D18039" s="17" t="s">
        <v>53</v>
      </c>
      <c r="E18039" s="17"/>
      <c r="F18039" s="18"/>
      <c r="G18039" s="36" t="str">
        <f>IF(ISNUMBER(F18039),C18039*F18039,"")</f>
        <v/>
      </c>
    </row>
    <row r="18040" spans="1:7" ht="12" customHeight="1" outlineLevel="2" x14ac:dyDescent="0.2">
      <c r="A18040" s="14" t="s">
        <v>35510</v>
      </c>
      <c r="B18040" s="15" t="s">
        <v>35511</v>
      </c>
      <c r="C18040" s="16">
        <f>32.4/(1+B2)</f>
        <v>32.4</v>
      </c>
      <c r="D18040" s="17" t="s">
        <v>53</v>
      </c>
      <c r="E18040" s="17"/>
      <c r="F18040" s="18"/>
      <c r="G18040" s="36" t="str">
        <f>IF(ISNUMBER(F18040),C18040*F18040,"")</f>
        <v/>
      </c>
    </row>
    <row r="18041" spans="1:7" ht="12" customHeight="1" outlineLevel="2" x14ac:dyDescent="0.2">
      <c r="A18041" s="14" t="s">
        <v>35512</v>
      </c>
      <c r="B18041" s="15" t="s">
        <v>35513</v>
      </c>
      <c r="C18041" s="16">
        <f>24.48/(1+B2)</f>
        <v>24.48</v>
      </c>
      <c r="D18041" s="17" t="s">
        <v>53</v>
      </c>
      <c r="E18041" s="17"/>
      <c r="F18041" s="18"/>
      <c r="G18041" s="36" t="str">
        <f>IF(ISNUMBER(F18041),C18041*F18041,"")</f>
        <v/>
      </c>
    </row>
    <row r="18042" spans="1:7" ht="12" customHeight="1" outlineLevel="2" x14ac:dyDescent="0.2">
      <c r="A18042" s="14" t="s">
        <v>35514</v>
      </c>
      <c r="B18042" s="15" t="s">
        <v>35515</v>
      </c>
      <c r="C18042" s="16">
        <f>92.28/(1+B2)</f>
        <v>92.28</v>
      </c>
      <c r="D18042" s="17" t="s">
        <v>11</v>
      </c>
      <c r="E18042" s="17" t="s">
        <v>14</v>
      </c>
      <c r="F18042" s="18"/>
      <c r="G18042" s="36" t="str">
        <f>IF(ISNUMBER(F18042),C18042*F18042,"")</f>
        <v/>
      </c>
    </row>
    <row r="18043" spans="1:7" ht="12" customHeight="1" outlineLevel="2" x14ac:dyDescent="0.2">
      <c r="A18043" s="14" t="s">
        <v>35516</v>
      </c>
      <c r="B18043" s="15" t="s">
        <v>35517</v>
      </c>
      <c r="C18043" s="16">
        <f>184.86/(1+B2)</f>
        <v>184.86</v>
      </c>
      <c r="D18043" s="17" t="s">
        <v>11</v>
      </c>
      <c r="E18043" s="17" t="s">
        <v>11</v>
      </c>
      <c r="F18043" s="18"/>
      <c r="G18043" s="36" t="str">
        <f>IF(ISNUMBER(F18043),C18043*F18043,"")</f>
        <v/>
      </c>
    </row>
    <row r="18044" spans="1:7" ht="12" customHeight="1" outlineLevel="2" x14ac:dyDescent="0.2">
      <c r="A18044" s="14" t="s">
        <v>35518</v>
      </c>
      <c r="B18044" s="15" t="s">
        <v>35519</v>
      </c>
      <c r="C18044" s="16">
        <f>92.28/(1+B2)</f>
        <v>92.28</v>
      </c>
      <c r="D18044" s="17" t="s">
        <v>14</v>
      </c>
      <c r="E18044" s="17"/>
      <c r="F18044" s="18"/>
      <c r="G18044" s="36" t="str">
        <f>IF(ISNUMBER(F18044),C18044*F18044,"")</f>
        <v/>
      </c>
    </row>
    <row r="18045" spans="1:7" ht="12" customHeight="1" outlineLevel="2" x14ac:dyDescent="0.2">
      <c r="A18045" s="14" t="s">
        <v>35520</v>
      </c>
      <c r="B18045" s="15" t="s">
        <v>35521</v>
      </c>
      <c r="C18045" s="16">
        <f>184.86/(1+B2)</f>
        <v>184.86</v>
      </c>
      <c r="D18045" s="17" t="s">
        <v>11</v>
      </c>
      <c r="E18045" s="17"/>
      <c r="F18045" s="18"/>
      <c r="G18045" s="36" t="str">
        <f>IF(ISNUMBER(F18045),C18045*F18045,"")</f>
        <v/>
      </c>
    </row>
    <row r="18046" spans="1:7" ht="12" customHeight="1" outlineLevel="2" x14ac:dyDescent="0.2">
      <c r="A18046" s="14" t="s">
        <v>35522</v>
      </c>
      <c r="B18046" s="15" t="s">
        <v>35523</v>
      </c>
      <c r="C18046" s="16">
        <f>92.28/(1+B2)</f>
        <v>92.28</v>
      </c>
      <c r="D18046" s="17" t="s">
        <v>11</v>
      </c>
      <c r="E18046" s="17" t="s">
        <v>14</v>
      </c>
      <c r="F18046" s="18"/>
      <c r="G18046" s="36" t="str">
        <f>IF(ISNUMBER(F18046),C18046*F18046,"")</f>
        <v/>
      </c>
    </row>
    <row r="18047" spans="1:7" ht="12" customHeight="1" outlineLevel="2" x14ac:dyDescent="0.2">
      <c r="A18047" s="14" t="s">
        <v>35524</v>
      </c>
      <c r="B18047" s="15" t="s">
        <v>35525</v>
      </c>
      <c r="C18047" s="16">
        <f>109.06/(1+B2)</f>
        <v>109.06</v>
      </c>
      <c r="D18047" s="17" t="s">
        <v>14</v>
      </c>
      <c r="E18047" s="17"/>
      <c r="F18047" s="18"/>
      <c r="G18047" s="36" t="str">
        <f>IF(ISNUMBER(F18047),C18047*F18047,"")</f>
        <v/>
      </c>
    </row>
    <row r="18048" spans="1:7" ht="12" customHeight="1" outlineLevel="2" x14ac:dyDescent="0.2">
      <c r="A18048" s="14" t="s">
        <v>35526</v>
      </c>
      <c r="B18048" s="15" t="s">
        <v>35527</v>
      </c>
      <c r="C18048" s="16">
        <f>257.4/(1+B2)</f>
        <v>257.39999999999998</v>
      </c>
      <c r="D18048" s="17" t="s">
        <v>11</v>
      </c>
      <c r="E18048" s="17" t="s">
        <v>14</v>
      </c>
      <c r="F18048" s="18"/>
      <c r="G18048" s="36" t="str">
        <f>IF(ISNUMBER(F18048),C18048*F18048,"")</f>
        <v/>
      </c>
    </row>
    <row r="18049" spans="1:7" ht="12" customHeight="1" outlineLevel="2" x14ac:dyDescent="0.2">
      <c r="A18049" s="14" t="s">
        <v>35528</v>
      </c>
      <c r="B18049" s="15" t="s">
        <v>35529</v>
      </c>
      <c r="C18049" s="16">
        <f>257.4/(1+B2)</f>
        <v>257.39999999999998</v>
      </c>
      <c r="D18049" s="17" t="s">
        <v>14</v>
      </c>
      <c r="E18049" s="17" t="s">
        <v>11</v>
      </c>
      <c r="F18049" s="18"/>
      <c r="G18049" s="36" t="str">
        <f>IF(ISNUMBER(F18049),C18049*F18049,"")</f>
        <v/>
      </c>
    </row>
    <row r="18050" spans="1:7" ht="12" customHeight="1" outlineLevel="2" x14ac:dyDescent="0.2">
      <c r="A18050" s="14" t="s">
        <v>35530</v>
      </c>
      <c r="B18050" s="15" t="s">
        <v>35531</v>
      </c>
      <c r="C18050" s="16">
        <f>257.4/(1+B2)</f>
        <v>257.39999999999998</v>
      </c>
      <c r="D18050" s="17" t="s">
        <v>11</v>
      </c>
      <c r="E18050" s="17" t="s">
        <v>14</v>
      </c>
      <c r="F18050" s="18"/>
      <c r="G18050" s="36" t="str">
        <f>IF(ISNUMBER(F18050),C18050*F18050,"")</f>
        <v/>
      </c>
    </row>
    <row r="18051" spans="1:7" s="1" customFormat="1" ht="15.95" customHeight="1" outlineLevel="1" x14ac:dyDescent="0.25">
      <c r="A18051" s="11"/>
      <c r="B18051" s="12" t="s">
        <v>35532</v>
      </c>
      <c r="C18051" s="13"/>
      <c r="D18051" s="13"/>
      <c r="E18051" s="13"/>
      <c r="F18051" s="13"/>
      <c r="G18051" s="35"/>
    </row>
    <row r="18052" spans="1:7" ht="12" customHeight="1" outlineLevel="2" x14ac:dyDescent="0.2">
      <c r="A18052" s="14" t="s">
        <v>35533</v>
      </c>
      <c r="B18052" s="15" t="s">
        <v>35534</v>
      </c>
      <c r="C18052" s="16">
        <f>226.2/(1+B2)</f>
        <v>226.2</v>
      </c>
      <c r="D18052" s="17" t="s">
        <v>11</v>
      </c>
      <c r="E18052" s="17"/>
      <c r="F18052" s="18"/>
      <c r="G18052" s="36" t="str">
        <f>IF(ISNUMBER(F18052),C18052*F18052,"")</f>
        <v/>
      </c>
    </row>
    <row r="18053" spans="1:7" ht="12" customHeight="1" outlineLevel="2" x14ac:dyDescent="0.2">
      <c r="A18053" s="14" t="s">
        <v>35535</v>
      </c>
      <c r="B18053" s="15" t="s">
        <v>35536</v>
      </c>
      <c r="C18053" s="16">
        <f>241.26/(1+B2)</f>
        <v>241.26</v>
      </c>
      <c r="D18053" s="17" t="s">
        <v>11</v>
      </c>
      <c r="E18053" s="17"/>
      <c r="F18053" s="18"/>
      <c r="G18053" s="36" t="str">
        <f>IF(ISNUMBER(F18053),C18053*F18053,"")</f>
        <v/>
      </c>
    </row>
    <row r="18054" spans="1:7" ht="12" customHeight="1" outlineLevel="2" x14ac:dyDescent="0.2">
      <c r="A18054" s="14" t="s">
        <v>35537</v>
      </c>
      <c r="B18054" s="15" t="s">
        <v>35538</v>
      </c>
      <c r="C18054" s="16">
        <f>265.74/(1+B2)</f>
        <v>265.74</v>
      </c>
      <c r="D18054" s="17" t="s">
        <v>11</v>
      </c>
      <c r="E18054" s="17"/>
      <c r="F18054" s="18"/>
      <c r="G18054" s="36" t="str">
        <f>IF(ISNUMBER(F18054),C18054*F18054,"")</f>
        <v/>
      </c>
    </row>
    <row r="18055" spans="1:7" ht="12" customHeight="1" outlineLevel="2" x14ac:dyDescent="0.2">
      <c r="A18055" s="14" t="s">
        <v>35539</v>
      </c>
      <c r="B18055" s="15" t="s">
        <v>35540</v>
      </c>
      <c r="C18055" s="16">
        <f>356.34/(1+B2)</f>
        <v>356.34</v>
      </c>
      <c r="D18055" s="17" t="s">
        <v>11</v>
      </c>
      <c r="E18055" s="17"/>
      <c r="F18055" s="18"/>
      <c r="G18055" s="36" t="str">
        <f>IF(ISNUMBER(F18055),C18055*F18055,"")</f>
        <v/>
      </c>
    </row>
    <row r="18056" spans="1:7" ht="12" customHeight="1" outlineLevel="2" x14ac:dyDescent="0.2">
      <c r="A18056" s="14" t="s">
        <v>35541</v>
      </c>
      <c r="B18056" s="15" t="s">
        <v>35542</v>
      </c>
      <c r="C18056" s="16">
        <f>549.42/(1+B2)</f>
        <v>549.41999999999996</v>
      </c>
      <c r="D18056" s="17" t="s">
        <v>11</v>
      </c>
      <c r="E18056" s="17"/>
      <c r="F18056" s="18"/>
      <c r="G18056" s="36" t="str">
        <f>IF(ISNUMBER(F18056),C18056*F18056,"")</f>
        <v/>
      </c>
    </row>
    <row r="18057" spans="1:7" ht="12" customHeight="1" outlineLevel="2" x14ac:dyDescent="0.2">
      <c r="A18057" s="14" t="s">
        <v>35543</v>
      </c>
      <c r="B18057" s="15" t="s">
        <v>35544</v>
      </c>
      <c r="C18057" s="16">
        <f>112.08/(1+B2)</f>
        <v>112.08</v>
      </c>
      <c r="D18057" s="17" t="s">
        <v>11</v>
      </c>
      <c r="E18057" s="17" t="s">
        <v>11</v>
      </c>
      <c r="F18057" s="18"/>
      <c r="G18057" s="36" t="str">
        <f>IF(ISNUMBER(F18057),C18057*F18057,"")</f>
        <v/>
      </c>
    </row>
    <row r="18058" spans="1:7" ht="12" customHeight="1" outlineLevel="2" x14ac:dyDescent="0.2">
      <c r="A18058" s="14" t="s">
        <v>35545</v>
      </c>
      <c r="B18058" s="15" t="s">
        <v>35546</v>
      </c>
      <c r="C18058" s="16">
        <f>185.22/(1+B2)</f>
        <v>185.22</v>
      </c>
      <c r="D18058" s="17" t="s">
        <v>11</v>
      </c>
      <c r="E18058" s="17"/>
      <c r="F18058" s="18"/>
      <c r="G18058" s="36" t="str">
        <f>IF(ISNUMBER(F18058),C18058*F18058,"")</f>
        <v/>
      </c>
    </row>
    <row r="18059" spans="1:7" ht="12" customHeight="1" outlineLevel="2" x14ac:dyDescent="0.2">
      <c r="A18059" s="14" t="s">
        <v>35547</v>
      </c>
      <c r="B18059" s="15" t="s">
        <v>35548</v>
      </c>
      <c r="C18059" s="16">
        <f>233.1/(1+B2)</f>
        <v>233.1</v>
      </c>
      <c r="D18059" s="17" t="s">
        <v>11</v>
      </c>
      <c r="E18059" s="17"/>
      <c r="F18059" s="18"/>
      <c r="G18059" s="36" t="str">
        <f>IF(ISNUMBER(F18059),C18059*F18059,"")</f>
        <v/>
      </c>
    </row>
    <row r="18060" spans="1:7" ht="12" customHeight="1" outlineLevel="2" x14ac:dyDescent="0.2">
      <c r="A18060" s="14" t="s">
        <v>35549</v>
      </c>
      <c r="B18060" s="15" t="s">
        <v>35550</v>
      </c>
      <c r="C18060" s="16">
        <f>137.4/(1+B2)</f>
        <v>137.4</v>
      </c>
      <c r="D18060" s="17" t="s">
        <v>11</v>
      </c>
      <c r="E18060" s="17" t="s">
        <v>11</v>
      </c>
      <c r="F18060" s="18"/>
      <c r="G18060" s="36" t="str">
        <f>IF(ISNUMBER(F18060),C18060*F18060,"")</f>
        <v/>
      </c>
    </row>
    <row r="18061" spans="1:7" ht="12" customHeight="1" outlineLevel="2" x14ac:dyDescent="0.2">
      <c r="A18061" s="14" t="s">
        <v>35551</v>
      </c>
      <c r="B18061" s="15" t="s">
        <v>35552</v>
      </c>
      <c r="C18061" s="16">
        <f>181.21/(1+B2)</f>
        <v>181.21</v>
      </c>
      <c r="D18061" s="17" t="s">
        <v>11</v>
      </c>
      <c r="E18061" s="17" t="s">
        <v>11</v>
      </c>
      <c r="F18061" s="18"/>
      <c r="G18061" s="36" t="str">
        <f>IF(ISNUMBER(F18061),C18061*F18061,"")</f>
        <v/>
      </c>
    </row>
    <row r="18062" spans="1:7" ht="12" customHeight="1" outlineLevel="2" x14ac:dyDescent="0.2">
      <c r="A18062" s="14" t="s">
        <v>35553</v>
      </c>
      <c r="B18062" s="15" t="s">
        <v>35554</v>
      </c>
      <c r="C18062" s="16">
        <f>257.4/(1+B2)</f>
        <v>257.39999999999998</v>
      </c>
      <c r="D18062" s="17" t="s">
        <v>11</v>
      </c>
      <c r="E18062" s="17" t="s">
        <v>11</v>
      </c>
      <c r="F18062" s="18"/>
      <c r="G18062" s="36" t="str">
        <f>IF(ISNUMBER(F18062),C18062*F18062,"")</f>
        <v/>
      </c>
    </row>
    <row r="18063" spans="1:7" ht="12" customHeight="1" outlineLevel="2" x14ac:dyDescent="0.2">
      <c r="A18063" s="14" t="s">
        <v>35555</v>
      </c>
      <c r="B18063" s="15" t="s">
        <v>35556</v>
      </c>
      <c r="C18063" s="16">
        <f>240.13/(1+B2)</f>
        <v>240.13</v>
      </c>
      <c r="D18063" s="17" t="s">
        <v>11</v>
      </c>
      <c r="E18063" s="17" t="s">
        <v>11</v>
      </c>
      <c r="F18063" s="18"/>
      <c r="G18063" s="36" t="str">
        <f>IF(ISNUMBER(F18063),C18063*F18063,"")</f>
        <v/>
      </c>
    </row>
    <row r="18064" spans="1:7" ht="12" customHeight="1" outlineLevel="2" x14ac:dyDescent="0.2">
      <c r="A18064" s="14" t="s">
        <v>35557</v>
      </c>
      <c r="B18064" s="15" t="s">
        <v>35558</v>
      </c>
      <c r="C18064" s="16">
        <f>308.22/(1+B2)</f>
        <v>308.22000000000003</v>
      </c>
      <c r="D18064" s="17" t="s">
        <v>11</v>
      </c>
      <c r="E18064" s="17" t="s">
        <v>11</v>
      </c>
      <c r="F18064" s="18"/>
      <c r="G18064" s="36" t="str">
        <f>IF(ISNUMBER(F18064),C18064*F18064,"")</f>
        <v/>
      </c>
    </row>
    <row r="18065" spans="1:7" ht="12" customHeight="1" outlineLevel="2" x14ac:dyDescent="0.2">
      <c r="A18065" s="14" t="s">
        <v>35559</v>
      </c>
      <c r="B18065" s="15" t="s">
        <v>35560</v>
      </c>
      <c r="C18065" s="16">
        <f>194.22/(1+B2)</f>
        <v>194.22</v>
      </c>
      <c r="D18065" s="17" t="s">
        <v>11</v>
      </c>
      <c r="E18065" s="17"/>
      <c r="F18065" s="18"/>
      <c r="G18065" s="36" t="str">
        <f>IF(ISNUMBER(F18065),C18065*F18065,"")</f>
        <v/>
      </c>
    </row>
    <row r="18066" spans="1:7" ht="12" customHeight="1" outlineLevel="2" x14ac:dyDescent="0.2">
      <c r="A18066" s="14" t="s">
        <v>35561</v>
      </c>
      <c r="B18066" s="15" t="s">
        <v>35562</v>
      </c>
      <c r="C18066" s="16">
        <f>259.44/(1+B2)</f>
        <v>259.44</v>
      </c>
      <c r="D18066" s="17" t="s">
        <v>11</v>
      </c>
      <c r="E18066" s="17" t="s">
        <v>11</v>
      </c>
      <c r="F18066" s="18"/>
      <c r="G18066" s="36" t="str">
        <f>IF(ISNUMBER(F18066),C18066*F18066,"")</f>
        <v/>
      </c>
    </row>
    <row r="18067" spans="1:7" ht="12" customHeight="1" outlineLevel="2" x14ac:dyDescent="0.2">
      <c r="A18067" s="14" t="s">
        <v>35563</v>
      </c>
      <c r="B18067" s="15" t="s">
        <v>35564</v>
      </c>
      <c r="C18067" s="16">
        <f>317.64/(1+B2)</f>
        <v>317.64</v>
      </c>
      <c r="D18067" s="17" t="s">
        <v>11</v>
      </c>
      <c r="E18067" s="17"/>
      <c r="F18067" s="18"/>
      <c r="G18067" s="36" t="str">
        <f>IF(ISNUMBER(F18067),C18067*F18067,"")</f>
        <v/>
      </c>
    </row>
    <row r="18068" spans="1:7" ht="12" customHeight="1" outlineLevel="2" x14ac:dyDescent="0.2">
      <c r="A18068" s="14" t="s">
        <v>35565</v>
      </c>
      <c r="B18068" s="15" t="s">
        <v>35566</v>
      </c>
      <c r="C18068" s="16">
        <f>364.86/(1+B2)</f>
        <v>364.86</v>
      </c>
      <c r="D18068" s="17" t="s">
        <v>11</v>
      </c>
      <c r="E18068" s="17"/>
      <c r="F18068" s="18"/>
      <c r="G18068" s="36" t="str">
        <f>IF(ISNUMBER(F18068),C18068*F18068,"")</f>
        <v/>
      </c>
    </row>
    <row r="18069" spans="1:7" ht="12" customHeight="1" outlineLevel="2" x14ac:dyDescent="0.2">
      <c r="A18069" s="14" t="s">
        <v>35567</v>
      </c>
      <c r="B18069" s="15" t="s">
        <v>35568</v>
      </c>
      <c r="C18069" s="16">
        <f>277.92/(1+B2)</f>
        <v>277.92</v>
      </c>
      <c r="D18069" s="17" t="s">
        <v>11</v>
      </c>
      <c r="E18069" s="17"/>
      <c r="F18069" s="18"/>
      <c r="G18069" s="36" t="str">
        <f>IF(ISNUMBER(F18069),C18069*F18069,"")</f>
        <v/>
      </c>
    </row>
    <row r="18070" spans="1:7" ht="12" customHeight="1" outlineLevel="2" x14ac:dyDescent="0.2">
      <c r="A18070" s="14" t="s">
        <v>35569</v>
      </c>
      <c r="B18070" s="15" t="s">
        <v>35570</v>
      </c>
      <c r="C18070" s="16">
        <f>153.06/(1+B2)</f>
        <v>153.06</v>
      </c>
      <c r="D18070" s="17" t="s">
        <v>11</v>
      </c>
      <c r="E18070" s="17" t="s">
        <v>11</v>
      </c>
      <c r="F18070" s="18"/>
      <c r="G18070" s="36" t="str">
        <f>IF(ISNUMBER(F18070),C18070*F18070,"")</f>
        <v/>
      </c>
    </row>
    <row r="18071" spans="1:7" ht="12" customHeight="1" outlineLevel="2" x14ac:dyDescent="0.2">
      <c r="A18071" s="14" t="s">
        <v>35571</v>
      </c>
      <c r="B18071" s="15" t="s">
        <v>35572</v>
      </c>
      <c r="C18071" s="16">
        <f>235.62/(1+B2)</f>
        <v>235.62</v>
      </c>
      <c r="D18071" s="17" t="s">
        <v>11</v>
      </c>
      <c r="E18071" s="17"/>
      <c r="F18071" s="18"/>
      <c r="G18071" s="36" t="str">
        <f>IF(ISNUMBER(F18071),C18071*F18071,"")</f>
        <v/>
      </c>
    </row>
    <row r="18072" spans="1:7" ht="12" customHeight="1" outlineLevel="2" x14ac:dyDescent="0.2">
      <c r="A18072" s="14" t="s">
        <v>35573</v>
      </c>
      <c r="B18072" s="15" t="s">
        <v>35574</v>
      </c>
      <c r="C18072" s="16">
        <f>198.96/(1+B2)</f>
        <v>198.96</v>
      </c>
      <c r="D18072" s="17" t="s">
        <v>11</v>
      </c>
      <c r="E18072" s="17" t="s">
        <v>11</v>
      </c>
      <c r="F18072" s="18"/>
      <c r="G18072" s="36" t="str">
        <f>IF(ISNUMBER(F18072),C18072*F18072,"")</f>
        <v/>
      </c>
    </row>
    <row r="18073" spans="1:7" ht="12" customHeight="1" outlineLevel="2" x14ac:dyDescent="0.2">
      <c r="A18073" s="14" t="s">
        <v>35575</v>
      </c>
      <c r="B18073" s="15" t="s">
        <v>35576</v>
      </c>
      <c r="C18073" s="16">
        <f>274.26/(1+B2)</f>
        <v>274.26</v>
      </c>
      <c r="D18073" s="17" t="s">
        <v>11</v>
      </c>
      <c r="E18073" s="17"/>
      <c r="F18073" s="18"/>
      <c r="G18073" s="36" t="str">
        <f>IF(ISNUMBER(F18073),C18073*F18073,"")</f>
        <v/>
      </c>
    </row>
    <row r="18074" spans="1:7" ht="12" customHeight="1" outlineLevel="2" x14ac:dyDescent="0.2">
      <c r="A18074" s="14" t="s">
        <v>35577</v>
      </c>
      <c r="B18074" s="15" t="s">
        <v>35578</v>
      </c>
      <c r="C18074" s="16">
        <f>57.25/(1+B2)</f>
        <v>57.25</v>
      </c>
      <c r="D18074" s="17" t="s">
        <v>11</v>
      </c>
      <c r="E18074" s="17" t="s">
        <v>14</v>
      </c>
      <c r="F18074" s="18"/>
      <c r="G18074" s="36" t="str">
        <f>IF(ISNUMBER(F18074),C18074*F18074,"")</f>
        <v/>
      </c>
    </row>
    <row r="18075" spans="1:7" ht="12" customHeight="1" outlineLevel="2" x14ac:dyDescent="0.2">
      <c r="A18075" s="14" t="s">
        <v>35579</v>
      </c>
      <c r="B18075" s="15" t="s">
        <v>35580</v>
      </c>
      <c r="C18075" s="16">
        <f>97.8/(1+B2)</f>
        <v>97.8</v>
      </c>
      <c r="D18075" s="17" t="s">
        <v>11</v>
      </c>
      <c r="E18075" s="17" t="s">
        <v>11</v>
      </c>
      <c r="F18075" s="18"/>
      <c r="G18075" s="36" t="str">
        <f>IF(ISNUMBER(F18075),C18075*F18075,"")</f>
        <v/>
      </c>
    </row>
    <row r="18076" spans="1:7" ht="12" customHeight="1" outlineLevel="2" x14ac:dyDescent="0.2">
      <c r="A18076" s="14" t="s">
        <v>35581</v>
      </c>
      <c r="B18076" s="15" t="s">
        <v>35582</v>
      </c>
      <c r="C18076" s="16">
        <f>161.94/(1+B2)</f>
        <v>161.94</v>
      </c>
      <c r="D18076" s="17" t="s">
        <v>11</v>
      </c>
      <c r="E18076" s="17"/>
      <c r="F18076" s="18"/>
      <c r="G18076" s="36" t="str">
        <f>IF(ISNUMBER(F18076),C18076*F18076,"")</f>
        <v/>
      </c>
    </row>
    <row r="18077" spans="1:7" ht="12" customHeight="1" outlineLevel="2" x14ac:dyDescent="0.2">
      <c r="A18077" s="14" t="s">
        <v>35583</v>
      </c>
      <c r="B18077" s="15" t="s">
        <v>35584</v>
      </c>
      <c r="C18077" s="16">
        <f>92.58/(1+B2)</f>
        <v>92.58</v>
      </c>
      <c r="D18077" s="17" t="s">
        <v>11</v>
      </c>
      <c r="E18077" s="17" t="s">
        <v>11</v>
      </c>
      <c r="F18077" s="18"/>
      <c r="G18077" s="36" t="str">
        <f>IF(ISNUMBER(F18077),C18077*F18077,"")</f>
        <v/>
      </c>
    </row>
    <row r="18078" spans="1:7" ht="12" customHeight="1" outlineLevel="2" x14ac:dyDescent="0.2">
      <c r="A18078" s="14" t="s">
        <v>35585</v>
      </c>
      <c r="B18078" s="15" t="s">
        <v>35586</v>
      </c>
      <c r="C18078" s="16">
        <f>90.94/(1+B2)</f>
        <v>90.94</v>
      </c>
      <c r="D18078" s="17" t="s">
        <v>11</v>
      </c>
      <c r="E18078" s="17"/>
      <c r="F18078" s="18"/>
      <c r="G18078" s="36" t="str">
        <f>IF(ISNUMBER(F18078),C18078*F18078,"")</f>
        <v/>
      </c>
    </row>
    <row r="18079" spans="1:7" ht="12" customHeight="1" outlineLevel="2" x14ac:dyDescent="0.2">
      <c r="A18079" s="14" t="s">
        <v>35587</v>
      </c>
      <c r="B18079" s="15" t="s">
        <v>35588</v>
      </c>
      <c r="C18079" s="16">
        <f>151.01/(1+B2)</f>
        <v>151.01</v>
      </c>
      <c r="D18079" s="17" t="s">
        <v>11</v>
      </c>
      <c r="E18079" s="17" t="s">
        <v>11</v>
      </c>
      <c r="F18079" s="18"/>
      <c r="G18079" s="36" t="str">
        <f>IF(ISNUMBER(F18079),C18079*F18079,"")</f>
        <v/>
      </c>
    </row>
    <row r="18080" spans="1:7" ht="12" customHeight="1" outlineLevel="2" x14ac:dyDescent="0.2">
      <c r="A18080" s="14" t="s">
        <v>35589</v>
      </c>
      <c r="B18080" s="15" t="s">
        <v>35590</v>
      </c>
      <c r="C18080" s="16">
        <f>368.18/(1+B2)</f>
        <v>368.18</v>
      </c>
      <c r="D18080" s="17" t="s">
        <v>11</v>
      </c>
      <c r="E18080" s="17" t="s">
        <v>11</v>
      </c>
      <c r="F18080" s="18"/>
      <c r="G18080" s="36" t="str">
        <f>IF(ISNUMBER(F18080),C18080*F18080,"")</f>
        <v/>
      </c>
    </row>
    <row r="18081" spans="1:7" ht="12" customHeight="1" outlineLevel="2" x14ac:dyDescent="0.2">
      <c r="A18081" s="14" t="s">
        <v>35591</v>
      </c>
      <c r="B18081" s="15" t="s">
        <v>35592</v>
      </c>
      <c r="C18081" s="16">
        <f>80.66/(1+B2)</f>
        <v>80.66</v>
      </c>
      <c r="D18081" s="17" t="s">
        <v>11</v>
      </c>
      <c r="E18081" s="17" t="s">
        <v>14</v>
      </c>
      <c r="F18081" s="18"/>
      <c r="G18081" s="36" t="str">
        <f>IF(ISNUMBER(F18081),C18081*F18081,"")</f>
        <v/>
      </c>
    </row>
    <row r="18082" spans="1:7" s="1" customFormat="1" ht="15.95" customHeight="1" outlineLevel="1" x14ac:dyDescent="0.25">
      <c r="A18082" s="11"/>
      <c r="B18082" s="12" t="s">
        <v>35593</v>
      </c>
      <c r="C18082" s="13"/>
      <c r="D18082" s="13"/>
      <c r="E18082" s="13"/>
      <c r="F18082" s="13"/>
      <c r="G18082" s="35"/>
    </row>
    <row r="18083" spans="1:7" ht="12" customHeight="1" outlineLevel="2" x14ac:dyDescent="0.2">
      <c r="A18083" s="14" t="s">
        <v>35594</v>
      </c>
      <c r="B18083" s="15" t="s">
        <v>35595</v>
      </c>
      <c r="C18083" s="16">
        <f>50.02/(1+B2)</f>
        <v>50.02</v>
      </c>
      <c r="D18083" s="17" t="s">
        <v>11</v>
      </c>
      <c r="E18083" s="17"/>
      <c r="F18083" s="18"/>
      <c r="G18083" s="36" t="str">
        <f>IF(ISNUMBER(F18083),C18083*F18083,"")</f>
        <v/>
      </c>
    </row>
    <row r="18084" spans="1:7" ht="24" customHeight="1" outlineLevel="2" x14ac:dyDescent="0.2">
      <c r="A18084" s="14" t="s">
        <v>35596</v>
      </c>
      <c r="B18084" s="15" t="s">
        <v>35597</v>
      </c>
      <c r="C18084" s="16">
        <f>50.02/(1+B2)</f>
        <v>50.02</v>
      </c>
      <c r="D18084" s="17" t="s">
        <v>11</v>
      </c>
      <c r="E18084" s="17"/>
      <c r="F18084" s="18"/>
      <c r="G18084" s="36" t="str">
        <f>IF(ISNUMBER(F18084),C18084*F18084,"")</f>
        <v/>
      </c>
    </row>
    <row r="18085" spans="1:7" ht="12" customHeight="1" outlineLevel="2" x14ac:dyDescent="0.2">
      <c r="A18085" s="14" t="s">
        <v>35598</v>
      </c>
      <c r="B18085" s="15" t="s">
        <v>35599</v>
      </c>
      <c r="C18085" s="16">
        <f>50.02/(1+B2)</f>
        <v>50.02</v>
      </c>
      <c r="D18085" s="17" t="s">
        <v>11</v>
      </c>
      <c r="E18085" s="17"/>
      <c r="F18085" s="18"/>
      <c r="G18085" s="36" t="str">
        <f>IF(ISNUMBER(F18085),C18085*F18085,"")</f>
        <v/>
      </c>
    </row>
    <row r="18086" spans="1:7" ht="24" customHeight="1" outlineLevel="2" x14ac:dyDescent="0.2">
      <c r="A18086" s="14" t="s">
        <v>35600</v>
      </c>
      <c r="B18086" s="15" t="s">
        <v>35601</v>
      </c>
      <c r="C18086" s="16">
        <f>50.02/(1+B2)</f>
        <v>50.02</v>
      </c>
      <c r="D18086" s="17" t="s">
        <v>11</v>
      </c>
      <c r="E18086" s="17"/>
      <c r="F18086" s="18"/>
      <c r="G18086" s="36" t="str">
        <f>IF(ISNUMBER(F18086),C18086*F18086,"")</f>
        <v/>
      </c>
    </row>
    <row r="18087" spans="1:7" ht="12" customHeight="1" outlineLevel="2" x14ac:dyDescent="0.2">
      <c r="A18087" s="14" t="s">
        <v>35602</v>
      </c>
      <c r="B18087" s="15" t="s">
        <v>35603</v>
      </c>
      <c r="C18087" s="16">
        <f>50.02/(1+B2)</f>
        <v>50.02</v>
      </c>
      <c r="D18087" s="17" t="s">
        <v>11</v>
      </c>
      <c r="E18087" s="17"/>
      <c r="F18087" s="18"/>
      <c r="G18087" s="36" t="str">
        <f>IF(ISNUMBER(F18087),C18087*F18087,"")</f>
        <v/>
      </c>
    </row>
    <row r="18088" spans="1:7" ht="12" customHeight="1" outlineLevel="2" x14ac:dyDescent="0.2">
      <c r="A18088" s="14" t="s">
        <v>35604</v>
      </c>
      <c r="B18088" s="15" t="s">
        <v>35605</v>
      </c>
      <c r="C18088" s="16">
        <f>90.61/(1+B2)</f>
        <v>90.61</v>
      </c>
      <c r="D18088" s="17" t="s">
        <v>11</v>
      </c>
      <c r="E18088" s="17"/>
      <c r="F18088" s="18"/>
      <c r="G18088" s="36" t="str">
        <f>IF(ISNUMBER(F18088),C18088*F18088,"")</f>
        <v/>
      </c>
    </row>
    <row r="18089" spans="1:7" ht="12" customHeight="1" outlineLevel="2" x14ac:dyDescent="0.2">
      <c r="A18089" s="14" t="s">
        <v>35606</v>
      </c>
      <c r="B18089" s="15" t="s">
        <v>35607</v>
      </c>
      <c r="C18089" s="16">
        <f>90.61/(1+B2)</f>
        <v>90.61</v>
      </c>
      <c r="D18089" s="17" t="s">
        <v>11</v>
      </c>
      <c r="E18089" s="17"/>
      <c r="F18089" s="18"/>
      <c r="G18089" s="36" t="str">
        <f>IF(ISNUMBER(F18089),C18089*F18089,"")</f>
        <v/>
      </c>
    </row>
    <row r="18090" spans="1:7" ht="12" customHeight="1" outlineLevel="2" x14ac:dyDescent="0.2">
      <c r="A18090" s="14" t="s">
        <v>35608</v>
      </c>
      <c r="B18090" s="15" t="s">
        <v>35609</v>
      </c>
      <c r="C18090" s="16">
        <f>90.61/(1+B2)</f>
        <v>90.61</v>
      </c>
      <c r="D18090" s="17" t="s">
        <v>11</v>
      </c>
      <c r="E18090" s="17"/>
      <c r="F18090" s="18"/>
      <c r="G18090" s="36" t="str">
        <f>IF(ISNUMBER(F18090),C18090*F18090,"")</f>
        <v/>
      </c>
    </row>
    <row r="18091" spans="1:7" ht="12" customHeight="1" outlineLevel="2" x14ac:dyDescent="0.2">
      <c r="A18091" s="14" t="s">
        <v>35610</v>
      </c>
      <c r="B18091" s="15" t="s">
        <v>35611</v>
      </c>
      <c r="C18091" s="16">
        <f>164.1/(1+B2)</f>
        <v>164.1</v>
      </c>
      <c r="D18091" s="17" t="s">
        <v>11</v>
      </c>
      <c r="E18091" s="17" t="s">
        <v>11</v>
      </c>
      <c r="F18091" s="18"/>
      <c r="G18091" s="36" t="str">
        <f>IF(ISNUMBER(F18091),C18091*F18091,"")</f>
        <v/>
      </c>
    </row>
    <row r="18092" spans="1:7" ht="12" customHeight="1" outlineLevel="2" x14ac:dyDescent="0.2">
      <c r="A18092" s="14" t="s">
        <v>35612</v>
      </c>
      <c r="B18092" s="15" t="s">
        <v>35613</v>
      </c>
      <c r="C18092" s="16">
        <f>164.1/(1+B2)</f>
        <v>164.1</v>
      </c>
      <c r="D18092" s="17" t="s">
        <v>11</v>
      </c>
      <c r="E18092" s="17"/>
      <c r="F18092" s="18"/>
      <c r="G18092" s="36" t="str">
        <f>IF(ISNUMBER(F18092),C18092*F18092,"")</f>
        <v/>
      </c>
    </row>
    <row r="18093" spans="1:7" ht="12" customHeight="1" outlineLevel="2" x14ac:dyDescent="0.2">
      <c r="A18093" s="14" t="s">
        <v>35614</v>
      </c>
      <c r="B18093" s="15" t="s">
        <v>35615</v>
      </c>
      <c r="C18093" s="16">
        <f>174.3/(1+B2)</f>
        <v>174.3</v>
      </c>
      <c r="D18093" s="17" t="s">
        <v>14</v>
      </c>
      <c r="E18093" s="17" t="s">
        <v>11</v>
      </c>
      <c r="F18093" s="18"/>
      <c r="G18093" s="36" t="str">
        <f>IF(ISNUMBER(F18093),C18093*F18093,"")</f>
        <v/>
      </c>
    </row>
    <row r="18094" spans="1:7" ht="12" customHeight="1" outlineLevel="2" x14ac:dyDescent="0.2">
      <c r="A18094" s="14" t="s">
        <v>35616</v>
      </c>
      <c r="B18094" s="15" t="s">
        <v>35617</v>
      </c>
      <c r="C18094" s="16">
        <f>174.3/(1+B2)</f>
        <v>174.3</v>
      </c>
      <c r="D18094" s="17" t="s">
        <v>11</v>
      </c>
      <c r="E18094" s="17"/>
      <c r="F18094" s="18"/>
      <c r="G18094" s="36" t="str">
        <f>IF(ISNUMBER(F18094),C18094*F18094,"")</f>
        <v/>
      </c>
    </row>
    <row r="18095" spans="1:7" ht="12" customHeight="1" outlineLevel="2" x14ac:dyDescent="0.2">
      <c r="A18095" s="14" t="s">
        <v>35618</v>
      </c>
      <c r="B18095" s="15" t="s">
        <v>35619</v>
      </c>
      <c r="C18095" s="16">
        <f>187.32/(1+B2)</f>
        <v>187.32</v>
      </c>
      <c r="D18095" s="17" t="s">
        <v>11</v>
      </c>
      <c r="E18095" s="17" t="s">
        <v>11</v>
      </c>
      <c r="F18095" s="18"/>
      <c r="G18095" s="36" t="str">
        <f>IF(ISNUMBER(F18095),C18095*F18095,"")</f>
        <v/>
      </c>
    </row>
    <row r="18096" spans="1:7" ht="12" customHeight="1" outlineLevel="2" x14ac:dyDescent="0.2">
      <c r="A18096" s="14" t="s">
        <v>35620</v>
      </c>
      <c r="B18096" s="15" t="s">
        <v>35621</v>
      </c>
      <c r="C18096" s="16">
        <f>187.32/(1+B2)</f>
        <v>187.32</v>
      </c>
      <c r="D18096" s="17" t="s">
        <v>11</v>
      </c>
      <c r="E18096" s="17"/>
      <c r="F18096" s="18"/>
      <c r="G18096" s="36" t="str">
        <f>IF(ISNUMBER(F18096),C18096*F18096,"")</f>
        <v/>
      </c>
    </row>
    <row r="18097" spans="1:7" ht="12" customHeight="1" outlineLevel="2" x14ac:dyDescent="0.2">
      <c r="A18097" s="14" t="s">
        <v>35622</v>
      </c>
      <c r="B18097" s="15" t="s">
        <v>35623</v>
      </c>
      <c r="C18097" s="16">
        <f>202.87/(1+B2)</f>
        <v>202.87</v>
      </c>
      <c r="D18097" s="17" t="s">
        <v>11</v>
      </c>
      <c r="E18097" s="17"/>
      <c r="F18097" s="18"/>
      <c r="G18097" s="36" t="str">
        <f>IF(ISNUMBER(F18097),C18097*F18097,"")</f>
        <v/>
      </c>
    </row>
    <row r="18098" spans="1:7" ht="24" customHeight="1" outlineLevel="2" x14ac:dyDescent="0.2">
      <c r="A18098" s="14" t="s">
        <v>35624</v>
      </c>
      <c r="B18098" s="15" t="s">
        <v>35625</v>
      </c>
      <c r="C18098" s="16">
        <f>82.26/(1+B2)</f>
        <v>82.26</v>
      </c>
      <c r="D18098" s="17" t="s">
        <v>11</v>
      </c>
      <c r="E18098" s="17" t="s">
        <v>11</v>
      </c>
      <c r="F18098" s="18"/>
      <c r="G18098" s="36" t="str">
        <f>IF(ISNUMBER(F18098),C18098*F18098,"")</f>
        <v/>
      </c>
    </row>
    <row r="18099" spans="1:7" ht="12" customHeight="1" outlineLevel="2" x14ac:dyDescent="0.2">
      <c r="A18099" s="14" t="s">
        <v>35626</v>
      </c>
      <c r="B18099" s="15" t="s">
        <v>35627</v>
      </c>
      <c r="C18099" s="16">
        <f>210.54/(1+B2)</f>
        <v>210.54</v>
      </c>
      <c r="D18099" s="17" t="s">
        <v>11</v>
      </c>
      <c r="E18099" s="17" t="s">
        <v>11</v>
      </c>
      <c r="F18099" s="18"/>
      <c r="G18099" s="36" t="str">
        <f>IF(ISNUMBER(F18099),C18099*F18099,"")</f>
        <v/>
      </c>
    </row>
    <row r="18100" spans="1:7" ht="12" customHeight="1" outlineLevel="2" x14ac:dyDescent="0.2">
      <c r="A18100" s="14" t="s">
        <v>35628</v>
      </c>
      <c r="B18100" s="15" t="s">
        <v>35629</v>
      </c>
      <c r="C18100" s="16">
        <f>89.54/(1+B2)</f>
        <v>89.54</v>
      </c>
      <c r="D18100" s="17" t="s">
        <v>14</v>
      </c>
      <c r="E18100" s="17"/>
      <c r="F18100" s="18"/>
      <c r="G18100" s="36" t="str">
        <f>IF(ISNUMBER(F18100),C18100*F18100,"")</f>
        <v/>
      </c>
    </row>
    <row r="18101" spans="1:7" ht="12" customHeight="1" outlineLevel="2" x14ac:dyDescent="0.2">
      <c r="A18101" s="14" t="s">
        <v>35630</v>
      </c>
      <c r="B18101" s="15" t="s">
        <v>35631</v>
      </c>
      <c r="C18101" s="16">
        <f>74.78/(1+B2)</f>
        <v>74.78</v>
      </c>
      <c r="D18101" s="17" t="s">
        <v>11</v>
      </c>
      <c r="E18101" s="17" t="s">
        <v>14</v>
      </c>
      <c r="F18101" s="18"/>
      <c r="G18101" s="36" t="str">
        <f>IF(ISNUMBER(F18101),C18101*F18101,"")</f>
        <v/>
      </c>
    </row>
    <row r="18102" spans="1:7" ht="12" customHeight="1" outlineLevel="2" x14ac:dyDescent="0.2">
      <c r="A18102" s="14" t="s">
        <v>35632</v>
      </c>
      <c r="B18102" s="15" t="s">
        <v>35633</v>
      </c>
      <c r="C18102" s="16">
        <f>175.68/(1+B2)</f>
        <v>175.68</v>
      </c>
      <c r="D18102" s="17" t="s">
        <v>14</v>
      </c>
      <c r="E18102" s="17"/>
      <c r="F18102" s="18"/>
      <c r="G18102" s="36" t="str">
        <f>IF(ISNUMBER(F18102),C18102*F18102,"")</f>
        <v/>
      </c>
    </row>
    <row r="18103" spans="1:7" ht="12" customHeight="1" outlineLevel="2" x14ac:dyDescent="0.2">
      <c r="A18103" s="14" t="s">
        <v>35634</v>
      </c>
      <c r="B18103" s="15" t="s">
        <v>35635</v>
      </c>
      <c r="C18103" s="16">
        <f>126.6/(1+B2)</f>
        <v>126.6</v>
      </c>
      <c r="D18103" s="17" t="s">
        <v>11</v>
      </c>
      <c r="E18103" s="17" t="s">
        <v>14</v>
      </c>
      <c r="F18103" s="18"/>
      <c r="G18103" s="36" t="str">
        <f>IF(ISNUMBER(F18103),C18103*F18103,"")</f>
        <v/>
      </c>
    </row>
    <row r="18104" spans="1:7" ht="12" customHeight="1" outlineLevel="2" x14ac:dyDescent="0.2">
      <c r="A18104" s="14" t="s">
        <v>35636</v>
      </c>
      <c r="B18104" s="15" t="s">
        <v>35637</v>
      </c>
      <c r="C18104" s="16">
        <f>90.3/(1+B2)</f>
        <v>90.3</v>
      </c>
      <c r="D18104" s="17" t="s">
        <v>14</v>
      </c>
      <c r="E18104" s="17"/>
      <c r="F18104" s="18"/>
      <c r="G18104" s="36" t="str">
        <f>IF(ISNUMBER(F18104),C18104*F18104,"")</f>
        <v/>
      </c>
    </row>
    <row r="18105" spans="1:7" s="1" customFormat="1" ht="15.95" customHeight="1" outlineLevel="1" x14ac:dyDescent="0.25">
      <c r="A18105" s="11"/>
      <c r="B18105" s="12" t="s">
        <v>35638</v>
      </c>
      <c r="C18105" s="13"/>
      <c r="D18105" s="13"/>
      <c r="E18105" s="13"/>
      <c r="F18105" s="13"/>
      <c r="G18105" s="35"/>
    </row>
    <row r="18106" spans="1:7" ht="12" customHeight="1" outlineLevel="2" x14ac:dyDescent="0.2">
      <c r="A18106" s="14" t="s">
        <v>35639</v>
      </c>
      <c r="B18106" s="15" t="s">
        <v>35640</v>
      </c>
      <c r="C18106" s="16">
        <f>25.5/(1+B2)</f>
        <v>25.5</v>
      </c>
      <c r="D18106" s="17" t="s">
        <v>14</v>
      </c>
      <c r="E18106" s="17" t="s">
        <v>14</v>
      </c>
      <c r="F18106" s="18"/>
      <c r="G18106" s="36" t="str">
        <f>IF(ISNUMBER(F18106),C18106*F18106,"")</f>
        <v/>
      </c>
    </row>
    <row r="18107" spans="1:7" ht="12" customHeight="1" outlineLevel="2" x14ac:dyDescent="0.2">
      <c r="A18107" s="14" t="s">
        <v>35641</v>
      </c>
      <c r="B18107" s="15" t="s">
        <v>35642</v>
      </c>
      <c r="C18107" s="16">
        <f>32.34/(1+B2)</f>
        <v>32.340000000000003</v>
      </c>
      <c r="D18107" s="17" t="s">
        <v>14</v>
      </c>
      <c r="E18107" s="17" t="s">
        <v>11</v>
      </c>
      <c r="F18107" s="18"/>
      <c r="G18107" s="36" t="str">
        <f>IF(ISNUMBER(F18107),C18107*F18107,"")</f>
        <v/>
      </c>
    </row>
    <row r="18108" spans="1:7" ht="12" customHeight="1" outlineLevel="2" x14ac:dyDescent="0.2">
      <c r="A18108" s="14" t="s">
        <v>35643</v>
      </c>
      <c r="B18108" s="15" t="s">
        <v>35644</v>
      </c>
      <c r="C18108" s="16">
        <f>41.94/(1+B2)</f>
        <v>41.94</v>
      </c>
      <c r="D18108" s="17" t="s">
        <v>14</v>
      </c>
      <c r="E18108" s="17" t="s">
        <v>53</v>
      </c>
      <c r="F18108" s="18"/>
      <c r="G18108" s="36" t="str">
        <f>IF(ISNUMBER(F18108),C18108*F18108,"")</f>
        <v/>
      </c>
    </row>
    <row r="18109" spans="1:7" ht="12" customHeight="1" outlineLevel="2" x14ac:dyDescent="0.2">
      <c r="A18109" s="14" t="s">
        <v>35645</v>
      </c>
      <c r="B18109" s="15" t="s">
        <v>35646</v>
      </c>
      <c r="C18109" s="16">
        <f>24.4/(1+B2)</f>
        <v>24.4</v>
      </c>
      <c r="D18109" s="17" t="s">
        <v>11</v>
      </c>
      <c r="E18109" s="17" t="s">
        <v>53</v>
      </c>
      <c r="F18109" s="18"/>
      <c r="G18109" s="36" t="str">
        <f>IF(ISNUMBER(F18109),C18109*F18109,"")</f>
        <v/>
      </c>
    </row>
    <row r="18110" spans="1:7" ht="12" customHeight="1" outlineLevel="2" x14ac:dyDescent="0.2">
      <c r="A18110" s="14" t="s">
        <v>35647</v>
      </c>
      <c r="B18110" s="15" t="s">
        <v>35648</v>
      </c>
      <c r="C18110" s="16">
        <f>78.75/(1+B2)</f>
        <v>78.75</v>
      </c>
      <c r="D18110" s="17" t="s">
        <v>14</v>
      </c>
      <c r="E18110" s="17"/>
      <c r="F18110" s="18"/>
      <c r="G18110" s="36" t="str">
        <f>IF(ISNUMBER(F18110),C18110*F18110,"")</f>
        <v/>
      </c>
    </row>
    <row r="18111" spans="1:7" ht="12" customHeight="1" outlineLevel="2" x14ac:dyDescent="0.2">
      <c r="A18111" s="14" t="s">
        <v>35649</v>
      </c>
      <c r="B18111" s="15" t="s">
        <v>35650</v>
      </c>
      <c r="C18111" s="16">
        <f>42.51/(1+B2)</f>
        <v>42.51</v>
      </c>
      <c r="D18111" s="17" t="s">
        <v>11</v>
      </c>
      <c r="E18111" s="17"/>
      <c r="F18111" s="18"/>
      <c r="G18111" s="36" t="str">
        <f>IF(ISNUMBER(F18111),C18111*F18111,"")</f>
        <v/>
      </c>
    </row>
    <row r="18112" spans="1:7" ht="12" customHeight="1" outlineLevel="2" x14ac:dyDescent="0.2">
      <c r="A18112" s="14" t="s">
        <v>35651</v>
      </c>
      <c r="B18112" s="15" t="s">
        <v>35652</v>
      </c>
      <c r="C18112" s="16">
        <f>29.01/(1+B2)</f>
        <v>29.01</v>
      </c>
      <c r="D18112" s="17" t="s">
        <v>14</v>
      </c>
      <c r="E18112" s="17" t="s">
        <v>53</v>
      </c>
      <c r="F18112" s="18"/>
      <c r="G18112" s="36" t="str">
        <f>IF(ISNUMBER(F18112),C18112*F18112,"")</f>
        <v/>
      </c>
    </row>
    <row r="18113" spans="1:7" ht="12" customHeight="1" outlineLevel="2" x14ac:dyDescent="0.2">
      <c r="A18113" s="14" t="s">
        <v>35653</v>
      </c>
      <c r="B18113" s="15" t="s">
        <v>35654</v>
      </c>
      <c r="C18113" s="16">
        <f>46.35/(1+B2)</f>
        <v>46.35</v>
      </c>
      <c r="D18113" s="17" t="s">
        <v>14</v>
      </c>
      <c r="E18113" s="17" t="s">
        <v>53</v>
      </c>
      <c r="F18113" s="18"/>
      <c r="G18113" s="36" t="str">
        <f>IF(ISNUMBER(F18113),C18113*F18113,"")</f>
        <v/>
      </c>
    </row>
    <row r="18114" spans="1:7" ht="12" customHeight="1" outlineLevel="2" x14ac:dyDescent="0.2">
      <c r="A18114" s="14" t="s">
        <v>35655</v>
      </c>
      <c r="B18114" s="15" t="s">
        <v>35656</v>
      </c>
      <c r="C18114" s="16">
        <f>52.5/(1+B2)</f>
        <v>52.5</v>
      </c>
      <c r="D18114" s="17" t="s">
        <v>11</v>
      </c>
      <c r="E18114" s="17" t="s">
        <v>14</v>
      </c>
      <c r="F18114" s="18"/>
      <c r="G18114" s="36" t="str">
        <f>IF(ISNUMBER(F18114),C18114*F18114,"")</f>
        <v/>
      </c>
    </row>
    <row r="18115" spans="1:7" ht="12" customHeight="1" outlineLevel="2" x14ac:dyDescent="0.2">
      <c r="A18115" s="14" t="s">
        <v>35657</v>
      </c>
      <c r="B18115" s="15" t="s">
        <v>35658</v>
      </c>
      <c r="C18115" s="16">
        <f>62.4/(1+B2)</f>
        <v>62.4</v>
      </c>
      <c r="D18115" s="17" t="s">
        <v>14</v>
      </c>
      <c r="E18115" s="17"/>
      <c r="F18115" s="18"/>
      <c r="G18115" s="36" t="str">
        <f>IF(ISNUMBER(F18115),C18115*F18115,"")</f>
        <v/>
      </c>
    </row>
    <row r="18116" spans="1:7" ht="12" customHeight="1" outlineLevel="2" x14ac:dyDescent="0.2">
      <c r="A18116" s="14" t="s">
        <v>35659</v>
      </c>
      <c r="B18116" s="15" t="s">
        <v>35660</v>
      </c>
      <c r="C18116" s="16">
        <f>62.4/(1+B2)</f>
        <v>62.4</v>
      </c>
      <c r="D18116" s="17" t="s">
        <v>14</v>
      </c>
      <c r="E18116" s="17"/>
      <c r="F18116" s="18"/>
      <c r="G18116" s="36" t="str">
        <f>IF(ISNUMBER(F18116),C18116*F18116,"")</f>
        <v/>
      </c>
    </row>
    <row r="18117" spans="1:7" ht="12" customHeight="1" outlineLevel="2" x14ac:dyDescent="0.2">
      <c r="A18117" s="14" t="s">
        <v>35661</v>
      </c>
      <c r="B18117" s="15" t="s">
        <v>35662</v>
      </c>
      <c r="C18117" s="16">
        <f>62.4/(1+B2)</f>
        <v>62.4</v>
      </c>
      <c r="D18117" s="17" t="s">
        <v>11</v>
      </c>
      <c r="E18117" s="17"/>
      <c r="F18117" s="18"/>
      <c r="G18117" s="36" t="str">
        <f>IF(ISNUMBER(F18117),C18117*F18117,"")</f>
        <v/>
      </c>
    </row>
    <row r="18118" spans="1:7" ht="12" customHeight="1" outlineLevel="2" x14ac:dyDescent="0.2">
      <c r="A18118" s="14" t="s">
        <v>35663</v>
      </c>
      <c r="B18118" s="15" t="s">
        <v>35664</v>
      </c>
      <c r="C18118" s="16">
        <f>22.76/(1+B2)</f>
        <v>22.76</v>
      </c>
      <c r="D18118" s="17" t="s">
        <v>14</v>
      </c>
      <c r="E18118" s="17" t="s">
        <v>11</v>
      </c>
      <c r="F18118" s="18"/>
      <c r="G18118" s="36" t="str">
        <f>IF(ISNUMBER(F18118),C18118*F18118,"")</f>
        <v/>
      </c>
    </row>
    <row r="18119" spans="1:7" ht="12" customHeight="1" outlineLevel="2" x14ac:dyDescent="0.2">
      <c r="A18119" s="14" t="s">
        <v>35665</v>
      </c>
      <c r="B18119" s="15" t="s">
        <v>35666</v>
      </c>
      <c r="C18119" s="16">
        <f>48.3/(1+B2)</f>
        <v>48.3</v>
      </c>
      <c r="D18119" s="17" t="s">
        <v>11</v>
      </c>
      <c r="E18119" s="17"/>
      <c r="F18119" s="18"/>
      <c r="G18119" s="36" t="str">
        <f>IF(ISNUMBER(F18119),C18119*F18119,"")</f>
        <v/>
      </c>
    </row>
    <row r="18120" spans="1:7" ht="12" customHeight="1" outlineLevel="2" x14ac:dyDescent="0.2">
      <c r="A18120" s="14" t="s">
        <v>35667</v>
      </c>
      <c r="B18120" s="15" t="s">
        <v>35668</v>
      </c>
      <c r="C18120" s="16">
        <f>80.88/(1+B2)</f>
        <v>80.88</v>
      </c>
      <c r="D18120" s="17" t="s">
        <v>11</v>
      </c>
      <c r="E18120" s="17" t="s">
        <v>14</v>
      </c>
      <c r="F18120" s="18"/>
      <c r="G18120" s="36" t="str">
        <f>IF(ISNUMBER(F18120),C18120*F18120,"")</f>
        <v/>
      </c>
    </row>
    <row r="18121" spans="1:7" ht="12" customHeight="1" outlineLevel="2" x14ac:dyDescent="0.2">
      <c r="A18121" s="14" t="s">
        <v>35669</v>
      </c>
      <c r="B18121" s="15" t="s">
        <v>35670</v>
      </c>
      <c r="C18121" s="16">
        <f>101.11/(1+B2)</f>
        <v>101.11</v>
      </c>
      <c r="D18121" s="17" t="s">
        <v>14</v>
      </c>
      <c r="E18121" s="17"/>
      <c r="F18121" s="18"/>
      <c r="G18121" s="36" t="str">
        <f>IF(ISNUMBER(F18121),C18121*F18121,"")</f>
        <v/>
      </c>
    </row>
    <row r="18122" spans="1:7" ht="12" customHeight="1" outlineLevel="2" x14ac:dyDescent="0.2">
      <c r="A18122" s="14" t="s">
        <v>35671</v>
      </c>
      <c r="B18122" s="15" t="s">
        <v>35672</v>
      </c>
      <c r="C18122" s="16">
        <f>106.58/(1+B2)</f>
        <v>106.58</v>
      </c>
      <c r="D18122" s="17" t="s">
        <v>11</v>
      </c>
      <c r="E18122" s="17"/>
      <c r="F18122" s="18"/>
      <c r="G18122" s="36" t="str">
        <f>IF(ISNUMBER(F18122),C18122*F18122,"")</f>
        <v/>
      </c>
    </row>
    <row r="18123" spans="1:7" ht="12" customHeight="1" outlineLevel="2" x14ac:dyDescent="0.2">
      <c r="A18123" s="14" t="s">
        <v>35673</v>
      </c>
      <c r="B18123" s="15" t="s">
        <v>35674</v>
      </c>
      <c r="C18123" s="16">
        <f>49.03/(1+B2)</f>
        <v>49.03</v>
      </c>
      <c r="D18123" s="17" t="s">
        <v>11</v>
      </c>
      <c r="E18123" s="17" t="s">
        <v>14</v>
      </c>
      <c r="F18123" s="18"/>
      <c r="G18123" s="36" t="str">
        <f>IF(ISNUMBER(F18123),C18123*F18123,"")</f>
        <v/>
      </c>
    </row>
    <row r="18124" spans="1:7" ht="12" customHeight="1" outlineLevel="2" x14ac:dyDescent="0.2">
      <c r="A18124" s="14" t="s">
        <v>35675</v>
      </c>
      <c r="B18124" s="15" t="s">
        <v>35676</v>
      </c>
      <c r="C18124" s="16">
        <f>100.49/(1+B2)</f>
        <v>100.49</v>
      </c>
      <c r="D18124" s="17" t="s">
        <v>14</v>
      </c>
      <c r="E18124" s="17" t="s">
        <v>53</v>
      </c>
      <c r="F18124" s="18"/>
      <c r="G18124" s="36" t="str">
        <f>IF(ISNUMBER(F18124),C18124*F18124,"")</f>
        <v/>
      </c>
    </row>
    <row r="18125" spans="1:7" ht="12" customHeight="1" outlineLevel="2" x14ac:dyDescent="0.2">
      <c r="A18125" s="14" t="s">
        <v>35677</v>
      </c>
      <c r="B18125" s="15" t="s">
        <v>35678</v>
      </c>
      <c r="C18125" s="16">
        <f>122.94/(1+B2)</f>
        <v>122.94</v>
      </c>
      <c r="D18125" s="17" t="s">
        <v>14</v>
      </c>
      <c r="E18125" s="17" t="s">
        <v>53</v>
      </c>
      <c r="F18125" s="18"/>
      <c r="G18125" s="36" t="str">
        <f>IF(ISNUMBER(F18125),C18125*F18125,"")</f>
        <v/>
      </c>
    </row>
    <row r="18126" spans="1:7" ht="12" customHeight="1" outlineLevel="2" x14ac:dyDescent="0.2">
      <c r="A18126" s="14" t="s">
        <v>35679</v>
      </c>
      <c r="B18126" s="15" t="s">
        <v>35680</v>
      </c>
      <c r="C18126" s="16">
        <f>58.73/(1+B2)</f>
        <v>58.73</v>
      </c>
      <c r="D18126" s="17" t="s">
        <v>53</v>
      </c>
      <c r="E18126" s="17" t="s">
        <v>14</v>
      </c>
      <c r="F18126" s="18"/>
      <c r="G18126" s="36" t="str">
        <f>IF(ISNUMBER(F18126),C18126*F18126,"")</f>
        <v/>
      </c>
    </row>
    <row r="18127" spans="1:7" ht="12" customHeight="1" outlineLevel="2" x14ac:dyDescent="0.2">
      <c r="A18127" s="14" t="s">
        <v>35681</v>
      </c>
      <c r="B18127" s="15" t="s">
        <v>35682</v>
      </c>
      <c r="C18127" s="16">
        <f>58.73/(1+B2)</f>
        <v>58.73</v>
      </c>
      <c r="D18127" s="17" t="s">
        <v>53</v>
      </c>
      <c r="E18127" s="17"/>
      <c r="F18127" s="18"/>
      <c r="G18127" s="36" t="str">
        <f>IF(ISNUMBER(F18127),C18127*F18127,"")</f>
        <v/>
      </c>
    </row>
    <row r="18128" spans="1:7" ht="12" customHeight="1" outlineLevel="2" x14ac:dyDescent="0.2">
      <c r="A18128" s="14" t="s">
        <v>35683</v>
      </c>
      <c r="B18128" s="15" t="s">
        <v>35684</v>
      </c>
      <c r="C18128" s="16">
        <f>318.33/(1+B2)</f>
        <v>318.33</v>
      </c>
      <c r="D18128" s="17" t="s">
        <v>11</v>
      </c>
      <c r="E18128" s="17"/>
      <c r="F18128" s="18"/>
      <c r="G18128" s="36" t="str">
        <f>IF(ISNUMBER(F18128),C18128*F18128,"")</f>
        <v/>
      </c>
    </row>
    <row r="18129" spans="1:7" ht="12" customHeight="1" outlineLevel="2" x14ac:dyDescent="0.2">
      <c r="A18129" s="14" t="s">
        <v>35685</v>
      </c>
      <c r="B18129" s="15" t="s">
        <v>35686</v>
      </c>
      <c r="C18129" s="16">
        <f>86.87/(1+B2)</f>
        <v>86.87</v>
      </c>
      <c r="D18129" s="17" t="s">
        <v>11</v>
      </c>
      <c r="E18129" s="17" t="s">
        <v>11</v>
      </c>
      <c r="F18129" s="18"/>
      <c r="G18129" s="36" t="str">
        <f>IF(ISNUMBER(F18129),C18129*F18129,"")</f>
        <v/>
      </c>
    </row>
    <row r="18130" spans="1:7" ht="12" customHeight="1" outlineLevel="2" x14ac:dyDescent="0.2">
      <c r="A18130" s="14" t="s">
        <v>35687</v>
      </c>
      <c r="B18130" s="15" t="s">
        <v>35688</v>
      </c>
      <c r="C18130" s="16">
        <f>28.68/(1+B2)</f>
        <v>28.68</v>
      </c>
      <c r="D18130" s="17" t="s">
        <v>53</v>
      </c>
      <c r="E18130" s="17"/>
      <c r="F18130" s="18"/>
      <c r="G18130" s="36" t="str">
        <f>IF(ISNUMBER(F18130),C18130*F18130,"")</f>
        <v/>
      </c>
    </row>
    <row r="18131" spans="1:7" ht="12" customHeight="1" outlineLevel="2" x14ac:dyDescent="0.2">
      <c r="A18131" s="14" t="s">
        <v>35689</v>
      </c>
      <c r="B18131" s="15" t="s">
        <v>35690</v>
      </c>
      <c r="C18131" s="16">
        <f>27.46/(1+B2)</f>
        <v>27.46</v>
      </c>
      <c r="D18131" s="17" t="s">
        <v>53</v>
      </c>
      <c r="E18131" s="17"/>
      <c r="F18131" s="18"/>
      <c r="G18131" s="36" t="str">
        <f>IF(ISNUMBER(F18131),C18131*F18131,"")</f>
        <v/>
      </c>
    </row>
    <row r="18132" spans="1:7" ht="12" customHeight="1" outlineLevel="2" x14ac:dyDescent="0.2">
      <c r="A18132" s="14" t="s">
        <v>35691</v>
      </c>
      <c r="B18132" s="15" t="s">
        <v>35692</v>
      </c>
      <c r="C18132" s="16">
        <f>43.51/(1+B2)</f>
        <v>43.51</v>
      </c>
      <c r="D18132" s="17" t="s">
        <v>11</v>
      </c>
      <c r="E18132" s="17"/>
      <c r="F18132" s="18"/>
      <c r="G18132" s="36" t="str">
        <f>IF(ISNUMBER(F18132),C18132*F18132,"")</f>
        <v/>
      </c>
    </row>
    <row r="18133" spans="1:7" ht="12" customHeight="1" outlineLevel="2" x14ac:dyDescent="0.2">
      <c r="A18133" s="14" t="s">
        <v>35693</v>
      </c>
      <c r="B18133" s="15" t="s">
        <v>35694</v>
      </c>
      <c r="C18133" s="16">
        <f>62.13/(1+B2)</f>
        <v>62.13</v>
      </c>
      <c r="D18133" s="17" t="s">
        <v>53</v>
      </c>
      <c r="E18133" s="17" t="s">
        <v>53</v>
      </c>
      <c r="F18133" s="18"/>
      <c r="G18133" s="36" t="str">
        <f>IF(ISNUMBER(F18133),C18133*F18133,"")</f>
        <v/>
      </c>
    </row>
    <row r="18134" spans="1:7" ht="12" customHeight="1" outlineLevel="2" x14ac:dyDescent="0.2">
      <c r="A18134" s="14" t="s">
        <v>35695</v>
      </c>
      <c r="B18134" s="15" t="s">
        <v>35696</v>
      </c>
      <c r="C18134" s="16">
        <f>58.74/(1+B2)</f>
        <v>58.74</v>
      </c>
      <c r="D18134" s="17" t="s">
        <v>53</v>
      </c>
      <c r="E18134" s="17"/>
      <c r="F18134" s="18"/>
      <c r="G18134" s="36" t="str">
        <f>IF(ISNUMBER(F18134),C18134*F18134,"")</f>
        <v/>
      </c>
    </row>
    <row r="18135" spans="1:7" ht="12" customHeight="1" outlineLevel="2" x14ac:dyDescent="0.2">
      <c r="A18135" s="14" t="s">
        <v>35697</v>
      </c>
      <c r="B18135" s="15" t="s">
        <v>35698</v>
      </c>
      <c r="C18135" s="16">
        <f>57.03/(1+B2)</f>
        <v>57.03</v>
      </c>
      <c r="D18135" s="17" t="s">
        <v>11</v>
      </c>
      <c r="E18135" s="17"/>
      <c r="F18135" s="18"/>
      <c r="G18135" s="36" t="str">
        <f>IF(ISNUMBER(F18135),C18135*F18135,"")</f>
        <v/>
      </c>
    </row>
    <row r="18136" spans="1:7" ht="12" customHeight="1" outlineLevel="2" x14ac:dyDescent="0.2">
      <c r="A18136" s="14" t="s">
        <v>35699</v>
      </c>
      <c r="B18136" s="15" t="s">
        <v>35700</v>
      </c>
      <c r="C18136" s="16">
        <f>57.84/(1+B2)</f>
        <v>57.84</v>
      </c>
      <c r="D18136" s="17" t="s">
        <v>11</v>
      </c>
      <c r="E18136" s="17"/>
      <c r="F18136" s="18"/>
      <c r="G18136" s="36" t="str">
        <f>IF(ISNUMBER(F18136),C18136*F18136,"")</f>
        <v/>
      </c>
    </row>
    <row r="18137" spans="1:7" ht="12" customHeight="1" outlineLevel="2" x14ac:dyDescent="0.2">
      <c r="A18137" s="14" t="s">
        <v>35701</v>
      </c>
      <c r="B18137" s="15" t="s">
        <v>35702</v>
      </c>
      <c r="C18137" s="16">
        <f>69.84/(1+B2)</f>
        <v>69.84</v>
      </c>
      <c r="D18137" s="17" t="s">
        <v>53</v>
      </c>
      <c r="E18137" s="17" t="s">
        <v>11</v>
      </c>
      <c r="F18137" s="18"/>
      <c r="G18137" s="36" t="str">
        <f>IF(ISNUMBER(F18137),C18137*F18137,"")</f>
        <v/>
      </c>
    </row>
    <row r="18138" spans="1:7" ht="12" customHeight="1" outlineLevel="2" x14ac:dyDescent="0.2">
      <c r="A18138" s="14" t="s">
        <v>35703</v>
      </c>
      <c r="B18138" s="15" t="s">
        <v>35704</v>
      </c>
      <c r="C18138" s="16">
        <f>113.58/(1+B2)</f>
        <v>113.58</v>
      </c>
      <c r="D18138" s="17" t="s">
        <v>53</v>
      </c>
      <c r="E18138" s="17"/>
      <c r="F18138" s="18"/>
      <c r="G18138" s="36" t="str">
        <f>IF(ISNUMBER(F18138),C18138*F18138,"")</f>
        <v/>
      </c>
    </row>
    <row r="18139" spans="1:7" ht="12" customHeight="1" outlineLevel="2" x14ac:dyDescent="0.2">
      <c r="A18139" s="14" t="s">
        <v>35705</v>
      </c>
      <c r="B18139" s="15" t="s">
        <v>35706</v>
      </c>
      <c r="C18139" s="16">
        <f>105.25/(1+B2)</f>
        <v>105.25</v>
      </c>
      <c r="D18139" s="17" t="s">
        <v>14</v>
      </c>
      <c r="E18139" s="17"/>
      <c r="F18139" s="18"/>
      <c r="G18139" s="36" t="str">
        <f>IF(ISNUMBER(F18139),C18139*F18139,"")</f>
        <v/>
      </c>
    </row>
    <row r="18140" spans="1:7" ht="12" customHeight="1" outlineLevel="2" x14ac:dyDescent="0.2">
      <c r="A18140" s="14" t="s">
        <v>35707</v>
      </c>
      <c r="B18140" s="15" t="s">
        <v>35708</v>
      </c>
      <c r="C18140" s="16">
        <f>116.95/(1+B2)</f>
        <v>116.95</v>
      </c>
      <c r="D18140" s="17" t="s">
        <v>11</v>
      </c>
      <c r="E18140" s="17"/>
      <c r="F18140" s="18"/>
      <c r="G18140" s="36" t="str">
        <f>IF(ISNUMBER(F18140),C18140*F18140,"")</f>
        <v/>
      </c>
    </row>
    <row r="18141" spans="1:7" ht="12" customHeight="1" outlineLevel="2" x14ac:dyDescent="0.2">
      <c r="A18141" s="14" t="s">
        <v>35709</v>
      </c>
      <c r="B18141" s="15" t="s">
        <v>35710</v>
      </c>
      <c r="C18141" s="16">
        <f>116.95/(1+B2)</f>
        <v>116.95</v>
      </c>
      <c r="D18141" s="17" t="s">
        <v>11</v>
      </c>
      <c r="E18141" s="17"/>
      <c r="F18141" s="18"/>
      <c r="G18141" s="36" t="str">
        <f>IF(ISNUMBER(F18141),C18141*F18141,"")</f>
        <v/>
      </c>
    </row>
    <row r="18142" spans="1:7" ht="12" customHeight="1" outlineLevel="2" x14ac:dyDescent="0.2">
      <c r="A18142" s="14" t="s">
        <v>35711</v>
      </c>
      <c r="B18142" s="15" t="s">
        <v>35712</v>
      </c>
      <c r="C18142" s="16">
        <f>141.18/(1+B2)</f>
        <v>141.18</v>
      </c>
      <c r="D18142" s="17" t="s">
        <v>14</v>
      </c>
      <c r="E18142" s="17" t="s">
        <v>11</v>
      </c>
      <c r="F18142" s="18"/>
      <c r="G18142" s="36" t="str">
        <f>IF(ISNUMBER(F18142),C18142*F18142,"")</f>
        <v/>
      </c>
    </row>
    <row r="18143" spans="1:7" ht="12" customHeight="1" outlineLevel="2" x14ac:dyDescent="0.2">
      <c r="A18143" s="14" t="s">
        <v>35713</v>
      </c>
      <c r="B18143" s="15" t="s">
        <v>35714</v>
      </c>
      <c r="C18143" s="16">
        <f>41.7/(1+B2)</f>
        <v>41.7</v>
      </c>
      <c r="D18143" s="17" t="s">
        <v>11</v>
      </c>
      <c r="E18143" s="17" t="s">
        <v>11</v>
      </c>
      <c r="F18143" s="18"/>
      <c r="G18143" s="36" t="str">
        <f>IF(ISNUMBER(F18143),C18143*F18143,"")</f>
        <v/>
      </c>
    </row>
    <row r="18144" spans="1:7" ht="12" customHeight="1" outlineLevel="2" x14ac:dyDescent="0.2">
      <c r="A18144" s="14" t="s">
        <v>35715</v>
      </c>
      <c r="B18144" s="15" t="s">
        <v>35716</v>
      </c>
      <c r="C18144" s="16">
        <f>46.8/(1+B2)</f>
        <v>46.8</v>
      </c>
      <c r="D18144" s="17" t="s">
        <v>11</v>
      </c>
      <c r="E18144" s="17"/>
      <c r="F18144" s="18"/>
      <c r="G18144" s="36" t="str">
        <f>IF(ISNUMBER(F18144),C18144*F18144,"")</f>
        <v/>
      </c>
    </row>
    <row r="18145" spans="1:7" ht="12" customHeight="1" outlineLevel="2" x14ac:dyDescent="0.2">
      <c r="A18145" s="14" t="s">
        <v>35717</v>
      </c>
      <c r="B18145" s="15" t="s">
        <v>35718</v>
      </c>
      <c r="C18145" s="16">
        <f>21.06/(1+B2)</f>
        <v>21.06</v>
      </c>
      <c r="D18145" s="17" t="s">
        <v>11</v>
      </c>
      <c r="E18145" s="17"/>
      <c r="F18145" s="18"/>
      <c r="G18145" s="36" t="str">
        <f>IF(ISNUMBER(F18145),C18145*F18145,"")</f>
        <v/>
      </c>
    </row>
    <row r="18146" spans="1:7" ht="12" customHeight="1" outlineLevel="2" x14ac:dyDescent="0.2">
      <c r="A18146" s="14" t="s">
        <v>35719</v>
      </c>
      <c r="B18146" s="15" t="s">
        <v>35720</v>
      </c>
      <c r="C18146" s="16">
        <f>41.53/(1+B2)</f>
        <v>41.53</v>
      </c>
      <c r="D18146" s="17" t="s">
        <v>53</v>
      </c>
      <c r="E18146" s="17"/>
      <c r="F18146" s="18"/>
      <c r="G18146" s="36" t="str">
        <f>IF(ISNUMBER(F18146),C18146*F18146,"")</f>
        <v/>
      </c>
    </row>
    <row r="18147" spans="1:7" ht="12" customHeight="1" outlineLevel="2" x14ac:dyDescent="0.2">
      <c r="A18147" s="14" t="s">
        <v>35721</v>
      </c>
      <c r="B18147" s="15" t="s">
        <v>35722</v>
      </c>
      <c r="C18147" s="16">
        <f>62.88/(1+B2)</f>
        <v>62.88</v>
      </c>
      <c r="D18147" s="17" t="s">
        <v>11</v>
      </c>
      <c r="E18147" s="17"/>
      <c r="F18147" s="18"/>
      <c r="G18147" s="36" t="str">
        <f>IF(ISNUMBER(F18147),C18147*F18147,"")</f>
        <v/>
      </c>
    </row>
    <row r="18148" spans="1:7" ht="12" customHeight="1" outlineLevel="2" x14ac:dyDescent="0.2">
      <c r="A18148" s="14" t="s">
        <v>35723</v>
      </c>
      <c r="B18148" s="15" t="s">
        <v>35724</v>
      </c>
      <c r="C18148" s="16">
        <f>162.36/(1+B2)</f>
        <v>162.36000000000001</v>
      </c>
      <c r="D18148" s="17" t="s">
        <v>11</v>
      </c>
      <c r="E18148" s="17"/>
      <c r="F18148" s="18"/>
      <c r="G18148" s="36" t="str">
        <f>IF(ISNUMBER(F18148),C18148*F18148,"")</f>
        <v/>
      </c>
    </row>
    <row r="18149" spans="1:7" ht="12" customHeight="1" outlineLevel="2" x14ac:dyDescent="0.2">
      <c r="A18149" s="14" t="s">
        <v>35725</v>
      </c>
      <c r="B18149" s="15" t="s">
        <v>35726</v>
      </c>
      <c r="C18149" s="16">
        <f>258.6/(1+B2)</f>
        <v>258.60000000000002</v>
      </c>
      <c r="D18149" s="17" t="s">
        <v>11</v>
      </c>
      <c r="E18149" s="17"/>
      <c r="F18149" s="18"/>
      <c r="G18149" s="36" t="str">
        <f>IF(ISNUMBER(F18149),C18149*F18149,"")</f>
        <v/>
      </c>
    </row>
    <row r="18150" spans="1:7" ht="12" customHeight="1" outlineLevel="2" x14ac:dyDescent="0.2">
      <c r="A18150" s="14" t="s">
        <v>35727</v>
      </c>
      <c r="B18150" s="15" t="s">
        <v>35728</v>
      </c>
      <c r="C18150" s="16">
        <f>258.6/(1+B2)</f>
        <v>258.60000000000002</v>
      </c>
      <c r="D18150" s="17" t="s">
        <v>11</v>
      </c>
      <c r="E18150" s="17"/>
      <c r="F18150" s="18"/>
      <c r="G18150" s="36" t="str">
        <f>IF(ISNUMBER(F18150),C18150*F18150,"")</f>
        <v/>
      </c>
    </row>
    <row r="18151" spans="1:7" ht="12" customHeight="1" outlineLevel="2" x14ac:dyDescent="0.2">
      <c r="A18151" s="14" t="s">
        <v>35729</v>
      </c>
      <c r="B18151" s="15" t="s">
        <v>35730</v>
      </c>
      <c r="C18151" s="16">
        <f>230.78/(1+B2)</f>
        <v>230.78</v>
      </c>
      <c r="D18151" s="17" t="s">
        <v>11</v>
      </c>
      <c r="E18151" s="17"/>
      <c r="F18151" s="18"/>
      <c r="G18151" s="36" t="str">
        <f>IF(ISNUMBER(F18151),C18151*F18151,"")</f>
        <v/>
      </c>
    </row>
    <row r="18152" spans="1:7" s="1" customFormat="1" ht="15.95" customHeight="1" outlineLevel="1" x14ac:dyDescent="0.25">
      <c r="A18152" s="11"/>
      <c r="B18152" s="12" t="s">
        <v>35731</v>
      </c>
      <c r="C18152" s="13"/>
      <c r="D18152" s="13"/>
      <c r="E18152" s="13"/>
      <c r="F18152" s="13"/>
      <c r="G18152" s="35"/>
    </row>
    <row r="18153" spans="1:7" ht="12" customHeight="1" outlineLevel="2" x14ac:dyDescent="0.2">
      <c r="A18153" s="14" t="s">
        <v>35732</v>
      </c>
      <c r="B18153" s="15" t="s">
        <v>35733</v>
      </c>
      <c r="C18153" s="16">
        <f>77.23/(1+B2)</f>
        <v>77.23</v>
      </c>
      <c r="D18153" s="17" t="s">
        <v>14</v>
      </c>
      <c r="E18153" s="17"/>
      <c r="F18153" s="18"/>
      <c r="G18153" s="36" t="str">
        <f>IF(ISNUMBER(F18153),C18153*F18153,"")</f>
        <v/>
      </c>
    </row>
    <row r="18154" spans="1:7" ht="12" customHeight="1" outlineLevel="2" x14ac:dyDescent="0.2">
      <c r="A18154" s="14" t="s">
        <v>35734</v>
      </c>
      <c r="B18154" s="15" t="s">
        <v>35735</v>
      </c>
      <c r="C18154" s="16">
        <f>130.43/(1+B2)</f>
        <v>130.43</v>
      </c>
      <c r="D18154" s="17" t="s">
        <v>11</v>
      </c>
      <c r="E18154" s="17"/>
      <c r="F18154" s="18"/>
      <c r="G18154" s="36" t="str">
        <f>IF(ISNUMBER(F18154),C18154*F18154,"")</f>
        <v/>
      </c>
    </row>
    <row r="18155" spans="1:7" ht="12" customHeight="1" outlineLevel="2" x14ac:dyDescent="0.2">
      <c r="A18155" s="14" t="s">
        <v>35736</v>
      </c>
      <c r="B18155" s="15" t="s">
        <v>35737</v>
      </c>
      <c r="C18155" s="16">
        <f>31.25/(1+B2)</f>
        <v>31.25</v>
      </c>
      <c r="D18155" s="17" t="s">
        <v>11</v>
      </c>
      <c r="E18155" s="17"/>
      <c r="F18155" s="18"/>
      <c r="G18155" s="36" t="str">
        <f>IF(ISNUMBER(F18155),C18155*F18155,"")</f>
        <v/>
      </c>
    </row>
    <row r="18156" spans="1:7" ht="12" customHeight="1" outlineLevel="2" x14ac:dyDescent="0.2">
      <c r="A18156" s="14" t="s">
        <v>35738</v>
      </c>
      <c r="B18156" s="15" t="s">
        <v>35739</v>
      </c>
      <c r="C18156" s="16">
        <f>90.11/(1+B2)</f>
        <v>90.11</v>
      </c>
      <c r="D18156" s="17" t="s">
        <v>11</v>
      </c>
      <c r="E18156" s="17"/>
      <c r="F18156" s="18"/>
      <c r="G18156" s="36" t="str">
        <f>IF(ISNUMBER(F18156),C18156*F18156,"")</f>
        <v/>
      </c>
    </row>
    <row r="18157" spans="1:7" ht="12" customHeight="1" outlineLevel="2" x14ac:dyDescent="0.2">
      <c r="A18157" s="14" t="s">
        <v>35740</v>
      </c>
      <c r="B18157" s="15" t="s">
        <v>35741</v>
      </c>
      <c r="C18157" s="16">
        <f>99.2/(1+B2)</f>
        <v>99.2</v>
      </c>
      <c r="D18157" s="17" t="s">
        <v>11</v>
      </c>
      <c r="E18157" s="17"/>
      <c r="F18157" s="18"/>
      <c r="G18157" s="36" t="str">
        <f>IF(ISNUMBER(F18157),C18157*F18157,"")</f>
        <v/>
      </c>
    </row>
    <row r="18158" spans="1:7" ht="24" customHeight="1" outlineLevel="2" x14ac:dyDescent="0.2">
      <c r="A18158" s="14" t="s">
        <v>35742</v>
      </c>
      <c r="B18158" s="15" t="s">
        <v>35743</v>
      </c>
      <c r="C18158" s="16">
        <f>211.59/(1+B2)</f>
        <v>211.59</v>
      </c>
      <c r="D18158" s="17" t="s">
        <v>11</v>
      </c>
      <c r="E18158" s="17"/>
      <c r="F18158" s="18"/>
      <c r="G18158" s="36" t="str">
        <f>IF(ISNUMBER(F18158),C18158*F18158,"")</f>
        <v/>
      </c>
    </row>
    <row r="18159" spans="1:7" ht="24" customHeight="1" outlineLevel="2" x14ac:dyDescent="0.2">
      <c r="A18159" s="14" t="s">
        <v>35744</v>
      </c>
      <c r="B18159" s="15" t="s">
        <v>35745</v>
      </c>
      <c r="C18159" s="16">
        <f>101.23/(1+B2)</f>
        <v>101.23</v>
      </c>
      <c r="D18159" s="17" t="s">
        <v>14</v>
      </c>
      <c r="E18159" s="17"/>
      <c r="F18159" s="18"/>
      <c r="G18159" s="36" t="str">
        <f>IF(ISNUMBER(F18159),C18159*F18159,"")</f>
        <v/>
      </c>
    </row>
    <row r="18160" spans="1:7" ht="24" customHeight="1" outlineLevel="2" x14ac:dyDescent="0.2">
      <c r="A18160" s="14" t="s">
        <v>35746</v>
      </c>
      <c r="B18160" s="15" t="s">
        <v>35747</v>
      </c>
      <c r="C18160" s="16">
        <f>211.59/(1+B2)</f>
        <v>211.59</v>
      </c>
      <c r="D18160" s="17" t="s">
        <v>14</v>
      </c>
      <c r="E18160" s="17"/>
      <c r="F18160" s="18"/>
      <c r="G18160" s="36" t="str">
        <f>IF(ISNUMBER(F18160),C18160*F18160,"")</f>
        <v/>
      </c>
    </row>
    <row r="18161" spans="1:7" ht="12" customHeight="1" outlineLevel="2" x14ac:dyDescent="0.2">
      <c r="A18161" s="14" t="s">
        <v>35748</v>
      </c>
      <c r="B18161" s="15" t="s">
        <v>35749</v>
      </c>
      <c r="C18161" s="16">
        <f>108.33/(1+B2)</f>
        <v>108.33</v>
      </c>
      <c r="D18161" s="17" t="s">
        <v>11</v>
      </c>
      <c r="E18161" s="17"/>
      <c r="F18161" s="18"/>
      <c r="G18161" s="36" t="str">
        <f>IF(ISNUMBER(F18161),C18161*F18161,"")</f>
        <v/>
      </c>
    </row>
    <row r="18162" spans="1:7" ht="12" customHeight="1" outlineLevel="2" x14ac:dyDescent="0.2">
      <c r="A18162" s="14" t="s">
        <v>35750</v>
      </c>
      <c r="B18162" s="15" t="s">
        <v>35751</v>
      </c>
      <c r="C18162" s="16">
        <f>130.59/(1+B2)</f>
        <v>130.59</v>
      </c>
      <c r="D18162" s="17" t="s">
        <v>14</v>
      </c>
      <c r="E18162" s="17"/>
      <c r="F18162" s="18"/>
      <c r="G18162" s="36" t="str">
        <f>IF(ISNUMBER(F18162),C18162*F18162,"")</f>
        <v/>
      </c>
    </row>
    <row r="18163" spans="1:7" ht="12" customHeight="1" outlineLevel="2" x14ac:dyDescent="0.2">
      <c r="A18163" s="14" t="s">
        <v>35752</v>
      </c>
      <c r="B18163" s="15" t="s">
        <v>35753</v>
      </c>
      <c r="C18163" s="16">
        <f>164.01/(1+B2)</f>
        <v>164.01</v>
      </c>
      <c r="D18163" s="17" t="s">
        <v>14</v>
      </c>
      <c r="E18163" s="17"/>
      <c r="F18163" s="18"/>
      <c r="G18163" s="36" t="str">
        <f>IF(ISNUMBER(F18163),C18163*F18163,"")</f>
        <v/>
      </c>
    </row>
    <row r="18164" spans="1:7" ht="24" customHeight="1" outlineLevel="2" x14ac:dyDescent="0.2">
      <c r="A18164" s="14" t="s">
        <v>35754</v>
      </c>
      <c r="B18164" s="15" t="s">
        <v>35755</v>
      </c>
      <c r="C18164" s="16">
        <f>88.09/(1+B2)</f>
        <v>88.09</v>
      </c>
      <c r="D18164" s="17" t="s">
        <v>53</v>
      </c>
      <c r="E18164" s="17"/>
      <c r="F18164" s="18"/>
      <c r="G18164" s="36" t="str">
        <f>IF(ISNUMBER(F18164),C18164*F18164,"")</f>
        <v/>
      </c>
    </row>
    <row r="18165" spans="1:7" ht="24" customHeight="1" outlineLevel="2" x14ac:dyDescent="0.2">
      <c r="A18165" s="14" t="s">
        <v>35756</v>
      </c>
      <c r="B18165" s="15" t="s">
        <v>35757</v>
      </c>
      <c r="C18165" s="16">
        <f>115.43/(1+B2)</f>
        <v>115.43</v>
      </c>
      <c r="D18165" s="17" t="s">
        <v>11</v>
      </c>
      <c r="E18165" s="17"/>
      <c r="F18165" s="18"/>
      <c r="G18165" s="36" t="str">
        <f>IF(ISNUMBER(F18165),C18165*F18165,"")</f>
        <v/>
      </c>
    </row>
    <row r="18166" spans="1:7" ht="12" customHeight="1" outlineLevel="2" x14ac:dyDescent="0.2">
      <c r="A18166" s="14" t="s">
        <v>35758</v>
      </c>
      <c r="B18166" s="15" t="s">
        <v>35759</v>
      </c>
      <c r="C18166" s="16">
        <f>110.17/(1+B2)</f>
        <v>110.17</v>
      </c>
      <c r="D18166" s="17" t="s">
        <v>11</v>
      </c>
      <c r="E18166" s="17"/>
      <c r="F18166" s="18"/>
      <c r="G18166" s="36" t="str">
        <f>IF(ISNUMBER(F18166),C18166*F18166,"")</f>
        <v/>
      </c>
    </row>
    <row r="18167" spans="1:7" ht="12" customHeight="1" outlineLevel="2" x14ac:dyDescent="0.2">
      <c r="A18167" s="14" t="s">
        <v>35760</v>
      </c>
      <c r="B18167" s="15" t="s">
        <v>35761</v>
      </c>
      <c r="C18167" s="16">
        <f>55/(1+B2)</f>
        <v>55</v>
      </c>
      <c r="D18167" s="17" t="s">
        <v>11</v>
      </c>
      <c r="E18167" s="17"/>
      <c r="F18167" s="18"/>
      <c r="G18167" s="36" t="str">
        <f>IF(ISNUMBER(F18167),C18167*F18167,"")</f>
        <v/>
      </c>
    </row>
    <row r="18168" spans="1:7" ht="12" customHeight="1" outlineLevel="2" x14ac:dyDescent="0.2">
      <c r="A18168" s="14" t="s">
        <v>35762</v>
      </c>
      <c r="B18168" s="15" t="s">
        <v>35763</v>
      </c>
      <c r="C18168" s="16">
        <f>129.42/(1+B2)</f>
        <v>129.41999999999999</v>
      </c>
      <c r="D18168" s="17" t="s">
        <v>11</v>
      </c>
      <c r="E18168" s="17" t="s">
        <v>53</v>
      </c>
      <c r="F18168" s="18"/>
      <c r="G18168" s="36" t="str">
        <f>IF(ISNUMBER(F18168),C18168*F18168,"")</f>
        <v/>
      </c>
    </row>
    <row r="18169" spans="1:7" ht="12" customHeight="1" outlineLevel="2" x14ac:dyDescent="0.2">
      <c r="A18169" s="14" t="s">
        <v>35764</v>
      </c>
      <c r="B18169" s="15" t="s">
        <v>35765</v>
      </c>
      <c r="C18169" s="16">
        <f>129.42/(1+B2)</f>
        <v>129.41999999999999</v>
      </c>
      <c r="D18169" s="17" t="s">
        <v>11</v>
      </c>
      <c r="E18169" s="17"/>
      <c r="F18169" s="18"/>
      <c r="G18169" s="36" t="str">
        <f>IF(ISNUMBER(F18169),C18169*F18169,"")</f>
        <v/>
      </c>
    </row>
    <row r="18170" spans="1:7" ht="12" customHeight="1" outlineLevel="2" x14ac:dyDescent="0.2">
      <c r="A18170" s="14" t="s">
        <v>35766</v>
      </c>
      <c r="B18170" s="15" t="s">
        <v>35767</v>
      </c>
      <c r="C18170" s="16">
        <f>129.42/(1+B2)</f>
        <v>129.41999999999999</v>
      </c>
      <c r="D18170" s="17" t="s">
        <v>11</v>
      </c>
      <c r="E18170" s="17"/>
      <c r="F18170" s="18"/>
      <c r="G18170" s="36" t="str">
        <f>IF(ISNUMBER(F18170),C18170*F18170,"")</f>
        <v/>
      </c>
    </row>
    <row r="18171" spans="1:7" ht="12" customHeight="1" outlineLevel="2" x14ac:dyDescent="0.2">
      <c r="A18171" s="14" t="s">
        <v>35768</v>
      </c>
      <c r="B18171" s="15" t="s">
        <v>35769</v>
      </c>
      <c r="C18171" s="16">
        <f>67.57/(1+B2)</f>
        <v>67.569999999999993</v>
      </c>
      <c r="D18171" s="17" t="s">
        <v>11</v>
      </c>
      <c r="E18171" s="17"/>
      <c r="F18171" s="18"/>
      <c r="G18171" s="36" t="str">
        <f>IF(ISNUMBER(F18171),C18171*F18171,"")</f>
        <v/>
      </c>
    </row>
    <row r="18172" spans="1:7" ht="12" customHeight="1" outlineLevel="2" x14ac:dyDescent="0.2">
      <c r="A18172" s="14" t="s">
        <v>35770</v>
      </c>
      <c r="B18172" s="15" t="s">
        <v>35771</v>
      </c>
      <c r="C18172" s="16">
        <f>129.42/(1+B2)</f>
        <v>129.41999999999999</v>
      </c>
      <c r="D18172" s="17" t="s">
        <v>14</v>
      </c>
      <c r="E18172" s="17"/>
      <c r="F18172" s="18"/>
      <c r="G18172" s="36" t="str">
        <f>IF(ISNUMBER(F18172),C18172*F18172,"")</f>
        <v/>
      </c>
    </row>
    <row r="18173" spans="1:7" ht="12" customHeight="1" outlineLevel="2" x14ac:dyDescent="0.2">
      <c r="A18173" s="14" t="s">
        <v>35772</v>
      </c>
      <c r="B18173" s="15" t="s">
        <v>35773</v>
      </c>
      <c r="C18173" s="16">
        <f>58.5/(1+B2)</f>
        <v>58.5</v>
      </c>
      <c r="D18173" s="17" t="s">
        <v>11</v>
      </c>
      <c r="E18173" s="17"/>
      <c r="F18173" s="18"/>
      <c r="G18173" s="36" t="str">
        <f>IF(ISNUMBER(F18173),C18173*F18173,"")</f>
        <v/>
      </c>
    </row>
    <row r="18174" spans="1:7" ht="12" customHeight="1" outlineLevel="2" x14ac:dyDescent="0.2">
      <c r="A18174" s="14" t="s">
        <v>35774</v>
      </c>
      <c r="B18174" s="15" t="s">
        <v>35775</v>
      </c>
      <c r="C18174" s="16">
        <f>58.5/(1+B2)</f>
        <v>58.5</v>
      </c>
      <c r="D18174" s="17" t="s">
        <v>11</v>
      </c>
      <c r="E18174" s="17"/>
      <c r="F18174" s="18"/>
      <c r="G18174" s="36" t="str">
        <f>IF(ISNUMBER(F18174),C18174*F18174,"")</f>
        <v/>
      </c>
    </row>
    <row r="18175" spans="1:7" ht="12" customHeight="1" outlineLevel="2" x14ac:dyDescent="0.2">
      <c r="A18175" s="14" t="s">
        <v>35776</v>
      </c>
      <c r="B18175" s="15" t="s">
        <v>35777</v>
      </c>
      <c r="C18175" s="16">
        <f>102.75/(1+B2)</f>
        <v>102.75</v>
      </c>
      <c r="D18175" s="17" t="s">
        <v>11</v>
      </c>
      <c r="E18175" s="17"/>
      <c r="F18175" s="18"/>
      <c r="G18175" s="36" t="str">
        <f>IF(ISNUMBER(F18175),C18175*F18175,"")</f>
        <v/>
      </c>
    </row>
    <row r="18176" spans="1:7" ht="12" customHeight="1" outlineLevel="2" x14ac:dyDescent="0.2">
      <c r="A18176" s="14" t="s">
        <v>35778</v>
      </c>
      <c r="B18176" s="15" t="s">
        <v>35779</v>
      </c>
      <c r="C18176" s="16">
        <f>102.75/(1+B2)</f>
        <v>102.75</v>
      </c>
      <c r="D18176" s="17" t="s">
        <v>11</v>
      </c>
      <c r="E18176" s="17"/>
      <c r="F18176" s="18"/>
      <c r="G18176" s="36" t="str">
        <f>IF(ISNUMBER(F18176),C18176*F18176,"")</f>
        <v/>
      </c>
    </row>
    <row r="18177" spans="1:7" ht="12" customHeight="1" outlineLevel="2" x14ac:dyDescent="0.2">
      <c r="A18177" s="14" t="s">
        <v>35780</v>
      </c>
      <c r="B18177" s="15" t="s">
        <v>35781</v>
      </c>
      <c r="C18177" s="16">
        <f>129.42/(1+B2)</f>
        <v>129.41999999999999</v>
      </c>
      <c r="D18177" s="17" t="s">
        <v>11</v>
      </c>
      <c r="E18177" s="17"/>
      <c r="F18177" s="18"/>
      <c r="G18177" s="36" t="str">
        <f>IF(ISNUMBER(F18177),C18177*F18177,"")</f>
        <v/>
      </c>
    </row>
    <row r="18178" spans="1:7" ht="12" customHeight="1" outlineLevel="2" x14ac:dyDescent="0.2">
      <c r="A18178" s="14" t="s">
        <v>35782</v>
      </c>
      <c r="B18178" s="15" t="s">
        <v>35783</v>
      </c>
      <c r="C18178" s="16">
        <f>129.42/(1+B2)</f>
        <v>129.41999999999999</v>
      </c>
      <c r="D18178" s="17" t="s">
        <v>11</v>
      </c>
      <c r="E18178" s="17"/>
      <c r="F18178" s="18"/>
      <c r="G18178" s="36" t="str">
        <f>IF(ISNUMBER(F18178),C18178*F18178,"")</f>
        <v/>
      </c>
    </row>
    <row r="18179" spans="1:7" ht="12" customHeight="1" outlineLevel="2" x14ac:dyDescent="0.2">
      <c r="A18179" s="14" t="s">
        <v>35784</v>
      </c>
      <c r="B18179" s="15" t="s">
        <v>35785</v>
      </c>
      <c r="C18179" s="16">
        <f>129.42/(1+B2)</f>
        <v>129.41999999999999</v>
      </c>
      <c r="D18179" s="17" t="s">
        <v>11</v>
      </c>
      <c r="E18179" s="17"/>
      <c r="F18179" s="18"/>
      <c r="G18179" s="36" t="str">
        <f>IF(ISNUMBER(F18179),C18179*F18179,"")</f>
        <v/>
      </c>
    </row>
    <row r="18180" spans="1:7" ht="12" customHeight="1" outlineLevel="2" x14ac:dyDescent="0.2">
      <c r="A18180" s="14" t="s">
        <v>35786</v>
      </c>
      <c r="B18180" s="15" t="s">
        <v>35787</v>
      </c>
      <c r="C18180" s="16">
        <f>129.42/(1+B2)</f>
        <v>129.41999999999999</v>
      </c>
      <c r="D18180" s="17" t="s">
        <v>11</v>
      </c>
      <c r="E18180" s="17"/>
      <c r="F18180" s="18"/>
      <c r="G18180" s="36" t="str">
        <f>IF(ISNUMBER(F18180),C18180*F18180,"")</f>
        <v/>
      </c>
    </row>
    <row r="18181" spans="1:7" ht="12" customHeight="1" outlineLevel="2" x14ac:dyDescent="0.2">
      <c r="A18181" s="14" t="s">
        <v>35788</v>
      </c>
      <c r="B18181" s="15" t="s">
        <v>35789</v>
      </c>
      <c r="C18181" s="16">
        <f>129.42/(1+B2)</f>
        <v>129.41999999999999</v>
      </c>
      <c r="D18181" s="17" t="s">
        <v>11</v>
      </c>
      <c r="E18181" s="17"/>
      <c r="F18181" s="18"/>
      <c r="G18181" s="36" t="str">
        <f>IF(ISNUMBER(F18181),C18181*F18181,"")</f>
        <v/>
      </c>
    </row>
    <row r="18182" spans="1:7" ht="12" customHeight="1" outlineLevel="2" x14ac:dyDescent="0.2">
      <c r="A18182" s="14" t="s">
        <v>35790</v>
      </c>
      <c r="B18182" s="15" t="s">
        <v>35791</v>
      </c>
      <c r="C18182" s="16">
        <f>129.42/(1+B2)</f>
        <v>129.41999999999999</v>
      </c>
      <c r="D18182" s="17" t="s">
        <v>11</v>
      </c>
      <c r="E18182" s="17"/>
      <c r="F18182" s="18"/>
      <c r="G18182" s="36" t="str">
        <f>IF(ISNUMBER(F18182),C18182*F18182,"")</f>
        <v/>
      </c>
    </row>
    <row r="18183" spans="1:7" ht="12" customHeight="1" outlineLevel="2" x14ac:dyDescent="0.2">
      <c r="A18183" s="14" t="s">
        <v>35792</v>
      </c>
      <c r="B18183" s="15" t="s">
        <v>35793</v>
      </c>
      <c r="C18183" s="16">
        <f>123.78/(1+B2)</f>
        <v>123.78</v>
      </c>
      <c r="D18183" s="17" t="s">
        <v>11</v>
      </c>
      <c r="E18183" s="17"/>
      <c r="F18183" s="18"/>
      <c r="G18183" s="36" t="str">
        <f>IF(ISNUMBER(F18183),C18183*F18183,"")</f>
        <v/>
      </c>
    </row>
    <row r="18184" spans="1:7" ht="12" customHeight="1" outlineLevel="2" x14ac:dyDescent="0.2">
      <c r="A18184" s="14" t="s">
        <v>35794</v>
      </c>
      <c r="B18184" s="15" t="s">
        <v>35795</v>
      </c>
      <c r="C18184" s="16">
        <f>123.78/(1+B2)</f>
        <v>123.78</v>
      </c>
      <c r="D18184" s="17" t="s">
        <v>11</v>
      </c>
      <c r="E18184" s="17"/>
      <c r="F18184" s="18"/>
      <c r="G18184" s="36" t="str">
        <f>IF(ISNUMBER(F18184),C18184*F18184,"")</f>
        <v/>
      </c>
    </row>
    <row r="18185" spans="1:7" ht="12" customHeight="1" outlineLevel="2" x14ac:dyDescent="0.2">
      <c r="A18185" s="14" t="s">
        <v>35796</v>
      </c>
      <c r="B18185" s="15" t="s">
        <v>35797</v>
      </c>
      <c r="C18185" s="16">
        <f>123.78/(1+B2)</f>
        <v>123.78</v>
      </c>
      <c r="D18185" s="17" t="s">
        <v>11</v>
      </c>
      <c r="E18185" s="17" t="s">
        <v>11</v>
      </c>
      <c r="F18185" s="18"/>
      <c r="G18185" s="36" t="str">
        <f>IF(ISNUMBER(F18185),C18185*F18185,"")</f>
        <v/>
      </c>
    </row>
    <row r="18186" spans="1:7" ht="12" customHeight="1" outlineLevel="2" x14ac:dyDescent="0.2">
      <c r="A18186" s="14" t="s">
        <v>35798</v>
      </c>
      <c r="B18186" s="15" t="s">
        <v>35799</v>
      </c>
      <c r="C18186" s="16">
        <f>144.06/(1+B2)</f>
        <v>144.06</v>
      </c>
      <c r="D18186" s="17" t="s">
        <v>11</v>
      </c>
      <c r="E18186" s="17" t="s">
        <v>11</v>
      </c>
      <c r="F18186" s="18"/>
      <c r="G18186" s="36" t="str">
        <f>IF(ISNUMBER(F18186),C18186*F18186,"")</f>
        <v/>
      </c>
    </row>
    <row r="18187" spans="1:7" ht="12" customHeight="1" outlineLevel="2" x14ac:dyDescent="0.2">
      <c r="A18187" s="14" t="s">
        <v>35800</v>
      </c>
      <c r="B18187" s="15" t="s">
        <v>35801</v>
      </c>
      <c r="C18187" s="16">
        <f>144.06/(1+B2)</f>
        <v>144.06</v>
      </c>
      <c r="D18187" s="17" t="s">
        <v>11</v>
      </c>
      <c r="E18187" s="17" t="s">
        <v>11</v>
      </c>
      <c r="F18187" s="18"/>
      <c r="G18187" s="36" t="str">
        <f>IF(ISNUMBER(F18187),C18187*F18187,"")</f>
        <v/>
      </c>
    </row>
    <row r="18188" spans="1:7" ht="12" customHeight="1" outlineLevel="2" x14ac:dyDescent="0.2">
      <c r="A18188" s="14" t="s">
        <v>35802</v>
      </c>
      <c r="B18188" s="15" t="s">
        <v>35803</v>
      </c>
      <c r="C18188" s="16">
        <f>144.06/(1+B2)</f>
        <v>144.06</v>
      </c>
      <c r="D18188" s="17" t="s">
        <v>11</v>
      </c>
      <c r="E18188" s="17"/>
      <c r="F18188" s="18"/>
      <c r="G18188" s="36" t="str">
        <f>IF(ISNUMBER(F18188),C18188*F18188,"")</f>
        <v/>
      </c>
    </row>
    <row r="18189" spans="1:7" ht="12" customHeight="1" outlineLevel="2" x14ac:dyDescent="0.2">
      <c r="A18189" s="14" t="s">
        <v>35804</v>
      </c>
      <c r="B18189" s="15" t="s">
        <v>35805</v>
      </c>
      <c r="C18189" s="16">
        <f>137.3/(1+B2)</f>
        <v>137.30000000000001</v>
      </c>
      <c r="D18189" s="17" t="s">
        <v>14</v>
      </c>
      <c r="E18189" s="17"/>
      <c r="F18189" s="18"/>
      <c r="G18189" s="36" t="str">
        <f>IF(ISNUMBER(F18189),C18189*F18189,"")</f>
        <v/>
      </c>
    </row>
    <row r="18190" spans="1:7" ht="12" customHeight="1" outlineLevel="2" x14ac:dyDescent="0.2">
      <c r="A18190" s="14" t="s">
        <v>35806</v>
      </c>
      <c r="B18190" s="15" t="s">
        <v>35807</v>
      </c>
      <c r="C18190" s="16">
        <f>137.3/(1+B2)</f>
        <v>137.30000000000001</v>
      </c>
      <c r="D18190" s="17" t="s">
        <v>11</v>
      </c>
      <c r="E18190" s="17"/>
      <c r="F18190" s="18"/>
      <c r="G18190" s="36" t="str">
        <f>IF(ISNUMBER(F18190),C18190*F18190,"")</f>
        <v/>
      </c>
    </row>
    <row r="18191" spans="1:7" ht="12" customHeight="1" outlineLevel="2" x14ac:dyDescent="0.2">
      <c r="A18191" s="14" t="s">
        <v>35808</v>
      </c>
      <c r="B18191" s="15" t="s">
        <v>35809</v>
      </c>
      <c r="C18191" s="16">
        <f>137.25/(1+B2)</f>
        <v>137.25</v>
      </c>
      <c r="D18191" s="17" t="s">
        <v>11</v>
      </c>
      <c r="E18191" s="17"/>
      <c r="F18191" s="18"/>
      <c r="G18191" s="36" t="str">
        <f>IF(ISNUMBER(F18191),C18191*F18191,"")</f>
        <v/>
      </c>
    </row>
    <row r="18192" spans="1:7" ht="12" customHeight="1" outlineLevel="2" x14ac:dyDescent="0.2">
      <c r="A18192" s="14" t="s">
        <v>35810</v>
      </c>
      <c r="B18192" s="15" t="s">
        <v>35811</v>
      </c>
      <c r="C18192" s="16">
        <f>87.24/(1+B2)</f>
        <v>87.24</v>
      </c>
      <c r="D18192" s="17" t="s">
        <v>11</v>
      </c>
      <c r="E18192" s="17"/>
      <c r="F18192" s="18"/>
      <c r="G18192" s="36" t="str">
        <f>IF(ISNUMBER(F18192),C18192*F18192,"")</f>
        <v/>
      </c>
    </row>
    <row r="18193" spans="1:7" ht="12" customHeight="1" outlineLevel="2" x14ac:dyDescent="0.2">
      <c r="A18193" s="14" t="s">
        <v>35812</v>
      </c>
      <c r="B18193" s="15" t="s">
        <v>35813</v>
      </c>
      <c r="C18193" s="16">
        <f>171.66/(1+B2)</f>
        <v>171.66</v>
      </c>
      <c r="D18193" s="17" t="s">
        <v>11</v>
      </c>
      <c r="E18193" s="17"/>
      <c r="F18193" s="18"/>
      <c r="G18193" s="36" t="str">
        <f>IF(ISNUMBER(F18193),C18193*F18193,"")</f>
        <v/>
      </c>
    </row>
    <row r="18194" spans="1:7" ht="24" customHeight="1" outlineLevel="2" x14ac:dyDescent="0.2">
      <c r="A18194" s="14" t="s">
        <v>35814</v>
      </c>
      <c r="B18194" s="15" t="s">
        <v>35815</v>
      </c>
      <c r="C18194" s="16">
        <f>115/(1+B2)</f>
        <v>115</v>
      </c>
      <c r="D18194" s="17" t="s">
        <v>11</v>
      </c>
      <c r="E18194" s="17"/>
      <c r="F18194" s="18"/>
      <c r="G18194" s="36" t="str">
        <f>IF(ISNUMBER(F18194),C18194*F18194,"")</f>
        <v/>
      </c>
    </row>
    <row r="18195" spans="1:7" ht="24" customHeight="1" outlineLevel="2" x14ac:dyDescent="0.2">
      <c r="A18195" s="14" t="s">
        <v>35816</v>
      </c>
      <c r="B18195" s="15" t="s">
        <v>35817</v>
      </c>
      <c r="C18195" s="16">
        <f>60.55/(1+B2)</f>
        <v>60.55</v>
      </c>
      <c r="D18195" s="17" t="s">
        <v>11</v>
      </c>
      <c r="E18195" s="17"/>
      <c r="F18195" s="18"/>
      <c r="G18195" s="36" t="str">
        <f>IF(ISNUMBER(F18195),C18195*F18195,"")</f>
        <v/>
      </c>
    </row>
    <row r="18196" spans="1:7" ht="12" customHeight="1" outlineLevel="2" x14ac:dyDescent="0.2">
      <c r="A18196" s="14" t="s">
        <v>35818</v>
      </c>
      <c r="B18196" s="15" t="s">
        <v>35819</v>
      </c>
      <c r="C18196" s="16">
        <f>65.82/(1+B2)</f>
        <v>65.819999999999993</v>
      </c>
      <c r="D18196" s="17" t="s">
        <v>14</v>
      </c>
      <c r="E18196" s="17" t="s">
        <v>11</v>
      </c>
      <c r="F18196" s="18"/>
      <c r="G18196" s="36" t="str">
        <f>IF(ISNUMBER(F18196),C18196*F18196,"")</f>
        <v/>
      </c>
    </row>
    <row r="18197" spans="1:7" ht="12" customHeight="1" outlineLevel="2" x14ac:dyDescent="0.2">
      <c r="A18197" s="14" t="s">
        <v>35820</v>
      </c>
      <c r="B18197" s="15" t="s">
        <v>35821</v>
      </c>
      <c r="C18197" s="16">
        <f>76.74/(1+B2)</f>
        <v>76.739999999999995</v>
      </c>
      <c r="D18197" s="17" t="s">
        <v>11</v>
      </c>
      <c r="E18197" s="17"/>
      <c r="F18197" s="18"/>
      <c r="G18197" s="36" t="str">
        <f>IF(ISNUMBER(F18197),C18197*F18197,"")</f>
        <v/>
      </c>
    </row>
    <row r="18198" spans="1:7" ht="12" customHeight="1" outlineLevel="2" x14ac:dyDescent="0.2">
      <c r="A18198" s="14" t="s">
        <v>35822</v>
      </c>
      <c r="B18198" s="15" t="s">
        <v>35823</v>
      </c>
      <c r="C18198" s="16">
        <f>80.58/(1+B2)</f>
        <v>80.58</v>
      </c>
      <c r="D18198" s="17" t="s">
        <v>11</v>
      </c>
      <c r="E18198" s="17" t="s">
        <v>11</v>
      </c>
      <c r="F18198" s="18"/>
      <c r="G18198" s="36" t="str">
        <f>IF(ISNUMBER(F18198),C18198*F18198,"")</f>
        <v/>
      </c>
    </row>
    <row r="18199" spans="1:7" ht="12" customHeight="1" outlineLevel="2" x14ac:dyDescent="0.2">
      <c r="A18199" s="14" t="s">
        <v>35824</v>
      </c>
      <c r="B18199" s="15" t="s">
        <v>35825</v>
      </c>
      <c r="C18199" s="16">
        <f>80.58/(1+B2)</f>
        <v>80.58</v>
      </c>
      <c r="D18199" s="17" t="s">
        <v>11</v>
      </c>
      <c r="E18199" s="17"/>
      <c r="F18199" s="18"/>
      <c r="G18199" s="36" t="str">
        <f>IF(ISNUMBER(F18199),C18199*F18199,"")</f>
        <v/>
      </c>
    </row>
    <row r="18200" spans="1:7" ht="12" customHeight="1" outlineLevel="2" x14ac:dyDescent="0.2">
      <c r="A18200" s="14" t="s">
        <v>35826</v>
      </c>
      <c r="B18200" s="15" t="s">
        <v>35827</v>
      </c>
      <c r="C18200" s="16">
        <f>93.96/(1+B2)</f>
        <v>93.96</v>
      </c>
      <c r="D18200" s="17" t="s">
        <v>11</v>
      </c>
      <c r="E18200" s="17"/>
      <c r="F18200" s="18"/>
      <c r="G18200" s="36" t="str">
        <f>IF(ISNUMBER(F18200),C18200*F18200,"")</f>
        <v/>
      </c>
    </row>
    <row r="18201" spans="1:7" ht="12" customHeight="1" outlineLevel="2" x14ac:dyDescent="0.2">
      <c r="A18201" s="14" t="s">
        <v>35828</v>
      </c>
      <c r="B18201" s="15" t="s">
        <v>35829</v>
      </c>
      <c r="C18201" s="16">
        <f>118.98/(1+B2)</f>
        <v>118.98</v>
      </c>
      <c r="D18201" s="17" t="s">
        <v>11</v>
      </c>
      <c r="E18201" s="17"/>
      <c r="F18201" s="18"/>
      <c r="G18201" s="36" t="str">
        <f>IF(ISNUMBER(F18201),C18201*F18201,"")</f>
        <v/>
      </c>
    </row>
    <row r="18202" spans="1:7" ht="12" customHeight="1" outlineLevel="2" x14ac:dyDescent="0.2">
      <c r="A18202" s="14" t="s">
        <v>35830</v>
      </c>
      <c r="B18202" s="15" t="s">
        <v>35831</v>
      </c>
      <c r="C18202" s="16">
        <f>118.98/(1+B2)</f>
        <v>118.98</v>
      </c>
      <c r="D18202" s="17" t="s">
        <v>11</v>
      </c>
      <c r="E18202" s="17" t="s">
        <v>11</v>
      </c>
      <c r="F18202" s="18"/>
      <c r="G18202" s="36" t="str">
        <f>IF(ISNUMBER(F18202),C18202*F18202,"")</f>
        <v/>
      </c>
    </row>
    <row r="18203" spans="1:7" ht="12" customHeight="1" outlineLevel="2" x14ac:dyDescent="0.2">
      <c r="A18203" s="14" t="s">
        <v>35832</v>
      </c>
      <c r="B18203" s="15" t="s">
        <v>35833</v>
      </c>
      <c r="C18203" s="16">
        <f>137.88/(1+B2)</f>
        <v>137.88</v>
      </c>
      <c r="D18203" s="17" t="s">
        <v>11</v>
      </c>
      <c r="E18203" s="17" t="s">
        <v>11</v>
      </c>
      <c r="F18203" s="18"/>
      <c r="G18203" s="36" t="str">
        <f>IF(ISNUMBER(F18203),C18203*F18203,"")</f>
        <v/>
      </c>
    </row>
    <row r="18204" spans="1:7" ht="12" customHeight="1" outlineLevel="2" x14ac:dyDescent="0.2">
      <c r="A18204" s="14" t="s">
        <v>35834</v>
      </c>
      <c r="B18204" s="15" t="s">
        <v>35835</v>
      </c>
      <c r="C18204" s="16">
        <f>113.05/(1+B2)</f>
        <v>113.05</v>
      </c>
      <c r="D18204" s="17" t="s">
        <v>11</v>
      </c>
      <c r="E18204" s="17"/>
      <c r="F18204" s="18"/>
      <c r="G18204" s="36" t="str">
        <f>IF(ISNUMBER(F18204),C18204*F18204,"")</f>
        <v/>
      </c>
    </row>
    <row r="18205" spans="1:7" s="1" customFormat="1" ht="15.95" customHeight="1" outlineLevel="1" x14ac:dyDescent="0.25">
      <c r="A18205" s="11"/>
      <c r="B18205" s="12" t="s">
        <v>35836</v>
      </c>
      <c r="C18205" s="13"/>
      <c r="D18205" s="13"/>
      <c r="E18205" s="13"/>
      <c r="F18205" s="13"/>
      <c r="G18205" s="35"/>
    </row>
    <row r="18206" spans="1:7" ht="12" customHeight="1" outlineLevel="2" x14ac:dyDescent="0.2">
      <c r="A18206" s="14" t="s">
        <v>35837</v>
      </c>
      <c r="B18206" s="15" t="s">
        <v>35838</v>
      </c>
      <c r="C18206" s="16">
        <f>49.68/(1+B2)</f>
        <v>49.68</v>
      </c>
      <c r="D18206" s="17" t="s">
        <v>53</v>
      </c>
      <c r="E18206" s="17"/>
      <c r="F18206" s="18"/>
      <c r="G18206" s="36" t="str">
        <f>IF(ISNUMBER(F18206),C18206*F18206,"")</f>
        <v/>
      </c>
    </row>
    <row r="18207" spans="1:7" ht="12" customHeight="1" outlineLevel="2" x14ac:dyDescent="0.2">
      <c r="A18207" s="14" t="s">
        <v>35839</v>
      </c>
      <c r="B18207" s="15" t="s">
        <v>35840</v>
      </c>
      <c r="C18207" s="16">
        <f>51.66/(1+B2)</f>
        <v>51.66</v>
      </c>
      <c r="D18207" s="17" t="s">
        <v>53</v>
      </c>
      <c r="E18207" s="17" t="s">
        <v>53</v>
      </c>
      <c r="F18207" s="18"/>
      <c r="G18207" s="36" t="str">
        <f>IF(ISNUMBER(F18207),C18207*F18207,"")</f>
        <v/>
      </c>
    </row>
    <row r="18208" spans="1:7" ht="12" customHeight="1" outlineLevel="2" x14ac:dyDescent="0.2">
      <c r="A18208" s="14" t="s">
        <v>35841</v>
      </c>
      <c r="B18208" s="15" t="s">
        <v>35842</v>
      </c>
      <c r="C18208" s="16">
        <f>49.68/(1+B2)</f>
        <v>49.68</v>
      </c>
      <c r="D18208" s="17" t="s">
        <v>11</v>
      </c>
      <c r="E18208" s="17" t="s">
        <v>106</v>
      </c>
      <c r="F18208" s="18"/>
      <c r="G18208" s="36" t="str">
        <f>IF(ISNUMBER(F18208),C18208*F18208,"")</f>
        <v/>
      </c>
    </row>
    <row r="18209" spans="1:7" ht="12" customHeight="1" outlineLevel="2" x14ac:dyDescent="0.2">
      <c r="A18209" s="14" t="s">
        <v>35843</v>
      </c>
      <c r="B18209" s="15" t="s">
        <v>35844</v>
      </c>
      <c r="C18209" s="16">
        <f>49.6/(1+B2)</f>
        <v>49.6</v>
      </c>
      <c r="D18209" s="17" t="s">
        <v>11</v>
      </c>
      <c r="E18209" s="17" t="s">
        <v>53</v>
      </c>
      <c r="F18209" s="18"/>
      <c r="G18209" s="36" t="str">
        <f>IF(ISNUMBER(F18209),C18209*F18209,"")</f>
        <v/>
      </c>
    </row>
    <row r="18210" spans="1:7" ht="12" customHeight="1" outlineLevel="2" x14ac:dyDescent="0.2">
      <c r="A18210" s="14" t="s">
        <v>35845</v>
      </c>
      <c r="B18210" s="15" t="s">
        <v>35846</v>
      </c>
      <c r="C18210" s="16">
        <f>27.8/(1+B2)</f>
        <v>27.8</v>
      </c>
      <c r="D18210" s="17" t="s">
        <v>11</v>
      </c>
      <c r="E18210" s="17"/>
      <c r="F18210" s="18"/>
      <c r="G18210" s="36" t="str">
        <f>IF(ISNUMBER(F18210),C18210*F18210,"")</f>
        <v/>
      </c>
    </row>
    <row r="18211" spans="1:7" ht="12" customHeight="1" outlineLevel="2" x14ac:dyDescent="0.2">
      <c r="A18211" s="14" t="s">
        <v>35847</v>
      </c>
      <c r="B18211" s="15" t="s">
        <v>35848</v>
      </c>
      <c r="C18211" s="16">
        <f>58.77/(1+B2)</f>
        <v>58.77</v>
      </c>
      <c r="D18211" s="17" t="s">
        <v>11</v>
      </c>
      <c r="E18211" s="17"/>
      <c r="F18211" s="18"/>
      <c r="G18211" s="36" t="str">
        <f>IF(ISNUMBER(F18211),C18211*F18211,"")</f>
        <v/>
      </c>
    </row>
    <row r="18212" spans="1:7" ht="12" customHeight="1" outlineLevel="2" x14ac:dyDescent="0.2">
      <c r="A18212" s="14" t="s">
        <v>35849</v>
      </c>
      <c r="B18212" s="15" t="s">
        <v>35850</v>
      </c>
      <c r="C18212" s="16">
        <f>51.58/(1+B2)</f>
        <v>51.58</v>
      </c>
      <c r="D18212" s="17" t="s">
        <v>11</v>
      </c>
      <c r="E18212" s="17" t="s">
        <v>11</v>
      </c>
      <c r="F18212" s="18"/>
      <c r="G18212" s="36" t="str">
        <f>IF(ISNUMBER(F18212),C18212*F18212,"")</f>
        <v/>
      </c>
    </row>
    <row r="18213" spans="1:7" ht="12" customHeight="1" outlineLevel="2" x14ac:dyDescent="0.2">
      <c r="A18213" s="14" t="s">
        <v>35851</v>
      </c>
      <c r="B18213" s="15" t="s">
        <v>35852</v>
      </c>
      <c r="C18213" s="16">
        <f>206.11/(1+B2)</f>
        <v>206.11</v>
      </c>
      <c r="D18213" s="17" t="s">
        <v>11</v>
      </c>
      <c r="E18213" s="17"/>
      <c r="F18213" s="18"/>
      <c r="G18213" s="36" t="str">
        <f>IF(ISNUMBER(F18213),C18213*F18213,"")</f>
        <v/>
      </c>
    </row>
    <row r="18214" spans="1:7" ht="12" customHeight="1" outlineLevel="2" x14ac:dyDescent="0.2">
      <c r="A18214" s="14" t="s">
        <v>35853</v>
      </c>
      <c r="B18214" s="15" t="s">
        <v>35854</v>
      </c>
      <c r="C18214" s="16">
        <f>101.63/(1+B2)</f>
        <v>101.63</v>
      </c>
      <c r="D18214" s="17" t="s">
        <v>11</v>
      </c>
      <c r="E18214" s="17" t="s">
        <v>53</v>
      </c>
      <c r="F18214" s="18"/>
      <c r="G18214" s="36" t="str">
        <f>IF(ISNUMBER(F18214),C18214*F18214,"")</f>
        <v/>
      </c>
    </row>
    <row r="18215" spans="1:7" s="1" customFormat="1" ht="15.95" customHeight="1" outlineLevel="1" x14ac:dyDescent="0.25">
      <c r="A18215" s="11"/>
      <c r="B18215" s="12" t="s">
        <v>35855</v>
      </c>
      <c r="C18215" s="13"/>
      <c r="D18215" s="13"/>
      <c r="E18215" s="13"/>
      <c r="F18215" s="13"/>
      <c r="G18215" s="35"/>
    </row>
    <row r="18216" spans="1:7" ht="12" customHeight="1" outlineLevel="2" x14ac:dyDescent="0.2">
      <c r="A18216" s="14" t="s">
        <v>35856</v>
      </c>
      <c r="B18216" s="15" t="s">
        <v>35857</v>
      </c>
      <c r="C18216" s="19">
        <f>1485.28/(1+B2)</f>
        <v>1485.28</v>
      </c>
      <c r="D18216" s="17" t="s">
        <v>11</v>
      </c>
      <c r="E18216" s="17" t="s">
        <v>11</v>
      </c>
      <c r="F18216" s="18"/>
      <c r="G18216" s="36" t="str">
        <f>IF(ISNUMBER(F18216),C18216*F18216,"")</f>
        <v/>
      </c>
    </row>
    <row r="18217" spans="1:7" ht="12" customHeight="1" outlineLevel="2" x14ac:dyDescent="0.2">
      <c r="A18217" s="14" t="s">
        <v>35858</v>
      </c>
      <c r="B18217" s="15" t="s">
        <v>35859</v>
      </c>
      <c r="C18217" s="19">
        <f>1871.28/(1+B2)</f>
        <v>1871.28</v>
      </c>
      <c r="D18217" s="17" t="s">
        <v>11</v>
      </c>
      <c r="E18217" s="17"/>
      <c r="F18217" s="18"/>
      <c r="G18217" s="36" t="str">
        <f>IF(ISNUMBER(F18217),C18217*F18217,"")</f>
        <v/>
      </c>
    </row>
    <row r="18218" spans="1:7" ht="12" customHeight="1" outlineLevel="2" x14ac:dyDescent="0.2">
      <c r="A18218" s="14" t="s">
        <v>35860</v>
      </c>
      <c r="B18218" s="15" t="s">
        <v>35861</v>
      </c>
      <c r="C18218" s="19">
        <f>1221.54/(1+B2)</f>
        <v>1221.54</v>
      </c>
      <c r="D18218" s="17" t="s">
        <v>11</v>
      </c>
      <c r="E18218" s="17" t="s">
        <v>11</v>
      </c>
      <c r="F18218" s="18"/>
      <c r="G18218" s="36" t="str">
        <f>IF(ISNUMBER(F18218),C18218*F18218,"")</f>
        <v/>
      </c>
    </row>
    <row r="18219" spans="1:7" ht="12" customHeight="1" outlineLevel="2" x14ac:dyDescent="0.2">
      <c r="A18219" s="14" t="s">
        <v>35862</v>
      </c>
      <c r="B18219" s="15" t="s">
        <v>35863</v>
      </c>
      <c r="C18219" s="19">
        <f>1205.4/(1+B2)</f>
        <v>1205.4000000000001</v>
      </c>
      <c r="D18219" s="17" t="s">
        <v>11</v>
      </c>
      <c r="E18219" s="17" t="s">
        <v>11</v>
      </c>
      <c r="F18219" s="18"/>
      <c r="G18219" s="36" t="str">
        <f>IF(ISNUMBER(F18219),C18219*F18219,"")</f>
        <v/>
      </c>
    </row>
    <row r="18220" spans="1:7" ht="12" customHeight="1" outlineLevel="2" x14ac:dyDescent="0.2">
      <c r="A18220" s="14" t="s">
        <v>35864</v>
      </c>
      <c r="B18220" s="15" t="s">
        <v>35865</v>
      </c>
      <c r="C18220" s="19">
        <f>1205.4/(1+B2)</f>
        <v>1205.4000000000001</v>
      </c>
      <c r="D18220" s="17" t="s">
        <v>11</v>
      </c>
      <c r="E18220" s="17"/>
      <c r="F18220" s="18"/>
      <c r="G18220" s="36" t="str">
        <f>IF(ISNUMBER(F18220),C18220*F18220,"")</f>
        <v/>
      </c>
    </row>
    <row r="18221" spans="1:7" ht="12" customHeight="1" outlineLevel="2" x14ac:dyDescent="0.2">
      <c r="A18221" s="14" t="s">
        <v>35866</v>
      </c>
      <c r="B18221" s="15" t="s">
        <v>35867</v>
      </c>
      <c r="C18221" s="19">
        <f>1959.06/(1+B2)</f>
        <v>1959.06</v>
      </c>
      <c r="D18221" s="17" t="s">
        <v>11</v>
      </c>
      <c r="E18221" s="17" t="s">
        <v>11</v>
      </c>
      <c r="F18221" s="18"/>
      <c r="G18221" s="36" t="str">
        <f>IF(ISNUMBER(F18221),C18221*F18221,"")</f>
        <v/>
      </c>
    </row>
    <row r="18222" spans="1:7" ht="12" customHeight="1" outlineLevel="2" x14ac:dyDescent="0.2">
      <c r="A18222" s="14" t="s">
        <v>35868</v>
      </c>
      <c r="B18222" s="15" t="s">
        <v>35869</v>
      </c>
      <c r="C18222" s="19">
        <f>2469.24/(1+B2)</f>
        <v>2469.2399999999998</v>
      </c>
      <c r="D18222" s="17"/>
      <c r="E18222" s="17" t="s">
        <v>11</v>
      </c>
      <c r="F18222" s="18"/>
      <c r="G18222" s="36" t="str">
        <f>IF(ISNUMBER(F18222),C18222*F18222,"")</f>
        <v/>
      </c>
    </row>
    <row r="18223" spans="1:7" ht="12" customHeight="1" outlineLevel="2" x14ac:dyDescent="0.2">
      <c r="A18223" s="14" t="s">
        <v>35870</v>
      </c>
      <c r="B18223" s="15" t="s">
        <v>35871</v>
      </c>
      <c r="C18223" s="16">
        <f>811.74/(1+B2)</f>
        <v>811.74</v>
      </c>
      <c r="D18223" s="17" t="s">
        <v>11</v>
      </c>
      <c r="E18223" s="17" t="s">
        <v>11</v>
      </c>
      <c r="F18223" s="18"/>
      <c r="G18223" s="36" t="str">
        <f>IF(ISNUMBER(F18223),C18223*F18223,"")</f>
        <v/>
      </c>
    </row>
    <row r="18224" spans="1:7" ht="12" customHeight="1" outlineLevel="2" x14ac:dyDescent="0.2">
      <c r="A18224" s="14" t="s">
        <v>35872</v>
      </c>
      <c r="B18224" s="15" t="s">
        <v>35873</v>
      </c>
      <c r="C18224" s="19">
        <f>1231.8/(1+B2)</f>
        <v>1231.8</v>
      </c>
      <c r="D18224" s="17" t="s">
        <v>11</v>
      </c>
      <c r="E18224" s="17" t="s">
        <v>11</v>
      </c>
      <c r="F18224" s="18"/>
      <c r="G18224" s="36" t="str">
        <f>IF(ISNUMBER(F18224),C18224*F18224,"")</f>
        <v/>
      </c>
    </row>
    <row r="18225" spans="1:7" ht="12" customHeight="1" outlineLevel="2" x14ac:dyDescent="0.2">
      <c r="A18225" s="14" t="s">
        <v>35874</v>
      </c>
      <c r="B18225" s="15" t="s">
        <v>35875</v>
      </c>
      <c r="C18225" s="16">
        <f>682.61/(1+B2)</f>
        <v>682.61</v>
      </c>
      <c r="D18225" s="17" t="s">
        <v>11</v>
      </c>
      <c r="E18225" s="17" t="s">
        <v>11</v>
      </c>
      <c r="F18225" s="18"/>
      <c r="G18225" s="36" t="str">
        <f>IF(ISNUMBER(F18225),C18225*F18225,"")</f>
        <v/>
      </c>
    </row>
    <row r="18226" spans="1:7" ht="12" customHeight="1" outlineLevel="2" x14ac:dyDescent="0.2">
      <c r="A18226" s="14" t="s">
        <v>35876</v>
      </c>
      <c r="B18226" s="15" t="s">
        <v>35877</v>
      </c>
      <c r="C18226" s="19">
        <f>1026.3/(1+B2)</f>
        <v>1026.3</v>
      </c>
      <c r="D18226" s="17" t="s">
        <v>11</v>
      </c>
      <c r="E18226" s="17" t="s">
        <v>11</v>
      </c>
      <c r="F18226" s="18"/>
      <c r="G18226" s="36" t="str">
        <f>IF(ISNUMBER(F18226),C18226*F18226,"")</f>
        <v/>
      </c>
    </row>
    <row r="18227" spans="1:7" ht="12" customHeight="1" outlineLevel="2" x14ac:dyDescent="0.2">
      <c r="A18227" s="14" t="s">
        <v>35878</v>
      </c>
      <c r="B18227" s="15" t="s">
        <v>35879</v>
      </c>
      <c r="C18227" s="19">
        <f>1026.3/(1+B2)</f>
        <v>1026.3</v>
      </c>
      <c r="D18227" s="17" t="s">
        <v>11</v>
      </c>
      <c r="E18227" s="17" t="s">
        <v>11</v>
      </c>
      <c r="F18227" s="18"/>
      <c r="G18227" s="36" t="str">
        <f>IF(ISNUMBER(F18227),C18227*F18227,"")</f>
        <v/>
      </c>
    </row>
    <row r="18228" spans="1:7" ht="12" customHeight="1" outlineLevel="2" x14ac:dyDescent="0.2">
      <c r="A18228" s="14" t="s">
        <v>35880</v>
      </c>
      <c r="B18228" s="15" t="s">
        <v>35881</v>
      </c>
      <c r="C18228" s="19">
        <f>1026.3/(1+B2)</f>
        <v>1026.3</v>
      </c>
      <c r="D18228" s="17" t="s">
        <v>11</v>
      </c>
      <c r="E18228" s="17" t="s">
        <v>11</v>
      </c>
      <c r="F18228" s="18"/>
      <c r="G18228" s="36" t="str">
        <f>IF(ISNUMBER(F18228),C18228*F18228,"")</f>
        <v/>
      </c>
    </row>
    <row r="18229" spans="1:7" ht="12" customHeight="1" outlineLevel="2" x14ac:dyDescent="0.2">
      <c r="A18229" s="14" t="s">
        <v>35882</v>
      </c>
      <c r="B18229" s="15" t="s">
        <v>35883</v>
      </c>
      <c r="C18229" s="19">
        <f>1323/(1+B2)</f>
        <v>1323</v>
      </c>
      <c r="D18229" s="17" t="s">
        <v>11</v>
      </c>
      <c r="E18229" s="17" t="s">
        <v>11</v>
      </c>
      <c r="F18229" s="18"/>
      <c r="G18229" s="36" t="str">
        <f>IF(ISNUMBER(F18229),C18229*F18229,"")</f>
        <v/>
      </c>
    </row>
    <row r="18230" spans="1:7" ht="12" customHeight="1" outlineLevel="2" x14ac:dyDescent="0.2">
      <c r="A18230" s="14" t="s">
        <v>35884</v>
      </c>
      <c r="B18230" s="15" t="s">
        <v>35885</v>
      </c>
      <c r="C18230" s="19">
        <f>1471.5/(1+B2)</f>
        <v>1471.5</v>
      </c>
      <c r="D18230" s="17" t="s">
        <v>11</v>
      </c>
      <c r="E18230" s="17" t="s">
        <v>11</v>
      </c>
      <c r="F18230" s="18"/>
      <c r="G18230" s="36" t="str">
        <f>IF(ISNUMBER(F18230),C18230*F18230,"")</f>
        <v/>
      </c>
    </row>
    <row r="18231" spans="1:7" ht="12" customHeight="1" outlineLevel="2" x14ac:dyDescent="0.2">
      <c r="A18231" s="14" t="s">
        <v>35886</v>
      </c>
      <c r="B18231" s="15" t="s">
        <v>35887</v>
      </c>
      <c r="C18231" s="19">
        <f>1174.5/(1+B2)</f>
        <v>1174.5</v>
      </c>
      <c r="D18231" s="17" t="s">
        <v>11</v>
      </c>
      <c r="E18231" s="17" t="s">
        <v>11</v>
      </c>
      <c r="F18231" s="18"/>
      <c r="G18231" s="36" t="str">
        <f>IF(ISNUMBER(F18231),C18231*F18231,"")</f>
        <v/>
      </c>
    </row>
    <row r="18232" spans="1:7" ht="12" customHeight="1" outlineLevel="2" x14ac:dyDescent="0.2">
      <c r="A18232" s="14" t="s">
        <v>35888</v>
      </c>
      <c r="B18232" s="15" t="s">
        <v>35889</v>
      </c>
      <c r="C18232" s="16">
        <f>985.5/(1+B2)</f>
        <v>985.5</v>
      </c>
      <c r="D18232" s="17" t="s">
        <v>11</v>
      </c>
      <c r="E18232" s="17" t="s">
        <v>11</v>
      </c>
      <c r="F18232" s="18"/>
      <c r="G18232" s="36" t="str">
        <f>IF(ISNUMBER(F18232),C18232*F18232,"")</f>
        <v/>
      </c>
    </row>
    <row r="18233" spans="1:7" ht="12" customHeight="1" outlineLevel="2" x14ac:dyDescent="0.2">
      <c r="A18233" s="14" t="s">
        <v>35890</v>
      </c>
      <c r="B18233" s="15" t="s">
        <v>35891</v>
      </c>
      <c r="C18233" s="19">
        <f>2376/(1+B2)</f>
        <v>2376</v>
      </c>
      <c r="D18233" s="17" t="s">
        <v>11</v>
      </c>
      <c r="E18233" s="17" t="s">
        <v>11</v>
      </c>
      <c r="F18233" s="18"/>
      <c r="G18233" s="36" t="str">
        <f>IF(ISNUMBER(F18233),C18233*F18233,"")</f>
        <v/>
      </c>
    </row>
    <row r="18234" spans="1:7" ht="12" customHeight="1" outlineLevel="2" x14ac:dyDescent="0.2">
      <c r="A18234" s="14" t="s">
        <v>35892</v>
      </c>
      <c r="B18234" s="15" t="s">
        <v>35893</v>
      </c>
      <c r="C18234" s="19">
        <f>2875.5/(1+B2)</f>
        <v>2875.5</v>
      </c>
      <c r="D18234" s="17"/>
      <c r="E18234" s="17" t="s">
        <v>11</v>
      </c>
      <c r="F18234" s="18"/>
      <c r="G18234" s="36" t="str">
        <f>IF(ISNUMBER(F18234),C18234*F18234,"")</f>
        <v/>
      </c>
    </row>
    <row r="18235" spans="1:7" ht="12" customHeight="1" outlineLevel="2" x14ac:dyDescent="0.2">
      <c r="A18235" s="14" t="s">
        <v>35894</v>
      </c>
      <c r="B18235" s="15" t="s">
        <v>35895</v>
      </c>
      <c r="C18235" s="19">
        <f>2108.52/(1+B2)</f>
        <v>2108.52</v>
      </c>
      <c r="D18235" s="17" t="s">
        <v>11</v>
      </c>
      <c r="E18235" s="17"/>
      <c r="F18235" s="18"/>
      <c r="G18235" s="36" t="str">
        <f>IF(ISNUMBER(F18235),C18235*F18235,"")</f>
        <v/>
      </c>
    </row>
    <row r="18236" spans="1:7" ht="12" customHeight="1" outlineLevel="2" x14ac:dyDescent="0.2">
      <c r="A18236" s="14" t="s">
        <v>35896</v>
      </c>
      <c r="B18236" s="15" t="s">
        <v>35897</v>
      </c>
      <c r="C18236" s="19">
        <f>2868.06/(1+B2)</f>
        <v>2868.06</v>
      </c>
      <c r="D18236" s="17"/>
      <c r="E18236" s="17" t="s">
        <v>11</v>
      </c>
      <c r="F18236" s="18"/>
      <c r="G18236" s="36" t="str">
        <f>IF(ISNUMBER(F18236),C18236*F18236,"")</f>
        <v/>
      </c>
    </row>
    <row r="18237" spans="1:7" ht="12" customHeight="1" outlineLevel="2" x14ac:dyDescent="0.2">
      <c r="A18237" s="14" t="s">
        <v>35898</v>
      </c>
      <c r="B18237" s="15" t="s">
        <v>35899</v>
      </c>
      <c r="C18237" s="19">
        <f>3168.3/(1+B2)</f>
        <v>3168.3</v>
      </c>
      <c r="D18237" s="17"/>
      <c r="E18237" s="17" t="s">
        <v>11</v>
      </c>
      <c r="F18237" s="18"/>
      <c r="G18237" s="36" t="str">
        <f>IF(ISNUMBER(F18237),C18237*F18237,"")</f>
        <v/>
      </c>
    </row>
    <row r="18238" spans="1:7" ht="12" customHeight="1" outlineLevel="2" x14ac:dyDescent="0.2">
      <c r="A18238" s="14" t="s">
        <v>35900</v>
      </c>
      <c r="B18238" s="15" t="s">
        <v>35901</v>
      </c>
      <c r="C18238" s="19">
        <f>1648.34/(1+B2)</f>
        <v>1648.34</v>
      </c>
      <c r="D18238" s="17" t="s">
        <v>11</v>
      </c>
      <c r="E18238" s="17" t="s">
        <v>11</v>
      </c>
      <c r="F18238" s="18"/>
      <c r="G18238" s="36" t="str">
        <f>IF(ISNUMBER(F18238),C18238*F18238,"")</f>
        <v/>
      </c>
    </row>
    <row r="18239" spans="1:7" ht="12" customHeight="1" outlineLevel="2" x14ac:dyDescent="0.2">
      <c r="A18239" s="14" t="s">
        <v>35902</v>
      </c>
      <c r="B18239" s="15" t="s">
        <v>35903</v>
      </c>
      <c r="C18239" s="19">
        <f>1364.28/(1+B2)</f>
        <v>1364.28</v>
      </c>
      <c r="D18239" s="17" t="s">
        <v>11</v>
      </c>
      <c r="E18239" s="17"/>
      <c r="F18239" s="18"/>
      <c r="G18239" s="36" t="str">
        <f>IF(ISNUMBER(F18239),C18239*F18239,"")</f>
        <v/>
      </c>
    </row>
    <row r="18240" spans="1:7" ht="12" customHeight="1" outlineLevel="2" x14ac:dyDescent="0.2">
      <c r="A18240" s="14" t="s">
        <v>35904</v>
      </c>
      <c r="B18240" s="15" t="s">
        <v>35905</v>
      </c>
      <c r="C18240" s="19">
        <f>2065.08/(1+B2)</f>
        <v>2065.08</v>
      </c>
      <c r="D18240" s="17" t="s">
        <v>11</v>
      </c>
      <c r="E18240" s="17"/>
      <c r="F18240" s="18"/>
      <c r="G18240" s="36" t="str">
        <f>IF(ISNUMBER(F18240),C18240*F18240,"")</f>
        <v/>
      </c>
    </row>
    <row r="18241" spans="1:7" ht="12" customHeight="1" outlineLevel="2" x14ac:dyDescent="0.2">
      <c r="A18241" s="14" t="s">
        <v>35906</v>
      </c>
      <c r="B18241" s="15" t="s">
        <v>35907</v>
      </c>
      <c r="C18241" s="19">
        <f>2156.46/(1+B2)</f>
        <v>2156.46</v>
      </c>
      <c r="D18241" s="17" t="s">
        <v>11</v>
      </c>
      <c r="E18241" s="17" t="s">
        <v>11</v>
      </c>
      <c r="F18241" s="18"/>
      <c r="G18241" s="36" t="str">
        <f>IF(ISNUMBER(F18241),C18241*F18241,"")</f>
        <v/>
      </c>
    </row>
    <row r="18242" spans="1:7" ht="12" customHeight="1" outlineLevel="2" x14ac:dyDescent="0.2">
      <c r="A18242" s="14" t="s">
        <v>35908</v>
      </c>
      <c r="B18242" s="15" t="s">
        <v>35909</v>
      </c>
      <c r="C18242" s="16">
        <f>452.34/(1+B2)</f>
        <v>452.34</v>
      </c>
      <c r="D18242" s="17" t="s">
        <v>11</v>
      </c>
      <c r="E18242" s="17" t="s">
        <v>11</v>
      </c>
      <c r="F18242" s="18"/>
      <c r="G18242" s="36" t="str">
        <f>IF(ISNUMBER(F18242),C18242*F18242,"")</f>
        <v/>
      </c>
    </row>
    <row r="18243" spans="1:7" ht="12" customHeight="1" outlineLevel="2" x14ac:dyDescent="0.2">
      <c r="A18243" s="14" t="s">
        <v>35910</v>
      </c>
      <c r="B18243" s="15" t="s">
        <v>35911</v>
      </c>
      <c r="C18243" s="16">
        <f>610.74/(1+B2)</f>
        <v>610.74</v>
      </c>
      <c r="D18243" s="17" t="s">
        <v>11</v>
      </c>
      <c r="E18243" s="17" t="s">
        <v>11</v>
      </c>
      <c r="F18243" s="18"/>
      <c r="G18243" s="36" t="str">
        <f>IF(ISNUMBER(F18243),C18243*F18243,"")</f>
        <v/>
      </c>
    </row>
    <row r="18244" spans="1:7" ht="24" customHeight="1" outlineLevel="2" x14ac:dyDescent="0.2">
      <c r="A18244" s="14" t="s">
        <v>35912</v>
      </c>
      <c r="B18244" s="15" t="s">
        <v>35913</v>
      </c>
      <c r="C18244" s="19">
        <f>1669.26/(1+B2)</f>
        <v>1669.26</v>
      </c>
      <c r="D18244" s="17" t="s">
        <v>11</v>
      </c>
      <c r="E18244" s="17"/>
      <c r="F18244" s="18"/>
      <c r="G18244" s="36" t="str">
        <f>IF(ISNUMBER(F18244),C18244*F18244,"")</f>
        <v/>
      </c>
    </row>
    <row r="18245" spans="1:7" ht="24" customHeight="1" outlineLevel="2" x14ac:dyDescent="0.2">
      <c r="A18245" s="14" t="s">
        <v>35914</v>
      </c>
      <c r="B18245" s="15" t="s">
        <v>35915</v>
      </c>
      <c r="C18245" s="19">
        <f>1979.1/(1+B2)</f>
        <v>1979.1</v>
      </c>
      <c r="D18245" s="17" t="s">
        <v>11</v>
      </c>
      <c r="E18245" s="17" t="s">
        <v>11</v>
      </c>
      <c r="F18245" s="18"/>
      <c r="G18245" s="36" t="str">
        <f>IF(ISNUMBER(F18245),C18245*F18245,"")</f>
        <v/>
      </c>
    </row>
    <row r="18246" spans="1:7" s="1" customFormat="1" ht="15.95" customHeight="1" outlineLevel="1" x14ac:dyDescent="0.25">
      <c r="A18246" s="11"/>
      <c r="B18246" s="12" t="s">
        <v>35916</v>
      </c>
      <c r="C18246" s="13"/>
      <c r="D18246" s="13"/>
      <c r="E18246" s="13"/>
      <c r="F18246" s="13"/>
      <c r="G18246" s="35"/>
    </row>
    <row r="18247" spans="1:7" ht="12" customHeight="1" outlineLevel="2" x14ac:dyDescent="0.2">
      <c r="A18247" s="14" t="s">
        <v>35917</v>
      </c>
      <c r="B18247" s="15" t="s">
        <v>35918</v>
      </c>
      <c r="C18247" s="16">
        <f>84.6/(1+B2)</f>
        <v>84.6</v>
      </c>
      <c r="D18247" s="17" t="s">
        <v>11</v>
      </c>
      <c r="E18247" s="17"/>
      <c r="F18247" s="18"/>
      <c r="G18247" s="36" t="str">
        <f>IF(ISNUMBER(F18247),C18247*F18247,"")</f>
        <v/>
      </c>
    </row>
    <row r="18248" spans="1:7" ht="12" customHeight="1" outlineLevel="2" x14ac:dyDescent="0.2">
      <c r="A18248" s="14" t="s">
        <v>35919</v>
      </c>
      <c r="B18248" s="15" t="s">
        <v>35920</v>
      </c>
      <c r="C18248" s="16">
        <f>71.64/(1+B2)</f>
        <v>71.64</v>
      </c>
      <c r="D18248" s="17" t="s">
        <v>11</v>
      </c>
      <c r="E18248" s="17"/>
      <c r="F18248" s="18"/>
      <c r="G18248" s="36" t="str">
        <f>IF(ISNUMBER(F18248),C18248*F18248,"")</f>
        <v/>
      </c>
    </row>
    <row r="18249" spans="1:7" ht="12" customHeight="1" outlineLevel="2" x14ac:dyDescent="0.2">
      <c r="A18249" s="14" t="s">
        <v>35921</v>
      </c>
      <c r="B18249" s="15" t="s">
        <v>35922</v>
      </c>
      <c r="C18249" s="16">
        <f>57.59/(1+B2)</f>
        <v>57.59</v>
      </c>
      <c r="D18249" s="17" t="s">
        <v>11</v>
      </c>
      <c r="E18249" s="17"/>
      <c r="F18249" s="18"/>
      <c r="G18249" s="36" t="str">
        <f>IF(ISNUMBER(F18249),C18249*F18249,"")</f>
        <v/>
      </c>
    </row>
    <row r="18250" spans="1:7" ht="24" customHeight="1" outlineLevel="2" x14ac:dyDescent="0.2">
      <c r="A18250" s="14" t="s">
        <v>35923</v>
      </c>
      <c r="B18250" s="15" t="s">
        <v>35924</v>
      </c>
      <c r="C18250" s="16">
        <f>135.14/(1+B2)</f>
        <v>135.13999999999999</v>
      </c>
      <c r="D18250" s="17" t="s">
        <v>11</v>
      </c>
      <c r="E18250" s="17"/>
      <c r="F18250" s="18"/>
      <c r="G18250" s="36" t="str">
        <f>IF(ISNUMBER(F18250),C18250*F18250,"")</f>
        <v/>
      </c>
    </row>
    <row r="18251" spans="1:7" ht="12" customHeight="1" outlineLevel="2" x14ac:dyDescent="0.2">
      <c r="A18251" s="14" t="s">
        <v>35925</v>
      </c>
      <c r="B18251" s="15" t="s">
        <v>35926</v>
      </c>
      <c r="C18251" s="16">
        <f>63.24/(1+B2)</f>
        <v>63.24</v>
      </c>
      <c r="D18251" s="17" t="s">
        <v>11</v>
      </c>
      <c r="E18251" s="17" t="s">
        <v>11</v>
      </c>
      <c r="F18251" s="18"/>
      <c r="G18251" s="36" t="str">
        <f>IF(ISNUMBER(F18251),C18251*F18251,"")</f>
        <v/>
      </c>
    </row>
    <row r="18252" spans="1:7" ht="12" customHeight="1" outlineLevel="2" x14ac:dyDescent="0.2">
      <c r="A18252" s="14" t="s">
        <v>35927</v>
      </c>
      <c r="B18252" s="15" t="s">
        <v>35928</v>
      </c>
      <c r="C18252" s="16">
        <f>76.49/(1+B2)</f>
        <v>76.489999999999995</v>
      </c>
      <c r="D18252" s="17" t="s">
        <v>11</v>
      </c>
      <c r="E18252" s="17"/>
      <c r="F18252" s="18"/>
      <c r="G18252" s="36" t="str">
        <f>IF(ISNUMBER(F18252),C18252*F18252,"")</f>
        <v/>
      </c>
    </row>
    <row r="18253" spans="1:7" ht="12" customHeight="1" outlineLevel="2" x14ac:dyDescent="0.2">
      <c r="A18253" s="14" t="s">
        <v>35929</v>
      </c>
      <c r="B18253" s="15" t="s">
        <v>35930</v>
      </c>
      <c r="C18253" s="16">
        <f>82/(1+B2)</f>
        <v>82</v>
      </c>
      <c r="D18253" s="17" t="s">
        <v>11</v>
      </c>
      <c r="E18253" s="17"/>
      <c r="F18253" s="18"/>
      <c r="G18253" s="36" t="str">
        <f>IF(ISNUMBER(F18253),C18253*F18253,"")</f>
        <v/>
      </c>
    </row>
    <row r="18254" spans="1:7" ht="12" customHeight="1" outlineLevel="2" x14ac:dyDescent="0.2">
      <c r="A18254" s="14" t="s">
        <v>35931</v>
      </c>
      <c r="B18254" s="15" t="s">
        <v>35932</v>
      </c>
      <c r="C18254" s="16">
        <f>60.65/(1+B2)</f>
        <v>60.65</v>
      </c>
      <c r="D18254" s="17" t="s">
        <v>11</v>
      </c>
      <c r="E18254" s="17"/>
      <c r="F18254" s="18"/>
      <c r="G18254" s="36" t="str">
        <f>IF(ISNUMBER(F18254),C18254*F18254,"")</f>
        <v/>
      </c>
    </row>
    <row r="18255" spans="1:7" ht="12" customHeight="1" outlineLevel="2" x14ac:dyDescent="0.2">
      <c r="A18255" s="14" t="s">
        <v>35933</v>
      </c>
      <c r="B18255" s="15" t="s">
        <v>35934</v>
      </c>
      <c r="C18255" s="16">
        <f>114.19/(1+B2)</f>
        <v>114.19</v>
      </c>
      <c r="D18255" s="17" t="s">
        <v>11</v>
      </c>
      <c r="E18255" s="17"/>
      <c r="F18255" s="18"/>
      <c r="G18255" s="36" t="str">
        <f>IF(ISNUMBER(F18255),C18255*F18255,"")</f>
        <v/>
      </c>
    </row>
    <row r="18256" spans="1:7" ht="12" customHeight="1" outlineLevel="2" x14ac:dyDescent="0.2">
      <c r="A18256" s="14" t="s">
        <v>35935</v>
      </c>
      <c r="B18256" s="15" t="s">
        <v>35936</v>
      </c>
      <c r="C18256" s="16">
        <f>16.58/(1+B2)</f>
        <v>16.579999999999998</v>
      </c>
      <c r="D18256" s="17" t="s">
        <v>11</v>
      </c>
      <c r="E18256" s="17" t="s">
        <v>53</v>
      </c>
      <c r="F18256" s="18"/>
      <c r="G18256" s="36" t="str">
        <f>IF(ISNUMBER(F18256),C18256*F18256,"")</f>
        <v/>
      </c>
    </row>
    <row r="18257" spans="1:7" ht="12" customHeight="1" outlineLevel="2" x14ac:dyDescent="0.2">
      <c r="A18257" s="14" t="s">
        <v>35937</v>
      </c>
      <c r="B18257" s="15" t="s">
        <v>35938</v>
      </c>
      <c r="C18257" s="16">
        <f>101.5/(1+B2)</f>
        <v>101.5</v>
      </c>
      <c r="D18257" s="17" t="s">
        <v>11</v>
      </c>
      <c r="E18257" s="17"/>
      <c r="F18257" s="18"/>
      <c r="G18257" s="36" t="str">
        <f>IF(ISNUMBER(F18257),C18257*F18257,"")</f>
        <v/>
      </c>
    </row>
    <row r="18258" spans="1:7" ht="12" customHeight="1" outlineLevel="2" x14ac:dyDescent="0.2">
      <c r="A18258" s="14" t="s">
        <v>35939</v>
      </c>
      <c r="B18258" s="15" t="s">
        <v>35940</v>
      </c>
      <c r="C18258" s="16">
        <f>131.14/(1+B2)</f>
        <v>131.13999999999999</v>
      </c>
      <c r="D18258" s="17" t="s">
        <v>11</v>
      </c>
      <c r="E18258" s="17"/>
      <c r="F18258" s="18"/>
      <c r="G18258" s="36" t="str">
        <f>IF(ISNUMBER(F18258),C18258*F18258,"")</f>
        <v/>
      </c>
    </row>
    <row r="18259" spans="1:7" ht="12" customHeight="1" outlineLevel="2" x14ac:dyDescent="0.2">
      <c r="A18259" s="14" t="s">
        <v>35941</v>
      </c>
      <c r="B18259" s="15" t="s">
        <v>35942</v>
      </c>
      <c r="C18259" s="16">
        <f>65.28/(1+B2)</f>
        <v>65.28</v>
      </c>
      <c r="D18259" s="17" t="s">
        <v>53</v>
      </c>
      <c r="E18259" s="17"/>
      <c r="F18259" s="18"/>
      <c r="G18259" s="36" t="str">
        <f>IF(ISNUMBER(F18259),C18259*F18259,"")</f>
        <v/>
      </c>
    </row>
    <row r="18260" spans="1:7" ht="12" customHeight="1" outlineLevel="2" x14ac:dyDescent="0.2">
      <c r="A18260" s="14" t="s">
        <v>35943</v>
      </c>
      <c r="B18260" s="15" t="s">
        <v>35944</v>
      </c>
      <c r="C18260" s="16">
        <f>189.72/(1+B2)</f>
        <v>189.72</v>
      </c>
      <c r="D18260" s="17" t="s">
        <v>14</v>
      </c>
      <c r="E18260" s="17"/>
      <c r="F18260" s="18"/>
      <c r="G18260" s="36" t="str">
        <f>IF(ISNUMBER(F18260),C18260*F18260,"")</f>
        <v/>
      </c>
    </row>
    <row r="18261" spans="1:7" ht="12" customHeight="1" outlineLevel="2" x14ac:dyDescent="0.2">
      <c r="A18261" s="14" t="s">
        <v>35945</v>
      </c>
      <c r="B18261" s="15" t="s">
        <v>35946</v>
      </c>
      <c r="C18261" s="16">
        <f>40.56/(1+B2)</f>
        <v>40.56</v>
      </c>
      <c r="D18261" s="17" t="s">
        <v>11</v>
      </c>
      <c r="E18261" s="17" t="s">
        <v>11</v>
      </c>
      <c r="F18261" s="18"/>
      <c r="G18261" s="36" t="str">
        <f>IF(ISNUMBER(F18261),C18261*F18261,"")</f>
        <v/>
      </c>
    </row>
    <row r="18262" spans="1:7" ht="12" customHeight="1" outlineLevel="2" x14ac:dyDescent="0.2">
      <c r="A18262" s="14" t="s">
        <v>35947</v>
      </c>
      <c r="B18262" s="15" t="s">
        <v>35948</v>
      </c>
      <c r="C18262" s="16">
        <f>40.56/(1+B2)</f>
        <v>40.56</v>
      </c>
      <c r="D18262" s="17" t="s">
        <v>11</v>
      </c>
      <c r="E18262" s="17" t="s">
        <v>11</v>
      </c>
      <c r="F18262" s="18"/>
      <c r="G18262" s="36" t="str">
        <f>IF(ISNUMBER(F18262),C18262*F18262,"")</f>
        <v/>
      </c>
    </row>
    <row r="18263" spans="1:7" ht="12" customHeight="1" outlineLevel="2" x14ac:dyDescent="0.2">
      <c r="A18263" s="14" t="s">
        <v>35949</v>
      </c>
      <c r="B18263" s="15" t="s">
        <v>35950</v>
      </c>
      <c r="C18263" s="16">
        <f>30.24/(1+B2)</f>
        <v>30.24</v>
      </c>
      <c r="D18263" s="17" t="s">
        <v>11</v>
      </c>
      <c r="E18263" s="17" t="s">
        <v>11</v>
      </c>
      <c r="F18263" s="18"/>
      <c r="G18263" s="36" t="str">
        <f>IF(ISNUMBER(F18263),C18263*F18263,"")</f>
        <v/>
      </c>
    </row>
    <row r="18264" spans="1:7" ht="12" customHeight="1" outlineLevel="2" x14ac:dyDescent="0.2">
      <c r="A18264" s="14" t="s">
        <v>35951</v>
      </c>
      <c r="B18264" s="15" t="s">
        <v>35952</v>
      </c>
      <c r="C18264" s="16">
        <f>45.8/(1+B2)</f>
        <v>45.8</v>
      </c>
      <c r="D18264" s="17" t="s">
        <v>11</v>
      </c>
      <c r="E18264" s="17"/>
      <c r="F18264" s="18"/>
      <c r="G18264" s="36" t="str">
        <f>IF(ISNUMBER(F18264),C18264*F18264,"")</f>
        <v/>
      </c>
    </row>
    <row r="18265" spans="1:7" ht="12" customHeight="1" outlineLevel="2" x14ac:dyDescent="0.2">
      <c r="A18265" s="14" t="s">
        <v>35953</v>
      </c>
      <c r="B18265" s="15" t="s">
        <v>35954</v>
      </c>
      <c r="C18265" s="16">
        <f>49.68/(1+B2)</f>
        <v>49.68</v>
      </c>
      <c r="D18265" s="17" t="s">
        <v>53</v>
      </c>
      <c r="E18265" s="17"/>
      <c r="F18265" s="18"/>
      <c r="G18265" s="36" t="str">
        <f>IF(ISNUMBER(F18265),C18265*F18265,"")</f>
        <v/>
      </c>
    </row>
    <row r="18266" spans="1:7" ht="12" customHeight="1" outlineLevel="2" x14ac:dyDescent="0.2">
      <c r="A18266" s="14" t="s">
        <v>35955</v>
      </c>
      <c r="B18266" s="15" t="s">
        <v>35956</v>
      </c>
      <c r="C18266" s="16">
        <f>45.8/(1+B2)</f>
        <v>45.8</v>
      </c>
      <c r="D18266" s="17" t="s">
        <v>14</v>
      </c>
      <c r="E18266" s="17" t="s">
        <v>11</v>
      </c>
      <c r="F18266" s="18"/>
      <c r="G18266" s="36" t="str">
        <f>IF(ISNUMBER(F18266),C18266*F18266,"")</f>
        <v/>
      </c>
    </row>
    <row r="18267" spans="1:7" ht="12" customHeight="1" outlineLevel="2" x14ac:dyDescent="0.2">
      <c r="A18267" s="14" t="s">
        <v>35957</v>
      </c>
      <c r="B18267" s="15" t="s">
        <v>35958</v>
      </c>
      <c r="C18267" s="16">
        <f>49.68/(1+B2)</f>
        <v>49.68</v>
      </c>
      <c r="D18267" s="17" t="s">
        <v>11</v>
      </c>
      <c r="E18267" s="17"/>
      <c r="F18267" s="18"/>
      <c r="G18267" s="36" t="str">
        <f>IF(ISNUMBER(F18267),C18267*F18267,"")</f>
        <v/>
      </c>
    </row>
    <row r="18268" spans="1:7" ht="12" customHeight="1" outlineLevel="2" x14ac:dyDescent="0.2">
      <c r="A18268" s="14" t="s">
        <v>35959</v>
      </c>
      <c r="B18268" s="15" t="s">
        <v>35960</v>
      </c>
      <c r="C18268" s="16">
        <f>36.11/(1+B2)</f>
        <v>36.11</v>
      </c>
      <c r="D18268" s="17" t="s">
        <v>11</v>
      </c>
      <c r="E18268" s="17"/>
      <c r="F18268" s="18"/>
      <c r="G18268" s="36" t="str">
        <f>IF(ISNUMBER(F18268),C18268*F18268,"")</f>
        <v/>
      </c>
    </row>
    <row r="18269" spans="1:7" ht="12" customHeight="1" outlineLevel="2" x14ac:dyDescent="0.2">
      <c r="A18269" s="14" t="s">
        <v>35961</v>
      </c>
      <c r="B18269" s="15" t="s">
        <v>35962</v>
      </c>
      <c r="C18269" s="16">
        <f>86.58/(1+B2)</f>
        <v>86.58</v>
      </c>
      <c r="D18269" s="17" t="s">
        <v>53</v>
      </c>
      <c r="E18269" s="17" t="s">
        <v>14</v>
      </c>
      <c r="F18269" s="18"/>
      <c r="G18269" s="36" t="str">
        <f>IF(ISNUMBER(F18269),C18269*F18269,"")</f>
        <v/>
      </c>
    </row>
    <row r="18270" spans="1:7" ht="12" customHeight="1" outlineLevel="2" x14ac:dyDescent="0.2">
      <c r="A18270" s="14" t="s">
        <v>35963</v>
      </c>
      <c r="B18270" s="15" t="s">
        <v>35964</v>
      </c>
      <c r="C18270" s="16">
        <f>32.7/(1+B2)</f>
        <v>32.700000000000003</v>
      </c>
      <c r="D18270" s="17" t="s">
        <v>11</v>
      </c>
      <c r="E18270" s="17" t="s">
        <v>14</v>
      </c>
      <c r="F18270" s="18"/>
      <c r="G18270" s="36" t="str">
        <f>IF(ISNUMBER(F18270),C18270*F18270,"")</f>
        <v/>
      </c>
    </row>
    <row r="18271" spans="1:7" ht="12" customHeight="1" outlineLevel="2" x14ac:dyDescent="0.2">
      <c r="A18271" s="14" t="s">
        <v>35965</v>
      </c>
      <c r="B18271" s="15" t="s">
        <v>35966</v>
      </c>
      <c r="C18271" s="16">
        <f>34.32/(1+B2)</f>
        <v>34.32</v>
      </c>
      <c r="D18271" s="17" t="s">
        <v>53</v>
      </c>
      <c r="E18271" s="17"/>
      <c r="F18271" s="18"/>
      <c r="G18271" s="36" t="str">
        <f>IF(ISNUMBER(F18271),C18271*F18271,"")</f>
        <v/>
      </c>
    </row>
    <row r="18272" spans="1:7" ht="12" customHeight="1" outlineLevel="2" x14ac:dyDescent="0.2">
      <c r="A18272" s="14" t="s">
        <v>35967</v>
      </c>
      <c r="B18272" s="15" t="s">
        <v>35968</v>
      </c>
      <c r="C18272" s="16">
        <f>34.32/(1+B2)</f>
        <v>34.32</v>
      </c>
      <c r="D18272" s="17" t="s">
        <v>14</v>
      </c>
      <c r="E18272" s="17"/>
      <c r="F18272" s="18"/>
      <c r="G18272" s="36" t="str">
        <f>IF(ISNUMBER(F18272),C18272*F18272,"")</f>
        <v/>
      </c>
    </row>
    <row r="18273" spans="1:7" ht="12" customHeight="1" outlineLevel="2" x14ac:dyDescent="0.2">
      <c r="A18273" s="14" t="s">
        <v>35969</v>
      </c>
      <c r="B18273" s="15" t="s">
        <v>35970</v>
      </c>
      <c r="C18273" s="16">
        <f>55.56/(1+B2)</f>
        <v>55.56</v>
      </c>
      <c r="D18273" s="17" t="s">
        <v>53</v>
      </c>
      <c r="E18273" s="17"/>
      <c r="F18273" s="18"/>
      <c r="G18273" s="36" t="str">
        <f>IF(ISNUMBER(F18273),C18273*F18273,"")</f>
        <v/>
      </c>
    </row>
    <row r="18274" spans="1:7" ht="12" customHeight="1" outlineLevel="2" x14ac:dyDescent="0.2">
      <c r="A18274" s="14" t="s">
        <v>35971</v>
      </c>
      <c r="B18274" s="15" t="s">
        <v>35972</v>
      </c>
      <c r="C18274" s="16">
        <f>19.54/(1+B2)</f>
        <v>19.54</v>
      </c>
      <c r="D18274" s="17" t="s">
        <v>11</v>
      </c>
      <c r="E18274" s="17" t="s">
        <v>53</v>
      </c>
      <c r="F18274" s="18"/>
      <c r="G18274" s="36" t="str">
        <f>IF(ISNUMBER(F18274),C18274*F18274,"")</f>
        <v/>
      </c>
    </row>
    <row r="18275" spans="1:7" ht="12" customHeight="1" outlineLevel="2" x14ac:dyDescent="0.2">
      <c r="A18275" s="14" t="s">
        <v>35973</v>
      </c>
      <c r="B18275" s="15" t="s">
        <v>35974</v>
      </c>
      <c r="C18275" s="16">
        <f>19.21/(1+B2)</f>
        <v>19.21</v>
      </c>
      <c r="D18275" s="17" t="s">
        <v>53</v>
      </c>
      <c r="E18275" s="17"/>
      <c r="F18275" s="18"/>
      <c r="G18275" s="36" t="str">
        <f>IF(ISNUMBER(F18275),C18275*F18275,"")</f>
        <v/>
      </c>
    </row>
    <row r="18276" spans="1:7" ht="12" customHeight="1" outlineLevel="2" x14ac:dyDescent="0.2">
      <c r="A18276" s="14" t="s">
        <v>35975</v>
      </c>
      <c r="B18276" s="15" t="s">
        <v>35976</v>
      </c>
      <c r="C18276" s="16">
        <f>19.21/(1+B2)</f>
        <v>19.21</v>
      </c>
      <c r="D18276" s="17" t="s">
        <v>53</v>
      </c>
      <c r="E18276" s="17"/>
      <c r="F18276" s="18"/>
      <c r="G18276" s="36" t="str">
        <f>IF(ISNUMBER(F18276),C18276*F18276,"")</f>
        <v/>
      </c>
    </row>
    <row r="18277" spans="1:7" ht="12" customHeight="1" outlineLevel="2" x14ac:dyDescent="0.2">
      <c r="A18277" s="14" t="s">
        <v>35977</v>
      </c>
      <c r="B18277" s="15" t="s">
        <v>35978</v>
      </c>
      <c r="C18277" s="16">
        <f>19.21/(1+B2)</f>
        <v>19.21</v>
      </c>
      <c r="D18277" s="17" t="s">
        <v>14</v>
      </c>
      <c r="E18277" s="17"/>
      <c r="F18277" s="18"/>
      <c r="G18277" s="36" t="str">
        <f>IF(ISNUMBER(F18277),C18277*F18277,"")</f>
        <v/>
      </c>
    </row>
    <row r="18278" spans="1:7" ht="12" customHeight="1" outlineLevel="2" x14ac:dyDescent="0.2">
      <c r="A18278" s="14" t="s">
        <v>35979</v>
      </c>
      <c r="B18278" s="15" t="s">
        <v>35980</v>
      </c>
      <c r="C18278" s="16">
        <f>19.21/(1+B2)</f>
        <v>19.21</v>
      </c>
      <c r="D18278" s="17" t="s">
        <v>106</v>
      </c>
      <c r="E18278" s="17"/>
      <c r="F18278" s="18"/>
      <c r="G18278" s="36" t="str">
        <f>IF(ISNUMBER(F18278),C18278*F18278,"")</f>
        <v/>
      </c>
    </row>
    <row r="18279" spans="1:7" ht="12" customHeight="1" outlineLevel="2" x14ac:dyDescent="0.2">
      <c r="A18279" s="14" t="s">
        <v>35981</v>
      </c>
      <c r="B18279" s="15" t="s">
        <v>35982</v>
      </c>
      <c r="C18279" s="16">
        <f>19.21/(1+B2)</f>
        <v>19.21</v>
      </c>
      <c r="D18279" s="17" t="s">
        <v>53</v>
      </c>
      <c r="E18279" s="17"/>
      <c r="F18279" s="18"/>
      <c r="G18279" s="36" t="str">
        <f>IF(ISNUMBER(F18279),C18279*F18279,"")</f>
        <v/>
      </c>
    </row>
    <row r="18280" spans="1:7" ht="12" customHeight="1" outlineLevel="2" x14ac:dyDescent="0.2">
      <c r="A18280" s="14" t="s">
        <v>35983</v>
      </c>
      <c r="B18280" s="15" t="s">
        <v>35984</v>
      </c>
      <c r="C18280" s="16">
        <f>19.21/(1+B2)</f>
        <v>19.21</v>
      </c>
      <c r="D18280" s="17" t="s">
        <v>11</v>
      </c>
      <c r="E18280" s="17"/>
      <c r="F18280" s="18"/>
      <c r="G18280" s="36" t="str">
        <f>IF(ISNUMBER(F18280),C18280*F18280,"")</f>
        <v/>
      </c>
    </row>
    <row r="18281" spans="1:7" ht="12" customHeight="1" outlineLevel="2" x14ac:dyDescent="0.2">
      <c r="A18281" s="14" t="s">
        <v>35985</v>
      </c>
      <c r="B18281" s="15" t="s">
        <v>35986</v>
      </c>
      <c r="C18281" s="16">
        <f>43.03/(1+B2)</f>
        <v>43.03</v>
      </c>
      <c r="D18281" s="17" t="s">
        <v>11</v>
      </c>
      <c r="E18281" s="17"/>
      <c r="F18281" s="18"/>
      <c r="G18281" s="36" t="str">
        <f>IF(ISNUMBER(F18281),C18281*F18281,"")</f>
        <v/>
      </c>
    </row>
    <row r="18282" spans="1:7" ht="12" customHeight="1" outlineLevel="2" x14ac:dyDescent="0.2">
      <c r="A18282" s="14" t="s">
        <v>35987</v>
      </c>
      <c r="B18282" s="15" t="s">
        <v>35988</v>
      </c>
      <c r="C18282" s="16">
        <f>109.29/(1+B2)</f>
        <v>109.29</v>
      </c>
      <c r="D18282" s="17" t="s">
        <v>11</v>
      </c>
      <c r="E18282" s="17"/>
      <c r="F18282" s="18"/>
      <c r="G18282" s="36" t="str">
        <f>IF(ISNUMBER(F18282),C18282*F18282,"")</f>
        <v/>
      </c>
    </row>
    <row r="18283" spans="1:7" ht="12" customHeight="1" outlineLevel="2" x14ac:dyDescent="0.2">
      <c r="A18283" s="14" t="s">
        <v>35989</v>
      </c>
      <c r="B18283" s="15" t="s">
        <v>35990</v>
      </c>
      <c r="C18283" s="16">
        <f>154.48/(1+B2)</f>
        <v>154.47999999999999</v>
      </c>
      <c r="D18283" s="17" t="s">
        <v>11</v>
      </c>
      <c r="E18283" s="17" t="s">
        <v>11</v>
      </c>
      <c r="F18283" s="18"/>
      <c r="G18283" s="36" t="str">
        <f>IF(ISNUMBER(F18283),C18283*F18283,"")</f>
        <v/>
      </c>
    </row>
    <row r="18284" spans="1:7" ht="12" customHeight="1" outlineLevel="2" x14ac:dyDescent="0.2">
      <c r="A18284" s="14" t="s">
        <v>35991</v>
      </c>
      <c r="B18284" s="15" t="s">
        <v>35992</v>
      </c>
      <c r="C18284" s="16">
        <f>108.53/(1+B2)</f>
        <v>108.53</v>
      </c>
      <c r="D18284" s="17" t="s">
        <v>11</v>
      </c>
      <c r="E18284" s="17"/>
      <c r="F18284" s="18"/>
      <c r="G18284" s="36" t="str">
        <f>IF(ISNUMBER(F18284),C18284*F18284,"")</f>
        <v/>
      </c>
    </row>
    <row r="18285" spans="1:7" ht="12" customHeight="1" outlineLevel="2" x14ac:dyDescent="0.2">
      <c r="A18285" s="14" t="s">
        <v>35993</v>
      </c>
      <c r="B18285" s="15" t="s">
        <v>35994</v>
      </c>
      <c r="C18285" s="16">
        <f>84.15/(1+B2)</f>
        <v>84.15</v>
      </c>
      <c r="D18285" s="17" t="s">
        <v>11</v>
      </c>
      <c r="E18285" s="17"/>
      <c r="F18285" s="18"/>
      <c r="G18285" s="36" t="str">
        <f>IF(ISNUMBER(F18285),C18285*F18285,"")</f>
        <v/>
      </c>
    </row>
    <row r="18286" spans="1:7" ht="12" customHeight="1" outlineLevel="2" x14ac:dyDescent="0.2">
      <c r="A18286" s="14" t="s">
        <v>35995</v>
      </c>
      <c r="B18286" s="15" t="s">
        <v>35996</v>
      </c>
      <c r="C18286" s="16">
        <f>125.51/(1+B2)</f>
        <v>125.51</v>
      </c>
      <c r="D18286" s="17" t="s">
        <v>53</v>
      </c>
      <c r="E18286" s="17"/>
      <c r="F18286" s="18"/>
      <c r="G18286" s="36" t="str">
        <f>IF(ISNUMBER(F18286),C18286*F18286,"")</f>
        <v/>
      </c>
    </row>
    <row r="18287" spans="1:7" ht="12" customHeight="1" outlineLevel="2" x14ac:dyDescent="0.2">
      <c r="A18287" s="14" t="s">
        <v>35997</v>
      </c>
      <c r="B18287" s="15" t="s">
        <v>35998</v>
      </c>
      <c r="C18287" s="16">
        <f>46.96/(1+B2)</f>
        <v>46.96</v>
      </c>
      <c r="D18287" s="17" t="s">
        <v>11</v>
      </c>
      <c r="E18287" s="17"/>
      <c r="F18287" s="18"/>
      <c r="G18287" s="36" t="str">
        <f>IF(ISNUMBER(F18287),C18287*F18287,"")</f>
        <v/>
      </c>
    </row>
    <row r="18288" spans="1:7" ht="12" customHeight="1" outlineLevel="2" x14ac:dyDescent="0.2">
      <c r="A18288" s="14" t="s">
        <v>35999</v>
      </c>
      <c r="B18288" s="15" t="s">
        <v>36000</v>
      </c>
      <c r="C18288" s="16">
        <f>46.96/(1+B2)</f>
        <v>46.96</v>
      </c>
      <c r="D18288" s="17" t="s">
        <v>11</v>
      </c>
      <c r="E18288" s="17"/>
      <c r="F18288" s="18"/>
      <c r="G18288" s="36" t="str">
        <f>IF(ISNUMBER(F18288),C18288*F18288,"")</f>
        <v/>
      </c>
    </row>
    <row r="18289" spans="1:7" ht="12" customHeight="1" outlineLevel="2" x14ac:dyDescent="0.2">
      <c r="A18289" s="14" t="s">
        <v>36001</v>
      </c>
      <c r="B18289" s="15" t="s">
        <v>36002</v>
      </c>
      <c r="C18289" s="16">
        <f>46.96/(1+B2)</f>
        <v>46.96</v>
      </c>
      <c r="D18289" s="17" t="s">
        <v>11</v>
      </c>
      <c r="E18289" s="17"/>
      <c r="F18289" s="18"/>
      <c r="G18289" s="36" t="str">
        <f>IF(ISNUMBER(F18289),C18289*F18289,"")</f>
        <v/>
      </c>
    </row>
    <row r="18290" spans="1:7" ht="12" customHeight="1" outlineLevel="2" x14ac:dyDescent="0.2">
      <c r="A18290" s="14" t="s">
        <v>36003</v>
      </c>
      <c r="B18290" s="15" t="s">
        <v>36004</v>
      </c>
      <c r="C18290" s="16">
        <f>74.24/(1+B2)</f>
        <v>74.239999999999995</v>
      </c>
      <c r="D18290" s="17" t="s">
        <v>11</v>
      </c>
      <c r="E18290" s="17"/>
      <c r="F18290" s="18"/>
      <c r="G18290" s="36" t="str">
        <f>IF(ISNUMBER(F18290),C18290*F18290,"")</f>
        <v/>
      </c>
    </row>
    <row r="18291" spans="1:7" ht="12" customHeight="1" outlineLevel="2" x14ac:dyDescent="0.2">
      <c r="A18291" s="14" t="s">
        <v>36005</v>
      </c>
      <c r="B18291" s="15" t="s">
        <v>36006</v>
      </c>
      <c r="C18291" s="16">
        <f>61.71/(1+B2)</f>
        <v>61.71</v>
      </c>
      <c r="D18291" s="17" t="s">
        <v>11</v>
      </c>
      <c r="E18291" s="17" t="s">
        <v>53</v>
      </c>
      <c r="F18291" s="18"/>
      <c r="G18291" s="36" t="str">
        <f>IF(ISNUMBER(F18291),C18291*F18291,"")</f>
        <v/>
      </c>
    </row>
    <row r="18292" spans="1:7" ht="12" customHeight="1" outlineLevel="2" x14ac:dyDescent="0.2">
      <c r="A18292" s="14" t="s">
        <v>36007</v>
      </c>
      <c r="B18292" s="15" t="s">
        <v>36008</v>
      </c>
      <c r="C18292" s="16">
        <f>24.3/(1+B2)</f>
        <v>24.3</v>
      </c>
      <c r="D18292" s="17" t="s">
        <v>11</v>
      </c>
      <c r="E18292" s="17"/>
      <c r="F18292" s="18"/>
      <c r="G18292" s="36" t="str">
        <f>IF(ISNUMBER(F18292),C18292*F18292,"")</f>
        <v/>
      </c>
    </row>
    <row r="18293" spans="1:7" ht="12" customHeight="1" outlineLevel="2" x14ac:dyDescent="0.2">
      <c r="A18293" s="14" t="s">
        <v>36009</v>
      </c>
      <c r="B18293" s="15" t="s">
        <v>36010</v>
      </c>
      <c r="C18293" s="16">
        <f>14.05/(1+B2)</f>
        <v>14.05</v>
      </c>
      <c r="D18293" s="17" t="s">
        <v>11</v>
      </c>
      <c r="E18293" s="17"/>
      <c r="F18293" s="18"/>
      <c r="G18293" s="36" t="str">
        <f>IF(ISNUMBER(F18293),C18293*F18293,"")</f>
        <v/>
      </c>
    </row>
    <row r="18294" spans="1:7" ht="12" customHeight="1" outlineLevel="2" x14ac:dyDescent="0.2">
      <c r="A18294" s="14" t="s">
        <v>36011</v>
      </c>
      <c r="B18294" s="15" t="s">
        <v>36012</v>
      </c>
      <c r="C18294" s="16">
        <f>24.3/(1+B2)</f>
        <v>24.3</v>
      </c>
      <c r="D18294" s="17" t="s">
        <v>14</v>
      </c>
      <c r="E18294" s="17"/>
      <c r="F18294" s="18"/>
      <c r="G18294" s="36" t="str">
        <f>IF(ISNUMBER(F18294),C18294*F18294,"")</f>
        <v/>
      </c>
    </row>
    <row r="18295" spans="1:7" ht="12" customHeight="1" outlineLevel="2" x14ac:dyDescent="0.2">
      <c r="A18295" s="14" t="s">
        <v>36013</v>
      </c>
      <c r="B18295" s="15" t="s">
        <v>36014</v>
      </c>
      <c r="C18295" s="16">
        <f>42.53/(1+B2)</f>
        <v>42.53</v>
      </c>
      <c r="D18295" s="17" t="s">
        <v>14</v>
      </c>
      <c r="E18295" s="17"/>
      <c r="F18295" s="18"/>
      <c r="G18295" s="36" t="str">
        <f>IF(ISNUMBER(F18295),C18295*F18295,"")</f>
        <v/>
      </c>
    </row>
    <row r="18296" spans="1:7" ht="12" customHeight="1" outlineLevel="2" x14ac:dyDescent="0.2">
      <c r="A18296" s="14" t="s">
        <v>36015</v>
      </c>
      <c r="B18296" s="15" t="s">
        <v>36016</v>
      </c>
      <c r="C18296" s="16">
        <f>26.33/(1+B2)</f>
        <v>26.33</v>
      </c>
      <c r="D18296" s="17" t="s">
        <v>53</v>
      </c>
      <c r="E18296" s="17" t="s">
        <v>106</v>
      </c>
      <c r="F18296" s="18"/>
      <c r="G18296" s="36" t="str">
        <f>IF(ISNUMBER(F18296),C18296*F18296,"")</f>
        <v/>
      </c>
    </row>
    <row r="18297" spans="1:7" ht="12" customHeight="1" outlineLevel="2" x14ac:dyDescent="0.2">
      <c r="A18297" s="14" t="s">
        <v>36017</v>
      </c>
      <c r="B18297" s="15" t="s">
        <v>36018</v>
      </c>
      <c r="C18297" s="16">
        <f>31.39/(1+B2)</f>
        <v>31.39</v>
      </c>
      <c r="D18297" s="17" t="s">
        <v>53</v>
      </c>
      <c r="E18297" s="17" t="s">
        <v>106</v>
      </c>
      <c r="F18297" s="18"/>
      <c r="G18297" s="36" t="str">
        <f>IF(ISNUMBER(F18297),C18297*F18297,"")</f>
        <v/>
      </c>
    </row>
    <row r="18298" spans="1:7" ht="12" customHeight="1" outlineLevel="2" x14ac:dyDescent="0.2">
      <c r="A18298" s="14" t="s">
        <v>36019</v>
      </c>
      <c r="B18298" s="15" t="s">
        <v>36020</v>
      </c>
      <c r="C18298" s="16">
        <f>41.53/(1+B2)</f>
        <v>41.53</v>
      </c>
      <c r="D18298" s="17" t="s">
        <v>11</v>
      </c>
      <c r="E18298" s="17" t="s">
        <v>53</v>
      </c>
      <c r="F18298" s="18"/>
      <c r="G18298" s="36" t="str">
        <f>IF(ISNUMBER(F18298),C18298*F18298,"")</f>
        <v/>
      </c>
    </row>
    <row r="18299" spans="1:7" ht="12" customHeight="1" outlineLevel="2" x14ac:dyDescent="0.2">
      <c r="A18299" s="14" t="s">
        <v>36021</v>
      </c>
      <c r="B18299" s="15" t="s">
        <v>36022</v>
      </c>
      <c r="C18299" s="16">
        <f>26.33/(1+B2)</f>
        <v>26.33</v>
      </c>
      <c r="D18299" s="17" t="s">
        <v>14</v>
      </c>
      <c r="E18299" s="17" t="s">
        <v>106</v>
      </c>
      <c r="F18299" s="18"/>
      <c r="G18299" s="36" t="str">
        <f>IF(ISNUMBER(F18299),C18299*F18299,"")</f>
        <v/>
      </c>
    </row>
    <row r="18300" spans="1:7" ht="12" customHeight="1" outlineLevel="2" x14ac:dyDescent="0.2">
      <c r="A18300" s="14" t="s">
        <v>36023</v>
      </c>
      <c r="B18300" s="15" t="s">
        <v>36024</v>
      </c>
      <c r="C18300" s="16">
        <f>93.27/(1+B2)</f>
        <v>93.27</v>
      </c>
      <c r="D18300" s="17" t="s">
        <v>14</v>
      </c>
      <c r="E18300" s="17" t="s">
        <v>11</v>
      </c>
      <c r="F18300" s="18"/>
      <c r="G18300" s="36" t="str">
        <f>IF(ISNUMBER(F18300),C18300*F18300,"")</f>
        <v/>
      </c>
    </row>
    <row r="18301" spans="1:7" ht="12" customHeight="1" outlineLevel="2" x14ac:dyDescent="0.2">
      <c r="A18301" s="14" t="s">
        <v>36025</v>
      </c>
      <c r="B18301" s="15" t="s">
        <v>36026</v>
      </c>
      <c r="C18301" s="16">
        <f>201.5/(1+B2)</f>
        <v>201.5</v>
      </c>
      <c r="D18301" s="17" t="s">
        <v>11</v>
      </c>
      <c r="E18301" s="17"/>
      <c r="F18301" s="18"/>
      <c r="G18301" s="36" t="str">
        <f>IF(ISNUMBER(F18301),C18301*F18301,"")</f>
        <v/>
      </c>
    </row>
    <row r="18302" spans="1:7" ht="12" customHeight="1" outlineLevel="2" x14ac:dyDescent="0.2">
      <c r="A18302" s="14" t="s">
        <v>36027</v>
      </c>
      <c r="B18302" s="15" t="s">
        <v>36028</v>
      </c>
      <c r="C18302" s="16">
        <f>231.73/(1+B2)</f>
        <v>231.73</v>
      </c>
      <c r="D18302" s="17" t="s">
        <v>11</v>
      </c>
      <c r="E18302" s="17"/>
      <c r="F18302" s="18"/>
      <c r="G18302" s="36" t="str">
        <f>IF(ISNUMBER(F18302),C18302*F18302,"")</f>
        <v/>
      </c>
    </row>
    <row r="18303" spans="1:7" ht="12" customHeight="1" outlineLevel="2" x14ac:dyDescent="0.2">
      <c r="A18303" s="14" t="s">
        <v>36029</v>
      </c>
      <c r="B18303" s="15" t="s">
        <v>36030</v>
      </c>
      <c r="C18303" s="16">
        <f>31.32/(1+B2)</f>
        <v>31.32</v>
      </c>
      <c r="D18303" s="17" t="s">
        <v>53</v>
      </c>
      <c r="E18303" s="17"/>
      <c r="F18303" s="18"/>
      <c r="G18303" s="36" t="str">
        <f>IF(ISNUMBER(F18303),C18303*F18303,"")</f>
        <v/>
      </c>
    </row>
    <row r="18304" spans="1:7" ht="12" customHeight="1" outlineLevel="2" x14ac:dyDescent="0.2">
      <c r="A18304" s="14" t="s">
        <v>36031</v>
      </c>
      <c r="B18304" s="15" t="s">
        <v>36032</v>
      </c>
      <c r="C18304" s="16">
        <f>178.44/(1+B2)</f>
        <v>178.44</v>
      </c>
      <c r="D18304" s="17" t="s">
        <v>11</v>
      </c>
      <c r="E18304" s="17"/>
      <c r="F18304" s="18"/>
      <c r="G18304" s="36" t="str">
        <f>IF(ISNUMBER(F18304),C18304*F18304,"")</f>
        <v/>
      </c>
    </row>
    <row r="18305" spans="1:7" ht="24" customHeight="1" outlineLevel="2" x14ac:dyDescent="0.2">
      <c r="A18305" s="14" t="s">
        <v>36033</v>
      </c>
      <c r="B18305" s="15" t="s">
        <v>36034</v>
      </c>
      <c r="C18305" s="16">
        <f>80.4/(1+B2)</f>
        <v>80.400000000000006</v>
      </c>
      <c r="D18305" s="17" t="s">
        <v>14</v>
      </c>
      <c r="E18305" s="17" t="s">
        <v>14</v>
      </c>
      <c r="F18305" s="18"/>
      <c r="G18305" s="36" t="str">
        <f>IF(ISNUMBER(F18305),C18305*F18305,"")</f>
        <v/>
      </c>
    </row>
    <row r="18306" spans="1:7" ht="24" customHeight="1" outlineLevel="2" x14ac:dyDescent="0.2">
      <c r="A18306" s="14" t="s">
        <v>36035</v>
      </c>
      <c r="B18306" s="15" t="s">
        <v>36036</v>
      </c>
      <c r="C18306" s="16">
        <f>80.4/(1+B2)</f>
        <v>80.400000000000006</v>
      </c>
      <c r="D18306" s="17" t="s">
        <v>11</v>
      </c>
      <c r="E18306" s="17"/>
      <c r="F18306" s="18"/>
      <c r="G18306" s="36" t="str">
        <f>IF(ISNUMBER(F18306),C18306*F18306,"")</f>
        <v/>
      </c>
    </row>
    <row r="18307" spans="1:7" ht="24" customHeight="1" outlineLevel="2" x14ac:dyDescent="0.2">
      <c r="A18307" s="14" t="s">
        <v>36037</v>
      </c>
      <c r="B18307" s="15" t="s">
        <v>36038</v>
      </c>
      <c r="C18307" s="16">
        <f>64.48/(1+B2)</f>
        <v>64.48</v>
      </c>
      <c r="D18307" s="17" t="s">
        <v>14</v>
      </c>
      <c r="E18307" s="17"/>
      <c r="F18307" s="18"/>
      <c r="G18307" s="36" t="str">
        <f>IF(ISNUMBER(F18307),C18307*F18307,"")</f>
        <v/>
      </c>
    </row>
    <row r="18308" spans="1:7" ht="24" customHeight="1" outlineLevel="2" x14ac:dyDescent="0.2">
      <c r="A18308" s="14" t="s">
        <v>36039</v>
      </c>
      <c r="B18308" s="15" t="s">
        <v>36040</v>
      </c>
      <c r="C18308" s="16">
        <f>74.28/(1+B2)</f>
        <v>74.28</v>
      </c>
      <c r="D18308" s="17" t="s">
        <v>14</v>
      </c>
      <c r="E18308" s="17"/>
      <c r="F18308" s="18"/>
      <c r="G18308" s="36" t="str">
        <f>IF(ISNUMBER(F18308),C18308*F18308,"")</f>
        <v/>
      </c>
    </row>
    <row r="18309" spans="1:7" ht="12" customHeight="1" outlineLevel="2" x14ac:dyDescent="0.2">
      <c r="A18309" s="14" t="s">
        <v>36041</v>
      </c>
      <c r="B18309" s="15" t="s">
        <v>36042</v>
      </c>
      <c r="C18309" s="16">
        <f>64.48/(1+B2)</f>
        <v>64.48</v>
      </c>
      <c r="D18309" s="17" t="s">
        <v>11</v>
      </c>
      <c r="E18309" s="17"/>
      <c r="F18309" s="18"/>
      <c r="G18309" s="36" t="str">
        <f>IF(ISNUMBER(F18309),C18309*F18309,"")</f>
        <v/>
      </c>
    </row>
    <row r="18310" spans="1:7" ht="24" customHeight="1" outlineLevel="2" x14ac:dyDescent="0.2">
      <c r="A18310" s="14" t="s">
        <v>36043</v>
      </c>
      <c r="B18310" s="15" t="s">
        <v>36044</v>
      </c>
      <c r="C18310" s="16">
        <f>74.28/(1+B2)</f>
        <v>74.28</v>
      </c>
      <c r="D18310" s="17" t="s">
        <v>11</v>
      </c>
      <c r="E18310" s="17"/>
      <c r="F18310" s="18"/>
      <c r="G18310" s="36" t="str">
        <f>IF(ISNUMBER(F18310),C18310*F18310,"")</f>
        <v/>
      </c>
    </row>
    <row r="18311" spans="1:7" ht="12" customHeight="1" outlineLevel="2" x14ac:dyDescent="0.2">
      <c r="A18311" s="14" t="s">
        <v>36045</v>
      </c>
      <c r="B18311" s="15" t="s">
        <v>36046</v>
      </c>
      <c r="C18311" s="16">
        <f>83.16/(1+B2)</f>
        <v>83.16</v>
      </c>
      <c r="D18311" s="17" t="s">
        <v>11</v>
      </c>
      <c r="E18311" s="17"/>
      <c r="F18311" s="18"/>
      <c r="G18311" s="36" t="str">
        <f>IF(ISNUMBER(F18311),C18311*F18311,"")</f>
        <v/>
      </c>
    </row>
    <row r="18312" spans="1:7" ht="12" customHeight="1" outlineLevel="2" x14ac:dyDescent="0.2">
      <c r="A18312" s="14" t="s">
        <v>36047</v>
      </c>
      <c r="B18312" s="15" t="s">
        <v>36048</v>
      </c>
      <c r="C18312" s="16">
        <f>80.16/(1+B2)</f>
        <v>80.16</v>
      </c>
      <c r="D18312" s="17" t="s">
        <v>14</v>
      </c>
      <c r="E18312" s="17"/>
      <c r="F18312" s="18"/>
      <c r="G18312" s="36" t="str">
        <f>IF(ISNUMBER(F18312),C18312*F18312,"")</f>
        <v/>
      </c>
    </row>
    <row r="18313" spans="1:7" ht="24" customHeight="1" outlineLevel="2" x14ac:dyDescent="0.2">
      <c r="A18313" s="14" t="s">
        <v>36049</v>
      </c>
      <c r="B18313" s="15" t="s">
        <v>36050</v>
      </c>
      <c r="C18313" s="16">
        <f>83.16/(1+B2)</f>
        <v>83.16</v>
      </c>
      <c r="D18313" s="17" t="s">
        <v>11</v>
      </c>
      <c r="E18313" s="17"/>
      <c r="F18313" s="18"/>
      <c r="G18313" s="36" t="str">
        <f>IF(ISNUMBER(F18313),C18313*F18313,"")</f>
        <v/>
      </c>
    </row>
    <row r="18314" spans="1:7" ht="12" customHeight="1" outlineLevel="2" x14ac:dyDescent="0.2">
      <c r="A18314" s="14" t="s">
        <v>36051</v>
      </c>
      <c r="B18314" s="15" t="s">
        <v>36052</v>
      </c>
      <c r="C18314" s="16">
        <f>68.82/(1+B2)</f>
        <v>68.819999999999993</v>
      </c>
      <c r="D18314" s="17" t="s">
        <v>11</v>
      </c>
      <c r="E18314" s="17" t="s">
        <v>53</v>
      </c>
      <c r="F18314" s="18"/>
      <c r="G18314" s="36" t="str">
        <f>IF(ISNUMBER(F18314),C18314*F18314,"")</f>
        <v/>
      </c>
    </row>
    <row r="18315" spans="1:7" ht="12" customHeight="1" outlineLevel="2" x14ac:dyDescent="0.2">
      <c r="A18315" s="14" t="s">
        <v>36053</v>
      </c>
      <c r="B18315" s="15" t="s">
        <v>36054</v>
      </c>
      <c r="C18315" s="16">
        <f>56.47/(1+B2)</f>
        <v>56.47</v>
      </c>
      <c r="D18315" s="17" t="s">
        <v>11</v>
      </c>
      <c r="E18315" s="17"/>
      <c r="F18315" s="18"/>
      <c r="G18315" s="36" t="str">
        <f>IF(ISNUMBER(F18315),C18315*F18315,"")</f>
        <v/>
      </c>
    </row>
    <row r="18316" spans="1:7" ht="24" customHeight="1" outlineLevel="2" x14ac:dyDescent="0.2">
      <c r="A18316" s="14" t="s">
        <v>36055</v>
      </c>
      <c r="B18316" s="15" t="s">
        <v>36056</v>
      </c>
      <c r="C18316" s="16">
        <f>87.08/(1+B2)</f>
        <v>87.08</v>
      </c>
      <c r="D18316" s="17" t="s">
        <v>14</v>
      </c>
      <c r="E18316" s="17"/>
      <c r="F18316" s="18"/>
      <c r="G18316" s="36" t="str">
        <f>IF(ISNUMBER(F18316),C18316*F18316,"")</f>
        <v/>
      </c>
    </row>
    <row r="18317" spans="1:7" ht="12" customHeight="1" outlineLevel="2" x14ac:dyDescent="0.2">
      <c r="A18317" s="14" t="s">
        <v>36057</v>
      </c>
      <c r="B18317" s="15" t="s">
        <v>36058</v>
      </c>
      <c r="C18317" s="16">
        <f>123.74/(1+B2)</f>
        <v>123.74</v>
      </c>
      <c r="D18317" s="17" t="s">
        <v>11</v>
      </c>
      <c r="E18317" s="17"/>
      <c r="F18317" s="18"/>
      <c r="G18317" s="36" t="str">
        <f>IF(ISNUMBER(F18317),C18317*F18317,"")</f>
        <v/>
      </c>
    </row>
    <row r="18318" spans="1:7" ht="12" customHeight="1" outlineLevel="2" x14ac:dyDescent="0.2">
      <c r="A18318" s="14" t="s">
        <v>36059</v>
      </c>
      <c r="B18318" s="15" t="s">
        <v>36060</v>
      </c>
      <c r="C18318" s="16">
        <f>94.97/(1+B2)</f>
        <v>94.97</v>
      </c>
      <c r="D18318" s="17" t="s">
        <v>14</v>
      </c>
      <c r="E18318" s="17"/>
      <c r="F18318" s="18"/>
      <c r="G18318" s="36" t="str">
        <f>IF(ISNUMBER(F18318),C18318*F18318,"")</f>
        <v/>
      </c>
    </row>
    <row r="18319" spans="1:7" ht="12" customHeight="1" outlineLevel="2" x14ac:dyDescent="0.2">
      <c r="A18319" s="14" t="s">
        <v>36061</v>
      </c>
      <c r="B18319" s="15" t="s">
        <v>36062</v>
      </c>
      <c r="C18319" s="16">
        <f>77.27/(1+B2)</f>
        <v>77.27</v>
      </c>
      <c r="D18319" s="17" t="s">
        <v>11</v>
      </c>
      <c r="E18319" s="17"/>
      <c r="F18319" s="18"/>
      <c r="G18319" s="36" t="str">
        <f>IF(ISNUMBER(F18319),C18319*F18319,"")</f>
        <v/>
      </c>
    </row>
    <row r="18320" spans="1:7" ht="12" customHeight="1" outlineLevel="2" x14ac:dyDescent="0.2">
      <c r="A18320" s="14" t="s">
        <v>36063</v>
      </c>
      <c r="B18320" s="15" t="s">
        <v>36064</v>
      </c>
      <c r="C18320" s="16">
        <f>103.32/(1+B2)</f>
        <v>103.32</v>
      </c>
      <c r="D18320" s="17" t="s">
        <v>11</v>
      </c>
      <c r="E18320" s="17"/>
      <c r="F18320" s="18"/>
      <c r="G18320" s="36" t="str">
        <f>IF(ISNUMBER(F18320),C18320*F18320,"")</f>
        <v/>
      </c>
    </row>
    <row r="18321" spans="1:7" ht="12" customHeight="1" outlineLevel="2" x14ac:dyDescent="0.2">
      <c r="A18321" s="14" t="s">
        <v>36065</v>
      </c>
      <c r="B18321" s="15" t="s">
        <v>36066</v>
      </c>
      <c r="C18321" s="16">
        <f>125.84/(1+B2)</f>
        <v>125.84</v>
      </c>
      <c r="D18321" s="17" t="s">
        <v>11</v>
      </c>
      <c r="E18321" s="17"/>
      <c r="F18321" s="18"/>
      <c r="G18321" s="36" t="str">
        <f>IF(ISNUMBER(F18321),C18321*F18321,"")</f>
        <v/>
      </c>
    </row>
    <row r="18322" spans="1:7" ht="12" customHeight="1" outlineLevel="2" x14ac:dyDescent="0.2">
      <c r="A18322" s="14" t="s">
        <v>36067</v>
      </c>
      <c r="B18322" s="15" t="s">
        <v>36068</v>
      </c>
      <c r="C18322" s="16">
        <f>97.64/(1+B2)</f>
        <v>97.64</v>
      </c>
      <c r="D18322" s="17" t="s">
        <v>11</v>
      </c>
      <c r="E18322" s="17"/>
      <c r="F18322" s="18"/>
      <c r="G18322" s="36" t="str">
        <f>IF(ISNUMBER(F18322),C18322*F18322,"")</f>
        <v/>
      </c>
    </row>
    <row r="18323" spans="1:7" ht="12" customHeight="1" outlineLevel="2" x14ac:dyDescent="0.2">
      <c r="A18323" s="14" t="s">
        <v>36069</v>
      </c>
      <c r="B18323" s="15" t="s">
        <v>36070</v>
      </c>
      <c r="C18323" s="16">
        <f>97.64/(1+B2)</f>
        <v>97.64</v>
      </c>
      <c r="D18323" s="17" t="s">
        <v>11</v>
      </c>
      <c r="E18323" s="17"/>
      <c r="F18323" s="18"/>
      <c r="G18323" s="36" t="str">
        <f>IF(ISNUMBER(F18323),C18323*F18323,"")</f>
        <v/>
      </c>
    </row>
    <row r="18324" spans="1:7" ht="24" customHeight="1" outlineLevel="2" x14ac:dyDescent="0.2">
      <c r="A18324" s="14" t="s">
        <v>36071</v>
      </c>
      <c r="B18324" s="15" t="s">
        <v>36072</v>
      </c>
      <c r="C18324" s="16">
        <f>127.31/(1+B2)</f>
        <v>127.31</v>
      </c>
      <c r="D18324" s="17" t="s">
        <v>11</v>
      </c>
      <c r="E18324" s="17" t="s">
        <v>53</v>
      </c>
      <c r="F18324" s="18"/>
      <c r="G18324" s="36" t="str">
        <f>IF(ISNUMBER(F18324),C18324*F18324,"")</f>
        <v/>
      </c>
    </row>
    <row r="18325" spans="1:7" ht="12" customHeight="1" outlineLevel="2" x14ac:dyDescent="0.2">
      <c r="A18325" s="14" t="s">
        <v>36073</v>
      </c>
      <c r="B18325" s="15" t="s">
        <v>36074</v>
      </c>
      <c r="C18325" s="16">
        <f>231.73/(1+B2)</f>
        <v>231.73</v>
      </c>
      <c r="D18325" s="17" t="s">
        <v>11</v>
      </c>
      <c r="E18325" s="17"/>
      <c r="F18325" s="18"/>
      <c r="G18325" s="36" t="str">
        <f>IF(ISNUMBER(F18325),C18325*F18325,"")</f>
        <v/>
      </c>
    </row>
    <row r="18326" spans="1:7" ht="12" customHeight="1" outlineLevel="2" x14ac:dyDescent="0.2">
      <c r="A18326" s="14" t="s">
        <v>36075</v>
      </c>
      <c r="B18326" s="15" t="s">
        <v>36076</v>
      </c>
      <c r="C18326" s="16">
        <f>67.08/(1+B2)</f>
        <v>67.08</v>
      </c>
      <c r="D18326" s="17" t="s">
        <v>11</v>
      </c>
      <c r="E18326" s="17"/>
      <c r="F18326" s="18"/>
      <c r="G18326" s="36" t="str">
        <f>IF(ISNUMBER(F18326),C18326*F18326,"")</f>
        <v/>
      </c>
    </row>
    <row r="18327" spans="1:7" ht="12" customHeight="1" outlineLevel="2" x14ac:dyDescent="0.2">
      <c r="A18327" s="14" t="s">
        <v>36077</v>
      </c>
      <c r="B18327" s="15" t="s">
        <v>36078</v>
      </c>
      <c r="C18327" s="16">
        <f>67.08/(1+B2)</f>
        <v>67.08</v>
      </c>
      <c r="D18327" s="17" t="s">
        <v>11</v>
      </c>
      <c r="E18327" s="17"/>
      <c r="F18327" s="18"/>
      <c r="G18327" s="36" t="str">
        <f>IF(ISNUMBER(F18327),C18327*F18327,"")</f>
        <v/>
      </c>
    </row>
    <row r="18328" spans="1:7" ht="12" customHeight="1" outlineLevel="2" x14ac:dyDescent="0.2">
      <c r="A18328" s="14" t="s">
        <v>36079</v>
      </c>
      <c r="B18328" s="15" t="s">
        <v>36080</v>
      </c>
      <c r="C18328" s="16">
        <f>61.5/(1+B2)</f>
        <v>61.5</v>
      </c>
      <c r="D18328" s="17" t="s">
        <v>11</v>
      </c>
      <c r="E18328" s="17"/>
      <c r="F18328" s="18"/>
      <c r="G18328" s="36" t="str">
        <f>IF(ISNUMBER(F18328),C18328*F18328,"")</f>
        <v/>
      </c>
    </row>
    <row r="18329" spans="1:7" ht="12" customHeight="1" outlineLevel="2" x14ac:dyDescent="0.2">
      <c r="A18329" s="14" t="s">
        <v>36081</v>
      </c>
      <c r="B18329" s="15" t="s">
        <v>36082</v>
      </c>
      <c r="C18329" s="16">
        <f>96.01/(1+B2)</f>
        <v>96.01</v>
      </c>
      <c r="D18329" s="17" t="s">
        <v>11</v>
      </c>
      <c r="E18329" s="17"/>
      <c r="F18329" s="18"/>
      <c r="G18329" s="36" t="str">
        <f>IF(ISNUMBER(F18329),C18329*F18329,"")</f>
        <v/>
      </c>
    </row>
    <row r="18330" spans="1:7" ht="12" customHeight="1" outlineLevel="2" x14ac:dyDescent="0.2">
      <c r="A18330" s="14" t="s">
        <v>36083</v>
      </c>
      <c r="B18330" s="15" t="s">
        <v>36084</v>
      </c>
      <c r="C18330" s="16">
        <f>67.08/(1+B2)</f>
        <v>67.08</v>
      </c>
      <c r="D18330" s="17" t="s">
        <v>11</v>
      </c>
      <c r="E18330" s="17"/>
      <c r="F18330" s="18"/>
      <c r="G18330" s="36" t="str">
        <f>IF(ISNUMBER(F18330),C18330*F18330,"")</f>
        <v/>
      </c>
    </row>
    <row r="18331" spans="1:7" ht="12" customHeight="1" outlineLevel="2" x14ac:dyDescent="0.2">
      <c r="A18331" s="14" t="s">
        <v>36085</v>
      </c>
      <c r="B18331" s="15" t="s">
        <v>36086</v>
      </c>
      <c r="C18331" s="16">
        <f>47.89/(1+B2)</f>
        <v>47.89</v>
      </c>
      <c r="D18331" s="17" t="s">
        <v>11</v>
      </c>
      <c r="E18331" s="17"/>
      <c r="F18331" s="18"/>
      <c r="G18331" s="36" t="str">
        <f>IF(ISNUMBER(F18331),C18331*F18331,"")</f>
        <v/>
      </c>
    </row>
    <row r="18332" spans="1:7" ht="12" customHeight="1" outlineLevel="2" x14ac:dyDescent="0.2">
      <c r="A18332" s="14" t="s">
        <v>36087</v>
      </c>
      <c r="B18332" s="15" t="s">
        <v>36088</v>
      </c>
      <c r="C18332" s="16">
        <f>188.45/(1+B2)</f>
        <v>188.45</v>
      </c>
      <c r="D18332" s="17" t="s">
        <v>11</v>
      </c>
      <c r="E18332" s="17"/>
      <c r="F18332" s="18"/>
      <c r="G18332" s="36" t="str">
        <f>IF(ISNUMBER(F18332),C18332*F18332,"")</f>
        <v/>
      </c>
    </row>
    <row r="18333" spans="1:7" ht="12" customHeight="1" outlineLevel="2" x14ac:dyDescent="0.2">
      <c r="A18333" s="14" t="s">
        <v>36089</v>
      </c>
      <c r="B18333" s="15" t="s">
        <v>36090</v>
      </c>
      <c r="C18333" s="16">
        <f>112.85/(1+B2)</f>
        <v>112.85</v>
      </c>
      <c r="D18333" s="17" t="s">
        <v>11</v>
      </c>
      <c r="E18333" s="17"/>
      <c r="F18333" s="18"/>
      <c r="G18333" s="36" t="str">
        <f>IF(ISNUMBER(F18333),C18333*F18333,"")</f>
        <v/>
      </c>
    </row>
    <row r="18334" spans="1:7" ht="12" customHeight="1" outlineLevel="2" x14ac:dyDescent="0.2">
      <c r="A18334" s="14" t="s">
        <v>36091</v>
      </c>
      <c r="B18334" s="15" t="s">
        <v>36092</v>
      </c>
      <c r="C18334" s="16">
        <f>28.74/(1+B2)</f>
        <v>28.74</v>
      </c>
      <c r="D18334" s="17" t="s">
        <v>53</v>
      </c>
      <c r="E18334" s="17"/>
      <c r="F18334" s="18"/>
      <c r="G18334" s="36" t="str">
        <f>IF(ISNUMBER(F18334),C18334*F18334,"")</f>
        <v/>
      </c>
    </row>
    <row r="18335" spans="1:7" ht="12" customHeight="1" outlineLevel="2" x14ac:dyDescent="0.2">
      <c r="A18335" s="14" t="s">
        <v>36093</v>
      </c>
      <c r="B18335" s="15" t="s">
        <v>36094</v>
      </c>
      <c r="C18335" s="16">
        <f>16.36/(1+B2)</f>
        <v>16.36</v>
      </c>
      <c r="D18335" s="17" t="s">
        <v>11</v>
      </c>
      <c r="E18335" s="17" t="s">
        <v>53</v>
      </c>
      <c r="F18335" s="18"/>
      <c r="G18335" s="36" t="str">
        <f>IF(ISNUMBER(F18335),C18335*F18335,"")</f>
        <v/>
      </c>
    </row>
    <row r="18336" spans="1:7" s="1" customFormat="1" ht="15.95" customHeight="1" outlineLevel="1" x14ac:dyDescent="0.25">
      <c r="A18336" s="11"/>
      <c r="B18336" s="12" t="s">
        <v>36095</v>
      </c>
      <c r="C18336" s="13"/>
      <c r="D18336" s="13"/>
      <c r="E18336" s="13"/>
      <c r="F18336" s="13"/>
      <c r="G18336" s="35"/>
    </row>
    <row r="18337" spans="1:7" ht="12" customHeight="1" outlineLevel="2" x14ac:dyDescent="0.2">
      <c r="A18337" s="14" t="s">
        <v>36096</v>
      </c>
      <c r="B18337" s="15" t="s">
        <v>36097</v>
      </c>
      <c r="C18337" s="16">
        <f>379.56/(1+B2)</f>
        <v>379.56</v>
      </c>
      <c r="D18337" s="17" t="s">
        <v>11</v>
      </c>
      <c r="E18337" s="17"/>
      <c r="F18337" s="18"/>
      <c r="G18337" s="36" t="str">
        <f>IF(ISNUMBER(F18337),C18337*F18337,"")</f>
        <v/>
      </c>
    </row>
    <row r="18338" spans="1:7" ht="12" customHeight="1" outlineLevel="2" x14ac:dyDescent="0.2">
      <c r="A18338" s="14" t="s">
        <v>36098</v>
      </c>
      <c r="B18338" s="15" t="s">
        <v>36099</v>
      </c>
      <c r="C18338" s="16">
        <f>317.74/(1+B2)</f>
        <v>317.74</v>
      </c>
      <c r="D18338" s="17" t="s">
        <v>11</v>
      </c>
      <c r="E18338" s="17"/>
      <c r="F18338" s="18"/>
      <c r="G18338" s="36" t="str">
        <f>IF(ISNUMBER(F18338),C18338*F18338,"")</f>
        <v/>
      </c>
    </row>
    <row r="18339" spans="1:7" ht="12" customHeight="1" outlineLevel="2" x14ac:dyDescent="0.2">
      <c r="A18339" s="14" t="s">
        <v>36100</v>
      </c>
      <c r="B18339" s="15" t="s">
        <v>36101</v>
      </c>
      <c r="C18339" s="16">
        <f>249.18/(1+B2)</f>
        <v>249.18</v>
      </c>
      <c r="D18339" s="17" t="s">
        <v>11</v>
      </c>
      <c r="E18339" s="17"/>
      <c r="F18339" s="18"/>
      <c r="G18339" s="36" t="str">
        <f>IF(ISNUMBER(F18339),C18339*F18339,"")</f>
        <v/>
      </c>
    </row>
    <row r="18340" spans="1:7" ht="12" customHeight="1" outlineLevel="2" x14ac:dyDescent="0.2">
      <c r="A18340" s="14" t="s">
        <v>36102</v>
      </c>
      <c r="B18340" s="15" t="s">
        <v>36103</v>
      </c>
      <c r="C18340" s="16">
        <f>188.52/(1+B2)</f>
        <v>188.52</v>
      </c>
      <c r="D18340" s="17" t="s">
        <v>11</v>
      </c>
      <c r="E18340" s="17"/>
      <c r="F18340" s="18"/>
      <c r="G18340" s="36" t="str">
        <f>IF(ISNUMBER(F18340),C18340*F18340,"")</f>
        <v/>
      </c>
    </row>
    <row r="18341" spans="1:7" ht="12" customHeight="1" outlineLevel="2" x14ac:dyDescent="0.2">
      <c r="A18341" s="14" t="s">
        <v>36104</v>
      </c>
      <c r="B18341" s="15" t="s">
        <v>36105</v>
      </c>
      <c r="C18341" s="16">
        <f>450/(1+B2)</f>
        <v>450</v>
      </c>
      <c r="D18341" s="17" t="s">
        <v>11</v>
      </c>
      <c r="E18341" s="17" t="s">
        <v>11</v>
      </c>
      <c r="F18341" s="18"/>
      <c r="G18341" s="36" t="str">
        <f>IF(ISNUMBER(F18341),C18341*F18341,"")</f>
        <v/>
      </c>
    </row>
    <row r="18342" spans="1:7" ht="12" customHeight="1" outlineLevel="2" x14ac:dyDescent="0.2">
      <c r="A18342" s="14" t="s">
        <v>36106</v>
      </c>
      <c r="B18342" s="15" t="s">
        <v>36107</v>
      </c>
      <c r="C18342" s="16">
        <f>239.58/(1+B2)</f>
        <v>239.58</v>
      </c>
      <c r="D18342" s="17" t="s">
        <v>11</v>
      </c>
      <c r="E18342" s="17" t="s">
        <v>11</v>
      </c>
      <c r="F18342" s="18"/>
      <c r="G18342" s="36" t="str">
        <f>IF(ISNUMBER(F18342),C18342*F18342,"")</f>
        <v/>
      </c>
    </row>
    <row r="18343" spans="1:7" ht="12" customHeight="1" outlineLevel="2" x14ac:dyDescent="0.2">
      <c r="A18343" s="14" t="s">
        <v>36108</v>
      </c>
      <c r="B18343" s="15" t="s">
        <v>36109</v>
      </c>
      <c r="C18343" s="16">
        <f>397.49/(1+B2)</f>
        <v>397.49</v>
      </c>
      <c r="D18343" s="17" t="s">
        <v>11</v>
      </c>
      <c r="E18343" s="17"/>
      <c r="F18343" s="18"/>
      <c r="G18343" s="36" t="str">
        <f>IF(ISNUMBER(F18343),C18343*F18343,"")</f>
        <v/>
      </c>
    </row>
    <row r="18344" spans="1:7" ht="12" customHeight="1" outlineLevel="2" x14ac:dyDescent="0.2">
      <c r="A18344" s="14" t="s">
        <v>36110</v>
      </c>
      <c r="B18344" s="15" t="s">
        <v>36111</v>
      </c>
      <c r="C18344" s="16">
        <f>397.49/(1+B2)</f>
        <v>397.49</v>
      </c>
      <c r="D18344" s="17" t="s">
        <v>11</v>
      </c>
      <c r="E18344" s="17"/>
      <c r="F18344" s="18"/>
      <c r="G18344" s="36" t="str">
        <f>IF(ISNUMBER(F18344),C18344*F18344,"")</f>
        <v/>
      </c>
    </row>
    <row r="18345" spans="1:7" ht="24" customHeight="1" outlineLevel="2" x14ac:dyDescent="0.2">
      <c r="A18345" s="14" t="s">
        <v>36112</v>
      </c>
      <c r="B18345" s="15" t="s">
        <v>36113</v>
      </c>
      <c r="C18345" s="16">
        <f>202.98/(1+B2)</f>
        <v>202.98</v>
      </c>
      <c r="D18345" s="17" t="s">
        <v>11</v>
      </c>
      <c r="E18345" s="17"/>
      <c r="F18345" s="18"/>
      <c r="G18345" s="36" t="str">
        <f>IF(ISNUMBER(F18345),C18345*F18345,"")</f>
        <v/>
      </c>
    </row>
    <row r="18346" spans="1:7" ht="12" customHeight="1" outlineLevel="2" x14ac:dyDescent="0.2">
      <c r="A18346" s="14" t="s">
        <v>36114</v>
      </c>
      <c r="B18346" s="15" t="s">
        <v>36115</v>
      </c>
      <c r="C18346" s="16">
        <f>371.24/(1+B2)</f>
        <v>371.24</v>
      </c>
      <c r="D18346" s="17" t="s">
        <v>11</v>
      </c>
      <c r="E18346" s="17"/>
      <c r="F18346" s="18"/>
      <c r="G18346" s="36" t="str">
        <f>IF(ISNUMBER(F18346),C18346*F18346,"")</f>
        <v/>
      </c>
    </row>
    <row r="18347" spans="1:7" ht="12" customHeight="1" outlineLevel="2" x14ac:dyDescent="0.2">
      <c r="A18347" s="14" t="s">
        <v>36116</v>
      </c>
      <c r="B18347" s="15" t="s">
        <v>36117</v>
      </c>
      <c r="C18347" s="16">
        <f>149.37/(1+B2)</f>
        <v>149.37</v>
      </c>
      <c r="D18347" s="17" t="s">
        <v>14</v>
      </c>
      <c r="E18347" s="17" t="s">
        <v>11</v>
      </c>
      <c r="F18347" s="18"/>
      <c r="G18347" s="36" t="str">
        <f>IF(ISNUMBER(F18347),C18347*F18347,"")</f>
        <v/>
      </c>
    </row>
    <row r="18348" spans="1:7" ht="12" customHeight="1" outlineLevel="2" x14ac:dyDescent="0.2">
      <c r="A18348" s="14" t="s">
        <v>36118</v>
      </c>
      <c r="B18348" s="15" t="s">
        <v>36119</v>
      </c>
      <c r="C18348" s="16">
        <f>149.37/(1+B2)</f>
        <v>149.37</v>
      </c>
      <c r="D18348" s="17" t="s">
        <v>11</v>
      </c>
      <c r="E18348" s="17" t="s">
        <v>11</v>
      </c>
      <c r="F18348" s="18"/>
      <c r="G18348" s="36" t="str">
        <f>IF(ISNUMBER(F18348),C18348*F18348,"")</f>
        <v/>
      </c>
    </row>
    <row r="18349" spans="1:7" ht="12" customHeight="1" outlineLevel="2" x14ac:dyDescent="0.2">
      <c r="A18349" s="14" t="s">
        <v>36120</v>
      </c>
      <c r="B18349" s="15" t="s">
        <v>36121</v>
      </c>
      <c r="C18349" s="16">
        <f>155.88/(1+B2)</f>
        <v>155.88</v>
      </c>
      <c r="D18349" s="17" t="s">
        <v>14</v>
      </c>
      <c r="E18349" s="17"/>
      <c r="F18349" s="18"/>
      <c r="G18349" s="36" t="str">
        <f>IF(ISNUMBER(F18349),C18349*F18349,"")</f>
        <v/>
      </c>
    </row>
    <row r="18350" spans="1:7" ht="24" customHeight="1" outlineLevel="2" x14ac:dyDescent="0.2">
      <c r="A18350" s="14" t="s">
        <v>36122</v>
      </c>
      <c r="B18350" s="15" t="s">
        <v>36123</v>
      </c>
      <c r="C18350" s="16">
        <f>169.95/(1+B2)</f>
        <v>169.95</v>
      </c>
      <c r="D18350" s="17" t="s">
        <v>11</v>
      </c>
      <c r="E18350" s="17" t="s">
        <v>11</v>
      </c>
      <c r="F18350" s="18"/>
      <c r="G18350" s="36" t="str">
        <f>IF(ISNUMBER(F18350),C18350*F18350,"")</f>
        <v/>
      </c>
    </row>
    <row r="18351" spans="1:7" ht="24" customHeight="1" outlineLevel="2" x14ac:dyDescent="0.2">
      <c r="A18351" s="14" t="s">
        <v>36124</v>
      </c>
      <c r="B18351" s="15" t="s">
        <v>36125</v>
      </c>
      <c r="C18351" s="16">
        <f>395.18/(1+B2)</f>
        <v>395.18</v>
      </c>
      <c r="D18351" s="17" t="s">
        <v>11</v>
      </c>
      <c r="E18351" s="17" t="s">
        <v>11</v>
      </c>
      <c r="F18351" s="18"/>
      <c r="G18351" s="36" t="str">
        <f>IF(ISNUMBER(F18351),C18351*F18351,"")</f>
        <v/>
      </c>
    </row>
    <row r="18352" spans="1:7" ht="24" customHeight="1" outlineLevel="2" x14ac:dyDescent="0.2">
      <c r="A18352" s="14" t="s">
        <v>36126</v>
      </c>
      <c r="B18352" s="15" t="s">
        <v>36127</v>
      </c>
      <c r="C18352" s="16">
        <f>74.22/(1+B2)</f>
        <v>74.22</v>
      </c>
      <c r="D18352" s="17" t="s">
        <v>11</v>
      </c>
      <c r="E18352" s="17"/>
      <c r="F18352" s="18"/>
      <c r="G18352" s="36" t="str">
        <f>IF(ISNUMBER(F18352),C18352*F18352,"")</f>
        <v/>
      </c>
    </row>
    <row r="18353" spans="1:7" ht="24" customHeight="1" outlineLevel="2" x14ac:dyDescent="0.2">
      <c r="A18353" s="14" t="s">
        <v>36128</v>
      </c>
      <c r="B18353" s="15" t="s">
        <v>36129</v>
      </c>
      <c r="C18353" s="16">
        <f>195.43/(1+B2)</f>
        <v>195.43</v>
      </c>
      <c r="D18353" s="17" t="s">
        <v>11</v>
      </c>
      <c r="E18353" s="17"/>
      <c r="F18353" s="18"/>
      <c r="G18353" s="36" t="str">
        <f>IF(ISNUMBER(F18353),C18353*F18353,"")</f>
        <v/>
      </c>
    </row>
    <row r="18354" spans="1:7" ht="24" customHeight="1" outlineLevel="2" x14ac:dyDescent="0.2">
      <c r="A18354" s="14" t="s">
        <v>36130</v>
      </c>
      <c r="B18354" s="15" t="s">
        <v>36131</v>
      </c>
      <c r="C18354" s="16">
        <f>200.95/(1+B2)</f>
        <v>200.95</v>
      </c>
      <c r="D18354" s="17" t="s">
        <v>11</v>
      </c>
      <c r="E18354" s="17"/>
      <c r="F18354" s="18"/>
      <c r="G18354" s="36" t="str">
        <f>IF(ISNUMBER(F18354),C18354*F18354,"")</f>
        <v/>
      </c>
    </row>
    <row r="18355" spans="1:7" s="1" customFormat="1" ht="15.95" customHeight="1" outlineLevel="1" x14ac:dyDescent="0.25">
      <c r="A18355" s="11"/>
      <c r="B18355" s="12" t="s">
        <v>36132</v>
      </c>
      <c r="C18355" s="13"/>
      <c r="D18355" s="13"/>
      <c r="E18355" s="13"/>
      <c r="F18355" s="13"/>
      <c r="G18355" s="35"/>
    </row>
    <row r="18356" spans="1:7" ht="12" customHeight="1" outlineLevel="2" x14ac:dyDescent="0.2">
      <c r="A18356" s="14" t="s">
        <v>36133</v>
      </c>
      <c r="B18356" s="15" t="s">
        <v>36134</v>
      </c>
      <c r="C18356" s="16">
        <f>168.79/(1+B2)</f>
        <v>168.79</v>
      </c>
      <c r="D18356" s="17" t="s">
        <v>14</v>
      </c>
      <c r="E18356" s="17"/>
      <c r="F18356" s="18"/>
      <c r="G18356" s="36" t="str">
        <f>IF(ISNUMBER(F18356),C18356*F18356,"")</f>
        <v/>
      </c>
    </row>
    <row r="18357" spans="1:7" ht="12" customHeight="1" outlineLevel="2" x14ac:dyDescent="0.2">
      <c r="A18357" s="14" t="s">
        <v>36135</v>
      </c>
      <c r="B18357" s="15" t="s">
        <v>36136</v>
      </c>
      <c r="C18357" s="16">
        <f>168.79/(1+B2)</f>
        <v>168.79</v>
      </c>
      <c r="D18357" s="17" t="s">
        <v>14</v>
      </c>
      <c r="E18357" s="17"/>
      <c r="F18357" s="18"/>
      <c r="G18357" s="36" t="str">
        <f>IF(ISNUMBER(F18357),C18357*F18357,"")</f>
        <v/>
      </c>
    </row>
    <row r="18358" spans="1:7" ht="12" customHeight="1" outlineLevel="2" x14ac:dyDescent="0.2">
      <c r="A18358" s="14" t="s">
        <v>36137</v>
      </c>
      <c r="B18358" s="15" t="s">
        <v>36138</v>
      </c>
      <c r="C18358" s="16">
        <f>266.44/(1+B2)</f>
        <v>266.44</v>
      </c>
      <c r="D18358" s="17" t="s">
        <v>14</v>
      </c>
      <c r="E18358" s="17"/>
      <c r="F18358" s="18"/>
      <c r="G18358" s="36" t="str">
        <f>IF(ISNUMBER(F18358),C18358*F18358,"")</f>
        <v/>
      </c>
    </row>
    <row r="18359" spans="1:7" ht="12" customHeight="1" outlineLevel="2" x14ac:dyDescent="0.2">
      <c r="A18359" s="14" t="s">
        <v>36139</v>
      </c>
      <c r="B18359" s="15" t="s">
        <v>36140</v>
      </c>
      <c r="C18359" s="16">
        <f>266.44/(1+B2)</f>
        <v>266.44</v>
      </c>
      <c r="D18359" s="17" t="s">
        <v>14</v>
      </c>
      <c r="E18359" s="17"/>
      <c r="F18359" s="18"/>
      <c r="G18359" s="36" t="str">
        <f>IF(ISNUMBER(F18359),C18359*F18359,"")</f>
        <v/>
      </c>
    </row>
    <row r="18360" spans="1:7" ht="12" customHeight="1" outlineLevel="2" x14ac:dyDescent="0.2">
      <c r="A18360" s="14" t="s">
        <v>36141</v>
      </c>
      <c r="B18360" s="15" t="s">
        <v>36142</v>
      </c>
      <c r="C18360" s="16">
        <f>266.44/(1+B2)</f>
        <v>266.44</v>
      </c>
      <c r="D18360" s="17" t="s">
        <v>14</v>
      </c>
      <c r="E18360" s="17"/>
      <c r="F18360" s="18"/>
      <c r="G18360" s="36" t="str">
        <f>IF(ISNUMBER(F18360),C18360*F18360,"")</f>
        <v/>
      </c>
    </row>
    <row r="18361" spans="1:7" ht="12" customHeight="1" outlineLevel="2" x14ac:dyDescent="0.2">
      <c r="A18361" s="14" t="s">
        <v>36143</v>
      </c>
      <c r="B18361" s="15" t="s">
        <v>36144</v>
      </c>
      <c r="C18361" s="16">
        <f>266.44/(1+B2)</f>
        <v>266.44</v>
      </c>
      <c r="D18361" s="17" t="s">
        <v>11</v>
      </c>
      <c r="E18361" s="17"/>
      <c r="F18361" s="18"/>
      <c r="G18361" s="36" t="str">
        <f>IF(ISNUMBER(F18361),C18361*F18361,"")</f>
        <v/>
      </c>
    </row>
    <row r="18362" spans="1:7" ht="12" customHeight="1" outlineLevel="2" x14ac:dyDescent="0.2">
      <c r="A18362" s="14" t="s">
        <v>36145</v>
      </c>
      <c r="B18362" s="15" t="s">
        <v>36146</v>
      </c>
      <c r="C18362" s="16">
        <f>266.44/(1+B2)</f>
        <v>266.44</v>
      </c>
      <c r="D18362" s="17" t="s">
        <v>11</v>
      </c>
      <c r="E18362" s="17"/>
      <c r="F18362" s="18"/>
      <c r="G18362" s="36" t="str">
        <f>IF(ISNUMBER(F18362),C18362*F18362,"")</f>
        <v/>
      </c>
    </row>
    <row r="18363" spans="1:7" ht="12" customHeight="1" outlineLevel="2" x14ac:dyDescent="0.2">
      <c r="A18363" s="14" t="s">
        <v>36147</v>
      </c>
      <c r="B18363" s="15" t="s">
        <v>36148</v>
      </c>
      <c r="C18363" s="16">
        <f>266.44/(1+B2)</f>
        <v>266.44</v>
      </c>
      <c r="D18363" s="17" t="s">
        <v>11</v>
      </c>
      <c r="E18363" s="17"/>
      <c r="F18363" s="18"/>
      <c r="G18363" s="36" t="str">
        <f>IF(ISNUMBER(F18363),C18363*F18363,"")</f>
        <v/>
      </c>
    </row>
    <row r="18364" spans="1:7" ht="12" customHeight="1" outlineLevel="2" x14ac:dyDescent="0.2">
      <c r="A18364" s="14" t="s">
        <v>36149</v>
      </c>
      <c r="B18364" s="15" t="s">
        <v>36150</v>
      </c>
      <c r="C18364" s="16">
        <f>266.44/(1+B2)</f>
        <v>266.44</v>
      </c>
      <c r="D18364" s="17" t="s">
        <v>11</v>
      </c>
      <c r="E18364" s="17"/>
      <c r="F18364" s="18"/>
      <c r="G18364" s="36" t="str">
        <f>IF(ISNUMBER(F18364),C18364*F18364,"")</f>
        <v/>
      </c>
    </row>
    <row r="18365" spans="1:7" ht="12" customHeight="1" outlineLevel="2" x14ac:dyDescent="0.2">
      <c r="A18365" s="14" t="s">
        <v>36151</v>
      </c>
      <c r="B18365" s="15" t="s">
        <v>36152</v>
      </c>
      <c r="C18365" s="16">
        <f>137.54/(1+B2)</f>
        <v>137.54</v>
      </c>
      <c r="D18365" s="17" t="s">
        <v>11</v>
      </c>
      <c r="E18365" s="17" t="s">
        <v>11</v>
      </c>
      <c r="F18365" s="18"/>
      <c r="G18365" s="36" t="str">
        <f>IF(ISNUMBER(F18365),C18365*F18365,"")</f>
        <v/>
      </c>
    </row>
    <row r="18366" spans="1:7" ht="12" customHeight="1" outlineLevel="2" x14ac:dyDescent="0.2">
      <c r="A18366" s="14" t="s">
        <v>36153</v>
      </c>
      <c r="B18366" s="15" t="s">
        <v>36154</v>
      </c>
      <c r="C18366" s="16">
        <f>137.54/(1+B2)</f>
        <v>137.54</v>
      </c>
      <c r="D18366" s="17" t="s">
        <v>11</v>
      </c>
      <c r="E18366" s="17" t="s">
        <v>11</v>
      </c>
      <c r="F18366" s="18"/>
      <c r="G18366" s="36" t="str">
        <f>IF(ISNUMBER(F18366),C18366*F18366,"")</f>
        <v/>
      </c>
    </row>
    <row r="18367" spans="1:7" ht="12" customHeight="1" outlineLevel="2" x14ac:dyDescent="0.2">
      <c r="A18367" s="14" t="s">
        <v>36155</v>
      </c>
      <c r="B18367" s="15" t="s">
        <v>36156</v>
      </c>
      <c r="C18367" s="16">
        <f>137.54/(1+B2)</f>
        <v>137.54</v>
      </c>
      <c r="D18367" s="17" t="s">
        <v>11</v>
      </c>
      <c r="E18367" s="17"/>
      <c r="F18367" s="18"/>
      <c r="G18367" s="36" t="str">
        <f>IF(ISNUMBER(F18367),C18367*F18367,"")</f>
        <v/>
      </c>
    </row>
    <row r="18368" spans="1:7" ht="12" customHeight="1" outlineLevel="2" x14ac:dyDescent="0.2">
      <c r="A18368" s="14" t="s">
        <v>36157</v>
      </c>
      <c r="B18368" s="15" t="s">
        <v>36158</v>
      </c>
      <c r="C18368" s="16">
        <f>111.38/(1+B2)</f>
        <v>111.38</v>
      </c>
      <c r="D18368" s="17" t="s">
        <v>11</v>
      </c>
      <c r="E18368" s="17" t="s">
        <v>11</v>
      </c>
      <c r="F18368" s="18"/>
      <c r="G18368" s="36" t="str">
        <f>IF(ISNUMBER(F18368),C18368*F18368,"")</f>
        <v/>
      </c>
    </row>
    <row r="18369" spans="1:7" ht="12" customHeight="1" outlineLevel="2" x14ac:dyDescent="0.2">
      <c r="A18369" s="14" t="s">
        <v>36159</v>
      </c>
      <c r="B18369" s="15" t="s">
        <v>36160</v>
      </c>
      <c r="C18369" s="16">
        <f>111.38/(1+B2)</f>
        <v>111.38</v>
      </c>
      <c r="D18369" s="17" t="s">
        <v>11</v>
      </c>
      <c r="E18369" s="17"/>
      <c r="F18369" s="18"/>
      <c r="G18369" s="36" t="str">
        <f>IF(ISNUMBER(F18369),C18369*F18369,"")</f>
        <v/>
      </c>
    </row>
    <row r="18370" spans="1:7" ht="12" customHeight="1" outlineLevel="2" x14ac:dyDescent="0.2">
      <c r="A18370" s="14" t="s">
        <v>36161</v>
      </c>
      <c r="B18370" s="15" t="s">
        <v>36162</v>
      </c>
      <c r="C18370" s="16">
        <f>111.38/(1+B2)</f>
        <v>111.38</v>
      </c>
      <c r="D18370" s="17" t="s">
        <v>11</v>
      </c>
      <c r="E18370" s="17" t="s">
        <v>11</v>
      </c>
      <c r="F18370" s="18"/>
      <c r="G18370" s="36" t="str">
        <f>IF(ISNUMBER(F18370),C18370*F18370,"")</f>
        <v/>
      </c>
    </row>
    <row r="18371" spans="1:7" ht="12" customHeight="1" outlineLevel="2" x14ac:dyDescent="0.2">
      <c r="A18371" s="14" t="s">
        <v>36163</v>
      </c>
      <c r="B18371" s="15" t="s">
        <v>36164</v>
      </c>
      <c r="C18371" s="16">
        <f>217.1/(1+B2)</f>
        <v>217.1</v>
      </c>
      <c r="D18371" s="17" t="s">
        <v>11</v>
      </c>
      <c r="E18371" s="17" t="s">
        <v>11</v>
      </c>
      <c r="F18371" s="18"/>
      <c r="G18371" s="36" t="str">
        <f>IF(ISNUMBER(F18371),C18371*F18371,"")</f>
        <v/>
      </c>
    </row>
    <row r="18372" spans="1:7" ht="12" customHeight="1" outlineLevel="2" x14ac:dyDescent="0.2">
      <c r="A18372" s="14" t="s">
        <v>36165</v>
      </c>
      <c r="B18372" s="15" t="s">
        <v>36166</v>
      </c>
      <c r="C18372" s="16">
        <f>61.1/(1+B2)</f>
        <v>61.1</v>
      </c>
      <c r="D18372" s="17" t="s">
        <v>11</v>
      </c>
      <c r="E18372" s="17" t="s">
        <v>14</v>
      </c>
      <c r="F18372" s="18"/>
      <c r="G18372" s="36" t="str">
        <f>IF(ISNUMBER(F18372),C18372*F18372,"")</f>
        <v/>
      </c>
    </row>
    <row r="18373" spans="1:7" ht="12" customHeight="1" outlineLevel="2" x14ac:dyDescent="0.2">
      <c r="A18373" s="14" t="s">
        <v>36167</v>
      </c>
      <c r="B18373" s="15" t="s">
        <v>36168</v>
      </c>
      <c r="C18373" s="16">
        <f>105.3/(1+B2)</f>
        <v>105.3</v>
      </c>
      <c r="D18373" s="17" t="s">
        <v>11</v>
      </c>
      <c r="E18373" s="17" t="s">
        <v>53</v>
      </c>
      <c r="F18373" s="18"/>
      <c r="G18373" s="36" t="str">
        <f>IF(ISNUMBER(F18373),C18373*F18373,"")</f>
        <v/>
      </c>
    </row>
    <row r="18374" spans="1:7" ht="12" customHeight="1" outlineLevel="2" x14ac:dyDescent="0.2">
      <c r="A18374" s="14" t="s">
        <v>36169</v>
      </c>
      <c r="B18374" s="15" t="s">
        <v>36170</v>
      </c>
      <c r="C18374" s="16">
        <f>185.9/(1+B2)</f>
        <v>185.9</v>
      </c>
      <c r="D18374" s="17" t="s">
        <v>11</v>
      </c>
      <c r="E18374" s="17" t="s">
        <v>11</v>
      </c>
      <c r="F18374" s="18"/>
      <c r="G18374" s="36" t="str">
        <f>IF(ISNUMBER(F18374),C18374*F18374,"")</f>
        <v/>
      </c>
    </row>
    <row r="18375" spans="1:7" ht="12" customHeight="1" outlineLevel="2" x14ac:dyDescent="0.2">
      <c r="A18375" s="14" t="s">
        <v>36171</v>
      </c>
      <c r="B18375" s="15" t="s">
        <v>36172</v>
      </c>
      <c r="C18375" s="16">
        <f>279.5/(1+B2)</f>
        <v>279.5</v>
      </c>
      <c r="D18375" s="17" t="s">
        <v>11</v>
      </c>
      <c r="E18375" s="17"/>
      <c r="F18375" s="18"/>
      <c r="G18375" s="36" t="str">
        <f>IF(ISNUMBER(F18375),C18375*F18375,"")</f>
        <v/>
      </c>
    </row>
    <row r="18376" spans="1:7" ht="12" customHeight="1" outlineLevel="2" x14ac:dyDescent="0.2">
      <c r="A18376" s="14" t="s">
        <v>36173</v>
      </c>
      <c r="B18376" s="15" t="s">
        <v>36174</v>
      </c>
      <c r="C18376" s="16">
        <f>152.95/(1+B2)</f>
        <v>152.94999999999999</v>
      </c>
      <c r="D18376" s="17" t="s">
        <v>11</v>
      </c>
      <c r="E18376" s="17" t="s">
        <v>11</v>
      </c>
      <c r="F18376" s="18"/>
      <c r="G18376" s="36" t="str">
        <f>IF(ISNUMBER(F18376),C18376*F18376,"")</f>
        <v/>
      </c>
    </row>
    <row r="18377" spans="1:7" ht="12" customHeight="1" outlineLevel="2" x14ac:dyDescent="0.2">
      <c r="A18377" s="14" t="s">
        <v>36175</v>
      </c>
      <c r="B18377" s="15" t="s">
        <v>36176</v>
      </c>
      <c r="C18377" s="16">
        <f>75.4/(1+B2)</f>
        <v>75.400000000000006</v>
      </c>
      <c r="D18377" s="17" t="s">
        <v>11</v>
      </c>
      <c r="E18377" s="17" t="s">
        <v>53</v>
      </c>
      <c r="F18377" s="18"/>
      <c r="G18377" s="36" t="str">
        <f>IF(ISNUMBER(F18377),C18377*F18377,"")</f>
        <v/>
      </c>
    </row>
    <row r="18378" spans="1:7" ht="12" customHeight="1" outlineLevel="2" x14ac:dyDescent="0.2">
      <c r="A18378" s="14" t="s">
        <v>36177</v>
      </c>
      <c r="B18378" s="15" t="s">
        <v>36178</v>
      </c>
      <c r="C18378" s="16">
        <f>101.43/(1+B2)</f>
        <v>101.43</v>
      </c>
      <c r="D18378" s="17" t="s">
        <v>11</v>
      </c>
      <c r="E18378" s="17"/>
      <c r="F18378" s="18"/>
      <c r="G18378" s="36" t="str">
        <f>IF(ISNUMBER(F18378),C18378*F18378,"")</f>
        <v/>
      </c>
    </row>
    <row r="18379" spans="1:7" ht="12" customHeight="1" outlineLevel="2" x14ac:dyDescent="0.2">
      <c r="A18379" s="14" t="s">
        <v>36179</v>
      </c>
      <c r="B18379" s="15" t="s">
        <v>36180</v>
      </c>
      <c r="C18379" s="16">
        <f>229.03/(1+B2)</f>
        <v>229.03</v>
      </c>
      <c r="D18379" s="17" t="s">
        <v>11</v>
      </c>
      <c r="E18379" s="17"/>
      <c r="F18379" s="18"/>
      <c r="G18379" s="36" t="str">
        <f>IF(ISNUMBER(F18379),C18379*F18379,"")</f>
        <v/>
      </c>
    </row>
    <row r="18380" spans="1:7" ht="12" customHeight="1" outlineLevel="2" x14ac:dyDescent="0.2">
      <c r="A18380" s="14" t="s">
        <v>36181</v>
      </c>
      <c r="B18380" s="15" t="s">
        <v>36182</v>
      </c>
      <c r="C18380" s="16">
        <f>309.27/(1+B2)</f>
        <v>309.27</v>
      </c>
      <c r="D18380" s="17" t="s">
        <v>11</v>
      </c>
      <c r="E18380" s="17" t="s">
        <v>14</v>
      </c>
      <c r="F18380" s="18"/>
      <c r="G18380" s="36" t="str">
        <f>IF(ISNUMBER(F18380),C18380*F18380,"")</f>
        <v/>
      </c>
    </row>
    <row r="18381" spans="1:7" ht="12" customHeight="1" outlineLevel="2" x14ac:dyDescent="0.2">
      <c r="A18381" s="14" t="s">
        <v>36183</v>
      </c>
      <c r="B18381" s="15" t="s">
        <v>36184</v>
      </c>
      <c r="C18381" s="16">
        <f>125.64/(1+B2)</f>
        <v>125.64</v>
      </c>
      <c r="D18381" s="17" t="s">
        <v>11</v>
      </c>
      <c r="E18381" s="17" t="s">
        <v>11</v>
      </c>
      <c r="F18381" s="18"/>
      <c r="G18381" s="36" t="str">
        <f>IF(ISNUMBER(F18381),C18381*F18381,"")</f>
        <v/>
      </c>
    </row>
    <row r="18382" spans="1:7" ht="12" customHeight="1" outlineLevel="2" x14ac:dyDescent="0.2">
      <c r="A18382" s="14" t="s">
        <v>36185</v>
      </c>
      <c r="B18382" s="15" t="s">
        <v>36186</v>
      </c>
      <c r="C18382" s="16">
        <f>111.16/(1+B2)</f>
        <v>111.16</v>
      </c>
      <c r="D18382" s="17" t="s">
        <v>11</v>
      </c>
      <c r="E18382" s="17" t="s">
        <v>11</v>
      </c>
      <c r="F18382" s="18"/>
      <c r="G18382" s="36" t="str">
        <f>IF(ISNUMBER(F18382),C18382*F18382,"")</f>
        <v/>
      </c>
    </row>
    <row r="18383" spans="1:7" ht="12" customHeight="1" outlineLevel="2" x14ac:dyDescent="0.2">
      <c r="A18383" s="14" t="s">
        <v>36187</v>
      </c>
      <c r="B18383" s="15" t="s">
        <v>36188</v>
      </c>
      <c r="C18383" s="16">
        <f>123.58/(1+B2)</f>
        <v>123.58</v>
      </c>
      <c r="D18383" s="17" t="s">
        <v>11</v>
      </c>
      <c r="E18383" s="17"/>
      <c r="F18383" s="18"/>
      <c r="G18383" s="36" t="str">
        <f>IF(ISNUMBER(F18383),C18383*F18383,"")</f>
        <v/>
      </c>
    </row>
    <row r="18384" spans="1:7" ht="12" customHeight="1" outlineLevel="2" x14ac:dyDescent="0.2">
      <c r="A18384" s="14" t="s">
        <v>36189</v>
      </c>
      <c r="B18384" s="15" t="s">
        <v>36190</v>
      </c>
      <c r="C18384" s="16">
        <f>141.59/(1+B2)</f>
        <v>141.59</v>
      </c>
      <c r="D18384" s="17" t="s">
        <v>11</v>
      </c>
      <c r="E18384" s="17" t="s">
        <v>11</v>
      </c>
      <c r="F18384" s="18"/>
      <c r="G18384" s="36" t="str">
        <f>IF(ISNUMBER(F18384),C18384*F18384,"")</f>
        <v/>
      </c>
    </row>
    <row r="18385" spans="1:7" ht="12" customHeight="1" outlineLevel="2" x14ac:dyDescent="0.2">
      <c r="A18385" s="14" t="s">
        <v>36191</v>
      </c>
      <c r="B18385" s="15" t="s">
        <v>36192</v>
      </c>
      <c r="C18385" s="16">
        <f>167.05/(1+B2)</f>
        <v>167.05</v>
      </c>
      <c r="D18385" s="17" t="s">
        <v>11</v>
      </c>
      <c r="E18385" s="17"/>
      <c r="F18385" s="18"/>
      <c r="G18385" s="36" t="str">
        <f>IF(ISNUMBER(F18385),C18385*F18385,"")</f>
        <v/>
      </c>
    </row>
    <row r="18386" spans="1:7" ht="12" customHeight="1" outlineLevel="2" x14ac:dyDescent="0.2">
      <c r="A18386" s="14" t="s">
        <v>36193</v>
      </c>
      <c r="B18386" s="15" t="s">
        <v>36194</v>
      </c>
      <c r="C18386" s="16">
        <f>193.75/(1+B2)</f>
        <v>193.75</v>
      </c>
      <c r="D18386" s="17" t="s">
        <v>11</v>
      </c>
      <c r="E18386" s="17" t="s">
        <v>14</v>
      </c>
      <c r="F18386" s="18"/>
      <c r="G18386" s="36" t="str">
        <f>IF(ISNUMBER(F18386),C18386*F18386,"")</f>
        <v/>
      </c>
    </row>
    <row r="18387" spans="1:7" ht="12" customHeight="1" outlineLevel="2" x14ac:dyDescent="0.2">
      <c r="A18387" s="14" t="s">
        <v>36195</v>
      </c>
      <c r="B18387" s="15" t="s">
        <v>36196</v>
      </c>
      <c r="C18387" s="16">
        <f>214.87/(1+B2)</f>
        <v>214.87</v>
      </c>
      <c r="D18387" s="17" t="s">
        <v>11</v>
      </c>
      <c r="E18387" s="17" t="s">
        <v>11</v>
      </c>
      <c r="F18387" s="18"/>
      <c r="G18387" s="36" t="str">
        <f>IF(ISNUMBER(F18387),C18387*F18387,"")</f>
        <v/>
      </c>
    </row>
    <row r="18388" spans="1:7" ht="12" customHeight="1" outlineLevel="2" x14ac:dyDescent="0.2">
      <c r="A18388" s="14" t="s">
        <v>36197</v>
      </c>
      <c r="B18388" s="15" t="s">
        <v>36198</v>
      </c>
      <c r="C18388" s="16">
        <f>437.55/(1+B2)</f>
        <v>437.55</v>
      </c>
      <c r="D18388" s="17" t="s">
        <v>11</v>
      </c>
      <c r="E18388" s="17" t="s">
        <v>11</v>
      </c>
      <c r="F18388" s="18"/>
      <c r="G18388" s="36" t="str">
        <f>IF(ISNUMBER(F18388),C18388*F18388,"")</f>
        <v/>
      </c>
    </row>
    <row r="18389" spans="1:7" ht="12" customHeight="1" outlineLevel="2" x14ac:dyDescent="0.2">
      <c r="A18389" s="14" t="s">
        <v>36199</v>
      </c>
      <c r="B18389" s="15" t="s">
        <v>36200</v>
      </c>
      <c r="C18389" s="16">
        <f>351.49/(1+B2)</f>
        <v>351.49</v>
      </c>
      <c r="D18389" s="17" t="s">
        <v>11</v>
      </c>
      <c r="E18389" s="17" t="s">
        <v>11</v>
      </c>
      <c r="F18389" s="18"/>
      <c r="G18389" s="36" t="str">
        <f>IF(ISNUMBER(F18389),C18389*F18389,"")</f>
        <v/>
      </c>
    </row>
    <row r="18390" spans="1:7" ht="12" customHeight="1" outlineLevel="2" x14ac:dyDescent="0.2">
      <c r="A18390" s="14" t="s">
        <v>36201</v>
      </c>
      <c r="B18390" s="15" t="s">
        <v>36202</v>
      </c>
      <c r="C18390" s="16">
        <f>135.13/(1+B2)</f>
        <v>135.13</v>
      </c>
      <c r="D18390" s="17" t="s">
        <v>11</v>
      </c>
      <c r="E18390" s="17"/>
      <c r="F18390" s="18"/>
      <c r="G18390" s="36" t="str">
        <f>IF(ISNUMBER(F18390),C18390*F18390,"")</f>
        <v/>
      </c>
    </row>
    <row r="18391" spans="1:7" ht="12" customHeight="1" outlineLevel="2" x14ac:dyDescent="0.2">
      <c r="A18391" s="14" t="s">
        <v>36203</v>
      </c>
      <c r="B18391" s="15" t="s">
        <v>36204</v>
      </c>
      <c r="C18391" s="16">
        <f>337.1/(1+B2)</f>
        <v>337.1</v>
      </c>
      <c r="D18391" s="17" t="s">
        <v>11</v>
      </c>
      <c r="E18391" s="17"/>
      <c r="F18391" s="18"/>
      <c r="G18391" s="36" t="str">
        <f>IF(ISNUMBER(F18391),C18391*F18391,"")</f>
        <v/>
      </c>
    </row>
    <row r="18392" spans="1:7" ht="12" customHeight="1" outlineLevel="2" x14ac:dyDescent="0.2">
      <c r="A18392" s="14" t="s">
        <v>36205</v>
      </c>
      <c r="B18392" s="15" t="s">
        <v>36206</v>
      </c>
      <c r="C18392" s="16">
        <f>407.96/(1+B2)</f>
        <v>407.96</v>
      </c>
      <c r="D18392" s="17" t="s">
        <v>11</v>
      </c>
      <c r="E18392" s="17"/>
      <c r="F18392" s="18"/>
      <c r="G18392" s="36" t="str">
        <f>IF(ISNUMBER(F18392),C18392*F18392,"")</f>
        <v/>
      </c>
    </row>
    <row r="18393" spans="1:7" ht="12" customHeight="1" outlineLevel="2" x14ac:dyDescent="0.2">
      <c r="A18393" s="14" t="s">
        <v>36207</v>
      </c>
      <c r="B18393" s="15" t="s">
        <v>36208</v>
      </c>
      <c r="C18393" s="16">
        <f>89.1/(1+B2)</f>
        <v>89.1</v>
      </c>
      <c r="D18393" s="17" t="s">
        <v>11</v>
      </c>
      <c r="E18393" s="17" t="s">
        <v>14</v>
      </c>
      <c r="F18393" s="18"/>
      <c r="G18393" s="36" t="str">
        <f>IF(ISNUMBER(F18393),C18393*F18393,"")</f>
        <v/>
      </c>
    </row>
    <row r="18394" spans="1:7" ht="12" customHeight="1" outlineLevel="2" x14ac:dyDescent="0.2">
      <c r="A18394" s="14" t="s">
        <v>36209</v>
      </c>
      <c r="B18394" s="15" t="s">
        <v>36210</v>
      </c>
      <c r="C18394" s="16">
        <f>90.11/(1+B2)</f>
        <v>90.11</v>
      </c>
      <c r="D18394" s="17" t="s">
        <v>14</v>
      </c>
      <c r="E18394" s="17"/>
      <c r="F18394" s="18"/>
      <c r="G18394" s="36" t="str">
        <f>IF(ISNUMBER(F18394),C18394*F18394,"")</f>
        <v/>
      </c>
    </row>
    <row r="18395" spans="1:7" ht="12" customHeight="1" outlineLevel="2" x14ac:dyDescent="0.2">
      <c r="A18395" s="14" t="s">
        <v>36211</v>
      </c>
      <c r="B18395" s="15" t="s">
        <v>36212</v>
      </c>
      <c r="C18395" s="16">
        <f>125.53/(1+B2)</f>
        <v>125.53</v>
      </c>
      <c r="D18395" s="17" t="s">
        <v>11</v>
      </c>
      <c r="E18395" s="17" t="s">
        <v>11</v>
      </c>
      <c r="F18395" s="18"/>
      <c r="G18395" s="36" t="str">
        <f>IF(ISNUMBER(F18395),C18395*F18395,"")</f>
        <v/>
      </c>
    </row>
    <row r="18396" spans="1:7" ht="12" customHeight="1" outlineLevel="2" x14ac:dyDescent="0.2">
      <c r="A18396" s="14" t="s">
        <v>36213</v>
      </c>
      <c r="B18396" s="15" t="s">
        <v>36214</v>
      </c>
      <c r="C18396" s="16">
        <f>168.06/(1+B2)</f>
        <v>168.06</v>
      </c>
      <c r="D18396" s="17" t="s">
        <v>11</v>
      </c>
      <c r="E18396" s="17"/>
      <c r="F18396" s="18"/>
      <c r="G18396" s="36" t="str">
        <f>IF(ISNUMBER(F18396),C18396*F18396,"")</f>
        <v/>
      </c>
    </row>
    <row r="18397" spans="1:7" ht="12" customHeight="1" outlineLevel="2" x14ac:dyDescent="0.2">
      <c r="A18397" s="14" t="s">
        <v>36215</v>
      </c>
      <c r="B18397" s="15" t="s">
        <v>36216</v>
      </c>
      <c r="C18397" s="16">
        <f>242.98/(1+B2)</f>
        <v>242.98</v>
      </c>
      <c r="D18397" s="17" t="s">
        <v>11</v>
      </c>
      <c r="E18397" s="17"/>
      <c r="F18397" s="18"/>
      <c r="G18397" s="36" t="str">
        <f>IF(ISNUMBER(F18397),C18397*F18397,"")</f>
        <v/>
      </c>
    </row>
    <row r="18398" spans="1:7" ht="12" customHeight="1" outlineLevel="2" x14ac:dyDescent="0.2">
      <c r="A18398" s="14" t="s">
        <v>36217</v>
      </c>
      <c r="B18398" s="15" t="s">
        <v>36218</v>
      </c>
      <c r="C18398" s="16">
        <f>368.5/(1+B2)</f>
        <v>368.5</v>
      </c>
      <c r="D18398" s="17" t="s">
        <v>11</v>
      </c>
      <c r="E18398" s="17"/>
      <c r="F18398" s="18"/>
      <c r="G18398" s="36" t="str">
        <f>IF(ISNUMBER(F18398),C18398*F18398,"")</f>
        <v/>
      </c>
    </row>
    <row r="18399" spans="1:7" ht="12" customHeight="1" outlineLevel="2" x14ac:dyDescent="0.2">
      <c r="A18399" s="14" t="s">
        <v>36219</v>
      </c>
      <c r="B18399" s="15" t="s">
        <v>36220</v>
      </c>
      <c r="C18399" s="16">
        <f>50.92/(1+B2)</f>
        <v>50.92</v>
      </c>
      <c r="D18399" s="17" t="s">
        <v>11</v>
      </c>
      <c r="E18399" s="17" t="s">
        <v>53</v>
      </c>
      <c r="F18399" s="18"/>
      <c r="G18399" s="36" t="str">
        <f>IF(ISNUMBER(F18399),C18399*F18399,"")</f>
        <v/>
      </c>
    </row>
    <row r="18400" spans="1:7" ht="12" customHeight="1" outlineLevel="2" x14ac:dyDescent="0.2">
      <c r="A18400" s="14" t="s">
        <v>36221</v>
      </c>
      <c r="B18400" s="15" t="s">
        <v>36222</v>
      </c>
      <c r="C18400" s="16">
        <f>58.37/(1+B2)</f>
        <v>58.37</v>
      </c>
      <c r="D18400" s="17" t="s">
        <v>11</v>
      </c>
      <c r="E18400" s="17" t="s">
        <v>53</v>
      </c>
      <c r="F18400" s="18"/>
      <c r="G18400" s="36" t="str">
        <f>IF(ISNUMBER(F18400),C18400*F18400,"")</f>
        <v/>
      </c>
    </row>
    <row r="18401" spans="1:7" ht="12" customHeight="1" outlineLevel="2" x14ac:dyDescent="0.2">
      <c r="A18401" s="14" t="s">
        <v>36223</v>
      </c>
      <c r="B18401" s="15" t="s">
        <v>36224</v>
      </c>
      <c r="C18401" s="16">
        <f>70.79/(1+B2)</f>
        <v>70.790000000000006</v>
      </c>
      <c r="D18401" s="17" t="s">
        <v>11</v>
      </c>
      <c r="E18401" s="17" t="s">
        <v>53</v>
      </c>
      <c r="F18401" s="18"/>
      <c r="G18401" s="36" t="str">
        <f>IF(ISNUMBER(F18401),C18401*F18401,"")</f>
        <v/>
      </c>
    </row>
    <row r="18402" spans="1:7" s="1" customFormat="1" ht="15.95" customHeight="1" outlineLevel="1" x14ac:dyDescent="0.25">
      <c r="A18402" s="11"/>
      <c r="B18402" s="12" t="s">
        <v>36225</v>
      </c>
      <c r="C18402" s="13"/>
      <c r="D18402" s="13"/>
      <c r="E18402" s="13"/>
      <c r="F18402" s="13"/>
      <c r="G18402" s="35"/>
    </row>
    <row r="18403" spans="1:7" ht="12" customHeight="1" outlineLevel="2" x14ac:dyDescent="0.2">
      <c r="A18403" s="14" t="s">
        <v>36226</v>
      </c>
      <c r="B18403" s="15" t="s">
        <v>36227</v>
      </c>
      <c r="C18403" s="16">
        <f>249.09/(1+B2)</f>
        <v>249.09</v>
      </c>
      <c r="D18403" s="17" t="s">
        <v>11</v>
      </c>
      <c r="E18403" s="17" t="s">
        <v>11</v>
      </c>
      <c r="F18403" s="18"/>
      <c r="G18403" s="36" t="str">
        <f>IF(ISNUMBER(F18403),C18403*F18403,"")</f>
        <v/>
      </c>
    </row>
    <row r="18404" spans="1:7" ht="24" customHeight="1" outlineLevel="2" x14ac:dyDescent="0.2">
      <c r="A18404" s="14" t="s">
        <v>36228</v>
      </c>
      <c r="B18404" s="15" t="s">
        <v>36229</v>
      </c>
      <c r="C18404" s="16">
        <f>345.46/(1+B2)</f>
        <v>345.46</v>
      </c>
      <c r="D18404" s="17" t="s">
        <v>11</v>
      </c>
      <c r="E18404" s="17"/>
      <c r="F18404" s="18"/>
      <c r="G18404" s="36" t="str">
        <f>IF(ISNUMBER(F18404),C18404*F18404,"")</f>
        <v/>
      </c>
    </row>
    <row r="18405" spans="1:7" ht="24" customHeight="1" outlineLevel="2" x14ac:dyDescent="0.2">
      <c r="A18405" s="14" t="s">
        <v>36230</v>
      </c>
      <c r="B18405" s="15" t="s">
        <v>36231</v>
      </c>
      <c r="C18405" s="16">
        <f>379.19/(1+B2)</f>
        <v>379.19</v>
      </c>
      <c r="D18405" s="17" t="s">
        <v>11</v>
      </c>
      <c r="E18405" s="17" t="s">
        <v>11</v>
      </c>
      <c r="F18405" s="18"/>
      <c r="G18405" s="36" t="str">
        <f>IF(ISNUMBER(F18405),C18405*F18405,"")</f>
        <v/>
      </c>
    </row>
    <row r="18406" spans="1:7" ht="24" customHeight="1" outlineLevel="2" x14ac:dyDescent="0.2">
      <c r="A18406" s="14" t="s">
        <v>36232</v>
      </c>
      <c r="B18406" s="15" t="s">
        <v>36233</v>
      </c>
      <c r="C18406" s="16">
        <f>511.32/(1+B2)</f>
        <v>511.32</v>
      </c>
      <c r="D18406" s="17" t="s">
        <v>11</v>
      </c>
      <c r="E18406" s="17"/>
      <c r="F18406" s="18"/>
      <c r="G18406" s="36" t="str">
        <f>IF(ISNUMBER(F18406),C18406*F18406,"")</f>
        <v/>
      </c>
    </row>
    <row r="18407" spans="1:7" ht="24" customHeight="1" outlineLevel="2" x14ac:dyDescent="0.2">
      <c r="A18407" s="14" t="s">
        <v>36234</v>
      </c>
      <c r="B18407" s="15" t="s">
        <v>36235</v>
      </c>
      <c r="C18407" s="16">
        <f>511.32/(1+B2)</f>
        <v>511.32</v>
      </c>
      <c r="D18407" s="17" t="s">
        <v>11</v>
      </c>
      <c r="E18407" s="17" t="s">
        <v>11</v>
      </c>
      <c r="F18407" s="18"/>
      <c r="G18407" s="36" t="str">
        <f>IF(ISNUMBER(F18407),C18407*F18407,"")</f>
        <v/>
      </c>
    </row>
    <row r="18408" spans="1:7" ht="24" customHeight="1" outlineLevel="2" x14ac:dyDescent="0.2">
      <c r="A18408" s="14" t="s">
        <v>36236</v>
      </c>
      <c r="B18408" s="15" t="s">
        <v>36237</v>
      </c>
      <c r="C18408" s="16">
        <f>511.32/(1+B2)</f>
        <v>511.32</v>
      </c>
      <c r="D18408" s="17" t="s">
        <v>11</v>
      </c>
      <c r="E18408" s="17" t="s">
        <v>11</v>
      </c>
      <c r="F18408" s="18"/>
      <c r="G18408" s="36" t="str">
        <f>IF(ISNUMBER(F18408),C18408*F18408,"")</f>
        <v/>
      </c>
    </row>
    <row r="18409" spans="1:7" ht="24" customHeight="1" outlineLevel="2" x14ac:dyDescent="0.2">
      <c r="A18409" s="14" t="s">
        <v>36238</v>
      </c>
      <c r="B18409" s="15" t="s">
        <v>36239</v>
      </c>
      <c r="C18409" s="16">
        <f>511.32/(1+B2)</f>
        <v>511.32</v>
      </c>
      <c r="D18409" s="17" t="s">
        <v>11</v>
      </c>
      <c r="E18409" s="17"/>
      <c r="F18409" s="18"/>
      <c r="G18409" s="36" t="str">
        <f>IF(ISNUMBER(F18409),C18409*F18409,"")</f>
        <v/>
      </c>
    </row>
    <row r="18410" spans="1:7" ht="24" customHeight="1" outlineLevel="2" x14ac:dyDescent="0.2">
      <c r="A18410" s="14" t="s">
        <v>36240</v>
      </c>
      <c r="B18410" s="15" t="s">
        <v>36241</v>
      </c>
      <c r="C18410" s="16">
        <f>511.32/(1+B2)</f>
        <v>511.32</v>
      </c>
      <c r="D18410" s="17" t="s">
        <v>11</v>
      </c>
      <c r="E18410" s="17"/>
      <c r="F18410" s="18"/>
      <c r="G18410" s="36" t="str">
        <f>IF(ISNUMBER(F18410),C18410*F18410,"")</f>
        <v/>
      </c>
    </row>
    <row r="18411" spans="1:7" ht="24" customHeight="1" outlineLevel="2" x14ac:dyDescent="0.2">
      <c r="A18411" s="14" t="s">
        <v>36242</v>
      </c>
      <c r="B18411" s="15" t="s">
        <v>36243</v>
      </c>
      <c r="C18411" s="16">
        <f>511.32/(1+B2)</f>
        <v>511.32</v>
      </c>
      <c r="D18411" s="17" t="s">
        <v>11</v>
      </c>
      <c r="E18411" s="17"/>
      <c r="F18411" s="18"/>
      <c r="G18411" s="36" t="str">
        <f>IF(ISNUMBER(F18411),C18411*F18411,"")</f>
        <v/>
      </c>
    </row>
    <row r="18412" spans="1:7" ht="12" customHeight="1" outlineLevel="2" x14ac:dyDescent="0.2">
      <c r="A18412" s="14" t="s">
        <v>36244</v>
      </c>
      <c r="B18412" s="15" t="s">
        <v>36245</v>
      </c>
      <c r="C18412" s="16">
        <f>61.38/(1+B2)</f>
        <v>61.38</v>
      </c>
      <c r="D18412" s="17" t="s">
        <v>11</v>
      </c>
      <c r="E18412" s="17"/>
      <c r="F18412" s="18"/>
      <c r="G18412" s="36" t="str">
        <f>IF(ISNUMBER(F18412),C18412*F18412,"")</f>
        <v/>
      </c>
    </row>
    <row r="18413" spans="1:7" ht="12" customHeight="1" outlineLevel="2" x14ac:dyDescent="0.2">
      <c r="A18413" s="14" t="s">
        <v>36246</v>
      </c>
      <c r="B18413" s="15" t="s">
        <v>36247</v>
      </c>
      <c r="C18413" s="16">
        <f>59.65/(1+B2)</f>
        <v>59.65</v>
      </c>
      <c r="D18413" s="17" t="s">
        <v>11</v>
      </c>
      <c r="E18413" s="17"/>
      <c r="F18413" s="18"/>
      <c r="G18413" s="36" t="str">
        <f>IF(ISNUMBER(F18413),C18413*F18413,"")</f>
        <v/>
      </c>
    </row>
    <row r="18414" spans="1:7" ht="24" customHeight="1" outlineLevel="2" x14ac:dyDescent="0.2">
      <c r="A18414" s="14" t="s">
        <v>36248</v>
      </c>
      <c r="B18414" s="15" t="s">
        <v>36249</v>
      </c>
      <c r="C18414" s="16">
        <f>73.12/(1+B2)</f>
        <v>73.12</v>
      </c>
      <c r="D18414" s="17" t="s">
        <v>11</v>
      </c>
      <c r="E18414" s="17"/>
      <c r="F18414" s="18"/>
      <c r="G18414" s="36" t="str">
        <f>IF(ISNUMBER(F18414),C18414*F18414,"")</f>
        <v/>
      </c>
    </row>
    <row r="18415" spans="1:7" ht="12" customHeight="1" outlineLevel="2" x14ac:dyDescent="0.2">
      <c r="A18415" s="14" t="s">
        <v>36250</v>
      </c>
      <c r="B18415" s="15" t="s">
        <v>36251</v>
      </c>
      <c r="C18415" s="16">
        <f>117.91/(1+B2)</f>
        <v>117.91</v>
      </c>
      <c r="D18415" s="17" t="s">
        <v>11</v>
      </c>
      <c r="E18415" s="17"/>
      <c r="F18415" s="18"/>
      <c r="G18415" s="36" t="str">
        <f>IF(ISNUMBER(F18415),C18415*F18415,"")</f>
        <v/>
      </c>
    </row>
    <row r="18416" spans="1:7" ht="12" customHeight="1" outlineLevel="2" x14ac:dyDescent="0.2">
      <c r="A18416" s="14" t="s">
        <v>36252</v>
      </c>
      <c r="B18416" s="15" t="s">
        <v>36253</v>
      </c>
      <c r="C18416" s="16">
        <f>145.54/(1+B2)</f>
        <v>145.54</v>
      </c>
      <c r="D18416" s="17" t="s">
        <v>11</v>
      </c>
      <c r="E18416" s="17"/>
      <c r="F18416" s="18"/>
      <c r="G18416" s="36" t="str">
        <f>IF(ISNUMBER(F18416),C18416*F18416,"")</f>
        <v/>
      </c>
    </row>
    <row r="18417" spans="1:7" ht="12" customHeight="1" outlineLevel="2" x14ac:dyDescent="0.2">
      <c r="A18417" s="14" t="s">
        <v>36254</v>
      </c>
      <c r="B18417" s="15" t="s">
        <v>36255</v>
      </c>
      <c r="C18417" s="16">
        <f>128.24/(1+B2)</f>
        <v>128.24</v>
      </c>
      <c r="D18417" s="17" t="s">
        <v>11</v>
      </c>
      <c r="E18417" s="17"/>
      <c r="F18417" s="18"/>
      <c r="G18417" s="36" t="str">
        <f>IF(ISNUMBER(F18417),C18417*F18417,"")</f>
        <v/>
      </c>
    </row>
    <row r="18418" spans="1:7" ht="12" customHeight="1" outlineLevel="2" x14ac:dyDescent="0.2">
      <c r="A18418" s="14" t="s">
        <v>36256</v>
      </c>
      <c r="B18418" s="15" t="s">
        <v>36257</v>
      </c>
      <c r="C18418" s="16">
        <f>60.35/(1+B2)</f>
        <v>60.35</v>
      </c>
      <c r="D18418" s="17" t="s">
        <v>11</v>
      </c>
      <c r="E18418" s="17"/>
      <c r="F18418" s="18"/>
      <c r="G18418" s="36" t="str">
        <f>IF(ISNUMBER(F18418),C18418*F18418,"")</f>
        <v/>
      </c>
    </row>
    <row r="18419" spans="1:7" ht="12" customHeight="1" outlineLevel="2" x14ac:dyDescent="0.2">
      <c r="A18419" s="14" t="s">
        <v>36258</v>
      </c>
      <c r="B18419" s="15" t="s">
        <v>36259</v>
      </c>
      <c r="C18419" s="16">
        <f>39.02/(1+B2)</f>
        <v>39.020000000000003</v>
      </c>
      <c r="D18419" s="17" t="s">
        <v>53</v>
      </c>
      <c r="E18419" s="17"/>
      <c r="F18419" s="18"/>
      <c r="G18419" s="36" t="str">
        <f>IF(ISNUMBER(F18419),C18419*F18419,"")</f>
        <v/>
      </c>
    </row>
    <row r="18420" spans="1:7" ht="24" customHeight="1" outlineLevel="2" x14ac:dyDescent="0.2">
      <c r="A18420" s="14" t="s">
        <v>36260</v>
      </c>
      <c r="B18420" s="15" t="s">
        <v>36261</v>
      </c>
      <c r="C18420" s="16">
        <f>168.43/(1+B2)</f>
        <v>168.43</v>
      </c>
      <c r="D18420" s="17" t="s">
        <v>11</v>
      </c>
      <c r="E18420" s="17"/>
      <c r="F18420" s="18"/>
      <c r="G18420" s="36" t="str">
        <f>IF(ISNUMBER(F18420),C18420*F18420,"")</f>
        <v/>
      </c>
    </row>
    <row r="18421" spans="1:7" ht="24" customHeight="1" outlineLevel="2" x14ac:dyDescent="0.2">
      <c r="A18421" s="14" t="s">
        <v>36262</v>
      </c>
      <c r="B18421" s="15" t="s">
        <v>36263</v>
      </c>
      <c r="C18421" s="16">
        <f>181.57/(1+B2)</f>
        <v>181.57</v>
      </c>
      <c r="D18421" s="17" t="s">
        <v>11</v>
      </c>
      <c r="E18421" s="17"/>
      <c r="F18421" s="18"/>
      <c r="G18421" s="36" t="str">
        <f>IF(ISNUMBER(F18421),C18421*F18421,"")</f>
        <v/>
      </c>
    </row>
    <row r="18422" spans="1:7" ht="24" customHeight="1" outlineLevel="2" x14ac:dyDescent="0.2">
      <c r="A18422" s="14" t="s">
        <v>36264</v>
      </c>
      <c r="B18422" s="15" t="s">
        <v>36265</v>
      </c>
      <c r="C18422" s="16">
        <f>120.04/(1+B2)</f>
        <v>120.04</v>
      </c>
      <c r="D18422" s="17" t="s">
        <v>11</v>
      </c>
      <c r="E18422" s="17" t="s">
        <v>11</v>
      </c>
      <c r="F18422" s="18"/>
      <c r="G18422" s="36" t="str">
        <f>IF(ISNUMBER(F18422),C18422*F18422,"")</f>
        <v/>
      </c>
    </row>
    <row r="18423" spans="1:7" s="1" customFormat="1" ht="15.95" customHeight="1" outlineLevel="1" x14ac:dyDescent="0.25">
      <c r="A18423" s="11"/>
      <c r="B18423" s="12" t="s">
        <v>36266</v>
      </c>
      <c r="C18423" s="13"/>
      <c r="D18423" s="13"/>
      <c r="E18423" s="13"/>
      <c r="F18423" s="13"/>
      <c r="G18423" s="35"/>
    </row>
    <row r="18424" spans="1:7" ht="12" customHeight="1" outlineLevel="2" x14ac:dyDescent="0.2">
      <c r="A18424" s="14" t="s">
        <v>36267</v>
      </c>
      <c r="B18424" s="15" t="s">
        <v>36268</v>
      </c>
      <c r="C18424" s="16">
        <f>121.5/(1+B2)</f>
        <v>121.5</v>
      </c>
      <c r="D18424" s="17" t="s">
        <v>11</v>
      </c>
      <c r="E18424" s="17" t="s">
        <v>11</v>
      </c>
      <c r="F18424" s="18"/>
      <c r="G18424" s="36" t="str">
        <f>IF(ISNUMBER(F18424),C18424*F18424,"")</f>
        <v/>
      </c>
    </row>
    <row r="18425" spans="1:7" ht="12" customHeight="1" outlineLevel="2" x14ac:dyDescent="0.2">
      <c r="A18425" s="14" t="s">
        <v>36269</v>
      </c>
      <c r="B18425" s="15" t="s">
        <v>36270</v>
      </c>
      <c r="C18425" s="16">
        <f>121.5/(1+B2)</f>
        <v>121.5</v>
      </c>
      <c r="D18425" s="17" t="s">
        <v>14</v>
      </c>
      <c r="E18425" s="17"/>
      <c r="F18425" s="18"/>
      <c r="G18425" s="36" t="str">
        <f>IF(ISNUMBER(F18425),C18425*F18425,"")</f>
        <v/>
      </c>
    </row>
    <row r="18426" spans="1:7" ht="12" customHeight="1" outlineLevel="2" x14ac:dyDescent="0.2">
      <c r="A18426" s="14" t="s">
        <v>36271</v>
      </c>
      <c r="B18426" s="15" t="s">
        <v>36272</v>
      </c>
      <c r="C18426" s="16">
        <f>91.85/(1+B2)</f>
        <v>91.85</v>
      </c>
      <c r="D18426" s="17" t="s">
        <v>11</v>
      </c>
      <c r="E18426" s="17"/>
      <c r="F18426" s="18"/>
      <c r="G18426" s="36" t="str">
        <f>IF(ISNUMBER(F18426),C18426*F18426,"")</f>
        <v/>
      </c>
    </row>
    <row r="18427" spans="1:7" ht="24" customHeight="1" outlineLevel="2" x14ac:dyDescent="0.2">
      <c r="A18427" s="14" t="s">
        <v>36273</v>
      </c>
      <c r="B18427" s="15" t="s">
        <v>36274</v>
      </c>
      <c r="C18427" s="16">
        <f>110.58/(1+B2)</f>
        <v>110.58</v>
      </c>
      <c r="D18427" s="17" t="s">
        <v>14</v>
      </c>
      <c r="E18427" s="17"/>
      <c r="F18427" s="18"/>
      <c r="G18427" s="36" t="str">
        <f>IF(ISNUMBER(F18427),C18427*F18427,"")</f>
        <v/>
      </c>
    </row>
    <row r="18428" spans="1:7" ht="24" customHeight="1" outlineLevel="2" x14ac:dyDescent="0.2">
      <c r="A18428" s="14" t="s">
        <v>36275</v>
      </c>
      <c r="B18428" s="15" t="s">
        <v>36276</v>
      </c>
      <c r="C18428" s="16">
        <f>110.58/(1+B2)</f>
        <v>110.58</v>
      </c>
      <c r="D18428" s="17" t="s">
        <v>11</v>
      </c>
      <c r="E18428" s="17"/>
      <c r="F18428" s="18"/>
      <c r="G18428" s="36" t="str">
        <f>IF(ISNUMBER(F18428),C18428*F18428,"")</f>
        <v/>
      </c>
    </row>
    <row r="18429" spans="1:7" ht="24" customHeight="1" outlineLevel="2" x14ac:dyDescent="0.2">
      <c r="A18429" s="14" t="s">
        <v>36277</v>
      </c>
      <c r="B18429" s="15" t="s">
        <v>36278</v>
      </c>
      <c r="C18429" s="16">
        <f>121.5/(1+B2)</f>
        <v>121.5</v>
      </c>
      <c r="D18429" s="17" t="s">
        <v>11</v>
      </c>
      <c r="E18429" s="17"/>
      <c r="F18429" s="18"/>
      <c r="G18429" s="36" t="str">
        <f>IF(ISNUMBER(F18429),C18429*F18429,"")</f>
        <v/>
      </c>
    </row>
    <row r="18430" spans="1:7" ht="12" customHeight="1" outlineLevel="2" x14ac:dyDescent="0.2">
      <c r="A18430" s="14" t="s">
        <v>36279</v>
      </c>
      <c r="B18430" s="15" t="s">
        <v>36280</v>
      </c>
      <c r="C18430" s="16">
        <f>161.46/(1+B2)</f>
        <v>161.46</v>
      </c>
      <c r="D18430" s="17" t="s">
        <v>14</v>
      </c>
      <c r="E18430" s="17"/>
      <c r="F18430" s="18"/>
      <c r="G18430" s="36" t="str">
        <f>IF(ISNUMBER(F18430),C18430*F18430,"")</f>
        <v/>
      </c>
    </row>
    <row r="18431" spans="1:7" ht="12" customHeight="1" outlineLevel="2" x14ac:dyDescent="0.2">
      <c r="A18431" s="14" t="s">
        <v>36281</v>
      </c>
      <c r="B18431" s="15" t="s">
        <v>36282</v>
      </c>
      <c r="C18431" s="16">
        <f>161.46/(1+B2)</f>
        <v>161.46</v>
      </c>
      <c r="D18431" s="17" t="s">
        <v>11</v>
      </c>
      <c r="E18431" s="17"/>
      <c r="F18431" s="18"/>
      <c r="G18431" s="36" t="str">
        <f>IF(ISNUMBER(F18431),C18431*F18431,"")</f>
        <v/>
      </c>
    </row>
    <row r="18432" spans="1:7" ht="24" customHeight="1" outlineLevel="2" x14ac:dyDescent="0.2">
      <c r="A18432" s="14" t="s">
        <v>36283</v>
      </c>
      <c r="B18432" s="15" t="s">
        <v>36284</v>
      </c>
      <c r="C18432" s="16">
        <f>161.46/(1+B2)</f>
        <v>161.46</v>
      </c>
      <c r="D18432" s="17" t="s">
        <v>14</v>
      </c>
      <c r="E18432" s="17"/>
      <c r="F18432" s="18"/>
      <c r="G18432" s="36" t="str">
        <f>IF(ISNUMBER(F18432),C18432*F18432,"")</f>
        <v/>
      </c>
    </row>
    <row r="18433" spans="1:7" ht="12" customHeight="1" outlineLevel="2" x14ac:dyDescent="0.2">
      <c r="A18433" s="14" t="s">
        <v>36285</v>
      </c>
      <c r="B18433" s="15" t="s">
        <v>36286</v>
      </c>
      <c r="C18433" s="16">
        <f>161.46/(1+B2)</f>
        <v>161.46</v>
      </c>
      <c r="D18433" s="17" t="s">
        <v>14</v>
      </c>
      <c r="E18433" s="17"/>
      <c r="F18433" s="18"/>
      <c r="G18433" s="36" t="str">
        <f>IF(ISNUMBER(F18433),C18433*F18433,"")</f>
        <v/>
      </c>
    </row>
    <row r="18434" spans="1:7" ht="12" customHeight="1" outlineLevel="2" x14ac:dyDescent="0.2">
      <c r="A18434" s="14" t="s">
        <v>36287</v>
      </c>
      <c r="B18434" s="15" t="s">
        <v>36288</v>
      </c>
      <c r="C18434" s="16">
        <f>212.16/(1+B2)</f>
        <v>212.16</v>
      </c>
      <c r="D18434" s="17" t="s">
        <v>11</v>
      </c>
      <c r="E18434" s="17" t="s">
        <v>11</v>
      </c>
      <c r="F18434" s="18"/>
      <c r="G18434" s="36" t="str">
        <f>IF(ISNUMBER(F18434),C18434*F18434,"")</f>
        <v/>
      </c>
    </row>
    <row r="18435" spans="1:7" ht="12" customHeight="1" outlineLevel="2" x14ac:dyDescent="0.2">
      <c r="A18435" s="14" t="s">
        <v>36289</v>
      </c>
      <c r="B18435" s="15" t="s">
        <v>36290</v>
      </c>
      <c r="C18435" s="16">
        <f>212.16/(1+B2)</f>
        <v>212.16</v>
      </c>
      <c r="D18435" s="17" t="s">
        <v>11</v>
      </c>
      <c r="E18435" s="17"/>
      <c r="F18435" s="18"/>
      <c r="G18435" s="36" t="str">
        <f>IF(ISNUMBER(F18435),C18435*F18435,"")</f>
        <v/>
      </c>
    </row>
    <row r="18436" spans="1:7" ht="12" customHeight="1" outlineLevel="2" x14ac:dyDescent="0.2">
      <c r="A18436" s="14" t="s">
        <v>36291</v>
      </c>
      <c r="B18436" s="15" t="s">
        <v>36292</v>
      </c>
      <c r="C18436" s="16">
        <f>212.16/(1+B2)</f>
        <v>212.16</v>
      </c>
      <c r="D18436" s="17" t="s">
        <v>11</v>
      </c>
      <c r="E18436" s="17"/>
      <c r="F18436" s="18"/>
      <c r="G18436" s="36" t="str">
        <f>IF(ISNUMBER(F18436),C18436*F18436,"")</f>
        <v/>
      </c>
    </row>
    <row r="18437" spans="1:7" ht="12" customHeight="1" outlineLevel="2" x14ac:dyDescent="0.2">
      <c r="A18437" s="14" t="s">
        <v>36293</v>
      </c>
      <c r="B18437" s="15" t="s">
        <v>36294</v>
      </c>
      <c r="C18437" s="16">
        <f>67.86/(1+B2)</f>
        <v>67.86</v>
      </c>
      <c r="D18437" s="17" t="s">
        <v>53</v>
      </c>
      <c r="E18437" s="17" t="s">
        <v>53</v>
      </c>
      <c r="F18437" s="18"/>
      <c r="G18437" s="36" t="str">
        <f>IF(ISNUMBER(F18437),C18437*F18437,"")</f>
        <v/>
      </c>
    </row>
    <row r="18438" spans="1:7" ht="12" customHeight="1" outlineLevel="2" x14ac:dyDescent="0.2">
      <c r="A18438" s="14" t="s">
        <v>36295</v>
      </c>
      <c r="B18438" s="15" t="s">
        <v>36296</v>
      </c>
      <c r="C18438" s="16">
        <f>283.08/(1+B2)</f>
        <v>283.08</v>
      </c>
      <c r="D18438" s="17" t="s">
        <v>11</v>
      </c>
      <c r="E18438" s="17"/>
      <c r="F18438" s="18"/>
      <c r="G18438" s="36" t="str">
        <f>IF(ISNUMBER(F18438),C18438*F18438,"")</f>
        <v/>
      </c>
    </row>
    <row r="18439" spans="1:7" ht="12" customHeight="1" outlineLevel="2" x14ac:dyDescent="0.2">
      <c r="A18439" s="14" t="s">
        <v>36297</v>
      </c>
      <c r="B18439" s="15" t="s">
        <v>36298</v>
      </c>
      <c r="C18439" s="16">
        <f>425.4/(1+B2)</f>
        <v>425.4</v>
      </c>
      <c r="D18439" s="17" t="s">
        <v>11</v>
      </c>
      <c r="E18439" s="17" t="s">
        <v>11</v>
      </c>
      <c r="F18439" s="18"/>
      <c r="G18439" s="36" t="str">
        <f>IF(ISNUMBER(F18439),C18439*F18439,"")</f>
        <v/>
      </c>
    </row>
    <row r="18440" spans="1:7" ht="12" customHeight="1" outlineLevel="2" x14ac:dyDescent="0.2">
      <c r="A18440" s="14" t="s">
        <v>36299</v>
      </c>
      <c r="B18440" s="15" t="s">
        <v>36300</v>
      </c>
      <c r="C18440" s="16">
        <f>107.1/(1+B2)</f>
        <v>107.1</v>
      </c>
      <c r="D18440" s="17" t="s">
        <v>11</v>
      </c>
      <c r="E18440" s="17"/>
      <c r="F18440" s="18"/>
      <c r="G18440" s="36" t="str">
        <f>IF(ISNUMBER(F18440),C18440*F18440,"")</f>
        <v/>
      </c>
    </row>
    <row r="18441" spans="1:7" ht="24" customHeight="1" outlineLevel="2" x14ac:dyDescent="0.2">
      <c r="A18441" s="14" t="s">
        <v>36301</v>
      </c>
      <c r="B18441" s="15" t="s">
        <v>36302</v>
      </c>
      <c r="C18441" s="16">
        <f>122.1/(1+B2)</f>
        <v>122.1</v>
      </c>
      <c r="D18441" s="17" t="s">
        <v>11</v>
      </c>
      <c r="E18441" s="17"/>
      <c r="F18441" s="18"/>
      <c r="G18441" s="36" t="str">
        <f>IF(ISNUMBER(F18441),C18441*F18441,"")</f>
        <v/>
      </c>
    </row>
    <row r="18442" spans="1:7" ht="12" customHeight="1" outlineLevel="2" x14ac:dyDescent="0.2">
      <c r="A18442" s="14" t="s">
        <v>36303</v>
      </c>
      <c r="B18442" s="15" t="s">
        <v>36304</v>
      </c>
      <c r="C18442" s="16">
        <f>77.14/(1+B2)</f>
        <v>77.14</v>
      </c>
      <c r="D18442" s="17" t="s">
        <v>14</v>
      </c>
      <c r="E18442" s="17"/>
      <c r="F18442" s="18"/>
      <c r="G18442" s="36" t="str">
        <f>IF(ISNUMBER(F18442),C18442*F18442,"")</f>
        <v/>
      </c>
    </row>
    <row r="18443" spans="1:7" ht="12" customHeight="1" outlineLevel="2" x14ac:dyDescent="0.2">
      <c r="A18443" s="14" t="s">
        <v>36305</v>
      </c>
      <c r="B18443" s="15" t="s">
        <v>36306</v>
      </c>
      <c r="C18443" s="16">
        <f>193.8/(1+B2)</f>
        <v>193.8</v>
      </c>
      <c r="D18443" s="17" t="s">
        <v>11</v>
      </c>
      <c r="E18443" s="17"/>
      <c r="F18443" s="18"/>
      <c r="G18443" s="36" t="str">
        <f>IF(ISNUMBER(F18443),C18443*F18443,"")</f>
        <v/>
      </c>
    </row>
    <row r="18444" spans="1:7" ht="24" customHeight="1" outlineLevel="2" x14ac:dyDescent="0.2">
      <c r="A18444" s="14" t="s">
        <v>36307</v>
      </c>
      <c r="B18444" s="15" t="s">
        <v>36308</v>
      </c>
      <c r="C18444" s="16">
        <f>265.02/(1+B2)</f>
        <v>265.02</v>
      </c>
      <c r="D18444" s="17" t="s">
        <v>14</v>
      </c>
      <c r="E18444" s="17"/>
      <c r="F18444" s="18"/>
      <c r="G18444" s="36" t="str">
        <f>IF(ISNUMBER(F18444),C18444*F18444,"")</f>
        <v/>
      </c>
    </row>
    <row r="18445" spans="1:7" ht="24" customHeight="1" outlineLevel="2" x14ac:dyDescent="0.2">
      <c r="A18445" s="14" t="s">
        <v>36309</v>
      </c>
      <c r="B18445" s="15" t="s">
        <v>36310</v>
      </c>
      <c r="C18445" s="16">
        <f>31.44/(1+B2)</f>
        <v>31.44</v>
      </c>
      <c r="D18445" s="17" t="s">
        <v>14</v>
      </c>
      <c r="E18445" s="17"/>
      <c r="F18445" s="18"/>
      <c r="G18445" s="36" t="str">
        <f>IF(ISNUMBER(F18445),C18445*F18445,"")</f>
        <v/>
      </c>
    </row>
    <row r="18446" spans="1:7" ht="12" customHeight="1" outlineLevel="2" x14ac:dyDescent="0.2">
      <c r="A18446" s="14" t="s">
        <v>36311</v>
      </c>
      <c r="B18446" s="15" t="s">
        <v>36312</v>
      </c>
      <c r="C18446" s="16">
        <f>184.92/(1+B2)</f>
        <v>184.92</v>
      </c>
      <c r="D18446" s="17" t="s">
        <v>14</v>
      </c>
      <c r="E18446" s="17"/>
      <c r="F18446" s="18"/>
      <c r="G18446" s="36" t="str">
        <f>IF(ISNUMBER(F18446),C18446*F18446,"")</f>
        <v/>
      </c>
    </row>
    <row r="18447" spans="1:7" ht="12" customHeight="1" outlineLevel="2" x14ac:dyDescent="0.2">
      <c r="A18447" s="14" t="s">
        <v>36313</v>
      </c>
      <c r="B18447" s="15" t="s">
        <v>36314</v>
      </c>
      <c r="C18447" s="16">
        <f>51.78/(1+B2)</f>
        <v>51.78</v>
      </c>
      <c r="D18447" s="17" t="s">
        <v>11</v>
      </c>
      <c r="E18447" s="17" t="s">
        <v>11</v>
      </c>
      <c r="F18447" s="18"/>
      <c r="G18447" s="36" t="str">
        <f>IF(ISNUMBER(F18447),C18447*F18447,"")</f>
        <v/>
      </c>
    </row>
    <row r="18448" spans="1:7" ht="12" customHeight="1" outlineLevel="2" x14ac:dyDescent="0.2">
      <c r="A18448" s="14" t="s">
        <v>36315</v>
      </c>
      <c r="B18448" s="15" t="s">
        <v>36316</v>
      </c>
      <c r="C18448" s="16">
        <f>51.78/(1+B2)</f>
        <v>51.78</v>
      </c>
      <c r="D18448" s="17" t="s">
        <v>11</v>
      </c>
      <c r="E18448" s="17"/>
      <c r="F18448" s="18"/>
      <c r="G18448" s="36" t="str">
        <f>IF(ISNUMBER(F18448),C18448*F18448,"")</f>
        <v/>
      </c>
    </row>
    <row r="18449" spans="1:7" ht="12" customHeight="1" outlineLevel="2" x14ac:dyDescent="0.2">
      <c r="A18449" s="14" t="s">
        <v>36317</v>
      </c>
      <c r="B18449" s="15" t="s">
        <v>36318</v>
      </c>
      <c r="C18449" s="16">
        <f>68.4/(1+B2)</f>
        <v>68.400000000000006</v>
      </c>
      <c r="D18449" s="17" t="s">
        <v>11</v>
      </c>
      <c r="E18449" s="17"/>
      <c r="F18449" s="18"/>
      <c r="G18449" s="36" t="str">
        <f>IF(ISNUMBER(F18449),C18449*F18449,"")</f>
        <v/>
      </c>
    </row>
    <row r="18450" spans="1:7" ht="12" customHeight="1" outlineLevel="2" x14ac:dyDescent="0.2">
      <c r="A18450" s="14" t="s">
        <v>36319</v>
      </c>
      <c r="B18450" s="15" t="s">
        <v>36320</v>
      </c>
      <c r="C18450" s="16">
        <f>68.4/(1+B2)</f>
        <v>68.400000000000006</v>
      </c>
      <c r="D18450" s="17" t="s">
        <v>11</v>
      </c>
      <c r="E18450" s="17"/>
      <c r="F18450" s="18"/>
      <c r="G18450" s="36" t="str">
        <f>IF(ISNUMBER(F18450),C18450*F18450,"")</f>
        <v/>
      </c>
    </row>
    <row r="18451" spans="1:7" s="1" customFormat="1" ht="15.95" customHeight="1" outlineLevel="1" x14ac:dyDescent="0.25">
      <c r="A18451" s="11"/>
      <c r="B18451" s="12" t="s">
        <v>36321</v>
      </c>
      <c r="C18451" s="13"/>
      <c r="D18451" s="13"/>
      <c r="E18451" s="13"/>
      <c r="F18451" s="13"/>
      <c r="G18451" s="35"/>
    </row>
    <row r="18452" spans="1:7" ht="12" customHeight="1" outlineLevel="2" x14ac:dyDescent="0.2">
      <c r="A18452" s="14" t="s">
        <v>36322</v>
      </c>
      <c r="B18452" s="15" t="s">
        <v>36323</v>
      </c>
      <c r="C18452" s="16">
        <f>43.36/(1+B2)</f>
        <v>43.36</v>
      </c>
      <c r="D18452" s="17" t="s">
        <v>11</v>
      </c>
      <c r="E18452" s="17"/>
      <c r="F18452" s="18"/>
      <c r="G18452" s="36" t="str">
        <f>IF(ISNUMBER(F18452),C18452*F18452,"")</f>
        <v/>
      </c>
    </row>
    <row r="18453" spans="1:7" ht="12" customHeight="1" outlineLevel="2" x14ac:dyDescent="0.2">
      <c r="A18453" s="14" t="s">
        <v>36324</v>
      </c>
      <c r="B18453" s="15" t="s">
        <v>36325</v>
      </c>
      <c r="C18453" s="16">
        <f>77.5/(1+B2)</f>
        <v>77.5</v>
      </c>
      <c r="D18453" s="17" t="s">
        <v>11</v>
      </c>
      <c r="E18453" s="17" t="s">
        <v>53</v>
      </c>
      <c r="F18453" s="18"/>
      <c r="G18453" s="36" t="str">
        <f>IF(ISNUMBER(F18453),C18453*F18453,"")</f>
        <v/>
      </c>
    </row>
    <row r="18454" spans="1:7" ht="12" customHeight="1" outlineLevel="2" x14ac:dyDescent="0.2">
      <c r="A18454" s="14" t="s">
        <v>36326</v>
      </c>
      <c r="B18454" s="15" t="s">
        <v>36327</v>
      </c>
      <c r="C18454" s="16">
        <f>83.96/(1+B2)</f>
        <v>83.96</v>
      </c>
      <c r="D18454" s="17" t="s">
        <v>11</v>
      </c>
      <c r="E18454" s="17" t="s">
        <v>53</v>
      </c>
      <c r="F18454" s="18"/>
      <c r="G18454" s="36" t="str">
        <f>IF(ISNUMBER(F18454),C18454*F18454,"")</f>
        <v/>
      </c>
    </row>
    <row r="18455" spans="1:7" ht="12" customHeight="1" outlineLevel="2" x14ac:dyDescent="0.2">
      <c r="A18455" s="14" t="s">
        <v>36328</v>
      </c>
      <c r="B18455" s="15" t="s">
        <v>36329</v>
      </c>
      <c r="C18455" s="16">
        <f>74.36/(1+B2)</f>
        <v>74.36</v>
      </c>
      <c r="D18455" s="17" t="s">
        <v>14</v>
      </c>
      <c r="E18455" s="17" t="s">
        <v>14</v>
      </c>
      <c r="F18455" s="18"/>
      <c r="G18455" s="36" t="str">
        <f>IF(ISNUMBER(F18455),C18455*F18455,"")</f>
        <v/>
      </c>
    </row>
    <row r="18456" spans="1:7" ht="12" customHeight="1" outlineLevel="2" x14ac:dyDescent="0.2">
      <c r="A18456" s="14" t="s">
        <v>36330</v>
      </c>
      <c r="B18456" s="15" t="s">
        <v>36331</v>
      </c>
      <c r="C18456" s="16">
        <f>188.81/(1+B2)</f>
        <v>188.81</v>
      </c>
      <c r="D18456" s="17" t="s">
        <v>11</v>
      </c>
      <c r="E18456" s="17" t="s">
        <v>14</v>
      </c>
      <c r="F18456" s="18"/>
      <c r="G18456" s="36" t="str">
        <f>IF(ISNUMBER(F18456),C18456*F18456,"")</f>
        <v/>
      </c>
    </row>
    <row r="18457" spans="1:7" ht="12" customHeight="1" outlineLevel="2" x14ac:dyDescent="0.2">
      <c r="A18457" s="14" t="s">
        <v>36332</v>
      </c>
      <c r="B18457" s="15" t="s">
        <v>36333</v>
      </c>
      <c r="C18457" s="16">
        <f>83.11/(1+B2)</f>
        <v>83.11</v>
      </c>
      <c r="D18457" s="17" t="s">
        <v>11</v>
      </c>
      <c r="E18457" s="17" t="s">
        <v>14</v>
      </c>
      <c r="F18457" s="18"/>
      <c r="G18457" s="36" t="str">
        <f>IF(ISNUMBER(F18457),C18457*F18457,"")</f>
        <v/>
      </c>
    </row>
    <row r="18458" spans="1:7" ht="12" customHeight="1" outlineLevel="2" x14ac:dyDescent="0.2">
      <c r="A18458" s="14" t="s">
        <v>36334</v>
      </c>
      <c r="B18458" s="15" t="s">
        <v>36335</v>
      </c>
      <c r="C18458" s="16">
        <f>97.69/(1+B2)</f>
        <v>97.69</v>
      </c>
      <c r="D18458" s="17" t="s">
        <v>11</v>
      </c>
      <c r="E18458" s="17" t="s">
        <v>14</v>
      </c>
      <c r="F18458" s="18"/>
      <c r="G18458" s="36" t="str">
        <f>IF(ISNUMBER(F18458),C18458*F18458,"")</f>
        <v/>
      </c>
    </row>
    <row r="18459" spans="1:7" ht="12" customHeight="1" outlineLevel="2" x14ac:dyDescent="0.2">
      <c r="A18459" s="14" t="s">
        <v>36336</v>
      </c>
      <c r="B18459" s="15" t="s">
        <v>36337</v>
      </c>
      <c r="C18459" s="16">
        <f>115.91/(1+B2)</f>
        <v>115.91</v>
      </c>
      <c r="D18459" s="17" t="s">
        <v>14</v>
      </c>
      <c r="E18459" s="17" t="s">
        <v>14</v>
      </c>
      <c r="F18459" s="18"/>
      <c r="G18459" s="36" t="str">
        <f>IF(ISNUMBER(F18459),C18459*F18459,"")</f>
        <v/>
      </c>
    </row>
    <row r="18460" spans="1:7" ht="12" customHeight="1" outlineLevel="2" x14ac:dyDescent="0.2">
      <c r="A18460" s="14" t="s">
        <v>36338</v>
      </c>
      <c r="B18460" s="15" t="s">
        <v>36339</v>
      </c>
      <c r="C18460" s="16">
        <f>112.4/(1+B2)</f>
        <v>112.4</v>
      </c>
      <c r="D18460" s="17" t="s">
        <v>11</v>
      </c>
      <c r="E18460" s="17"/>
      <c r="F18460" s="18"/>
      <c r="G18460" s="36" t="str">
        <f>IF(ISNUMBER(F18460),C18460*F18460,"")</f>
        <v/>
      </c>
    </row>
    <row r="18461" spans="1:7" ht="12" customHeight="1" outlineLevel="2" x14ac:dyDescent="0.2">
      <c r="A18461" s="14" t="s">
        <v>36340</v>
      </c>
      <c r="B18461" s="15" t="s">
        <v>36341</v>
      </c>
      <c r="C18461" s="16">
        <f>186.45/(1+B2)</f>
        <v>186.45</v>
      </c>
      <c r="D18461" s="17" t="s">
        <v>11</v>
      </c>
      <c r="E18461" s="17"/>
      <c r="F18461" s="18"/>
      <c r="G18461" s="36" t="str">
        <f>IF(ISNUMBER(F18461),C18461*F18461,"")</f>
        <v/>
      </c>
    </row>
    <row r="18462" spans="1:7" ht="24" customHeight="1" outlineLevel="2" x14ac:dyDescent="0.2">
      <c r="A18462" s="14" t="s">
        <v>36342</v>
      </c>
      <c r="B18462" s="15" t="s">
        <v>36343</v>
      </c>
      <c r="C18462" s="16">
        <f>61.59/(1+B2)</f>
        <v>61.59</v>
      </c>
      <c r="D18462" s="17" t="s">
        <v>53</v>
      </c>
      <c r="E18462" s="17"/>
      <c r="F18462" s="18"/>
      <c r="G18462" s="36" t="str">
        <f>IF(ISNUMBER(F18462),C18462*F18462,"")</f>
        <v/>
      </c>
    </row>
    <row r="18463" spans="1:7" ht="24" customHeight="1" outlineLevel="2" x14ac:dyDescent="0.2">
      <c r="A18463" s="14" t="s">
        <v>36344</v>
      </c>
      <c r="B18463" s="15" t="s">
        <v>36345</v>
      </c>
      <c r="C18463" s="16">
        <f>61.59/(1+B2)</f>
        <v>61.59</v>
      </c>
      <c r="D18463" s="17" t="s">
        <v>11</v>
      </c>
      <c r="E18463" s="17"/>
      <c r="F18463" s="18"/>
      <c r="G18463" s="36" t="str">
        <f>IF(ISNUMBER(F18463),C18463*F18463,"")</f>
        <v/>
      </c>
    </row>
    <row r="18464" spans="1:7" ht="24" customHeight="1" outlineLevel="2" x14ac:dyDescent="0.2">
      <c r="A18464" s="14" t="s">
        <v>36346</v>
      </c>
      <c r="B18464" s="15" t="s">
        <v>36347</v>
      </c>
      <c r="C18464" s="16">
        <f>156.69/(1+B2)</f>
        <v>156.69</v>
      </c>
      <c r="D18464" s="17" t="s">
        <v>11</v>
      </c>
      <c r="E18464" s="17"/>
      <c r="F18464" s="18"/>
      <c r="G18464" s="36" t="str">
        <f>IF(ISNUMBER(F18464),C18464*F18464,"")</f>
        <v/>
      </c>
    </row>
    <row r="18465" spans="1:7" ht="12" customHeight="1" outlineLevel="2" x14ac:dyDescent="0.2">
      <c r="A18465" s="14" t="s">
        <v>36348</v>
      </c>
      <c r="B18465" s="15" t="s">
        <v>36349</v>
      </c>
      <c r="C18465" s="16">
        <f>103.47/(1+B2)</f>
        <v>103.47</v>
      </c>
      <c r="D18465" s="17" t="s">
        <v>11</v>
      </c>
      <c r="E18465" s="17"/>
      <c r="F18465" s="18"/>
      <c r="G18465" s="36" t="str">
        <f>IF(ISNUMBER(F18465),C18465*F18465,"")</f>
        <v/>
      </c>
    </row>
    <row r="18466" spans="1:7" ht="24" customHeight="1" outlineLevel="2" x14ac:dyDescent="0.2">
      <c r="A18466" s="14" t="s">
        <v>36350</v>
      </c>
      <c r="B18466" s="15" t="s">
        <v>36351</v>
      </c>
      <c r="C18466" s="16">
        <f>105.06/(1+B2)</f>
        <v>105.06</v>
      </c>
      <c r="D18466" s="17" t="s">
        <v>11</v>
      </c>
      <c r="E18466" s="17"/>
      <c r="F18466" s="18"/>
      <c r="G18466" s="36" t="str">
        <f>IF(ISNUMBER(F18466),C18466*F18466,"")</f>
        <v/>
      </c>
    </row>
    <row r="18467" spans="1:7" s="1" customFormat="1" ht="15.95" customHeight="1" outlineLevel="1" x14ac:dyDescent="0.25">
      <c r="A18467" s="11"/>
      <c r="B18467" s="12" t="s">
        <v>36352</v>
      </c>
      <c r="C18467" s="13"/>
      <c r="D18467" s="13"/>
      <c r="E18467" s="13"/>
      <c r="F18467" s="13"/>
      <c r="G18467" s="35"/>
    </row>
    <row r="18468" spans="1:7" ht="12" customHeight="1" outlineLevel="2" x14ac:dyDescent="0.2">
      <c r="A18468" s="14" t="s">
        <v>36353</v>
      </c>
      <c r="B18468" s="15" t="s">
        <v>36354</v>
      </c>
      <c r="C18468" s="16">
        <f>55.38/(1+B2)</f>
        <v>55.38</v>
      </c>
      <c r="D18468" s="17" t="s">
        <v>53</v>
      </c>
      <c r="E18468" s="17" t="s">
        <v>11</v>
      </c>
      <c r="F18468" s="18"/>
      <c r="G18468" s="36" t="str">
        <f>IF(ISNUMBER(F18468),C18468*F18468,"")</f>
        <v/>
      </c>
    </row>
    <row r="18469" spans="1:7" ht="12" customHeight="1" outlineLevel="2" x14ac:dyDescent="0.2">
      <c r="A18469" s="14" t="s">
        <v>36355</v>
      </c>
      <c r="B18469" s="15" t="s">
        <v>36356</v>
      </c>
      <c r="C18469" s="16">
        <f>63.24/(1+B2)</f>
        <v>63.24</v>
      </c>
      <c r="D18469" s="17" t="s">
        <v>14</v>
      </c>
      <c r="E18469" s="17" t="s">
        <v>14</v>
      </c>
      <c r="F18469" s="18"/>
      <c r="G18469" s="36" t="str">
        <f>IF(ISNUMBER(F18469),C18469*F18469,"")</f>
        <v/>
      </c>
    </row>
    <row r="18470" spans="1:7" ht="12" customHeight="1" outlineLevel="2" x14ac:dyDescent="0.2">
      <c r="A18470" s="14" t="s">
        <v>36357</v>
      </c>
      <c r="B18470" s="15" t="s">
        <v>36358</v>
      </c>
      <c r="C18470" s="16">
        <f>70.38/(1+B2)</f>
        <v>70.38</v>
      </c>
      <c r="D18470" s="17" t="s">
        <v>11</v>
      </c>
      <c r="E18470" s="17" t="s">
        <v>11</v>
      </c>
      <c r="F18470" s="18"/>
      <c r="G18470" s="36" t="str">
        <f>IF(ISNUMBER(F18470),C18470*F18470,"")</f>
        <v/>
      </c>
    </row>
    <row r="18471" spans="1:7" ht="12" customHeight="1" outlineLevel="2" x14ac:dyDescent="0.2">
      <c r="A18471" s="14" t="s">
        <v>36359</v>
      </c>
      <c r="B18471" s="15" t="s">
        <v>36360</v>
      </c>
      <c r="C18471" s="16">
        <f>78.24/(1+B2)</f>
        <v>78.239999999999995</v>
      </c>
      <c r="D18471" s="17" t="s">
        <v>11</v>
      </c>
      <c r="E18471" s="17"/>
      <c r="F18471" s="18"/>
      <c r="G18471" s="36" t="str">
        <f>IF(ISNUMBER(F18471),C18471*F18471,"")</f>
        <v/>
      </c>
    </row>
    <row r="18472" spans="1:7" ht="12" customHeight="1" outlineLevel="2" x14ac:dyDescent="0.2">
      <c r="A18472" s="14" t="s">
        <v>36361</v>
      </c>
      <c r="B18472" s="15" t="s">
        <v>36362</v>
      </c>
      <c r="C18472" s="16">
        <f>78.84/(1+B2)</f>
        <v>78.84</v>
      </c>
      <c r="D18472" s="17" t="s">
        <v>11</v>
      </c>
      <c r="E18472" s="17"/>
      <c r="F18472" s="18"/>
      <c r="G18472" s="36" t="str">
        <f>IF(ISNUMBER(F18472),C18472*F18472,"")</f>
        <v/>
      </c>
    </row>
    <row r="18473" spans="1:7" ht="12" customHeight="1" outlineLevel="2" x14ac:dyDescent="0.2">
      <c r="A18473" s="14" t="s">
        <v>36363</v>
      </c>
      <c r="B18473" s="15" t="s">
        <v>36364</v>
      </c>
      <c r="C18473" s="16">
        <f>90.78/(1+B2)</f>
        <v>90.78</v>
      </c>
      <c r="D18473" s="17" t="s">
        <v>11</v>
      </c>
      <c r="E18473" s="17" t="s">
        <v>11</v>
      </c>
      <c r="F18473" s="18"/>
      <c r="G18473" s="36" t="str">
        <f>IF(ISNUMBER(F18473),C18473*F18473,"")</f>
        <v/>
      </c>
    </row>
    <row r="18474" spans="1:7" ht="12" customHeight="1" outlineLevel="2" x14ac:dyDescent="0.2">
      <c r="A18474" s="14" t="s">
        <v>36365</v>
      </c>
      <c r="B18474" s="15" t="s">
        <v>36366</v>
      </c>
      <c r="C18474" s="16">
        <f>74.22/(1+B2)</f>
        <v>74.22</v>
      </c>
      <c r="D18474" s="17" t="s">
        <v>11</v>
      </c>
      <c r="E18474" s="17"/>
      <c r="F18474" s="18"/>
      <c r="G18474" s="36" t="str">
        <f>IF(ISNUMBER(F18474),C18474*F18474,"")</f>
        <v/>
      </c>
    </row>
    <row r="18475" spans="1:7" ht="12" customHeight="1" outlineLevel="2" x14ac:dyDescent="0.2">
      <c r="A18475" s="14" t="s">
        <v>36367</v>
      </c>
      <c r="B18475" s="15" t="s">
        <v>36368</v>
      </c>
      <c r="C18475" s="16">
        <f>95.24/(1+B2)</f>
        <v>95.24</v>
      </c>
      <c r="D18475" s="17" t="s">
        <v>11</v>
      </c>
      <c r="E18475" s="17"/>
      <c r="F18475" s="18"/>
      <c r="G18475" s="36" t="str">
        <f>IF(ISNUMBER(F18475),C18475*F18475,"")</f>
        <v/>
      </c>
    </row>
    <row r="18476" spans="1:7" ht="12" customHeight="1" outlineLevel="2" x14ac:dyDescent="0.2">
      <c r="A18476" s="14" t="s">
        <v>36369</v>
      </c>
      <c r="B18476" s="15" t="s">
        <v>36370</v>
      </c>
      <c r="C18476" s="16">
        <f>75.6/(1+B2)</f>
        <v>75.599999999999994</v>
      </c>
      <c r="D18476" s="17" t="s">
        <v>11</v>
      </c>
      <c r="E18476" s="17" t="s">
        <v>11</v>
      </c>
      <c r="F18476" s="18"/>
      <c r="G18476" s="36" t="str">
        <f>IF(ISNUMBER(F18476),C18476*F18476,"")</f>
        <v/>
      </c>
    </row>
    <row r="18477" spans="1:7" ht="12" customHeight="1" outlineLevel="2" x14ac:dyDescent="0.2">
      <c r="A18477" s="14" t="s">
        <v>36371</v>
      </c>
      <c r="B18477" s="15" t="s">
        <v>36372</v>
      </c>
      <c r="C18477" s="16">
        <f>76.86/(1+B2)</f>
        <v>76.86</v>
      </c>
      <c r="D18477" s="17" t="s">
        <v>11</v>
      </c>
      <c r="E18477" s="17" t="s">
        <v>11</v>
      </c>
      <c r="F18477" s="18"/>
      <c r="G18477" s="36" t="str">
        <f>IF(ISNUMBER(F18477),C18477*F18477,"")</f>
        <v/>
      </c>
    </row>
    <row r="18478" spans="1:7" ht="12" customHeight="1" outlineLevel="2" x14ac:dyDescent="0.2">
      <c r="A18478" s="14" t="s">
        <v>36373</v>
      </c>
      <c r="B18478" s="15" t="s">
        <v>36374</v>
      </c>
      <c r="C18478" s="16">
        <f>86.58/(1+B2)</f>
        <v>86.58</v>
      </c>
      <c r="D18478" s="17" t="s">
        <v>11</v>
      </c>
      <c r="E18478" s="17"/>
      <c r="F18478" s="18"/>
      <c r="G18478" s="36" t="str">
        <f>IF(ISNUMBER(F18478),C18478*F18478,"")</f>
        <v/>
      </c>
    </row>
    <row r="18479" spans="1:7" ht="12" customHeight="1" outlineLevel="2" x14ac:dyDescent="0.2">
      <c r="A18479" s="14" t="s">
        <v>36375</v>
      </c>
      <c r="B18479" s="15" t="s">
        <v>36376</v>
      </c>
      <c r="C18479" s="16">
        <f>158.04/(1+B2)</f>
        <v>158.04</v>
      </c>
      <c r="D18479" s="17" t="s">
        <v>11</v>
      </c>
      <c r="E18479" s="17"/>
      <c r="F18479" s="18"/>
      <c r="G18479" s="36" t="str">
        <f>IF(ISNUMBER(F18479),C18479*F18479,"")</f>
        <v/>
      </c>
    </row>
    <row r="18480" spans="1:7" ht="12" customHeight="1" outlineLevel="2" x14ac:dyDescent="0.2">
      <c r="A18480" s="14" t="s">
        <v>36377</v>
      </c>
      <c r="B18480" s="15" t="s">
        <v>36378</v>
      </c>
      <c r="C18480" s="16">
        <f>104.71/(1+B2)</f>
        <v>104.71</v>
      </c>
      <c r="D18480" s="17" t="s">
        <v>14</v>
      </c>
      <c r="E18480" s="17"/>
      <c r="F18480" s="18"/>
      <c r="G18480" s="36" t="str">
        <f>IF(ISNUMBER(F18480),C18480*F18480,"")</f>
        <v/>
      </c>
    </row>
    <row r="18481" spans="1:7" ht="12" customHeight="1" outlineLevel="2" x14ac:dyDescent="0.2">
      <c r="A18481" s="14" t="s">
        <v>36379</v>
      </c>
      <c r="B18481" s="15" t="s">
        <v>36380</v>
      </c>
      <c r="C18481" s="16">
        <f>118.58/(1+B2)</f>
        <v>118.58</v>
      </c>
      <c r="D18481" s="17" t="s">
        <v>11</v>
      </c>
      <c r="E18481" s="17"/>
      <c r="F18481" s="18"/>
      <c r="G18481" s="36" t="str">
        <f>IF(ISNUMBER(F18481),C18481*F18481,"")</f>
        <v/>
      </c>
    </row>
    <row r="18482" spans="1:7" ht="12" customHeight="1" outlineLevel="2" x14ac:dyDescent="0.2">
      <c r="A18482" s="14" t="s">
        <v>36381</v>
      </c>
      <c r="B18482" s="15" t="s">
        <v>36382</v>
      </c>
      <c r="C18482" s="16">
        <f>73.15/(1+B2)</f>
        <v>73.150000000000006</v>
      </c>
      <c r="D18482" s="17" t="s">
        <v>11</v>
      </c>
      <c r="E18482" s="17" t="s">
        <v>14</v>
      </c>
      <c r="F18482" s="18"/>
      <c r="G18482" s="36" t="str">
        <f>IF(ISNUMBER(F18482),C18482*F18482,"")</f>
        <v/>
      </c>
    </row>
    <row r="18483" spans="1:7" ht="12" customHeight="1" outlineLevel="2" x14ac:dyDescent="0.2">
      <c r="A18483" s="14" t="s">
        <v>36383</v>
      </c>
      <c r="B18483" s="15" t="s">
        <v>36384</v>
      </c>
      <c r="C18483" s="16">
        <f>77.16/(1+B2)</f>
        <v>77.16</v>
      </c>
      <c r="D18483" s="17" t="s">
        <v>11</v>
      </c>
      <c r="E18483" s="17"/>
      <c r="F18483" s="18"/>
      <c r="G18483" s="36" t="str">
        <f>IF(ISNUMBER(F18483),C18483*F18483,"")</f>
        <v/>
      </c>
    </row>
    <row r="18484" spans="1:7" ht="12" customHeight="1" outlineLevel="2" x14ac:dyDescent="0.2">
      <c r="A18484" s="14" t="s">
        <v>36385</v>
      </c>
      <c r="B18484" s="15" t="s">
        <v>36386</v>
      </c>
      <c r="C18484" s="16">
        <f>80.7/(1+B2)</f>
        <v>80.7</v>
      </c>
      <c r="D18484" s="17" t="s">
        <v>11</v>
      </c>
      <c r="E18484" s="17" t="s">
        <v>11</v>
      </c>
      <c r="F18484" s="18"/>
      <c r="G18484" s="36" t="str">
        <f>IF(ISNUMBER(F18484),C18484*F18484,"")</f>
        <v/>
      </c>
    </row>
    <row r="18485" spans="1:7" ht="12" customHeight="1" outlineLevel="2" x14ac:dyDescent="0.2">
      <c r="A18485" s="14" t="s">
        <v>36387</v>
      </c>
      <c r="B18485" s="15" t="s">
        <v>36388</v>
      </c>
      <c r="C18485" s="16">
        <f>98.04/(1+B2)</f>
        <v>98.04</v>
      </c>
      <c r="D18485" s="17" t="s">
        <v>14</v>
      </c>
      <c r="E18485" s="17" t="s">
        <v>14</v>
      </c>
      <c r="F18485" s="18"/>
      <c r="G18485" s="36" t="str">
        <f>IF(ISNUMBER(F18485),C18485*F18485,"")</f>
        <v/>
      </c>
    </row>
    <row r="18486" spans="1:7" ht="12" customHeight="1" outlineLevel="2" x14ac:dyDescent="0.2">
      <c r="A18486" s="14" t="s">
        <v>36389</v>
      </c>
      <c r="B18486" s="15" t="s">
        <v>36390</v>
      </c>
      <c r="C18486" s="16">
        <f>126.76/(1+B2)</f>
        <v>126.76</v>
      </c>
      <c r="D18486" s="17" t="s">
        <v>11</v>
      </c>
      <c r="E18486" s="17" t="s">
        <v>11</v>
      </c>
      <c r="F18486" s="18"/>
      <c r="G18486" s="36" t="str">
        <f>IF(ISNUMBER(F18486),C18486*F18486,"")</f>
        <v/>
      </c>
    </row>
    <row r="18487" spans="1:7" ht="12" customHeight="1" outlineLevel="2" x14ac:dyDescent="0.2">
      <c r="A18487" s="14" t="s">
        <v>36391</v>
      </c>
      <c r="B18487" s="15" t="s">
        <v>36392</v>
      </c>
      <c r="C18487" s="16">
        <f>79.36/(1+B2)</f>
        <v>79.36</v>
      </c>
      <c r="D18487" s="17" t="s">
        <v>14</v>
      </c>
      <c r="E18487" s="17"/>
      <c r="F18487" s="18"/>
      <c r="G18487" s="36" t="str">
        <f>IF(ISNUMBER(F18487),C18487*F18487,"")</f>
        <v/>
      </c>
    </row>
    <row r="18488" spans="1:7" ht="12" customHeight="1" outlineLevel="2" x14ac:dyDescent="0.2">
      <c r="A18488" s="14" t="s">
        <v>36393</v>
      </c>
      <c r="B18488" s="15" t="s">
        <v>36394</v>
      </c>
      <c r="C18488" s="16">
        <f>86.22/(1+B2)</f>
        <v>86.22</v>
      </c>
      <c r="D18488" s="17" t="s">
        <v>14</v>
      </c>
      <c r="E18488" s="17"/>
      <c r="F18488" s="18"/>
      <c r="G18488" s="36" t="str">
        <f>IF(ISNUMBER(F18488),C18488*F18488,"")</f>
        <v/>
      </c>
    </row>
    <row r="18489" spans="1:7" ht="12" customHeight="1" outlineLevel="2" x14ac:dyDescent="0.2">
      <c r="A18489" s="14" t="s">
        <v>36395</v>
      </c>
      <c r="B18489" s="15" t="s">
        <v>36396</v>
      </c>
      <c r="C18489" s="16">
        <f>128.6/(1+B2)</f>
        <v>128.6</v>
      </c>
      <c r="D18489" s="17" t="s">
        <v>11</v>
      </c>
      <c r="E18489" s="17" t="s">
        <v>14</v>
      </c>
      <c r="F18489" s="18"/>
      <c r="G18489" s="36" t="str">
        <f>IF(ISNUMBER(F18489),C18489*F18489,"")</f>
        <v/>
      </c>
    </row>
    <row r="18490" spans="1:7" ht="12" customHeight="1" outlineLevel="2" x14ac:dyDescent="0.2">
      <c r="A18490" s="14" t="s">
        <v>36397</v>
      </c>
      <c r="B18490" s="15" t="s">
        <v>36398</v>
      </c>
      <c r="C18490" s="16">
        <f>86.22/(1+B2)</f>
        <v>86.22</v>
      </c>
      <c r="D18490" s="17" t="s">
        <v>11</v>
      </c>
      <c r="E18490" s="17" t="s">
        <v>14</v>
      </c>
      <c r="F18490" s="18"/>
      <c r="G18490" s="36" t="str">
        <f>IF(ISNUMBER(F18490),C18490*F18490,"")</f>
        <v/>
      </c>
    </row>
    <row r="18491" spans="1:7" ht="12" customHeight="1" outlineLevel="2" x14ac:dyDescent="0.2">
      <c r="A18491" s="14" t="s">
        <v>36399</v>
      </c>
      <c r="B18491" s="15" t="s">
        <v>36400</v>
      </c>
      <c r="C18491" s="16">
        <f>90.3/(1+B2)</f>
        <v>90.3</v>
      </c>
      <c r="D18491" s="17" t="s">
        <v>11</v>
      </c>
      <c r="E18491" s="17" t="s">
        <v>14</v>
      </c>
      <c r="F18491" s="18"/>
      <c r="G18491" s="36" t="str">
        <f>IF(ISNUMBER(F18491),C18491*F18491,"")</f>
        <v/>
      </c>
    </row>
    <row r="18492" spans="1:7" ht="12" customHeight="1" outlineLevel="2" x14ac:dyDescent="0.2">
      <c r="A18492" s="14" t="s">
        <v>36401</v>
      </c>
      <c r="B18492" s="15" t="s">
        <v>36402</v>
      </c>
      <c r="C18492" s="16">
        <f>107.16/(1+B2)</f>
        <v>107.16</v>
      </c>
      <c r="D18492" s="17" t="s">
        <v>11</v>
      </c>
      <c r="E18492" s="17"/>
      <c r="F18492" s="18"/>
      <c r="G18492" s="36" t="str">
        <f>IF(ISNUMBER(F18492),C18492*F18492,"")</f>
        <v/>
      </c>
    </row>
    <row r="18493" spans="1:7" ht="12" customHeight="1" outlineLevel="2" x14ac:dyDescent="0.2">
      <c r="A18493" s="14" t="s">
        <v>36403</v>
      </c>
      <c r="B18493" s="15" t="s">
        <v>36404</v>
      </c>
      <c r="C18493" s="16">
        <f>100.92/(1+B2)</f>
        <v>100.92</v>
      </c>
      <c r="D18493" s="17" t="s">
        <v>11</v>
      </c>
      <c r="E18493" s="17" t="s">
        <v>14</v>
      </c>
      <c r="F18493" s="18"/>
      <c r="G18493" s="36" t="str">
        <f>IF(ISNUMBER(F18493),C18493*F18493,"")</f>
        <v/>
      </c>
    </row>
    <row r="18494" spans="1:7" ht="12" customHeight="1" outlineLevel="2" x14ac:dyDescent="0.2">
      <c r="A18494" s="14" t="s">
        <v>36405</v>
      </c>
      <c r="B18494" s="15" t="s">
        <v>36406</v>
      </c>
      <c r="C18494" s="16">
        <f>80.22/(1+B2)</f>
        <v>80.22</v>
      </c>
      <c r="D18494" s="17" t="s">
        <v>11</v>
      </c>
      <c r="E18494" s="17"/>
      <c r="F18494" s="18"/>
      <c r="G18494" s="36" t="str">
        <f>IF(ISNUMBER(F18494),C18494*F18494,"")</f>
        <v/>
      </c>
    </row>
    <row r="18495" spans="1:7" ht="12" customHeight="1" outlineLevel="2" x14ac:dyDescent="0.2">
      <c r="A18495" s="14" t="s">
        <v>36407</v>
      </c>
      <c r="B18495" s="15" t="s">
        <v>36408</v>
      </c>
      <c r="C18495" s="16">
        <f>86.22/(1+B2)</f>
        <v>86.22</v>
      </c>
      <c r="D18495" s="17" t="s">
        <v>14</v>
      </c>
      <c r="E18495" s="17"/>
      <c r="F18495" s="18"/>
      <c r="G18495" s="36" t="str">
        <f>IF(ISNUMBER(F18495),C18495*F18495,"")</f>
        <v/>
      </c>
    </row>
    <row r="18496" spans="1:7" ht="12" customHeight="1" outlineLevel="2" x14ac:dyDescent="0.2">
      <c r="A18496" s="14" t="s">
        <v>36409</v>
      </c>
      <c r="B18496" s="15" t="s">
        <v>36410</v>
      </c>
      <c r="C18496" s="16">
        <f>87.3/(1+B2)</f>
        <v>87.3</v>
      </c>
      <c r="D18496" s="17" t="s">
        <v>11</v>
      </c>
      <c r="E18496" s="17" t="s">
        <v>11</v>
      </c>
      <c r="F18496" s="18"/>
      <c r="G18496" s="36" t="str">
        <f>IF(ISNUMBER(F18496),C18496*F18496,"")</f>
        <v/>
      </c>
    </row>
    <row r="18497" spans="1:7" ht="12" customHeight="1" outlineLevel="2" x14ac:dyDescent="0.2">
      <c r="A18497" s="14" t="s">
        <v>36411</v>
      </c>
      <c r="B18497" s="15" t="s">
        <v>36412</v>
      </c>
      <c r="C18497" s="16">
        <f>97.02/(1+B2)</f>
        <v>97.02</v>
      </c>
      <c r="D18497" s="17" t="s">
        <v>11</v>
      </c>
      <c r="E18497" s="17"/>
      <c r="F18497" s="18"/>
      <c r="G18497" s="36" t="str">
        <f>IF(ISNUMBER(F18497),C18497*F18497,"")</f>
        <v/>
      </c>
    </row>
    <row r="18498" spans="1:7" ht="12" customHeight="1" outlineLevel="2" x14ac:dyDescent="0.2">
      <c r="A18498" s="14" t="s">
        <v>36413</v>
      </c>
      <c r="B18498" s="15" t="s">
        <v>36414</v>
      </c>
      <c r="C18498" s="16">
        <f>112.38/(1+B2)</f>
        <v>112.38</v>
      </c>
      <c r="D18498" s="17" t="s">
        <v>11</v>
      </c>
      <c r="E18498" s="17"/>
      <c r="F18498" s="18"/>
      <c r="G18498" s="36" t="str">
        <f>IF(ISNUMBER(F18498),C18498*F18498,"")</f>
        <v/>
      </c>
    </row>
    <row r="18499" spans="1:7" ht="12" customHeight="1" outlineLevel="2" x14ac:dyDescent="0.2">
      <c r="A18499" s="14" t="s">
        <v>36415</v>
      </c>
      <c r="B18499" s="15" t="s">
        <v>36416</v>
      </c>
      <c r="C18499" s="16">
        <f>74.4/(1+B2)</f>
        <v>74.400000000000006</v>
      </c>
      <c r="D18499" s="17" t="s">
        <v>11</v>
      </c>
      <c r="E18499" s="17" t="s">
        <v>11</v>
      </c>
      <c r="F18499" s="18"/>
      <c r="G18499" s="36" t="str">
        <f>IF(ISNUMBER(F18499),C18499*F18499,"")</f>
        <v/>
      </c>
    </row>
    <row r="18500" spans="1:7" ht="12" customHeight="1" outlineLevel="2" x14ac:dyDescent="0.2">
      <c r="A18500" s="14" t="s">
        <v>36417</v>
      </c>
      <c r="B18500" s="15" t="s">
        <v>36418</v>
      </c>
      <c r="C18500" s="16">
        <f>78.78/(1+B2)</f>
        <v>78.78</v>
      </c>
      <c r="D18500" s="17" t="s">
        <v>11</v>
      </c>
      <c r="E18500" s="17"/>
      <c r="F18500" s="18"/>
      <c r="G18500" s="36" t="str">
        <f>IF(ISNUMBER(F18500),C18500*F18500,"")</f>
        <v/>
      </c>
    </row>
    <row r="18501" spans="1:7" ht="12" customHeight="1" outlineLevel="2" x14ac:dyDescent="0.2">
      <c r="A18501" s="14" t="s">
        <v>36419</v>
      </c>
      <c r="B18501" s="15" t="s">
        <v>36420</v>
      </c>
      <c r="C18501" s="16">
        <f>154.44/(1+B2)</f>
        <v>154.44</v>
      </c>
      <c r="D18501" s="17" t="s">
        <v>11</v>
      </c>
      <c r="E18501" s="17"/>
      <c r="F18501" s="18"/>
      <c r="G18501" s="36" t="str">
        <f>IF(ISNUMBER(F18501),C18501*F18501,"")</f>
        <v/>
      </c>
    </row>
    <row r="18502" spans="1:7" ht="12" customHeight="1" outlineLevel="2" x14ac:dyDescent="0.2">
      <c r="A18502" s="14" t="s">
        <v>36421</v>
      </c>
      <c r="B18502" s="15" t="s">
        <v>36422</v>
      </c>
      <c r="C18502" s="16">
        <f>82.86/(1+B2)</f>
        <v>82.86</v>
      </c>
      <c r="D18502" s="17" t="s">
        <v>11</v>
      </c>
      <c r="E18502" s="17" t="s">
        <v>14</v>
      </c>
      <c r="F18502" s="18"/>
      <c r="G18502" s="36" t="str">
        <f>IF(ISNUMBER(F18502),C18502*F18502,"")</f>
        <v/>
      </c>
    </row>
    <row r="18503" spans="1:7" ht="12" customHeight="1" outlineLevel="2" x14ac:dyDescent="0.2">
      <c r="A18503" s="14" t="s">
        <v>36423</v>
      </c>
      <c r="B18503" s="15" t="s">
        <v>36424</v>
      </c>
      <c r="C18503" s="16">
        <f>88.38/(1+B2)</f>
        <v>88.38</v>
      </c>
      <c r="D18503" s="17" t="s">
        <v>11</v>
      </c>
      <c r="E18503" s="17" t="s">
        <v>11</v>
      </c>
      <c r="F18503" s="18"/>
      <c r="G18503" s="36" t="str">
        <f>IF(ISNUMBER(F18503),C18503*F18503,"")</f>
        <v/>
      </c>
    </row>
    <row r="18504" spans="1:7" ht="12" customHeight="1" outlineLevel="2" x14ac:dyDescent="0.2">
      <c r="A18504" s="14" t="s">
        <v>36425</v>
      </c>
      <c r="B18504" s="15" t="s">
        <v>36426</v>
      </c>
      <c r="C18504" s="16">
        <f>94.92/(1+B2)</f>
        <v>94.92</v>
      </c>
      <c r="D18504" s="17" t="s">
        <v>11</v>
      </c>
      <c r="E18504" s="17"/>
      <c r="F18504" s="18"/>
      <c r="G18504" s="36" t="str">
        <f>IF(ISNUMBER(F18504),C18504*F18504,"")</f>
        <v/>
      </c>
    </row>
    <row r="18505" spans="1:7" ht="12" customHeight="1" outlineLevel="2" x14ac:dyDescent="0.2">
      <c r="A18505" s="14" t="s">
        <v>36427</v>
      </c>
      <c r="B18505" s="15" t="s">
        <v>36428</v>
      </c>
      <c r="C18505" s="16">
        <f>113.28/(1+B2)</f>
        <v>113.28</v>
      </c>
      <c r="D18505" s="17" t="s">
        <v>11</v>
      </c>
      <c r="E18505" s="17" t="s">
        <v>14</v>
      </c>
      <c r="F18505" s="18"/>
      <c r="G18505" s="36" t="str">
        <f>IF(ISNUMBER(F18505),C18505*F18505,"")</f>
        <v/>
      </c>
    </row>
    <row r="18506" spans="1:7" s="1" customFormat="1" ht="15.95" customHeight="1" outlineLevel="1" x14ac:dyDescent="0.25">
      <c r="A18506" s="11"/>
      <c r="B18506" s="12" t="s">
        <v>36429</v>
      </c>
      <c r="C18506" s="13"/>
      <c r="D18506" s="13"/>
      <c r="E18506" s="13"/>
      <c r="F18506" s="13"/>
      <c r="G18506" s="35"/>
    </row>
    <row r="18507" spans="1:7" ht="12" customHeight="1" outlineLevel="2" x14ac:dyDescent="0.2">
      <c r="A18507" s="14" t="s">
        <v>36430</v>
      </c>
      <c r="B18507" s="15" t="s">
        <v>36431</v>
      </c>
      <c r="C18507" s="16">
        <f>93.84/(1+B2)</f>
        <v>93.84</v>
      </c>
      <c r="D18507" s="17" t="s">
        <v>11</v>
      </c>
      <c r="E18507" s="17"/>
      <c r="F18507" s="18"/>
      <c r="G18507" s="36" t="str">
        <f>IF(ISNUMBER(F18507),C18507*F18507,"")</f>
        <v/>
      </c>
    </row>
    <row r="18508" spans="1:7" ht="12" customHeight="1" outlineLevel="2" x14ac:dyDescent="0.2">
      <c r="A18508" s="14" t="s">
        <v>36432</v>
      </c>
      <c r="B18508" s="15" t="s">
        <v>36433</v>
      </c>
      <c r="C18508" s="16">
        <f>108.24/(1+B2)</f>
        <v>108.24</v>
      </c>
      <c r="D18508" s="17" t="s">
        <v>11</v>
      </c>
      <c r="E18508" s="17"/>
      <c r="F18508" s="18"/>
      <c r="G18508" s="36" t="str">
        <f>IF(ISNUMBER(F18508),C18508*F18508,"")</f>
        <v/>
      </c>
    </row>
    <row r="18509" spans="1:7" ht="24" customHeight="1" outlineLevel="2" x14ac:dyDescent="0.2">
      <c r="A18509" s="14" t="s">
        <v>36434</v>
      </c>
      <c r="B18509" s="15" t="s">
        <v>36435</v>
      </c>
      <c r="C18509" s="16">
        <f>108.24/(1+B2)</f>
        <v>108.24</v>
      </c>
      <c r="D18509" s="17" t="s">
        <v>11</v>
      </c>
      <c r="E18509" s="17"/>
      <c r="F18509" s="18"/>
      <c r="G18509" s="36" t="str">
        <f>IF(ISNUMBER(F18509),C18509*F18509,"")</f>
        <v/>
      </c>
    </row>
    <row r="18510" spans="1:7" ht="12" customHeight="1" outlineLevel="2" x14ac:dyDescent="0.2">
      <c r="A18510" s="14" t="s">
        <v>36436</v>
      </c>
      <c r="B18510" s="15" t="s">
        <v>36437</v>
      </c>
      <c r="C18510" s="16">
        <f>154.86/(1+B2)</f>
        <v>154.86000000000001</v>
      </c>
      <c r="D18510" s="17" t="s">
        <v>11</v>
      </c>
      <c r="E18510" s="17"/>
      <c r="F18510" s="18"/>
      <c r="G18510" s="36" t="str">
        <f>IF(ISNUMBER(F18510),C18510*F18510,"")</f>
        <v/>
      </c>
    </row>
    <row r="18511" spans="1:7" ht="12" customHeight="1" outlineLevel="2" x14ac:dyDescent="0.2">
      <c r="A18511" s="14" t="s">
        <v>36438</v>
      </c>
      <c r="B18511" s="15" t="s">
        <v>36439</v>
      </c>
      <c r="C18511" s="16">
        <f>154.86/(1+B2)</f>
        <v>154.86000000000001</v>
      </c>
      <c r="D18511" s="17" t="s">
        <v>11</v>
      </c>
      <c r="E18511" s="17"/>
      <c r="F18511" s="18"/>
      <c r="G18511" s="36" t="str">
        <f>IF(ISNUMBER(F18511),C18511*F18511,"")</f>
        <v/>
      </c>
    </row>
    <row r="18512" spans="1:7" ht="12" customHeight="1" outlineLevel="2" x14ac:dyDescent="0.2">
      <c r="A18512" s="14" t="s">
        <v>36440</v>
      </c>
      <c r="B18512" s="15" t="s">
        <v>36441</v>
      </c>
      <c r="C18512" s="16">
        <f>146.92/(1+B2)</f>
        <v>146.91999999999999</v>
      </c>
      <c r="D18512" s="17" t="s">
        <v>14</v>
      </c>
      <c r="E18512" s="17"/>
      <c r="F18512" s="18"/>
      <c r="G18512" s="36" t="str">
        <f>IF(ISNUMBER(F18512),C18512*F18512,"")</f>
        <v/>
      </c>
    </row>
    <row r="18513" spans="1:7" ht="12" customHeight="1" outlineLevel="2" x14ac:dyDescent="0.2">
      <c r="A18513" s="14" t="s">
        <v>36442</v>
      </c>
      <c r="B18513" s="15" t="s">
        <v>36443</v>
      </c>
      <c r="C18513" s="16">
        <f>142.76/(1+B2)</f>
        <v>142.76</v>
      </c>
      <c r="D18513" s="17" t="s">
        <v>11</v>
      </c>
      <c r="E18513" s="17"/>
      <c r="F18513" s="18"/>
      <c r="G18513" s="36" t="str">
        <f>IF(ISNUMBER(F18513),C18513*F18513,"")</f>
        <v/>
      </c>
    </row>
    <row r="18514" spans="1:7" ht="12" customHeight="1" outlineLevel="2" x14ac:dyDescent="0.2">
      <c r="A18514" s="14" t="s">
        <v>36444</v>
      </c>
      <c r="B18514" s="15" t="s">
        <v>36445</v>
      </c>
      <c r="C18514" s="16">
        <f>122.53/(1+B2)</f>
        <v>122.53</v>
      </c>
      <c r="D18514" s="17" t="s">
        <v>14</v>
      </c>
      <c r="E18514" s="17"/>
      <c r="F18514" s="18"/>
      <c r="G18514" s="36" t="str">
        <f>IF(ISNUMBER(F18514),C18514*F18514,"")</f>
        <v/>
      </c>
    </row>
    <row r="18515" spans="1:7" ht="12" customHeight="1" outlineLevel="2" x14ac:dyDescent="0.2">
      <c r="A18515" s="14" t="s">
        <v>36446</v>
      </c>
      <c r="B18515" s="15" t="s">
        <v>36447</v>
      </c>
      <c r="C18515" s="16">
        <f>391.32/(1+B2)</f>
        <v>391.32</v>
      </c>
      <c r="D18515" s="17" t="s">
        <v>11</v>
      </c>
      <c r="E18515" s="17" t="s">
        <v>11</v>
      </c>
      <c r="F18515" s="18"/>
      <c r="G18515" s="36" t="str">
        <f>IF(ISNUMBER(F18515),C18515*F18515,"")</f>
        <v/>
      </c>
    </row>
    <row r="18516" spans="1:7" ht="12" customHeight="1" outlineLevel="2" x14ac:dyDescent="0.2">
      <c r="A18516" s="14" t="s">
        <v>36448</v>
      </c>
      <c r="B18516" s="15" t="s">
        <v>36449</v>
      </c>
      <c r="C18516" s="16">
        <f>362.58/(1+B2)</f>
        <v>362.58</v>
      </c>
      <c r="D18516" s="17" t="s">
        <v>11</v>
      </c>
      <c r="E18516" s="17"/>
      <c r="F18516" s="18"/>
      <c r="G18516" s="36" t="str">
        <f>IF(ISNUMBER(F18516),C18516*F18516,"")</f>
        <v/>
      </c>
    </row>
    <row r="18517" spans="1:7" ht="12" customHeight="1" outlineLevel="2" x14ac:dyDescent="0.2">
      <c r="A18517" s="14" t="s">
        <v>36450</v>
      </c>
      <c r="B18517" s="15" t="s">
        <v>36451</v>
      </c>
      <c r="C18517" s="16">
        <f>392.83/(1+B2)</f>
        <v>392.83</v>
      </c>
      <c r="D18517" s="17" t="s">
        <v>11</v>
      </c>
      <c r="E18517" s="17" t="s">
        <v>11</v>
      </c>
      <c r="F18517" s="18"/>
      <c r="G18517" s="36" t="str">
        <f>IF(ISNUMBER(F18517),C18517*F18517,"")</f>
        <v/>
      </c>
    </row>
    <row r="18518" spans="1:7" ht="12" customHeight="1" outlineLevel="2" x14ac:dyDescent="0.2">
      <c r="A18518" s="14" t="s">
        <v>36452</v>
      </c>
      <c r="B18518" s="15" t="s">
        <v>36453</v>
      </c>
      <c r="C18518" s="16">
        <f>311.12/(1+B2)</f>
        <v>311.12</v>
      </c>
      <c r="D18518" s="17" t="s">
        <v>11</v>
      </c>
      <c r="E18518" s="17"/>
      <c r="F18518" s="18"/>
      <c r="G18518" s="36" t="str">
        <f>IF(ISNUMBER(F18518),C18518*F18518,"")</f>
        <v/>
      </c>
    </row>
    <row r="18519" spans="1:7" ht="24" customHeight="1" outlineLevel="2" x14ac:dyDescent="0.2">
      <c r="A18519" s="14" t="s">
        <v>36454</v>
      </c>
      <c r="B18519" s="15" t="s">
        <v>36455</v>
      </c>
      <c r="C18519" s="16">
        <f>397.74/(1+B2)</f>
        <v>397.74</v>
      </c>
      <c r="D18519" s="17" t="s">
        <v>11</v>
      </c>
      <c r="E18519" s="17"/>
      <c r="F18519" s="18"/>
      <c r="G18519" s="36" t="str">
        <f>IF(ISNUMBER(F18519),C18519*F18519,"")</f>
        <v/>
      </c>
    </row>
    <row r="18520" spans="1:7" ht="12" customHeight="1" outlineLevel="2" x14ac:dyDescent="0.2">
      <c r="A18520" s="14" t="s">
        <v>36456</v>
      </c>
      <c r="B18520" s="15" t="s">
        <v>36457</v>
      </c>
      <c r="C18520" s="16">
        <f>266.78/(1+B2)</f>
        <v>266.77999999999997</v>
      </c>
      <c r="D18520" s="17" t="s">
        <v>11</v>
      </c>
      <c r="E18520" s="17" t="s">
        <v>14</v>
      </c>
      <c r="F18520" s="18"/>
      <c r="G18520" s="36" t="str">
        <f>IF(ISNUMBER(F18520),C18520*F18520,"")</f>
        <v/>
      </c>
    </row>
    <row r="18521" spans="1:7" ht="12" customHeight="1" outlineLevel="2" x14ac:dyDescent="0.2">
      <c r="A18521" s="14" t="s">
        <v>36458</v>
      </c>
      <c r="B18521" s="15" t="s">
        <v>36459</v>
      </c>
      <c r="C18521" s="16">
        <f>266.78/(1+B2)</f>
        <v>266.77999999999997</v>
      </c>
      <c r="D18521" s="17" t="s">
        <v>11</v>
      </c>
      <c r="E18521" s="17" t="s">
        <v>11</v>
      </c>
      <c r="F18521" s="18"/>
      <c r="G18521" s="36" t="str">
        <f>IF(ISNUMBER(F18521),C18521*F18521,"")</f>
        <v/>
      </c>
    </row>
    <row r="18522" spans="1:7" ht="12" customHeight="1" outlineLevel="2" x14ac:dyDescent="0.2">
      <c r="A18522" s="14" t="s">
        <v>36460</v>
      </c>
      <c r="B18522" s="15" t="s">
        <v>36461</v>
      </c>
      <c r="C18522" s="16">
        <f>95.76/(1+B2)</f>
        <v>95.76</v>
      </c>
      <c r="D18522" s="17" t="s">
        <v>14</v>
      </c>
      <c r="E18522" s="17"/>
      <c r="F18522" s="18"/>
      <c r="G18522" s="36" t="str">
        <f>IF(ISNUMBER(F18522),C18522*F18522,"")</f>
        <v/>
      </c>
    </row>
    <row r="18523" spans="1:7" ht="12" customHeight="1" outlineLevel="2" x14ac:dyDescent="0.2">
      <c r="A18523" s="14" t="s">
        <v>36462</v>
      </c>
      <c r="B18523" s="15" t="s">
        <v>36463</v>
      </c>
      <c r="C18523" s="16">
        <f>157.68/(1+B2)</f>
        <v>157.68</v>
      </c>
      <c r="D18523" s="17" t="s">
        <v>11</v>
      </c>
      <c r="E18523" s="17"/>
      <c r="F18523" s="18"/>
      <c r="G18523" s="36" t="str">
        <f>IF(ISNUMBER(F18523),C18523*F18523,"")</f>
        <v/>
      </c>
    </row>
    <row r="18524" spans="1:7" ht="12" customHeight="1" outlineLevel="2" x14ac:dyDescent="0.2">
      <c r="A18524" s="14" t="s">
        <v>36464</v>
      </c>
      <c r="B18524" s="15" t="s">
        <v>36465</v>
      </c>
      <c r="C18524" s="16">
        <f>61.63/(1+B2)</f>
        <v>61.63</v>
      </c>
      <c r="D18524" s="17" t="s">
        <v>11</v>
      </c>
      <c r="E18524" s="17"/>
      <c r="F18524" s="18"/>
      <c r="G18524" s="36" t="str">
        <f>IF(ISNUMBER(F18524),C18524*F18524,"")</f>
        <v/>
      </c>
    </row>
    <row r="18525" spans="1:7" s="1" customFormat="1" ht="15.95" customHeight="1" outlineLevel="1" x14ac:dyDescent="0.25">
      <c r="A18525" s="11"/>
      <c r="B18525" s="12" t="s">
        <v>36466</v>
      </c>
      <c r="C18525" s="13"/>
      <c r="D18525" s="13"/>
      <c r="E18525" s="13"/>
      <c r="F18525" s="13"/>
      <c r="G18525" s="35"/>
    </row>
    <row r="18526" spans="1:7" ht="12" customHeight="1" outlineLevel="2" x14ac:dyDescent="0.2">
      <c r="A18526" s="14" t="s">
        <v>36467</v>
      </c>
      <c r="B18526" s="15" t="s">
        <v>36468</v>
      </c>
      <c r="C18526" s="16">
        <f>76.91/(1+B2)</f>
        <v>76.91</v>
      </c>
      <c r="D18526" s="17" t="s">
        <v>53</v>
      </c>
      <c r="E18526" s="17"/>
      <c r="F18526" s="18"/>
      <c r="G18526" s="36" t="str">
        <f>IF(ISNUMBER(F18526),C18526*F18526,"")</f>
        <v/>
      </c>
    </row>
    <row r="18527" spans="1:7" ht="12" customHeight="1" outlineLevel="2" x14ac:dyDescent="0.2">
      <c r="A18527" s="14" t="s">
        <v>36469</v>
      </c>
      <c r="B18527" s="15" t="s">
        <v>36470</v>
      </c>
      <c r="C18527" s="16">
        <f>62.35/(1+B2)</f>
        <v>62.35</v>
      </c>
      <c r="D18527" s="17" t="s">
        <v>11</v>
      </c>
      <c r="E18527" s="17"/>
      <c r="F18527" s="18"/>
      <c r="G18527" s="36" t="str">
        <f>IF(ISNUMBER(F18527),C18527*F18527,"")</f>
        <v/>
      </c>
    </row>
    <row r="18528" spans="1:7" ht="12" customHeight="1" outlineLevel="2" x14ac:dyDescent="0.2">
      <c r="A18528" s="14" t="s">
        <v>36471</v>
      </c>
      <c r="B18528" s="15" t="s">
        <v>36472</v>
      </c>
      <c r="C18528" s="16">
        <f>98.94/(1+B2)</f>
        <v>98.94</v>
      </c>
      <c r="D18528" s="17" t="s">
        <v>14</v>
      </c>
      <c r="E18528" s="17"/>
      <c r="F18528" s="18"/>
      <c r="G18528" s="36" t="str">
        <f>IF(ISNUMBER(F18528),C18528*F18528,"")</f>
        <v/>
      </c>
    </row>
    <row r="18529" spans="1:7" ht="12" customHeight="1" outlineLevel="2" x14ac:dyDescent="0.2">
      <c r="A18529" s="14" t="s">
        <v>36473</v>
      </c>
      <c r="B18529" s="15" t="s">
        <v>36474</v>
      </c>
      <c r="C18529" s="16">
        <f>101.64/(1+B2)</f>
        <v>101.64</v>
      </c>
      <c r="D18529" s="17" t="s">
        <v>14</v>
      </c>
      <c r="E18529" s="17"/>
      <c r="F18529" s="18"/>
      <c r="G18529" s="36" t="str">
        <f>IF(ISNUMBER(F18529),C18529*F18529,"")</f>
        <v/>
      </c>
    </row>
    <row r="18530" spans="1:7" ht="12" customHeight="1" outlineLevel="2" x14ac:dyDescent="0.2">
      <c r="A18530" s="14" t="s">
        <v>36475</v>
      </c>
      <c r="B18530" s="15" t="s">
        <v>36476</v>
      </c>
      <c r="C18530" s="16">
        <f>132.48/(1+B2)</f>
        <v>132.47999999999999</v>
      </c>
      <c r="D18530" s="17" t="s">
        <v>11</v>
      </c>
      <c r="E18530" s="17" t="s">
        <v>14</v>
      </c>
      <c r="F18530" s="18"/>
      <c r="G18530" s="36" t="str">
        <f>IF(ISNUMBER(F18530),C18530*F18530,"")</f>
        <v/>
      </c>
    </row>
    <row r="18531" spans="1:7" ht="12" customHeight="1" outlineLevel="2" x14ac:dyDescent="0.2">
      <c r="A18531" s="14" t="s">
        <v>36477</v>
      </c>
      <c r="B18531" s="15" t="s">
        <v>36478</v>
      </c>
      <c r="C18531" s="16">
        <f>66.02/(1+B2)</f>
        <v>66.02</v>
      </c>
      <c r="D18531" s="17" t="s">
        <v>11</v>
      </c>
      <c r="E18531" s="17"/>
      <c r="F18531" s="18"/>
      <c r="G18531" s="36" t="str">
        <f>IF(ISNUMBER(F18531),C18531*F18531,"")</f>
        <v/>
      </c>
    </row>
    <row r="18532" spans="1:7" ht="12" customHeight="1" outlineLevel="2" x14ac:dyDescent="0.2">
      <c r="A18532" s="14" t="s">
        <v>36479</v>
      </c>
      <c r="B18532" s="15" t="s">
        <v>36480</v>
      </c>
      <c r="C18532" s="16">
        <f>35.43/(1+B2)</f>
        <v>35.43</v>
      </c>
      <c r="D18532" s="17" t="s">
        <v>11</v>
      </c>
      <c r="E18532" s="17"/>
      <c r="F18532" s="18"/>
      <c r="G18532" s="36" t="str">
        <f>IF(ISNUMBER(F18532),C18532*F18532,"")</f>
        <v/>
      </c>
    </row>
    <row r="18533" spans="1:7" ht="12" customHeight="1" outlineLevel="2" x14ac:dyDescent="0.2">
      <c r="A18533" s="14" t="s">
        <v>36481</v>
      </c>
      <c r="B18533" s="15" t="s">
        <v>36482</v>
      </c>
      <c r="C18533" s="16">
        <f>71.88/(1+B2)</f>
        <v>71.88</v>
      </c>
      <c r="D18533" s="17" t="s">
        <v>14</v>
      </c>
      <c r="E18533" s="17"/>
      <c r="F18533" s="18"/>
      <c r="G18533" s="36" t="str">
        <f>IF(ISNUMBER(F18533),C18533*F18533,"")</f>
        <v/>
      </c>
    </row>
    <row r="18534" spans="1:7" ht="12" customHeight="1" outlineLevel="2" x14ac:dyDescent="0.2">
      <c r="A18534" s="14" t="s">
        <v>36483</v>
      </c>
      <c r="B18534" s="15" t="s">
        <v>36484</v>
      </c>
      <c r="C18534" s="16">
        <f>66.11/(1+B2)</f>
        <v>66.11</v>
      </c>
      <c r="D18534" s="17" t="s">
        <v>11</v>
      </c>
      <c r="E18534" s="17"/>
      <c r="F18534" s="18"/>
      <c r="G18534" s="36" t="str">
        <f>IF(ISNUMBER(F18534),C18534*F18534,"")</f>
        <v/>
      </c>
    </row>
    <row r="18535" spans="1:7" ht="12" customHeight="1" outlineLevel="2" x14ac:dyDescent="0.2">
      <c r="A18535" s="14" t="s">
        <v>36485</v>
      </c>
      <c r="B18535" s="15" t="s">
        <v>36486</v>
      </c>
      <c r="C18535" s="16">
        <f>72.36/(1+B2)</f>
        <v>72.36</v>
      </c>
      <c r="D18535" s="17" t="s">
        <v>14</v>
      </c>
      <c r="E18535" s="17"/>
      <c r="F18535" s="18"/>
      <c r="G18535" s="36" t="str">
        <f>IF(ISNUMBER(F18535),C18535*F18535,"")</f>
        <v/>
      </c>
    </row>
    <row r="18536" spans="1:7" ht="12" customHeight="1" outlineLevel="2" x14ac:dyDescent="0.2">
      <c r="A18536" s="14" t="s">
        <v>36487</v>
      </c>
      <c r="B18536" s="15" t="s">
        <v>36488</v>
      </c>
      <c r="C18536" s="16">
        <f>93.09/(1+B2)</f>
        <v>93.09</v>
      </c>
      <c r="D18536" s="17" t="s">
        <v>11</v>
      </c>
      <c r="E18536" s="17"/>
      <c r="F18536" s="18"/>
      <c r="G18536" s="36" t="str">
        <f>IF(ISNUMBER(F18536),C18536*F18536,"")</f>
        <v/>
      </c>
    </row>
    <row r="18537" spans="1:7" ht="12" customHeight="1" outlineLevel="2" x14ac:dyDescent="0.2">
      <c r="A18537" s="14" t="s">
        <v>36489</v>
      </c>
      <c r="B18537" s="15" t="s">
        <v>36490</v>
      </c>
      <c r="C18537" s="16">
        <f>92.41/(1+B2)</f>
        <v>92.41</v>
      </c>
      <c r="D18537" s="17" t="s">
        <v>11</v>
      </c>
      <c r="E18537" s="17"/>
      <c r="F18537" s="18"/>
      <c r="G18537" s="36" t="str">
        <f>IF(ISNUMBER(F18537),C18537*F18537,"")</f>
        <v/>
      </c>
    </row>
    <row r="18538" spans="1:7" ht="12" customHeight="1" outlineLevel="2" x14ac:dyDescent="0.2">
      <c r="A18538" s="14" t="s">
        <v>36491</v>
      </c>
      <c r="B18538" s="15" t="s">
        <v>36492</v>
      </c>
      <c r="C18538" s="16">
        <f>46.86/(1+B2)</f>
        <v>46.86</v>
      </c>
      <c r="D18538" s="17" t="s">
        <v>11</v>
      </c>
      <c r="E18538" s="17"/>
      <c r="F18538" s="18"/>
      <c r="G18538" s="36" t="str">
        <f>IF(ISNUMBER(F18538),C18538*F18538,"")</f>
        <v/>
      </c>
    </row>
    <row r="18539" spans="1:7" ht="12" customHeight="1" outlineLevel="2" x14ac:dyDescent="0.2">
      <c r="A18539" s="14" t="s">
        <v>36493</v>
      </c>
      <c r="B18539" s="15" t="s">
        <v>36494</v>
      </c>
      <c r="C18539" s="16">
        <f>46.86/(1+B2)</f>
        <v>46.86</v>
      </c>
      <c r="D18539" s="17" t="s">
        <v>11</v>
      </c>
      <c r="E18539" s="17"/>
      <c r="F18539" s="18"/>
      <c r="G18539" s="36" t="str">
        <f>IF(ISNUMBER(F18539),C18539*F18539,"")</f>
        <v/>
      </c>
    </row>
    <row r="18540" spans="1:7" ht="12" customHeight="1" outlineLevel="2" x14ac:dyDescent="0.2">
      <c r="A18540" s="14" t="s">
        <v>36495</v>
      </c>
      <c r="B18540" s="15" t="s">
        <v>36496</v>
      </c>
      <c r="C18540" s="16">
        <f>61.43/(1+B2)</f>
        <v>61.43</v>
      </c>
      <c r="D18540" s="17" t="s">
        <v>11</v>
      </c>
      <c r="E18540" s="17"/>
      <c r="F18540" s="18"/>
      <c r="G18540" s="36" t="str">
        <f>IF(ISNUMBER(F18540),C18540*F18540,"")</f>
        <v/>
      </c>
    </row>
    <row r="18541" spans="1:7" ht="12" customHeight="1" outlineLevel="2" x14ac:dyDescent="0.2">
      <c r="A18541" s="14" t="s">
        <v>36497</v>
      </c>
      <c r="B18541" s="15" t="s">
        <v>36498</v>
      </c>
      <c r="C18541" s="16">
        <f>61.43/(1+B2)</f>
        <v>61.43</v>
      </c>
      <c r="D18541" s="17" t="s">
        <v>11</v>
      </c>
      <c r="E18541" s="17"/>
      <c r="F18541" s="18"/>
      <c r="G18541" s="36" t="str">
        <f>IF(ISNUMBER(F18541),C18541*F18541,"")</f>
        <v/>
      </c>
    </row>
    <row r="18542" spans="1:7" ht="12" customHeight="1" outlineLevel="2" x14ac:dyDescent="0.2">
      <c r="A18542" s="14" t="s">
        <v>36499</v>
      </c>
      <c r="B18542" s="15" t="s">
        <v>36500</v>
      </c>
      <c r="C18542" s="16">
        <f>77.05/(1+B2)</f>
        <v>77.05</v>
      </c>
      <c r="D18542" s="17" t="s">
        <v>11</v>
      </c>
      <c r="E18542" s="17"/>
      <c r="F18542" s="18"/>
      <c r="G18542" s="36" t="str">
        <f>IF(ISNUMBER(F18542),C18542*F18542,"")</f>
        <v/>
      </c>
    </row>
    <row r="18543" spans="1:7" ht="12" customHeight="1" outlineLevel="2" x14ac:dyDescent="0.2">
      <c r="A18543" s="14" t="s">
        <v>36501</v>
      </c>
      <c r="B18543" s="15" t="s">
        <v>36502</v>
      </c>
      <c r="C18543" s="16">
        <f>92.12/(1+B2)</f>
        <v>92.12</v>
      </c>
      <c r="D18543" s="17" t="s">
        <v>14</v>
      </c>
      <c r="E18543" s="17"/>
      <c r="F18543" s="18"/>
      <c r="G18543" s="36" t="str">
        <f>IF(ISNUMBER(F18543),C18543*F18543,"")</f>
        <v/>
      </c>
    </row>
    <row r="18544" spans="1:7" ht="12" customHeight="1" outlineLevel="2" x14ac:dyDescent="0.2">
      <c r="A18544" s="14" t="s">
        <v>36503</v>
      </c>
      <c r="B18544" s="15" t="s">
        <v>36504</v>
      </c>
      <c r="C18544" s="16">
        <f>124.03/(1+B2)</f>
        <v>124.03</v>
      </c>
      <c r="D18544" s="17" t="s">
        <v>11</v>
      </c>
      <c r="E18544" s="17"/>
      <c r="F18544" s="18"/>
      <c r="G18544" s="36" t="str">
        <f>IF(ISNUMBER(F18544),C18544*F18544,"")</f>
        <v/>
      </c>
    </row>
    <row r="18545" spans="1:7" ht="12" customHeight="1" outlineLevel="2" x14ac:dyDescent="0.2">
      <c r="A18545" s="14" t="s">
        <v>36505</v>
      </c>
      <c r="B18545" s="15" t="s">
        <v>36506</v>
      </c>
      <c r="C18545" s="16">
        <f>147.01/(1+B2)</f>
        <v>147.01</v>
      </c>
      <c r="D18545" s="17" t="s">
        <v>11</v>
      </c>
      <c r="E18545" s="17"/>
      <c r="F18545" s="18"/>
      <c r="G18545" s="36" t="str">
        <f>IF(ISNUMBER(F18545),C18545*F18545,"")</f>
        <v/>
      </c>
    </row>
    <row r="18546" spans="1:7" ht="12" customHeight="1" outlineLevel="2" x14ac:dyDescent="0.2">
      <c r="A18546" s="14" t="s">
        <v>36507</v>
      </c>
      <c r="B18546" s="15" t="s">
        <v>36508</v>
      </c>
      <c r="C18546" s="16">
        <f>164.57/(1+B2)</f>
        <v>164.57</v>
      </c>
      <c r="D18546" s="17" t="s">
        <v>14</v>
      </c>
      <c r="E18546" s="17"/>
      <c r="F18546" s="18"/>
      <c r="G18546" s="36" t="str">
        <f>IF(ISNUMBER(F18546),C18546*F18546,"")</f>
        <v/>
      </c>
    </row>
    <row r="18547" spans="1:7" ht="12" customHeight="1" outlineLevel="2" x14ac:dyDescent="0.2">
      <c r="A18547" s="14" t="s">
        <v>36509</v>
      </c>
      <c r="B18547" s="15" t="s">
        <v>36510</v>
      </c>
      <c r="C18547" s="16">
        <f>118.26/(1+B2)</f>
        <v>118.26</v>
      </c>
      <c r="D18547" s="17" t="s">
        <v>11</v>
      </c>
      <c r="E18547" s="17"/>
      <c r="F18547" s="18"/>
      <c r="G18547" s="36" t="str">
        <f>IF(ISNUMBER(F18547),C18547*F18547,"")</f>
        <v/>
      </c>
    </row>
    <row r="18548" spans="1:7" ht="12" customHeight="1" outlineLevel="2" x14ac:dyDescent="0.2">
      <c r="A18548" s="14" t="s">
        <v>36511</v>
      </c>
      <c r="B18548" s="15" t="s">
        <v>36512</v>
      </c>
      <c r="C18548" s="16">
        <f>112.23/(1+B2)</f>
        <v>112.23</v>
      </c>
      <c r="D18548" s="17" t="s">
        <v>14</v>
      </c>
      <c r="E18548" s="17"/>
      <c r="F18548" s="18"/>
      <c r="G18548" s="36" t="str">
        <f>IF(ISNUMBER(F18548),C18548*F18548,"")</f>
        <v/>
      </c>
    </row>
    <row r="18549" spans="1:7" ht="12" customHeight="1" outlineLevel="2" x14ac:dyDescent="0.2">
      <c r="A18549" s="14" t="s">
        <v>36513</v>
      </c>
      <c r="B18549" s="15" t="s">
        <v>36514</v>
      </c>
      <c r="C18549" s="16">
        <f>159.21/(1+B2)</f>
        <v>159.21</v>
      </c>
      <c r="D18549" s="17" t="s">
        <v>14</v>
      </c>
      <c r="E18549" s="17"/>
      <c r="F18549" s="18"/>
      <c r="G18549" s="36" t="str">
        <f>IF(ISNUMBER(F18549),C18549*F18549,"")</f>
        <v/>
      </c>
    </row>
    <row r="18550" spans="1:7" ht="12" customHeight="1" outlineLevel="2" x14ac:dyDescent="0.2">
      <c r="A18550" s="14" t="s">
        <v>36515</v>
      </c>
      <c r="B18550" s="15" t="s">
        <v>36516</v>
      </c>
      <c r="C18550" s="16">
        <f>188.88/(1+B2)</f>
        <v>188.88</v>
      </c>
      <c r="D18550" s="17" t="s">
        <v>11</v>
      </c>
      <c r="E18550" s="17"/>
      <c r="F18550" s="18"/>
      <c r="G18550" s="36" t="str">
        <f>IF(ISNUMBER(F18550),C18550*F18550,"")</f>
        <v/>
      </c>
    </row>
    <row r="18551" spans="1:7" ht="12" customHeight="1" outlineLevel="2" x14ac:dyDescent="0.2">
      <c r="A18551" s="14" t="s">
        <v>36517</v>
      </c>
      <c r="B18551" s="15" t="s">
        <v>36518</v>
      </c>
      <c r="C18551" s="16">
        <f>211.31/(1+B2)</f>
        <v>211.31</v>
      </c>
      <c r="D18551" s="17" t="s">
        <v>11</v>
      </c>
      <c r="E18551" s="17"/>
      <c r="F18551" s="18"/>
      <c r="G18551" s="36" t="str">
        <f>IF(ISNUMBER(F18551),C18551*F18551,"")</f>
        <v/>
      </c>
    </row>
    <row r="18552" spans="1:7" ht="12" customHeight="1" outlineLevel="2" x14ac:dyDescent="0.2">
      <c r="A18552" s="14" t="s">
        <v>36519</v>
      </c>
      <c r="B18552" s="15" t="s">
        <v>36520</v>
      </c>
      <c r="C18552" s="16">
        <f>159.21/(1+B2)</f>
        <v>159.21</v>
      </c>
      <c r="D18552" s="17" t="s">
        <v>11</v>
      </c>
      <c r="E18552" s="17"/>
      <c r="F18552" s="18"/>
      <c r="G18552" s="36" t="str">
        <f>IF(ISNUMBER(F18552),C18552*F18552,"")</f>
        <v/>
      </c>
    </row>
    <row r="18553" spans="1:7" ht="12" customHeight="1" outlineLevel="2" x14ac:dyDescent="0.2">
      <c r="A18553" s="14" t="s">
        <v>36521</v>
      </c>
      <c r="B18553" s="15" t="s">
        <v>36522</v>
      </c>
      <c r="C18553" s="16">
        <f>188.88/(1+B2)</f>
        <v>188.88</v>
      </c>
      <c r="D18553" s="17" t="s">
        <v>11</v>
      </c>
      <c r="E18553" s="17"/>
      <c r="F18553" s="18"/>
      <c r="G18553" s="36" t="str">
        <f>IF(ISNUMBER(F18553),C18553*F18553,"")</f>
        <v/>
      </c>
    </row>
    <row r="18554" spans="1:7" ht="12" customHeight="1" outlineLevel="2" x14ac:dyDescent="0.2">
      <c r="A18554" s="14" t="s">
        <v>36523</v>
      </c>
      <c r="B18554" s="15" t="s">
        <v>36524</v>
      </c>
      <c r="C18554" s="16">
        <f>211.31/(1+B2)</f>
        <v>211.31</v>
      </c>
      <c r="D18554" s="17" t="s">
        <v>11</v>
      </c>
      <c r="E18554" s="17"/>
      <c r="F18554" s="18"/>
      <c r="G18554" s="36" t="str">
        <f>IF(ISNUMBER(F18554),C18554*F18554,"")</f>
        <v/>
      </c>
    </row>
    <row r="18555" spans="1:7" ht="24" customHeight="1" outlineLevel="2" x14ac:dyDescent="0.2">
      <c r="A18555" s="14" t="s">
        <v>36525</v>
      </c>
      <c r="B18555" s="15" t="s">
        <v>36526</v>
      </c>
      <c r="C18555" s="16">
        <f>149.28/(1+B2)</f>
        <v>149.28</v>
      </c>
      <c r="D18555" s="17" t="s">
        <v>11</v>
      </c>
      <c r="E18555" s="17"/>
      <c r="F18555" s="18"/>
      <c r="G18555" s="36" t="str">
        <f>IF(ISNUMBER(F18555),C18555*F18555,"")</f>
        <v/>
      </c>
    </row>
    <row r="18556" spans="1:7" ht="12" customHeight="1" outlineLevel="2" x14ac:dyDescent="0.2">
      <c r="A18556" s="14" t="s">
        <v>36527</v>
      </c>
      <c r="B18556" s="15" t="s">
        <v>36528</v>
      </c>
      <c r="C18556" s="16">
        <f>41.53/(1+B2)</f>
        <v>41.53</v>
      </c>
      <c r="D18556" s="17" t="s">
        <v>14</v>
      </c>
      <c r="E18556" s="17"/>
      <c r="F18556" s="18"/>
      <c r="G18556" s="36" t="str">
        <f>IF(ISNUMBER(F18556),C18556*F18556,"")</f>
        <v/>
      </c>
    </row>
    <row r="18557" spans="1:7" ht="12" customHeight="1" outlineLevel="2" x14ac:dyDescent="0.2">
      <c r="A18557" s="14" t="s">
        <v>36529</v>
      </c>
      <c r="B18557" s="15" t="s">
        <v>36530</v>
      </c>
      <c r="C18557" s="16">
        <f>76.94/(1+B2)</f>
        <v>76.94</v>
      </c>
      <c r="D18557" s="17" t="s">
        <v>11</v>
      </c>
      <c r="E18557" s="17"/>
      <c r="F18557" s="18"/>
      <c r="G18557" s="36" t="str">
        <f>IF(ISNUMBER(F18557),C18557*F18557,"")</f>
        <v/>
      </c>
    </row>
    <row r="18558" spans="1:7" ht="12" customHeight="1" outlineLevel="2" x14ac:dyDescent="0.2">
      <c r="A18558" s="14" t="s">
        <v>36531</v>
      </c>
      <c r="B18558" s="15" t="s">
        <v>36532</v>
      </c>
      <c r="C18558" s="16">
        <f>113.4/(1+B2)</f>
        <v>113.4</v>
      </c>
      <c r="D18558" s="17" t="s">
        <v>11</v>
      </c>
      <c r="E18558" s="17"/>
      <c r="F18558" s="18"/>
      <c r="G18558" s="36" t="str">
        <f>IF(ISNUMBER(F18558),C18558*F18558,"")</f>
        <v/>
      </c>
    </row>
    <row r="18559" spans="1:7" ht="12" customHeight="1" outlineLevel="2" x14ac:dyDescent="0.2">
      <c r="A18559" s="14" t="s">
        <v>36533</v>
      </c>
      <c r="B18559" s="15" t="s">
        <v>36534</v>
      </c>
      <c r="C18559" s="16">
        <f>135.66/(1+B2)</f>
        <v>135.66</v>
      </c>
      <c r="D18559" s="17" t="s">
        <v>11</v>
      </c>
      <c r="E18559" s="17"/>
      <c r="F18559" s="18"/>
      <c r="G18559" s="36" t="str">
        <f>IF(ISNUMBER(F18559),C18559*F18559,"")</f>
        <v/>
      </c>
    </row>
    <row r="18560" spans="1:7" ht="12" customHeight="1" outlineLevel="2" x14ac:dyDescent="0.2">
      <c r="A18560" s="14" t="s">
        <v>36535</v>
      </c>
      <c r="B18560" s="15" t="s">
        <v>36536</v>
      </c>
      <c r="C18560" s="16">
        <f>42.25/(1+B2)</f>
        <v>42.25</v>
      </c>
      <c r="D18560" s="17" t="s">
        <v>11</v>
      </c>
      <c r="E18560" s="17" t="s">
        <v>11</v>
      </c>
      <c r="F18560" s="18"/>
      <c r="G18560" s="36" t="str">
        <f>IF(ISNUMBER(F18560),C18560*F18560,"")</f>
        <v/>
      </c>
    </row>
    <row r="18561" spans="1:7" ht="12" customHeight="1" outlineLevel="2" x14ac:dyDescent="0.2">
      <c r="A18561" s="14" t="s">
        <v>36537</v>
      </c>
      <c r="B18561" s="15" t="s">
        <v>36538</v>
      </c>
      <c r="C18561" s="16">
        <f>111.67/(1+B2)</f>
        <v>111.67</v>
      </c>
      <c r="D18561" s="17" t="s">
        <v>14</v>
      </c>
      <c r="E18561" s="17"/>
      <c r="F18561" s="18"/>
      <c r="G18561" s="36" t="str">
        <f>IF(ISNUMBER(F18561),C18561*F18561,"")</f>
        <v/>
      </c>
    </row>
    <row r="18562" spans="1:7" ht="12" customHeight="1" outlineLevel="2" x14ac:dyDescent="0.2">
      <c r="A18562" s="14" t="s">
        <v>36539</v>
      </c>
      <c r="B18562" s="15" t="s">
        <v>36540</v>
      </c>
      <c r="C18562" s="16">
        <f>176.64/(1+B2)</f>
        <v>176.64</v>
      </c>
      <c r="D18562" s="17" t="s">
        <v>11</v>
      </c>
      <c r="E18562" s="17" t="s">
        <v>53</v>
      </c>
      <c r="F18562" s="18"/>
      <c r="G18562" s="36" t="str">
        <f>IF(ISNUMBER(F18562),C18562*F18562,"")</f>
        <v/>
      </c>
    </row>
    <row r="18563" spans="1:7" s="1" customFormat="1" ht="15.95" customHeight="1" outlineLevel="1" x14ac:dyDescent="0.25">
      <c r="A18563" s="11"/>
      <c r="B18563" s="12" t="s">
        <v>36541</v>
      </c>
      <c r="C18563" s="13"/>
      <c r="D18563" s="13"/>
      <c r="E18563" s="13"/>
      <c r="F18563" s="13"/>
      <c r="G18563" s="35"/>
    </row>
    <row r="18564" spans="1:7" ht="12" customHeight="1" outlineLevel="2" x14ac:dyDescent="0.2">
      <c r="A18564" s="14" t="s">
        <v>36542</v>
      </c>
      <c r="B18564" s="15" t="s">
        <v>36543</v>
      </c>
      <c r="C18564" s="16">
        <f>75.47/(1+B2)</f>
        <v>75.47</v>
      </c>
      <c r="D18564" s="17" t="s">
        <v>14</v>
      </c>
      <c r="E18564" s="17" t="s">
        <v>14</v>
      </c>
      <c r="F18564" s="18"/>
      <c r="G18564" s="36" t="str">
        <f>IF(ISNUMBER(F18564),C18564*F18564,"")</f>
        <v/>
      </c>
    </row>
    <row r="18565" spans="1:7" ht="12" customHeight="1" outlineLevel="2" x14ac:dyDescent="0.2">
      <c r="A18565" s="14" t="s">
        <v>36544</v>
      </c>
      <c r="B18565" s="15" t="s">
        <v>36545</v>
      </c>
      <c r="C18565" s="16">
        <f>82.8/(1+B2)</f>
        <v>82.8</v>
      </c>
      <c r="D18565" s="17" t="s">
        <v>11</v>
      </c>
      <c r="E18565" s="17" t="s">
        <v>14</v>
      </c>
      <c r="F18565" s="18"/>
      <c r="G18565" s="36" t="str">
        <f>IF(ISNUMBER(F18565),C18565*F18565,"")</f>
        <v/>
      </c>
    </row>
    <row r="18566" spans="1:7" ht="12" customHeight="1" outlineLevel="2" x14ac:dyDescent="0.2">
      <c r="A18566" s="14" t="s">
        <v>36546</v>
      </c>
      <c r="B18566" s="15" t="s">
        <v>36547</v>
      </c>
      <c r="C18566" s="16">
        <f>105.48/(1+B2)</f>
        <v>105.48</v>
      </c>
      <c r="D18566" s="17" t="s">
        <v>11</v>
      </c>
      <c r="E18566" s="17" t="s">
        <v>14</v>
      </c>
      <c r="F18566" s="18"/>
      <c r="G18566" s="36" t="str">
        <f>IF(ISNUMBER(F18566),C18566*F18566,"")</f>
        <v/>
      </c>
    </row>
    <row r="18567" spans="1:7" ht="12" customHeight="1" outlineLevel="2" x14ac:dyDescent="0.2">
      <c r="A18567" s="14" t="s">
        <v>36548</v>
      </c>
      <c r="B18567" s="15" t="s">
        <v>36549</v>
      </c>
      <c r="C18567" s="16">
        <f>105.48/(1+B2)</f>
        <v>105.48</v>
      </c>
      <c r="D18567" s="17" t="s">
        <v>14</v>
      </c>
      <c r="E18567" s="17"/>
      <c r="F18567" s="18"/>
      <c r="G18567" s="36" t="str">
        <f>IF(ISNUMBER(F18567),C18567*F18567,"")</f>
        <v/>
      </c>
    </row>
    <row r="18568" spans="1:7" ht="12" customHeight="1" outlineLevel="2" x14ac:dyDescent="0.2">
      <c r="A18568" s="14" t="s">
        <v>36550</v>
      </c>
      <c r="B18568" s="15" t="s">
        <v>36551</v>
      </c>
      <c r="C18568" s="16">
        <f>69.84/(1+B2)</f>
        <v>69.84</v>
      </c>
      <c r="D18568" s="17" t="s">
        <v>11</v>
      </c>
      <c r="E18568" s="17" t="s">
        <v>14</v>
      </c>
      <c r="F18568" s="18"/>
      <c r="G18568" s="36" t="str">
        <f>IF(ISNUMBER(F18568),C18568*F18568,"")</f>
        <v/>
      </c>
    </row>
    <row r="18569" spans="1:7" ht="12" customHeight="1" outlineLevel="2" x14ac:dyDescent="0.2">
      <c r="A18569" s="14" t="s">
        <v>36552</v>
      </c>
      <c r="B18569" s="15" t="s">
        <v>36553</v>
      </c>
      <c r="C18569" s="16">
        <f>44.28/(1+B2)</f>
        <v>44.28</v>
      </c>
      <c r="D18569" s="17" t="s">
        <v>53</v>
      </c>
      <c r="E18569" s="17"/>
      <c r="F18569" s="18"/>
      <c r="G18569" s="36" t="str">
        <f>IF(ISNUMBER(F18569),C18569*F18569,"")</f>
        <v/>
      </c>
    </row>
    <row r="18570" spans="1:7" ht="12" customHeight="1" outlineLevel="2" x14ac:dyDescent="0.2">
      <c r="A18570" s="14" t="s">
        <v>36554</v>
      </c>
      <c r="B18570" s="15" t="s">
        <v>36555</v>
      </c>
      <c r="C18570" s="16">
        <f>61.76/(1+B2)</f>
        <v>61.76</v>
      </c>
      <c r="D18570" s="17" t="s">
        <v>14</v>
      </c>
      <c r="E18570" s="17"/>
      <c r="F18570" s="18"/>
      <c r="G18570" s="36" t="str">
        <f>IF(ISNUMBER(F18570),C18570*F18570,"")</f>
        <v/>
      </c>
    </row>
    <row r="18571" spans="1:7" ht="12" customHeight="1" outlineLevel="2" x14ac:dyDescent="0.2">
      <c r="A18571" s="14" t="s">
        <v>36556</v>
      </c>
      <c r="B18571" s="15" t="s">
        <v>36557</v>
      </c>
      <c r="C18571" s="16">
        <f>69.88/(1+B2)</f>
        <v>69.88</v>
      </c>
      <c r="D18571" s="17" t="s">
        <v>53</v>
      </c>
      <c r="E18571" s="17"/>
      <c r="F18571" s="18"/>
      <c r="G18571" s="36" t="str">
        <f>IF(ISNUMBER(F18571),C18571*F18571,"")</f>
        <v/>
      </c>
    </row>
    <row r="18572" spans="1:7" ht="12" customHeight="1" outlineLevel="2" x14ac:dyDescent="0.2">
      <c r="A18572" s="14" t="s">
        <v>36558</v>
      </c>
      <c r="B18572" s="15" t="s">
        <v>36559</v>
      </c>
      <c r="C18572" s="16">
        <f>102.24/(1+B2)</f>
        <v>102.24</v>
      </c>
      <c r="D18572" s="17" t="s">
        <v>11</v>
      </c>
      <c r="E18572" s="17"/>
      <c r="F18572" s="18"/>
      <c r="G18572" s="36" t="str">
        <f>IF(ISNUMBER(F18572),C18572*F18572,"")</f>
        <v/>
      </c>
    </row>
    <row r="18573" spans="1:7" ht="12" customHeight="1" outlineLevel="2" x14ac:dyDescent="0.2">
      <c r="A18573" s="14" t="s">
        <v>36560</v>
      </c>
      <c r="B18573" s="15" t="s">
        <v>36561</v>
      </c>
      <c r="C18573" s="16">
        <f>146.04/(1+B2)</f>
        <v>146.04</v>
      </c>
      <c r="D18573" s="17" t="s">
        <v>11</v>
      </c>
      <c r="E18573" s="17" t="s">
        <v>11</v>
      </c>
      <c r="F18573" s="18"/>
      <c r="G18573" s="36" t="str">
        <f>IF(ISNUMBER(F18573),C18573*F18573,"")</f>
        <v/>
      </c>
    </row>
    <row r="18574" spans="1:7" ht="12" customHeight="1" outlineLevel="2" x14ac:dyDescent="0.2">
      <c r="A18574" s="14" t="s">
        <v>36562</v>
      </c>
      <c r="B18574" s="15" t="s">
        <v>36563</v>
      </c>
      <c r="C18574" s="16">
        <f>72.77/(1+B2)</f>
        <v>72.77</v>
      </c>
      <c r="D18574" s="17" t="s">
        <v>11</v>
      </c>
      <c r="E18574" s="17"/>
      <c r="F18574" s="18"/>
      <c r="G18574" s="36" t="str">
        <f>IF(ISNUMBER(F18574),C18574*F18574,"")</f>
        <v/>
      </c>
    </row>
    <row r="18575" spans="1:7" ht="12" customHeight="1" outlineLevel="2" x14ac:dyDescent="0.2">
      <c r="A18575" s="14" t="s">
        <v>36564</v>
      </c>
      <c r="B18575" s="15" t="s">
        <v>36565</v>
      </c>
      <c r="C18575" s="16">
        <f>69.78/(1+B2)</f>
        <v>69.78</v>
      </c>
      <c r="D18575" s="17" t="s">
        <v>11</v>
      </c>
      <c r="E18575" s="17"/>
      <c r="F18575" s="18"/>
      <c r="G18575" s="36" t="str">
        <f>IF(ISNUMBER(F18575),C18575*F18575,"")</f>
        <v/>
      </c>
    </row>
    <row r="18576" spans="1:7" ht="12" customHeight="1" outlineLevel="2" x14ac:dyDescent="0.2">
      <c r="A18576" s="14" t="s">
        <v>36566</v>
      </c>
      <c r="B18576" s="15" t="s">
        <v>36567</v>
      </c>
      <c r="C18576" s="16">
        <f>47.44/(1+B2)</f>
        <v>47.44</v>
      </c>
      <c r="D18576" s="17" t="s">
        <v>14</v>
      </c>
      <c r="E18576" s="17"/>
      <c r="F18576" s="18"/>
      <c r="G18576" s="36" t="str">
        <f>IF(ISNUMBER(F18576),C18576*F18576,"")</f>
        <v/>
      </c>
    </row>
    <row r="18577" spans="1:7" ht="24" customHeight="1" outlineLevel="2" x14ac:dyDescent="0.2">
      <c r="A18577" s="14" t="s">
        <v>36568</v>
      </c>
      <c r="B18577" s="15" t="s">
        <v>36569</v>
      </c>
      <c r="C18577" s="16">
        <f>44.65/(1+B2)</f>
        <v>44.65</v>
      </c>
      <c r="D18577" s="17" t="s">
        <v>11</v>
      </c>
      <c r="E18577" s="17"/>
      <c r="F18577" s="18"/>
      <c r="G18577" s="36" t="str">
        <f>IF(ISNUMBER(F18577),C18577*F18577,"")</f>
        <v/>
      </c>
    </row>
    <row r="18578" spans="1:7" ht="12" customHeight="1" outlineLevel="2" x14ac:dyDescent="0.2">
      <c r="A18578" s="14" t="s">
        <v>36570</v>
      </c>
      <c r="B18578" s="15" t="s">
        <v>36571</v>
      </c>
      <c r="C18578" s="16">
        <f>48.66/(1+B2)</f>
        <v>48.66</v>
      </c>
      <c r="D18578" s="17" t="s">
        <v>11</v>
      </c>
      <c r="E18578" s="17"/>
      <c r="F18578" s="18"/>
      <c r="G18578" s="36" t="str">
        <f>IF(ISNUMBER(F18578),C18578*F18578,"")</f>
        <v/>
      </c>
    </row>
    <row r="18579" spans="1:7" ht="12" customHeight="1" outlineLevel="2" x14ac:dyDescent="0.2">
      <c r="A18579" s="14" t="s">
        <v>36572</v>
      </c>
      <c r="B18579" s="15" t="s">
        <v>36573</v>
      </c>
      <c r="C18579" s="16">
        <f>48.66/(1+B2)</f>
        <v>48.66</v>
      </c>
      <c r="D18579" s="17" t="s">
        <v>11</v>
      </c>
      <c r="E18579" s="17"/>
      <c r="F18579" s="18"/>
      <c r="G18579" s="36" t="str">
        <f>IF(ISNUMBER(F18579),C18579*F18579,"")</f>
        <v/>
      </c>
    </row>
    <row r="18580" spans="1:7" ht="12" customHeight="1" outlineLevel="2" x14ac:dyDescent="0.2">
      <c r="A18580" s="14" t="s">
        <v>36574</v>
      </c>
      <c r="B18580" s="15" t="s">
        <v>36575</v>
      </c>
      <c r="C18580" s="16">
        <f>62.43/(1+B2)</f>
        <v>62.43</v>
      </c>
      <c r="D18580" s="17" t="s">
        <v>14</v>
      </c>
      <c r="E18580" s="17"/>
      <c r="F18580" s="18"/>
      <c r="G18580" s="36" t="str">
        <f>IF(ISNUMBER(F18580),C18580*F18580,"")</f>
        <v/>
      </c>
    </row>
    <row r="18581" spans="1:7" ht="12" customHeight="1" outlineLevel="2" x14ac:dyDescent="0.2">
      <c r="A18581" s="14" t="s">
        <v>36576</v>
      </c>
      <c r="B18581" s="15" t="s">
        <v>36577</v>
      </c>
      <c r="C18581" s="16">
        <f>62.43/(1+B2)</f>
        <v>62.43</v>
      </c>
      <c r="D18581" s="17" t="s">
        <v>11</v>
      </c>
      <c r="E18581" s="17"/>
      <c r="F18581" s="18"/>
      <c r="G18581" s="36" t="str">
        <f>IF(ISNUMBER(F18581),C18581*F18581,"")</f>
        <v/>
      </c>
    </row>
    <row r="18582" spans="1:7" ht="12" customHeight="1" outlineLevel="2" x14ac:dyDescent="0.2">
      <c r="A18582" s="14" t="s">
        <v>36578</v>
      </c>
      <c r="B18582" s="15" t="s">
        <v>36579</v>
      </c>
      <c r="C18582" s="16">
        <f>62.43/(1+B2)</f>
        <v>62.43</v>
      </c>
      <c r="D18582" s="17" t="s">
        <v>14</v>
      </c>
      <c r="E18582" s="17"/>
      <c r="F18582" s="18"/>
      <c r="G18582" s="36" t="str">
        <f>IF(ISNUMBER(F18582),C18582*F18582,"")</f>
        <v/>
      </c>
    </row>
    <row r="18583" spans="1:7" ht="12" customHeight="1" outlineLevel="2" x14ac:dyDescent="0.2">
      <c r="A18583" s="14" t="s">
        <v>36580</v>
      </c>
      <c r="B18583" s="15" t="s">
        <v>36581</v>
      </c>
      <c r="C18583" s="16">
        <f>62.43/(1+B2)</f>
        <v>62.43</v>
      </c>
      <c r="D18583" s="17" t="s">
        <v>14</v>
      </c>
      <c r="E18583" s="17"/>
      <c r="F18583" s="18"/>
      <c r="G18583" s="36" t="str">
        <f>IF(ISNUMBER(F18583),C18583*F18583,"")</f>
        <v/>
      </c>
    </row>
    <row r="18584" spans="1:7" ht="12" customHeight="1" outlineLevel="2" x14ac:dyDescent="0.2">
      <c r="A18584" s="14" t="s">
        <v>36582</v>
      </c>
      <c r="B18584" s="15" t="s">
        <v>36583</v>
      </c>
      <c r="C18584" s="16">
        <f>62.43/(1+B2)</f>
        <v>62.43</v>
      </c>
      <c r="D18584" s="17" t="s">
        <v>14</v>
      </c>
      <c r="E18584" s="17"/>
      <c r="F18584" s="18"/>
      <c r="G18584" s="36" t="str">
        <f>IF(ISNUMBER(F18584),C18584*F18584,"")</f>
        <v/>
      </c>
    </row>
    <row r="18585" spans="1:7" ht="12" customHeight="1" outlineLevel="2" x14ac:dyDescent="0.2">
      <c r="A18585" s="14" t="s">
        <v>36584</v>
      </c>
      <c r="B18585" s="15" t="s">
        <v>36585</v>
      </c>
      <c r="C18585" s="16">
        <f>58.62/(1+B2)</f>
        <v>58.62</v>
      </c>
      <c r="D18585" s="17" t="s">
        <v>11</v>
      </c>
      <c r="E18585" s="17" t="s">
        <v>53</v>
      </c>
      <c r="F18585" s="18"/>
      <c r="G18585" s="36" t="str">
        <f>IF(ISNUMBER(F18585),C18585*F18585,"")</f>
        <v/>
      </c>
    </row>
    <row r="18586" spans="1:7" ht="12" customHeight="1" outlineLevel="2" x14ac:dyDescent="0.2">
      <c r="A18586" s="14" t="s">
        <v>36586</v>
      </c>
      <c r="B18586" s="15" t="s">
        <v>36587</v>
      </c>
      <c r="C18586" s="16">
        <f>59.4/(1+B2)</f>
        <v>59.4</v>
      </c>
      <c r="D18586" s="17" t="s">
        <v>14</v>
      </c>
      <c r="E18586" s="17"/>
      <c r="F18586" s="18"/>
      <c r="G18586" s="36" t="str">
        <f>IF(ISNUMBER(F18586),C18586*F18586,"")</f>
        <v/>
      </c>
    </row>
    <row r="18587" spans="1:7" ht="12" customHeight="1" outlineLevel="2" x14ac:dyDescent="0.2">
      <c r="A18587" s="14" t="s">
        <v>36588</v>
      </c>
      <c r="B18587" s="15" t="s">
        <v>36589</v>
      </c>
      <c r="C18587" s="16">
        <f>95.82/(1+B2)</f>
        <v>95.82</v>
      </c>
      <c r="D18587" s="17" t="s">
        <v>14</v>
      </c>
      <c r="E18587" s="17"/>
      <c r="F18587" s="18"/>
      <c r="G18587" s="36" t="str">
        <f>IF(ISNUMBER(F18587),C18587*F18587,"")</f>
        <v/>
      </c>
    </row>
    <row r="18588" spans="1:7" ht="12" customHeight="1" outlineLevel="2" x14ac:dyDescent="0.2">
      <c r="A18588" s="14" t="s">
        <v>36590</v>
      </c>
      <c r="B18588" s="15" t="s">
        <v>36591</v>
      </c>
      <c r="C18588" s="16">
        <f>95.82/(1+B2)</f>
        <v>95.82</v>
      </c>
      <c r="D18588" s="17" t="s">
        <v>11</v>
      </c>
      <c r="E18588" s="17"/>
      <c r="F18588" s="18"/>
      <c r="G18588" s="36" t="str">
        <f>IF(ISNUMBER(F18588),C18588*F18588,"")</f>
        <v/>
      </c>
    </row>
    <row r="18589" spans="1:7" ht="12" customHeight="1" outlineLevel="2" x14ac:dyDescent="0.2">
      <c r="A18589" s="14" t="s">
        <v>36592</v>
      </c>
      <c r="B18589" s="15" t="s">
        <v>36593</v>
      </c>
      <c r="C18589" s="16">
        <f>124.12/(1+B2)</f>
        <v>124.12</v>
      </c>
      <c r="D18589" s="17" t="s">
        <v>14</v>
      </c>
      <c r="E18589" s="17"/>
      <c r="F18589" s="18"/>
      <c r="G18589" s="36" t="str">
        <f>IF(ISNUMBER(F18589),C18589*F18589,"")</f>
        <v/>
      </c>
    </row>
    <row r="18590" spans="1:7" ht="12" customHeight="1" outlineLevel="2" x14ac:dyDescent="0.2">
      <c r="A18590" s="14" t="s">
        <v>36594</v>
      </c>
      <c r="B18590" s="15" t="s">
        <v>36595</v>
      </c>
      <c r="C18590" s="16">
        <f>70.63/(1+B2)</f>
        <v>70.63</v>
      </c>
      <c r="D18590" s="17" t="s">
        <v>11</v>
      </c>
      <c r="E18590" s="17"/>
      <c r="F18590" s="18"/>
      <c r="G18590" s="36" t="str">
        <f>IF(ISNUMBER(F18590),C18590*F18590,"")</f>
        <v/>
      </c>
    </row>
    <row r="18591" spans="1:7" s="1" customFormat="1" ht="15.95" customHeight="1" outlineLevel="1" x14ac:dyDescent="0.25">
      <c r="A18591" s="11"/>
      <c r="B18591" s="12" t="s">
        <v>36596</v>
      </c>
      <c r="C18591" s="13"/>
      <c r="D18591" s="13"/>
      <c r="E18591" s="13"/>
      <c r="F18591" s="13"/>
      <c r="G18591" s="35"/>
    </row>
    <row r="18592" spans="1:7" ht="12" customHeight="1" outlineLevel="2" x14ac:dyDescent="0.2">
      <c r="A18592" s="14" t="s">
        <v>36597</v>
      </c>
      <c r="B18592" s="15" t="s">
        <v>36598</v>
      </c>
      <c r="C18592" s="16">
        <f>179.16/(1+B2)</f>
        <v>179.16</v>
      </c>
      <c r="D18592" s="17" t="s">
        <v>53</v>
      </c>
      <c r="E18592" s="17" t="s">
        <v>14</v>
      </c>
      <c r="F18592" s="18"/>
      <c r="G18592" s="36" t="str">
        <f>IF(ISNUMBER(F18592),C18592*F18592,"")</f>
        <v/>
      </c>
    </row>
    <row r="18593" spans="1:7" ht="12" customHeight="1" outlineLevel="2" x14ac:dyDescent="0.2">
      <c r="A18593" s="14" t="s">
        <v>36599</v>
      </c>
      <c r="B18593" s="15" t="s">
        <v>36600</v>
      </c>
      <c r="C18593" s="16">
        <f>274.86/(1+B2)</f>
        <v>274.86</v>
      </c>
      <c r="D18593" s="17" t="s">
        <v>11</v>
      </c>
      <c r="E18593" s="17" t="s">
        <v>53</v>
      </c>
      <c r="F18593" s="18"/>
      <c r="G18593" s="36" t="str">
        <f>IF(ISNUMBER(F18593),C18593*F18593,"")</f>
        <v/>
      </c>
    </row>
    <row r="18594" spans="1:7" ht="12" customHeight="1" outlineLevel="2" x14ac:dyDescent="0.2">
      <c r="A18594" s="14" t="s">
        <v>36601</v>
      </c>
      <c r="B18594" s="15" t="s">
        <v>36602</v>
      </c>
      <c r="C18594" s="16">
        <f>118.44/(1+B2)</f>
        <v>118.44</v>
      </c>
      <c r="D18594" s="17" t="s">
        <v>14</v>
      </c>
      <c r="E18594" s="17" t="s">
        <v>11</v>
      </c>
      <c r="F18594" s="18"/>
      <c r="G18594" s="36" t="str">
        <f>IF(ISNUMBER(F18594),C18594*F18594,"")</f>
        <v/>
      </c>
    </row>
    <row r="18595" spans="1:7" ht="12" customHeight="1" outlineLevel="2" x14ac:dyDescent="0.2">
      <c r="A18595" s="14" t="s">
        <v>36603</v>
      </c>
      <c r="B18595" s="15" t="s">
        <v>36604</v>
      </c>
      <c r="C18595" s="16">
        <f>227.9/(1+B2)</f>
        <v>227.9</v>
      </c>
      <c r="D18595" s="17" t="s">
        <v>11</v>
      </c>
      <c r="E18595" s="17" t="s">
        <v>11</v>
      </c>
      <c r="F18595" s="18"/>
      <c r="G18595" s="36" t="str">
        <f>IF(ISNUMBER(F18595),C18595*F18595,"")</f>
        <v/>
      </c>
    </row>
    <row r="18596" spans="1:7" ht="12" customHeight="1" outlineLevel="2" x14ac:dyDescent="0.2">
      <c r="A18596" s="14" t="s">
        <v>36605</v>
      </c>
      <c r="B18596" s="15" t="s">
        <v>36606</v>
      </c>
      <c r="C18596" s="16">
        <f>338.77/(1+B2)</f>
        <v>338.77</v>
      </c>
      <c r="D18596" s="17" t="s">
        <v>11</v>
      </c>
      <c r="E18596" s="17" t="s">
        <v>11</v>
      </c>
      <c r="F18596" s="18"/>
      <c r="G18596" s="36" t="str">
        <f>IF(ISNUMBER(F18596),C18596*F18596,"")</f>
        <v/>
      </c>
    </row>
    <row r="18597" spans="1:7" ht="12" customHeight="1" outlineLevel="2" x14ac:dyDescent="0.2">
      <c r="A18597" s="14" t="s">
        <v>36607</v>
      </c>
      <c r="B18597" s="15" t="s">
        <v>36608</v>
      </c>
      <c r="C18597" s="16">
        <f>338.77/(1+B2)</f>
        <v>338.77</v>
      </c>
      <c r="D18597" s="17" t="s">
        <v>14</v>
      </c>
      <c r="E18597" s="17" t="s">
        <v>11</v>
      </c>
      <c r="F18597" s="18"/>
      <c r="G18597" s="36" t="str">
        <f>IF(ISNUMBER(F18597),C18597*F18597,"")</f>
        <v/>
      </c>
    </row>
    <row r="18598" spans="1:7" ht="12" customHeight="1" outlineLevel="2" x14ac:dyDescent="0.2">
      <c r="A18598" s="14" t="s">
        <v>36609</v>
      </c>
      <c r="B18598" s="15" t="s">
        <v>36610</v>
      </c>
      <c r="C18598" s="16">
        <f>330.56/(1+B2)</f>
        <v>330.56</v>
      </c>
      <c r="D18598" s="17" t="s">
        <v>11</v>
      </c>
      <c r="E18598" s="17" t="s">
        <v>11</v>
      </c>
      <c r="F18598" s="18"/>
      <c r="G18598" s="36" t="str">
        <f>IF(ISNUMBER(F18598),C18598*F18598,"")</f>
        <v/>
      </c>
    </row>
    <row r="18599" spans="1:7" ht="12" customHeight="1" outlineLevel="2" x14ac:dyDescent="0.2">
      <c r="A18599" s="14" t="s">
        <v>36611</v>
      </c>
      <c r="B18599" s="15" t="s">
        <v>36612</v>
      </c>
      <c r="C18599" s="16">
        <f>867.86/(1+B2)</f>
        <v>867.86</v>
      </c>
      <c r="D18599" s="17" t="s">
        <v>11</v>
      </c>
      <c r="E18599" s="17" t="s">
        <v>11</v>
      </c>
      <c r="F18599" s="18"/>
      <c r="G18599" s="36" t="str">
        <f>IF(ISNUMBER(F18599),C18599*F18599,"")</f>
        <v/>
      </c>
    </row>
    <row r="18600" spans="1:7" ht="12" customHeight="1" outlineLevel="2" x14ac:dyDescent="0.2">
      <c r="A18600" s="14" t="s">
        <v>36613</v>
      </c>
      <c r="B18600" s="15" t="s">
        <v>36614</v>
      </c>
      <c r="C18600" s="16">
        <f>171/(1+B2)</f>
        <v>171</v>
      </c>
      <c r="D18600" s="17" t="s">
        <v>14</v>
      </c>
      <c r="E18600" s="17" t="s">
        <v>11</v>
      </c>
      <c r="F18600" s="18"/>
      <c r="G18600" s="36" t="str">
        <f>IF(ISNUMBER(F18600),C18600*F18600,"")</f>
        <v/>
      </c>
    </row>
    <row r="18601" spans="1:7" s="1" customFormat="1" ht="15.95" customHeight="1" outlineLevel="1" x14ac:dyDescent="0.25">
      <c r="A18601" s="11"/>
      <c r="B18601" s="12" t="s">
        <v>36615</v>
      </c>
      <c r="C18601" s="13"/>
      <c r="D18601" s="13"/>
      <c r="E18601" s="13"/>
      <c r="F18601" s="13"/>
      <c r="G18601" s="35"/>
    </row>
    <row r="18602" spans="1:7" ht="12" customHeight="1" outlineLevel="2" x14ac:dyDescent="0.2">
      <c r="A18602" s="14" t="s">
        <v>36616</v>
      </c>
      <c r="B18602" s="15" t="s">
        <v>36617</v>
      </c>
      <c r="C18602" s="16">
        <f>95.22/(1+B2)</f>
        <v>95.22</v>
      </c>
      <c r="D18602" s="17" t="s">
        <v>11</v>
      </c>
      <c r="E18602" s="17"/>
      <c r="F18602" s="18"/>
      <c r="G18602" s="36" t="str">
        <f>IF(ISNUMBER(F18602),C18602*F18602,"")</f>
        <v/>
      </c>
    </row>
    <row r="18603" spans="1:7" ht="12" customHeight="1" outlineLevel="2" x14ac:dyDescent="0.2">
      <c r="A18603" s="14" t="s">
        <v>36618</v>
      </c>
      <c r="B18603" s="15" t="s">
        <v>36619</v>
      </c>
      <c r="C18603" s="16">
        <f>95.22/(1+B2)</f>
        <v>95.22</v>
      </c>
      <c r="D18603" s="17" t="s">
        <v>11</v>
      </c>
      <c r="E18603" s="17"/>
      <c r="F18603" s="18"/>
      <c r="G18603" s="36" t="str">
        <f>IF(ISNUMBER(F18603),C18603*F18603,"")</f>
        <v/>
      </c>
    </row>
    <row r="18604" spans="1:7" ht="12" customHeight="1" outlineLevel="2" x14ac:dyDescent="0.2">
      <c r="A18604" s="14" t="s">
        <v>36620</v>
      </c>
      <c r="B18604" s="15" t="s">
        <v>36621</v>
      </c>
      <c r="C18604" s="16">
        <f>94.07/(1+B2)</f>
        <v>94.07</v>
      </c>
      <c r="D18604" s="17" t="s">
        <v>14</v>
      </c>
      <c r="E18604" s="17" t="s">
        <v>14</v>
      </c>
      <c r="F18604" s="18"/>
      <c r="G18604" s="36" t="str">
        <f>IF(ISNUMBER(F18604),C18604*F18604,"")</f>
        <v/>
      </c>
    </row>
    <row r="18605" spans="1:7" ht="12" customHeight="1" outlineLevel="2" x14ac:dyDescent="0.2">
      <c r="A18605" s="14" t="s">
        <v>36622</v>
      </c>
      <c r="B18605" s="15" t="s">
        <v>36623</v>
      </c>
      <c r="C18605" s="16">
        <f>130.85/(1+B2)</f>
        <v>130.85</v>
      </c>
      <c r="D18605" s="17" t="s">
        <v>11</v>
      </c>
      <c r="E18605" s="17"/>
      <c r="F18605" s="18"/>
      <c r="G18605" s="36" t="str">
        <f>IF(ISNUMBER(F18605),C18605*F18605,"")</f>
        <v/>
      </c>
    </row>
    <row r="18606" spans="1:7" ht="12" customHeight="1" outlineLevel="2" x14ac:dyDescent="0.2">
      <c r="A18606" s="14" t="s">
        <v>36624</v>
      </c>
      <c r="B18606" s="15" t="s">
        <v>36625</v>
      </c>
      <c r="C18606" s="16">
        <f>71.94/(1+B2)</f>
        <v>71.94</v>
      </c>
      <c r="D18606" s="17" t="s">
        <v>11</v>
      </c>
      <c r="E18606" s="17" t="s">
        <v>11</v>
      </c>
      <c r="F18606" s="18"/>
      <c r="G18606" s="36" t="str">
        <f>IF(ISNUMBER(F18606),C18606*F18606,"")</f>
        <v/>
      </c>
    </row>
    <row r="18607" spans="1:7" ht="12" customHeight="1" outlineLevel="2" x14ac:dyDescent="0.2">
      <c r="A18607" s="14" t="s">
        <v>36626</v>
      </c>
      <c r="B18607" s="15" t="s">
        <v>36627</v>
      </c>
      <c r="C18607" s="16">
        <f>156.66/(1+B2)</f>
        <v>156.66</v>
      </c>
      <c r="D18607" s="17" t="s">
        <v>11</v>
      </c>
      <c r="E18607" s="17"/>
      <c r="F18607" s="18"/>
      <c r="G18607" s="36" t="str">
        <f>IF(ISNUMBER(F18607),C18607*F18607,"")</f>
        <v/>
      </c>
    </row>
    <row r="18608" spans="1:7" ht="12" customHeight="1" outlineLevel="2" x14ac:dyDescent="0.2">
      <c r="A18608" s="14" t="s">
        <v>36628</v>
      </c>
      <c r="B18608" s="15" t="s">
        <v>36629</v>
      </c>
      <c r="C18608" s="16">
        <f>105.31/(1+B2)</f>
        <v>105.31</v>
      </c>
      <c r="D18608" s="17" t="s">
        <v>11</v>
      </c>
      <c r="E18608" s="17" t="s">
        <v>11</v>
      </c>
      <c r="F18608" s="18"/>
      <c r="G18608" s="36" t="str">
        <f>IF(ISNUMBER(F18608),C18608*F18608,"")</f>
        <v/>
      </c>
    </row>
    <row r="18609" spans="1:7" ht="12" customHeight="1" outlineLevel="2" x14ac:dyDescent="0.2">
      <c r="A18609" s="14" t="s">
        <v>36630</v>
      </c>
      <c r="B18609" s="15" t="s">
        <v>36631</v>
      </c>
      <c r="C18609" s="16">
        <f>149.78/(1+B2)</f>
        <v>149.78</v>
      </c>
      <c r="D18609" s="17" t="s">
        <v>11</v>
      </c>
      <c r="E18609" s="17"/>
      <c r="F18609" s="18"/>
      <c r="G18609" s="36" t="str">
        <f>IF(ISNUMBER(F18609),C18609*F18609,"")</f>
        <v/>
      </c>
    </row>
    <row r="18610" spans="1:7" ht="12" customHeight="1" outlineLevel="2" x14ac:dyDescent="0.2">
      <c r="A18610" s="14" t="s">
        <v>36632</v>
      </c>
      <c r="B18610" s="15" t="s">
        <v>36633</v>
      </c>
      <c r="C18610" s="16">
        <f>123.3/(1+B2)</f>
        <v>123.3</v>
      </c>
      <c r="D18610" s="17" t="s">
        <v>14</v>
      </c>
      <c r="E18610" s="17"/>
      <c r="F18610" s="18"/>
      <c r="G18610" s="36" t="str">
        <f>IF(ISNUMBER(F18610),C18610*F18610,"")</f>
        <v/>
      </c>
    </row>
    <row r="18611" spans="1:7" ht="24" customHeight="1" outlineLevel="2" x14ac:dyDescent="0.2">
      <c r="A18611" s="14" t="s">
        <v>36634</v>
      </c>
      <c r="B18611" s="15" t="s">
        <v>36635</v>
      </c>
      <c r="C18611" s="16">
        <f>107.04/(1+B2)</f>
        <v>107.04</v>
      </c>
      <c r="D18611" s="17" t="s">
        <v>11</v>
      </c>
      <c r="E18611" s="17"/>
      <c r="F18611" s="18"/>
      <c r="G18611" s="36" t="str">
        <f>IF(ISNUMBER(F18611),C18611*F18611,"")</f>
        <v/>
      </c>
    </row>
    <row r="18612" spans="1:7" ht="12" customHeight="1" outlineLevel="2" x14ac:dyDescent="0.2">
      <c r="A18612" s="14" t="s">
        <v>36636</v>
      </c>
      <c r="B18612" s="15" t="s">
        <v>36637</v>
      </c>
      <c r="C18612" s="16">
        <f>79.93/(1+B2)</f>
        <v>79.930000000000007</v>
      </c>
      <c r="D18612" s="17" t="s">
        <v>11</v>
      </c>
      <c r="E18612" s="17" t="s">
        <v>14</v>
      </c>
      <c r="F18612" s="18"/>
      <c r="G18612" s="36" t="str">
        <f>IF(ISNUMBER(F18612),C18612*F18612,"")</f>
        <v/>
      </c>
    </row>
    <row r="18613" spans="1:7" ht="12" customHeight="1" outlineLevel="2" x14ac:dyDescent="0.2">
      <c r="A18613" s="14" t="s">
        <v>36638</v>
      </c>
      <c r="B18613" s="15" t="s">
        <v>36639</v>
      </c>
      <c r="C18613" s="16">
        <f>93.06/(1+B2)</f>
        <v>93.06</v>
      </c>
      <c r="D18613" s="17" t="s">
        <v>11</v>
      </c>
      <c r="E18613" s="17"/>
      <c r="F18613" s="18"/>
      <c r="G18613" s="36" t="str">
        <f>IF(ISNUMBER(F18613),C18613*F18613,"")</f>
        <v/>
      </c>
    </row>
    <row r="18614" spans="1:7" ht="12" customHeight="1" outlineLevel="2" x14ac:dyDescent="0.2">
      <c r="A18614" s="14" t="s">
        <v>36640</v>
      </c>
      <c r="B18614" s="15" t="s">
        <v>36641</v>
      </c>
      <c r="C18614" s="16">
        <f>139.78/(1+B2)</f>
        <v>139.78</v>
      </c>
      <c r="D18614" s="17" t="s">
        <v>53</v>
      </c>
      <c r="E18614" s="17"/>
      <c r="F18614" s="18"/>
      <c r="G18614" s="36" t="str">
        <f>IF(ISNUMBER(F18614),C18614*F18614,"")</f>
        <v/>
      </c>
    </row>
    <row r="18615" spans="1:7" ht="12" customHeight="1" outlineLevel="2" x14ac:dyDescent="0.2">
      <c r="A18615" s="14" t="s">
        <v>36642</v>
      </c>
      <c r="B18615" s="15" t="s">
        <v>36643</v>
      </c>
      <c r="C18615" s="16">
        <f>58.94/(1+B2)</f>
        <v>58.94</v>
      </c>
      <c r="D18615" s="17" t="s">
        <v>14</v>
      </c>
      <c r="E18615" s="17" t="s">
        <v>53</v>
      </c>
      <c r="F18615" s="18"/>
      <c r="G18615" s="36" t="str">
        <f>IF(ISNUMBER(F18615),C18615*F18615,"")</f>
        <v/>
      </c>
    </row>
    <row r="18616" spans="1:7" ht="12" customHeight="1" outlineLevel="2" x14ac:dyDescent="0.2">
      <c r="A18616" s="14" t="s">
        <v>36644</v>
      </c>
      <c r="B18616" s="15" t="s">
        <v>36645</v>
      </c>
      <c r="C18616" s="16">
        <f>37.05/(1+B2)</f>
        <v>37.049999999999997</v>
      </c>
      <c r="D18616" s="17" t="s">
        <v>14</v>
      </c>
      <c r="E18616" s="17" t="s">
        <v>14</v>
      </c>
      <c r="F18616" s="18"/>
      <c r="G18616" s="36" t="str">
        <f>IF(ISNUMBER(F18616),C18616*F18616,"")</f>
        <v/>
      </c>
    </row>
    <row r="18617" spans="1:7" ht="12" customHeight="1" outlineLevel="2" x14ac:dyDescent="0.2">
      <c r="A18617" s="14" t="s">
        <v>36646</v>
      </c>
      <c r="B18617" s="15" t="s">
        <v>36647</v>
      </c>
      <c r="C18617" s="16">
        <f>103.44/(1+B2)</f>
        <v>103.44</v>
      </c>
      <c r="D18617" s="17" t="s">
        <v>11</v>
      </c>
      <c r="E18617" s="17" t="s">
        <v>14</v>
      </c>
      <c r="F18617" s="18"/>
      <c r="G18617" s="36" t="str">
        <f>IF(ISNUMBER(F18617),C18617*F18617,"")</f>
        <v/>
      </c>
    </row>
    <row r="18618" spans="1:7" ht="12" customHeight="1" outlineLevel="2" x14ac:dyDescent="0.2">
      <c r="A18618" s="14" t="s">
        <v>36648</v>
      </c>
      <c r="B18618" s="15" t="s">
        <v>36649</v>
      </c>
      <c r="C18618" s="16">
        <f>73.2/(1+B2)</f>
        <v>73.2</v>
      </c>
      <c r="D18618" s="17" t="s">
        <v>11</v>
      </c>
      <c r="E18618" s="17"/>
      <c r="F18618" s="18"/>
      <c r="G18618" s="36" t="str">
        <f>IF(ISNUMBER(F18618),C18618*F18618,"")</f>
        <v/>
      </c>
    </row>
    <row r="18619" spans="1:7" ht="12" customHeight="1" outlineLevel="2" x14ac:dyDescent="0.2">
      <c r="A18619" s="14" t="s">
        <v>36650</v>
      </c>
      <c r="B18619" s="15" t="s">
        <v>36651</v>
      </c>
      <c r="C18619" s="16">
        <f>64.81/(1+B2)</f>
        <v>64.81</v>
      </c>
      <c r="D18619" s="17" t="s">
        <v>14</v>
      </c>
      <c r="E18619" s="17" t="s">
        <v>53</v>
      </c>
      <c r="F18619" s="18"/>
      <c r="G18619" s="36" t="str">
        <f>IF(ISNUMBER(F18619),C18619*F18619,"")</f>
        <v/>
      </c>
    </row>
    <row r="18620" spans="1:7" ht="12" customHeight="1" outlineLevel="2" x14ac:dyDescent="0.2">
      <c r="A18620" s="14" t="s">
        <v>36652</v>
      </c>
      <c r="B18620" s="15" t="s">
        <v>36653</v>
      </c>
      <c r="C18620" s="16">
        <f>112.96/(1+B2)</f>
        <v>112.96</v>
      </c>
      <c r="D18620" s="17" t="s">
        <v>14</v>
      </c>
      <c r="E18620" s="17"/>
      <c r="F18620" s="18"/>
      <c r="G18620" s="36" t="str">
        <f>IF(ISNUMBER(F18620),C18620*F18620,"")</f>
        <v/>
      </c>
    </row>
    <row r="18621" spans="1:7" ht="12" customHeight="1" outlineLevel="2" x14ac:dyDescent="0.2">
      <c r="A18621" s="14" t="s">
        <v>36654</v>
      </c>
      <c r="B18621" s="15" t="s">
        <v>36655</v>
      </c>
      <c r="C18621" s="16">
        <f>177.65/(1+B2)</f>
        <v>177.65</v>
      </c>
      <c r="D18621" s="17" t="s">
        <v>11</v>
      </c>
      <c r="E18621" s="17"/>
      <c r="F18621" s="18"/>
      <c r="G18621" s="36" t="str">
        <f>IF(ISNUMBER(F18621),C18621*F18621,"")</f>
        <v/>
      </c>
    </row>
    <row r="18622" spans="1:7" ht="12" customHeight="1" outlineLevel="2" x14ac:dyDescent="0.2">
      <c r="A18622" s="14" t="s">
        <v>36656</v>
      </c>
      <c r="B18622" s="15" t="s">
        <v>36657</v>
      </c>
      <c r="C18622" s="16">
        <f>113.1/(1+B2)</f>
        <v>113.1</v>
      </c>
      <c r="D18622" s="17" t="s">
        <v>11</v>
      </c>
      <c r="E18622" s="17"/>
      <c r="F18622" s="18"/>
      <c r="G18622" s="36" t="str">
        <f>IF(ISNUMBER(F18622),C18622*F18622,"")</f>
        <v/>
      </c>
    </row>
    <row r="18623" spans="1:7" ht="12" customHeight="1" outlineLevel="2" x14ac:dyDescent="0.2">
      <c r="A18623" s="14" t="s">
        <v>36658</v>
      </c>
      <c r="B18623" s="15" t="s">
        <v>36659</v>
      </c>
      <c r="C18623" s="16">
        <f>123.74/(1+B2)</f>
        <v>123.74</v>
      </c>
      <c r="D18623" s="17" t="s">
        <v>11</v>
      </c>
      <c r="E18623" s="17"/>
      <c r="F18623" s="18"/>
      <c r="G18623" s="36" t="str">
        <f>IF(ISNUMBER(F18623),C18623*F18623,"")</f>
        <v/>
      </c>
    </row>
    <row r="18624" spans="1:7" s="1" customFormat="1" ht="15.95" customHeight="1" x14ac:dyDescent="0.25">
      <c r="A18624" s="8"/>
      <c r="B18624" s="9" t="s">
        <v>36660</v>
      </c>
      <c r="C18624" s="10"/>
      <c r="D18624" s="10"/>
      <c r="E18624" s="10"/>
      <c r="F18624" s="10"/>
      <c r="G18624" s="34"/>
    </row>
    <row r="18625" spans="1:7" s="1" customFormat="1" ht="15.95" customHeight="1" outlineLevel="1" x14ac:dyDescent="0.25">
      <c r="A18625" s="11"/>
      <c r="B18625" s="12" t="s">
        <v>36661</v>
      </c>
      <c r="C18625" s="13"/>
      <c r="D18625" s="13"/>
      <c r="E18625" s="13"/>
      <c r="F18625" s="13"/>
      <c r="G18625" s="35"/>
    </row>
    <row r="18626" spans="1:7" ht="24" customHeight="1" outlineLevel="2" x14ac:dyDescent="0.2">
      <c r="A18626" s="14" t="s">
        <v>36662</v>
      </c>
      <c r="B18626" s="15" t="s">
        <v>36663</v>
      </c>
      <c r="C18626" s="16">
        <f>289.45/(1+B2)</f>
        <v>289.45</v>
      </c>
      <c r="D18626" s="17" t="s">
        <v>14</v>
      </c>
      <c r="E18626" s="17" t="s">
        <v>14</v>
      </c>
      <c r="F18626" s="18"/>
      <c r="G18626" s="36" t="str">
        <f>IF(ISNUMBER(F18626),C18626*F18626,"")</f>
        <v/>
      </c>
    </row>
    <row r="18627" spans="1:7" ht="12" customHeight="1" outlineLevel="2" x14ac:dyDescent="0.2">
      <c r="A18627" s="14" t="s">
        <v>36664</v>
      </c>
      <c r="B18627" s="15" t="s">
        <v>36665</v>
      </c>
      <c r="C18627" s="16">
        <f>171/(1+B2)</f>
        <v>171</v>
      </c>
      <c r="D18627" s="17" t="s">
        <v>11</v>
      </c>
      <c r="E18627" s="17" t="s">
        <v>11</v>
      </c>
      <c r="F18627" s="18"/>
      <c r="G18627" s="36" t="str">
        <f>IF(ISNUMBER(F18627),C18627*F18627,"")</f>
        <v/>
      </c>
    </row>
    <row r="18628" spans="1:7" ht="12" customHeight="1" outlineLevel="2" x14ac:dyDescent="0.2">
      <c r="A18628" s="14" t="s">
        <v>36666</v>
      </c>
      <c r="B18628" s="15" t="s">
        <v>36667</v>
      </c>
      <c r="C18628" s="16">
        <f>238.26/(1+B2)</f>
        <v>238.26</v>
      </c>
      <c r="D18628" s="17" t="s">
        <v>14</v>
      </c>
      <c r="E18628" s="17" t="s">
        <v>106</v>
      </c>
      <c r="F18628" s="18"/>
      <c r="G18628" s="36" t="str">
        <f>IF(ISNUMBER(F18628),C18628*F18628,"")</f>
        <v/>
      </c>
    </row>
    <row r="18629" spans="1:7" ht="12" customHeight="1" outlineLevel="2" x14ac:dyDescent="0.2">
      <c r="A18629" s="14" t="s">
        <v>36668</v>
      </c>
      <c r="B18629" s="15" t="s">
        <v>36669</v>
      </c>
      <c r="C18629" s="16">
        <f>195.94/(1+B2)</f>
        <v>195.94</v>
      </c>
      <c r="D18629" s="17" t="s">
        <v>14</v>
      </c>
      <c r="E18629" s="17" t="s">
        <v>14</v>
      </c>
      <c r="F18629" s="18"/>
      <c r="G18629" s="36" t="str">
        <f>IF(ISNUMBER(F18629),C18629*F18629,"")</f>
        <v/>
      </c>
    </row>
    <row r="18630" spans="1:7" ht="12" customHeight="1" outlineLevel="2" x14ac:dyDescent="0.2">
      <c r="A18630" s="14" t="s">
        <v>36670</v>
      </c>
      <c r="B18630" s="15" t="s">
        <v>36671</v>
      </c>
      <c r="C18630" s="16">
        <f>250.9/(1+B2)</f>
        <v>250.9</v>
      </c>
      <c r="D18630" s="17" t="s">
        <v>53</v>
      </c>
      <c r="E18630" s="17" t="s">
        <v>106</v>
      </c>
      <c r="F18630" s="18"/>
      <c r="G18630" s="36" t="str">
        <f>IF(ISNUMBER(F18630),C18630*F18630,"")</f>
        <v/>
      </c>
    </row>
    <row r="18631" spans="1:7" ht="24" customHeight="1" outlineLevel="2" x14ac:dyDescent="0.2">
      <c r="A18631" s="14" t="s">
        <v>36672</v>
      </c>
      <c r="B18631" s="15" t="s">
        <v>36673</v>
      </c>
      <c r="C18631" s="16">
        <f>209.06/(1+B2)</f>
        <v>209.06</v>
      </c>
      <c r="D18631" s="17" t="s">
        <v>11</v>
      </c>
      <c r="E18631" s="17" t="s">
        <v>106</v>
      </c>
      <c r="F18631" s="18"/>
      <c r="G18631" s="36" t="str">
        <f>IF(ISNUMBER(F18631),C18631*F18631,"")</f>
        <v/>
      </c>
    </row>
    <row r="18632" spans="1:7" ht="12" customHeight="1" outlineLevel="2" x14ac:dyDescent="0.2">
      <c r="A18632" s="14" t="s">
        <v>36674</v>
      </c>
      <c r="B18632" s="15" t="s">
        <v>36675</v>
      </c>
      <c r="C18632" s="16">
        <f>97.08/(1+B2)</f>
        <v>97.08</v>
      </c>
      <c r="D18632" s="17" t="s">
        <v>14</v>
      </c>
      <c r="E18632" s="17" t="s">
        <v>14</v>
      </c>
      <c r="F18632" s="18"/>
      <c r="G18632" s="36" t="str">
        <f>IF(ISNUMBER(F18632),C18632*F18632,"")</f>
        <v/>
      </c>
    </row>
    <row r="18633" spans="1:7" ht="24" customHeight="1" outlineLevel="2" x14ac:dyDescent="0.2">
      <c r="A18633" s="14" t="s">
        <v>36676</v>
      </c>
      <c r="B18633" s="15" t="s">
        <v>36677</v>
      </c>
      <c r="C18633" s="16">
        <f>137.15/(1+B2)</f>
        <v>137.15</v>
      </c>
      <c r="D18633" s="17" t="s">
        <v>14</v>
      </c>
      <c r="E18633" s="17" t="s">
        <v>14</v>
      </c>
      <c r="F18633" s="18"/>
      <c r="G18633" s="36" t="str">
        <f>IF(ISNUMBER(F18633),C18633*F18633,"")</f>
        <v/>
      </c>
    </row>
    <row r="18634" spans="1:7" ht="24" customHeight="1" outlineLevel="2" x14ac:dyDescent="0.2">
      <c r="A18634" s="14" t="s">
        <v>36678</v>
      </c>
      <c r="B18634" s="15" t="s">
        <v>36679</v>
      </c>
      <c r="C18634" s="16">
        <f>262.73/(1+B2)</f>
        <v>262.73</v>
      </c>
      <c r="D18634" s="17" t="s">
        <v>11</v>
      </c>
      <c r="E18634" s="17" t="s">
        <v>14</v>
      </c>
      <c r="F18634" s="18"/>
      <c r="G18634" s="36" t="str">
        <f>IF(ISNUMBER(F18634),C18634*F18634,"")</f>
        <v/>
      </c>
    </row>
    <row r="18635" spans="1:7" ht="12" customHeight="1" outlineLevel="2" x14ac:dyDescent="0.2">
      <c r="A18635" s="14" t="s">
        <v>36680</v>
      </c>
      <c r="B18635" s="15" t="s">
        <v>36681</v>
      </c>
      <c r="C18635" s="16">
        <f>517.46/(1+B2)</f>
        <v>517.46</v>
      </c>
      <c r="D18635" s="17" t="s">
        <v>14</v>
      </c>
      <c r="E18635" s="17" t="s">
        <v>53</v>
      </c>
      <c r="F18635" s="18"/>
      <c r="G18635" s="36" t="str">
        <f>IF(ISNUMBER(F18635),C18635*F18635,"")</f>
        <v/>
      </c>
    </row>
    <row r="18636" spans="1:7" ht="12" customHeight="1" outlineLevel="2" x14ac:dyDescent="0.2">
      <c r="A18636" s="14" t="s">
        <v>36682</v>
      </c>
      <c r="B18636" s="15" t="s">
        <v>36683</v>
      </c>
      <c r="C18636" s="16">
        <f>462.24/(1+B2)</f>
        <v>462.24</v>
      </c>
      <c r="D18636" s="17" t="s">
        <v>11</v>
      </c>
      <c r="E18636" s="17" t="s">
        <v>106</v>
      </c>
      <c r="F18636" s="18"/>
      <c r="G18636" s="36" t="str">
        <f>IF(ISNUMBER(F18636),C18636*F18636,"")</f>
        <v/>
      </c>
    </row>
    <row r="18637" spans="1:7" ht="12" customHeight="1" outlineLevel="2" x14ac:dyDescent="0.2">
      <c r="A18637" s="14" t="s">
        <v>36684</v>
      </c>
      <c r="B18637" s="15" t="s">
        <v>36685</v>
      </c>
      <c r="C18637" s="16">
        <f>249.38/(1+B2)</f>
        <v>249.38</v>
      </c>
      <c r="D18637" s="17" t="s">
        <v>11</v>
      </c>
      <c r="E18637" s="17"/>
      <c r="F18637" s="18"/>
      <c r="G18637" s="36" t="str">
        <f>IF(ISNUMBER(F18637),C18637*F18637,"")</f>
        <v/>
      </c>
    </row>
    <row r="18638" spans="1:7" ht="24" customHeight="1" outlineLevel="2" x14ac:dyDescent="0.2">
      <c r="A18638" s="14" t="s">
        <v>36686</v>
      </c>
      <c r="B18638" s="15" t="s">
        <v>36687</v>
      </c>
      <c r="C18638" s="16">
        <f>427.5/(1+B2)</f>
        <v>427.5</v>
      </c>
      <c r="D18638" s="17" t="s">
        <v>14</v>
      </c>
      <c r="E18638" s="17" t="s">
        <v>14</v>
      </c>
      <c r="F18638" s="18"/>
      <c r="G18638" s="36" t="str">
        <f>IF(ISNUMBER(F18638),C18638*F18638,"")</f>
        <v/>
      </c>
    </row>
    <row r="18639" spans="1:7" ht="24" customHeight="1" outlineLevel="2" x14ac:dyDescent="0.2">
      <c r="A18639" s="14" t="s">
        <v>36688</v>
      </c>
      <c r="B18639" s="15" t="s">
        <v>36689</v>
      </c>
      <c r="C18639" s="16">
        <f>221.77/(1+B2)</f>
        <v>221.77</v>
      </c>
      <c r="D18639" s="17" t="s">
        <v>14</v>
      </c>
      <c r="E18639" s="17" t="s">
        <v>11</v>
      </c>
      <c r="F18639" s="18"/>
      <c r="G18639" s="36" t="str">
        <f>IF(ISNUMBER(F18639),C18639*F18639,"")</f>
        <v/>
      </c>
    </row>
    <row r="18640" spans="1:7" ht="24" customHeight="1" outlineLevel="2" x14ac:dyDescent="0.2">
      <c r="A18640" s="14" t="s">
        <v>36690</v>
      </c>
      <c r="B18640" s="15" t="s">
        <v>36691</v>
      </c>
      <c r="C18640" s="16">
        <f>249.08/(1+B2)</f>
        <v>249.08</v>
      </c>
      <c r="D18640" s="17" t="s">
        <v>11</v>
      </c>
      <c r="E18640" s="17" t="s">
        <v>106</v>
      </c>
      <c r="F18640" s="18"/>
      <c r="G18640" s="36" t="str">
        <f>IF(ISNUMBER(F18640),C18640*F18640,"")</f>
        <v/>
      </c>
    </row>
    <row r="18641" spans="1:7" ht="24" customHeight="1" outlineLevel="2" x14ac:dyDescent="0.2">
      <c r="A18641" s="14" t="s">
        <v>36692</v>
      </c>
      <c r="B18641" s="15" t="s">
        <v>36693</v>
      </c>
      <c r="C18641" s="16">
        <f>221.76/(1+B2)</f>
        <v>221.76</v>
      </c>
      <c r="D18641" s="17" t="s">
        <v>11</v>
      </c>
      <c r="E18641" s="17"/>
      <c r="F18641" s="18"/>
      <c r="G18641" s="36" t="str">
        <f>IF(ISNUMBER(F18641),C18641*F18641,"")</f>
        <v/>
      </c>
    </row>
    <row r="18642" spans="1:7" ht="12" customHeight="1" outlineLevel="2" x14ac:dyDescent="0.2">
      <c r="A18642" s="14" t="s">
        <v>36694</v>
      </c>
      <c r="B18642" s="15" t="s">
        <v>36695</v>
      </c>
      <c r="C18642" s="16">
        <f>447.09/(1+B2)</f>
        <v>447.09</v>
      </c>
      <c r="D18642" s="17" t="s">
        <v>11</v>
      </c>
      <c r="E18642" s="17" t="s">
        <v>11</v>
      </c>
      <c r="F18642" s="18"/>
      <c r="G18642" s="36" t="str">
        <f>IF(ISNUMBER(F18642),C18642*F18642,"")</f>
        <v/>
      </c>
    </row>
    <row r="18643" spans="1:7" ht="12" customHeight="1" outlineLevel="2" x14ac:dyDescent="0.2">
      <c r="A18643" s="14" t="s">
        <v>36696</v>
      </c>
      <c r="B18643" s="15" t="s">
        <v>36697</v>
      </c>
      <c r="C18643" s="16">
        <f>323.3/(1+B2)</f>
        <v>323.3</v>
      </c>
      <c r="D18643" s="17" t="s">
        <v>11</v>
      </c>
      <c r="E18643" s="17"/>
      <c r="F18643" s="18"/>
      <c r="G18643" s="36" t="str">
        <f>IF(ISNUMBER(F18643),C18643*F18643,"")</f>
        <v/>
      </c>
    </row>
    <row r="18644" spans="1:7" ht="24" customHeight="1" outlineLevel="2" x14ac:dyDescent="0.2">
      <c r="A18644" s="14" t="s">
        <v>36698</v>
      </c>
      <c r="B18644" s="15" t="s">
        <v>36699</v>
      </c>
      <c r="C18644" s="16">
        <f>254.45/(1+B2)</f>
        <v>254.45</v>
      </c>
      <c r="D18644" s="17" t="s">
        <v>11</v>
      </c>
      <c r="E18644" s="17" t="s">
        <v>106</v>
      </c>
      <c r="F18644" s="18"/>
      <c r="G18644" s="36" t="str">
        <f>IF(ISNUMBER(F18644),C18644*F18644,"")</f>
        <v/>
      </c>
    </row>
    <row r="18645" spans="1:7" ht="12" customHeight="1" outlineLevel="2" x14ac:dyDescent="0.2">
      <c r="A18645" s="14" t="s">
        <v>36700</v>
      </c>
      <c r="B18645" s="15" t="s">
        <v>36701</v>
      </c>
      <c r="C18645" s="16">
        <f>409.69/(1+B2)</f>
        <v>409.69</v>
      </c>
      <c r="D18645" s="17" t="s">
        <v>11</v>
      </c>
      <c r="E18645" s="17" t="s">
        <v>14</v>
      </c>
      <c r="F18645" s="18"/>
      <c r="G18645" s="36" t="str">
        <f>IF(ISNUMBER(F18645),C18645*F18645,"")</f>
        <v/>
      </c>
    </row>
    <row r="18646" spans="1:7" ht="24" customHeight="1" outlineLevel="2" x14ac:dyDescent="0.2">
      <c r="A18646" s="14" t="s">
        <v>36702</v>
      </c>
      <c r="B18646" s="15" t="s">
        <v>36703</v>
      </c>
      <c r="C18646" s="16">
        <f>333.1/(1+B2)</f>
        <v>333.1</v>
      </c>
      <c r="D18646" s="17" t="s">
        <v>11</v>
      </c>
      <c r="E18646" s="17" t="s">
        <v>106</v>
      </c>
      <c r="F18646" s="18"/>
      <c r="G18646" s="36" t="str">
        <f>IF(ISNUMBER(F18646),C18646*F18646,"")</f>
        <v/>
      </c>
    </row>
    <row r="18647" spans="1:7" ht="24" customHeight="1" outlineLevel="2" x14ac:dyDescent="0.2">
      <c r="A18647" s="14" t="s">
        <v>36704</v>
      </c>
      <c r="B18647" s="15" t="s">
        <v>36705</v>
      </c>
      <c r="C18647" s="16">
        <f>210.19/(1+B2)</f>
        <v>210.19</v>
      </c>
      <c r="D18647" s="17" t="s">
        <v>14</v>
      </c>
      <c r="E18647" s="17"/>
      <c r="F18647" s="18"/>
      <c r="G18647" s="36" t="str">
        <f>IF(ISNUMBER(F18647),C18647*F18647,"")</f>
        <v/>
      </c>
    </row>
    <row r="18648" spans="1:7" ht="24" customHeight="1" outlineLevel="2" x14ac:dyDescent="0.2">
      <c r="A18648" s="14" t="s">
        <v>36706</v>
      </c>
      <c r="B18648" s="15" t="s">
        <v>36707</v>
      </c>
      <c r="C18648" s="16">
        <f>323.3/(1+B2)</f>
        <v>323.3</v>
      </c>
      <c r="D18648" s="17" t="s">
        <v>14</v>
      </c>
      <c r="E18648" s="17" t="s">
        <v>53</v>
      </c>
      <c r="F18648" s="18"/>
      <c r="G18648" s="36" t="str">
        <f>IF(ISNUMBER(F18648),C18648*F18648,"")</f>
        <v/>
      </c>
    </row>
    <row r="18649" spans="1:7" ht="24" customHeight="1" outlineLevel="2" x14ac:dyDescent="0.2">
      <c r="A18649" s="14" t="s">
        <v>36708</v>
      </c>
      <c r="B18649" s="15" t="s">
        <v>36709</v>
      </c>
      <c r="C18649" s="16">
        <f>210.68/(1+B2)</f>
        <v>210.68</v>
      </c>
      <c r="D18649" s="17" t="s">
        <v>11</v>
      </c>
      <c r="E18649" s="17" t="s">
        <v>106</v>
      </c>
      <c r="F18649" s="18"/>
      <c r="G18649" s="36" t="str">
        <f>IF(ISNUMBER(F18649),C18649*F18649,"")</f>
        <v/>
      </c>
    </row>
    <row r="18650" spans="1:7" ht="12" customHeight="1" outlineLevel="2" x14ac:dyDescent="0.2">
      <c r="A18650" s="14" t="s">
        <v>36710</v>
      </c>
      <c r="B18650" s="15" t="s">
        <v>36711</v>
      </c>
      <c r="C18650" s="16">
        <f>355.43/(1+B2)</f>
        <v>355.43</v>
      </c>
      <c r="D18650" s="17" t="s">
        <v>11</v>
      </c>
      <c r="E18650" s="17" t="s">
        <v>11</v>
      </c>
      <c r="F18650" s="18"/>
      <c r="G18650" s="36" t="str">
        <f>IF(ISNUMBER(F18650),C18650*F18650,"")</f>
        <v/>
      </c>
    </row>
    <row r="18651" spans="1:7" ht="24" customHeight="1" outlineLevel="2" x14ac:dyDescent="0.2">
      <c r="A18651" s="14" t="s">
        <v>36712</v>
      </c>
      <c r="B18651" s="15" t="s">
        <v>36713</v>
      </c>
      <c r="C18651" s="16">
        <f>602.06/(1+B2)</f>
        <v>602.05999999999995</v>
      </c>
      <c r="D18651" s="17" t="s">
        <v>11</v>
      </c>
      <c r="E18651" s="17"/>
      <c r="F18651" s="18"/>
      <c r="G18651" s="36" t="str">
        <f>IF(ISNUMBER(F18651),C18651*F18651,"")</f>
        <v/>
      </c>
    </row>
    <row r="18652" spans="1:7" ht="24" customHeight="1" outlineLevel="2" x14ac:dyDescent="0.2">
      <c r="A18652" s="14" t="s">
        <v>36714</v>
      </c>
      <c r="B18652" s="15" t="s">
        <v>36715</v>
      </c>
      <c r="C18652" s="16">
        <f>300/(1+B2)</f>
        <v>300</v>
      </c>
      <c r="D18652" s="17" t="s">
        <v>11</v>
      </c>
      <c r="E18652" s="17" t="s">
        <v>106</v>
      </c>
      <c r="F18652" s="18"/>
      <c r="G18652" s="36" t="str">
        <f>IF(ISNUMBER(F18652),C18652*F18652,"")</f>
        <v/>
      </c>
    </row>
    <row r="18653" spans="1:7" ht="24" customHeight="1" outlineLevel="2" x14ac:dyDescent="0.2">
      <c r="A18653" s="14" t="s">
        <v>36716</v>
      </c>
      <c r="B18653" s="15" t="s">
        <v>36717</v>
      </c>
      <c r="C18653" s="16">
        <f>578.1/(1+B2)</f>
        <v>578.1</v>
      </c>
      <c r="D18653" s="17" t="s">
        <v>14</v>
      </c>
      <c r="E18653" s="17"/>
      <c r="F18653" s="18"/>
      <c r="G18653" s="36" t="str">
        <f>IF(ISNUMBER(F18653),C18653*F18653,"")</f>
        <v/>
      </c>
    </row>
    <row r="18654" spans="1:7" s="1" customFormat="1" ht="15.95" customHeight="1" outlineLevel="1" x14ac:dyDescent="0.25">
      <c r="A18654" s="11"/>
      <c r="B18654" s="12" t="s">
        <v>36718</v>
      </c>
      <c r="C18654" s="13"/>
      <c r="D18654" s="13"/>
      <c r="E18654" s="13"/>
      <c r="F18654" s="13"/>
      <c r="G18654" s="35"/>
    </row>
    <row r="18655" spans="1:7" ht="24" customHeight="1" outlineLevel="2" x14ac:dyDescent="0.2">
      <c r="A18655" s="14" t="s">
        <v>36719</v>
      </c>
      <c r="B18655" s="15" t="s">
        <v>36720</v>
      </c>
      <c r="C18655" s="16">
        <f>274.31/(1+B2)</f>
        <v>274.31</v>
      </c>
      <c r="D18655" s="17" t="s">
        <v>14</v>
      </c>
      <c r="E18655" s="17"/>
      <c r="F18655" s="18"/>
      <c r="G18655" s="36" t="str">
        <f>IF(ISNUMBER(F18655),C18655*F18655,"")</f>
        <v/>
      </c>
    </row>
    <row r="18656" spans="1:7" s="1" customFormat="1" ht="15.95" customHeight="1" outlineLevel="1" x14ac:dyDescent="0.25">
      <c r="A18656" s="11"/>
      <c r="B18656" s="12" t="s">
        <v>36721</v>
      </c>
      <c r="C18656" s="13"/>
      <c r="D18656" s="13"/>
      <c r="E18656" s="13"/>
      <c r="F18656" s="13"/>
      <c r="G18656" s="35"/>
    </row>
    <row r="18657" spans="1:7" ht="12" customHeight="1" outlineLevel="2" x14ac:dyDescent="0.2">
      <c r="A18657" s="14" t="s">
        <v>36722</v>
      </c>
      <c r="B18657" s="15" t="s">
        <v>36723</v>
      </c>
      <c r="C18657" s="16">
        <f>55.9/(1+B2)</f>
        <v>55.9</v>
      </c>
      <c r="D18657" s="17" t="s">
        <v>11</v>
      </c>
      <c r="E18657" s="17"/>
      <c r="F18657" s="18"/>
      <c r="G18657" s="36" t="str">
        <f>IF(ISNUMBER(F18657),C18657*F18657,"")</f>
        <v/>
      </c>
    </row>
    <row r="18658" spans="1:7" ht="12" customHeight="1" outlineLevel="2" x14ac:dyDescent="0.2">
      <c r="A18658" s="14" t="s">
        <v>36724</v>
      </c>
      <c r="B18658" s="15" t="s">
        <v>36725</v>
      </c>
      <c r="C18658" s="16">
        <f>55.9/(1+B2)</f>
        <v>55.9</v>
      </c>
      <c r="D18658" s="17" t="s">
        <v>11</v>
      </c>
      <c r="E18658" s="17"/>
      <c r="F18658" s="18"/>
      <c r="G18658" s="36" t="str">
        <f>IF(ISNUMBER(F18658),C18658*F18658,"")</f>
        <v/>
      </c>
    </row>
    <row r="18659" spans="1:7" ht="12" customHeight="1" outlineLevel="2" x14ac:dyDescent="0.2">
      <c r="A18659" s="14" t="s">
        <v>36726</v>
      </c>
      <c r="B18659" s="15" t="s">
        <v>36727</v>
      </c>
      <c r="C18659" s="16">
        <f>55.9/(1+B2)</f>
        <v>55.9</v>
      </c>
      <c r="D18659" s="17" t="s">
        <v>11</v>
      </c>
      <c r="E18659" s="17"/>
      <c r="F18659" s="18"/>
      <c r="G18659" s="36" t="str">
        <f>IF(ISNUMBER(F18659),C18659*F18659,"")</f>
        <v/>
      </c>
    </row>
    <row r="18660" spans="1:7" ht="12" customHeight="1" outlineLevel="2" x14ac:dyDescent="0.2">
      <c r="A18660" s="14" t="s">
        <v>36728</v>
      </c>
      <c r="B18660" s="15" t="s">
        <v>36729</v>
      </c>
      <c r="C18660" s="16">
        <f>55.9/(1+B2)</f>
        <v>55.9</v>
      </c>
      <c r="D18660" s="17" t="s">
        <v>11</v>
      </c>
      <c r="E18660" s="17"/>
      <c r="F18660" s="18"/>
      <c r="G18660" s="36" t="str">
        <f>IF(ISNUMBER(F18660),C18660*F18660,"")</f>
        <v/>
      </c>
    </row>
    <row r="18661" spans="1:7" ht="12" customHeight="1" outlineLevel="2" x14ac:dyDescent="0.2">
      <c r="A18661" s="14" t="s">
        <v>36730</v>
      </c>
      <c r="B18661" s="15" t="s">
        <v>36731</v>
      </c>
      <c r="C18661" s="16">
        <f>55.9/(1+B2)</f>
        <v>55.9</v>
      </c>
      <c r="D18661" s="17" t="s">
        <v>11</v>
      </c>
      <c r="E18661" s="17"/>
      <c r="F18661" s="18"/>
      <c r="G18661" s="36" t="str">
        <f>IF(ISNUMBER(F18661),C18661*F18661,"")</f>
        <v/>
      </c>
    </row>
    <row r="18662" spans="1:7" ht="12" customHeight="1" outlineLevel="2" x14ac:dyDescent="0.2">
      <c r="A18662" s="14" t="s">
        <v>36732</v>
      </c>
      <c r="B18662" s="15" t="s">
        <v>36733</v>
      </c>
      <c r="C18662" s="16">
        <f>55.9/(1+B2)</f>
        <v>55.9</v>
      </c>
      <c r="D18662" s="17" t="s">
        <v>11</v>
      </c>
      <c r="E18662" s="17"/>
      <c r="F18662" s="18"/>
      <c r="G18662" s="36" t="str">
        <f>IF(ISNUMBER(F18662),C18662*F18662,"")</f>
        <v/>
      </c>
    </row>
    <row r="18663" spans="1:7" ht="12" customHeight="1" outlineLevel="2" x14ac:dyDescent="0.2">
      <c r="A18663" s="14" t="s">
        <v>36734</v>
      </c>
      <c r="B18663" s="15" t="s">
        <v>36735</v>
      </c>
      <c r="C18663" s="16">
        <f>55.9/(1+B2)</f>
        <v>55.9</v>
      </c>
      <c r="D18663" s="17" t="s">
        <v>11</v>
      </c>
      <c r="E18663" s="17"/>
      <c r="F18663" s="18"/>
      <c r="G18663" s="36" t="str">
        <f>IF(ISNUMBER(F18663),C18663*F18663,"")</f>
        <v/>
      </c>
    </row>
    <row r="18664" spans="1:7" ht="12" customHeight="1" outlineLevel="2" x14ac:dyDescent="0.2">
      <c r="A18664" s="14" t="s">
        <v>36736</v>
      </c>
      <c r="B18664" s="15" t="s">
        <v>36737</v>
      </c>
      <c r="C18664" s="16">
        <f>55.9/(1+B2)</f>
        <v>55.9</v>
      </c>
      <c r="D18664" s="17" t="s">
        <v>11</v>
      </c>
      <c r="E18664" s="17"/>
      <c r="F18664" s="18"/>
      <c r="G18664" s="36" t="str">
        <f>IF(ISNUMBER(F18664),C18664*F18664,"")</f>
        <v/>
      </c>
    </row>
    <row r="18665" spans="1:7" ht="12" customHeight="1" outlineLevel="2" x14ac:dyDescent="0.2">
      <c r="A18665" s="14" t="s">
        <v>36738</v>
      </c>
      <c r="B18665" s="15" t="s">
        <v>36739</v>
      </c>
      <c r="C18665" s="16">
        <f>55.9/(1+B2)</f>
        <v>55.9</v>
      </c>
      <c r="D18665" s="17" t="s">
        <v>11</v>
      </c>
      <c r="E18665" s="17" t="s">
        <v>11</v>
      </c>
      <c r="F18665" s="18"/>
      <c r="G18665" s="36" t="str">
        <f>IF(ISNUMBER(F18665),C18665*F18665,"")</f>
        <v/>
      </c>
    </row>
    <row r="18666" spans="1:7" ht="12" customHeight="1" outlineLevel="2" x14ac:dyDescent="0.2">
      <c r="A18666" s="14" t="s">
        <v>36740</v>
      </c>
      <c r="B18666" s="15" t="s">
        <v>36741</v>
      </c>
      <c r="C18666" s="16">
        <f>55.9/(1+B2)</f>
        <v>55.9</v>
      </c>
      <c r="D18666" s="17" t="s">
        <v>11</v>
      </c>
      <c r="E18666" s="17"/>
      <c r="F18666" s="18"/>
      <c r="G18666" s="36" t="str">
        <f>IF(ISNUMBER(F18666),C18666*F18666,"")</f>
        <v/>
      </c>
    </row>
    <row r="18667" spans="1:7" ht="12" customHeight="1" outlineLevel="2" x14ac:dyDescent="0.2">
      <c r="A18667" s="14" t="s">
        <v>36742</v>
      </c>
      <c r="B18667" s="15" t="s">
        <v>36743</v>
      </c>
      <c r="C18667" s="16">
        <f>55.9/(1+B2)</f>
        <v>55.9</v>
      </c>
      <c r="D18667" s="17" t="s">
        <v>11</v>
      </c>
      <c r="E18667" s="17"/>
      <c r="F18667" s="18"/>
      <c r="G18667" s="36" t="str">
        <f>IF(ISNUMBER(F18667),C18667*F18667,"")</f>
        <v/>
      </c>
    </row>
    <row r="18668" spans="1:7" ht="12" customHeight="1" outlineLevel="2" x14ac:dyDescent="0.2">
      <c r="A18668" s="14" t="s">
        <v>36744</v>
      </c>
      <c r="B18668" s="15" t="s">
        <v>36745</v>
      </c>
      <c r="C18668" s="16">
        <f>55.9/(1+B2)</f>
        <v>55.9</v>
      </c>
      <c r="D18668" s="17" t="s">
        <v>11</v>
      </c>
      <c r="E18668" s="17" t="s">
        <v>11</v>
      </c>
      <c r="F18668" s="18"/>
      <c r="G18668" s="36" t="str">
        <f>IF(ISNUMBER(F18668),C18668*F18668,"")</f>
        <v/>
      </c>
    </row>
    <row r="18669" spans="1:7" ht="12" customHeight="1" outlineLevel="2" x14ac:dyDescent="0.2">
      <c r="A18669" s="14" t="s">
        <v>36746</v>
      </c>
      <c r="B18669" s="15" t="s">
        <v>36747</v>
      </c>
      <c r="C18669" s="16">
        <f>55.9/(1+B2)</f>
        <v>55.9</v>
      </c>
      <c r="D18669" s="17" t="s">
        <v>11</v>
      </c>
      <c r="E18669" s="17"/>
      <c r="F18669" s="18"/>
      <c r="G18669" s="36" t="str">
        <f>IF(ISNUMBER(F18669),C18669*F18669,"")</f>
        <v/>
      </c>
    </row>
    <row r="18670" spans="1:7" s="1" customFormat="1" ht="15.95" customHeight="1" outlineLevel="1" x14ac:dyDescent="0.25">
      <c r="A18670" s="11"/>
      <c r="B18670" s="12" t="s">
        <v>36748</v>
      </c>
      <c r="C18670" s="13"/>
      <c r="D18670" s="13"/>
      <c r="E18670" s="13"/>
      <c r="F18670" s="13"/>
      <c r="G18670" s="35"/>
    </row>
    <row r="18671" spans="1:7" ht="12" customHeight="1" outlineLevel="2" x14ac:dyDescent="0.2">
      <c r="A18671" s="14" t="s">
        <v>36749</v>
      </c>
      <c r="B18671" s="15" t="s">
        <v>36750</v>
      </c>
      <c r="C18671" s="16">
        <f>270.55/(1+B2)</f>
        <v>270.55</v>
      </c>
      <c r="D18671" s="17" t="s">
        <v>11</v>
      </c>
      <c r="E18671" s="17"/>
      <c r="F18671" s="18"/>
      <c r="G18671" s="36" t="str">
        <f>IF(ISNUMBER(F18671),C18671*F18671,"")</f>
        <v/>
      </c>
    </row>
    <row r="18672" spans="1:7" ht="12" customHeight="1" outlineLevel="2" x14ac:dyDescent="0.2">
      <c r="A18672" s="14" t="s">
        <v>36751</v>
      </c>
      <c r="B18672" s="15" t="s">
        <v>36752</v>
      </c>
      <c r="C18672" s="16">
        <f>164.23/(1+B2)</f>
        <v>164.23</v>
      </c>
      <c r="D18672" s="17" t="s">
        <v>14</v>
      </c>
      <c r="E18672" s="17"/>
      <c r="F18672" s="18"/>
      <c r="G18672" s="36" t="str">
        <f>IF(ISNUMBER(F18672),C18672*F18672,"")</f>
        <v/>
      </c>
    </row>
    <row r="18673" spans="1:7" ht="12" customHeight="1" outlineLevel="2" x14ac:dyDescent="0.2">
      <c r="A18673" s="14" t="s">
        <v>36753</v>
      </c>
      <c r="B18673" s="15" t="s">
        <v>36754</v>
      </c>
      <c r="C18673" s="16">
        <f>137.18/(1+B2)</f>
        <v>137.18</v>
      </c>
      <c r="D18673" s="17" t="s">
        <v>11</v>
      </c>
      <c r="E18673" s="17"/>
      <c r="F18673" s="18"/>
      <c r="G18673" s="36" t="str">
        <f>IF(ISNUMBER(F18673),C18673*F18673,"")</f>
        <v/>
      </c>
    </row>
    <row r="18674" spans="1:7" ht="12" customHeight="1" outlineLevel="2" x14ac:dyDescent="0.2">
      <c r="A18674" s="14" t="s">
        <v>36755</v>
      </c>
      <c r="B18674" s="15" t="s">
        <v>36756</v>
      </c>
      <c r="C18674" s="16">
        <f>187.42/(1+B2)</f>
        <v>187.42</v>
      </c>
      <c r="D18674" s="17" t="s">
        <v>14</v>
      </c>
      <c r="E18674" s="17"/>
      <c r="F18674" s="18"/>
      <c r="G18674" s="36" t="str">
        <f>IF(ISNUMBER(F18674),C18674*F18674,"")</f>
        <v/>
      </c>
    </row>
    <row r="18675" spans="1:7" s="1" customFormat="1" ht="15.95" customHeight="1" outlineLevel="1" x14ac:dyDescent="0.25">
      <c r="A18675" s="11"/>
      <c r="B18675" s="12" t="s">
        <v>36757</v>
      </c>
      <c r="C18675" s="13"/>
      <c r="D18675" s="13"/>
      <c r="E18675" s="13"/>
      <c r="F18675" s="13"/>
      <c r="G18675" s="35"/>
    </row>
    <row r="18676" spans="1:7" ht="12" customHeight="1" outlineLevel="2" x14ac:dyDescent="0.2">
      <c r="A18676" s="14" t="s">
        <v>36758</v>
      </c>
      <c r="B18676" s="15" t="s">
        <v>36759</v>
      </c>
      <c r="C18676" s="16">
        <f>109.98/(1+B2)</f>
        <v>109.98</v>
      </c>
      <c r="D18676" s="17" t="s">
        <v>11</v>
      </c>
      <c r="E18676" s="17"/>
      <c r="F18676" s="18"/>
      <c r="G18676" s="36" t="str">
        <f>IF(ISNUMBER(F18676),C18676*F18676,"")</f>
        <v/>
      </c>
    </row>
    <row r="18677" spans="1:7" ht="12" customHeight="1" outlineLevel="2" x14ac:dyDescent="0.2">
      <c r="A18677" s="14" t="s">
        <v>36760</v>
      </c>
      <c r="B18677" s="15" t="s">
        <v>36761</v>
      </c>
      <c r="C18677" s="16">
        <f>114.2/(1+B2)</f>
        <v>114.2</v>
      </c>
      <c r="D18677" s="17" t="s">
        <v>11</v>
      </c>
      <c r="E18677" s="17" t="s">
        <v>11</v>
      </c>
      <c r="F18677" s="18"/>
      <c r="G18677" s="36" t="str">
        <f>IF(ISNUMBER(F18677),C18677*F18677,"")</f>
        <v/>
      </c>
    </row>
    <row r="18678" spans="1:7" ht="12" customHeight="1" outlineLevel="2" x14ac:dyDescent="0.2">
      <c r="A18678" s="14" t="s">
        <v>36762</v>
      </c>
      <c r="B18678" s="15" t="s">
        <v>36763</v>
      </c>
      <c r="C18678" s="16">
        <f>250.87/(1+B2)</f>
        <v>250.87</v>
      </c>
      <c r="D18678" s="17" t="s">
        <v>11</v>
      </c>
      <c r="E18678" s="17" t="s">
        <v>11</v>
      </c>
      <c r="F18678" s="18"/>
      <c r="G18678" s="36" t="str">
        <f>IF(ISNUMBER(F18678),C18678*F18678,"")</f>
        <v/>
      </c>
    </row>
    <row r="18679" spans="1:7" ht="12" customHeight="1" outlineLevel="2" x14ac:dyDescent="0.2">
      <c r="A18679" s="14" t="s">
        <v>36764</v>
      </c>
      <c r="B18679" s="15" t="s">
        <v>36765</v>
      </c>
      <c r="C18679" s="16">
        <f>281.6/(1+B2)</f>
        <v>281.60000000000002</v>
      </c>
      <c r="D18679" s="17" t="s">
        <v>11</v>
      </c>
      <c r="E18679" s="17"/>
      <c r="F18679" s="18"/>
      <c r="G18679" s="36" t="str">
        <f>IF(ISNUMBER(F18679),C18679*F18679,"")</f>
        <v/>
      </c>
    </row>
    <row r="18680" spans="1:7" ht="12" customHeight="1" outlineLevel="2" x14ac:dyDescent="0.2">
      <c r="A18680" s="14" t="s">
        <v>36766</v>
      </c>
      <c r="B18680" s="15" t="s">
        <v>36767</v>
      </c>
      <c r="C18680" s="16">
        <f>303.35/(1+B2)</f>
        <v>303.35000000000002</v>
      </c>
      <c r="D18680" s="17" t="s">
        <v>11</v>
      </c>
      <c r="E18680" s="17"/>
      <c r="F18680" s="18"/>
      <c r="G18680" s="36" t="str">
        <f>IF(ISNUMBER(F18680),C18680*F18680,"")</f>
        <v/>
      </c>
    </row>
    <row r="18681" spans="1:7" ht="12" customHeight="1" outlineLevel="2" x14ac:dyDescent="0.2">
      <c r="A18681" s="14" t="s">
        <v>36768</v>
      </c>
      <c r="B18681" s="15" t="s">
        <v>36769</v>
      </c>
      <c r="C18681" s="16">
        <f>553.66/(1+B2)</f>
        <v>553.66</v>
      </c>
      <c r="D18681" s="17" t="s">
        <v>11</v>
      </c>
      <c r="E18681" s="17" t="s">
        <v>11</v>
      </c>
      <c r="F18681" s="18"/>
      <c r="G18681" s="36" t="str">
        <f>IF(ISNUMBER(F18681),C18681*F18681,"")</f>
        <v/>
      </c>
    </row>
    <row r="18682" spans="1:7" ht="12" customHeight="1" outlineLevel="2" x14ac:dyDescent="0.2">
      <c r="A18682" s="14" t="s">
        <v>36770</v>
      </c>
      <c r="B18682" s="15" t="s">
        <v>36771</v>
      </c>
      <c r="C18682" s="16">
        <f>571.57/(1+B2)</f>
        <v>571.57000000000005</v>
      </c>
      <c r="D18682" s="17" t="s">
        <v>11</v>
      </c>
      <c r="E18682" s="17"/>
      <c r="F18682" s="18"/>
      <c r="G18682" s="36" t="str">
        <f>IF(ISNUMBER(F18682),C18682*F18682,"")</f>
        <v/>
      </c>
    </row>
    <row r="18683" spans="1:7" ht="12" customHeight="1" outlineLevel="2" x14ac:dyDescent="0.2">
      <c r="A18683" s="14" t="s">
        <v>36772</v>
      </c>
      <c r="B18683" s="15" t="s">
        <v>36773</v>
      </c>
      <c r="C18683" s="16">
        <f>772.35/(1+B2)</f>
        <v>772.35</v>
      </c>
      <c r="D18683" s="17" t="s">
        <v>11</v>
      </c>
      <c r="E18683" s="17" t="s">
        <v>11</v>
      </c>
      <c r="F18683" s="18"/>
      <c r="G18683" s="36" t="str">
        <f>IF(ISNUMBER(F18683),C18683*F18683,"")</f>
        <v/>
      </c>
    </row>
    <row r="18684" spans="1:7" ht="12" customHeight="1" outlineLevel="2" x14ac:dyDescent="0.2">
      <c r="A18684" s="14" t="s">
        <v>36774</v>
      </c>
      <c r="B18684" s="15" t="s">
        <v>36775</v>
      </c>
      <c r="C18684" s="16">
        <f>799.46/(1+B2)</f>
        <v>799.46</v>
      </c>
      <c r="D18684" s="17" t="s">
        <v>11</v>
      </c>
      <c r="E18684" s="17"/>
      <c r="F18684" s="18"/>
      <c r="G18684" s="36" t="str">
        <f>IF(ISNUMBER(F18684),C18684*F18684,"")</f>
        <v/>
      </c>
    </row>
    <row r="18685" spans="1:7" ht="12" customHeight="1" outlineLevel="2" x14ac:dyDescent="0.2">
      <c r="A18685" s="14" t="s">
        <v>36776</v>
      </c>
      <c r="B18685" s="15" t="s">
        <v>36777</v>
      </c>
      <c r="C18685" s="16">
        <f>474.07/(1+B2)</f>
        <v>474.07</v>
      </c>
      <c r="D18685" s="17" t="s">
        <v>11</v>
      </c>
      <c r="E18685" s="17"/>
      <c r="F18685" s="18"/>
      <c r="G18685" s="36" t="str">
        <f>IF(ISNUMBER(F18685),C18685*F18685,"")</f>
        <v/>
      </c>
    </row>
    <row r="18686" spans="1:7" ht="12" customHeight="1" outlineLevel="2" x14ac:dyDescent="0.2">
      <c r="A18686" s="14" t="s">
        <v>36778</v>
      </c>
      <c r="B18686" s="15" t="s">
        <v>36779</v>
      </c>
      <c r="C18686" s="16">
        <f>507.39/(1+B2)</f>
        <v>507.39</v>
      </c>
      <c r="D18686" s="17" t="s">
        <v>11</v>
      </c>
      <c r="E18686" s="17"/>
      <c r="F18686" s="18"/>
      <c r="G18686" s="36" t="str">
        <f>IF(ISNUMBER(F18686),C18686*F18686,"")</f>
        <v/>
      </c>
    </row>
    <row r="18687" spans="1:7" ht="12" customHeight="1" outlineLevel="2" x14ac:dyDescent="0.2">
      <c r="A18687" s="14" t="s">
        <v>36780</v>
      </c>
      <c r="B18687" s="15" t="s">
        <v>36781</v>
      </c>
      <c r="C18687" s="16">
        <f>492.23/(1+B2)</f>
        <v>492.23</v>
      </c>
      <c r="D18687" s="17" t="s">
        <v>11</v>
      </c>
      <c r="E18687" s="17"/>
      <c r="F18687" s="18"/>
      <c r="G18687" s="36" t="str">
        <f>IF(ISNUMBER(F18687),C18687*F18687,"")</f>
        <v/>
      </c>
    </row>
    <row r="18688" spans="1:7" ht="12" customHeight="1" outlineLevel="2" x14ac:dyDescent="0.2">
      <c r="A18688" s="14" t="s">
        <v>36782</v>
      </c>
      <c r="B18688" s="15" t="s">
        <v>36783</v>
      </c>
      <c r="C18688" s="16">
        <f>405.96/(1+B2)</f>
        <v>405.96</v>
      </c>
      <c r="D18688" s="17" t="s">
        <v>11</v>
      </c>
      <c r="E18688" s="17"/>
      <c r="F18688" s="18"/>
      <c r="G18688" s="36" t="str">
        <f>IF(ISNUMBER(F18688),C18688*F18688,"")</f>
        <v/>
      </c>
    </row>
    <row r="18689" spans="1:7" ht="12" customHeight="1" outlineLevel="2" x14ac:dyDescent="0.2">
      <c r="A18689" s="14" t="s">
        <v>36784</v>
      </c>
      <c r="B18689" s="15" t="s">
        <v>36785</v>
      </c>
      <c r="C18689" s="16">
        <f>422.04/(1+B2)</f>
        <v>422.04</v>
      </c>
      <c r="D18689" s="17" t="s">
        <v>11</v>
      </c>
      <c r="E18689" s="17" t="s">
        <v>11</v>
      </c>
      <c r="F18689" s="18"/>
      <c r="G18689" s="36" t="str">
        <f>IF(ISNUMBER(F18689),C18689*F18689,"")</f>
        <v/>
      </c>
    </row>
    <row r="18690" spans="1:7" ht="12" customHeight="1" outlineLevel="2" x14ac:dyDescent="0.2">
      <c r="A18690" s="14" t="s">
        <v>36786</v>
      </c>
      <c r="B18690" s="15" t="s">
        <v>36787</v>
      </c>
      <c r="C18690" s="16">
        <f>389.52/(1+B2)</f>
        <v>389.52</v>
      </c>
      <c r="D18690" s="17" t="s">
        <v>11</v>
      </c>
      <c r="E18690" s="17" t="s">
        <v>11</v>
      </c>
      <c r="F18690" s="18"/>
      <c r="G18690" s="36" t="str">
        <f>IF(ISNUMBER(F18690),C18690*F18690,"")</f>
        <v/>
      </c>
    </row>
    <row r="18691" spans="1:7" s="1" customFormat="1" ht="15.95" customHeight="1" outlineLevel="1" x14ac:dyDescent="0.25">
      <c r="A18691" s="11"/>
      <c r="B18691" s="12" t="s">
        <v>36788</v>
      </c>
      <c r="C18691" s="13"/>
      <c r="D18691" s="13"/>
      <c r="E18691" s="13"/>
      <c r="F18691" s="13"/>
      <c r="G18691" s="35"/>
    </row>
    <row r="18692" spans="1:7" ht="12" customHeight="1" outlineLevel="2" x14ac:dyDescent="0.2">
      <c r="A18692" s="14" t="s">
        <v>36789</v>
      </c>
      <c r="B18692" s="15" t="s">
        <v>36790</v>
      </c>
      <c r="C18692" s="16">
        <f>505.88/(1+B2)</f>
        <v>505.88</v>
      </c>
      <c r="D18692" s="17" t="s">
        <v>11</v>
      </c>
      <c r="E18692" s="17"/>
      <c r="F18692" s="18"/>
      <c r="G18692" s="36" t="str">
        <f>IF(ISNUMBER(F18692),C18692*F18692,"")</f>
        <v/>
      </c>
    </row>
    <row r="18693" spans="1:7" ht="12" customHeight="1" outlineLevel="2" x14ac:dyDescent="0.2">
      <c r="A18693" s="14" t="s">
        <v>36791</v>
      </c>
      <c r="B18693" s="15" t="s">
        <v>36792</v>
      </c>
      <c r="C18693" s="16">
        <f>614.54/(1+B2)</f>
        <v>614.54</v>
      </c>
      <c r="D18693" s="17" t="s">
        <v>11</v>
      </c>
      <c r="E18693" s="17" t="s">
        <v>14</v>
      </c>
      <c r="F18693" s="18"/>
      <c r="G18693" s="36" t="str">
        <f>IF(ISNUMBER(F18693),C18693*F18693,"")</f>
        <v/>
      </c>
    </row>
    <row r="18694" spans="1:7" ht="12" customHeight="1" outlineLevel="2" x14ac:dyDescent="0.2">
      <c r="A18694" s="14" t="s">
        <v>36793</v>
      </c>
      <c r="B18694" s="15" t="s">
        <v>36794</v>
      </c>
      <c r="C18694" s="16">
        <f>135.38/(1+B2)</f>
        <v>135.38</v>
      </c>
      <c r="D18694" s="17" t="s">
        <v>11</v>
      </c>
      <c r="E18694" s="17" t="s">
        <v>14</v>
      </c>
      <c r="F18694" s="18"/>
      <c r="G18694" s="36" t="str">
        <f>IF(ISNUMBER(F18694),C18694*F18694,"")</f>
        <v/>
      </c>
    </row>
    <row r="18695" spans="1:7" ht="12" customHeight="1" outlineLevel="2" x14ac:dyDescent="0.2">
      <c r="A18695" s="14" t="s">
        <v>36795</v>
      </c>
      <c r="B18695" s="15" t="s">
        <v>36796</v>
      </c>
      <c r="C18695" s="16">
        <f>176.35/(1+B2)</f>
        <v>176.35</v>
      </c>
      <c r="D18695" s="17" t="s">
        <v>14</v>
      </c>
      <c r="E18695" s="17" t="s">
        <v>14</v>
      </c>
      <c r="F18695" s="18"/>
      <c r="G18695" s="36" t="str">
        <f>IF(ISNUMBER(F18695),C18695*F18695,"")</f>
        <v/>
      </c>
    </row>
    <row r="18696" spans="1:7" ht="12" customHeight="1" outlineLevel="2" x14ac:dyDescent="0.2">
      <c r="A18696" s="14" t="s">
        <v>36797</v>
      </c>
      <c r="B18696" s="15" t="s">
        <v>36798</v>
      </c>
      <c r="C18696" s="16">
        <f>176.35/(1+B2)</f>
        <v>176.35</v>
      </c>
      <c r="D18696" s="17" t="s">
        <v>14</v>
      </c>
      <c r="E18696" s="17" t="s">
        <v>106</v>
      </c>
      <c r="F18696" s="18"/>
      <c r="G18696" s="36" t="str">
        <f>IF(ISNUMBER(F18696),C18696*F18696,"")</f>
        <v/>
      </c>
    </row>
    <row r="18697" spans="1:7" ht="12" customHeight="1" outlineLevel="2" x14ac:dyDescent="0.2">
      <c r="A18697" s="14" t="s">
        <v>36799</v>
      </c>
      <c r="B18697" s="15" t="s">
        <v>36800</v>
      </c>
      <c r="C18697" s="16">
        <f>235/(1+B2)</f>
        <v>235</v>
      </c>
      <c r="D18697" s="17" t="s">
        <v>11</v>
      </c>
      <c r="E18697" s="17"/>
      <c r="F18697" s="18"/>
      <c r="G18697" s="36" t="str">
        <f>IF(ISNUMBER(F18697),C18697*F18697,"")</f>
        <v/>
      </c>
    </row>
    <row r="18698" spans="1:7" ht="12" customHeight="1" outlineLevel="2" x14ac:dyDescent="0.2">
      <c r="A18698" s="14" t="s">
        <v>36801</v>
      </c>
      <c r="B18698" s="15" t="s">
        <v>36802</v>
      </c>
      <c r="C18698" s="16">
        <f>228.75/(1+B2)</f>
        <v>228.75</v>
      </c>
      <c r="D18698" s="17" t="s">
        <v>11</v>
      </c>
      <c r="E18698" s="17"/>
      <c r="F18698" s="18"/>
      <c r="G18698" s="36" t="str">
        <f>IF(ISNUMBER(F18698),C18698*F18698,"")</f>
        <v/>
      </c>
    </row>
    <row r="18699" spans="1:7" ht="12" customHeight="1" outlineLevel="2" x14ac:dyDescent="0.2">
      <c r="A18699" s="14" t="s">
        <v>36803</v>
      </c>
      <c r="B18699" s="15" t="s">
        <v>36804</v>
      </c>
      <c r="C18699" s="16">
        <f>228.75/(1+B2)</f>
        <v>228.75</v>
      </c>
      <c r="D18699" s="17" t="s">
        <v>11</v>
      </c>
      <c r="E18699" s="17"/>
      <c r="F18699" s="18"/>
      <c r="G18699" s="36" t="str">
        <f>IF(ISNUMBER(F18699),C18699*F18699,"")</f>
        <v/>
      </c>
    </row>
    <row r="18700" spans="1:7" ht="24" customHeight="1" outlineLevel="2" x14ac:dyDescent="0.2">
      <c r="A18700" s="14" t="s">
        <v>36805</v>
      </c>
      <c r="B18700" s="15" t="s">
        <v>36806</v>
      </c>
      <c r="C18700" s="16">
        <f>200/(1+B2)</f>
        <v>200</v>
      </c>
      <c r="D18700" s="17" t="s">
        <v>11</v>
      </c>
      <c r="E18700" s="17" t="s">
        <v>106</v>
      </c>
      <c r="F18700" s="18"/>
      <c r="G18700" s="36" t="str">
        <f>IF(ISNUMBER(F18700),C18700*F18700,"")</f>
        <v/>
      </c>
    </row>
    <row r="18701" spans="1:7" ht="24" customHeight="1" outlineLevel="2" x14ac:dyDescent="0.2">
      <c r="A18701" s="14" t="s">
        <v>36807</v>
      </c>
      <c r="B18701" s="15" t="s">
        <v>36808</v>
      </c>
      <c r="C18701" s="16">
        <f>200/(1+B2)</f>
        <v>200</v>
      </c>
      <c r="D18701" s="17" t="s">
        <v>14</v>
      </c>
      <c r="E18701" s="17" t="s">
        <v>106</v>
      </c>
      <c r="F18701" s="18"/>
      <c r="G18701" s="36" t="str">
        <f>IF(ISNUMBER(F18701),C18701*F18701,"")</f>
        <v/>
      </c>
    </row>
    <row r="18702" spans="1:7" ht="12" customHeight="1" outlineLevel="2" x14ac:dyDescent="0.2">
      <c r="A18702" s="14" t="s">
        <v>36809</v>
      </c>
      <c r="B18702" s="15" t="s">
        <v>36810</v>
      </c>
      <c r="C18702" s="16">
        <f>367.39/(1+B2)</f>
        <v>367.39</v>
      </c>
      <c r="D18702" s="17" t="s">
        <v>11</v>
      </c>
      <c r="E18702" s="17"/>
      <c r="F18702" s="18"/>
      <c r="G18702" s="36" t="str">
        <f>IF(ISNUMBER(F18702),C18702*F18702,"")</f>
        <v/>
      </c>
    </row>
    <row r="18703" spans="1:7" ht="24" customHeight="1" outlineLevel="2" x14ac:dyDescent="0.2">
      <c r="A18703" s="14" t="s">
        <v>36811</v>
      </c>
      <c r="B18703" s="15" t="s">
        <v>36812</v>
      </c>
      <c r="C18703" s="16">
        <f>758.79/(1+B2)</f>
        <v>758.79</v>
      </c>
      <c r="D18703" s="17" t="s">
        <v>11</v>
      </c>
      <c r="E18703" s="17" t="s">
        <v>106</v>
      </c>
      <c r="F18703" s="18"/>
      <c r="G18703" s="36" t="str">
        <f>IF(ISNUMBER(F18703),C18703*F18703,"")</f>
        <v/>
      </c>
    </row>
    <row r="18704" spans="1:7" ht="24" customHeight="1" outlineLevel="2" x14ac:dyDescent="0.2">
      <c r="A18704" s="14" t="s">
        <v>36813</v>
      </c>
      <c r="B18704" s="15" t="s">
        <v>36814</v>
      </c>
      <c r="C18704" s="16">
        <f>344.68/(1+B2)</f>
        <v>344.68</v>
      </c>
      <c r="D18704" s="17" t="s">
        <v>11</v>
      </c>
      <c r="E18704" s="17" t="s">
        <v>106</v>
      </c>
      <c r="F18704" s="18"/>
      <c r="G18704" s="36" t="str">
        <f>IF(ISNUMBER(F18704),C18704*F18704,"")</f>
        <v/>
      </c>
    </row>
    <row r="18705" spans="1:7" ht="12" customHeight="1" outlineLevel="2" x14ac:dyDescent="0.2">
      <c r="A18705" s="14" t="s">
        <v>36815</v>
      </c>
      <c r="B18705" s="15" t="s">
        <v>36816</v>
      </c>
      <c r="C18705" s="16">
        <f>249.38/(1+B2)</f>
        <v>249.38</v>
      </c>
      <c r="D18705" s="17" t="s">
        <v>14</v>
      </c>
      <c r="E18705" s="17" t="s">
        <v>106</v>
      </c>
      <c r="F18705" s="18"/>
      <c r="G18705" s="36" t="str">
        <f>IF(ISNUMBER(F18705),C18705*F18705,"")</f>
        <v/>
      </c>
    </row>
    <row r="18706" spans="1:7" ht="12" customHeight="1" outlineLevel="2" x14ac:dyDescent="0.2">
      <c r="A18706" s="14" t="s">
        <v>36817</v>
      </c>
      <c r="B18706" s="15" t="s">
        <v>36818</v>
      </c>
      <c r="C18706" s="16">
        <f>290.35/(1+B2)</f>
        <v>290.35000000000002</v>
      </c>
      <c r="D18706" s="17" t="s">
        <v>14</v>
      </c>
      <c r="E18706" s="17" t="s">
        <v>14</v>
      </c>
      <c r="F18706" s="18"/>
      <c r="G18706" s="36" t="str">
        <f>IF(ISNUMBER(F18706),C18706*F18706,"")</f>
        <v/>
      </c>
    </row>
    <row r="18707" spans="1:7" ht="24" customHeight="1" outlineLevel="2" x14ac:dyDescent="0.2">
      <c r="A18707" s="14" t="s">
        <v>36819</v>
      </c>
      <c r="B18707" s="15" t="s">
        <v>36820</v>
      </c>
      <c r="C18707" s="16">
        <f>464.01/(1+B2)</f>
        <v>464.01</v>
      </c>
      <c r="D18707" s="17" t="s">
        <v>11</v>
      </c>
      <c r="E18707" s="17" t="s">
        <v>11</v>
      </c>
      <c r="F18707" s="18"/>
      <c r="G18707" s="36" t="str">
        <f>IF(ISNUMBER(F18707),C18707*F18707,"")</f>
        <v/>
      </c>
    </row>
    <row r="18708" spans="1:7" ht="12" customHeight="1" outlineLevel="2" x14ac:dyDescent="0.2">
      <c r="A18708" s="14" t="s">
        <v>36821</v>
      </c>
      <c r="B18708" s="15" t="s">
        <v>36822</v>
      </c>
      <c r="C18708" s="16">
        <f>464.01/(1+B2)</f>
        <v>464.01</v>
      </c>
      <c r="D18708" s="17" t="s">
        <v>14</v>
      </c>
      <c r="E18708" s="17" t="s">
        <v>11</v>
      </c>
      <c r="F18708" s="18"/>
      <c r="G18708" s="36" t="str">
        <f>IF(ISNUMBER(F18708),C18708*F18708,"")</f>
        <v/>
      </c>
    </row>
    <row r="18709" spans="1:7" ht="12" customHeight="1" outlineLevel="2" x14ac:dyDescent="0.2">
      <c r="A18709" s="14" t="s">
        <v>36823</v>
      </c>
      <c r="B18709" s="15" t="s">
        <v>36824</v>
      </c>
      <c r="C18709" s="16">
        <f>464.01/(1+B2)</f>
        <v>464.01</v>
      </c>
      <c r="D18709" s="17" t="s">
        <v>11</v>
      </c>
      <c r="E18709" s="17" t="s">
        <v>11</v>
      </c>
      <c r="F18709" s="18"/>
      <c r="G18709" s="36" t="str">
        <f>IF(ISNUMBER(F18709),C18709*F18709,"")</f>
        <v/>
      </c>
    </row>
    <row r="18710" spans="1:7" ht="24" customHeight="1" outlineLevel="2" x14ac:dyDescent="0.2">
      <c r="A18710" s="14" t="s">
        <v>36825</v>
      </c>
      <c r="B18710" s="15" t="s">
        <v>36826</v>
      </c>
      <c r="C18710" s="16">
        <f>421.8/(1+B2)</f>
        <v>421.8</v>
      </c>
      <c r="D18710" s="17" t="s">
        <v>11</v>
      </c>
      <c r="E18710" s="17" t="s">
        <v>106</v>
      </c>
      <c r="F18710" s="18"/>
      <c r="G18710" s="36" t="str">
        <f>IF(ISNUMBER(F18710),C18710*F18710,"")</f>
        <v/>
      </c>
    </row>
    <row r="18711" spans="1:7" ht="12" customHeight="1" outlineLevel="2" x14ac:dyDescent="0.2">
      <c r="A18711" s="14" t="s">
        <v>36827</v>
      </c>
      <c r="B18711" s="15" t="s">
        <v>36828</v>
      </c>
      <c r="C18711" s="16">
        <f>334.69/(1+B2)</f>
        <v>334.69</v>
      </c>
      <c r="D18711" s="17" t="s">
        <v>14</v>
      </c>
      <c r="E18711" s="17" t="s">
        <v>106</v>
      </c>
      <c r="F18711" s="18"/>
      <c r="G18711" s="36" t="str">
        <f>IF(ISNUMBER(F18711),C18711*F18711,"")</f>
        <v/>
      </c>
    </row>
    <row r="18712" spans="1:7" ht="12" customHeight="1" outlineLevel="2" x14ac:dyDescent="0.2">
      <c r="A18712" s="14" t="s">
        <v>36829</v>
      </c>
      <c r="B18712" s="15" t="s">
        <v>36830</v>
      </c>
      <c r="C18712" s="16">
        <f>156.75/(1+B2)</f>
        <v>156.75</v>
      </c>
      <c r="D18712" s="17" t="s">
        <v>11</v>
      </c>
      <c r="E18712" s="17" t="s">
        <v>106</v>
      </c>
      <c r="F18712" s="18"/>
      <c r="G18712" s="36" t="str">
        <f>IF(ISNUMBER(F18712),C18712*F18712,"")</f>
        <v/>
      </c>
    </row>
    <row r="18713" spans="1:7" ht="12" customHeight="1" outlineLevel="2" x14ac:dyDescent="0.2">
      <c r="A18713" s="14" t="s">
        <v>36831</v>
      </c>
      <c r="B18713" s="15" t="s">
        <v>36832</v>
      </c>
      <c r="C18713" s="16">
        <f>326.85/(1+B2)</f>
        <v>326.85000000000002</v>
      </c>
      <c r="D18713" s="17" t="s">
        <v>11</v>
      </c>
      <c r="E18713" s="17"/>
      <c r="F18713" s="18"/>
      <c r="G18713" s="36" t="str">
        <f>IF(ISNUMBER(F18713),C18713*F18713,"")</f>
        <v/>
      </c>
    </row>
    <row r="18714" spans="1:7" ht="12" customHeight="1" outlineLevel="2" x14ac:dyDescent="0.2">
      <c r="A18714" s="14" t="s">
        <v>36833</v>
      </c>
      <c r="B18714" s="15" t="s">
        <v>36834</v>
      </c>
      <c r="C18714" s="16">
        <f>156.75/(1+B2)</f>
        <v>156.75</v>
      </c>
      <c r="D18714" s="17" t="s">
        <v>11</v>
      </c>
      <c r="E18714" s="17" t="s">
        <v>106</v>
      </c>
      <c r="F18714" s="18"/>
      <c r="G18714" s="36" t="str">
        <f>IF(ISNUMBER(F18714),C18714*F18714,"")</f>
        <v/>
      </c>
    </row>
    <row r="18715" spans="1:7" ht="12" customHeight="1" outlineLevel="2" x14ac:dyDescent="0.2">
      <c r="A18715" s="14" t="s">
        <v>36835</v>
      </c>
      <c r="B18715" s="15" t="s">
        <v>36836</v>
      </c>
      <c r="C18715" s="16">
        <f>156.75/(1+B2)</f>
        <v>156.75</v>
      </c>
      <c r="D18715" s="17" t="s">
        <v>11</v>
      </c>
      <c r="E18715" s="17" t="s">
        <v>11</v>
      </c>
      <c r="F18715" s="18"/>
      <c r="G18715" s="36" t="str">
        <f>IF(ISNUMBER(F18715),C18715*F18715,"")</f>
        <v/>
      </c>
    </row>
    <row r="18716" spans="1:7" ht="24" customHeight="1" outlineLevel="2" x14ac:dyDescent="0.2">
      <c r="A18716" s="14" t="s">
        <v>36837</v>
      </c>
      <c r="B18716" s="15" t="s">
        <v>36838</v>
      </c>
      <c r="C18716" s="16">
        <f>326.85/(1+B2)</f>
        <v>326.85000000000002</v>
      </c>
      <c r="D18716" s="17" t="s">
        <v>11</v>
      </c>
      <c r="E18716" s="17"/>
      <c r="F18716" s="18"/>
      <c r="G18716" s="36" t="str">
        <f>IF(ISNUMBER(F18716),C18716*F18716,"")</f>
        <v/>
      </c>
    </row>
    <row r="18717" spans="1:7" ht="24" customHeight="1" outlineLevel="2" x14ac:dyDescent="0.2">
      <c r="A18717" s="14" t="s">
        <v>36839</v>
      </c>
      <c r="B18717" s="15" t="s">
        <v>36840</v>
      </c>
      <c r="C18717" s="16">
        <f>156.75/(1+B2)</f>
        <v>156.75</v>
      </c>
      <c r="D18717" s="17" t="s">
        <v>11</v>
      </c>
      <c r="E18717" s="17" t="s">
        <v>53</v>
      </c>
      <c r="F18717" s="18"/>
      <c r="G18717" s="36" t="str">
        <f>IF(ISNUMBER(F18717),C18717*F18717,"")</f>
        <v/>
      </c>
    </row>
    <row r="18718" spans="1:7" ht="24" customHeight="1" outlineLevel="2" x14ac:dyDescent="0.2">
      <c r="A18718" s="14" t="s">
        <v>36841</v>
      </c>
      <c r="B18718" s="15" t="s">
        <v>36842</v>
      </c>
      <c r="C18718" s="16">
        <f>316.18/(1+B2)</f>
        <v>316.18</v>
      </c>
      <c r="D18718" s="17" t="s">
        <v>11</v>
      </c>
      <c r="E18718" s="17"/>
      <c r="F18718" s="18"/>
      <c r="G18718" s="36" t="str">
        <f>IF(ISNUMBER(F18718),C18718*F18718,"")</f>
        <v/>
      </c>
    </row>
    <row r="18719" spans="1:7" ht="12" customHeight="1" outlineLevel="2" x14ac:dyDescent="0.2">
      <c r="A18719" s="14" t="s">
        <v>36843</v>
      </c>
      <c r="B18719" s="15" t="s">
        <v>36844</v>
      </c>
      <c r="C18719" s="16">
        <f>187.75/(1+B2)</f>
        <v>187.75</v>
      </c>
      <c r="D18719" s="17" t="s">
        <v>11</v>
      </c>
      <c r="E18719" s="17"/>
      <c r="F18719" s="18"/>
      <c r="G18719" s="36" t="str">
        <f>IF(ISNUMBER(F18719),C18719*F18719,"")</f>
        <v/>
      </c>
    </row>
    <row r="18720" spans="1:7" ht="24" customHeight="1" outlineLevel="2" x14ac:dyDescent="0.2">
      <c r="A18720" s="14" t="s">
        <v>36845</v>
      </c>
      <c r="B18720" s="15" t="s">
        <v>36846</v>
      </c>
      <c r="C18720" s="16">
        <f>186.81/(1+B2)</f>
        <v>186.81</v>
      </c>
      <c r="D18720" s="17" t="s">
        <v>11</v>
      </c>
      <c r="E18720" s="17" t="s">
        <v>106</v>
      </c>
      <c r="F18720" s="18"/>
      <c r="G18720" s="36" t="str">
        <f>IF(ISNUMBER(F18720),C18720*F18720,"")</f>
        <v/>
      </c>
    </row>
    <row r="18721" spans="1:7" ht="24" customHeight="1" outlineLevel="2" x14ac:dyDescent="0.2">
      <c r="A18721" s="14" t="s">
        <v>36847</v>
      </c>
      <c r="B18721" s="15" t="s">
        <v>36848</v>
      </c>
      <c r="C18721" s="16">
        <f>186.81/(1+B2)</f>
        <v>186.81</v>
      </c>
      <c r="D18721" s="17" t="s">
        <v>11</v>
      </c>
      <c r="E18721" s="17" t="s">
        <v>106</v>
      </c>
      <c r="F18721" s="18"/>
      <c r="G18721" s="36" t="str">
        <f>IF(ISNUMBER(F18721),C18721*F18721,"")</f>
        <v/>
      </c>
    </row>
    <row r="18722" spans="1:7" ht="24" customHeight="1" outlineLevel="2" x14ac:dyDescent="0.2">
      <c r="A18722" s="14" t="s">
        <v>36849</v>
      </c>
      <c r="B18722" s="15" t="s">
        <v>36850</v>
      </c>
      <c r="C18722" s="16">
        <f>189.9/(1+B2)</f>
        <v>189.9</v>
      </c>
      <c r="D18722" s="17" t="s">
        <v>14</v>
      </c>
      <c r="E18722" s="17" t="s">
        <v>106</v>
      </c>
      <c r="F18722" s="18"/>
      <c r="G18722" s="36" t="str">
        <f>IF(ISNUMBER(F18722),C18722*F18722,"")</f>
        <v/>
      </c>
    </row>
    <row r="18723" spans="1:7" ht="12" customHeight="1" outlineLevel="2" x14ac:dyDescent="0.2">
      <c r="A18723" s="14" t="s">
        <v>36851</v>
      </c>
      <c r="B18723" s="15" t="s">
        <v>36852</v>
      </c>
      <c r="C18723" s="16">
        <f>231.56/(1+B2)</f>
        <v>231.56</v>
      </c>
      <c r="D18723" s="17" t="s">
        <v>14</v>
      </c>
      <c r="E18723" s="17"/>
      <c r="F18723" s="18"/>
      <c r="G18723" s="36" t="str">
        <f>IF(ISNUMBER(F18723),C18723*F18723,"")</f>
        <v/>
      </c>
    </row>
    <row r="18724" spans="1:7" s="1" customFormat="1" ht="15.95" customHeight="1" outlineLevel="1" x14ac:dyDescent="0.25">
      <c r="A18724" s="11"/>
      <c r="B18724" s="12" t="s">
        <v>36853</v>
      </c>
      <c r="C18724" s="13"/>
      <c r="D18724" s="13"/>
      <c r="E18724" s="13"/>
      <c r="F18724" s="13"/>
      <c r="G18724" s="35"/>
    </row>
    <row r="18725" spans="1:7" ht="24" customHeight="1" outlineLevel="2" x14ac:dyDescent="0.2">
      <c r="A18725" s="14" t="s">
        <v>36854</v>
      </c>
      <c r="B18725" s="15" t="s">
        <v>36855</v>
      </c>
      <c r="C18725" s="16">
        <f>490/(1+B2)</f>
        <v>490</v>
      </c>
      <c r="D18725" s="17"/>
      <c r="E18725" s="17" t="s">
        <v>106</v>
      </c>
      <c r="F18725" s="18"/>
      <c r="G18725" s="36" t="str">
        <f>IF(ISNUMBER(F18725),C18725*F18725,"")</f>
        <v/>
      </c>
    </row>
    <row r="18726" spans="1:7" ht="24" customHeight="1" outlineLevel="2" x14ac:dyDescent="0.2">
      <c r="A18726" s="14" t="s">
        <v>36856</v>
      </c>
      <c r="B18726" s="15" t="s">
        <v>36857</v>
      </c>
      <c r="C18726" s="16">
        <f>697.36/(1+B2)</f>
        <v>697.36</v>
      </c>
      <c r="D18726" s="17" t="s">
        <v>11</v>
      </c>
      <c r="E18726" s="17"/>
      <c r="F18726" s="18"/>
      <c r="G18726" s="36" t="str">
        <f>IF(ISNUMBER(F18726),C18726*F18726,"")</f>
        <v/>
      </c>
    </row>
    <row r="18727" spans="1:7" ht="12" customHeight="1" outlineLevel="2" x14ac:dyDescent="0.2">
      <c r="A18727" s="14" t="s">
        <v>36858</v>
      </c>
      <c r="B18727" s="15" t="s">
        <v>36859</v>
      </c>
      <c r="C18727" s="16">
        <f>476.25/(1+B2)</f>
        <v>476.25</v>
      </c>
      <c r="D18727" s="17" t="s">
        <v>11</v>
      </c>
      <c r="E18727" s="17" t="s">
        <v>106</v>
      </c>
      <c r="F18727" s="18"/>
      <c r="G18727" s="36" t="str">
        <f>IF(ISNUMBER(F18727),C18727*F18727,"")</f>
        <v/>
      </c>
    </row>
    <row r="18728" spans="1:7" ht="12" customHeight="1" outlineLevel="2" x14ac:dyDescent="0.2">
      <c r="A18728" s="14" t="s">
        <v>36860</v>
      </c>
      <c r="B18728" s="15" t="s">
        <v>36861</v>
      </c>
      <c r="C18728" s="16">
        <f>391.2/(1+B2)</f>
        <v>391.2</v>
      </c>
      <c r="D18728" s="17" t="s">
        <v>11</v>
      </c>
      <c r="E18728" s="17" t="s">
        <v>106</v>
      </c>
      <c r="F18728" s="18"/>
      <c r="G18728" s="36" t="str">
        <f>IF(ISNUMBER(F18728),C18728*F18728,"")</f>
        <v/>
      </c>
    </row>
    <row r="18729" spans="1:7" ht="12" customHeight="1" outlineLevel="2" x14ac:dyDescent="0.2">
      <c r="A18729" s="14" t="s">
        <v>36862</v>
      </c>
      <c r="B18729" s="15" t="s">
        <v>36863</v>
      </c>
      <c r="C18729" s="16">
        <f>437.5/(1+B2)</f>
        <v>437.5</v>
      </c>
      <c r="D18729" s="17"/>
      <c r="E18729" s="17" t="s">
        <v>106</v>
      </c>
      <c r="F18729" s="18"/>
      <c r="G18729" s="36" t="str">
        <f>IF(ISNUMBER(F18729),C18729*F18729,"")</f>
        <v/>
      </c>
    </row>
    <row r="18730" spans="1:7" ht="12" customHeight="1" outlineLevel="2" x14ac:dyDescent="0.2">
      <c r="A18730" s="14" t="s">
        <v>36864</v>
      </c>
      <c r="B18730" s="15" t="s">
        <v>36865</v>
      </c>
      <c r="C18730" s="16">
        <f>728.54/(1+B2)</f>
        <v>728.54</v>
      </c>
      <c r="D18730" s="17" t="s">
        <v>14</v>
      </c>
      <c r="E18730" s="17"/>
      <c r="F18730" s="18"/>
      <c r="G18730" s="36" t="str">
        <f>IF(ISNUMBER(F18730),C18730*F18730,"")</f>
        <v/>
      </c>
    </row>
    <row r="18731" spans="1:7" ht="12" customHeight="1" outlineLevel="2" x14ac:dyDescent="0.2">
      <c r="A18731" s="14" t="s">
        <v>36866</v>
      </c>
      <c r="B18731" s="15" t="s">
        <v>36867</v>
      </c>
      <c r="C18731" s="16">
        <f>512/(1+B2)</f>
        <v>512</v>
      </c>
      <c r="D18731" s="17" t="s">
        <v>11</v>
      </c>
      <c r="E18731" s="17" t="s">
        <v>106</v>
      </c>
      <c r="F18731" s="18"/>
      <c r="G18731" s="36" t="str">
        <f>IF(ISNUMBER(F18731),C18731*F18731,"")</f>
        <v/>
      </c>
    </row>
    <row r="18732" spans="1:7" ht="12" customHeight="1" outlineLevel="2" x14ac:dyDescent="0.2">
      <c r="A18732" s="14" t="s">
        <v>36868</v>
      </c>
      <c r="B18732" s="15" t="s">
        <v>36869</v>
      </c>
      <c r="C18732" s="16">
        <f>418.8/(1+B2)</f>
        <v>418.8</v>
      </c>
      <c r="D18732" s="17" t="s">
        <v>11</v>
      </c>
      <c r="E18732" s="17"/>
      <c r="F18732" s="18"/>
      <c r="G18732" s="36" t="str">
        <f>IF(ISNUMBER(F18732),C18732*F18732,"")</f>
        <v/>
      </c>
    </row>
    <row r="18733" spans="1:7" ht="12" customHeight="1" outlineLevel="2" x14ac:dyDescent="0.2">
      <c r="A18733" s="14" t="s">
        <v>36870</v>
      </c>
      <c r="B18733" s="15" t="s">
        <v>36871</v>
      </c>
      <c r="C18733" s="16">
        <f>161.2/(1+B2)</f>
        <v>161.19999999999999</v>
      </c>
      <c r="D18733" s="17" t="s">
        <v>11</v>
      </c>
      <c r="E18733" s="17" t="s">
        <v>11</v>
      </c>
      <c r="F18733" s="18"/>
      <c r="G18733" s="36" t="str">
        <f>IF(ISNUMBER(F18733),C18733*F18733,"")</f>
        <v/>
      </c>
    </row>
    <row r="18734" spans="1:7" ht="12" customHeight="1" outlineLevel="2" x14ac:dyDescent="0.2">
      <c r="A18734" s="14" t="s">
        <v>36872</v>
      </c>
      <c r="B18734" s="15" t="s">
        <v>36873</v>
      </c>
      <c r="C18734" s="16">
        <f>270/(1+B2)</f>
        <v>270</v>
      </c>
      <c r="D18734" s="17" t="s">
        <v>14</v>
      </c>
      <c r="E18734" s="17" t="s">
        <v>106</v>
      </c>
      <c r="F18734" s="18"/>
      <c r="G18734" s="36" t="str">
        <f>IF(ISNUMBER(F18734),C18734*F18734,"")</f>
        <v/>
      </c>
    </row>
    <row r="18735" spans="1:7" ht="12" customHeight="1" outlineLevel="2" x14ac:dyDescent="0.2">
      <c r="A18735" s="14" t="s">
        <v>36874</v>
      </c>
      <c r="B18735" s="15" t="s">
        <v>36875</v>
      </c>
      <c r="C18735" s="16">
        <f>389.9/(1+B2)</f>
        <v>389.9</v>
      </c>
      <c r="D18735" s="17" t="s">
        <v>11</v>
      </c>
      <c r="E18735" s="17" t="s">
        <v>106</v>
      </c>
      <c r="F18735" s="18"/>
      <c r="G18735" s="36" t="str">
        <f>IF(ISNUMBER(F18735),C18735*F18735,"")</f>
        <v/>
      </c>
    </row>
    <row r="18736" spans="1:7" ht="12" customHeight="1" outlineLevel="2" x14ac:dyDescent="0.2">
      <c r="A18736" s="14" t="s">
        <v>36876</v>
      </c>
      <c r="B18736" s="15" t="s">
        <v>36877</v>
      </c>
      <c r="C18736" s="16">
        <f>137.7/(1+B2)</f>
        <v>137.69999999999999</v>
      </c>
      <c r="D18736" s="17"/>
      <c r="E18736" s="17" t="s">
        <v>106</v>
      </c>
      <c r="F18736" s="18"/>
      <c r="G18736" s="36" t="str">
        <f>IF(ISNUMBER(F18736),C18736*F18736,"")</f>
        <v/>
      </c>
    </row>
    <row r="18737" spans="1:7" ht="12" customHeight="1" outlineLevel="2" x14ac:dyDescent="0.2">
      <c r="A18737" s="14" t="s">
        <v>36878</v>
      </c>
      <c r="B18737" s="15" t="s">
        <v>36879</v>
      </c>
      <c r="C18737" s="16">
        <f>208.75/(1+B2)</f>
        <v>208.75</v>
      </c>
      <c r="D18737" s="17" t="s">
        <v>14</v>
      </c>
      <c r="E18737" s="17" t="s">
        <v>53</v>
      </c>
      <c r="F18737" s="18"/>
      <c r="G18737" s="36" t="str">
        <f>IF(ISNUMBER(F18737),C18737*F18737,"")</f>
        <v/>
      </c>
    </row>
    <row r="18738" spans="1:7" ht="12" customHeight="1" outlineLevel="2" x14ac:dyDescent="0.2">
      <c r="A18738" s="14" t="s">
        <v>36880</v>
      </c>
      <c r="B18738" s="15" t="s">
        <v>36881</v>
      </c>
      <c r="C18738" s="16">
        <f>136.35/(1+B2)</f>
        <v>136.35</v>
      </c>
      <c r="D18738" s="17" t="s">
        <v>11</v>
      </c>
      <c r="E18738" s="17" t="s">
        <v>106</v>
      </c>
      <c r="F18738" s="18"/>
      <c r="G18738" s="36" t="str">
        <f>IF(ISNUMBER(F18738),C18738*F18738,"")</f>
        <v/>
      </c>
    </row>
    <row r="18739" spans="1:7" ht="12" customHeight="1" outlineLevel="2" x14ac:dyDescent="0.2">
      <c r="A18739" s="14" t="s">
        <v>36882</v>
      </c>
      <c r="B18739" s="15" t="s">
        <v>36883</v>
      </c>
      <c r="C18739" s="16">
        <f>162.99/(1+B2)</f>
        <v>162.99</v>
      </c>
      <c r="D18739" s="17" t="s">
        <v>11</v>
      </c>
      <c r="E18739" s="17" t="s">
        <v>53</v>
      </c>
      <c r="F18739" s="18"/>
      <c r="G18739" s="36" t="str">
        <f>IF(ISNUMBER(F18739),C18739*F18739,"")</f>
        <v/>
      </c>
    </row>
    <row r="18740" spans="1:7" ht="12" customHeight="1" outlineLevel="2" x14ac:dyDescent="0.2">
      <c r="A18740" s="14" t="s">
        <v>36884</v>
      </c>
      <c r="B18740" s="15" t="s">
        <v>36885</v>
      </c>
      <c r="C18740" s="16">
        <f>242.06/(1+B2)</f>
        <v>242.06</v>
      </c>
      <c r="D18740" s="17" t="s">
        <v>11</v>
      </c>
      <c r="E18740" s="17" t="s">
        <v>53</v>
      </c>
      <c r="F18740" s="18"/>
      <c r="G18740" s="36" t="str">
        <f>IF(ISNUMBER(F18740),C18740*F18740,"")</f>
        <v/>
      </c>
    </row>
    <row r="18741" spans="1:7" ht="12" customHeight="1" outlineLevel="2" x14ac:dyDescent="0.2">
      <c r="A18741" s="14" t="s">
        <v>36886</v>
      </c>
      <c r="B18741" s="15" t="s">
        <v>36887</v>
      </c>
      <c r="C18741" s="16">
        <f>193.2/(1+B2)</f>
        <v>193.2</v>
      </c>
      <c r="D18741" s="17" t="s">
        <v>11</v>
      </c>
      <c r="E18741" s="17" t="s">
        <v>11</v>
      </c>
      <c r="F18741" s="18"/>
      <c r="G18741" s="36" t="str">
        <f>IF(ISNUMBER(F18741),C18741*F18741,"")</f>
        <v/>
      </c>
    </row>
    <row r="18742" spans="1:7" ht="12" customHeight="1" outlineLevel="2" x14ac:dyDescent="0.2">
      <c r="A18742" s="14" t="s">
        <v>36888</v>
      </c>
      <c r="B18742" s="15" t="s">
        <v>36889</v>
      </c>
      <c r="C18742" s="16">
        <f>260/(1+B2)</f>
        <v>260</v>
      </c>
      <c r="D18742" s="17" t="s">
        <v>11</v>
      </c>
      <c r="E18742" s="17" t="s">
        <v>106</v>
      </c>
      <c r="F18742" s="18"/>
      <c r="G18742" s="36" t="str">
        <f>IF(ISNUMBER(F18742),C18742*F18742,"")</f>
        <v/>
      </c>
    </row>
    <row r="18743" spans="1:7" ht="12" customHeight="1" outlineLevel="2" x14ac:dyDescent="0.2">
      <c r="A18743" s="14" t="s">
        <v>36890</v>
      </c>
      <c r="B18743" s="15" t="s">
        <v>36891</v>
      </c>
      <c r="C18743" s="16">
        <f>335/(1+B2)</f>
        <v>335</v>
      </c>
      <c r="D18743" s="17" t="s">
        <v>14</v>
      </c>
      <c r="E18743" s="17" t="s">
        <v>106</v>
      </c>
      <c r="F18743" s="18"/>
      <c r="G18743" s="36" t="str">
        <f>IF(ISNUMBER(F18743),C18743*F18743,"")</f>
        <v/>
      </c>
    </row>
    <row r="18744" spans="1:7" ht="12" customHeight="1" outlineLevel="2" x14ac:dyDescent="0.2">
      <c r="A18744" s="14" t="s">
        <v>36892</v>
      </c>
      <c r="B18744" s="15" t="s">
        <v>36893</v>
      </c>
      <c r="C18744" s="16">
        <f>386.25/(1+B2)</f>
        <v>386.25</v>
      </c>
      <c r="D18744" s="17" t="s">
        <v>11</v>
      </c>
      <c r="E18744" s="17" t="s">
        <v>106</v>
      </c>
      <c r="F18744" s="18"/>
      <c r="G18744" s="36" t="str">
        <f>IF(ISNUMBER(F18744),C18744*F18744,"")</f>
        <v/>
      </c>
    </row>
    <row r="18745" spans="1:7" ht="24" customHeight="1" outlineLevel="2" x14ac:dyDescent="0.2">
      <c r="A18745" s="14" t="s">
        <v>36894</v>
      </c>
      <c r="B18745" s="15" t="s">
        <v>36895</v>
      </c>
      <c r="C18745" s="16">
        <f>421.35/(1+B2)</f>
        <v>421.35</v>
      </c>
      <c r="D18745" s="17"/>
      <c r="E18745" s="17" t="s">
        <v>106</v>
      </c>
      <c r="F18745" s="18"/>
      <c r="G18745" s="36" t="str">
        <f>IF(ISNUMBER(F18745),C18745*F18745,"")</f>
        <v/>
      </c>
    </row>
    <row r="18746" spans="1:7" ht="12" customHeight="1" outlineLevel="2" x14ac:dyDescent="0.2">
      <c r="A18746" s="14" t="s">
        <v>36896</v>
      </c>
      <c r="B18746" s="15" t="s">
        <v>36897</v>
      </c>
      <c r="C18746" s="16">
        <f>249.38/(1+B2)</f>
        <v>249.38</v>
      </c>
      <c r="D18746" s="17" t="s">
        <v>11</v>
      </c>
      <c r="E18746" s="17"/>
      <c r="F18746" s="18"/>
      <c r="G18746" s="36" t="str">
        <f>IF(ISNUMBER(F18746),C18746*F18746,"")</f>
        <v/>
      </c>
    </row>
    <row r="18747" spans="1:7" ht="24" customHeight="1" outlineLevel="2" x14ac:dyDescent="0.2">
      <c r="A18747" s="14" t="s">
        <v>36898</v>
      </c>
      <c r="B18747" s="15" t="s">
        <v>36899</v>
      </c>
      <c r="C18747" s="16">
        <f>431.25/(1+B2)</f>
        <v>431.25</v>
      </c>
      <c r="D18747" s="17" t="s">
        <v>14</v>
      </c>
      <c r="E18747" s="17" t="s">
        <v>106</v>
      </c>
      <c r="F18747" s="18"/>
      <c r="G18747" s="36" t="str">
        <f>IF(ISNUMBER(F18747),C18747*F18747,"")</f>
        <v/>
      </c>
    </row>
    <row r="18748" spans="1:7" ht="24" customHeight="1" outlineLevel="2" x14ac:dyDescent="0.2">
      <c r="A18748" s="14" t="s">
        <v>36900</v>
      </c>
      <c r="B18748" s="15" t="s">
        <v>36901</v>
      </c>
      <c r="C18748" s="16">
        <f>387.5/(1+B2)</f>
        <v>387.5</v>
      </c>
      <c r="D18748" s="17" t="s">
        <v>14</v>
      </c>
      <c r="E18748" s="17" t="s">
        <v>106</v>
      </c>
      <c r="F18748" s="18"/>
      <c r="G18748" s="36" t="str">
        <f>IF(ISNUMBER(F18748),C18748*F18748,"")</f>
        <v/>
      </c>
    </row>
    <row r="18749" spans="1:7" ht="24" customHeight="1" outlineLevel="2" x14ac:dyDescent="0.2">
      <c r="A18749" s="14" t="s">
        <v>36902</v>
      </c>
      <c r="B18749" s="15" t="s">
        <v>36903</v>
      </c>
      <c r="C18749" s="16">
        <f>540/(1+B2)</f>
        <v>540</v>
      </c>
      <c r="D18749" s="17" t="s">
        <v>14</v>
      </c>
      <c r="E18749" s="17" t="s">
        <v>106</v>
      </c>
      <c r="F18749" s="18"/>
      <c r="G18749" s="36" t="str">
        <f>IF(ISNUMBER(F18749),C18749*F18749,"")</f>
        <v/>
      </c>
    </row>
    <row r="18750" spans="1:7" ht="12" customHeight="1" outlineLevel="2" x14ac:dyDescent="0.2">
      <c r="A18750" s="14" t="s">
        <v>36904</v>
      </c>
      <c r="B18750" s="15" t="s">
        <v>36905</v>
      </c>
      <c r="C18750" s="16">
        <f>187/(1+B2)</f>
        <v>187</v>
      </c>
      <c r="D18750" s="17" t="s">
        <v>14</v>
      </c>
      <c r="E18750" s="17" t="s">
        <v>106</v>
      </c>
      <c r="F18750" s="18"/>
      <c r="G18750" s="36" t="str">
        <f>IF(ISNUMBER(F18750),C18750*F18750,"")</f>
        <v/>
      </c>
    </row>
    <row r="18751" spans="1:7" ht="12" customHeight="1" outlineLevel="2" x14ac:dyDescent="0.2">
      <c r="A18751" s="14" t="s">
        <v>36906</v>
      </c>
      <c r="B18751" s="15" t="s">
        <v>36907</v>
      </c>
      <c r="C18751" s="16">
        <f>392.84/(1+B2)</f>
        <v>392.84</v>
      </c>
      <c r="D18751" s="17" t="s">
        <v>14</v>
      </c>
      <c r="E18751" s="17" t="s">
        <v>106</v>
      </c>
      <c r="F18751" s="18"/>
      <c r="G18751" s="36" t="str">
        <f>IF(ISNUMBER(F18751),C18751*F18751,"")</f>
        <v/>
      </c>
    </row>
    <row r="18752" spans="1:7" ht="24" customHeight="1" outlineLevel="2" x14ac:dyDescent="0.2">
      <c r="A18752" s="14" t="s">
        <v>36908</v>
      </c>
      <c r="B18752" s="15" t="s">
        <v>36909</v>
      </c>
      <c r="C18752" s="16">
        <f>380.64/(1+B2)</f>
        <v>380.64</v>
      </c>
      <c r="D18752" s="17" t="s">
        <v>11</v>
      </c>
      <c r="E18752" s="17"/>
      <c r="F18752" s="18"/>
      <c r="G18752" s="36" t="str">
        <f>IF(ISNUMBER(F18752),C18752*F18752,"")</f>
        <v/>
      </c>
    </row>
    <row r="18753" spans="1:7" ht="12" customHeight="1" outlineLevel="2" x14ac:dyDescent="0.2">
      <c r="A18753" s="14" t="s">
        <v>36910</v>
      </c>
      <c r="B18753" s="15" t="s">
        <v>36911</v>
      </c>
      <c r="C18753" s="16">
        <f>433.2/(1+B2)</f>
        <v>433.2</v>
      </c>
      <c r="D18753" s="17" t="s">
        <v>11</v>
      </c>
      <c r="E18753" s="17" t="s">
        <v>106</v>
      </c>
      <c r="F18753" s="18"/>
      <c r="G18753" s="36" t="str">
        <f>IF(ISNUMBER(F18753),C18753*F18753,"")</f>
        <v/>
      </c>
    </row>
    <row r="18754" spans="1:7" ht="24" customHeight="1" outlineLevel="2" x14ac:dyDescent="0.2">
      <c r="A18754" s="14" t="s">
        <v>36912</v>
      </c>
      <c r="B18754" s="15" t="s">
        <v>36913</v>
      </c>
      <c r="C18754" s="16">
        <f>441.6/(1+B2)</f>
        <v>441.6</v>
      </c>
      <c r="D18754" s="17" t="s">
        <v>14</v>
      </c>
      <c r="E18754" s="17" t="s">
        <v>106</v>
      </c>
      <c r="F18754" s="18"/>
      <c r="G18754" s="36" t="str">
        <f>IF(ISNUMBER(F18754),C18754*F18754,"")</f>
        <v/>
      </c>
    </row>
    <row r="18755" spans="1:7" ht="24" customHeight="1" outlineLevel="2" x14ac:dyDescent="0.2">
      <c r="A18755" s="14" t="s">
        <v>36914</v>
      </c>
      <c r="B18755" s="15" t="s">
        <v>36915</v>
      </c>
      <c r="C18755" s="16">
        <f>352.8/(1+B2)</f>
        <v>352.8</v>
      </c>
      <c r="D18755" s="17" t="s">
        <v>14</v>
      </c>
      <c r="E18755" s="17" t="s">
        <v>106</v>
      </c>
      <c r="F18755" s="18"/>
      <c r="G18755" s="36" t="str">
        <f>IF(ISNUMBER(F18755),C18755*F18755,"")</f>
        <v/>
      </c>
    </row>
    <row r="18756" spans="1:7" ht="24" customHeight="1" outlineLevel="2" x14ac:dyDescent="0.2">
      <c r="A18756" s="14" t="s">
        <v>36916</v>
      </c>
      <c r="B18756" s="15" t="s">
        <v>36917</v>
      </c>
      <c r="C18756" s="16">
        <f>336/(1+B2)</f>
        <v>336</v>
      </c>
      <c r="D18756" s="17" t="s">
        <v>11</v>
      </c>
      <c r="E18756" s="17" t="s">
        <v>106</v>
      </c>
      <c r="F18756" s="18"/>
      <c r="G18756" s="36" t="str">
        <f>IF(ISNUMBER(F18756),C18756*F18756,"")</f>
        <v/>
      </c>
    </row>
    <row r="18757" spans="1:7" ht="24" customHeight="1" outlineLevel="2" x14ac:dyDescent="0.2">
      <c r="A18757" s="14" t="s">
        <v>36918</v>
      </c>
      <c r="B18757" s="15" t="s">
        <v>36919</v>
      </c>
      <c r="C18757" s="16">
        <f>391.62/(1+B2)</f>
        <v>391.62</v>
      </c>
      <c r="D18757" s="17" t="s">
        <v>14</v>
      </c>
      <c r="E18757" s="17" t="s">
        <v>106</v>
      </c>
      <c r="F18757" s="18"/>
      <c r="G18757" s="36" t="str">
        <f>IF(ISNUMBER(F18757),C18757*F18757,"")</f>
        <v/>
      </c>
    </row>
    <row r="18758" spans="1:7" ht="24" customHeight="1" outlineLevel="2" x14ac:dyDescent="0.2">
      <c r="A18758" s="14" t="s">
        <v>36920</v>
      </c>
      <c r="B18758" s="15" t="s">
        <v>36921</v>
      </c>
      <c r="C18758" s="16">
        <f>432.94/(1+B2)</f>
        <v>432.94</v>
      </c>
      <c r="D18758" s="17" t="s">
        <v>11</v>
      </c>
      <c r="E18758" s="17" t="s">
        <v>106</v>
      </c>
      <c r="F18758" s="18"/>
      <c r="G18758" s="36" t="str">
        <f>IF(ISNUMBER(F18758),C18758*F18758,"")</f>
        <v/>
      </c>
    </row>
    <row r="18759" spans="1:7" ht="12" customHeight="1" outlineLevel="2" x14ac:dyDescent="0.2">
      <c r="A18759" s="14" t="s">
        <v>36922</v>
      </c>
      <c r="B18759" s="15" t="s">
        <v>36923</v>
      </c>
      <c r="C18759" s="16">
        <f>470.4/(1+B2)</f>
        <v>470.4</v>
      </c>
      <c r="D18759" s="17" t="s">
        <v>11</v>
      </c>
      <c r="E18759" s="17" t="s">
        <v>106</v>
      </c>
      <c r="F18759" s="18"/>
      <c r="G18759" s="36" t="str">
        <f>IF(ISNUMBER(F18759),C18759*F18759,"")</f>
        <v/>
      </c>
    </row>
    <row r="18760" spans="1:7" ht="12" customHeight="1" outlineLevel="2" x14ac:dyDescent="0.2">
      <c r="A18760" s="14" t="s">
        <v>36924</v>
      </c>
      <c r="B18760" s="15" t="s">
        <v>36925</v>
      </c>
      <c r="C18760" s="16">
        <f>547.23/(1+B2)</f>
        <v>547.23</v>
      </c>
      <c r="D18760" s="17" t="s">
        <v>14</v>
      </c>
      <c r="E18760" s="17" t="s">
        <v>106</v>
      </c>
      <c r="F18760" s="18"/>
      <c r="G18760" s="36" t="str">
        <f>IF(ISNUMBER(F18760),C18760*F18760,"")</f>
        <v/>
      </c>
    </row>
    <row r="18761" spans="1:7" ht="12" customHeight="1" outlineLevel="2" x14ac:dyDescent="0.2">
      <c r="A18761" s="14" t="s">
        <v>36926</v>
      </c>
      <c r="B18761" s="15" t="s">
        <v>36927</v>
      </c>
      <c r="C18761" s="16">
        <f>487.78/(1+B2)</f>
        <v>487.78</v>
      </c>
      <c r="D18761" s="17" t="s">
        <v>11</v>
      </c>
      <c r="E18761" s="17" t="s">
        <v>106</v>
      </c>
      <c r="F18761" s="18"/>
      <c r="G18761" s="36" t="str">
        <f>IF(ISNUMBER(F18761),C18761*F18761,"")</f>
        <v/>
      </c>
    </row>
    <row r="18762" spans="1:7" ht="12" customHeight="1" outlineLevel="2" x14ac:dyDescent="0.2">
      <c r="A18762" s="14" t="s">
        <v>36928</v>
      </c>
      <c r="B18762" s="15" t="s">
        <v>36929</v>
      </c>
      <c r="C18762" s="16">
        <f>499.99/(1+B2)</f>
        <v>499.99</v>
      </c>
      <c r="D18762" s="17" t="s">
        <v>11</v>
      </c>
      <c r="E18762" s="17" t="s">
        <v>106</v>
      </c>
      <c r="F18762" s="18"/>
      <c r="G18762" s="36" t="str">
        <f>IF(ISNUMBER(F18762),C18762*F18762,"")</f>
        <v/>
      </c>
    </row>
    <row r="18763" spans="1:7" ht="12" customHeight="1" outlineLevel="2" x14ac:dyDescent="0.2">
      <c r="A18763" s="14" t="s">
        <v>36930</v>
      </c>
      <c r="B18763" s="15" t="s">
        <v>36931</v>
      </c>
      <c r="C18763" s="16">
        <f>526.4/(1+B2)</f>
        <v>526.4</v>
      </c>
      <c r="D18763" s="17" t="s">
        <v>14</v>
      </c>
      <c r="E18763" s="17" t="s">
        <v>106</v>
      </c>
      <c r="F18763" s="18"/>
      <c r="G18763" s="36" t="str">
        <f>IF(ISNUMBER(F18763),C18763*F18763,"")</f>
        <v/>
      </c>
    </row>
    <row r="18764" spans="1:7" ht="12" customHeight="1" outlineLevel="2" x14ac:dyDescent="0.2">
      <c r="A18764" s="14" t="s">
        <v>36932</v>
      </c>
      <c r="B18764" s="15" t="s">
        <v>36933</v>
      </c>
      <c r="C18764" s="16">
        <f>436.8/(1+B2)</f>
        <v>436.8</v>
      </c>
      <c r="D18764" s="17" t="s">
        <v>14</v>
      </c>
      <c r="E18764" s="17" t="s">
        <v>106</v>
      </c>
      <c r="F18764" s="18"/>
      <c r="G18764" s="36" t="str">
        <f>IF(ISNUMBER(F18764),C18764*F18764,"")</f>
        <v/>
      </c>
    </row>
    <row r="18765" spans="1:7" ht="24" customHeight="1" outlineLevel="2" x14ac:dyDescent="0.2">
      <c r="A18765" s="14" t="s">
        <v>36934</v>
      </c>
      <c r="B18765" s="15" t="s">
        <v>36935</v>
      </c>
      <c r="C18765" s="16">
        <f>459.98/(1+B2)</f>
        <v>459.98</v>
      </c>
      <c r="D18765" s="17" t="s">
        <v>14</v>
      </c>
      <c r="E18765" s="17" t="s">
        <v>106</v>
      </c>
      <c r="F18765" s="18"/>
      <c r="G18765" s="36" t="str">
        <f>IF(ISNUMBER(F18765),C18765*F18765,"")</f>
        <v/>
      </c>
    </row>
    <row r="18766" spans="1:7" ht="12" customHeight="1" outlineLevel="2" x14ac:dyDescent="0.2">
      <c r="A18766" s="14" t="s">
        <v>36936</v>
      </c>
      <c r="B18766" s="15" t="s">
        <v>36937</v>
      </c>
      <c r="C18766" s="16">
        <f>668.71/(1+B2)</f>
        <v>668.71</v>
      </c>
      <c r="D18766" s="17" t="s">
        <v>11</v>
      </c>
      <c r="E18766" s="17" t="s">
        <v>106</v>
      </c>
      <c r="F18766" s="18"/>
      <c r="G18766" s="36" t="str">
        <f>IF(ISNUMBER(F18766),C18766*F18766,"")</f>
        <v/>
      </c>
    </row>
    <row r="18767" spans="1:7" ht="12" customHeight="1" outlineLevel="2" x14ac:dyDescent="0.2">
      <c r="A18767" s="14" t="s">
        <v>36938</v>
      </c>
      <c r="B18767" s="15" t="s">
        <v>36939</v>
      </c>
      <c r="C18767" s="16">
        <f>399.99/(1+B2)</f>
        <v>399.99</v>
      </c>
      <c r="D18767" s="17" t="s">
        <v>14</v>
      </c>
      <c r="E18767" s="17" t="s">
        <v>106</v>
      </c>
      <c r="F18767" s="18"/>
      <c r="G18767" s="36" t="str">
        <f>IF(ISNUMBER(F18767),C18767*F18767,"")</f>
        <v/>
      </c>
    </row>
    <row r="18768" spans="1:7" ht="12" customHeight="1" outlineLevel="2" x14ac:dyDescent="0.2">
      <c r="A18768" s="14" t="s">
        <v>36940</v>
      </c>
      <c r="B18768" s="15" t="s">
        <v>36941</v>
      </c>
      <c r="C18768" s="16">
        <f>486.25/(1+B2)</f>
        <v>486.25</v>
      </c>
      <c r="D18768" s="17" t="s">
        <v>14</v>
      </c>
      <c r="E18768" s="17" t="s">
        <v>106</v>
      </c>
      <c r="F18768" s="18"/>
      <c r="G18768" s="36" t="str">
        <f>IF(ISNUMBER(F18768),C18768*F18768,"")</f>
        <v/>
      </c>
    </row>
    <row r="18769" spans="1:7" s="1" customFormat="1" ht="15.95" customHeight="1" outlineLevel="1" x14ac:dyDescent="0.25">
      <c r="A18769" s="11"/>
      <c r="B18769" s="12" t="s">
        <v>36942</v>
      </c>
      <c r="C18769" s="13"/>
      <c r="D18769" s="13"/>
      <c r="E18769" s="13"/>
      <c r="F18769" s="13"/>
      <c r="G18769" s="35"/>
    </row>
    <row r="18770" spans="1:7" ht="12" customHeight="1" outlineLevel="2" x14ac:dyDescent="0.2">
      <c r="A18770" s="14" t="s">
        <v>36943</v>
      </c>
      <c r="B18770" s="15" t="s">
        <v>36944</v>
      </c>
      <c r="C18770" s="16">
        <f>320.86/(1+B2)</f>
        <v>320.86</v>
      </c>
      <c r="D18770" s="17" t="s">
        <v>53</v>
      </c>
      <c r="E18770" s="17"/>
      <c r="F18770" s="18"/>
      <c r="G18770" s="36" t="str">
        <f>IF(ISNUMBER(F18770),C18770*F18770,"")</f>
        <v/>
      </c>
    </row>
    <row r="18771" spans="1:7" ht="12" customHeight="1" outlineLevel="2" x14ac:dyDescent="0.2">
      <c r="A18771" s="14" t="s">
        <v>36945</v>
      </c>
      <c r="B18771" s="15" t="s">
        <v>36946</v>
      </c>
      <c r="C18771" s="16">
        <f>320.86/(1+B2)</f>
        <v>320.86</v>
      </c>
      <c r="D18771" s="17" t="s">
        <v>11</v>
      </c>
      <c r="E18771" s="17" t="s">
        <v>11</v>
      </c>
      <c r="F18771" s="18"/>
      <c r="G18771" s="36" t="str">
        <f>IF(ISNUMBER(F18771),C18771*F18771,"")</f>
        <v/>
      </c>
    </row>
    <row r="18772" spans="1:7" ht="12" customHeight="1" outlineLevel="2" x14ac:dyDescent="0.2">
      <c r="A18772" s="14" t="s">
        <v>36947</v>
      </c>
      <c r="B18772" s="15" t="s">
        <v>36948</v>
      </c>
      <c r="C18772" s="16">
        <f>148.24/(1+B2)</f>
        <v>148.24</v>
      </c>
      <c r="D18772" s="17" t="s">
        <v>11</v>
      </c>
      <c r="E18772" s="17" t="s">
        <v>53</v>
      </c>
      <c r="F18772" s="18"/>
      <c r="G18772" s="36" t="str">
        <f>IF(ISNUMBER(F18772),C18772*F18772,"")</f>
        <v/>
      </c>
    </row>
    <row r="18773" spans="1:7" ht="12" customHeight="1" outlineLevel="2" x14ac:dyDescent="0.2">
      <c r="A18773" s="14" t="s">
        <v>36949</v>
      </c>
      <c r="B18773" s="15" t="s">
        <v>36950</v>
      </c>
      <c r="C18773" s="16">
        <f>94.37/(1+B2)</f>
        <v>94.37</v>
      </c>
      <c r="D18773" s="17" t="s">
        <v>53</v>
      </c>
      <c r="E18773" s="17" t="s">
        <v>53</v>
      </c>
      <c r="F18773" s="18"/>
      <c r="G18773" s="36" t="str">
        <f>IF(ISNUMBER(F18773),C18773*F18773,"")</f>
        <v/>
      </c>
    </row>
    <row r="18774" spans="1:7" ht="12" customHeight="1" outlineLevel="2" x14ac:dyDescent="0.2">
      <c r="A18774" s="14" t="s">
        <v>36951</v>
      </c>
      <c r="B18774" s="15" t="s">
        <v>36952</v>
      </c>
      <c r="C18774" s="16">
        <f>196.37/(1+B2)</f>
        <v>196.37</v>
      </c>
      <c r="D18774" s="17" t="s">
        <v>11</v>
      </c>
      <c r="E18774" s="17"/>
      <c r="F18774" s="18"/>
      <c r="G18774" s="36" t="str">
        <f>IF(ISNUMBER(F18774),C18774*F18774,"")</f>
        <v/>
      </c>
    </row>
    <row r="18775" spans="1:7" ht="12" customHeight="1" outlineLevel="2" x14ac:dyDescent="0.2">
      <c r="A18775" s="14" t="s">
        <v>36953</v>
      </c>
      <c r="B18775" s="15" t="s">
        <v>36954</v>
      </c>
      <c r="C18775" s="16">
        <f>17.25/(1+B2)</f>
        <v>17.25</v>
      </c>
      <c r="D18775" s="17" t="s">
        <v>53</v>
      </c>
      <c r="E18775" s="17" t="s">
        <v>106</v>
      </c>
      <c r="F18775" s="18"/>
      <c r="G18775" s="36" t="str">
        <f>IF(ISNUMBER(F18775),C18775*F18775,"")</f>
        <v/>
      </c>
    </row>
    <row r="18776" spans="1:7" ht="12" customHeight="1" outlineLevel="2" x14ac:dyDescent="0.2">
      <c r="A18776" s="14" t="s">
        <v>36955</v>
      </c>
      <c r="B18776" s="15" t="s">
        <v>36956</v>
      </c>
      <c r="C18776" s="16">
        <f>283.62/(1+B2)</f>
        <v>283.62</v>
      </c>
      <c r="D18776" s="17" t="s">
        <v>14</v>
      </c>
      <c r="E18776" s="17"/>
      <c r="F18776" s="18"/>
      <c r="G18776" s="36" t="str">
        <f>IF(ISNUMBER(F18776),C18776*F18776,"")</f>
        <v/>
      </c>
    </row>
    <row r="18777" spans="1:7" ht="12" customHeight="1" outlineLevel="2" x14ac:dyDescent="0.2">
      <c r="A18777" s="14" t="s">
        <v>36957</v>
      </c>
      <c r="B18777" s="15" t="s">
        <v>36958</v>
      </c>
      <c r="C18777" s="16">
        <f>91.08/(1+B2)</f>
        <v>91.08</v>
      </c>
      <c r="D18777" s="17" t="s">
        <v>11</v>
      </c>
      <c r="E18777" s="17"/>
      <c r="F18777" s="18"/>
      <c r="G18777" s="36" t="str">
        <f>IF(ISNUMBER(F18777),C18777*F18777,"")</f>
        <v/>
      </c>
    </row>
    <row r="18778" spans="1:7" ht="12" customHeight="1" outlineLevel="2" x14ac:dyDescent="0.2">
      <c r="A18778" s="14" t="s">
        <v>36959</v>
      </c>
      <c r="B18778" s="15" t="s">
        <v>36960</v>
      </c>
      <c r="C18778" s="16">
        <f>275.59/(1+B2)</f>
        <v>275.58999999999997</v>
      </c>
      <c r="D18778" s="17" t="s">
        <v>53</v>
      </c>
      <c r="E18778" s="17"/>
      <c r="F18778" s="18"/>
      <c r="G18778" s="36" t="str">
        <f>IF(ISNUMBER(F18778),C18778*F18778,"")</f>
        <v/>
      </c>
    </row>
    <row r="18779" spans="1:7" ht="12" customHeight="1" outlineLevel="2" x14ac:dyDescent="0.2">
      <c r="A18779" s="14" t="s">
        <v>36961</v>
      </c>
      <c r="B18779" s="15" t="s">
        <v>36962</v>
      </c>
      <c r="C18779" s="16">
        <f>90.04/(1+B2)</f>
        <v>90.04</v>
      </c>
      <c r="D18779" s="17" t="s">
        <v>14</v>
      </c>
      <c r="E18779" s="17"/>
      <c r="F18779" s="18"/>
      <c r="G18779" s="36" t="str">
        <f>IF(ISNUMBER(F18779),C18779*F18779,"")</f>
        <v/>
      </c>
    </row>
    <row r="18780" spans="1:7" ht="12" customHeight="1" outlineLevel="2" x14ac:dyDescent="0.2">
      <c r="A18780" s="14" t="s">
        <v>36963</v>
      </c>
      <c r="B18780" s="15" t="s">
        <v>36964</v>
      </c>
      <c r="C18780" s="16">
        <f>76.68/(1+B2)</f>
        <v>76.680000000000007</v>
      </c>
      <c r="D18780" s="17" t="s">
        <v>11</v>
      </c>
      <c r="E18780" s="17"/>
      <c r="F18780" s="18"/>
      <c r="G18780" s="36" t="str">
        <f>IF(ISNUMBER(F18780),C18780*F18780,"")</f>
        <v/>
      </c>
    </row>
    <row r="18781" spans="1:7" ht="12" customHeight="1" outlineLevel="2" x14ac:dyDescent="0.2">
      <c r="A18781" s="14" t="s">
        <v>36965</v>
      </c>
      <c r="B18781" s="15" t="s">
        <v>36966</v>
      </c>
      <c r="C18781" s="19">
        <f>1091.63/(1+B2)</f>
        <v>1091.6300000000001</v>
      </c>
      <c r="D18781" s="17" t="s">
        <v>11</v>
      </c>
      <c r="E18781" s="17"/>
      <c r="F18781" s="18"/>
      <c r="G18781" s="36" t="str">
        <f>IF(ISNUMBER(F18781),C18781*F18781,"")</f>
        <v/>
      </c>
    </row>
    <row r="18782" spans="1:7" ht="12" customHeight="1" outlineLevel="2" x14ac:dyDescent="0.2">
      <c r="A18782" s="14" t="s">
        <v>36967</v>
      </c>
      <c r="B18782" s="15" t="s">
        <v>36968</v>
      </c>
      <c r="C18782" s="16">
        <f>294.2/(1+B2)</f>
        <v>294.2</v>
      </c>
      <c r="D18782" s="17" t="s">
        <v>14</v>
      </c>
      <c r="E18782" s="17"/>
      <c r="F18782" s="18"/>
      <c r="G18782" s="36" t="str">
        <f>IF(ISNUMBER(F18782),C18782*F18782,"")</f>
        <v/>
      </c>
    </row>
    <row r="18783" spans="1:7" ht="12" customHeight="1" outlineLevel="2" x14ac:dyDescent="0.2">
      <c r="A18783" s="14" t="s">
        <v>36969</v>
      </c>
      <c r="B18783" s="15" t="s">
        <v>36970</v>
      </c>
      <c r="C18783" s="16">
        <f>83.94/(1+B2)</f>
        <v>83.94</v>
      </c>
      <c r="D18783" s="17" t="s">
        <v>11</v>
      </c>
      <c r="E18783" s="17"/>
      <c r="F18783" s="18"/>
      <c r="G18783" s="36" t="str">
        <f>IF(ISNUMBER(F18783),C18783*F18783,"")</f>
        <v/>
      </c>
    </row>
    <row r="18784" spans="1:7" ht="12" customHeight="1" outlineLevel="2" x14ac:dyDescent="0.2">
      <c r="A18784" s="14" t="s">
        <v>36971</v>
      </c>
      <c r="B18784" s="15" t="s">
        <v>36972</v>
      </c>
      <c r="C18784" s="16">
        <f>206.71/(1+B2)</f>
        <v>206.71</v>
      </c>
      <c r="D18784" s="17" t="s">
        <v>14</v>
      </c>
      <c r="E18784" s="17"/>
      <c r="F18784" s="18"/>
      <c r="G18784" s="36" t="str">
        <f>IF(ISNUMBER(F18784),C18784*F18784,"")</f>
        <v/>
      </c>
    </row>
    <row r="18785" spans="1:7" ht="12" customHeight="1" outlineLevel="2" x14ac:dyDescent="0.2">
      <c r="A18785" s="14" t="s">
        <v>36973</v>
      </c>
      <c r="B18785" s="15" t="s">
        <v>36974</v>
      </c>
      <c r="C18785" s="16">
        <f>513/(1+B2)</f>
        <v>513</v>
      </c>
      <c r="D18785" s="17" t="s">
        <v>11</v>
      </c>
      <c r="E18785" s="17"/>
      <c r="F18785" s="18"/>
      <c r="G18785" s="36" t="str">
        <f>IF(ISNUMBER(F18785),C18785*F18785,"")</f>
        <v/>
      </c>
    </row>
    <row r="18786" spans="1:7" ht="12" customHeight="1" outlineLevel="2" x14ac:dyDescent="0.2">
      <c r="A18786" s="14" t="s">
        <v>36975</v>
      </c>
      <c r="B18786" s="15" t="s">
        <v>36976</v>
      </c>
      <c r="C18786" s="16">
        <f>87.01/(1+B2)</f>
        <v>87.01</v>
      </c>
      <c r="D18786" s="17" t="s">
        <v>106</v>
      </c>
      <c r="E18786" s="17"/>
      <c r="F18786" s="18"/>
      <c r="G18786" s="36" t="str">
        <f>IF(ISNUMBER(F18786),C18786*F18786,"")</f>
        <v/>
      </c>
    </row>
    <row r="18787" spans="1:7" ht="12" customHeight="1" outlineLevel="2" x14ac:dyDescent="0.2">
      <c r="A18787" s="14" t="s">
        <v>36977</v>
      </c>
      <c r="B18787" s="15" t="s">
        <v>36978</v>
      </c>
      <c r="C18787" s="16">
        <f>107.63/(1+B2)</f>
        <v>107.63</v>
      </c>
      <c r="D18787" s="17" t="s">
        <v>14</v>
      </c>
      <c r="E18787" s="17"/>
      <c r="F18787" s="18"/>
      <c r="G18787" s="36" t="str">
        <f>IF(ISNUMBER(F18787),C18787*F18787,"")</f>
        <v/>
      </c>
    </row>
    <row r="18788" spans="1:7" ht="12" customHeight="1" outlineLevel="2" x14ac:dyDescent="0.2">
      <c r="A18788" s="14" t="s">
        <v>36979</v>
      </c>
      <c r="B18788" s="15" t="s">
        <v>36980</v>
      </c>
      <c r="C18788" s="16">
        <f>141.65/(1+B2)</f>
        <v>141.65</v>
      </c>
      <c r="D18788" s="17" t="s">
        <v>53</v>
      </c>
      <c r="E18788" s="17"/>
      <c r="F18788" s="18"/>
      <c r="G18788" s="36" t="str">
        <f>IF(ISNUMBER(F18788),C18788*F18788,"")</f>
        <v/>
      </c>
    </row>
    <row r="18789" spans="1:7" ht="12" customHeight="1" outlineLevel="2" x14ac:dyDescent="0.2">
      <c r="A18789" s="14" t="s">
        <v>36981</v>
      </c>
      <c r="B18789" s="15" t="s">
        <v>36982</v>
      </c>
      <c r="C18789" s="16">
        <f>113.2/(1+B2)</f>
        <v>113.2</v>
      </c>
      <c r="D18789" s="17" t="s">
        <v>106</v>
      </c>
      <c r="E18789" s="17"/>
      <c r="F18789" s="18"/>
      <c r="G18789" s="36" t="str">
        <f>IF(ISNUMBER(F18789),C18789*F18789,"")</f>
        <v/>
      </c>
    </row>
    <row r="18790" spans="1:7" ht="12" customHeight="1" outlineLevel="2" x14ac:dyDescent="0.2">
      <c r="A18790" s="14" t="s">
        <v>36983</v>
      </c>
      <c r="B18790" s="15" t="s">
        <v>36984</v>
      </c>
      <c r="C18790" s="16">
        <f>374.84/(1+B2)</f>
        <v>374.84</v>
      </c>
      <c r="D18790" s="17" t="s">
        <v>11</v>
      </c>
      <c r="E18790" s="17"/>
      <c r="F18790" s="18"/>
      <c r="G18790" s="36" t="str">
        <f>IF(ISNUMBER(F18790),C18790*F18790,"")</f>
        <v/>
      </c>
    </row>
    <row r="18791" spans="1:7" ht="12" customHeight="1" outlineLevel="2" x14ac:dyDescent="0.2">
      <c r="A18791" s="14" t="s">
        <v>36985</v>
      </c>
      <c r="B18791" s="15" t="s">
        <v>36986</v>
      </c>
      <c r="C18791" s="16">
        <f>199.33/(1+B2)</f>
        <v>199.33</v>
      </c>
      <c r="D18791" s="17" t="s">
        <v>53</v>
      </c>
      <c r="E18791" s="17"/>
      <c r="F18791" s="18"/>
      <c r="G18791" s="36" t="str">
        <f>IF(ISNUMBER(F18791),C18791*F18791,"")</f>
        <v/>
      </c>
    </row>
    <row r="18792" spans="1:7" ht="24" customHeight="1" outlineLevel="2" x14ac:dyDescent="0.2">
      <c r="A18792" s="14" t="s">
        <v>36987</v>
      </c>
      <c r="B18792" s="15" t="s">
        <v>36988</v>
      </c>
      <c r="C18792" s="16">
        <f>255.41/(1+B2)</f>
        <v>255.41</v>
      </c>
      <c r="D18792" s="17" t="s">
        <v>14</v>
      </c>
      <c r="E18792" s="17"/>
      <c r="F18792" s="18"/>
      <c r="G18792" s="36" t="str">
        <f>IF(ISNUMBER(F18792),C18792*F18792,"")</f>
        <v/>
      </c>
    </row>
    <row r="18793" spans="1:7" ht="12" customHeight="1" outlineLevel="2" x14ac:dyDescent="0.2">
      <c r="A18793" s="14" t="s">
        <v>36989</v>
      </c>
      <c r="B18793" s="15" t="s">
        <v>36990</v>
      </c>
      <c r="C18793" s="16">
        <f>958.46/(1+B2)</f>
        <v>958.46</v>
      </c>
      <c r="D18793" s="17" t="s">
        <v>11</v>
      </c>
      <c r="E18793" s="17"/>
      <c r="F18793" s="18"/>
      <c r="G18793" s="36" t="str">
        <f>IF(ISNUMBER(F18793),C18793*F18793,"")</f>
        <v/>
      </c>
    </row>
    <row r="18794" spans="1:7" ht="12" customHeight="1" outlineLevel="2" x14ac:dyDescent="0.2">
      <c r="A18794" s="14" t="s">
        <v>36991</v>
      </c>
      <c r="B18794" s="15" t="s">
        <v>36992</v>
      </c>
      <c r="C18794" s="16">
        <f>260.86/(1+B2)</f>
        <v>260.86</v>
      </c>
      <c r="D18794" s="17" t="s">
        <v>11</v>
      </c>
      <c r="E18794" s="17"/>
      <c r="F18794" s="18"/>
      <c r="G18794" s="36" t="str">
        <f>IF(ISNUMBER(F18794),C18794*F18794,"")</f>
        <v/>
      </c>
    </row>
    <row r="18795" spans="1:7" ht="12" customHeight="1" outlineLevel="2" x14ac:dyDescent="0.2">
      <c r="A18795" s="14" t="s">
        <v>36993</v>
      </c>
      <c r="B18795" s="15" t="s">
        <v>36994</v>
      </c>
      <c r="C18795" s="16">
        <f>80.46/(1+B2)</f>
        <v>80.459999999999994</v>
      </c>
      <c r="D18795" s="17" t="s">
        <v>53</v>
      </c>
      <c r="E18795" s="17"/>
      <c r="F18795" s="18"/>
      <c r="G18795" s="36" t="str">
        <f>IF(ISNUMBER(F18795),C18795*F18795,"")</f>
        <v/>
      </c>
    </row>
    <row r="18796" spans="1:7" ht="12" customHeight="1" outlineLevel="2" x14ac:dyDescent="0.2">
      <c r="A18796" s="14" t="s">
        <v>36995</v>
      </c>
      <c r="B18796" s="15" t="s">
        <v>36996</v>
      </c>
      <c r="C18796" s="16">
        <f>114.11/(1+B2)</f>
        <v>114.11</v>
      </c>
      <c r="D18796" s="17" t="s">
        <v>11</v>
      </c>
      <c r="E18796" s="17"/>
      <c r="F18796" s="18"/>
      <c r="G18796" s="36" t="str">
        <f>IF(ISNUMBER(F18796),C18796*F18796,"")</f>
        <v/>
      </c>
    </row>
    <row r="18797" spans="1:7" ht="12" customHeight="1" outlineLevel="2" x14ac:dyDescent="0.2">
      <c r="A18797" s="14" t="s">
        <v>36997</v>
      </c>
      <c r="B18797" s="15" t="s">
        <v>36998</v>
      </c>
      <c r="C18797" s="16">
        <f>16.56/(1+B2)</f>
        <v>16.559999999999999</v>
      </c>
      <c r="D18797" s="17" t="s">
        <v>14</v>
      </c>
      <c r="E18797" s="17"/>
      <c r="F18797" s="18"/>
      <c r="G18797" s="36" t="str">
        <f>IF(ISNUMBER(F18797),C18797*F18797,"")</f>
        <v/>
      </c>
    </row>
    <row r="18798" spans="1:7" ht="12" customHeight="1" outlineLevel="2" x14ac:dyDescent="0.2">
      <c r="A18798" s="14" t="s">
        <v>36999</v>
      </c>
      <c r="B18798" s="15" t="s">
        <v>37000</v>
      </c>
      <c r="C18798" s="16">
        <f>16.01/(1+B2)</f>
        <v>16.010000000000002</v>
      </c>
      <c r="D18798" s="17" t="s">
        <v>14</v>
      </c>
      <c r="E18798" s="17" t="s">
        <v>14</v>
      </c>
      <c r="F18798" s="18"/>
      <c r="G18798" s="36" t="str">
        <f>IF(ISNUMBER(F18798),C18798*F18798,"")</f>
        <v/>
      </c>
    </row>
    <row r="18799" spans="1:7" ht="12" customHeight="1" outlineLevel="2" x14ac:dyDescent="0.2">
      <c r="A18799" s="14" t="s">
        <v>37001</v>
      </c>
      <c r="B18799" s="15" t="s">
        <v>37002</v>
      </c>
      <c r="C18799" s="16">
        <f>271.41/(1+B2)</f>
        <v>271.41000000000003</v>
      </c>
      <c r="D18799" s="17" t="s">
        <v>11</v>
      </c>
      <c r="E18799" s="17"/>
      <c r="F18799" s="18"/>
      <c r="G18799" s="36" t="str">
        <f>IF(ISNUMBER(F18799),C18799*F18799,"")</f>
        <v/>
      </c>
    </row>
    <row r="18800" spans="1:7" ht="12" customHeight="1" outlineLevel="2" x14ac:dyDescent="0.2">
      <c r="A18800" s="14" t="s">
        <v>37003</v>
      </c>
      <c r="B18800" s="15" t="s">
        <v>37004</v>
      </c>
      <c r="C18800" s="16">
        <f>229.84/(1+B2)</f>
        <v>229.84</v>
      </c>
      <c r="D18800" s="17" t="s">
        <v>11</v>
      </c>
      <c r="E18800" s="17" t="s">
        <v>11</v>
      </c>
      <c r="F18800" s="18"/>
      <c r="G18800" s="36" t="str">
        <f>IF(ISNUMBER(F18800),C18800*F18800,"")</f>
        <v/>
      </c>
    </row>
    <row r="18801" spans="1:7" ht="12" customHeight="1" outlineLevel="2" x14ac:dyDescent="0.2">
      <c r="A18801" s="14" t="s">
        <v>37005</v>
      </c>
      <c r="B18801" s="15" t="s">
        <v>37006</v>
      </c>
      <c r="C18801" s="16">
        <f>208.85/(1+B2)</f>
        <v>208.85</v>
      </c>
      <c r="D18801" s="17" t="s">
        <v>11</v>
      </c>
      <c r="E18801" s="17"/>
      <c r="F18801" s="18"/>
      <c r="G18801" s="36" t="str">
        <f>IF(ISNUMBER(F18801),C18801*F18801,"")</f>
        <v/>
      </c>
    </row>
    <row r="18802" spans="1:7" ht="12" customHeight="1" outlineLevel="2" x14ac:dyDescent="0.2">
      <c r="A18802" s="14" t="s">
        <v>37007</v>
      </c>
      <c r="B18802" s="15" t="s">
        <v>37008</v>
      </c>
      <c r="C18802" s="16">
        <f>143.56/(1+B2)</f>
        <v>143.56</v>
      </c>
      <c r="D18802" s="17" t="s">
        <v>14</v>
      </c>
      <c r="E18802" s="17"/>
      <c r="F18802" s="18"/>
      <c r="G18802" s="36" t="str">
        <f>IF(ISNUMBER(F18802),C18802*F18802,"")</f>
        <v/>
      </c>
    </row>
    <row r="18803" spans="1:7" ht="12" customHeight="1" outlineLevel="2" x14ac:dyDescent="0.2">
      <c r="A18803" s="14" t="s">
        <v>37009</v>
      </c>
      <c r="B18803" s="15" t="s">
        <v>37010</v>
      </c>
      <c r="C18803" s="16">
        <f>331.15/(1+B2)</f>
        <v>331.15</v>
      </c>
      <c r="D18803" s="17" t="s">
        <v>14</v>
      </c>
      <c r="E18803" s="17" t="s">
        <v>11</v>
      </c>
      <c r="F18803" s="18"/>
      <c r="G18803" s="36" t="str">
        <f>IF(ISNUMBER(F18803),C18803*F18803,"")</f>
        <v/>
      </c>
    </row>
    <row r="18804" spans="1:7" ht="12" customHeight="1" outlineLevel="2" x14ac:dyDescent="0.2">
      <c r="A18804" s="14" t="s">
        <v>37011</v>
      </c>
      <c r="B18804" s="15" t="s">
        <v>37012</v>
      </c>
      <c r="C18804" s="16">
        <f>47.9/(1+B2)</f>
        <v>47.9</v>
      </c>
      <c r="D18804" s="17" t="s">
        <v>11</v>
      </c>
      <c r="E18804" s="17"/>
      <c r="F18804" s="18"/>
      <c r="G18804" s="36" t="str">
        <f>IF(ISNUMBER(F18804),C18804*F18804,"")</f>
        <v/>
      </c>
    </row>
    <row r="18805" spans="1:7" ht="12" customHeight="1" outlineLevel="2" x14ac:dyDescent="0.2">
      <c r="A18805" s="14" t="s">
        <v>37013</v>
      </c>
      <c r="B18805" s="15" t="s">
        <v>37014</v>
      </c>
      <c r="C18805" s="16">
        <f>99.41/(1+B2)</f>
        <v>99.41</v>
      </c>
      <c r="D18805" s="17" t="s">
        <v>14</v>
      </c>
      <c r="E18805" s="17"/>
      <c r="F18805" s="18"/>
      <c r="G18805" s="36" t="str">
        <f>IF(ISNUMBER(F18805),C18805*F18805,"")</f>
        <v/>
      </c>
    </row>
    <row r="18806" spans="1:7" ht="12" customHeight="1" outlineLevel="2" x14ac:dyDescent="0.2">
      <c r="A18806" s="14" t="s">
        <v>37015</v>
      </c>
      <c r="B18806" s="15" t="s">
        <v>37016</v>
      </c>
      <c r="C18806" s="16">
        <f>34.99/(1+B2)</f>
        <v>34.99</v>
      </c>
      <c r="D18806" s="17" t="s">
        <v>11</v>
      </c>
      <c r="E18806" s="17" t="s">
        <v>53</v>
      </c>
      <c r="F18806" s="18"/>
      <c r="G18806" s="36" t="str">
        <f>IF(ISNUMBER(F18806),C18806*F18806,"")</f>
        <v/>
      </c>
    </row>
    <row r="18807" spans="1:7" ht="12" customHeight="1" outlineLevel="2" x14ac:dyDescent="0.2">
      <c r="A18807" s="14" t="s">
        <v>37017</v>
      </c>
      <c r="B18807" s="15" t="s">
        <v>37018</v>
      </c>
      <c r="C18807" s="16">
        <f>78.24/(1+B2)</f>
        <v>78.239999999999995</v>
      </c>
      <c r="D18807" s="17" t="s">
        <v>14</v>
      </c>
      <c r="E18807" s="17" t="s">
        <v>11</v>
      </c>
      <c r="F18807" s="18"/>
      <c r="G18807" s="36" t="str">
        <f>IF(ISNUMBER(F18807),C18807*F18807,"")</f>
        <v/>
      </c>
    </row>
    <row r="18808" spans="1:7" ht="12" customHeight="1" outlineLevel="2" x14ac:dyDescent="0.2">
      <c r="A18808" s="14" t="s">
        <v>37019</v>
      </c>
      <c r="B18808" s="15" t="s">
        <v>37020</v>
      </c>
      <c r="C18808" s="16">
        <f>141.6/(1+B2)</f>
        <v>141.6</v>
      </c>
      <c r="D18808" s="17" t="s">
        <v>11</v>
      </c>
      <c r="E18808" s="17" t="s">
        <v>11</v>
      </c>
      <c r="F18808" s="18"/>
      <c r="G18808" s="36" t="str">
        <f>IF(ISNUMBER(F18808),C18808*F18808,"")</f>
        <v/>
      </c>
    </row>
    <row r="18809" spans="1:7" ht="12" customHeight="1" outlineLevel="2" x14ac:dyDescent="0.2">
      <c r="A18809" s="14" t="s">
        <v>37021</v>
      </c>
      <c r="B18809" s="15" t="s">
        <v>37022</v>
      </c>
      <c r="C18809" s="16">
        <f>63.48/(1+B2)</f>
        <v>63.48</v>
      </c>
      <c r="D18809" s="17" t="s">
        <v>11</v>
      </c>
      <c r="E18809" s="17"/>
      <c r="F18809" s="18"/>
      <c r="G18809" s="36" t="str">
        <f>IF(ISNUMBER(F18809),C18809*F18809,"")</f>
        <v/>
      </c>
    </row>
    <row r="18810" spans="1:7" ht="12" customHeight="1" outlineLevel="2" x14ac:dyDescent="0.2">
      <c r="A18810" s="14" t="s">
        <v>37023</v>
      </c>
      <c r="B18810" s="15" t="s">
        <v>37024</v>
      </c>
      <c r="C18810" s="16">
        <f>90.36/(1+B2)</f>
        <v>90.36</v>
      </c>
      <c r="D18810" s="17" t="s">
        <v>11</v>
      </c>
      <c r="E18810" s="17" t="s">
        <v>14</v>
      </c>
      <c r="F18810" s="18"/>
      <c r="G18810" s="36" t="str">
        <f>IF(ISNUMBER(F18810),C18810*F18810,"")</f>
        <v/>
      </c>
    </row>
    <row r="18811" spans="1:7" ht="12" customHeight="1" outlineLevel="2" x14ac:dyDescent="0.2">
      <c r="A18811" s="14" t="s">
        <v>37025</v>
      </c>
      <c r="B18811" s="15" t="s">
        <v>37026</v>
      </c>
      <c r="C18811" s="16">
        <f>56.16/(1+B2)</f>
        <v>56.16</v>
      </c>
      <c r="D18811" s="17" t="s">
        <v>11</v>
      </c>
      <c r="E18811" s="17"/>
      <c r="F18811" s="18"/>
      <c r="G18811" s="36" t="str">
        <f>IF(ISNUMBER(F18811),C18811*F18811,"")</f>
        <v/>
      </c>
    </row>
    <row r="18812" spans="1:7" ht="12" customHeight="1" outlineLevel="2" x14ac:dyDescent="0.2">
      <c r="A18812" s="14" t="s">
        <v>37027</v>
      </c>
      <c r="B18812" s="15" t="s">
        <v>37028</v>
      </c>
      <c r="C18812" s="16">
        <f>97.32/(1+B2)</f>
        <v>97.32</v>
      </c>
      <c r="D18812" s="17" t="s">
        <v>11</v>
      </c>
      <c r="E18812" s="17" t="s">
        <v>14</v>
      </c>
      <c r="F18812" s="18"/>
      <c r="G18812" s="36" t="str">
        <f>IF(ISNUMBER(F18812),C18812*F18812,"")</f>
        <v/>
      </c>
    </row>
    <row r="18813" spans="1:7" ht="12" customHeight="1" outlineLevel="2" x14ac:dyDescent="0.2">
      <c r="A18813" s="14" t="s">
        <v>37029</v>
      </c>
      <c r="B18813" s="15" t="s">
        <v>37030</v>
      </c>
      <c r="C18813" s="16">
        <f>11.3/(1+B2)</f>
        <v>11.3</v>
      </c>
      <c r="D18813" s="17" t="s">
        <v>14</v>
      </c>
      <c r="E18813" s="17" t="s">
        <v>14</v>
      </c>
      <c r="F18813" s="18"/>
      <c r="G18813" s="36" t="str">
        <f>IF(ISNUMBER(F18813),C18813*F18813,"")</f>
        <v/>
      </c>
    </row>
    <row r="18814" spans="1:7" ht="12" customHeight="1" outlineLevel="2" x14ac:dyDescent="0.2">
      <c r="A18814" s="14" t="s">
        <v>37031</v>
      </c>
      <c r="B18814" s="15" t="s">
        <v>37032</v>
      </c>
      <c r="C18814" s="16">
        <f>20.96/(1+B2)</f>
        <v>20.96</v>
      </c>
      <c r="D18814" s="17" t="s">
        <v>11</v>
      </c>
      <c r="E18814" s="17" t="s">
        <v>53</v>
      </c>
      <c r="F18814" s="18"/>
      <c r="G18814" s="36" t="str">
        <f>IF(ISNUMBER(F18814),C18814*F18814,"")</f>
        <v/>
      </c>
    </row>
    <row r="18815" spans="1:7" ht="24" customHeight="1" outlineLevel="2" x14ac:dyDescent="0.2">
      <c r="A18815" s="14" t="s">
        <v>37033</v>
      </c>
      <c r="B18815" s="15" t="s">
        <v>37034</v>
      </c>
      <c r="C18815" s="16">
        <f>15.42/(1+B2)</f>
        <v>15.42</v>
      </c>
      <c r="D18815" s="17" t="s">
        <v>14</v>
      </c>
      <c r="E18815" s="17"/>
      <c r="F18815" s="18"/>
      <c r="G18815" s="36" t="str">
        <f>IF(ISNUMBER(F18815),C18815*F18815,"")</f>
        <v/>
      </c>
    </row>
    <row r="18816" spans="1:7" ht="12" customHeight="1" outlineLevel="2" x14ac:dyDescent="0.2">
      <c r="A18816" s="14" t="s">
        <v>37035</v>
      </c>
      <c r="B18816" s="15" t="s">
        <v>37036</v>
      </c>
      <c r="C18816" s="16">
        <f>62.48/(1+B2)</f>
        <v>62.48</v>
      </c>
      <c r="D18816" s="17" t="s">
        <v>53</v>
      </c>
      <c r="E18816" s="17" t="s">
        <v>53</v>
      </c>
      <c r="F18816" s="18"/>
      <c r="G18816" s="36" t="str">
        <f>IF(ISNUMBER(F18816),C18816*F18816,"")</f>
        <v/>
      </c>
    </row>
    <row r="18817" spans="1:7" ht="12" customHeight="1" outlineLevel="2" x14ac:dyDescent="0.2">
      <c r="A18817" s="14" t="s">
        <v>37037</v>
      </c>
      <c r="B18817" s="15" t="s">
        <v>37038</v>
      </c>
      <c r="C18817" s="16">
        <f>20.15/(1+B2)</f>
        <v>20.149999999999999</v>
      </c>
      <c r="D18817" s="17" t="s">
        <v>53</v>
      </c>
      <c r="E18817" s="17" t="s">
        <v>14</v>
      </c>
      <c r="F18817" s="18"/>
      <c r="G18817" s="36" t="str">
        <f>IF(ISNUMBER(F18817),C18817*F18817,"")</f>
        <v/>
      </c>
    </row>
    <row r="18818" spans="1:7" ht="12" customHeight="1" outlineLevel="2" x14ac:dyDescent="0.2">
      <c r="A18818" s="14" t="s">
        <v>37039</v>
      </c>
      <c r="B18818" s="15" t="s">
        <v>37040</v>
      </c>
      <c r="C18818" s="16">
        <f>12.63/(1+B2)</f>
        <v>12.63</v>
      </c>
      <c r="D18818" s="17" t="s">
        <v>53</v>
      </c>
      <c r="E18818" s="17" t="s">
        <v>106</v>
      </c>
      <c r="F18818" s="18"/>
      <c r="G18818" s="36" t="str">
        <f>IF(ISNUMBER(F18818),C18818*F18818,"")</f>
        <v/>
      </c>
    </row>
    <row r="18819" spans="1:7" ht="24" customHeight="1" outlineLevel="2" x14ac:dyDescent="0.2">
      <c r="A18819" s="14" t="s">
        <v>37041</v>
      </c>
      <c r="B18819" s="15" t="s">
        <v>37042</v>
      </c>
      <c r="C18819" s="16">
        <f>234.9/(1+B2)</f>
        <v>234.9</v>
      </c>
      <c r="D18819" s="17" t="s">
        <v>11</v>
      </c>
      <c r="E18819" s="17"/>
      <c r="F18819" s="18"/>
      <c r="G18819" s="36" t="str">
        <f>IF(ISNUMBER(F18819),C18819*F18819,"")</f>
        <v/>
      </c>
    </row>
    <row r="18820" spans="1:7" ht="24" customHeight="1" outlineLevel="2" x14ac:dyDescent="0.2">
      <c r="A18820" s="14" t="s">
        <v>37043</v>
      </c>
      <c r="B18820" s="15" t="s">
        <v>37044</v>
      </c>
      <c r="C18820" s="16">
        <f>336.53/(1+B2)</f>
        <v>336.53</v>
      </c>
      <c r="D18820" s="17" t="s">
        <v>11</v>
      </c>
      <c r="E18820" s="17"/>
      <c r="F18820" s="18"/>
      <c r="G18820" s="36" t="str">
        <f>IF(ISNUMBER(F18820),C18820*F18820,"")</f>
        <v/>
      </c>
    </row>
    <row r="18821" spans="1:7" ht="24" customHeight="1" outlineLevel="2" x14ac:dyDescent="0.2">
      <c r="A18821" s="14" t="s">
        <v>37045</v>
      </c>
      <c r="B18821" s="15" t="s">
        <v>37046</v>
      </c>
      <c r="C18821" s="16">
        <f>226.66/(1+B2)</f>
        <v>226.66</v>
      </c>
      <c r="D18821" s="17" t="s">
        <v>11</v>
      </c>
      <c r="E18821" s="17"/>
      <c r="F18821" s="18"/>
      <c r="G18821" s="36" t="str">
        <f>IF(ISNUMBER(F18821),C18821*F18821,"")</f>
        <v/>
      </c>
    </row>
    <row r="18822" spans="1:7" ht="24" customHeight="1" outlineLevel="2" x14ac:dyDescent="0.2">
      <c r="A18822" s="14" t="s">
        <v>37047</v>
      </c>
      <c r="B18822" s="15" t="s">
        <v>37048</v>
      </c>
      <c r="C18822" s="16">
        <f>130.44/(1+B2)</f>
        <v>130.44</v>
      </c>
      <c r="D18822" s="17" t="s">
        <v>11</v>
      </c>
      <c r="E18822" s="17"/>
      <c r="F18822" s="18"/>
      <c r="G18822" s="36" t="str">
        <f>IF(ISNUMBER(F18822),C18822*F18822,"")</f>
        <v/>
      </c>
    </row>
    <row r="18823" spans="1:7" ht="24" customHeight="1" outlineLevel="2" x14ac:dyDescent="0.2">
      <c r="A18823" s="14" t="s">
        <v>37049</v>
      </c>
      <c r="B18823" s="15" t="s">
        <v>37050</v>
      </c>
      <c r="C18823" s="16">
        <f>130.44/(1+B2)</f>
        <v>130.44</v>
      </c>
      <c r="D18823" s="17" t="s">
        <v>11</v>
      </c>
      <c r="E18823" s="17"/>
      <c r="F18823" s="18"/>
      <c r="G18823" s="36" t="str">
        <f>IF(ISNUMBER(F18823),C18823*F18823,"")</f>
        <v/>
      </c>
    </row>
    <row r="18824" spans="1:7" ht="24" customHeight="1" outlineLevel="2" x14ac:dyDescent="0.2">
      <c r="A18824" s="14" t="s">
        <v>37051</v>
      </c>
      <c r="B18824" s="15" t="s">
        <v>37052</v>
      </c>
      <c r="C18824" s="16">
        <f>122.53/(1+B2)</f>
        <v>122.53</v>
      </c>
      <c r="D18824" s="17" t="s">
        <v>11</v>
      </c>
      <c r="E18824" s="17"/>
      <c r="F18824" s="18"/>
      <c r="G18824" s="36" t="str">
        <f>IF(ISNUMBER(F18824),C18824*F18824,"")</f>
        <v/>
      </c>
    </row>
    <row r="18825" spans="1:7" ht="24" customHeight="1" outlineLevel="2" x14ac:dyDescent="0.2">
      <c r="A18825" s="14" t="s">
        <v>37053</v>
      </c>
      <c r="B18825" s="15" t="s">
        <v>37054</v>
      </c>
      <c r="C18825" s="16">
        <f>710.92/(1+B2)</f>
        <v>710.92</v>
      </c>
      <c r="D18825" s="17" t="s">
        <v>11</v>
      </c>
      <c r="E18825" s="17"/>
      <c r="F18825" s="18"/>
      <c r="G18825" s="36" t="str">
        <f>IF(ISNUMBER(F18825),C18825*F18825,"")</f>
        <v/>
      </c>
    </row>
    <row r="18826" spans="1:7" ht="24" customHeight="1" outlineLevel="2" x14ac:dyDescent="0.2">
      <c r="A18826" s="14" t="s">
        <v>37055</v>
      </c>
      <c r="B18826" s="15" t="s">
        <v>37056</v>
      </c>
      <c r="C18826" s="16">
        <f>856.06/(1+B2)</f>
        <v>856.06</v>
      </c>
      <c r="D18826" s="17" t="s">
        <v>11</v>
      </c>
      <c r="E18826" s="17"/>
      <c r="F18826" s="18"/>
      <c r="G18826" s="36" t="str">
        <f>IF(ISNUMBER(F18826),C18826*F18826,"")</f>
        <v/>
      </c>
    </row>
    <row r="18827" spans="1:7" ht="24" customHeight="1" outlineLevel="2" x14ac:dyDescent="0.2">
      <c r="A18827" s="14" t="s">
        <v>37057</v>
      </c>
      <c r="B18827" s="15" t="s">
        <v>37058</v>
      </c>
      <c r="C18827" s="16">
        <f>57.42/(1+B2)</f>
        <v>57.42</v>
      </c>
      <c r="D18827" s="17" t="s">
        <v>11</v>
      </c>
      <c r="E18827" s="17"/>
      <c r="F18827" s="18"/>
      <c r="G18827" s="36" t="str">
        <f>IF(ISNUMBER(F18827),C18827*F18827,"")</f>
        <v/>
      </c>
    </row>
    <row r="18828" spans="1:7" ht="12" customHeight="1" outlineLevel="2" x14ac:dyDescent="0.2">
      <c r="A18828" s="14" t="s">
        <v>37059</v>
      </c>
      <c r="B18828" s="15" t="s">
        <v>37060</v>
      </c>
      <c r="C18828" s="16">
        <f>184.14/(1+B2)</f>
        <v>184.14</v>
      </c>
      <c r="D18828" s="17" t="s">
        <v>11</v>
      </c>
      <c r="E18828" s="17"/>
      <c r="F18828" s="18"/>
      <c r="G18828" s="36" t="str">
        <f>IF(ISNUMBER(F18828),C18828*F18828,"")</f>
        <v/>
      </c>
    </row>
    <row r="18829" spans="1:7" ht="12" customHeight="1" outlineLevel="2" x14ac:dyDescent="0.2">
      <c r="A18829" s="14" t="s">
        <v>37061</v>
      </c>
      <c r="B18829" s="15" t="s">
        <v>37062</v>
      </c>
      <c r="C18829" s="16">
        <f>109.01/(1+B2)</f>
        <v>109.01</v>
      </c>
      <c r="D18829" s="17" t="s">
        <v>11</v>
      </c>
      <c r="E18829" s="17" t="s">
        <v>106</v>
      </c>
      <c r="F18829" s="18"/>
      <c r="G18829" s="36" t="str">
        <f>IF(ISNUMBER(F18829),C18829*F18829,"")</f>
        <v/>
      </c>
    </row>
    <row r="18830" spans="1:7" ht="12" customHeight="1" outlineLevel="2" x14ac:dyDescent="0.2">
      <c r="A18830" s="14" t="s">
        <v>37063</v>
      </c>
      <c r="B18830" s="15" t="s">
        <v>37064</v>
      </c>
      <c r="C18830" s="16">
        <f>188.81/(1+B2)</f>
        <v>188.81</v>
      </c>
      <c r="D18830" s="17" t="s">
        <v>14</v>
      </c>
      <c r="E18830" s="17" t="s">
        <v>53</v>
      </c>
      <c r="F18830" s="18"/>
      <c r="G18830" s="36" t="str">
        <f>IF(ISNUMBER(F18830),C18830*F18830,"")</f>
        <v/>
      </c>
    </row>
    <row r="18831" spans="1:7" ht="12" customHeight="1" outlineLevel="2" x14ac:dyDescent="0.2">
      <c r="A18831" s="14" t="s">
        <v>37065</v>
      </c>
      <c r="B18831" s="15" t="s">
        <v>37066</v>
      </c>
      <c r="C18831" s="16">
        <f>150.93/(1+B2)</f>
        <v>150.93</v>
      </c>
      <c r="D18831" s="17" t="s">
        <v>14</v>
      </c>
      <c r="E18831" s="17" t="s">
        <v>106</v>
      </c>
      <c r="F18831" s="18"/>
      <c r="G18831" s="36" t="str">
        <f>IF(ISNUMBER(F18831),C18831*F18831,"")</f>
        <v/>
      </c>
    </row>
    <row r="18832" spans="1:7" ht="12" customHeight="1" outlineLevel="2" x14ac:dyDescent="0.2">
      <c r="A18832" s="14" t="s">
        <v>37067</v>
      </c>
      <c r="B18832" s="15" t="s">
        <v>37068</v>
      </c>
      <c r="C18832" s="16">
        <f>26.23/(1+B2)</f>
        <v>26.23</v>
      </c>
      <c r="D18832" s="17" t="s">
        <v>53</v>
      </c>
      <c r="E18832" s="17" t="s">
        <v>14</v>
      </c>
      <c r="F18832" s="18"/>
      <c r="G18832" s="36" t="str">
        <f>IF(ISNUMBER(F18832),C18832*F18832,"")</f>
        <v/>
      </c>
    </row>
    <row r="18833" spans="1:7" ht="12" customHeight="1" outlineLevel="2" x14ac:dyDescent="0.2">
      <c r="A18833" s="14" t="s">
        <v>37069</v>
      </c>
      <c r="B18833" s="15" t="s">
        <v>37070</v>
      </c>
      <c r="C18833" s="16">
        <f>20.25/(1+B2)</f>
        <v>20.25</v>
      </c>
      <c r="D18833" s="17" t="s">
        <v>53</v>
      </c>
      <c r="E18833" s="17" t="s">
        <v>106</v>
      </c>
      <c r="F18833" s="18"/>
      <c r="G18833" s="36" t="str">
        <f>IF(ISNUMBER(F18833),C18833*F18833,"")</f>
        <v/>
      </c>
    </row>
    <row r="18834" spans="1:7" ht="12" customHeight="1" outlineLevel="2" x14ac:dyDescent="0.2">
      <c r="A18834" s="14" t="s">
        <v>37071</v>
      </c>
      <c r="B18834" s="15" t="s">
        <v>37072</v>
      </c>
      <c r="C18834" s="16">
        <f>312.63/(1+B2)</f>
        <v>312.63</v>
      </c>
      <c r="D18834" s="17" t="s">
        <v>14</v>
      </c>
      <c r="E18834" s="17" t="s">
        <v>106</v>
      </c>
      <c r="F18834" s="18"/>
      <c r="G18834" s="36" t="str">
        <f>IF(ISNUMBER(F18834),C18834*F18834,"")</f>
        <v/>
      </c>
    </row>
    <row r="18835" spans="1:7" ht="12" customHeight="1" outlineLevel="2" x14ac:dyDescent="0.2">
      <c r="A18835" s="14" t="s">
        <v>37073</v>
      </c>
      <c r="B18835" s="15" t="s">
        <v>37074</v>
      </c>
      <c r="C18835" s="16">
        <f>188.4/(1+B2)</f>
        <v>188.4</v>
      </c>
      <c r="D18835" s="17" t="s">
        <v>14</v>
      </c>
      <c r="E18835" s="17" t="s">
        <v>11</v>
      </c>
      <c r="F18835" s="18"/>
      <c r="G18835" s="36" t="str">
        <f>IF(ISNUMBER(F18835),C18835*F18835,"")</f>
        <v/>
      </c>
    </row>
    <row r="18836" spans="1:7" s="1" customFormat="1" ht="15.95" customHeight="1" outlineLevel="1" x14ac:dyDescent="0.25">
      <c r="A18836" s="11"/>
      <c r="B18836" s="12" t="s">
        <v>37075</v>
      </c>
      <c r="C18836" s="13"/>
      <c r="D18836" s="13"/>
      <c r="E18836" s="13"/>
      <c r="F18836" s="13"/>
      <c r="G18836" s="35"/>
    </row>
    <row r="18837" spans="1:7" ht="12" customHeight="1" outlineLevel="2" x14ac:dyDescent="0.2">
      <c r="A18837" s="14" t="s">
        <v>37076</v>
      </c>
      <c r="B18837" s="15" t="s">
        <v>37077</v>
      </c>
      <c r="C18837" s="16">
        <f>53.52/(1+B2)</f>
        <v>53.52</v>
      </c>
      <c r="D18837" s="17" t="s">
        <v>11</v>
      </c>
      <c r="E18837" s="17" t="s">
        <v>14</v>
      </c>
      <c r="F18837" s="18"/>
      <c r="G18837" s="36" t="str">
        <f>IF(ISNUMBER(F18837),C18837*F18837,"")</f>
        <v/>
      </c>
    </row>
    <row r="18838" spans="1:7" ht="12" customHeight="1" outlineLevel="2" x14ac:dyDescent="0.2">
      <c r="A18838" s="14" t="s">
        <v>37078</v>
      </c>
      <c r="B18838" s="15" t="s">
        <v>37079</v>
      </c>
      <c r="C18838" s="16">
        <f>66.6/(1+B2)</f>
        <v>66.599999999999994</v>
      </c>
      <c r="D18838" s="17" t="s">
        <v>11</v>
      </c>
      <c r="E18838" s="17"/>
      <c r="F18838" s="18"/>
      <c r="G18838" s="36" t="str">
        <f>IF(ISNUMBER(F18838),C18838*F18838,"")</f>
        <v/>
      </c>
    </row>
    <row r="18839" spans="1:7" ht="12" customHeight="1" outlineLevel="2" x14ac:dyDescent="0.2">
      <c r="A18839" s="14" t="s">
        <v>37080</v>
      </c>
      <c r="B18839" s="15" t="s">
        <v>37081</v>
      </c>
      <c r="C18839" s="16">
        <f>89.64/(1+B2)</f>
        <v>89.64</v>
      </c>
      <c r="D18839" s="17" t="s">
        <v>11</v>
      </c>
      <c r="E18839" s="17"/>
      <c r="F18839" s="18"/>
      <c r="G18839" s="36" t="str">
        <f>IF(ISNUMBER(F18839),C18839*F18839,"")</f>
        <v/>
      </c>
    </row>
    <row r="18840" spans="1:7" ht="12" customHeight="1" outlineLevel="2" x14ac:dyDescent="0.2">
      <c r="A18840" s="14" t="s">
        <v>37082</v>
      </c>
      <c r="B18840" s="15" t="s">
        <v>37083</v>
      </c>
      <c r="C18840" s="16">
        <f>309/(1+B2)</f>
        <v>309</v>
      </c>
      <c r="D18840" s="17" t="s">
        <v>11</v>
      </c>
      <c r="E18840" s="17"/>
      <c r="F18840" s="18"/>
      <c r="G18840" s="36" t="str">
        <f>IF(ISNUMBER(F18840),C18840*F18840,"")</f>
        <v/>
      </c>
    </row>
    <row r="18841" spans="1:7" ht="12" customHeight="1" outlineLevel="2" x14ac:dyDescent="0.2">
      <c r="A18841" s="14" t="s">
        <v>37084</v>
      </c>
      <c r="B18841" s="15" t="s">
        <v>37085</v>
      </c>
      <c r="C18841" s="16">
        <f>315/(1+B2)</f>
        <v>315</v>
      </c>
      <c r="D18841" s="17" t="s">
        <v>11</v>
      </c>
      <c r="E18841" s="17"/>
      <c r="F18841" s="18"/>
      <c r="G18841" s="36" t="str">
        <f>IF(ISNUMBER(F18841),C18841*F18841,"")</f>
        <v/>
      </c>
    </row>
    <row r="18842" spans="1:7" ht="12" customHeight="1" outlineLevel="2" x14ac:dyDescent="0.2">
      <c r="A18842" s="14" t="s">
        <v>37086</v>
      </c>
      <c r="B18842" s="15" t="s">
        <v>37087</v>
      </c>
      <c r="C18842" s="16">
        <f>189.96/(1+B2)</f>
        <v>189.96</v>
      </c>
      <c r="D18842" s="17" t="s">
        <v>14</v>
      </c>
      <c r="E18842" s="17"/>
      <c r="F18842" s="18"/>
      <c r="G18842" s="36" t="str">
        <f>IF(ISNUMBER(F18842),C18842*F18842,"")</f>
        <v/>
      </c>
    </row>
    <row r="18843" spans="1:7" ht="12" customHeight="1" outlineLevel="2" x14ac:dyDescent="0.2">
      <c r="A18843" s="14" t="s">
        <v>37088</v>
      </c>
      <c r="B18843" s="15" t="s">
        <v>37089</v>
      </c>
      <c r="C18843" s="19">
        <f>1970.06/(1+B2)</f>
        <v>1970.06</v>
      </c>
      <c r="D18843" s="17" t="s">
        <v>11</v>
      </c>
      <c r="E18843" s="17"/>
      <c r="F18843" s="18"/>
      <c r="G18843" s="36" t="str">
        <f>IF(ISNUMBER(F18843),C18843*F18843,"")</f>
        <v/>
      </c>
    </row>
    <row r="18844" spans="1:7" ht="12" customHeight="1" outlineLevel="2" x14ac:dyDescent="0.2">
      <c r="A18844" s="14" t="s">
        <v>37090</v>
      </c>
      <c r="B18844" s="15" t="s">
        <v>37091</v>
      </c>
      <c r="C18844" s="16">
        <f>112.08/(1+B2)</f>
        <v>112.08</v>
      </c>
      <c r="D18844" s="17" t="s">
        <v>11</v>
      </c>
      <c r="E18844" s="17"/>
      <c r="F18844" s="18"/>
      <c r="G18844" s="36" t="str">
        <f>IF(ISNUMBER(F18844),C18844*F18844,"")</f>
        <v/>
      </c>
    </row>
    <row r="18845" spans="1:7" ht="12" customHeight="1" outlineLevel="2" x14ac:dyDescent="0.2">
      <c r="A18845" s="14" t="s">
        <v>37092</v>
      </c>
      <c r="B18845" s="15" t="s">
        <v>37093</v>
      </c>
      <c r="C18845" s="16">
        <f>117.36/(1+B2)</f>
        <v>117.36</v>
      </c>
      <c r="D18845" s="17"/>
      <c r="E18845" s="17" t="s">
        <v>11</v>
      </c>
      <c r="F18845" s="18"/>
      <c r="G18845" s="36" t="str">
        <f>IF(ISNUMBER(F18845),C18845*F18845,"")</f>
        <v/>
      </c>
    </row>
    <row r="18846" spans="1:7" ht="12" customHeight="1" outlineLevel="2" x14ac:dyDescent="0.2">
      <c r="A18846" s="14" t="s">
        <v>37094</v>
      </c>
      <c r="B18846" s="15" t="s">
        <v>37095</v>
      </c>
      <c r="C18846" s="16">
        <f>384.24/(1+B2)</f>
        <v>384.24</v>
      </c>
      <c r="D18846" s="17" t="s">
        <v>11</v>
      </c>
      <c r="E18846" s="17" t="s">
        <v>14</v>
      </c>
      <c r="F18846" s="18"/>
      <c r="G18846" s="36" t="str">
        <f>IF(ISNUMBER(F18846),C18846*F18846,"")</f>
        <v/>
      </c>
    </row>
    <row r="18847" spans="1:7" ht="12" customHeight="1" outlineLevel="2" x14ac:dyDescent="0.2">
      <c r="A18847" s="14" t="s">
        <v>37096</v>
      </c>
      <c r="B18847" s="15" t="s">
        <v>37097</v>
      </c>
      <c r="C18847" s="16">
        <f>456/(1+B2)</f>
        <v>456</v>
      </c>
      <c r="D18847" s="17" t="s">
        <v>11</v>
      </c>
      <c r="E18847" s="17"/>
      <c r="F18847" s="18"/>
      <c r="G18847" s="36" t="str">
        <f>IF(ISNUMBER(F18847),C18847*F18847,"")</f>
        <v/>
      </c>
    </row>
    <row r="18848" spans="1:7" ht="12" customHeight="1" outlineLevel="2" x14ac:dyDescent="0.2">
      <c r="A18848" s="14" t="s">
        <v>37098</v>
      </c>
      <c r="B18848" s="15" t="s">
        <v>37099</v>
      </c>
      <c r="C18848" s="16">
        <f>48.96/(1+B2)</f>
        <v>48.96</v>
      </c>
      <c r="D18848" s="17" t="s">
        <v>11</v>
      </c>
      <c r="E18848" s="17" t="s">
        <v>14</v>
      </c>
      <c r="F18848" s="18"/>
      <c r="G18848" s="36" t="str">
        <f>IF(ISNUMBER(F18848),C18848*F18848,"")</f>
        <v/>
      </c>
    </row>
    <row r="18849" spans="1:7" ht="12" customHeight="1" outlineLevel="2" x14ac:dyDescent="0.2">
      <c r="A18849" s="14" t="s">
        <v>37100</v>
      </c>
      <c r="B18849" s="15" t="s">
        <v>37101</v>
      </c>
      <c r="C18849" s="16">
        <f>42.84/(1+B2)</f>
        <v>42.84</v>
      </c>
      <c r="D18849" s="17" t="s">
        <v>11</v>
      </c>
      <c r="E18849" s="17" t="s">
        <v>11</v>
      </c>
      <c r="F18849" s="18"/>
      <c r="G18849" s="36" t="str">
        <f>IF(ISNUMBER(F18849),C18849*F18849,"")</f>
        <v/>
      </c>
    </row>
    <row r="18850" spans="1:7" ht="12" customHeight="1" outlineLevel="2" x14ac:dyDescent="0.2">
      <c r="A18850" s="14" t="s">
        <v>37102</v>
      </c>
      <c r="B18850" s="15" t="s">
        <v>37103</v>
      </c>
      <c r="C18850" s="16">
        <f>76.92/(1+B2)</f>
        <v>76.92</v>
      </c>
      <c r="D18850" s="17" t="s">
        <v>11</v>
      </c>
      <c r="E18850" s="17"/>
      <c r="F18850" s="18"/>
      <c r="G18850" s="36" t="str">
        <f>IF(ISNUMBER(F18850),C18850*F18850,"")</f>
        <v/>
      </c>
    </row>
    <row r="18851" spans="1:7" ht="12" customHeight="1" outlineLevel="2" x14ac:dyDescent="0.2">
      <c r="A18851" s="14" t="s">
        <v>37104</v>
      </c>
      <c r="B18851" s="15" t="s">
        <v>37105</v>
      </c>
      <c r="C18851" s="16">
        <f>82.44/(1+B2)</f>
        <v>82.44</v>
      </c>
      <c r="D18851" s="17"/>
      <c r="E18851" s="17" t="s">
        <v>14</v>
      </c>
      <c r="F18851" s="18"/>
      <c r="G18851" s="36" t="str">
        <f>IF(ISNUMBER(F18851),C18851*F18851,"")</f>
        <v/>
      </c>
    </row>
    <row r="18852" spans="1:7" ht="12" customHeight="1" outlineLevel="2" x14ac:dyDescent="0.2">
      <c r="A18852" s="14" t="s">
        <v>37106</v>
      </c>
      <c r="B18852" s="15" t="s">
        <v>37107</v>
      </c>
      <c r="C18852" s="16">
        <f>430.32/(1+B2)</f>
        <v>430.32</v>
      </c>
      <c r="D18852" s="17" t="s">
        <v>11</v>
      </c>
      <c r="E18852" s="17"/>
      <c r="F18852" s="18"/>
      <c r="G18852" s="36" t="str">
        <f>IF(ISNUMBER(F18852),C18852*F18852,"")</f>
        <v/>
      </c>
    </row>
    <row r="18853" spans="1:7" ht="12" customHeight="1" outlineLevel="2" x14ac:dyDescent="0.2">
      <c r="A18853" s="14" t="s">
        <v>37108</v>
      </c>
      <c r="B18853" s="15" t="s">
        <v>37109</v>
      </c>
      <c r="C18853" s="16">
        <f>87.62/(1+B2)</f>
        <v>87.62</v>
      </c>
      <c r="D18853" s="17" t="s">
        <v>11</v>
      </c>
      <c r="E18853" s="17" t="s">
        <v>14</v>
      </c>
      <c r="F18853" s="18"/>
      <c r="G18853" s="36" t="str">
        <f>IF(ISNUMBER(F18853),C18853*F18853,"")</f>
        <v/>
      </c>
    </row>
    <row r="18854" spans="1:7" ht="12" customHeight="1" outlineLevel="2" x14ac:dyDescent="0.2">
      <c r="A18854" s="14" t="s">
        <v>37110</v>
      </c>
      <c r="B18854" s="15" t="s">
        <v>37111</v>
      </c>
      <c r="C18854" s="16">
        <f>158.16/(1+B2)</f>
        <v>158.16</v>
      </c>
      <c r="D18854" s="17" t="s">
        <v>11</v>
      </c>
      <c r="E18854" s="17" t="s">
        <v>14</v>
      </c>
      <c r="F18854" s="18"/>
      <c r="G18854" s="36" t="str">
        <f>IF(ISNUMBER(F18854),C18854*F18854,"")</f>
        <v/>
      </c>
    </row>
    <row r="18855" spans="1:7" s="1" customFormat="1" ht="15.95" customHeight="1" outlineLevel="1" x14ac:dyDescent="0.25">
      <c r="A18855" s="11"/>
      <c r="B18855" s="12" t="s">
        <v>37112</v>
      </c>
      <c r="C18855" s="13"/>
      <c r="D18855" s="13"/>
      <c r="E18855" s="13"/>
      <c r="F18855" s="13"/>
      <c r="G18855" s="35"/>
    </row>
    <row r="18856" spans="1:7" ht="24" customHeight="1" outlineLevel="2" x14ac:dyDescent="0.2">
      <c r="A18856" s="14" t="s">
        <v>37113</v>
      </c>
      <c r="B18856" s="15" t="s">
        <v>37114</v>
      </c>
      <c r="C18856" s="16">
        <f>422.21/(1+B2)</f>
        <v>422.21</v>
      </c>
      <c r="D18856" s="17" t="s">
        <v>11</v>
      </c>
      <c r="E18856" s="17"/>
      <c r="F18856" s="18"/>
      <c r="G18856" s="36" t="str">
        <f>IF(ISNUMBER(F18856),C18856*F18856,"")</f>
        <v/>
      </c>
    </row>
    <row r="18857" spans="1:7" ht="12" customHeight="1" outlineLevel="2" x14ac:dyDescent="0.2">
      <c r="A18857" s="14" t="s">
        <v>37115</v>
      </c>
      <c r="B18857" s="15" t="s">
        <v>37116</v>
      </c>
      <c r="C18857" s="16">
        <f>170.52/(1+B2)</f>
        <v>170.52</v>
      </c>
      <c r="D18857" s="17" t="s">
        <v>11</v>
      </c>
      <c r="E18857" s="17"/>
      <c r="F18857" s="18"/>
      <c r="G18857" s="36" t="str">
        <f>IF(ISNUMBER(F18857),C18857*F18857,"")</f>
        <v/>
      </c>
    </row>
    <row r="18858" spans="1:7" ht="12" customHeight="1" outlineLevel="2" x14ac:dyDescent="0.2">
      <c r="A18858" s="14" t="s">
        <v>37117</v>
      </c>
      <c r="B18858" s="15" t="s">
        <v>37118</v>
      </c>
      <c r="C18858" s="16">
        <f>388.52/(1+B2)</f>
        <v>388.52</v>
      </c>
      <c r="D18858" s="17" t="s">
        <v>11</v>
      </c>
      <c r="E18858" s="17"/>
      <c r="F18858" s="18"/>
      <c r="G18858" s="36" t="str">
        <f>IF(ISNUMBER(F18858),C18858*F18858,"")</f>
        <v/>
      </c>
    </row>
    <row r="18859" spans="1:7" ht="12" customHeight="1" outlineLevel="2" x14ac:dyDescent="0.2">
      <c r="A18859" s="14" t="s">
        <v>37119</v>
      </c>
      <c r="B18859" s="15" t="s">
        <v>37120</v>
      </c>
      <c r="C18859" s="16">
        <f>186.31/(1+B2)</f>
        <v>186.31</v>
      </c>
      <c r="D18859" s="17" t="s">
        <v>11</v>
      </c>
      <c r="E18859" s="17" t="s">
        <v>11</v>
      </c>
      <c r="F18859" s="18"/>
      <c r="G18859" s="36" t="str">
        <f>IF(ISNUMBER(F18859),C18859*F18859,"")</f>
        <v/>
      </c>
    </row>
    <row r="18860" spans="1:7" ht="12" customHeight="1" outlineLevel="2" x14ac:dyDescent="0.2">
      <c r="A18860" s="14" t="s">
        <v>37121</v>
      </c>
      <c r="B18860" s="15" t="s">
        <v>37122</v>
      </c>
      <c r="C18860" s="16">
        <f>275.99/(1+B2)</f>
        <v>275.99</v>
      </c>
      <c r="D18860" s="17" t="s">
        <v>11</v>
      </c>
      <c r="E18860" s="17"/>
      <c r="F18860" s="18"/>
      <c r="G18860" s="36" t="str">
        <f>IF(ISNUMBER(F18860),C18860*F18860,"")</f>
        <v/>
      </c>
    </row>
    <row r="18861" spans="1:7" ht="12" customHeight="1" outlineLevel="2" x14ac:dyDescent="0.2">
      <c r="A18861" s="14" t="s">
        <v>37123</v>
      </c>
      <c r="B18861" s="15" t="s">
        <v>37124</v>
      </c>
      <c r="C18861" s="16">
        <f>292.95/(1+B2)</f>
        <v>292.95</v>
      </c>
      <c r="D18861" s="17" t="s">
        <v>11</v>
      </c>
      <c r="E18861" s="17"/>
      <c r="F18861" s="18"/>
      <c r="G18861" s="36" t="str">
        <f>IF(ISNUMBER(F18861),C18861*F18861,"")</f>
        <v/>
      </c>
    </row>
    <row r="18862" spans="1:7" ht="12" customHeight="1" outlineLevel="2" x14ac:dyDescent="0.2">
      <c r="A18862" s="14" t="s">
        <v>37125</v>
      </c>
      <c r="B18862" s="15" t="s">
        <v>37126</v>
      </c>
      <c r="C18862" s="16">
        <f>265.66/(1+B2)</f>
        <v>265.66000000000003</v>
      </c>
      <c r="D18862" s="17" t="s">
        <v>11</v>
      </c>
      <c r="E18862" s="17"/>
      <c r="F18862" s="18"/>
      <c r="G18862" s="36" t="str">
        <f>IF(ISNUMBER(F18862),C18862*F18862,"")</f>
        <v/>
      </c>
    </row>
    <row r="18863" spans="1:7" ht="12" customHeight="1" outlineLevel="2" x14ac:dyDescent="0.2">
      <c r="A18863" s="14" t="s">
        <v>37127</v>
      </c>
      <c r="B18863" s="15" t="s">
        <v>37128</v>
      </c>
      <c r="C18863" s="16">
        <f>316.53/(1+B2)</f>
        <v>316.52999999999997</v>
      </c>
      <c r="D18863" s="17" t="s">
        <v>11</v>
      </c>
      <c r="E18863" s="17" t="s">
        <v>11</v>
      </c>
      <c r="F18863" s="18"/>
      <c r="G18863" s="36" t="str">
        <f>IF(ISNUMBER(F18863),C18863*F18863,"")</f>
        <v/>
      </c>
    </row>
    <row r="18864" spans="1:7" ht="12" customHeight="1" outlineLevel="2" x14ac:dyDescent="0.2">
      <c r="A18864" s="14" t="s">
        <v>37129</v>
      </c>
      <c r="B18864" s="15" t="s">
        <v>37130</v>
      </c>
      <c r="C18864" s="16">
        <f>282.73/(1+B2)</f>
        <v>282.73</v>
      </c>
      <c r="D18864" s="17" t="s">
        <v>11</v>
      </c>
      <c r="E18864" s="17" t="s">
        <v>11</v>
      </c>
      <c r="F18864" s="18"/>
      <c r="G18864" s="36" t="str">
        <f>IF(ISNUMBER(F18864),C18864*F18864,"")</f>
        <v/>
      </c>
    </row>
    <row r="18865" spans="1:7" ht="12" customHeight="1" outlineLevel="2" x14ac:dyDescent="0.2">
      <c r="A18865" s="14" t="s">
        <v>37131</v>
      </c>
      <c r="B18865" s="15" t="s">
        <v>37132</v>
      </c>
      <c r="C18865" s="16">
        <f>273.05/(1+B2)</f>
        <v>273.05</v>
      </c>
      <c r="D18865" s="17" t="s">
        <v>11</v>
      </c>
      <c r="E18865" s="17"/>
      <c r="F18865" s="18"/>
      <c r="G18865" s="36" t="str">
        <f>IF(ISNUMBER(F18865),C18865*F18865,"")</f>
        <v/>
      </c>
    </row>
    <row r="18866" spans="1:7" ht="12" customHeight="1" outlineLevel="2" x14ac:dyDescent="0.2">
      <c r="A18866" s="14" t="s">
        <v>37133</v>
      </c>
      <c r="B18866" s="15" t="s">
        <v>37134</v>
      </c>
      <c r="C18866" s="16">
        <f>282.73/(1+B2)</f>
        <v>282.73</v>
      </c>
      <c r="D18866" s="17" t="s">
        <v>11</v>
      </c>
      <c r="E18866" s="17" t="s">
        <v>11</v>
      </c>
      <c r="F18866" s="18"/>
      <c r="G18866" s="36" t="str">
        <f>IF(ISNUMBER(F18866),C18866*F18866,"")</f>
        <v/>
      </c>
    </row>
    <row r="18867" spans="1:7" ht="12" customHeight="1" outlineLevel="2" x14ac:dyDescent="0.2">
      <c r="A18867" s="14" t="s">
        <v>37135</v>
      </c>
      <c r="B18867" s="15" t="s">
        <v>37136</v>
      </c>
      <c r="C18867" s="16">
        <f>305.12/(1+B2)</f>
        <v>305.12</v>
      </c>
      <c r="D18867" s="17" t="s">
        <v>11</v>
      </c>
      <c r="E18867" s="17"/>
      <c r="F18867" s="18"/>
      <c r="G18867" s="36" t="str">
        <f>IF(ISNUMBER(F18867),C18867*F18867,"")</f>
        <v/>
      </c>
    </row>
    <row r="18868" spans="1:7" ht="12" customHeight="1" outlineLevel="2" x14ac:dyDescent="0.2">
      <c r="A18868" s="14" t="s">
        <v>37137</v>
      </c>
      <c r="B18868" s="15" t="s">
        <v>37138</v>
      </c>
      <c r="C18868" s="16">
        <f>178.01/(1+B2)</f>
        <v>178.01</v>
      </c>
      <c r="D18868" s="17" t="s">
        <v>11</v>
      </c>
      <c r="E18868" s="17" t="s">
        <v>11</v>
      </c>
      <c r="F18868" s="18"/>
      <c r="G18868" s="36" t="str">
        <f>IF(ISNUMBER(F18868),C18868*F18868,"")</f>
        <v/>
      </c>
    </row>
    <row r="18869" spans="1:7" ht="12" customHeight="1" outlineLevel="2" x14ac:dyDescent="0.2">
      <c r="A18869" s="14" t="s">
        <v>37139</v>
      </c>
      <c r="B18869" s="15" t="s">
        <v>37140</v>
      </c>
      <c r="C18869" s="16">
        <f>287.95/(1+B2)</f>
        <v>287.95</v>
      </c>
      <c r="D18869" s="17" t="s">
        <v>11</v>
      </c>
      <c r="E18869" s="17" t="s">
        <v>11</v>
      </c>
      <c r="F18869" s="18"/>
      <c r="G18869" s="36" t="str">
        <f>IF(ISNUMBER(F18869),C18869*F18869,"")</f>
        <v/>
      </c>
    </row>
    <row r="18870" spans="1:7" ht="24" customHeight="1" outlineLevel="2" x14ac:dyDescent="0.2">
      <c r="A18870" s="14" t="s">
        <v>37141</v>
      </c>
      <c r="B18870" s="15" t="s">
        <v>37142</v>
      </c>
      <c r="C18870" s="16">
        <f>382.92/(1+B2)</f>
        <v>382.92</v>
      </c>
      <c r="D18870" s="17" t="s">
        <v>11</v>
      </c>
      <c r="E18870" s="17" t="s">
        <v>11</v>
      </c>
      <c r="F18870" s="18"/>
      <c r="G18870" s="36" t="str">
        <f>IF(ISNUMBER(F18870),C18870*F18870,"")</f>
        <v/>
      </c>
    </row>
    <row r="18871" spans="1:7" ht="12" customHeight="1" outlineLevel="2" x14ac:dyDescent="0.2">
      <c r="A18871" s="14" t="s">
        <v>37143</v>
      </c>
      <c r="B18871" s="15" t="s">
        <v>37144</v>
      </c>
      <c r="C18871" s="16">
        <f>576/(1+B2)</f>
        <v>576</v>
      </c>
      <c r="D18871" s="17" t="s">
        <v>11</v>
      </c>
      <c r="E18871" s="17"/>
      <c r="F18871" s="18"/>
      <c r="G18871" s="36" t="str">
        <f>IF(ISNUMBER(F18871),C18871*F18871,"")</f>
        <v/>
      </c>
    </row>
    <row r="18872" spans="1:7" ht="12" customHeight="1" outlineLevel="2" x14ac:dyDescent="0.2">
      <c r="A18872" s="14" t="s">
        <v>37145</v>
      </c>
      <c r="B18872" s="15" t="s">
        <v>37146</v>
      </c>
      <c r="C18872" s="16">
        <f>620.68/(1+B2)</f>
        <v>620.67999999999995</v>
      </c>
      <c r="D18872" s="17" t="s">
        <v>11</v>
      </c>
      <c r="E18872" s="17"/>
      <c r="F18872" s="18"/>
      <c r="G18872" s="36" t="str">
        <f>IF(ISNUMBER(F18872),C18872*F18872,"")</f>
        <v/>
      </c>
    </row>
    <row r="18873" spans="1:7" ht="12" customHeight="1" outlineLevel="2" x14ac:dyDescent="0.2">
      <c r="A18873" s="14" t="s">
        <v>37147</v>
      </c>
      <c r="B18873" s="15" t="s">
        <v>37148</v>
      </c>
      <c r="C18873" s="16">
        <f>570.78/(1+B2)</f>
        <v>570.78</v>
      </c>
      <c r="D18873" s="17" t="s">
        <v>11</v>
      </c>
      <c r="E18873" s="17" t="s">
        <v>11</v>
      </c>
      <c r="F18873" s="18"/>
      <c r="G18873" s="36" t="str">
        <f>IF(ISNUMBER(F18873),C18873*F18873,"")</f>
        <v/>
      </c>
    </row>
    <row r="18874" spans="1:7" ht="12" customHeight="1" outlineLevel="2" x14ac:dyDescent="0.2">
      <c r="A18874" s="14" t="s">
        <v>37149</v>
      </c>
      <c r="B18874" s="15" t="s">
        <v>37150</v>
      </c>
      <c r="C18874" s="16">
        <f>653.94/(1+B2)</f>
        <v>653.94000000000005</v>
      </c>
      <c r="D18874" s="17" t="s">
        <v>11</v>
      </c>
      <c r="E18874" s="17"/>
      <c r="F18874" s="18"/>
      <c r="G18874" s="36" t="str">
        <f>IF(ISNUMBER(F18874),C18874*F18874,"")</f>
        <v/>
      </c>
    </row>
    <row r="18875" spans="1:7" ht="12" customHeight="1" outlineLevel="2" x14ac:dyDescent="0.2">
      <c r="A18875" s="14" t="s">
        <v>37151</v>
      </c>
      <c r="B18875" s="15" t="s">
        <v>37152</v>
      </c>
      <c r="C18875" s="16">
        <f>548.07/(1+B2)</f>
        <v>548.07000000000005</v>
      </c>
      <c r="D18875" s="17" t="s">
        <v>11</v>
      </c>
      <c r="E18875" s="17"/>
      <c r="F18875" s="18"/>
      <c r="G18875" s="36" t="str">
        <f>IF(ISNUMBER(F18875),C18875*F18875,"")</f>
        <v/>
      </c>
    </row>
    <row r="18876" spans="1:7" ht="12" customHeight="1" outlineLevel="2" x14ac:dyDescent="0.2">
      <c r="A18876" s="14" t="s">
        <v>37153</v>
      </c>
      <c r="B18876" s="15" t="s">
        <v>37154</v>
      </c>
      <c r="C18876" s="16">
        <f>611.98/(1+B2)</f>
        <v>611.98</v>
      </c>
      <c r="D18876" s="17" t="s">
        <v>11</v>
      </c>
      <c r="E18876" s="17"/>
      <c r="F18876" s="18"/>
      <c r="G18876" s="36" t="str">
        <f>IF(ISNUMBER(F18876),C18876*F18876,"")</f>
        <v/>
      </c>
    </row>
    <row r="18877" spans="1:7" ht="12" customHeight="1" outlineLevel="2" x14ac:dyDescent="0.2">
      <c r="A18877" s="14" t="s">
        <v>37155</v>
      </c>
      <c r="B18877" s="15" t="s">
        <v>37156</v>
      </c>
      <c r="C18877" s="16">
        <f>704.59/(1+B2)</f>
        <v>704.59</v>
      </c>
      <c r="D18877" s="17" t="s">
        <v>11</v>
      </c>
      <c r="E18877" s="17"/>
      <c r="F18877" s="18"/>
      <c r="G18877" s="36" t="str">
        <f>IF(ISNUMBER(F18877),C18877*F18877,"")</f>
        <v/>
      </c>
    </row>
    <row r="18878" spans="1:7" ht="12" customHeight="1" outlineLevel="2" x14ac:dyDescent="0.2">
      <c r="A18878" s="14" t="s">
        <v>37157</v>
      </c>
      <c r="B18878" s="15" t="s">
        <v>37158</v>
      </c>
      <c r="C18878" s="16">
        <f>547.96/(1+B2)</f>
        <v>547.96</v>
      </c>
      <c r="D18878" s="17" t="s">
        <v>11</v>
      </c>
      <c r="E18878" s="17"/>
      <c r="F18878" s="18"/>
      <c r="G18878" s="36" t="str">
        <f>IF(ISNUMBER(F18878),C18878*F18878,"")</f>
        <v/>
      </c>
    </row>
    <row r="18879" spans="1:7" ht="12" customHeight="1" outlineLevel="2" x14ac:dyDescent="0.2">
      <c r="A18879" s="14" t="s">
        <v>37159</v>
      </c>
      <c r="B18879" s="15" t="s">
        <v>37160</v>
      </c>
      <c r="C18879" s="16">
        <f>647.96/(1+B2)</f>
        <v>647.96</v>
      </c>
      <c r="D18879" s="17" t="s">
        <v>11</v>
      </c>
      <c r="E18879" s="17"/>
      <c r="F18879" s="18"/>
      <c r="G18879" s="36" t="str">
        <f>IF(ISNUMBER(F18879),C18879*F18879,"")</f>
        <v/>
      </c>
    </row>
    <row r="18880" spans="1:7" ht="12" customHeight="1" outlineLevel="2" x14ac:dyDescent="0.2">
      <c r="A18880" s="14" t="s">
        <v>37161</v>
      </c>
      <c r="B18880" s="15" t="s">
        <v>37162</v>
      </c>
      <c r="C18880" s="16">
        <f>807.53/(1+B2)</f>
        <v>807.53</v>
      </c>
      <c r="D18880" s="17" t="s">
        <v>11</v>
      </c>
      <c r="E18880" s="17"/>
      <c r="F18880" s="18"/>
      <c r="G18880" s="36" t="str">
        <f>IF(ISNUMBER(F18880),C18880*F18880,"")</f>
        <v/>
      </c>
    </row>
    <row r="18881" spans="1:7" ht="12" customHeight="1" outlineLevel="2" x14ac:dyDescent="0.2">
      <c r="A18881" s="14" t="s">
        <v>37163</v>
      </c>
      <c r="B18881" s="15" t="s">
        <v>37164</v>
      </c>
      <c r="C18881" s="16">
        <f>775.25/(1+B2)</f>
        <v>775.25</v>
      </c>
      <c r="D18881" s="17" t="s">
        <v>11</v>
      </c>
      <c r="E18881" s="17" t="s">
        <v>11</v>
      </c>
      <c r="F18881" s="18"/>
      <c r="G18881" s="36" t="str">
        <f>IF(ISNUMBER(F18881),C18881*F18881,"")</f>
        <v/>
      </c>
    </row>
    <row r="18882" spans="1:7" ht="12" customHeight="1" outlineLevel="2" x14ac:dyDescent="0.2">
      <c r="A18882" s="14" t="s">
        <v>37165</v>
      </c>
      <c r="B18882" s="15" t="s">
        <v>37166</v>
      </c>
      <c r="C18882" s="16">
        <f>919.71/(1+B2)</f>
        <v>919.71</v>
      </c>
      <c r="D18882" s="17" t="s">
        <v>11</v>
      </c>
      <c r="E18882" s="17"/>
      <c r="F18882" s="18"/>
      <c r="G18882" s="36" t="str">
        <f>IF(ISNUMBER(F18882),C18882*F18882,"")</f>
        <v/>
      </c>
    </row>
    <row r="18883" spans="1:7" ht="12" customHeight="1" outlineLevel="2" x14ac:dyDescent="0.2">
      <c r="A18883" s="14" t="s">
        <v>37167</v>
      </c>
      <c r="B18883" s="15" t="s">
        <v>37168</v>
      </c>
      <c r="C18883" s="16">
        <f>826.99/(1+B2)</f>
        <v>826.99</v>
      </c>
      <c r="D18883" s="17" t="s">
        <v>11</v>
      </c>
      <c r="E18883" s="17"/>
      <c r="F18883" s="18"/>
      <c r="G18883" s="36" t="str">
        <f>IF(ISNUMBER(F18883),C18883*F18883,"")</f>
        <v/>
      </c>
    </row>
    <row r="18884" spans="1:7" ht="12" customHeight="1" outlineLevel="2" x14ac:dyDescent="0.2">
      <c r="A18884" s="14" t="s">
        <v>37169</v>
      </c>
      <c r="B18884" s="15" t="s">
        <v>37170</v>
      </c>
      <c r="C18884" s="16">
        <f>209.41/(1+B2)</f>
        <v>209.41</v>
      </c>
      <c r="D18884" s="17" t="s">
        <v>11</v>
      </c>
      <c r="E18884" s="17"/>
      <c r="F18884" s="18"/>
      <c r="G18884" s="36" t="str">
        <f>IF(ISNUMBER(F18884),C18884*F18884,"")</f>
        <v/>
      </c>
    </row>
    <row r="18885" spans="1:7" ht="12" customHeight="1" outlineLevel="2" x14ac:dyDescent="0.2">
      <c r="A18885" s="14" t="s">
        <v>37171</v>
      </c>
      <c r="B18885" s="15" t="s">
        <v>37172</v>
      </c>
      <c r="C18885" s="16">
        <f>526.52/(1+B2)</f>
        <v>526.52</v>
      </c>
      <c r="D18885" s="17" t="s">
        <v>11</v>
      </c>
      <c r="E18885" s="17"/>
      <c r="F18885" s="18"/>
      <c r="G18885" s="36" t="str">
        <f>IF(ISNUMBER(F18885),C18885*F18885,"")</f>
        <v/>
      </c>
    </row>
    <row r="18886" spans="1:7" ht="12" customHeight="1" outlineLevel="2" x14ac:dyDescent="0.2">
      <c r="A18886" s="14" t="s">
        <v>37173</v>
      </c>
      <c r="B18886" s="15" t="s">
        <v>37174</v>
      </c>
      <c r="C18886" s="16">
        <f>429.92/(1+B2)</f>
        <v>429.92</v>
      </c>
      <c r="D18886" s="17" t="s">
        <v>11</v>
      </c>
      <c r="E18886" s="17" t="s">
        <v>11</v>
      </c>
      <c r="F18886" s="18"/>
      <c r="G18886" s="36" t="str">
        <f>IF(ISNUMBER(F18886),C18886*F18886,"")</f>
        <v/>
      </c>
    </row>
    <row r="18887" spans="1:7" ht="12" customHeight="1" outlineLevel="2" x14ac:dyDescent="0.2">
      <c r="A18887" s="14" t="s">
        <v>37175</v>
      </c>
      <c r="B18887" s="15" t="s">
        <v>37176</v>
      </c>
      <c r="C18887" s="16">
        <f>694.72/(1+B2)</f>
        <v>694.72</v>
      </c>
      <c r="D18887" s="17" t="s">
        <v>11</v>
      </c>
      <c r="E18887" s="17"/>
      <c r="F18887" s="18"/>
      <c r="G18887" s="36" t="str">
        <f>IF(ISNUMBER(F18887),C18887*F18887,"")</f>
        <v/>
      </c>
    </row>
    <row r="18888" spans="1:7" ht="12" customHeight="1" outlineLevel="2" x14ac:dyDescent="0.2">
      <c r="A18888" s="14" t="s">
        <v>37177</v>
      </c>
      <c r="B18888" s="15" t="s">
        <v>37178</v>
      </c>
      <c r="C18888" s="16">
        <f>769.81/(1+B2)</f>
        <v>769.81</v>
      </c>
      <c r="D18888" s="17" t="s">
        <v>11</v>
      </c>
      <c r="E18888" s="17" t="s">
        <v>11</v>
      </c>
      <c r="F18888" s="18"/>
      <c r="G18888" s="36" t="str">
        <f>IF(ISNUMBER(F18888),C18888*F18888,"")</f>
        <v/>
      </c>
    </row>
    <row r="18889" spans="1:7" s="1" customFormat="1" ht="15.95" customHeight="1" outlineLevel="1" x14ac:dyDescent="0.25">
      <c r="A18889" s="11"/>
      <c r="B18889" s="12" t="s">
        <v>37179</v>
      </c>
      <c r="C18889" s="13"/>
      <c r="D18889" s="13"/>
      <c r="E18889" s="13"/>
      <c r="F18889" s="13"/>
      <c r="G18889" s="35"/>
    </row>
    <row r="18890" spans="1:7" ht="12" customHeight="1" outlineLevel="2" x14ac:dyDescent="0.2">
      <c r="A18890" s="14" t="s">
        <v>37180</v>
      </c>
      <c r="B18890" s="15" t="s">
        <v>37181</v>
      </c>
      <c r="C18890" s="16">
        <f>116.17/(1+B2)</f>
        <v>116.17</v>
      </c>
      <c r="D18890" s="17" t="s">
        <v>11</v>
      </c>
      <c r="E18890" s="17"/>
      <c r="F18890" s="18"/>
      <c r="G18890" s="36" t="str">
        <f>IF(ISNUMBER(F18890),C18890*F18890,"")</f>
        <v/>
      </c>
    </row>
    <row r="18891" spans="1:7" ht="12" customHeight="1" outlineLevel="2" x14ac:dyDescent="0.2">
      <c r="A18891" s="14" t="s">
        <v>37182</v>
      </c>
      <c r="B18891" s="15" t="s">
        <v>37183</v>
      </c>
      <c r="C18891" s="16">
        <f>34.85/(1+B2)</f>
        <v>34.85</v>
      </c>
      <c r="D18891" s="17" t="s">
        <v>11</v>
      </c>
      <c r="E18891" s="17"/>
      <c r="F18891" s="18"/>
      <c r="G18891" s="36" t="str">
        <f>IF(ISNUMBER(F18891),C18891*F18891,"")</f>
        <v/>
      </c>
    </row>
    <row r="18892" spans="1:7" ht="12" customHeight="1" outlineLevel="2" x14ac:dyDescent="0.2">
      <c r="A18892" s="14" t="s">
        <v>37184</v>
      </c>
      <c r="B18892" s="15" t="s">
        <v>37185</v>
      </c>
      <c r="C18892" s="16">
        <f>68.52/(1+B2)</f>
        <v>68.52</v>
      </c>
      <c r="D18892" s="17" t="s">
        <v>11</v>
      </c>
      <c r="E18892" s="17"/>
      <c r="F18892" s="18"/>
      <c r="G18892" s="36" t="str">
        <f>IF(ISNUMBER(F18892),C18892*F18892,"")</f>
        <v/>
      </c>
    </row>
    <row r="18893" spans="1:7" ht="12" customHeight="1" outlineLevel="2" x14ac:dyDescent="0.2">
      <c r="A18893" s="14" t="s">
        <v>37186</v>
      </c>
      <c r="B18893" s="15" t="s">
        <v>37187</v>
      </c>
      <c r="C18893" s="16">
        <f>34.28/(1+B2)</f>
        <v>34.28</v>
      </c>
      <c r="D18893" s="17" t="s">
        <v>11</v>
      </c>
      <c r="E18893" s="17"/>
      <c r="F18893" s="18"/>
      <c r="G18893" s="36" t="str">
        <f>IF(ISNUMBER(F18893),C18893*F18893,"")</f>
        <v/>
      </c>
    </row>
    <row r="18894" spans="1:7" ht="12" customHeight="1" outlineLevel="2" x14ac:dyDescent="0.2">
      <c r="A18894" s="14" t="s">
        <v>37188</v>
      </c>
      <c r="B18894" s="15" t="s">
        <v>37189</v>
      </c>
      <c r="C18894" s="16">
        <f>46.71/(1+B2)</f>
        <v>46.71</v>
      </c>
      <c r="D18894" s="17" t="s">
        <v>14</v>
      </c>
      <c r="E18894" s="17"/>
      <c r="F18894" s="18"/>
      <c r="G18894" s="36" t="str">
        <f>IF(ISNUMBER(F18894),C18894*F18894,"")</f>
        <v/>
      </c>
    </row>
    <row r="18895" spans="1:7" s="1" customFormat="1" ht="15.95" customHeight="1" outlineLevel="1" x14ac:dyDescent="0.25">
      <c r="A18895" s="11"/>
      <c r="B18895" s="12" t="s">
        <v>37190</v>
      </c>
      <c r="C18895" s="13"/>
      <c r="D18895" s="13"/>
      <c r="E18895" s="13"/>
      <c r="F18895" s="13"/>
      <c r="G18895" s="35"/>
    </row>
    <row r="18896" spans="1:7" ht="12" customHeight="1" outlineLevel="2" x14ac:dyDescent="0.2">
      <c r="A18896" s="14" t="s">
        <v>37191</v>
      </c>
      <c r="B18896" s="15" t="s">
        <v>37192</v>
      </c>
      <c r="C18896" s="16">
        <f>181.88/(1+B2)</f>
        <v>181.88</v>
      </c>
      <c r="D18896" s="17" t="s">
        <v>11</v>
      </c>
      <c r="E18896" s="17"/>
      <c r="F18896" s="18"/>
      <c r="G18896" s="36" t="str">
        <f>IF(ISNUMBER(F18896),C18896*F18896,"")</f>
        <v/>
      </c>
    </row>
    <row r="18897" spans="1:7" ht="12" customHeight="1" outlineLevel="2" x14ac:dyDescent="0.2">
      <c r="A18897" s="14" t="s">
        <v>37193</v>
      </c>
      <c r="B18897" s="15" t="s">
        <v>37194</v>
      </c>
      <c r="C18897" s="16">
        <f>251.08/(1+B2)</f>
        <v>251.08</v>
      </c>
      <c r="D18897" s="17" t="s">
        <v>11</v>
      </c>
      <c r="E18897" s="17"/>
      <c r="F18897" s="18"/>
      <c r="G18897" s="36" t="str">
        <f>IF(ISNUMBER(F18897),C18897*F18897,"")</f>
        <v/>
      </c>
    </row>
    <row r="18898" spans="1:7" ht="12" customHeight="1" outlineLevel="2" x14ac:dyDescent="0.2">
      <c r="A18898" s="14" t="s">
        <v>37195</v>
      </c>
      <c r="B18898" s="15" t="s">
        <v>37196</v>
      </c>
      <c r="C18898" s="16">
        <f>376.18/(1+B2)</f>
        <v>376.18</v>
      </c>
      <c r="D18898" s="17" t="s">
        <v>11</v>
      </c>
      <c r="E18898" s="17"/>
      <c r="F18898" s="18"/>
      <c r="G18898" s="36" t="str">
        <f>IF(ISNUMBER(F18898),C18898*F18898,"")</f>
        <v/>
      </c>
    </row>
    <row r="18899" spans="1:7" ht="12" customHeight="1" outlineLevel="2" x14ac:dyDescent="0.2">
      <c r="A18899" s="14" t="s">
        <v>37197</v>
      </c>
      <c r="B18899" s="15" t="s">
        <v>37198</v>
      </c>
      <c r="C18899" s="16">
        <f>183.92/(1+B2)</f>
        <v>183.92</v>
      </c>
      <c r="D18899" s="17" t="s">
        <v>14</v>
      </c>
      <c r="E18899" s="17" t="s">
        <v>11</v>
      </c>
      <c r="F18899" s="18"/>
      <c r="G18899" s="36" t="str">
        <f>IF(ISNUMBER(F18899),C18899*F18899,"")</f>
        <v/>
      </c>
    </row>
    <row r="18900" spans="1:7" ht="12" customHeight="1" outlineLevel="2" x14ac:dyDescent="0.2">
      <c r="A18900" s="14" t="s">
        <v>37199</v>
      </c>
      <c r="B18900" s="15" t="s">
        <v>37200</v>
      </c>
      <c r="C18900" s="16">
        <f>169.21/(1+B2)</f>
        <v>169.21</v>
      </c>
      <c r="D18900" s="17" t="s">
        <v>11</v>
      </c>
      <c r="E18900" s="17" t="s">
        <v>53</v>
      </c>
      <c r="F18900" s="18"/>
      <c r="G18900" s="36" t="str">
        <f>IF(ISNUMBER(F18900),C18900*F18900,"")</f>
        <v/>
      </c>
    </row>
    <row r="18901" spans="1:7" ht="12" customHeight="1" outlineLevel="2" x14ac:dyDescent="0.2">
      <c r="A18901" s="14" t="s">
        <v>37201</v>
      </c>
      <c r="B18901" s="15" t="s">
        <v>37202</v>
      </c>
      <c r="C18901" s="16">
        <f>169.21/(1+B2)</f>
        <v>169.21</v>
      </c>
      <c r="D18901" s="17" t="s">
        <v>11</v>
      </c>
      <c r="E18901" s="17"/>
      <c r="F18901" s="18"/>
      <c r="G18901" s="36" t="str">
        <f>IF(ISNUMBER(F18901),C18901*F18901,"")</f>
        <v/>
      </c>
    </row>
    <row r="18902" spans="1:7" ht="12" customHeight="1" outlineLevel="2" x14ac:dyDescent="0.2">
      <c r="A18902" s="14" t="s">
        <v>37203</v>
      </c>
      <c r="B18902" s="15" t="s">
        <v>37204</v>
      </c>
      <c r="C18902" s="16">
        <f>169.21/(1+B2)</f>
        <v>169.21</v>
      </c>
      <c r="D18902" s="17" t="s">
        <v>11</v>
      </c>
      <c r="E18902" s="17"/>
      <c r="F18902" s="18"/>
      <c r="G18902" s="36" t="str">
        <f>IF(ISNUMBER(F18902),C18902*F18902,"")</f>
        <v/>
      </c>
    </row>
    <row r="18903" spans="1:7" ht="12" customHeight="1" outlineLevel="2" x14ac:dyDescent="0.2">
      <c r="A18903" s="14" t="s">
        <v>37205</v>
      </c>
      <c r="B18903" s="15" t="s">
        <v>37206</v>
      </c>
      <c r="C18903" s="16">
        <f>183.93/(1+B2)</f>
        <v>183.93</v>
      </c>
      <c r="D18903" s="17" t="s">
        <v>11</v>
      </c>
      <c r="E18903" s="17" t="s">
        <v>11</v>
      </c>
      <c r="F18903" s="18"/>
      <c r="G18903" s="36" t="str">
        <f>IF(ISNUMBER(F18903),C18903*F18903,"")</f>
        <v/>
      </c>
    </row>
    <row r="18904" spans="1:7" ht="12" customHeight="1" outlineLevel="2" x14ac:dyDescent="0.2">
      <c r="A18904" s="14" t="s">
        <v>37207</v>
      </c>
      <c r="B18904" s="15" t="s">
        <v>37208</v>
      </c>
      <c r="C18904" s="16">
        <f>242/(1+B2)</f>
        <v>242</v>
      </c>
      <c r="D18904" s="17" t="s">
        <v>11</v>
      </c>
      <c r="E18904" s="17"/>
      <c r="F18904" s="18"/>
      <c r="G18904" s="36" t="str">
        <f>IF(ISNUMBER(F18904),C18904*F18904,"")</f>
        <v/>
      </c>
    </row>
    <row r="18905" spans="1:7" ht="12" customHeight="1" outlineLevel="2" x14ac:dyDescent="0.2">
      <c r="A18905" s="14" t="s">
        <v>37209</v>
      </c>
      <c r="B18905" s="15" t="s">
        <v>37210</v>
      </c>
      <c r="C18905" s="16">
        <f>242.44/(1+B2)</f>
        <v>242.44</v>
      </c>
      <c r="D18905" s="17" t="s">
        <v>11</v>
      </c>
      <c r="E18905" s="17"/>
      <c r="F18905" s="18"/>
      <c r="G18905" s="36" t="str">
        <f>IF(ISNUMBER(F18905),C18905*F18905,"")</f>
        <v/>
      </c>
    </row>
    <row r="18906" spans="1:7" ht="12" customHeight="1" outlineLevel="2" x14ac:dyDescent="0.2">
      <c r="A18906" s="14" t="s">
        <v>37211</v>
      </c>
      <c r="B18906" s="15" t="s">
        <v>37212</v>
      </c>
      <c r="C18906" s="16">
        <f>169.21/(1+B2)</f>
        <v>169.21</v>
      </c>
      <c r="D18906" s="17" t="s">
        <v>11</v>
      </c>
      <c r="E18906" s="17"/>
      <c r="F18906" s="18"/>
      <c r="G18906" s="36" t="str">
        <f>IF(ISNUMBER(F18906),C18906*F18906,"")</f>
        <v/>
      </c>
    </row>
    <row r="18907" spans="1:7" ht="12" customHeight="1" outlineLevel="2" x14ac:dyDescent="0.2">
      <c r="A18907" s="14" t="s">
        <v>37213</v>
      </c>
      <c r="B18907" s="15" t="s">
        <v>37214</v>
      </c>
      <c r="C18907" s="16">
        <f>156.66/(1+B2)</f>
        <v>156.66</v>
      </c>
      <c r="D18907" s="17" t="s">
        <v>11</v>
      </c>
      <c r="E18907" s="17" t="s">
        <v>14</v>
      </c>
      <c r="F18907" s="18"/>
      <c r="G18907" s="36" t="str">
        <f>IF(ISNUMBER(F18907),C18907*F18907,"")</f>
        <v/>
      </c>
    </row>
    <row r="18908" spans="1:7" ht="12" customHeight="1" outlineLevel="2" x14ac:dyDescent="0.2">
      <c r="A18908" s="14" t="s">
        <v>37215</v>
      </c>
      <c r="B18908" s="15" t="s">
        <v>37216</v>
      </c>
      <c r="C18908" s="16">
        <f>169.21/(1+B2)</f>
        <v>169.21</v>
      </c>
      <c r="D18908" s="17" t="s">
        <v>11</v>
      </c>
      <c r="E18908" s="17"/>
      <c r="F18908" s="18"/>
      <c r="G18908" s="36" t="str">
        <f>IF(ISNUMBER(F18908),C18908*F18908,"")</f>
        <v/>
      </c>
    </row>
    <row r="18909" spans="1:7" ht="24" customHeight="1" outlineLevel="2" x14ac:dyDescent="0.2">
      <c r="A18909" s="14" t="s">
        <v>37217</v>
      </c>
      <c r="B18909" s="15" t="s">
        <v>37218</v>
      </c>
      <c r="C18909" s="16">
        <f>169.21/(1+B2)</f>
        <v>169.21</v>
      </c>
      <c r="D18909" s="17" t="s">
        <v>11</v>
      </c>
      <c r="E18909" s="17" t="s">
        <v>11</v>
      </c>
      <c r="F18909" s="18"/>
      <c r="G18909" s="36" t="str">
        <f>IF(ISNUMBER(F18909),C18909*F18909,"")</f>
        <v/>
      </c>
    </row>
    <row r="18910" spans="1:7" ht="12" customHeight="1" outlineLevel="2" x14ac:dyDescent="0.2">
      <c r="A18910" s="14" t="s">
        <v>37219</v>
      </c>
      <c r="B18910" s="15" t="s">
        <v>37220</v>
      </c>
      <c r="C18910" s="16">
        <f>169.21/(1+B2)</f>
        <v>169.21</v>
      </c>
      <c r="D18910" s="17" t="s">
        <v>11</v>
      </c>
      <c r="E18910" s="17"/>
      <c r="F18910" s="18"/>
      <c r="G18910" s="36" t="str">
        <f>IF(ISNUMBER(F18910),C18910*F18910,"")</f>
        <v/>
      </c>
    </row>
    <row r="18911" spans="1:7" ht="12" customHeight="1" outlineLevel="2" x14ac:dyDescent="0.2">
      <c r="A18911" s="14" t="s">
        <v>37221</v>
      </c>
      <c r="B18911" s="15" t="s">
        <v>37222</v>
      </c>
      <c r="C18911" s="16">
        <f>169.21/(1+B2)</f>
        <v>169.21</v>
      </c>
      <c r="D18911" s="17" t="s">
        <v>11</v>
      </c>
      <c r="E18911" s="17"/>
      <c r="F18911" s="18"/>
      <c r="G18911" s="36" t="str">
        <f>IF(ISNUMBER(F18911),C18911*F18911,"")</f>
        <v/>
      </c>
    </row>
    <row r="18912" spans="1:7" ht="12" customHeight="1" outlineLevel="2" x14ac:dyDescent="0.2">
      <c r="A18912" s="14" t="s">
        <v>37223</v>
      </c>
      <c r="B18912" s="15" t="s">
        <v>37224</v>
      </c>
      <c r="C18912" s="16">
        <f>169.21/(1+B2)</f>
        <v>169.21</v>
      </c>
      <c r="D18912" s="17" t="s">
        <v>11</v>
      </c>
      <c r="E18912" s="17" t="s">
        <v>14</v>
      </c>
      <c r="F18912" s="18"/>
      <c r="G18912" s="36" t="str">
        <f>IF(ISNUMBER(F18912),C18912*F18912,"")</f>
        <v/>
      </c>
    </row>
    <row r="18913" spans="1:7" ht="12" customHeight="1" outlineLevel="2" x14ac:dyDescent="0.2">
      <c r="A18913" s="14" t="s">
        <v>37225</v>
      </c>
      <c r="B18913" s="15" t="s">
        <v>37226</v>
      </c>
      <c r="C18913" s="16">
        <f>156.66/(1+B2)</f>
        <v>156.66</v>
      </c>
      <c r="D18913" s="17" t="s">
        <v>11</v>
      </c>
      <c r="E18913" s="17" t="s">
        <v>53</v>
      </c>
      <c r="F18913" s="18"/>
      <c r="G18913" s="36" t="str">
        <f>IF(ISNUMBER(F18913),C18913*F18913,"")</f>
        <v/>
      </c>
    </row>
    <row r="18914" spans="1:7" ht="12" customHeight="1" outlineLevel="2" x14ac:dyDescent="0.2">
      <c r="A18914" s="14" t="s">
        <v>37227</v>
      </c>
      <c r="B18914" s="15" t="s">
        <v>37228</v>
      </c>
      <c r="C18914" s="16">
        <f>169.21/(1+B2)</f>
        <v>169.21</v>
      </c>
      <c r="D18914" s="17" t="s">
        <v>14</v>
      </c>
      <c r="E18914" s="17"/>
      <c r="F18914" s="18"/>
      <c r="G18914" s="36" t="str">
        <f>IF(ISNUMBER(F18914),C18914*F18914,"")</f>
        <v/>
      </c>
    </row>
    <row r="18915" spans="1:7" ht="12" customHeight="1" outlineLevel="2" x14ac:dyDescent="0.2">
      <c r="A18915" s="14" t="s">
        <v>37229</v>
      </c>
      <c r="B18915" s="15" t="s">
        <v>37230</v>
      </c>
      <c r="C18915" s="16">
        <f>216.43/(1+B2)</f>
        <v>216.43</v>
      </c>
      <c r="D18915" s="17" t="s">
        <v>11</v>
      </c>
      <c r="E18915" s="17"/>
      <c r="F18915" s="18"/>
      <c r="G18915" s="36" t="str">
        <f>IF(ISNUMBER(F18915),C18915*F18915,"")</f>
        <v/>
      </c>
    </row>
    <row r="18916" spans="1:7" ht="12" customHeight="1" outlineLevel="2" x14ac:dyDescent="0.2">
      <c r="A18916" s="14" t="s">
        <v>37231</v>
      </c>
      <c r="B18916" s="15" t="s">
        <v>37232</v>
      </c>
      <c r="C18916" s="16">
        <f>169.21/(1+B2)</f>
        <v>169.21</v>
      </c>
      <c r="D18916" s="17" t="s">
        <v>11</v>
      </c>
      <c r="E18916" s="17" t="s">
        <v>106</v>
      </c>
      <c r="F18916" s="18"/>
      <c r="G18916" s="36" t="str">
        <f>IF(ISNUMBER(F18916),C18916*F18916,"")</f>
        <v/>
      </c>
    </row>
    <row r="18917" spans="1:7" ht="12" customHeight="1" outlineLevel="2" x14ac:dyDescent="0.2">
      <c r="A18917" s="14" t="s">
        <v>37233</v>
      </c>
      <c r="B18917" s="15" t="s">
        <v>37234</v>
      </c>
      <c r="C18917" s="16">
        <f>169.21/(1+B2)</f>
        <v>169.21</v>
      </c>
      <c r="D18917" s="17" t="s">
        <v>11</v>
      </c>
      <c r="E18917" s="17" t="s">
        <v>106</v>
      </c>
      <c r="F18917" s="18"/>
      <c r="G18917" s="36" t="str">
        <f>IF(ISNUMBER(F18917),C18917*F18917,"")</f>
        <v/>
      </c>
    </row>
    <row r="18918" spans="1:7" ht="24" customHeight="1" outlineLevel="2" x14ac:dyDescent="0.2">
      <c r="A18918" s="14" t="s">
        <v>37235</v>
      </c>
      <c r="B18918" s="15" t="s">
        <v>37236</v>
      </c>
      <c r="C18918" s="16">
        <f>215.43/(1+B2)</f>
        <v>215.43</v>
      </c>
      <c r="D18918" s="17" t="s">
        <v>11</v>
      </c>
      <c r="E18918" s="17"/>
      <c r="F18918" s="18"/>
      <c r="G18918" s="36" t="str">
        <f>IF(ISNUMBER(F18918),C18918*F18918,"")</f>
        <v/>
      </c>
    </row>
    <row r="18919" spans="1:7" ht="24" customHeight="1" outlineLevel="2" x14ac:dyDescent="0.2">
      <c r="A18919" s="14" t="s">
        <v>37237</v>
      </c>
      <c r="B18919" s="15" t="s">
        <v>37238</v>
      </c>
      <c r="C18919" s="16">
        <f>215.43/(1+B2)</f>
        <v>215.43</v>
      </c>
      <c r="D18919" s="17" t="s">
        <v>14</v>
      </c>
      <c r="E18919" s="17"/>
      <c r="F18919" s="18"/>
      <c r="G18919" s="36" t="str">
        <f>IF(ISNUMBER(F18919),C18919*F18919,"")</f>
        <v/>
      </c>
    </row>
    <row r="18920" spans="1:7" ht="12" customHeight="1" outlineLevel="2" x14ac:dyDescent="0.2">
      <c r="A18920" s="14" t="s">
        <v>37239</v>
      </c>
      <c r="B18920" s="15" t="s">
        <v>37240</v>
      </c>
      <c r="C18920" s="16">
        <f>202.07/(1+B2)</f>
        <v>202.07</v>
      </c>
      <c r="D18920" s="17" t="s">
        <v>14</v>
      </c>
      <c r="E18920" s="17" t="s">
        <v>11</v>
      </c>
      <c r="F18920" s="18"/>
      <c r="G18920" s="36" t="str">
        <f>IF(ISNUMBER(F18920),C18920*F18920,"")</f>
        <v/>
      </c>
    </row>
    <row r="18921" spans="1:7" ht="12" customHeight="1" outlineLevel="2" x14ac:dyDescent="0.2">
      <c r="A18921" s="14" t="s">
        <v>37241</v>
      </c>
      <c r="B18921" s="15" t="s">
        <v>37242</v>
      </c>
      <c r="C18921" s="16">
        <f>202.07/(1+B2)</f>
        <v>202.07</v>
      </c>
      <c r="D18921" s="17" t="s">
        <v>14</v>
      </c>
      <c r="E18921" s="17" t="s">
        <v>11</v>
      </c>
      <c r="F18921" s="18"/>
      <c r="G18921" s="36" t="str">
        <f>IF(ISNUMBER(F18921),C18921*F18921,"")</f>
        <v/>
      </c>
    </row>
    <row r="18922" spans="1:7" ht="12" customHeight="1" outlineLevel="2" x14ac:dyDescent="0.2">
      <c r="A18922" s="14" t="s">
        <v>37243</v>
      </c>
      <c r="B18922" s="15" t="s">
        <v>37244</v>
      </c>
      <c r="C18922" s="16">
        <f>202.07/(1+B2)</f>
        <v>202.07</v>
      </c>
      <c r="D18922" s="17" t="s">
        <v>11</v>
      </c>
      <c r="E18922" s="17"/>
      <c r="F18922" s="18"/>
      <c r="G18922" s="36" t="str">
        <f>IF(ISNUMBER(F18922),C18922*F18922,"")</f>
        <v/>
      </c>
    </row>
    <row r="18923" spans="1:7" ht="12" customHeight="1" outlineLevel="2" x14ac:dyDescent="0.2">
      <c r="A18923" s="14" t="s">
        <v>37245</v>
      </c>
      <c r="B18923" s="15" t="s">
        <v>37246</v>
      </c>
      <c r="C18923" s="16">
        <f>202.07/(1+B2)</f>
        <v>202.07</v>
      </c>
      <c r="D18923" s="17" t="s">
        <v>11</v>
      </c>
      <c r="E18923" s="17"/>
      <c r="F18923" s="18"/>
      <c r="G18923" s="36" t="str">
        <f>IF(ISNUMBER(F18923),C18923*F18923,"")</f>
        <v/>
      </c>
    </row>
    <row r="18924" spans="1:7" ht="12" customHeight="1" outlineLevel="2" x14ac:dyDescent="0.2">
      <c r="A18924" s="14" t="s">
        <v>37247</v>
      </c>
      <c r="B18924" s="15" t="s">
        <v>37248</v>
      </c>
      <c r="C18924" s="16">
        <f>202.07/(1+B2)</f>
        <v>202.07</v>
      </c>
      <c r="D18924" s="17" t="s">
        <v>11</v>
      </c>
      <c r="E18924" s="17"/>
      <c r="F18924" s="18"/>
      <c r="G18924" s="36" t="str">
        <f>IF(ISNUMBER(F18924),C18924*F18924,"")</f>
        <v/>
      </c>
    </row>
    <row r="18925" spans="1:7" ht="12" customHeight="1" outlineLevel="2" x14ac:dyDescent="0.2">
      <c r="A18925" s="14" t="s">
        <v>37249</v>
      </c>
      <c r="B18925" s="15" t="s">
        <v>37250</v>
      </c>
      <c r="C18925" s="16">
        <f>139.76/(1+B2)</f>
        <v>139.76</v>
      </c>
      <c r="D18925" s="17" t="s">
        <v>11</v>
      </c>
      <c r="E18925" s="17"/>
      <c r="F18925" s="18"/>
      <c r="G18925" s="36" t="str">
        <f>IF(ISNUMBER(F18925),C18925*F18925,"")</f>
        <v/>
      </c>
    </row>
    <row r="18926" spans="1:7" ht="12" customHeight="1" outlineLevel="2" x14ac:dyDescent="0.2">
      <c r="A18926" s="14" t="s">
        <v>37251</v>
      </c>
      <c r="B18926" s="15" t="s">
        <v>37252</v>
      </c>
      <c r="C18926" s="16">
        <f>261.61/(1+B2)</f>
        <v>261.61</v>
      </c>
      <c r="D18926" s="17" t="s">
        <v>11</v>
      </c>
      <c r="E18926" s="17"/>
      <c r="F18926" s="18"/>
      <c r="G18926" s="36" t="str">
        <f>IF(ISNUMBER(F18926),C18926*F18926,"")</f>
        <v/>
      </c>
    </row>
    <row r="18927" spans="1:7" ht="12" customHeight="1" outlineLevel="2" x14ac:dyDescent="0.2">
      <c r="A18927" s="14" t="s">
        <v>37253</v>
      </c>
      <c r="B18927" s="15" t="s">
        <v>37254</v>
      </c>
      <c r="C18927" s="16">
        <f>124.95/(1+B2)</f>
        <v>124.95</v>
      </c>
      <c r="D18927" s="17" t="s">
        <v>11</v>
      </c>
      <c r="E18927" s="17" t="s">
        <v>11</v>
      </c>
      <c r="F18927" s="18"/>
      <c r="G18927" s="36" t="str">
        <f>IF(ISNUMBER(F18927),C18927*F18927,"")</f>
        <v/>
      </c>
    </row>
    <row r="18928" spans="1:7" ht="12" customHeight="1" outlineLevel="2" x14ac:dyDescent="0.2">
      <c r="A18928" s="14" t="s">
        <v>37255</v>
      </c>
      <c r="B18928" s="15" t="s">
        <v>37256</v>
      </c>
      <c r="C18928" s="16">
        <f>202.07/(1+B2)</f>
        <v>202.07</v>
      </c>
      <c r="D18928" s="17" t="s">
        <v>14</v>
      </c>
      <c r="E18928" s="17" t="s">
        <v>11</v>
      </c>
      <c r="F18928" s="18"/>
      <c r="G18928" s="36" t="str">
        <f>IF(ISNUMBER(F18928),C18928*F18928,"")</f>
        <v/>
      </c>
    </row>
    <row r="18929" spans="1:7" ht="12" customHeight="1" outlineLevel="2" x14ac:dyDescent="0.2">
      <c r="A18929" s="14" t="s">
        <v>37257</v>
      </c>
      <c r="B18929" s="15" t="s">
        <v>37258</v>
      </c>
      <c r="C18929" s="16">
        <f>202.07/(1+B2)</f>
        <v>202.07</v>
      </c>
      <c r="D18929" s="17" t="s">
        <v>11</v>
      </c>
      <c r="E18929" s="17" t="s">
        <v>11</v>
      </c>
      <c r="F18929" s="18"/>
      <c r="G18929" s="36" t="str">
        <f>IF(ISNUMBER(F18929),C18929*F18929,"")</f>
        <v/>
      </c>
    </row>
    <row r="18930" spans="1:7" ht="12" customHeight="1" outlineLevel="2" x14ac:dyDescent="0.2">
      <c r="A18930" s="14" t="s">
        <v>37259</v>
      </c>
      <c r="B18930" s="15" t="s">
        <v>37260</v>
      </c>
      <c r="C18930" s="16">
        <f>202.07/(1+B2)</f>
        <v>202.07</v>
      </c>
      <c r="D18930" s="17" t="s">
        <v>14</v>
      </c>
      <c r="E18930" s="17" t="s">
        <v>11</v>
      </c>
      <c r="F18930" s="18"/>
      <c r="G18930" s="36" t="str">
        <f>IF(ISNUMBER(F18930),C18930*F18930,"")</f>
        <v/>
      </c>
    </row>
    <row r="18931" spans="1:7" s="1" customFormat="1" ht="15.95" customHeight="1" outlineLevel="1" x14ac:dyDescent="0.25">
      <c r="A18931" s="11"/>
      <c r="B18931" s="12" t="s">
        <v>37261</v>
      </c>
      <c r="C18931" s="13"/>
      <c r="D18931" s="13"/>
      <c r="E18931" s="13"/>
      <c r="F18931" s="13"/>
      <c r="G18931" s="35"/>
    </row>
    <row r="18932" spans="1:7" ht="12" customHeight="1" outlineLevel="2" x14ac:dyDescent="0.2">
      <c r="A18932" s="14" t="s">
        <v>37262</v>
      </c>
      <c r="B18932" s="15" t="s">
        <v>37263</v>
      </c>
      <c r="C18932" s="16">
        <f>159.6/(1+B2)</f>
        <v>159.6</v>
      </c>
      <c r="D18932" s="17"/>
      <c r="E18932" s="17" t="s">
        <v>14</v>
      </c>
      <c r="F18932" s="18"/>
      <c r="G18932" s="36" t="str">
        <f>IF(ISNUMBER(F18932),C18932*F18932,"")</f>
        <v/>
      </c>
    </row>
    <row r="18933" spans="1:7" ht="12" customHeight="1" outlineLevel="2" x14ac:dyDescent="0.2">
      <c r="A18933" s="14" t="s">
        <v>37264</v>
      </c>
      <c r="B18933" s="15" t="s">
        <v>37265</v>
      </c>
      <c r="C18933" s="16">
        <f>159.6/(1+B2)</f>
        <v>159.6</v>
      </c>
      <c r="D18933" s="17"/>
      <c r="E18933" s="17" t="s">
        <v>14</v>
      </c>
      <c r="F18933" s="18"/>
      <c r="G18933" s="36" t="str">
        <f>IF(ISNUMBER(F18933),C18933*F18933,"")</f>
        <v/>
      </c>
    </row>
    <row r="18934" spans="1:7" ht="12" customHeight="1" outlineLevel="2" x14ac:dyDescent="0.2">
      <c r="A18934" s="14" t="s">
        <v>37266</v>
      </c>
      <c r="B18934" s="15" t="s">
        <v>37267</v>
      </c>
      <c r="C18934" s="16">
        <f>159.6/(1+B2)</f>
        <v>159.6</v>
      </c>
      <c r="D18934" s="17"/>
      <c r="E18934" s="17" t="s">
        <v>14</v>
      </c>
      <c r="F18934" s="18"/>
      <c r="G18934" s="36" t="str">
        <f>IF(ISNUMBER(F18934),C18934*F18934,"")</f>
        <v/>
      </c>
    </row>
    <row r="18935" spans="1:7" ht="12" customHeight="1" outlineLevel="2" x14ac:dyDescent="0.2">
      <c r="A18935" s="14" t="s">
        <v>37268</v>
      </c>
      <c r="B18935" s="15" t="s">
        <v>37269</v>
      </c>
      <c r="C18935" s="16">
        <f>159.6/(1+B2)</f>
        <v>159.6</v>
      </c>
      <c r="D18935" s="17"/>
      <c r="E18935" s="17" t="s">
        <v>14</v>
      </c>
      <c r="F18935" s="18"/>
      <c r="G18935" s="36" t="str">
        <f>IF(ISNUMBER(F18935),C18935*F18935,"")</f>
        <v/>
      </c>
    </row>
    <row r="18936" spans="1:7" ht="12" customHeight="1" outlineLevel="2" x14ac:dyDescent="0.2">
      <c r="A18936" s="14" t="s">
        <v>37270</v>
      </c>
      <c r="B18936" s="15" t="s">
        <v>37271</v>
      </c>
      <c r="C18936" s="16">
        <f>159.6/(1+B2)</f>
        <v>159.6</v>
      </c>
      <c r="D18936" s="17"/>
      <c r="E18936" s="17" t="s">
        <v>14</v>
      </c>
      <c r="F18936" s="18"/>
      <c r="G18936" s="36" t="str">
        <f>IF(ISNUMBER(F18936),C18936*F18936,"")</f>
        <v/>
      </c>
    </row>
    <row r="18937" spans="1:7" ht="12" customHeight="1" outlineLevel="2" x14ac:dyDescent="0.2">
      <c r="A18937" s="14" t="s">
        <v>37272</v>
      </c>
      <c r="B18937" s="15" t="s">
        <v>37273</v>
      </c>
      <c r="C18937" s="16">
        <f>159.6/(1+B2)</f>
        <v>159.6</v>
      </c>
      <c r="D18937" s="17"/>
      <c r="E18937" s="17" t="s">
        <v>14</v>
      </c>
      <c r="F18937" s="18"/>
      <c r="G18937" s="36" t="str">
        <f>IF(ISNUMBER(F18937),C18937*F18937,"")</f>
        <v/>
      </c>
    </row>
    <row r="18938" spans="1:7" ht="12" customHeight="1" outlineLevel="2" x14ac:dyDescent="0.2">
      <c r="A18938" s="14" t="s">
        <v>37274</v>
      </c>
      <c r="B18938" s="15" t="s">
        <v>37275</v>
      </c>
      <c r="C18938" s="16">
        <f>159.6/(1+B2)</f>
        <v>159.6</v>
      </c>
      <c r="D18938" s="17"/>
      <c r="E18938" s="17" t="s">
        <v>14</v>
      </c>
      <c r="F18938" s="18"/>
      <c r="G18938" s="36" t="str">
        <f>IF(ISNUMBER(F18938),C18938*F18938,"")</f>
        <v/>
      </c>
    </row>
    <row r="18939" spans="1:7" ht="12" customHeight="1" outlineLevel="2" x14ac:dyDescent="0.2">
      <c r="A18939" s="14" t="s">
        <v>37276</v>
      </c>
      <c r="B18939" s="15" t="s">
        <v>37277</v>
      </c>
      <c r="C18939" s="16">
        <f>108/(1+B2)</f>
        <v>108</v>
      </c>
      <c r="D18939" s="17" t="s">
        <v>11</v>
      </c>
      <c r="E18939" s="17"/>
      <c r="F18939" s="18"/>
      <c r="G18939" s="36" t="str">
        <f>IF(ISNUMBER(F18939),C18939*F18939,"")</f>
        <v/>
      </c>
    </row>
    <row r="18940" spans="1:7" ht="12" customHeight="1" outlineLevel="2" x14ac:dyDescent="0.2">
      <c r="A18940" s="14" t="s">
        <v>37278</v>
      </c>
      <c r="B18940" s="15" t="s">
        <v>37279</v>
      </c>
      <c r="C18940" s="16">
        <f>48/(1+B2)</f>
        <v>48</v>
      </c>
      <c r="D18940" s="17"/>
      <c r="E18940" s="17" t="s">
        <v>106</v>
      </c>
      <c r="F18940" s="18"/>
      <c r="G18940" s="36" t="str">
        <f>IF(ISNUMBER(F18940),C18940*F18940,"")</f>
        <v/>
      </c>
    </row>
    <row r="18941" spans="1:7" ht="12" customHeight="1" outlineLevel="2" x14ac:dyDescent="0.2">
      <c r="A18941" s="14" t="s">
        <v>37280</v>
      </c>
      <c r="B18941" s="15" t="s">
        <v>37281</v>
      </c>
      <c r="C18941" s="16">
        <f>240/(1+B2)</f>
        <v>240</v>
      </c>
      <c r="D18941" s="17" t="s">
        <v>11</v>
      </c>
      <c r="E18941" s="17" t="s">
        <v>11</v>
      </c>
      <c r="F18941" s="18"/>
      <c r="G18941" s="36" t="str">
        <f>IF(ISNUMBER(F18941),C18941*F18941,"")</f>
        <v/>
      </c>
    </row>
    <row r="18942" spans="1:7" ht="12" customHeight="1" outlineLevel="2" x14ac:dyDescent="0.2">
      <c r="A18942" s="14" t="s">
        <v>37282</v>
      </c>
      <c r="B18942" s="15" t="s">
        <v>37283</v>
      </c>
      <c r="C18942" s="16">
        <f>433.43/(1+B2)</f>
        <v>433.43</v>
      </c>
      <c r="D18942" s="17" t="s">
        <v>11</v>
      </c>
      <c r="E18942" s="17"/>
      <c r="F18942" s="18"/>
      <c r="G18942" s="36" t="str">
        <f>IF(ISNUMBER(F18942),C18942*F18942,"")</f>
        <v/>
      </c>
    </row>
    <row r="18943" spans="1:7" s="1" customFormat="1" ht="15.95" customHeight="1" outlineLevel="1" x14ac:dyDescent="0.25">
      <c r="A18943" s="11"/>
      <c r="B18943" s="12" t="s">
        <v>37284</v>
      </c>
      <c r="C18943" s="13"/>
      <c r="D18943" s="13"/>
      <c r="E18943" s="13"/>
      <c r="F18943" s="13"/>
      <c r="G18943" s="35"/>
    </row>
    <row r="18944" spans="1:7" ht="12" customHeight="1" outlineLevel="2" x14ac:dyDescent="0.2">
      <c r="A18944" s="14" t="s">
        <v>37285</v>
      </c>
      <c r="B18944" s="15" t="s">
        <v>37286</v>
      </c>
      <c r="C18944" s="16">
        <f>41.04/(1+B2)</f>
        <v>41.04</v>
      </c>
      <c r="D18944" s="17" t="s">
        <v>11</v>
      </c>
      <c r="E18944" s="17" t="s">
        <v>106</v>
      </c>
      <c r="F18944" s="18"/>
      <c r="G18944" s="36" t="str">
        <f>IF(ISNUMBER(F18944),C18944*F18944,"")</f>
        <v/>
      </c>
    </row>
    <row r="18945" spans="1:7" ht="12" customHeight="1" outlineLevel="2" x14ac:dyDescent="0.2">
      <c r="A18945" s="14" t="s">
        <v>37287</v>
      </c>
      <c r="B18945" s="15" t="s">
        <v>37288</v>
      </c>
      <c r="C18945" s="16">
        <f>106.68/(1+B2)</f>
        <v>106.68</v>
      </c>
      <c r="D18945" s="17" t="s">
        <v>11</v>
      </c>
      <c r="E18945" s="17" t="s">
        <v>106</v>
      </c>
      <c r="F18945" s="18"/>
      <c r="G18945" s="36" t="str">
        <f>IF(ISNUMBER(F18945),C18945*F18945,"")</f>
        <v/>
      </c>
    </row>
    <row r="18946" spans="1:7" ht="12" customHeight="1" outlineLevel="2" x14ac:dyDescent="0.2">
      <c r="A18946" s="14" t="s">
        <v>37289</v>
      </c>
      <c r="B18946" s="15" t="s">
        <v>37290</v>
      </c>
      <c r="C18946" s="16">
        <f>114.12/(1+B2)</f>
        <v>114.12</v>
      </c>
      <c r="D18946" s="17"/>
      <c r="E18946" s="17" t="s">
        <v>53</v>
      </c>
      <c r="F18946" s="18"/>
      <c r="G18946" s="36" t="str">
        <f>IF(ISNUMBER(F18946),C18946*F18946,"")</f>
        <v/>
      </c>
    </row>
    <row r="18947" spans="1:7" ht="12" customHeight="1" outlineLevel="2" x14ac:dyDescent="0.2">
      <c r="A18947" s="14" t="s">
        <v>37291</v>
      </c>
      <c r="B18947" s="15" t="s">
        <v>37292</v>
      </c>
      <c r="C18947" s="16">
        <f>106.32/(1+B2)</f>
        <v>106.32</v>
      </c>
      <c r="D18947" s="17" t="s">
        <v>11</v>
      </c>
      <c r="E18947" s="17" t="s">
        <v>106</v>
      </c>
      <c r="F18947" s="18"/>
      <c r="G18947" s="36" t="str">
        <f>IF(ISNUMBER(F18947),C18947*F18947,"")</f>
        <v/>
      </c>
    </row>
    <row r="18948" spans="1:7" ht="12" customHeight="1" outlineLevel="2" x14ac:dyDescent="0.2">
      <c r="A18948" s="14" t="s">
        <v>37293</v>
      </c>
      <c r="B18948" s="15" t="s">
        <v>37294</v>
      </c>
      <c r="C18948" s="16">
        <f>192.12/(1+B2)</f>
        <v>192.12</v>
      </c>
      <c r="D18948" s="17" t="s">
        <v>11</v>
      </c>
      <c r="E18948" s="17" t="s">
        <v>106</v>
      </c>
      <c r="F18948" s="18"/>
      <c r="G18948" s="36" t="str">
        <f>IF(ISNUMBER(F18948),C18948*F18948,"")</f>
        <v/>
      </c>
    </row>
    <row r="18949" spans="1:7" ht="12" customHeight="1" outlineLevel="2" x14ac:dyDescent="0.2">
      <c r="A18949" s="14" t="s">
        <v>37295</v>
      </c>
      <c r="B18949" s="15" t="s">
        <v>37296</v>
      </c>
      <c r="C18949" s="16">
        <f>204.48/(1+B2)</f>
        <v>204.48</v>
      </c>
      <c r="D18949" s="17" t="s">
        <v>11</v>
      </c>
      <c r="E18949" s="17" t="s">
        <v>106</v>
      </c>
      <c r="F18949" s="18"/>
      <c r="G18949" s="36" t="str">
        <f>IF(ISNUMBER(F18949),C18949*F18949,"")</f>
        <v/>
      </c>
    </row>
    <row r="18950" spans="1:7" ht="12" customHeight="1" outlineLevel="2" x14ac:dyDescent="0.2">
      <c r="A18950" s="14" t="s">
        <v>37297</v>
      </c>
      <c r="B18950" s="15" t="s">
        <v>37298</v>
      </c>
      <c r="C18950" s="19">
        <f>1257.72/(1+B2)</f>
        <v>1257.72</v>
      </c>
      <c r="D18950" s="17" t="s">
        <v>11</v>
      </c>
      <c r="E18950" s="17"/>
      <c r="F18950" s="18"/>
      <c r="G18950" s="36" t="str">
        <f>IF(ISNUMBER(F18950),C18950*F18950,"")</f>
        <v/>
      </c>
    </row>
    <row r="18951" spans="1:7" ht="12" customHeight="1" outlineLevel="2" x14ac:dyDescent="0.2">
      <c r="A18951" s="14" t="s">
        <v>37299</v>
      </c>
      <c r="B18951" s="15" t="s">
        <v>37300</v>
      </c>
      <c r="C18951" s="19">
        <f>1039.2/(1+B2)</f>
        <v>1039.2</v>
      </c>
      <c r="D18951" s="17" t="s">
        <v>11</v>
      </c>
      <c r="E18951" s="17"/>
      <c r="F18951" s="18"/>
      <c r="G18951" s="36" t="str">
        <f>IF(ISNUMBER(F18951),C18951*F18951,"")</f>
        <v/>
      </c>
    </row>
    <row r="18952" spans="1:7" ht="12" customHeight="1" outlineLevel="2" x14ac:dyDescent="0.2">
      <c r="A18952" s="14" t="s">
        <v>37301</v>
      </c>
      <c r="B18952" s="15" t="s">
        <v>37302</v>
      </c>
      <c r="C18952" s="16">
        <f>458.28/(1+B2)</f>
        <v>458.28</v>
      </c>
      <c r="D18952" s="17" t="s">
        <v>11</v>
      </c>
      <c r="E18952" s="17" t="s">
        <v>11</v>
      </c>
      <c r="F18952" s="18"/>
      <c r="G18952" s="36" t="str">
        <f>IF(ISNUMBER(F18952),C18952*F18952,"")</f>
        <v/>
      </c>
    </row>
    <row r="18953" spans="1:7" ht="12" customHeight="1" outlineLevel="2" x14ac:dyDescent="0.2">
      <c r="A18953" s="14" t="s">
        <v>37303</v>
      </c>
      <c r="B18953" s="15" t="s">
        <v>37304</v>
      </c>
      <c r="C18953" s="16">
        <f>554.28/(1+B2)</f>
        <v>554.28</v>
      </c>
      <c r="D18953" s="17" t="s">
        <v>11</v>
      </c>
      <c r="E18953" s="17" t="s">
        <v>11</v>
      </c>
      <c r="F18953" s="18"/>
      <c r="G18953" s="36" t="str">
        <f>IF(ISNUMBER(F18953),C18953*F18953,"")</f>
        <v/>
      </c>
    </row>
    <row r="18954" spans="1:7" ht="12" customHeight="1" outlineLevel="2" x14ac:dyDescent="0.2">
      <c r="A18954" s="14" t="s">
        <v>37305</v>
      </c>
      <c r="B18954" s="15" t="s">
        <v>37306</v>
      </c>
      <c r="C18954" s="16">
        <f>550.68/(1+B2)</f>
        <v>550.67999999999995</v>
      </c>
      <c r="D18954" s="17" t="s">
        <v>11</v>
      </c>
      <c r="E18954" s="17"/>
      <c r="F18954" s="18"/>
      <c r="G18954" s="36" t="str">
        <f>IF(ISNUMBER(F18954),C18954*F18954,"")</f>
        <v/>
      </c>
    </row>
    <row r="18955" spans="1:7" ht="12" customHeight="1" outlineLevel="2" x14ac:dyDescent="0.2">
      <c r="A18955" s="14" t="s">
        <v>37307</v>
      </c>
      <c r="B18955" s="15" t="s">
        <v>37308</v>
      </c>
      <c r="C18955" s="16">
        <f>49.63/(1+B2)</f>
        <v>49.63</v>
      </c>
      <c r="D18955" s="17" t="s">
        <v>11</v>
      </c>
      <c r="E18955" s="17" t="s">
        <v>14</v>
      </c>
      <c r="F18955" s="18"/>
      <c r="G18955" s="36" t="str">
        <f>IF(ISNUMBER(F18955),C18955*F18955,"")</f>
        <v/>
      </c>
    </row>
    <row r="18956" spans="1:7" ht="12" customHeight="1" outlineLevel="2" x14ac:dyDescent="0.2">
      <c r="A18956" s="14" t="s">
        <v>37309</v>
      </c>
      <c r="B18956" s="15" t="s">
        <v>37310</v>
      </c>
      <c r="C18956" s="16">
        <f>51.84/(1+B2)</f>
        <v>51.84</v>
      </c>
      <c r="D18956" s="17" t="s">
        <v>11</v>
      </c>
      <c r="E18956" s="17" t="s">
        <v>14</v>
      </c>
      <c r="F18956" s="18"/>
      <c r="G18956" s="36" t="str">
        <f>IF(ISNUMBER(F18956),C18956*F18956,"")</f>
        <v/>
      </c>
    </row>
    <row r="18957" spans="1:7" ht="12" customHeight="1" outlineLevel="2" x14ac:dyDescent="0.2">
      <c r="A18957" s="14" t="s">
        <v>37311</v>
      </c>
      <c r="B18957" s="15" t="s">
        <v>37312</v>
      </c>
      <c r="C18957" s="16">
        <f>74.28/(1+B2)</f>
        <v>74.28</v>
      </c>
      <c r="D18957" s="17" t="s">
        <v>11</v>
      </c>
      <c r="E18957" s="17" t="s">
        <v>14</v>
      </c>
      <c r="F18957" s="18"/>
      <c r="G18957" s="36" t="str">
        <f>IF(ISNUMBER(F18957),C18957*F18957,"")</f>
        <v/>
      </c>
    </row>
    <row r="18958" spans="1:7" ht="12" customHeight="1" outlineLevel="2" x14ac:dyDescent="0.2">
      <c r="A18958" s="14" t="s">
        <v>37313</v>
      </c>
      <c r="B18958" s="15" t="s">
        <v>37314</v>
      </c>
      <c r="C18958" s="16">
        <f>89.52/(1+B2)</f>
        <v>89.52</v>
      </c>
      <c r="D18958" s="17" t="s">
        <v>11</v>
      </c>
      <c r="E18958" s="17" t="s">
        <v>11</v>
      </c>
      <c r="F18958" s="18"/>
      <c r="G18958" s="36" t="str">
        <f>IF(ISNUMBER(F18958),C18958*F18958,"")</f>
        <v/>
      </c>
    </row>
    <row r="18959" spans="1:7" ht="12" customHeight="1" outlineLevel="2" x14ac:dyDescent="0.2">
      <c r="A18959" s="14" t="s">
        <v>37315</v>
      </c>
      <c r="B18959" s="15" t="s">
        <v>37316</v>
      </c>
      <c r="C18959" s="16">
        <f>330.84/(1+B2)</f>
        <v>330.84</v>
      </c>
      <c r="D18959" s="17" t="s">
        <v>11</v>
      </c>
      <c r="E18959" s="17" t="s">
        <v>11</v>
      </c>
      <c r="F18959" s="18"/>
      <c r="G18959" s="36" t="str">
        <f>IF(ISNUMBER(F18959),C18959*F18959,"")</f>
        <v/>
      </c>
    </row>
    <row r="18960" spans="1:7" ht="12" customHeight="1" outlineLevel="2" x14ac:dyDescent="0.2">
      <c r="A18960" s="14" t="s">
        <v>37317</v>
      </c>
      <c r="B18960" s="15" t="s">
        <v>37318</v>
      </c>
      <c r="C18960" s="16">
        <f>50.04/(1+B2)</f>
        <v>50.04</v>
      </c>
      <c r="D18960" s="17" t="s">
        <v>11</v>
      </c>
      <c r="E18960" s="17" t="s">
        <v>11</v>
      </c>
      <c r="F18960" s="18"/>
      <c r="G18960" s="36" t="str">
        <f>IF(ISNUMBER(F18960),C18960*F18960,"")</f>
        <v/>
      </c>
    </row>
    <row r="18961" spans="1:7" ht="12" customHeight="1" outlineLevel="2" x14ac:dyDescent="0.2">
      <c r="A18961" s="14" t="s">
        <v>37319</v>
      </c>
      <c r="B18961" s="15" t="s">
        <v>37320</v>
      </c>
      <c r="C18961" s="16">
        <f>55.68/(1+B2)</f>
        <v>55.68</v>
      </c>
      <c r="D18961" s="17" t="s">
        <v>14</v>
      </c>
      <c r="E18961" s="17" t="s">
        <v>11</v>
      </c>
      <c r="F18961" s="18"/>
      <c r="G18961" s="36" t="str">
        <f>IF(ISNUMBER(F18961),C18961*F18961,"")</f>
        <v/>
      </c>
    </row>
    <row r="18962" spans="1:7" ht="12" customHeight="1" outlineLevel="2" x14ac:dyDescent="0.2">
      <c r="A18962" s="14" t="s">
        <v>37321</v>
      </c>
      <c r="B18962" s="15" t="s">
        <v>37322</v>
      </c>
      <c r="C18962" s="16">
        <f>108.12/(1+B2)</f>
        <v>108.12</v>
      </c>
      <c r="D18962" s="17" t="s">
        <v>11</v>
      </c>
      <c r="E18962" s="17" t="s">
        <v>14</v>
      </c>
      <c r="F18962" s="18"/>
      <c r="G18962" s="36" t="str">
        <f>IF(ISNUMBER(F18962),C18962*F18962,"")</f>
        <v/>
      </c>
    </row>
    <row r="18963" spans="1:7" ht="12" customHeight="1" outlineLevel="2" x14ac:dyDescent="0.2">
      <c r="A18963" s="14" t="s">
        <v>37323</v>
      </c>
      <c r="B18963" s="15" t="s">
        <v>37324</v>
      </c>
      <c r="C18963" s="16">
        <f>524.4/(1+B2)</f>
        <v>524.4</v>
      </c>
      <c r="D18963" s="17" t="s">
        <v>11</v>
      </c>
      <c r="E18963" s="17"/>
      <c r="F18963" s="18"/>
      <c r="G18963" s="36" t="str">
        <f>IF(ISNUMBER(F18963),C18963*F18963,"")</f>
        <v/>
      </c>
    </row>
    <row r="18964" spans="1:7" ht="12" customHeight="1" outlineLevel="2" x14ac:dyDescent="0.2">
      <c r="A18964" s="14" t="s">
        <v>37325</v>
      </c>
      <c r="B18964" s="15" t="s">
        <v>37326</v>
      </c>
      <c r="C18964" s="16">
        <f>72.12/(1+B2)</f>
        <v>72.12</v>
      </c>
      <c r="D18964" s="17" t="s">
        <v>11</v>
      </c>
      <c r="E18964" s="17" t="s">
        <v>106</v>
      </c>
      <c r="F18964" s="18"/>
      <c r="G18964" s="36" t="str">
        <f>IF(ISNUMBER(F18964),C18964*F18964,"")</f>
        <v/>
      </c>
    </row>
    <row r="18965" spans="1:7" ht="12" customHeight="1" outlineLevel="2" x14ac:dyDescent="0.2">
      <c r="A18965" s="14" t="s">
        <v>37327</v>
      </c>
      <c r="B18965" s="15" t="s">
        <v>37328</v>
      </c>
      <c r="C18965" s="16">
        <f>125.64/(1+B2)</f>
        <v>125.64</v>
      </c>
      <c r="D18965" s="17" t="s">
        <v>11</v>
      </c>
      <c r="E18965" s="17" t="s">
        <v>106</v>
      </c>
      <c r="F18965" s="18"/>
      <c r="G18965" s="36" t="str">
        <f>IF(ISNUMBER(F18965),C18965*F18965,"")</f>
        <v/>
      </c>
    </row>
    <row r="18966" spans="1:7" ht="12" customHeight="1" outlineLevel="2" x14ac:dyDescent="0.2">
      <c r="A18966" s="14" t="s">
        <v>37329</v>
      </c>
      <c r="B18966" s="15" t="s">
        <v>37330</v>
      </c>
      <c r="C18966" s="16">
        <f>204.12/(1+B2)</f>
        <v>204.12</v>
      </c>
      <c r="D18966" s="17" t="s">
        <v>11</v>
      </c>
      <c r="E18966" s="17" t="s">
        <v>14</v>
      </c>
      <c r="F18966" s="18"/>
      <c r="G18966" s="36" t="str">
        <f>IF(ISNUMBER(F18966),C18966*F18966,"")</f>
        <v/>
      </c>
    </row>
    <row r="18967" spans="1:7" ht="12" customHeight="1" outlineLevel="2" x14ac:dyDescent="0.2">
      <c r="A18967" s="14" t="s">
        <v>37331</v>
      </c>
      <c r="B18967" s="15" t="s">
        <v>37332</v>
      </c>
      <c r="C18967" s="16">
        <f>58.81/(1+B2)</f>
        <v>58.81</v>
      </c>
      <c r="D18967" s="17" t="s">
        <v>11</v>
      </c>
      <c r="E18967" s="17"/>
      <c r="F18967" s="18"/>
      <c r="G18967" s="36" t="str">
        <f>IF(ISNUMBER(F18967),C18967*F18967,"")</f>
        <v/>
      </c>
    </row>
    <row r="18968" spans="1:7" ht="12" customHeight="1" outlineLevel="2" x14ac:dyDescent="0.2">
      <c r="A18968" s="14" t="s">
        <v>37333</v>
      </c>
      <c r="B18968" s="15" t="s">
        <v>37334</v>
      </c>
      <c r="C18968" s="16">
        <f>58.81/(1+B2)</f>
        <v>58.81</v>
      </c>
      <c r="D18968" s="17" t="s">
        <v>14</v>
      </c>
      <c r="E18968" s="17"/>
      <c r="F18968" s="18"/>
      <c r="G18968" s="36" t="str">
        <f>IF(ISNUMBER(F18968),C18968*F18968,"")</f>
        <v/>
      </c>
    </row>
    <row r="18969" spans="1:7" ht="12" customHeight="1" outlineLevel="2" x14ac:dyDescent="0.2">
      <c r="A18969" s="14" t="s">
        <v>37335</v>
      </c>
      <c r="B18969" s="15" t="s">
        <v>37336</v>
      </c>
      <c r="C18969" s="16">
        <f>54.1/(1+B2)</f>
        <v>54.1</v>
      </c>
      <c r="D18969" s="17" t="s">
        <v>11</v>
      </c>
      <c r="E18969" s="17"/>
      <c r="F18969" s="18"/>
      <c r="G18969" s="36" t="str">
        <f>IF(ISNUMBER(F18969),C18969*F18969,"")</f>
        <v/>
      </c>
    </row>
    <row r="18970" spans="1:7" ht="12" customHeight="1" outlineLevel="2" x14ac:dyDescent="0.2">
      <c r="A18970" s="14" t="s">
        <v>37337</v>
      </c>
      <c r="B18970" s="15" t="s">
        <v>37338</v>
      </c>
      <c r="C18970" s="16">
        <f>58.4/(1+B2)</f>
        <v>58.4</v>
      </c>
      <c r="D18970" s="17" t="s">
        <v>11</v>
      </c>
      <c r="E18970" s="17" t="s">
        <v>11</v>
      </c>
      <c r="F18970" s="18"/>
      <c r="G18970" s="36" t="str">
        <f>IF(ISNUMBER(F18970),C18970*F18970,"")</f>
        <v/>
      </c>
    </row>
    <row r="18971" spans="1:7" ht="12" customHeight="1" outlineLevel="2" x14ac:dyDescent="0.2">
      <c r="A18971" s="14" t="s">
        <v>37339</v>
      </c>
      <c r="B18971" s="15" t="s">
        <v>37340</v>
      </c>
      <c r="C18971" s="16">
        <f>58.4/(1+B2)</f>
        <v>58.4</v>
      </c>
      <c r="D18971" s="17" t="s">
        <v>11</v>
      </c>
      <c r="E18971" s="17"/>
      <c r="F18971" s="18"/>
      <c r="G18971" s="36" t="str">
        <f>IF(ISNUMBER(F18971),C18971*F18971,"")</f>
        <v/>
      </c>
    </row>
    <row r="18972" spans="1:7" ht="12" customHeight="1" outlineLevel="2" x14ac:dyDescent="0.2">
      <c r="A18972" s="14" t="s">
        <v>37341</v>
      </c>
      <c r="B18972" s="15" t="s">
        <v>37342</v>
      </c>
      <c r="C18972" s="16">
        <f>58.4/(1+B2)</f>
        <v>58.4</v>
      </c>
      <c r="D18972" s="17" t="s">
        <v>14</v>
      </c>
      <c r="E18972" s="17" t="s">
        <v>11</v>
      </c>
      <c r="F18972" s="18"/>
      <c r="G18972" s="36" t="str">
        <f>IF(ISNUMBER(F18972),C18972*F18972,"")</f>
        <v/>
      </c>
    </row>
    <row r="18973" spans="1:7" ht="12" customHeight="1" outlineLevel="2" x14ac:dyDescent="0.2">
      <c r="A18973" s="14" t="s">
        <v>37343</v>
      </c>
      <c r="B18973" s="15" t="s">
        <v>37344</v>
      </c>
      <c r="C18973" s="16">
        <f>58.4/(1+B2)</f>
        <v>58.4</v>
      </c>
      <c r="D18973" s="17" t="s">
        <v>11</v>
      </c>
      <c r="E18973" s="17"/>
      <c r="F18973" s="18"/>
      <c r="G18973" s="36" t="str">
        <f>IF(ISNUMBER(F18973),C18973*F18973,"")</f>
        <v/>
      </c>
    </row>
    <row r="18974" spans="1:7" ht="12" customHeight="1" outlineLevel="2" x14ac:dyDescent="0.2">
      <c r="A18974" s="14" t="s">
        <v>37345</v>
      </c>
      <c r="B18974" s="15" t="s">
        <v>37346</v>
      </c>
      <c r="C18974" s="16">
        <f>58.81/(1+B2)</f>
        <v>58.81</v>
      </c>
      <c r="D18974" s="17" t="s">
        <v>11</v>
      </c>
      <c r="E18974" s="17" t="s">
        <v>11</v>
      </c>
      <c r="F18974" s="18"/>
      <c r="G18974" s="36" t="str">
        <f>IF(ISNUMBER(F18974),C18974*F18974,"")</f>
        <v/>
      </c>
    </row>
    <row r="18975" spans="1:7" ht="12" customHeight="1" outlineLevel="2" x14ac:dyDescent="0.2">
      <c r="A18975" s="14" t="s">
        <v>37347</v>
      </c>
      <c r="B18975" s="15" t="s">
        <v>37348</v>
      </c>
      <c r="C18975" s="16">
        <f>58.4/(1+B2)</f>
        <v>58.4</v>
      </c>
      <c r="D18975" s="17" t="s">
        <v>11</v>
      </c>
      <c r="E18975" s="17" t="s">
        <v>11</v>
      </c>
      <c r="F18975" s="18"/>
      <c r="G18975" s="36" t="str">
        <f>IF(ISNUMBER(F18975),C18975*F18975,"")</f>
        <v/>
      </c>
    </row>
    <row r="18976" spans="1:7" ht="12" customHeight="1" outlineLevel="2" x14ac:dyDescent="0.2">
      <c r="A18976" s="14" t="s">
        <v>37349</v>
      </c>
      <c r="B18976" s="15" t="s">
        <v>37350</v>
      </c>
      <c r="C18976" s="16">
        <f>58.81/(1+B2)</f>
        <v>58.81</v>
      </c>
      <c r="D18976" s="17" t="s">
        <v>11</v>
      </c>
      <c r="E18976" s="17"/>
      <c r="F18976" s="18"/>
      <c r="G18976" s="36" t="str">
        <f>IF(ISNUMBER(F18976),C18976*F18976,"")</f>
        <v/>
      </c>
    </row>
    <row r="18977" spans="1:7" ht="12" customHeight="1" outlineLevel="2" x14ac:dyDescent="0.2">
      <c r="A18977" s="14" t="s">
        <v>37351</v>
      </c>
      <c r="B18977" s="15" t="s">
        <v>37352</v>
      </c>
      <c r="C18977" s="16">
        <f>40.92/(1+B2)</f>
        <v>40.92</v>
      </c>
      <c r="D18977" s="17" t="s">
        <v>11</v>
      </c>
      <c r="E18977" s="17"/>
      <c r="F18977" s="18"/>
      <c r="G18977" s="36" t="str">
        <f>IF(ISNUMBER(F18977),C18977*F18977,"")</f>
        <v/>
      </c>
    </row>
    <row r="18978" spans="1:7" ht="12" customHeight="1" outlineLevel="2" x14ac:dyDescent="0.2">
      <c r="A18978" s="14" t="s">
        <v>37353</v>
      </c>
      <c r="B18978" s="15" t="s">
        <v>37354</v>
      </c>
      <c r="C18978" s="16">
        <f>37.7/(1+B2)</f>
        <v>37.700000000000003</v>
      </c>
      <c r="D18978" s="17" t="s">
        <v>11</v>
      </c>
      <c r="E18978" s="17" t="s">
        <v>11</v>
      </c>
      <c r="F18978" s="18"/>
      <c r="G18978" s="36" t="str">
        <f>IF(ISNUMBER(F18978),C18978*F18978,"")</f>
        <v/>
      </c>
    </row>
    <row r="18979" spans="1:7" ht="12" customHeight="1" outlineLevel="2" x14ac:dyDescent="0.2">
      <c r="A18979" s="14" t="s">
        <v>37355</v>
      </c>
      <c r="B18979" s="15" t="s">
        <v>37356</v>
      </c>
      <c r="C18979" s="16">
        <f>62.04/(1+B2)</f>
        <v>62.04</v>
      </c>
      <c r="D18979" s="17" t="s">
        <v>14</v>
      </c>
      <c r="E18979" s="17" t="s">
        <v>14</v>
      </c>
      <c r="F18979" s="18"/>
      <c r="G18979" s="36" t="str">
        <f>IF(ISNUMBER(F18979),C18979*F18979,"")</f>
        <v/>
      </c>
    </row>
    <row r="18980" spans="1:7" ht="12" customHeight="1" outlineLevel="2" x14ac:dyDescent="0.2">
      <c r="A18980" s="14" t="s">
        <v>37357</v>
      </c>
      <c r="B18980" s="15" t="s">
        <v>37358</v>
      </c>
      <c r="C18980" s="16">
        <f>33.72/(1+B2)</f>
        <v>33.72</v>
      </c>
      <c r="D18980" s="17" t="s">
        <v>14</v>
      </c>
      <c r="E18980" s="17" t="s">
        <v>14</v>
      </c>
      <c r="F18980" s="18"/>
      <c r="G18980" s="36" t="str">
        <f>IF(ISNUMBER(F18980),C18980*F18980,"")</f>
        <v/>
      </c>
    </row>
    <row r="18981" spans="1:7" ht="12" customHeight="1" outlineLevel="2" x14ac:dyDescent="0.2">
      <c r="A18981" s="14" t="s">
        <v>37359</v>
      </c>
      <c r="B18981" s="15" t="s">
        <v>37360</v>
      </c>
      <c r="C18981" s="16">
        <f>65.5/(1+B2)</f>
        <v>65.5</v>
      </c>
      <c r="D18981" s="17" t="s">
        <v>11</v>
      </c>
      <c r="E18981" s="17" t="s">
        <v>11</v>
      </c>
      <c r="F18981" s="18"/>
      <c r="G18981" s="36" t="str">
        <f>IF(ISNUMBER(F18981),C18981*F18981,"")</f>
        <v/>
      </c>
    </row>
    <row r="18982" spans="1:7" ht="12" customHeight="1" outlineLevel="2" x14ac:dyDescent="0.2">
      <c r="A18982" s="14" t="s">
        <v>37361</v>
      </c>
      <c r="B18982" s="15" t="s">
        <v>37362</v>
      </c>
      <c r="C18982" s="16">
        <f>127.1/(1+B2)</f>
        <v>127.1</v>
      </c>
      <c r="D18982" s="17" t="s">
        <v>11</v>
      </c>
      <c r="E18982" s="17" t="s">
        <v>14</v>
      </c>
      <c r="F18982" s="18"/>
      <c r="G18982" s="36" t="str">
        <f>IF(ISNUMBER(F18982),C18982*F18982,"")</f>
        <v/>
      </c>
    </row>
    <row r="18983" spans="1:7" ht="12" customHeight="1" outlineLevel="2" x14ac:dyDescent="0.2">
      <c r="A18983" s="14" t="s">
        <v>37363</v>
      </c>
      <c r="B18983" s="15" t="s">
        <v>37364</v>
      </c>
      <c r="C18983" s="16">
        <f>83.64/(1+B2)</f>
        <v>83.64</v>
      </c>
      <c r="D18983" s="17" t="s">
        <v>11</v>
      </c>
      <c r="E18983" s="17" t="s">
        <v>14</v>
      </c>
      <c r="F18983" s="18"/>
      <c r="G18983" s="36" t="str">
        <f>IF(ISNUMBER(F18983),C18983*F18983,"")</f>
        <v/>
      </c>
    </row>
    <row r="18984" spans="1:7" ht="12" customHeight="1" outlineLevel="2" x14ac:dyDescent="0.2">
      <c r="A18984" s="14" t="s">
        <v>37365</v>
      </c>
      <c r="B18984" s="15" t="s">
        <v>37366</v>
      </c>
      <c r="C18984" s="16">
        <f>163.56/(1+B2)</f>
        <v>163.56</v>
      </c>
      <c r="D18984" s="17" t="s">
        <v>11</v>
      </c>
      <c r="E18984" s="17" t="s">
        <v>53</v>
      </c>
      <c r="F18984" s="18"/>
      <c r="G18984" s="36" t="str">
        <f>IF(ISNUMBER(F18984),C18984*F18984,"")</f>
        <v/>
      </c>
    </row>
    <row r="18985" spans="1:7" ht="12" customHeight="1" outlineLevel="2" x14ac:dyDescent="0.2">
      <c r="A18985" s="14" t="s">
        <v>37367</v>
      </c>
      <c r="B18985" s="15" t="s">
        <v>37368</v>
      </c>
      <c r="C18985" s="16">
        <f>143.88/(1+B2)</f>
        <v>143.88</v>
      </c>
      <c r="D18985" s="17" t="s">
        <v>11</v>
      </c>
      <c r="E18985" s="17" t="s">
        <v>53</v>
      </c>
      <c r="F18985" s="18"/>
      <c r="G18985" s="36" t="str">
        <f>IF(ISNUMBER(F18985),C18985*F18985,"")</f>
        <v/>
      </c>
    </row>
    <row r="18986" spans="1:7" ht="12" customHeight="1" outlineLevel="2" x14ac:dyDescent="0.2">
      <c r="A18986" s="14" t="s">
        <v>37369</v>
      </c>
      <c r="B18986" s="15" t="s">
        <v>37370</v>
      </c>
      <c r="C18986" s="16">
        <f>294.6/(1+B2)</f>
        <v>294.60000000000002</v>
      </c>
      <c r="D18986" s="17"/>
      <c r="E18986" s="17" t="s">
        <v>11</v>
      </c>
      <c r="F18986" s="18"/>
      <c r="G18986" s="36" t="str">
        <f>IF(ISNUMBER(F18986),C18986*F18986,"")</f>
        <v/>
      </c>
    </row>
    <row r="18987" spans="1:7" ht="12" customHeight="1" outlineLevel="2" x14ac:dyDescent="0.2">
      <c r="A18987" s="14" t="s">
        <v>37371</v>
      </c>
      <c r="B18987" s="15" t="s">
        <v>37372</v>
      </c>
      <c r="C18987" s="16">
        <f>234.96/(1+B2)</f>
        <v>234.96</v>
      </c>
      <c r="D18987" s="17" t="s">
        <v>11</v>
      </c>
      <c r="E18987" s="17" t="s">
        <v>11</v>
      </c>
      <c r="F18987" s="18"/>
      <c r="G18987" s="36" t="str">
        <f>IF(ISNUMBER(F18987),C18987*F18987,"")</f>
        <v/>
      </c>
    </row>
    <row r="18988" spans="1:7" ht="12" customHeight="1" outlineLevel="2" x14ac:dyDescent="0.2">
      <c r="A18988" s="14" t="s">
        <v>37373</v>
      </c>
      <c r="B18988" s="15" t="s">
        <v>37374</v>
      </c>
      <c r="C18988" s="16">
        <f>296.25/(1+B2)</f>
        <v>296.25</v>
      </c>
      <c r="D18988" s="17" t="s">
        <v>14</v>
      </c>
      <c r="E18988" s="17" t="s">
        <v>106</v>
      </c>
      <c r="F18988" s="18"/>
      <c r="G18988" s="36" t="str">
        <f>IF(ISNUMBER(F18988),C18988*F18988,"")</f>
        <v/>
      </c>
    </row>
    <row r="18989" spans="1:7" ht="12" customHeight="1" outlineLevel="2" x14ac:dyDescent="0.2">
      <c r="A18989" s="14" t="s">
        <v>37375</v>
      </c>
      <c r="B18989" s="15" t="s">
        <v>37376</v>
      </c>
      <c r="C18989" s="16">
        <f>296.25/(1+B2)</f>
        <v>296.25</v>
      </c>
      <c r="D18989" s="17"/>
      <c r="E18989" s="17" t="s">
        <v>106</v>
      </c>
      <c r="F18989" s="18"/>
      <c r="G18989" s="36" t="str">
        <f>IF(ISNUMBER(F18989),C18989*F18989,"")</f>
        <v/>
      </c>
    </row>
    <row r="18990" spans="1:7" ht="12" customHeight="1" outlineLevel="2" x14ac:dyDescent="0.2">
      <c r="A18990" s="14" t="s">
        <v>37377</v>
      </c>
      <c r="B18990" s="15" t="s">
        <v>37378</v>
      </c>
      <c r="C18990" s="16">
        <f>326.25/(1+B2)</f>
        <v>326.25</v>
      </c>
      <c r="D18990" s="17"/>
      <c r="E18990" s="17" t="s">
        <v>53</v>
      </c>
      <c r="F18990" s="18"/>
      <c r="G18990" s="36" t="str">
        <f>IF(ISNUMBER(F18990),C18990*F18990,"")</f>
        <v/>
      </c>
    </row>
    <row r="18991" spans="1:7" ht="12" customHeight="1" outlineLevel="2" x14ac:dyDescent="0.2">
      <c r="A18991" s="14" t="s">
        <v>37379</v>
      </c>
      <c r="B18991" s="15" t="s">
        <v>37380</v>
      </c>
      <c r="C18991" s="16">
        <f>43.8/(1+B2)</f>
        <v>43.8</v>
      </c>
      <c r="D18991" s="17" t="s">
        <v>11</v>
      </c>
      <c r="E18991" s="17" t="s">
        <v>11</v>
      </c>
      <c r="F18991" s="18"/>
      <c r="G18991" s="36" t="str">
        <f>IF(ISNUMBER(F18991),C18991*F18991,"")</f>
        <v/>
      </c>
    </row>
    <row r="18992" spans="1:7" ht="12" customHeight="1" outlineLevel="2" x14ac:dyDescent="0.2">
      <c r="A18992" s="14" t="s">
        <v>37381</v>
      </c>
      <c r="B18992" s="15" t="s">
        <v>37382</v>
      </c>
      <c r="C18992" s="16">
        <f>70.32/(1+B2)</f>
        <v>70.319999999999993</v>
      </c>
      <c r="D18992" s="17" t="s">
        <v>11</v>
      </c>
      <c r="E18992" s="17" t="s">
        <v>11</v>
      </c>
      <c r="F18992" s="18"/>
      <c r="G18992" s="36" t="str">
        <f>IF(ISNUMBER(F18992),C18992*F18992,"")</f>
        <v/>
      </c>
    </row>
    <row r="18993" spans="1:7" ht="12" customHeight="1" outlineLevel="2" x14ac:dyDescent="0.2">
      <c r="A18993" s="14" t="s">
        <v>37383</v>
      </c>
      <c r="B18993" s="15" t="s">
        <v>37384</v>
      </c>
      <c r="C18993" s="16">
        <f>65.64/(1+B2)</f>
        <v>65.64</v>
      </c>
      <c r="D18993" s="17" t="s">
        <v>11</v>
      </c>
      <c r="E18993" s="17" t="s">
        <v>14</v>
      </c>
      <c r="F18993" s="18"/>
      <c r="G18993" s="36" t="str">
        <f>IF(ISNUMBER(F18993),C18993*F18993,"")</f>
        <v/>
      </c>
    </row>
    <row r="18994" spans="1:7" ht="12" customHeight="1" outlineLevel="2" x14ac:dyDescent="0.2">
      <c r="A18994" s="14" t="s">
        <v>37385</v>
      </c>
      <c r="B18994" s="15" t="s">
        <v>37386</v>
      </c>
      <c r="C18994" s="16">
        <f>80.88/(1+B2)</f>
        <v>80.88</v>
      </c>
      <c r="D18994" s="17" t="s">
        <v>11</v>
      </c>
      <c r="E18994" s="17" t="s">
        <v>11</v>
      </c>
      <c r="F18994" s="18"/>
      <c r="G18994" s="36" t="str">
        <f>IF(ISNUMBER(F18994),C18994*F18994,"")</f>
        <v/>
      </c>
    </row>
    <row r="18995" spans="1:7" ht="12" customHeight="1" outlineLevel="2" x14ac:dyDescent="0.2">
      <c r="A18995" s="14" t="s">
        <v>37387</v>
      </c>
      <c r="B18995" s="15" t="s">
        <v>37388</v>
      </c>
      <c r="C18995" s="16">
        <f>89.91/(1+B2)</f>
        <v>89.91</v>
      </c>
      <c r="D18995" s="17" t="s">
        <v>11</v>
      </c>
      <c r="E18995" s="17"/>
      <c r="F18995" s="18"/>
      <c r="G18995" s="36" t="str">
        <f>IF(ISNUMBER(F18995),C18995*F18995,"")</f>
        <v/>
      </c>
    </row>
    <row r="18996" spans="1:7" ht="12" customHeight="1" outlineLevel="2" x14ac:dyDescent="0.2">
      <c r="A18996" s="14" t="s">
        <v>37389</v>
      </c>
      <c r="B18996" s="15" t="s">
        <v>37390</v>
      </c>
      <c r="C18996" s="16">
        <f>67.56/(1+B2)</f>
        <v>67.56</v>
      </c>
      <c r="D18996" s="17" t="s">
        <v>14</v>
      </c>
      <c r="E18996" s="17" t="s">
        <v>106</v>
      </c>
      <c r="F18996" s="18"/>
      <c r="G18996" s="36" t="str">
        <f>IF(ISNUMBER(F18996),C18996*F18996,"")</f>
        <v/>
      </c>
    </row>
    <row r="18997" spans="1:7" ht="12" customHeight="1" outlineLevel="2" x14ac:dyDescent="0.2">
      <c r="A18997" s="14" t="s">
        <v>37391</v>
      </c>
      <c r="B18997" s="15" t="s">
        <v>37392</v>
      </c>
      <c r="C18997" s="16">
        <f>72/(1+B2)</f>
        <v>72</v>
      </c>
      <c r="D18997" s="17" t="s">
        <v>11</v>
      </c>
      <c r="E18997" s="17" t="s">
        <v>106</v>
      </c>
      <c r="F18997" s="18"/>
      <c r="G18997" s="36" t="str">
        <f>IF(ISNUMBER(F18997),C18997*F18997,"")</f>
        <v/>
      </c>
    </row>
    <row r="18998" spans="1:7" ht="12" customHeight="1" outlineLevel="2" x14ac:dyDescent="0.2">
      <c r="A18998" s="14" t="s">
        <v>37393</v>
      </c>
      <c r="B18998" s="15" t="s">
        <v>37394</v>
      </c>
      <c r="C18998" s="16">
        <f>117.72/(1+B2)</f>
        <v>117.72</v>
      </c>
      <c r="D18998" s="17" t="s">
        <v>11</v>
      </c>
      <c r="E18998" s="17" t="s">
        <v>53</v>
      </c>
      <c r="F18998" s="18"/>
      <c r="G18998" s="36" t="str">
        <f>IF(ISNUMBER(F18998),C18998*F18998,"")</f>
        <v/>
      </c>
    </row>
    <row r="18999" spans="1:7" ht="12" customHeight="1" outlineLevel="2" x14ac:dyDescent="0.2">
      <c r="A18999" s="14" t="s">
        <v>37395</v>
      </c>
      <c r="B18999" s="15" t="s">
        <v>37396</v>
      </c>
      <c r="C18999" s="16">
        <f>100.31/(1+B2)</f>
        <v>100.31</v>
      </c>
      <c r="D18999" s="17" t="s">
        <v>11</v>
      </c>
      <c r="E18999" s="17"/>
      <c r="F18999" s="18"/>
      <c r="G18999" s="36" t="str">
        <f>IF(ISNUMBER(F18999),C18999*F18999,"")</f>
        <v/>
      </c>
    </row>
    <row r="19000" spans="1:7" ht="12" customHeight="1" outlineLevel="2" x14ac:dyDescent="0.2">
      <c r="A19000" s="14" t="s">
        <v>37397</v>
      </c>
      <c r="B19000" s="15" t="s">
        <v>37398</v>
      </c>
      <c r="C19000" s="16">
        <f>108.12/(1+B2)</f>
        <v>108.12</v>
      </c>
      <c r="D19000" s="17"/>
      <c r="E19000" s="17" t="s">
        <v>14</v>
      </c>
      <c r="F19000" s="18"/>
      <c r="G19000" s="36" t="str">
        <f>IF(ISNUMBER(F19000),C19000*F19000,"")</f>
        <v/>
      </c>
    </row>
    <row r="19001" spans="1:7" ht="12" customHeight="1" outlineLevel="2" x14ac:dyDescent="0.2">
      <c r="A19001" s="14" t="s">
        <v>37399</v>
      </c>
      <c r="B19001" s="15" t="s">
        <v>37400</v>
      </c>
      <c r="C19001" s="16">
        <f>102.6/(1+B2)</f>
        <v>102.6</v>
      </c>
      <c r="D19001" s="17" t="s">
        <v>11</v>
      </c>
      <c r="E19001" s="17" t="s">
        <v>14</v>
      </c>
      <c r="F19001" s="18"/>
      <c r="G19001" s="36" t="str">
        <f>IF(ISNUMBER(F19001),C19001*F19001,"")</f>
        <v/>
      </c>
    </row>
    <row r="19002" spans="1:7" ht="12" customHeight="1" outlineLevel="2" x14ac:dyDescent="0.2">
      <c r="A19002" s="14" t="s">
        <v>37401</v>
      </c>
      <c r="B19002" s="15" t="s">
        <v>37402</v>
      </c>
      <c r="C19002" s="16">
        <f>45.96/(1+B2)</f>
        <v>45.96</v>
      </c>
      <c r="D19002" s="17" t="s">
        <v>11</v>
      </c>
      <c r="E19002" s="17"/>
      <c r="F19002" s="18"/>
      <c r="G19002" s="36" t="str">
        <f>IF(ISNUMBER(F19002),C19002*F19002,"")</f>
        <v/>
      </c>
    </row>
    <row r="19003" spans="1:7" ht="12" customHeight="1" outlineLevel="2" x14ac:dyDescent="0.2">
      <c r="A19003" s="14" t="s">
        <v>37403</v>
      </c>
      <c r="B19003" s="15" t="s">
        <v>37404</v>
      </c>
      <c r="C19003" s="16">
        <f>80.88/(1+B2)</f>
        <v>80.88</v>
      </c>
      <c r="D19003" s="17" t="s">
        <v>11</v>
      </c>
      <c r="E19003" s="17" t="s">
        <v>11</v>
      </c>
      <c r="F19003" s="18"/>
      <c r="G19003" s="36" t="str">
        <f>IF(ISNUMBER(F19003),C19003*F19003,"")</f>
        <v/>
      </c>
    </row>
    <row r="19004" spans="1:7" ht="12" customHeight="1" outlineLevel="2" x14ac:dyDescent="0.2">
      <c r="A19004" s="14" t="s">
        <v>37405</v>
      </c>
      <c r="B19004" s="15" t="s">
        <v>37406</v>
      </c>
      <c r="C19004" s="16">
        <f>43.2/(1+B2)</f>
        <v>43.2</v>
      </c>
      <c r="D19004" s="17" t="s">
        <v>11</v>
      </c>
      <c r="E19004" s="17"/>
      <c r="F19004" s="18"/>
      <c r="G19004" s="36" t="str">
        <f>IF(ISNUMBER(F19004),C19004*F19004,"")</f>
        <v/>
      </c>
    </row>
    <row r="19005" spans="1:7" ht="12" customHeight="1" outlineLevel="2" x14ac:dyDescent="0.2">
      <c r="A19005" s="14" t="s">
        <v>37407</v>
      </c>
      <c r="B19005" s="15" t="s">
        <v>37408</v>
      </c>
      <c r="C19005" s="16">
        <f>76.32/(1+B2)</f>
        <v>76.319999999999993</v>
      </c>
      <c r="D19005" s="17" t="s">
        <v>11</v>
      </c>
      <c r="E19005" s="17" t="s">
        <v>11</v>
      </c>
      <c r="F19005" s="18"/>
      <c r="G19005" s="36" t="str">
        <f>IF(ISNUMBER(F19005),C19005*F19005,"")</f>
        <v/>
      </c>
    </row>
    <row r="19006" spans="1:7" ht="12" customHeight="1" outlineLevel="2" x14ac:dyDescent="0.2">
      <c r="A19006" s="14" t="s">
        <v>37409</v>
      </c>
      <c r="B19006" s="15" t="s">
        <v>37410</v>
      </c>
      <c r="C19006" s="16">
        <f>68.52/(1+B2)</f>
        <v>68.52</v>
      </c>
      <c r="D19006" s="17" t="s">
        <v>11</v>
      </c>
      <c r="E19006" s="17" t="s">
        <v>53</v>
      </c>
      <c r="F19006" s="18"/>
      <c r="G19006" s="36" t="str">
        <f>IF(ISNUMBER(F19006),C19006*F19006,"")</f>
        <v/>
      </c>
    </row>
    <row r="19007" spans="1:7" ht="12" customHeight="1" outlineLevel="2" x14ac:dyDescent="0.2">
      <c r="A19007" s="14" t="s">
        <v>37411</v>
      </c>
      <c r="B19007" s="15" t="s">
        <v>37412</v>
      </c>
      <c r="C19007" s="16">
        <f>115.56/(1+B2)</f>
        <v>115.56</v>
      </c>
      <c r="D19007" s="17" t="s">
        <v>11</v>
      </c>
      <c r="E19007" s="17"/>
      <c r="F19007" s="18"/>
      <c r="G19007" s="36" t="str">
        <f>IF(ISNUMBER(F19007),C19007*F19007,"")</f>
        <v/>
      </c>
    </row>
    <row r="19008" spans="1:7" ht="12" customHeight="1" outlineLevel="2" x14ac:dyDescent="0.2">
      <c r="A19008" s="14" t="s">
        <v>37413</v>
      </c>
      <c r="B19008" s="15" t="s">
        <v>37414</v>
      </c>
      <c r="C19008" s="16">
        <f>69.24/(1+B2)</f>
        <v>69.239999999999995</v>
      </c>
      <c r="D19008" s="17" t="s">
        <v>11</v>
      </c>
      <c r="E19008" s="17"/>
      <c r="F19008" s="18"/>
      <c r="G19008" s="36" t="str">
        <f>IF(ISNUMBER(F19008),C19008*F19008,"")</f>
        <v/>
      </c>
    </row>
    <row r="19009" spans="1:7" ht="12" customHeight="1" outlineLevel="2" x14ac:dyDescent="0.2">
      <c r="A19009" s="14" t="s">
        <v>37415</v>
      </c>
      <c r="B19009" s="15" t="s">
        <v>37416</v>
      </c>
      <c r="C19009" s="16">
        <f>124.8/(1+B2)</f>
        <v>124.8</v>
      </c>
      <c r="D19009" s="17" t="s">
        <v>11</v>
      </c>
      <c r="E19009" s="17"/>
      <c r="F19009" s="18"/>
      <c r="G19009" s="36" t="str">
        <f>IF(ISNUMBER(F19009),C19009*F19009,"")</f>
        <v/>
      </c>
    </row>
    <row r="19010" spans="1:7" ht="12" customHeight="1" outlineLevel="2" x14ac:dyDescent="0.2">
      <c r="A19010" s="14" t="s">
        <v>37417</v>
      </c>
      <c r="B19010" s="15" t="s">
        <v>37418</v>
      </c>
      <c r="C19010" s="16">
        <f>115.2/(1+B2)</f>
        <v>115.2</v>
      </c>
      <c r="D19010" s="17" t="s">
        <v>11</v>
      </c>
      <c r="E19010" s="17" t="s">
        <v>11</v>
      </c>
      <c r="F19010" s="18"/>
      <c r="G19010" s="36" t="str">
        <f>IF(ISNUMBER(F19010),C19010*F19010,"")</f>
        <v/>
      </c>
    </row>
    <row r="19011" spans="1:7" ht="12" customHeight="1" outlineLevel="2" x14ac:dyDescent="0.2">
      <c r="A19011" s="14" t="s">
        <v>37419</v>
      </c>
      <c r="B19011" s="15" t="s">
        <v>37420</v>
      </c>
      <c r="C19011" s="16">
        <f>66.36/(1+B2)</f>
        <v>66.36</v>
      </c>
      <c r="D19011" s="17" t="s">
        <v>14</v>
      </c>
      <c r="E19011" s="17" t="s">
        <v>11</v>
      </c>
      <c r="F19011" s="18"/>
      <c r="G19011" s="36" t="str">
        <f>IF(ISNUMBER(F19011),C19011*F19011,"")</f>
        <v/>
      </c>
    </row>
    <row r="19012" spans="1:7" ht="12" customHeight="1" outlineLevel="2" x14ac:dyDescent="0.2">
      <c r="A19012" s="14" t="s">
        <v>37421</v>
      </c>
      <c r="B19012" s="15" t="s">
        <v>37422</v>
      </c>
      <c r="C19012" s="16">
        <f>98.76/(1+B2)</f>
        <v>98.76</v>
      </c>
      <c r="D19012" s="17" t="s">
        <v>11</v>
      </c>
      <c r="E19012" s="17"/>
      <c r="F19012" s="18"/>
      <c r="G19012" s="36" t="str">
        <f>IF(ISNUMBER(F19012),C19012*F19012,"")</f>
        <v/>
      </c>
    </row>
    <row r="19013" spans="1:7" ht="12" customHeight="1" outlineLevel="2" x14ac:dyDescent="0.2">
      <c r="A19013" s="14" t="s">
        <v>37423</v>
      </c>
      <c r="B19013" s="15" t="s">
        <v>37424</v>
      </c>
      <c r="C19013" s="16">
        <f>39.06/(1+B2)</f>
        <v>39.06</v>
      </c>
      <c r="D19013" s="17" t="s">
        <v>14</v>
      </c>
      <c r="E19013" s="17" t="s">
        <v>106</v>
      </c>
      <c r="F19013" s="18"/>
      <c r="G19013" s="36" t="str">
        <f>IF(ISNUMBER(F19013),C19013*F19013,"")</f>
        <v/>
      </c>
    </row>
    <row r="19014" spans="1:7" ht="12" customHeight="1" outlineLevel="2" x14ac:dyDescent="0.2">
      <c r="A19014" s="14" t="s">
        <v>37425</v>
      </c>
      <c r="B19014" s="15" t="s">
        <v>37426</v>
      </c>
      <c r="C19014" s="16">
        <f>53.04/(1+B2)</f>
        <v>53.04</v>
      </c>
      <c r="D19014" s="17" t="s">
        <v>11</v>
      </c>
      <c r="E19014" s="17" t="s">
        <v>106</v>
      </c>
      <c r="F19014" s="18"/>
      <c r="G19014" s="36" t="str">
        <f>IF(ISNUMBER(F19014),C19014*F19014,"")</f>
        <v/>
      </c>
    </row>
    <row r="19015" spans="1:7" ht="12" customHeight="1" outlineLevel="2" x14ac:dyDescent="0.2">
      <c r="A19015" s="14" t="s">
        <v>37427</v>
      </c>
      <c r="B19015" s="15" t="s">
        <v>37428</v>
      </c>
      <c r="C19015" s="16">
        <f>69.36/(1+B2)</f>
        <v>69.36</v>
      </c>
      <c r="D19015" s="17"/>
      <c r="E19015" s="17" t="s">
        <v>14</v>
      </c>
      <c r="F19015" s="18"/>
      <c r="G19015" s="36" t="str">
        <f>IF(ISNUMBER(F19015),C19015*F19015,"")</f>
        <v/>
      </c>
    </row>
    <row r="19016" spans="1:7" ht="12" customHeight="1" outlineLevel="2" x14ac:dyDescent="0.2">
      <c r="A19016" s="14" t="s">
        <v>37429</v>
      </c>
      <c r="B19016" s="15" t="s">
        <v>37430</v>
      </c>
      <c r="C19016" s="16">
        <f>74.28/(1+B2)</f>
        <v>74.28</v>
      </c>
      <c r="D19016" s="17" t="s">
        <v>11</v>
      </c>
      <c r="E19016" s="17" t="s">
        <v>53</v>
      </c>
      <c r="F19016" s="18"/>
      <c r="G19016" s="36" t="str">
        <f>IF(ISNUMBER(F19016),C19016*F19016,"")</f>
        <v/>
      </c>
    </row>
    <row r="19017" spans="1:7" ht="12" customHeight="1" outlineLevel="2" x14ac:dyDescent="0.2">
      <c r="A19017" s="14" t="s">
        <v>37431</v>
      </c>
      <c r="B19017" s="15" t="s">
        <v>37432</v>
      </c>
      <c r="C19017" s="16">
        <f>72.96/(1+B2)</f>
        <v>72.959999999999994</v>
      </c>
      <c r="D19017" s="17" t="s">
        <v>11</v>
      </c>
      <c r="E19017" s="17" t="s">
        <v>106</v>
      </c>
      <c r="F19017" s="18"/>
      <c r="G19017" s="36" t="str">
        <f>IF(ISNUMBER(F19017),C19017*F19017,"")</f>
        <v/>
      </c>
    </row>
    <row r="19018" spans="1:7" ht="12" customHeight="1" outlineLevel="2" x14ac:dyDescent="0.2">
      <c r="A19018" s="14" t="s">
        <v>37433</v>
      </c>
      <c r="B19018" s="15" t="s">
        <v>37434</v>
      </c>
      <c r="C19018" s="16">
        <f>651.6/(1+B2)</f>
        <v>651.6</v>
      </c>
      <c r="D19018" s="17" t="s">
        <v>11</v>
      </c>
      <c r="E19018" s="17" t="s">
        <v>11</v>
      </c>
      <c r="F19018" s="18"/>
      <c r="G19018" s="36" t="str">
        <f>IF(ISNUMBER(F19018),C19018*F19018,"")</f>
        <v/>
      </c>
    </row>
    <row r="19019" spans="1:7" ht="12" customHeight="1" outlineLevel="2" x14ac:dyDescent="0.2">
      <c r="A19019" s="14" t="s">
        <v>37435</v>
      </c>
      <c r="B19019" s="15" t="s">
        <v>37436</v>
      </c>
      <c r="C19019" s="16">
        <f>238.08/(1+B2)</f>
        <v>238.08</v>
      </c>
      <c r="D19019" s="17" t="s">
        <v>11</v>
      </c>
      <c r="E19019" s="17" t="s">
        <v>11</v>
      </c>
      <c r="F19019" s="18"/>
      <c r="G19019" s="36" t="str">
        <f>IF(ISNUMBER(F19019),C19019*F19019,"")</f>
        <v/>
      </c>
    </row>
    <row r="19020" spans="1:7" ht="12" customHeight="1" outlineLevel="2" x14ac:dyDescent="0.2">
      <c r="A19020" s="14" t="s">
        <v>37437</v>
      </c>
      <c r="B19020" s="15" t="s">
        <v>37438</v>
      </c>
      <c r="C19020" s="16">
        <f>396/(1+B2)</f>
        <v>396</v>
      </c>
      <c r="D19020" s="17"/>
      <c r="E19020" s="17" t="s">
        <v>11</v>
      </c>
      <c r="F19020" s="18"/>
      <c r="G19020" s="36" t="str">
        <f>IF(ISNUMBER(F19020),C19020*F19020,"")</f>
        <v/>
      </c>
    </row>
    <row r="19021" spans="1:7" s="1" customFormat="1" ht="15.95" customHeight="1" outlineLevel="1" x14ac:dyDescent="0.25">
      <c r="A19021" s="11"/>
      <c r="B19021" s="12" t="s">
        <v>37439</v>
      </c>
      <c r="C19021" s="13"/>
      <c r="D19021" s="13"/>
      <c r="E19021" s="13"/>
      <c r="F19021" s="13"/>
      <c r="G19021" s="35"/>
    </row>
    <row r="19022" spans="1:7" ht="12" customHeight="1" outlineLevel="2" x14ac:dyDescent="0.2">
      <c r="A19022" s="14" t="s">
        <v>37440</v>
      </c>
      <c r="B19022" s="15" t="s">
        <v>37441</v>
      </c>
      <c r="C19022" s="16">
        <f>224.38/(1+B2)</f>
        <v>224.38</v>
      </c>
      <c r="D19022" s="17" t="s">
        <v>11</v>
      </c>
      <c r="E19022" s="17" t="s">
        <v>11</v>
      </c>
      <c r="F19022" s="18"/>
      <c r="G19022" s="36" t="str">
        <f>IF(ISNUMBER(F19022),C19022*F19022,"")</f>
        <v/>
      </c>
    </row>
    <row r="19023" spans="1:7" ht="12" customHeight="1" outlineLevel="2" x14ac:dyDescent="0.2">
      <c r="A19023" s="14" t="s">
        <v>37442</v>
      </c>
      <c r="B19023" s="15" t="s">
        <v>37443</v>
      </c>
      <c r="C19023" s="16">
        <f>99.19/(1+B2)</f>
        <v>99.19</v>
      </c>
      <c r="D19023" s="17" t="s">
        <v>11</v>
      </c>
      <c r="E19023" s="17"/>
      <c r="F19023" s="18"/>
      <c r="G19023" s="36" t="str">
        <f>IF(ISNUMBER(F19023),C19023*F19023,"")</f>
        <v/>
      </c>
    </row>
    <row r="19024" spans="1:7" s="1" customFormat="1" ht="15.95" customHeight="1" outlineLevel="1" x14ac:dyDescent="0.25">
      <c r="A19024" s="11"/>
      <c r="B19024" s="12" t="s">
        <v>37444</v>
      </c>
      <c r="C19024" s="13"/>
      <c r="D19024" s="13"/>
      <c r="E19024" s="13"/>
      <c r="F19024" s="13"/>
      <c r="G19024" s="35"/>
    </row>
    <row r="19025" spans="1:7" ht="12" customHeight="1" outlineLevel="2" x14ac:dyDescent="0.2">
      <c r="A19025" s="14" t="s">
        <v>37445</v>
      </c>
      <c r="B19025" s="15" t="s">
        <v>37446</v>
      </c>
      <c r="C19025" s="19">
        <f>3917.06/(1+B2)</f>
        <v>3917.06</v>
      </c>
      <c r="D19025" s="17" t="s">
        <v>11</v>
      </c>
      <c r="E19025" s="17"/>
      <c r="F19025" s="18"/>
      <c r="G19025" s="36" t="str">
        <f>IF(ISNUMBER(F19025),C19025*F19025,"")</f>
        <v/>
      </c>
    </row>
    <row r="19026" spans="1:7" ht="12" customHeight="1" outlineLevel="2" x14ac:dyDescent="0.2">
      <c r="A19026" s="14" t="s">
        <v>37447</v>
      </c>
      <c r="B19026" s="15" t="s">
        <v>37448</v>
      </c>
      <c r="C19026" s="16">
        <f>550.72/(1+B2)</f>
        <v>550.72</v>
      </c>
      <c r="D19026" s="17" t="s">
        <v>11</v>
      </c>
      <c r="E19026" s="17" t="s">
        <v>11</v>
      </c>
      <c r="F19026" s="18"/>
      <c r="G19026" s="36" t="str">
        <f>IF(ISNUMBER(F19026),C19026*F19026,"")</f>
        <v/>
      </c>
    </row>
    <row r="19027" spans="1:7" ht="12" customHeight="1" outlineLevel="2" x14ac:dyDescent="0.2">
      <c r="A19027" s="14" t="s">
        <v>37449</v>
      </c>
      <c r="B19027" s="15" t="s">
        <v>37450</v>
      </c>
      <c r="C19027" s="16">
        <f>338.11/(1+B2)</f>
        <v>338.11</v>
      </c>
      <c r="D19027" s="17" t="s">
        <v>11</v>
      </c>
      <c r="E19027" s="17" t="s">
        <v>11</v>
      </c>
      <c r="F19027" s="18"/>
      <c r="G19027" s="36" t="str">
        <f>IF(ISNUMBER(F19027),C19027*F19027,"")</f>
        <v/>
      </c>
    </row>
    <row r="19028" spans="1:7" ht="12" customHeight="1" outlineLevel="2" x14ac:dyDescent="0.2">
      <c r="A19028" s="14" t="s">
        <v>37451</v>
      </c>
      <c r="B19028" s="15" t="s">
        <v>37452</v>
      </c>
      <c r="C19028" s="16">
        <f>250.19/(1+B2)</f>
        <v>250.19</v>
      </c>
      <c r="D19028" s="17" t="s">
        <v>11</v>
      </c>
      <c r="E19028" s="17"/>
      <c r="F19028" s="18"/>
      <c r="G19028" s="36" t="str">
        <f>IF(ISNUMBER(F19028),C19028*F19028,"")</f>
        <v/>
      </c>
    </row>
    <row r="19029" spans="1:7" ht="12" customHeight="1" outlineLevel="2" x14ac:dyDescent="0.2">
      <c r="A19029" s="14" t="s">
        <v>37453</v>
      </c>
      <c r="B19029" s="15" t="s">
        <v>37454</v>
      </c>
      <c r="C19029" s="16">
        <f>338.11/(1+B2)</f>
        <v>338.11</v>
      </c>
      <c r="D19029" s="17" t="s">
        <v>11</v>
      </c>
      <c r="E19029" s="17"/>
      <c r="F19029" s="18"/>
      <c r="G19029" s="36" t="str">
        <f>IF(ISNUMBER(F19029),C19029*F19029,"")</f>
        <v/>
      </c>
    </row>
    <row r="19030" spans="1:7" ht="12" customHeight="1" outlineLevel="2" x14ac:dyDescent="0.2">
      <c r="A19030" s="14" t="s">
        <v>37455</v>
      </c>
      <c r="B19030" s="15" t="s">
        <v>37456</v>
      </c>
      <c r="C19030" s="16">
        <f>575.43/(1+B2)</f>
        <v>575.42999999999995</v>
      </c>
      <c r="D19030" s="17" t="s">
        <v>11</v>
      </c>
      <c r="E19030" s="17"/>
      <c r="F19030" s="18"/>
      <c r="G19030" s="36" t="str">
        <f>IF(ISNUMBER(F19030),C19030*F19030,"")</f>
        <v/>
      </c>
    </row>
    <row r="19031" spans="1:7" ht="12" customHeight="1" outlineLevel="2" x14ac:dyDescent="0.2">
      <c r="A19031" s="14" t="s">
        <v>37457</v>
      </c>
      <c r="B19031" s="15" t="s">
        <v>37458</v>
      </c>
      <c r="C19031" s="16">
        <f>549.12/(1+B2)</f>
        <v>549.12</v>
      </c>
      <c r="D19031" s="17" t="s">
        <v>11</v>
      </c>
      <c r="E19031" s="17"/>
      <c r="F19031" s="18"/>
      <c r="G19031" s="36" t="str">
        <f>IF(ISNUMBER(F19031),C19031*F19031,"")</f>
        <v/>
      </c>
    </row>
    <row r="19032" spans="1:7" ht="24" customHeight="1" outlineLevel="2" x14ac:dyDescent="0.2">
      <c r="A19032" s="14" t="s">
        <v>37459</v>
      </c>
      <c r="B19032" s="15" t="s">
        <v>37460</v>
      </c>
      <c r="C19032" s="16">
        <f>851.84/(1+B2)</f>
        <v>851.84</v>
      </c>
      <c r="D19032" s="17" t="s">
        <v>11</v>
      </c>
      <c r="E19032" s="17"/>
      <c r="F19032" s="18"/>
      <c r="G19032" s="36" t="str">
        <f>IF(ISNUMBER(F19032),C19032*F19032,"")</f>
        <v/>
      </c>
    </row>
    <row r="19033" spans="1:7" ht="12" customHeight="1" outlineLevel="2" x14ac:dyDescent="0.2">
      <c r="A19033" s="14" t="s">
        <v>37461</v>
      </c>
      <c r="B19033" s="15" t="s">
        <v>37462</v>
      </c>
      <c r="C19033" s="16">
        <f>244.41/(1+B2)</f>
        <v>244.41</v>
      </c>
      <c r="D19033" s="17" t="s">
        <v>11</v>
      </c>
      <c r="E19033" s="17"/>
      <c r="F19033" s="18"/>
      <c r="G19033" s="36" t="str">
        <f>IF(ISNUMBER(F19033),C19033*F19033,"")</f>
        <v/>
      </c>
    </row>
    <row r="19034" spans="1:7" ht="12" customHeight="1" outlineLevel="2" x14ac:dyDescent="0.2">
      <c r="A19034" s="14" t="s">
        <v>37463</v>
      </c>
      <c r="B19034" s="15" t="s">
        <v>37464</v>
      </c>
      <c r="C19034" s="16">
        <f>195.48/(1+B2)</f>
        <v>195.48</v>
      </c>
      <c r="D19034" s="17" t="s">
        <v>11</v>
      </c>
      <c r="E19034" s="17" t="s">
        <v>14</v>
      </c>
      <c r="F19034" s="18"/>
      <c r="G19034" s="36" t="str">
        <f>IF(ISNUMBER(F19034),C19034*F19034,"")</f>
        <v/>
      </c>
    </row>
    <row r="19035" spans="1:7" s="1" customFormat="1" ht="15.95" customHeight="1" outlineLevel="1" x14ac:dyDescent="0.25">
      <c r="A19035" s="11"/>
      <c r="B19035" s="12" t="s">
        <v>37465</v>
      </c>
      <c r="C19035" s="13"/>
      <c r="D19035" s="13"/>
      <c r="E19035" s="13"/>
      <c r="F19035" s="13"/>
      <c r="G19035" s="35"/>
    </row>
    <row r="19036" spans="1:7" ht="12" customHeight="1" outlineLevel="2" x14ac:dyDescent="0.2">
      <c r="A19036" s="14" t="s">
        <v>37466</v>
      </c>
      <c r="B19036" s="15" t="s">
        <v>37467</v>
      </c>
      <c r="C19036" s="16">
        <f>121.77/(1+B2)</f>
        <v>121.77</v>
      </c>
      <c r="D19036" s="17" t="s">
        <v>11</v>
      </c>
      <c r="E19036" s="17"/>
      <c r="F19036" s="18"/>
      <c r="G19036" s="36" t="str">
        <f>IF(ISNUMBER(F19036),C19036*F19036,"")</f>
        <v/>
      </c>
    </row>
    <row r="19037" spans="1:7" ht="12" customHeight="1" outlineLevel="2" x14ac:dyDescent="0.2">
      <c r="A19037" s="14" t="s">
        <v>37468</v>
      </c>
      <c r="B19037" s="15" t="s">
        <v>37469</v>
      </c>
      <c r="C19037" s="16">
        <f>18.02/(1+B2)</f>
        <v>18.02</v>
      </c>
      <c r="D19037" s="17" t="s">
        <v>11</v>
      </c>
      <c r="E19037" s="17"/>
      <c r="F19037" s="18"/>
      <c r="G19037" s="36" t="str">
        <f>IF(ISNUMBER(F19037),C19037*F19037,"")</f>
        <v/>
      </c>
    </row>
    <row r="19038" spans="1:7" ht="12" customHeight="1" outlineLevel="2" x14ac:dyDescent="0.2">
      <c r="A19038" s="14" t="s">
        <v>37470</v>
      </c>
      <c r="B19038" s="15" t="s">
        <v>37471</v>
      </c>
      <c r="C19038" s="16">
        <f>26.75/(1+B2)</f>
        <v>26.75</v>
      </c>
      <c r="D19038" s="17" t="s">
        <v>14</v>
      </c>
      <c r="E19038" s="17"/>
      <c r="F19038" s="18"/>
      <c r="G19038" s="36" t="str">
        <f>IF(ISNUMBER(F19038),C19038*F19038,"")</f>
        <v/>
      </c>
    </row>
    <row r="19039" spans="1:7" ht="12" customHeight="1" outlineLevel="2" x14ac:dyDescent="0.2">
      <c r="A19039" s="14" t="s">
        <v>37472</v>
      </c>
      <c r="B19039" s="15" t="s">
        <v>37473</v>
      </c>
      <c r="C19039" s="16">
        <f>17.93/(1+B2)</f>
        <v>17.93</v>
      </c>
      <c r="D19039" s="17" t="s">
        <v>14</v>
      </c>
      <c r="E19039" s="17" t="s">
        <v>106</v>
      </c>
      <c r="F19039" s="18"/>
      <c r="G19039" s="36" t="str">
        <f>IF(ISNUMBER(F19039),C19039*F19039,"")</f>
        <v/>
      </c>
    </row>
    <row r="19040" spans="1:7" ht="12" customHeight="1" outlineLevel="2" x14ac:dyDescent="0.2">
      <c r="A19040" s="14" t="s">
        <v>37474</v>
      </c>
      <c r="B19040" s="15" t="s">
        <v>37475</v>
      </c>
      <c r="C19040" s="16">
        <f>17.35/(1+B2)</f>
        <v>17.350000000000001</v>
      </c>
      <c r="D19040" s="17" t="s">
        <v>14</v>
      </c>
      <c r="E19040" s="17" t="s">
        <v>14</v>
      </c>
      <c r="F19040" s="18"/>
      <c r="G19040" s="36" t="str">
        <f>IF(ISNUMBER(F19040),C19040*F19040,"")</f>
        <v/>
      </c>
    </row>
    <row r="19041" spans="1:7" ht="12" customHeight="1" outlineLevel="2" x14ac:dyDescent="0.2">
      <c r="A19041" s="14" t="s">
        <v>37476</v>
      </c>
      <c r="B19041" s="15" t="s">
        <v>37477</v>
      </c>
      <c r="C19041" s="16">
        <f>20.87/(1+B2)</f>
        <v>20.87</v>
      </c>
      <c r="D19041" s="17" t="s">
        <v>106</v>
      </c>
      <c r="E19041" s="17" t="s">
        <v>11</v>
      </c>
      <c r="F19041" s="18"/>
      <c r="G19041" s="36" t="str">
        <f>IF(ISNUMBER(F19041),C19041*F19041,"")</f>
        <v/>
      </c>
    </row>
    <row r="19042" spans="1:7" ht="12" customHeight="1" outlineLevel="2" x14ac:dyDescent="0.2">
      <c r="A19042" s="14" t="s">
        <v>37478</v>
      </c>
      <c r="B19042" s="15" t="s">
        <v>37479</v>
      </c>
      <c r="C19042" s="16">
        <f>6.16/(1+B2)</f>
        <v>6.16</v>
      </c>
      <c r="D19042" s="17" t="s">
        <v>53</v>
      </c>
      <c r="E19042" s="17" t="s">
        <v>106</v>
      </c>
      <c r="F19042" s="18"/>
      <c r="G19042" s="36" t="str">
        <f>IF(ISNUMBER(F19042),C19042*F19042,"")</f>
        <v/>
      </c>
    </row>
    <row r="19043" spans="1:7" ht="12" customHeight="1" outlineLevel="2" x14ac:dyDescent="0.2">
      <c r="A19043" s="14" t="s">
        <v>37480</v>
      </c>
      <c r="B19043" s="15" t="s">
        <v>37481</v>
      </c>
      <c r="C19043" s="16">
        <f>95.04/(1+B2)</f>
        <v>95.04</v>
      </c>
      <c r="D19043" s="17" t="s">
        <v>11</v>
      </c>
      <c r="E19043" s="17"/>
      <c r="F19043" s="18"/>
      <c r="G19043" s="36" t="str">
        <f>IF(ISNUMBER(F19043),C19043*F19043,"")</f>
        <v/>
      </c>
    </row>
    <row r="19044" spans="1:7" ht="12" customHeight="1" outlineLevel="2" x14ac:dyDescent="0.2">
      <c r="A19044" s="14" t="s">
        <v>37482</v>
      </c>
      <c r="B19044" s="15" t="s">
        <v>37483</v>
      </c>
      <c r="C19044" s="16">
        <f>67.98/(1+B2)</f>
        <v>67.98</v>
      </c>
      <c r="D19044" s="17" t="s">
        <v>53</v>
      </c>
      <c r="E19044" s="17"/>
      <c r="F19044" s="18"/>
      <c r="G19044" s="36" t="str">
        <f>IF(ISNUMBER(F19044),C19044*F19044,"")</f>
        <v/>
      </c>
    </row>
    <row r="19045" spans="1:7" ht="12" customHeight="1" outlineLevel="2" x14ac:dyDescent="0.2">
      <c r="A19045" s="14" t="s">
        <v>37484</v>
      </c>
      <c r="B19045" s="15" t="s">
        <v>37485</v>
      </c>
      <c r="C19045" s="16">
        <f>102.14/(1+B2)</f>
        <v>102.14</v>
      </c>
      <c r="D19045" s="17" t="s">
        <v>11</v>
      </c>
      <c r="E19045" s="17" t="s">
        <v>106</v>
      </c>
      <c r="F19045" s="18"/>
      <c r="G19045" s="36" t="str">
        <f>IF(ISNUMBER(F19045),C19045*F19045,"")</f>
        <v/>
      </c>
    </row>
    <row r="19046" spans="1:7" ht="12" customHeight="1" outlineLevel="2" x14ac:dyDescent="0.2">
      <c r="A19046" s="14" t="s">
        <v>37486</v>
      </c>
      <c r="B19046" s="15" t="s">
        <v>37487</v>
      </c>
      <c r="C19046" s="16">
        <f>63.89/(1+B2)</f>
        <v>63.89</v>
      </c>
      <c r="D19046" s="17" t="s">
        <v>11</v>
      </c>
      <c r="E19046" s="17" t="s">
        <v>11</v>
      </c>
      <c r="F19046" s="18"/>
      <c r="G19046" s="36" t="str">
        <f>IF(ISNUMBER(F19046),C19046*F19046,"")</f>
        <v/>
      </c>
    </row>
    <row r="19047" spans="1:7" ht="24" customHeight="1" outlineLevel="2" x14ac:dyDescent="0.2">
      <c r="A19047" s="14" t="s">
        <v>37488</v>
      </c>
      <c r="B19047" s="15" t="s">
        <v>37489</v>
      </c>
      <c r="C19047" s="16">
        <f>55.96/(1+B2)</f>
        <v>55.96</v>
      </c>
      <c r="D19047" s="17" t="s">
        <v>53</v>
      </c>
      <c r="E19047" s="17"/>
      <c r="F19047" s="18"/>
      <c r="G19047" s="36" t="str">
        <f>IF(ISNUMBER(F19047),C19047*F19047,"")</f>
        <v/>
      </c>
    </row>
    <row r="19048" spans="1:7" ht="12" customHeight="1" outlineLevel="2" x14ac:dyDescent="0.2">
      <c r="A19048" s="14" t="s">
        <v>37490</v>
      </c>
      <c r="B19048" s="15" t="s">
        <v>37491</v>
      </c>
      <c r="C19048" s="16">
        <f>37.74/(1+B2)</f>
        <v>37.74</v>
      </c>
      <c r="D19048" s="17" t="s">
        <v>11</v>
      </c>
      <c r="E19048" s="17"/>
      <c r="F19048" s="18"/>
      <c r="G19048" s="36" t="str">
        <f>IF(ISNUMBER(F19048),C19048*F19048,"")</f>
        <v/>
      </c>
    </row>
    <row r="19049" spans="1:7" ht="12" customHeight="1" outlineLevel="2" x14ac:dyDescent="0.2">
      <c r="A19049" s="14" t="s">
        <v>37492</v>
      </c>
      <c r="B19049" s="15" t="s">
        <v>37493</v>
      </c>
      <c r="C19049" s="16">
        <f>68.65/(1+B2)</f>
        <v>68.650000000000006</v>
      </c>
      <c r="D19049" s="17" t="s">
        <v>11</v>
      </c>
      <c r="E19049" s="17"/>
      <c r="F19049" s="18"/>
      <c r="G19049" s="36" t="str">
        <f>IF(ISNUMBER(F19049),C19049*F19049,"")</f>
        <v/>
      </c>
    </row>
    <row r="19050" spans="1:7" ht="12" customHeight="1" outlineLevel="2" x14ac:dyDescent="0.2">
      <c r="A19050" s="14" t="s">
        <v>37494</v>
      </c>
      <c r="B19050" s="15" t="s">
        <v>37495</v>
      </c>
      <c r="C19050" s="16">
        <f>21.16/(1+B2)</f>
        <v>21.16</v>
      </c>
      <c r="D19050" s="17" t="s">
        <v>11</v>
      </c>
      <c r="E19050" s="17"/>
      <c r="F19050" s="18"/>
      <c r="G19050" s="36" t="str">
        <f>IF(ISNUMBER(F19050),C19050*F19050,"")</f>
        <v/>
      </c>
    </row>
    <row r="19051" spans="1:7" ht="12" customHeight="1" outlineLevel="2" x14ac:dyDescent="0.2">
      <c r="A19051" s="14" t="s">
        <v>37496</v>
      </c>
      <c r="B19051" s="15" t="s">
        <v>37497</v>
      </c>
      <c r="C19051" s="16">
        <f>21.16/(1+B2)</f>
        <v>21.16</v>
      </c>
      <c r="D19051" s="17" t="s">
        <v>11</v>
      </c>
      <c r="E19051" s="17"/>
      <c r="F19051" s="18"/>
      <c r="G19051" s="36" t="str">
        <f>IF(ISNUMBER(F19051),C19051*F19051,"")</f>
        <v/>
      </c>
    </row>
    <row r="19052" spans="1:7" ht="12" customHeight="1" outlineLevel="2" x14ac:dyDescent="0.2">
      <c r="A19052" s="14" t="s">
        <v>37498</v>
      </c>
      <c r="B19052" s="15" t="s">
        <v>37499</v>
      </c>
      <c r="C19052" s="16">
        <f>48.08/(1+B2)</f>
        <v>48.08</v>
      </c>
      <c r="D19052" s="17" t="s">
        <v>53</v>
      </c>
      <c r="E19052" s="17"/>
      <c r="F19052" s="18"/>
      <c r="G19052" s="36" t="str">
        <f>IF(ISNUMBER(F19052),C19052*F19052,"")</f>
        <v/>
      </c>
    </row>
    <row r="19053" spans="1:7" ht="12" customHeight="1" outlineLevel="2" x14ac:dyDescent="0.2">
      <c r="A19053" s="14" t="s">
        <v>37500</v>
      </c>
      <c r="B19053" s="15" t="s">
        <v>37501</v>
      </c>
      <c r="C19053" s="16">
        <f>66/(1+B2)</f>
        <v>66</v>
      </c>
      <c r="D19053" s="17" t="s">
        <v>53</v>
      </c>
      <c r="E19053" s="17" t="s">
        <v>53</v>
      </c>
      <c r="F19053" s="18"/>
      <c r="G19053" s="36" t="str">
        <f>IF(ISNUMBER(F19053),C19053*F19053,"")</f>
        <v/>
      </c>
    </row>
    <row r="19054" spans="1:7" ht="12" customHeight="1" outlineLevel="2" x14ac:dyDescent="0.2">
      <c r="A19054" s="14" t="s">
        <v>37502</v>
      </c>
      <c r="B19054" s="15" t="s">
        <v>37503</v>
      </c>
      <c r="C19054" s="16">
        <f>51.23/(1+B2)</f>
        <v>51.23</v>
      </c>
      <c r="D19054" s="17" t="s">
        <v>11</v>
      </c>
      <c r="E19054" s="17"/>
      <c r="F19054" s="18"/>
      <c r="G19054" s="36" t="str">
        <f>IF(ISNUMBER(F19054),C19054*F19054,"")</f>
        <v/>
      </c>
    </row>
    <row r="19055" spans="1:7" ht="12" customHeight="1" outlineLevel="2" x14ac:dyDescent="0.2">
      <c r="A19055" s="14" t="s">
        <v>37504</v>
      </c>
      <c r="B19055" s="15" t="s">
        <v>37505</v>
      </c>
      <c r="C19055" s="16">
        <f>81.06/(1+B2)</f>
        <v>81.06</v>
      </c>
      <c r="D19055" s="17" t="s">
        <v>11</v>
      </c>
      <c r="E19055" s="17"/>
      <c r="F19055" s="18"/>
      <c r="G19055" s="36" t="str">
        <f>IF(ISNUMBER(F19055),C19055*F19055,"")</f>
        <v/>
      </c>
    </row>
    <row r="19056" spans="1:7" ht="12" customHeight="1" outlineLevel="2" x14ac:dyDescent="0.2">
      <c r="A19056" s="14" t="s">
        <v>37506</v>
      </c>
      <c r="B19056" s="15" t="s">
        <v>37507</v>
      </c>
      <c r="C19056" s="16">
        <f>73.78/(1+B2)</f>
        <v>73.78</v>
      </c>
      <c r="D19056" s="17" t="s">
        <v>14</v>
      </c>
      <c r="E19056" s="17" t="s">
        <v>11</v>
      </c>
      <c r="F19056" s="18"/>
      <c r="G19056" s="36" t="str">
        <f>IF(ISNUMBER(F19056),C19056*F19056,"")</f>
        <v/>
      </c>
    </row>
    <row r="19057" spans="1:7" s="1" customFormat="1" ht="15.95" customHeight="1" outlineLevel="1" x14ac:dyDescent="0.25">
      <c r="A19057" s="11"/>
      <c r="B19057" s="12" t="s">
        <v>37508</v>
      </c>
      <c r="C19057" s="13"/>
      <c r="D19057" s="13"/>
      <c r="E19057" s="13"/>
      <c r="F19057" s="13"/>
      <c r="G19057" s="35"/>
    </row>
    <row r="19058" spans="1:7" ht="12" customHeight="1" outlineLevel="2" x14ac:dyDescent="0.2">
      <c r="A19058" s="14" t="s">
        <v>37509</v>
      </c>
      <c r="B19058" s="15" t="s">
        <v>37510</v>
      </c>
      <c r="C19058" s="16">
        <f>160.37/(1+B2)</f>
        <v>160.37</v>
      </c>
      <c r="D19058" s="17" t="s">
        <v>11</v>
      </c>
      <c r="E19058" s="17"/>
      <c r="F19058" s="18"/>
      <c r="G19058" s="36" t="str">
        <f>IF(ISNUMBER(F19058),C19058*F19058,"")</f>
        <v/>
      </c>
    </row>
    <row r="19059" spans="1:7" ht="12" customHeight="1" outlineLevel="2" x14ac:dyDescent="0.2">
      <c r="A19059" s="14" t="s">
        <v>37511</v>
      </c>
      <c r="B19059" s="15" t="s">
        <v>37512</v>
      </c>
      <c r="C19059" s="16">
        <f>195.67/(1+B2)</f>
        <v>195.67</v>
      </c>
      <c r="D19059" s="17" t="s">
        <v>11</v>
      </c>
      <c r="E19059" s="17"/>
      <c r="F19059" s="18"/>
      <c r="G19059" s="36" t="str">
        <f>IF(ISNUMBER(F19059),C19059*F19059,"")</f>
        <v/>
      </c>
    </row>
    <row r="19060" spans="1:7" ht="12" customHeight="1" outlineLevel="2" x14ac:dyDescent="0.2">
      <c r="A19060" s="14" t="s">
        <v>37513</v>
      </c>
      <c r="B19060" s="15" t="s">
        <v>37514</v>
      </c>
      <c r="C19060" s="16">
        <f>61.06/(1+B2)</f>
        <v>61.06</v>
      </c>
      <c r="D19060" s="17" t="s">
        <v>53</v>
      </c>
      <c r="E19060" s="17"/>
      <c r="F19060" s="18"/>
      <c r="G19060" s="36" t="str">
        <f>IF(ISNUMBER(F19060),C19060*F19060,"")</f>
        <v/>
      </c>
    </row>
    <row r="19061" spans="1:7" ht="12" customHeight="1" outlineLevel="2" x14ac:dyDescent="0.2">
      <c r="A19061" s="14" t="s">
        <v>37515</v>
      </c>
      <c r="B19061" s="15" t="s">
        <v>37516</v>
      </c>
      <c r="C19061" s="16">
        <f>89.96/(1+B2)</f>
        <v>89.96</v>
      </c>
      <c r="D19061" s="17" t="s">
        <v>11</v>
      </c>
      <c r="E19061" s="17"/>
      <c r="F19061" s="18"/>
      <c r="G19061" s="36" t="str">
        <f>IF(ISNUMBER(F19061),C19061*F19061,"")</f>
        <v/>
      </c>
    </row>
    <row r="19062" spans="1:7" ht="12" customHeight="1" outlineLevel="2" x14ac:dyDescent="0.2">
      <c r="A19062" s="14" t="s">
        <v>37517</v>
      </c>
      <c r="B19062" s="15" t="s">
        <v>37518</v>
      </c>
      <c r="C19062" s="16">
        <f>43.75/(1+B2)</f>
        <v>43.75</v>
      </c>
      <c r="D19062" s="17" t="s">
        <v>11</v>
      </c>
      <c r="E19062" s="17" t="s">
        <v>106</v>
      </c>
      <c r="F19062" s="18"/>
      <c r="G19062" s="36" t="str">
        <f>IF(ISNUMBER(F19062),C19062*F19062,"")</f>
        <v/>
      </c>
    </row>
    <row r="19063" spans="1:7" ht="12" customHeight="1" outlineLevel="2" x14ac:dyDescent="0.2">
      <c r="A19063" s="14" t="s">
        <v>37519</v>
      </c>
      <c r="B19063" s="15" t="s">
        <v>37520</v>
      </c>
      <c r="C19063" s="16">
        <f>62.5/(1+B2)</f>
        <v>62.5</v>
      </c>
      <c r="D19063" s="17" t="s">
        <v>11</v>
      </c>
      <c r="E19063" s="17" t="s">
        <v>106</v>
      </c>
      <c r="F19063" s="18"/>
      <c r="G19063" s="36" t="str">
        <f>IF(ISNUMBER(F19063),C19063*F19063,"")</f>
        <v/>
      </c>
    </row>
    <row r="19064" spans="1:7" ht="12" customHeight="1" outlineLevel="2" x14ac:dyDescent="0.2">
      <c r="A19064" s="14" t="s">
        <v>37521</v>
      </c>
      <c r="B19064" s="15" t="s">
        <v>37522</v>
      </c>
      <c r="C19064" s="16">
        <f>62.74/(1+B2)</f>
        <v>62.74</v>
      </c>
      <c r="D19064" s="17" t="s">
        <v>11</v>
      </c>
      <c r="E19064" s="17" t="s">
        <v>11</v>
      </c>
      <c r="F19064" s="18"/>
      <c r="G19064" s="36" t="str">
        <f>IF(ISNUMBER(F19064),C19064*F19064,"")</f>
        <v/>
      </c>
    </row>
    <row r="19065" spans="1:7" ht="12" customHeight="1" outlineLevel="2" x14ac:dyDescent="0.2">
      <c r="A19065" s="14" t="s">
        <v>37523</v>
      </c>
      <c r="B19065" s="15" t="s">
        <v>37524</v>
      </c>
      <c r="C19065" s="16">
        <f>103.34/(1+B2)</f>
        <v>103.34</v>
      </c>
      <c r="D19065" s="17" t="s">
        <v>11</v>
      </c>
      <c r="E19065" s="17" t="s">
        <v>14</v>
      </c>
      <c r="F19065" s="18"/>
      <c r="G19065" s="36" t="str">
        <f>IF(ISNUMBER(F19065),C19065*F19065,"")</f>
        <v/>
      </c>
    </row>
    <row r="19066" spans="1:7" ht="12" customHeight="1" outlineLevel="2" x14ac:dyDescent="0.2">
      <c r="A19066" s="14" t="s">
        <v>37525</v>
      </c>
      <c r="B19066" s="15" t="s">
        <v>37526</v>
      </c>
      <c r="C19066" s="16">
        <f>176.01/(1+B2)</f>
        <v>176.01</v>
      </c>
      <c r="D19066" s="17" t="s">
        <v>11</v>
      </c>
      <c r="E19066" s="17" t="s">
        <v>11</v>
      </c>
      <c r="F19066" s="18"/>
      <c r="G19066" s="36" t="str">
        <f>IF(ISNUMBER(F19066),C19066*F19066,"")</f>
        <v/>
      </c>
    </row>
    <row r="19067" spans="1:7" ht="12" customHeight="1" outlineLevel="2" x14ac:dyDescent="0.2">
      <c r="A19067" s="14" t="s">
        <v>37527</v>
      </c>
      <c r="B19067" s="15" t="s">
        <v>37528</v>
      </c>
      <c r="C19067" s="16">
        <f>80.04/(1+B2)</f>
        <v>80.040000000000006</v>
      </c>
      <c r="D19067" s="17" t="s">
        <v>11</v>
      </c>
      <c r="E19067" s="17" t="s">
        <v>14</v>
      </c>
      <c r="F19067" s="18"/>
      <c r="G19067" s="36" t="str">
        <f>IF(ISNUMBER(F19067),C19067*F19067,"")</f>
        <v/>
      </c>
    </row>
    <row r="19068" spans="1:7" ht="12" customHeight="1" outlineLevel="2" x14ac:dyDescent="0.2">
      <c r="A19068" s="14" t="s">
        <v>37529</v>
      </c>
      <c r="B19068" s="15" t="s">
        <v>37530</v>
      </c>
      <c r="C19068" s="16">
        <f>70.56/(1+B2)</f>
        <v>70.56</v>
      </c>
      <c r="D19068" s="17" t="s">
        <v>14</v>
      </c>
      <c r="E19068" s="17" t="s">
        <v>106</v>
      </c>
      <c r="F19068" s="18"/>
      <c r="G19068" s="36" t="str">
        <f>IF(ISNUMBER(F19068),C19068*F19068,"")</f>
        <v/>
      </c>
    </row>
    <row r="19069" spans="1:7" ht="12" customHeight="1" outlineLevel="2" x14ac:dyDescent="0.2">
      <c r="A19069" s="14" t="s">
        <v>37531</v>
      </c>
      <c r="B19069" s="15" t="s">
        <v>37532</v>
      </c>
      <c r="C19069" s="16">
        <f>119.64/(1+B2)</f>
        <v>119.64</v>
      </c>
      <c r="D19069" s="17" t="s">
        <v>14</v>
      </c>
      <c r="E19069" s="17"/>
      <c r="F19069" s="18"/>
      <c r="G19069" s="36" t="str">
        <f>IF(ISNUMBER(F19069),C19069*F19069,"")</f>
        <v/>
      </c>
    </row>
    <row r="19070" spans="1:7" ht="12" customHeight="1" outlineLevel="2" x14ac:dyDescent="0.2">
      <c r="A19070" s="14" t="s">
        <v>37533</v>
      </c>
      <c r="B19070" s="15" t="s">
        <v>37534</v>
      </c>
      <c r="C19070" s="16">
        <f>146.76/(1+B2)</f>
        <v>146.76</v>
      </c>
      <c r="D19070" s="17" t="s">
        <v>11</v>
      </c>
      <c r="E19070" s="17"/>
      <c r="F19070" s="18"/>
      <c r="G19070" s="36" t="str">
        <f>IF(ISNUMBER(F19070),C19070*F19070,"")</f>
        <v/>
      </c>
    </row>
    <row r="19071" spans="1:7" ht="12" customHeight="1" outlineLevel="2" x14ac:dyDescent="0.2">
      <c r="A19071" s="14" t="s">
        <v>37535</v>
      </c>
      <c r="B19071" s="15" t="s">
        <v>37536</v>
      </c>
      <c r="C19071" s="16">
        <f>44.53/(1+B2)</f>
        <v>44.53</v>
      </c>
      <c r="D19071" s="17" t="s">
        <v>11</v>
      </c>
      <c r="E19071" s="17" t="s">
        <v>53</v>
      </c>
      <c r="F19071" s="18"/>
      <c r="G19071" s="36" t="str">
        <f>IF(ISNUMBER(F19071),C19071*F19071,"")</f>
        <v/>
      </c>
    </row>
    <row r="19072" spans="1:7" ht="12" customHeight="1" outlineLevel="2" x14ac:dyDescent="0.2">
      <c r="A19072" s="14" t="s">
        <v>37537</v>
      </c>
      <c r="B19072" s="15" t="s">
        <v>37538</v>
      </c>
      <c r="C19072" s="16">
        <f>10.64/(1+B2)</f>
        <v>10.64</v>
      </c>
      <c r="D19072" s="17" t="s">
        <v>53</v>
      </c>
      <c r="E19072" s="17"/>
      <c r="F19072" s="18"/>
      <c r="G19072" s="36" t="str">
        <f>IF(ISNUMBER(F19072),C19072*F19072,"")</f>
        <v/>
      </c>
    </row>
    <row r="19073" spans="1:7" ht="12" customHeight="1" outlineLevel="2" x14ac:dyDescent="0.2">
      <c r="A19073" s="14" t="s">
        <v>37539</v>
      </c>
      <c r="B19073" s="15" t="s">
        <v>37540</v>
      </c>
      <c r="C19073" s="16">
        <f>25.66/(1+B2)</f>
        <v>25.66</v>
      </c>
      <c r="D19073" s="17" t="s">
        <v>11</v>
      </c>
      <c r="E19073" s="17" t="s">
        <v>53</v>
      </c>
      <c r="F19073" s="18"/>
      <c r="G19073" s="36" t="str">
        <f>IF(ISNUMBER(F19073),C19073*F19073,"")</f>
        <v/>
      </c>
    </row>
    <row r="19074" spans="1:7" ht="12" customHeight="1" outlineLevel="2" x14ac:dyDescent="0.2">
      <c r="A19074" s="14" t="s">
        <v>37541</v>
      </c>
      <c r="B19074" s="15" t="s">
        <v>37542</v>
      </c>
      <c r="C19074" s="16">
        <f>25.78/(1+B2)</f>
        <v>25.78</v>
      </c>
      <c r="D19074" s="17" t="s">
        <v>14</v>
      </c>
      <c r="E19074" s="17"/>
      <c r="F19074" s="18"/>
      <c r="G19074" s="36" t="str">
        <f>IF(ISNUMBER(F19074),C19074*F19074,"")</f>
        <v/>
      </c>
    </row>
    <row r="19075" spans="1:7" ht="12" customHeight="1" outlineLevel="2" x14ac:dyDescent="0.2">
      <c r="A19075" s="14" t="s">
        <v>37543</v>
      </c>
      <c r="B19075" s="15" t="s">
        <v>37544</v>
      </c>
      <c r="C19075" s="16">
        <f>12.53/(1+B2)</f>
        <v>12.53</v>
      </c>
      <c r="D19075" s="17" t="s">
        <v>14</v>
      </c>
      <c r="E19075" s="17"/>
      <c r="F19075" s="18"/>
      <c r="G19075" s="36" t="str">
        <f>IF(ISNUMBER(F19075),C19075*F19075,"")</f>
        <v/>
      </c>
    </row>
    <row r="19076" spans="1:7" ht="12" customHeight="1" outlineLevel="2" x14ac:dyDescent="0.2">
      <c r="A19076" s="14" t="s">
        <v>37545</v>
      </c>
      <c r="B19076" s="15" t="s">
        <v>37546</v>
      </c>
      <c r="C19076" s="16">
        <f>15/(1+B2)</f>
        <v>15</v>
      </c>
      <c r="D19076" s="17" t="s">
        <v>53</v>
      </c>
      <c r="E19076" s="17" t="s">
        <v>14</v>
      </c>
      <c r="F19076" s="18"/>
      <c r="G19076" s="36" t="str">
        <f>IF(ISNUMBER(F19076),C19076*F19076,"")</f>
        <v/>
      </c>
    </row>
    <row r="19077" spans="1:7" ht="12" customHeight="1" outlineLevel="2" x14ac:dyDescent="0.2">
      <c r="A19077" s="14" t="s">
        <v>37547</v>
      </c>
      <c r="B19077" s="15" t="s">
        <v>37548</v>
      </c>
      <c r="C19077" s="16">
        <f>13.91/(1+B2)</f>
        <v>13.91</v>
      </c>
      <c r="D19077" s="17" t="s">
        <v>14</v>
      </c>
      <c r="E19077" s="17"/>
      <c r="F19077" s="18"/>
      <c r="G19077" s="36" t="str">
        <f>IF(ISNUMBER(F19077),C19077*F19077,"")</f>
        <v/>
      </c>
    </row>
    <row r="19078" spans="1:7" ht="12" customHeight="1" outlineLevel="2" x14ac:dyDescent="0.2">
      <c r="A19078" s="14" t="s">
        <v>37549</v>
      </c>
      <c r="B19078" s="15" t="s">
        <v>37550</v>
      </c>
      <c r="C19078" s="16">
        <f>15/(1+B2)</f>
        <v>15</v>
      </c>
      <c r="D19078" s="17" t="s">
        <v>53</v>
      </c>
      <c r="E19078" s="17" t="s">
        <v>11</v>
      </c>
      <c r="F19078" s="18"/>
      <c r="G19078" s="36" t="str">
        <f>IF(ISNUMBER(F19078),C19078*F19078,"")</f>
        <v/>
      </c>
    </row>
    <row r="19079" spans="1:7" ht="12" customHeight="1" outlineLevel="2" x14ac:dyDescent="0.2">
      <c r="A19079" s="14" t="s">
        <v>37551</v>
      </c>
      <c r="B19079" s="15" t="s">
        <v>37552</v>
      </c>
      <c r="C19079" s="16">
        <f>13.92/(1+B2)</f>
        <v>13.92</v>
      </c>
      <c r="D19079" s="17" t="s">
        <v>53</v>
      </c>
      <c r="E19079" s="17" t="s">
        <v>11</v>
      </c>
      <c r="F19079" s="18"/>
      <c r="G19079" s="36" t="str">
        <f>IF(ISNUMBER(F19079),C19079*F19079,"")</f>
        <v/>
      </c>
    </row>
    <row r="19080" spans="1:7" ht="12" customHeight="1" outlineLevel="2" x14ac:dyDescent="0.2">
      <c r="A19080" s="14" t="s">
        <v>37553</v>
      </c>
      <c r="B19080" s="15" t="s">
        <v>37554</v>
      </c>
      <c r="C19080" s="16">
        <f>15.3/(1+B2)</f>
        <v>15.3</v>
      </c>
      <c r="D19080" s="17" t="s">
        <v>53</v>
      </c>
      <c r="E19080" s="17" t="s">
        <v>106</v>
      </c>
      <c r="F19080" s="18"/>
      <c r="G19080" s="36" t="str">
        <f>IF(ISNUMBER(F19080),C19080*F19080,"")</f>
        <v/>
      </c>
    </row>
    <row r="19081" spans="1:7" ht="12" customHeight="1" outlineLevel="2" x14ac:dyDescent="0.2">
      <c r="A19081" s="14" t="s">
        <v>37555</v>
      </c>
      <c r="B19081" s="15" t="s">
        <v>37556</v>
      </c>
      <c r="C19081" s="16">
        <f>15.94/(1+B2)</f>
        <v>15.94</v>
      </c>
      <c r="D19081" s="17" t="s">
        <v>53</v>
      </c>
      <c r="E19081" s="17" t="s">
        <v>53</v>
      </c>
      <c r="F19081" s="18"/>
      <c r="G19081" s="36" t="str">
        <f>IF(ISNUMBER(F19081),C19081*F19081,"")</f>
        <v/>
      </c>
    </row>
    <row r="19082" spans="1:7" ht="12" customHeight="1" outlineLevel="2" x14ac:dyDescent="0.2">
      <c r="A19082" s="14" t="s">
        <v>37557</v>
      </c>
      <c r="B19082" s="15" t="s">
        <v>37558</v>
      </c>
      <c r="C19082" s="16">
        <f>15.94/(1+B2)</f>
        <v>15.94</v>
      </c>
      <c r="D19082" s="17" t="s">
        <v>53</v>
      </c>
      <c r="E19082" s="17" t="s">
        <v>106</v>
      </c>
      <c r="F19082" s="18"/>
      <c r="G19082" s="36" t="str">
        <f>IF(ISNUMBER(F19082),C19082*F19082,"")</f>
        <v/>
      </c>
    </row>
    <row r="19083" spans="1:7" ht="12" customHeight="1" outlineLevel="2" x14ac:dyDescent="0.2">
      <c r="A19083" s="14" t="s">
        <v>37559</v>
      </c>
      <c r="B19083" s="15" t="s">
        <v>37560</v>
      </c>
      <c r="C19083" s="16">
        <f>15.3/(1+B2)</f>
        <v>15.3</v>
      </c>
      <c r="D19083" s="17" t="s">
        <v>53</v>
      </c>
      <c r="E19083" s="17" t="s">
        <v>106</v>
      </c>
      <c r="F19083" s="18"/>
      <c r="G19083" s="36" t="str">
        <f>IF(ISNUMBER(F19083),C19083*F19083,"")</f>
        <v/>
      </c>
    </row>
    <row r="19084" spans="1:7" ht="12" customHeight="1" outlineLevel="2" x14ac:dyDescent="0.2">
      <c r="A19084" s="14" t="s">
        <v>37561</v>
      </c>
      <c r="B19084" s="15" t="s">
        <v>37562</v>
      </c>
      <c r="C19084" s="16">
        <f>16.78/(1+B2)</f>
        <v>16.78</v>
      </c>
      <c r="D19084" s="17" t="s">
        <v>53</v>
      </c>
      <c r="E19084" s="17"/>
      <c r="F19084" s="18"/>
      <c r="G19084" s="36" t="str">
        <f>IF(ISNUMBER(F19084),C19084*F19084,"")</f>
        <v/>
      </c>
    </row>
    <row r="19085" spans="1:7" ht="12" customHeight="1" outlineLevel="2" x14ac:dyDescent="0.2">
      <c r="A19085" s="14" t="s">
        <v>37563</v>
      </c>
      <c r="B19085" s="15" t="s">
        <v>37564</v>
      </c>
      <c r="C19085" s="16">
        <f>31.31/(1+B2)</f>
        <v>31.31</v>
      </c>
      <c r="D19085" s="17" t="s">
        <v>53</v>
      </c>
      <c r="E19085" s="17"/>
      <c r="F19085" s="18"/>
      <c r="G19085" s="36" t="str">
        <f>IF(ISNUMBER(F19085),C19085*F19085,"")</f>
        <v/>
      </c>
    </row>
    <row r="19086" spans="1:7" ht="12" customHeight="1" outlineLevel="2" x14ac:dyDescent="0.2">
      <c r="A19086" s="14" t="s">
        <v>37565</v>
      </c>
      <c r="B19086" s="15" t="s">
        <v>37566</v>
      </c>
      <c r="C19086" s="16">
        <f>15.64/(1+B2)</f>
        <v>15.64</v>
      </c>
      <c r="D19086" s="17" t="s">
        <v>53</v>
      </c>
      <c r="E19086" s="17"/>
      <c r="F19086" s="18"/>
      <c r="G19086" s="36" t="str">
        <f>IF(ISNUMBER(F19086),C19086*F19086,"")</f>
        <v/>
      </c>
    </row>
    <row r="19087" spans="1:7" ht="12" customHeight="1" outlineLevel="2" x14ac:dyDescent="0.2">
      <c r="A19087" s="14" t="s">
        <v>37567</v>
      </c>
      <c r="B19087" s="15" t="s">
        <v>37568</v>
      </c>
      <c r="C19087" s="16">
        <f>29.69/(1+B2)</f>
        <v>29.69</v>
      </c>
      <c r="D19087" s="17" t="s">
        <v>53</v>
      </c>
      <c r="E19087" s="17"/>
      <c r="F19087" s="18"/>
      <c r="G19087" s="36" t="str">
        <f>IF(ISNUMBER(F19087),C19087*F19087,"")</f>
        <v/>
      </c>
    </row>
    <row r="19088" spans="1:7" ht="12" customHeight="1" outlineLevel="2" x14ac:dyDescent="0.2">
      <c r="A19088" s="14" t="s">
        <v>37569</v>
      </c>
      <c r="B19088" s="15" t="s">
        <v>37570</v>
      </c>
      <c r="C19088" s="16">
        <f>23.71/(1+B2)</f>
        <v>23.71</v>
      </c>
      <c r="D19088" s="17" t="s">
        <v>53</v>
      </c>
      <c r="E19088" s="17"/>
      <c r="F19088" s="18"/>
      <c r="G19088" s="36" t="str">
        <f>IF(ISNUMBER(F19088),C19088*F19088,"")</f>
        <v/>
      </c>
    </row>
    <row r="19089" spans="1:7" ht="12" customHeight="1" outlineLevel="2" x14ac:dyDescent="0.2">
      <c r="A19089" s="14" t="s">
        <v>37571</v>
      </c>
      <c r="B19089" s="15" t="s">
        <v>37572</v>
      </c>
      <c r="C19089" s="16">
        <f>21.43/(1+B2)</f>
        <v>21.43</v>
      </c>
      <c r="D19089" s="17" t="s">
        <v>53</v>
      </c>
      <c r="E19089" s="17"/>
      <c r="F19089" s="18"/>
      <c r="G19089" s="36" t="str">
        <f>IF(ISNUMBER(F19089),C19089*F19089,"")</f>
        <v/>
      </c>
    </row>
    <row r="19090" spans="1:7" ht="12" customHeight="1" outlineLevel="2" x14ac:dyDescent="0.2">
      <c r="A19090" s="14" t="s">
        <v>37573</v>
      </c>
      <c r="B19090" s="15" t="s">
        <v>37574</v>
      </c>
      <c r="C19090" s="16">
        <f>21.43/(1+B2)</f>
        <v>21.43</v>
      </c>
      <c r="D19090" s="17" t="s">
        <v>53</v>
      </c>
      <c r="E19090" s="17"/>
      <c r="F19090" s="18"/>
      <c r="G19090" s="36" t="str">
        <f>IF(ISNUMBER(F19090),C19090*F19090,"")</f>
        <v/>
      </c>
    </row>
    <row r="19091" spans="1:7" ht="12" customHeight="1" outlineLevel="2" x14ac:dyDescent="0.2">
      <c r="A19091" s="14" t="s">
        <v>37575</v>
      </c>
      <c r="B19091" s="15" t="s">
        <v>37576</v>
      </c>
      <c r="C19091" s="16">
        <f>21.43/(1+B2)</f>
        <v>21.43</v>
      </c>
      <c r="D19091" s="17" t="s">
        <v>53</v>
      </c>
      <c r="E19091" s="17"/>
      <c r="F19091" s="18"/>
      <c r="G19091" s="36" t="str">
        <f>IF(ISNUMBER(F19091),C19091*F19091,"")</f>
        <v/>
      </c>
    </row>
    <row r="19092" spans="1:7" ht="12" customHeight="1" outlineLevel="2" x14ac:dyDescent="0.2">
      <c r="A19092" s="14" t="s">
        <v>37577</v>
      </c>
      <c r="B19092" s="15" t="s">
        <v>37578</v>
      </c>
      <c r="C19092" s="16">
        <f>21.31/(1+B2)</f>
        <v>21.31</v>
      </c>
      <c r="D19092" s="17" t="s">
        <v>53</v>
      </c>
      <c r="E19092" s="17"/>
      <c r="F19092" s="18"/>
      <c r="G19092" s="36" t="str">
        <f>IF(ISNUMBER(F19092),C19092*F19092,"")</f>
        <v/>
      </c>
    </row>
    <row r="19093" spans="1:7" ht="12" customHeight="1" outlineLevel="2" x14ac:dyDescent="0.2">
      <c r="A19093" s="14" t="s">
        <v>37579</v>
      </c>
      <c r="B19093" s="15" t="s">
        <v>37580</v>
      </c>
      <c r="C19093" s="16">
        <f>104.51/(1+B2)</f>
        <v>104.51</v>
      </c>
      <c r="D19093" s="17" t="s">
        <v>14</v>
      </c>
      <c r="E19093" s="17"/>
      <c r="F19093" s="18"/>
      <c r="G19093" s="36" t="str">
        <f>IF(ISNUMBER(F19093),C19093*F19093,"")</f>
        <v/>
      </c>
    </row>
    <row r="19094" spans="1:7" ht="12" customHeight="1" outlineLevel="2" x14ac:dyDescent="0.2">
      <c r="A19094" s="14" t="s">
        <v>37581</v>
      </c>
      <c r="B19094" s="15" t="s">
        <v>37582</v>
      </c>
      <c r="C19094" s="16">
        <f>13.26/(1+B2)</f>
        <v>13.26</v>
      </c>
      <c r="D19094" s="17" t="s">
        <v>53</v>
      </c>
      <c r="E19094" s="17"/>
      <c r="F19094" s="18"/>
      <c r="G19094" s="36" t="str">
        <f>IF(ISNUMBER(F19094),C19094*F19094,"")</f>
        <v/>
      </c>
    </row>
    <row r="19095" spans="1:7" ht="12" customHeight="1" outlineLevel="2" x14ac:dyDescent="0.2">
      <c r="A19095" s="14" t="s">
        <v>37583</v>
      </c>
      <c r="B19095" s="15" t="s">
        <v>37584</v>
      </c>
      <c r="C19095" s="16">
        <f>17.9/(1+B2)</f>
        <v>17.899999999999999</v>
      </c>
      <c r="D19095" s="17" t="s">
        <v>53</v>
      </c>
      <c r="E19095" s="17"/>
      <c r="F19095" s="18"/>
      <c r="G19095" s="36" t="str">
        <f>IF(ISNUMBER(F19095),C19095*F19095,"")</f>
        <v/>
      </c>
    </row>
    <row r="19096" spans="1:7" ht="12" customHeight="1" outlineLevel="2" x14ac:dyDescent="0.2">
      <c r="A19096" s="14" t="s">
        <v>37585</v>
      </c>
      <c r="B19096" s="15" t="s">
        <v>37586</v>
      </c>
      <c r="C19096" s="16">
        <f>22.67/(1+B2)</f>
        <v>22.67</v>
      </c>
      <c r="D19096" s="17" t="s">
        <v>53</v>
      </c>
      <c r="E19096" s="17"/>
      <c r="F19096" s="18"/>
      <c r="G19096" s="36" t="str">
        <f>IF(ISNUMBER(F19096),C19096*F19096,"")</f>
        <v/>
      </c>
    </row>
    <row r="19097" spans="1:7" ht="12" customHeight="1" outlineLevel="2" x14ac:dyDescent="0.2">
      <c r="A19097" s="14" t="s">
        <v>37587</v>
      </c>
      <c r="B19097" s="15" t="s">
        <v>37588</v>
      </c>
      <c r="C19097" s="16">
        <f>21.77/(1+B2)</f>
        <v>21.77</v>
      </c>
      <c r="D19097" s="17" t="s">
        <v>53</v>
      </c>
      <c r="E19097" s="17"/>
      <c r="F19097" s="18"/>
      <c r="G19097" s="36" t="str">
        <f>IF(ISNUMBER(F19097),C19097*F19097,"")</f>
        <v/>
      </c>
    </row>
    <row r="19098" spans="1:7" ht="12" customHeight="1" outlineLevel="2" x14ac:dyDescent="0.2">
      <c r="A19098" s="14" t="s">
        <v>37589</v>
      </c>
      <c r="B19098" s="15" t="s">
        <v>37590</v>
      </c>
      <c r="C19098" s="16">
        <f>24.19/(1+B2)</f>
        <v>24.19</v>
      </c>
      <c r="D19098" s="17" t="s">
        <v>53</v>
      </c>
      <c r="E19098" s="17" t="s">
        <v>53</v>
      </c>
      <c r="F19098" s="18"/>
      <c r="G19098" s="36" t="str">
        <f>IF(ISNUMBER(F19098),C19098*F19098,"")</f>
        <v/>
      </c>
    </row>
    <row r="19099" spans="1:7" ht="12" customHeight="1" outlineLevel="2" x14ac:dyDescent="0.2">
      <c r="A19099" s="14" t="s">
        <v>37591</v>
      </c>
      <c r="B19099" s="15" t="s">
        <v>37592</v>
      </c>
      <c r="C19099" s="16">
        <f>53.57/(1+B2)</f>
        <v>53.57</v>
      </c>
      <c r="D19099" s="17" t="s">
        <v>14</v>
      </c>
      <c r="E19099" s="17"/>
      <c r="F19099" s="18"/>
      <c r="G19099" s="36" t="str">
        <f>IF(ISNUMBER(F19099),C19099*F19099,"")</f>
        <v/>
      </c>
    </row>
    <row r="19100" spans="1:7" ht="12" customHeight="1" outlineLevel="2" x14ac:dyDescent="0.2">
      <c r="A19100" s="14" t="s">
        <v>37593</v>
      </c>
      <c r="B19100" s="15" t="s">
        <v>37594</v>
      </c>
      <c r="C19100" s="16">
        <f>74.1/(1+B2)</f>
        <v>74.099999999999994</v>
      </c>
      <c r="D19100" s="17" t="s">
        <v>14</v>
      </c>
      <c r="E19100" s="17"/>
      <c r="F19100" s="18"/>
      <c r="G19100" s="36" t="str">
        <f>IF(ISNUMBER(F19100),C19100*F19100,"")</f>
        <v/>
      </c>
    </row>
    <row r="19101" spans="1:7" ht="12" customHeight="1" outlineLevel="2" x14ac:dyDescent="0.2">
      <c r="A19101" s="14" t="s">
        <v>37595</v>
      </c>
      <c r="B19101" s="15" t="s">
        <v>37596</v>
      </c>
      <c r="C19101" s="16">
        <f>67.37/(1+B2)</f>
        <v>67.37</v>
      </c>
      <c r="D19101" s="17" t="s">
        <v>14</v>
      </c>
      <c r="E19101" s="17" t="s">
        <v>53</v>
      </c>
      <c r="F19101" s="18"/>
      <c r="G19101" s="36" t="str">
        <f>IF(ISNUMBER(F19101),C19101*F19101,"")</f>
        <v/>
      </c>
    </row>
    <row r="19102" spans="1:7" ht="24" customHeight="1" outlineLevel="2" x14ac:dyDescent="0.2">
      <c r="A19102" s="14" t="s">
        <v>37597</v>
      </c>
      <c r="B19102" s="15" t="s">
        <v>37598</v>
      </c>
      <c r="C19102" s="16">
        <f>182.71/(1+B2)</f>
        <v>182.71</v>
      </c>
      <c r="D19102" s="17" t="s">
        <v>11</v>
      </c>
      <c r="E19102" s="17"/>
      <c r="F19102" s="18"/>
      <c r="G19102" s="36" t="str">
        <f>IF(ISNUMBER(F19102),C19102*F19102,"")</f>
        <v/>
      </c>
    </row>
    <row r="19103" spans="1:7" ht="12" customHeight="1" outlineLevel="2" x14ac:dyDescent="0.2">
      <c r="A19103" s="14" t="s">
        <v>37599</v>
      </c>
      <c r="B19103" s="15" t="s">
        <v>37600</v>
      </c>
      <c r="C19103" s="16">
        <f>194.12/(1+B2)</f>
        <v>194.12</v>
      </c>
      <c r="D19103" s="17" t="s">
        <v>11</v>
      </c>
      <c r="E19103" s="17"/>
      <c r="F19103" s="18"/>
      <c r="G19103" s="36" t="str">
        <f>IF(ISNUMBER(F19103),C19103*F19103,"")</f>
        <v/>
      </c>
    </row>
    <row r="19104" spans="1:7" ht="12" customHeight="1" outlineLevel="2" x14ac:dyDescent="0.2">
      <c r="A19104" s="14" t="s">
        <v>37601</v>
      </c>
      <c r="B19104" s="15" t="s">
        <v>37602</v>
      </c>
      <c r="C19104" s="16">
        <f>189.7/(1+B2)</f>
        <v>189.7</v>
      </c>
      <c r="D19104" s="17" t="s">
        <v>11</v>
      </c>
      <c r="E19104" s="17"/>
      <c r="F19104" s="18"/>
      <c r="G19104" s="36" t="str">
        <f>IF(ISNUMBER(F19104),C19104*F19104,"")</f>
        <v/>
      </c>
    </row>
    <row r="19105" spans="1:7" ht="12" customHeight="1" outlineLevel="2" x14ac:dyDescent="0.2">
      <c r="A19105" s="14" t="s">
        <v>37603</v>
      </c>
      <c r="B19105" s="15" t="s">
        <v>37604</v>
      </c>
      <c r="C19105" s="16">
        <f>178.13/(1+B2)</f>
        <v>178.13</v>
      </c>
      <c r="D19105" s="17" t="s">
        <v>14</v>
      </c>
      <c r="E19105" s="17"/>
      <c r="F19105" s="18"/>
      <c r="G19105" s="36" t="str">
        <f>IF(ISNUMBER(F19105),C19105*F19105,"")</f>
        <v/>
      </c>
    </row>
    <row r="19106" spans="1:7" ht="12" customHeight="1" outlineLevel="2" x14ac:dyDescent="0.2">
      <c r="A19106" s="14" t="s">
        <v>37605</v>
      </c>
      <c r="B19106" s="15" t="s">
        <v>37606</v>
      </c>
      <c r="C19106" s="16">
        <f>165.06/(1+B2)</f>
        <v>165.06</v>
      </c>
      <c r="D19106" s="17" t="s">
        <v>11</v>
      </c>
      <c r="E19106" s="17"/>
      <c r="F19106" s="18"/>
      <c r="G19106" s="36" t="str">
        <f>IF(ISNUMBER(F19106),C19106*F19106,"")</f>
        <v/>
      </c>
    </row>
    <row r="19107" spans="1:7" ht="24" customHeight="1" outlineLevel="2" x14ac:dyDescent="0.2">
      <c r="A19107" s="14" t="s">
        <v>37607</v>
      </c>
      <c r="B19107" s="15" t="s">
        <v>37608</v>
      </c>
      <c r="C19107" s="16">
        <f>254.18/(1+B2)</f>
        <v>254.18</v>
      </c>
      <c r="D19107" s="17" t="s">
        <v>11</v>
      </c>
      <c r="E19107" s="17"/>
      <c r="F19107" s="18"/>
      <c r="G19107" s="36" t="str">
        <f>IF(ISNUMBER(F19107),C19107*F19107,"")</f>
        <v/>
      </c>
    </row>
    <row r="19108" spans="1:7" ht="12" customHeight="1" outlineLevel="2" x14ac:dyDescent="0.2">
      <c r="A19108" s="14" t="s">
        <v>37609</v>
      </c>
      <c r="B19108" s="15" t="s">
        <v>37610</v>
      </c>
      <c r="C19108" s="16">
        <f>119.65/(1+B2)</f>
        <v>119.65</v>
      </c>
      <c r="D19108" s="17" t="s">
        <v>11</v>
      </c>
      <c r="E19108" s="17" t="s">
        <v>11</v>
      </c>
      <c r="F19108" s="18"/>
      <c r="G19108" s="36" t="str">
        <f>IF(ISNUMBER(F19108),C19108*F19108,"")</f>
        <v/>
      </c>
    </row>
    <row r="19109" spans="1:7" ht="12" customHeight="1" outlineLevel="2" x14ac:dyDescent="0.2">
      <c r="A19109" s="14" t="s">
        <v>37611</v>
      </c>
      <c r="B19109" s="15" t="s">
        <v>37612</v>
      </c>
      <c r="C19109" s="16">
        <f>318.99/(1+B2)</f>
        <v>318.99</v>
      </c>
      <c r="D19109" s="17" t="s">
        <v>11</v>
      </c>
      <c r="E19109" s="17"/>
      <c r="F19109" s="18"/>
      <c r="G19109" s="36" t="str">
        <f>IF(ISNUMBER(F19109),C19109*F19109,"")</f>
        <v/>
      </c>
    </row>
    <row r="19110" spans="1:7" ht="12" customHeight="1" outlineLevel="2" x14ac:dyDescent="0.2">
      <c r="A19110" s="14" t="s">
        <v>37613</v>
      </c>
      <c r="B19110" s="15" t="s">
        <v>37614</v>
      </c>
      <c r="C19110" s="16">
        <f>30.67/(1+B2)</f>
        <v>30.67</v>
      </c>
      <c r="D19110" s="17" t="s">
        <v>106</v>
      </c>
      <c r="E19110" s="17" t="s">
        <v>106</v>
      </c>
      <c r="F19110" s="18"/>
      <c r="G19110" s="36" t="str">
        <f>IF(ISNUMBER(F19110),C19110*F19110,"")</f>
        <v/>
      </c>
    </row>
    <row r="19111" spans="1:7" ht="12" customHeight="1" outlineLevel="2" x14ac:dyDescent="0.2">
      <c r="A19111" s="14" t="s">
        <v>37615</v>
      </c>
      <c r="B19111" s="15" t="s">
        <v>37616</v>
      </c>
      <c r="C19111" s="16">
        <f>2.29/(1+B2)</f>
        <v>2.29</v>
      </c>
      <c r="D19111" s="17" t="s">
        <v>53</v>
      </c>
      <c r="E19111" s="17" t="s">
        <v>106</v>
      </c>
      <c r="F19111" s="18"/>
      <c r="G19111" s="36" t="str">
        <f>IF(ISNUMBER(F19111),C19111*F19111,"")</f>
        <v/>
      </c>
    </row>
    <row r="19112" spans="1:7" ht="12" customHeight="1" outlineLevel="2" x14ac:dyDescent="0.2">
      <c r="A19112" s="14" t="s">
        <v>37617</v>
      </c>
      <c r="B19112" s="15" t="s">
        <v>37618</v>
      </c>
      <c r="C19112" s="16">
        <f>75.74/(1+B2)</f>
        <v>75.739999999999995</v>
      </c>
      <c r="D19112" s="17" t="s">
        <v>53</v>
      </c>
      <c r="E19112" s="17" t="s">
        <v>53</v>
      </c>
      <c r="F19112" s="18"/>
      <c r="G19112" s="36" t="str">
        <f>IF(ISNUMBER(F19112),C19112*F19112,"")</f>
        <v/>
      </c>
    </row>
    <row r="19113" spans="1:7" ht="12" customHeight="1" outlineLevel="2" x14ac:dyDescent="0.2">
      <c r="A19113" s="14" t="s">
        <v>37619</v>
      </c>
      <c r="B19113" s="15" t="s">
        <v>37620</v>
      </c>
      <c r="C19113" s="16">
        <f>42.34/(1+B2)</f>
        <v>42.34</v>
      </c>
      <c r="D19113" s="17" t="s">
        <v>11</v>
      </c>
      <c r="E19113" s="17" t="s">
        <v>106</v>
      </c>
      <c r="F19113" s="18"/>
      <c r="G19113" s="36" t="str">
        <f>IF(ISNUMBER(F19113),C19113*F19113,"")</f>
        <v/>
      </c>
    </row>
    <row r="19114" spans="1:7" s="1" customFormat="1" ht="15.95" customHeight="1" outlineLevel="1" x14ac:dyDescent="0.25">
      <c r="A19114" s="11"/>
      <c r="B19114" s="12" t="s">
        <v>37621</v>
      </c>
      <c r="C19114" s="13"/>
      <c r="D19114" s="13"/>
      <c r="E19114" s="13"/>
      <c r="F19114" s="13"/>
      <c r="G19114" s="35"/>
    </row>
    <row r="19115" spans="1:7" ht="12" customHeight="1" outlineLevel="2" x14ac:dyDescent="0.2">
      <c r="A19115" s="14" t="s">
        <v>37622</v>
      </c>
      <c r="B19115" s="15" t="s">
        <v>37623</v>
      </c>
      <c r="C19115" s="16">
        <f>45.6/(1+B2)</f>
        <v>45.6</v>
      </c>
      <c r="D19115" s="17" t="s">
        <v>11</v>
      </c>
      <c r="E19115" s="17" t="s">
        <v>11</v>
      </c>
      <c r="F19115" s="18"/>
      <c r="G19115" s="36" t="str">
        <f>IF(ISNUMBER(F19115),C19115*F19115,"")</f>
        <v/>
      </c>
    </row>
    <row r="19116" spans="1:7" ht="12" customHeight="1" outlineLevel="2" x14ac:dyDescent="0.2">
      <c r="A19116" s="14" t="s">
        <v>37624</v>
      </c>
      <c r="B19116" s="15" t="s">
        <v>37625</v>
      </c>
      <c r="C19116" s="16">
        <f>121.8/(1+B2)</f>
        <v>121.8</v>
      </c>
      <c r="D19116" s="17" t="s">
        <v>11</v>
      </c>
      <c r="E19116" s="17" t="s">
        <v>11</v>
      </c>
      <c r="F19116" s="18"/>
      <c r="G19116" s="36" t="str">
        <f>IF(ISNUMBER(F19116),C19116*F19116,"")</f>
        <v/>
      </c>
    </row>
    <row r="19117" spans="1:7" ht="12" customHeight="1" outlineLevel="2" x14ac:dyDescent="0.2">
      <c r="A19117" s="14" t="s">
        <v>37626</v>
      </c>
      <c r="B19117" s="15" t="s">
        <v>37627</v>
      </c>
      <c r="C19117" s="16">
        <f>56.65/(1+B2)</f>
        <v>56.65</v>
      </c>
      <c r="D19117" s="17" t="s">
        <v>11</v>
      </c>
      <c r="E19117" s="17" t="s">
        <v>106</v>
      </c>
      <c r="F19117" s="18"/>
      <c r="G19117" s="36" t="str">
        <f>IF(ISNUMBER(F19117),C19117*F19117,"")</f>
        <v/>
      </c>
    </row>
    <row r="19118" spans="1:7" ht="12" customHeight="1" outlineLevel="2" x14ac:dyDescent="0.2">
      <c r="A19118" s="14" t="s">
        <v>37628</v>
      </c>
      <c r="B19118" s="15" t="s">
        <v>37629</v>
      </c>
      <c r="C19118" s="16">
        <f>32.4/(1+B2)</f>
        <v>32.4</v>
      </c>
      <c r="D19118" s="17" t="s">
        <v>11</v>
      </c>
      <c r="E19118" s="17" t="s">
        <v>106</v>
      </c>
      <c r="F19118" s="18"/>
      <c r="G19118" s="36" t="str">
        <f>IF(ISNUMBER(F19118),C19118*F19118,"")</f>
        <v/>
      </c>
    </row>
    <row r="19119" spans="1:7" ht="12" customHeight="1" outlineLevel="2" x14ac:dyDescent="0.2">
      <c r="A19119" s="14" t="s">
        <v>37630</v>
      </c>
      <c r="B19119" s="15" t="s">
        <v>37631</v>
      </c>
      <c r="C19119" s="16">
        <f>49.32/(1+B2)</f>
        <v>49.32</v>
      </c>
      <c r="D19119" s="17" t="s">
        <v>11</v>
      </c>
      <c r="E19119" s="17"/>
      <c r="F19119" s="18"/>
      <c r="G19119" s="36" t="str">
        <f>IF(ISNUMBER(F19119),C19119*F19119,"")</f>
        <v/>
      </c>
    </row>
    <row r="19120" spans="1:7" ht="12" customHeight="1" outlineLevel="2" x14ac:dyDescent="0.2">
      <c r="A19120" s="14" t="s">
        <v>37632</v>
      </c>
      <c r="B19120" s="15" t="s">
        <v>37633</v>
      </c>
      <c r="C19120" s="16">
        <f>416.64/(1+B2)</f>
        <v>416.64</v>
      </c>
      <c r="D19120" s="17" t="s">
        <v>11</v>
      </c>
      <c r="E19120" s="17"/>
      <c r="F19120" s="18"/>
      <c r="G19120" s="36" t="str">
        <f>IF(ISNUMBER(F19120),C19120*F19120,"")</f>
        <v/>
      </c>
    </row>
    <row r="19121" spans="1:7" ht="12" customHeight="1" outlineLevel="2" x14ac:dyDescent="0.2">
      <c r="A19121" s="14" t="s">
        <v>37634</v>
      </c>
      <c r="B19121" s="15" t="s">
        <v>37635</v>
      </c>
      <c r="C19121" s="16">
        <f>252/(1+B2)</f>
        <v>252</v>
      </c>
      <c r="D19121" s="17" t="s">
        <v>11</v>
      </c>
      <c r="E19121" s="17"/>
      <c r="F19121" s="18"/>
      <c r="G19121" s="36" t="str">
        <f>IF(ISNUMBER(F19121),C19121*F19121,"")</f>
        <v/>
      </c>
    </row>
    <row r="19122" spans="1:7" ht="12" customHeight="1" outlineLevel="2" x14ac:dyDescent="0.2">
      <c r="A19122" s="14" t="s">
        <v>37636</v>
      </c>
      <c r="B19122" s="15" t="s">
        <v>37637</v>
      </c>
      <c r="C19122" s="16">
        <f>66.36/(1+B2)</f>
        <v>66.36</v>
      </c>
      <c r="D19122" s="17" t="s">
        <v>11</v>
      </c>
      <c r="E19122" s="17" t="s">
        <v>11</v>
      </c>
      <c r="F19122" s="18"/>
      <c r="G19122" s="36" t="str">
        <f>IF(ISNUMBER(F19122),C19122*F19122,"")</f>
        <v/>
      </c>
    </row>
    <row r="19123" spans="1:7" ht="12" customHeight="1" outlineLevel="2" x14ac:dyDescent="0.2">
      <c r="A19123" s="14" t="s">
        <v>37638</v>
      </c>
      <c r="B19123" s="15" t="s">
        <v>37639</v>
      </c>
      <c r="C19123" s="16">
        <f>728.28/(1+B2)</f>
        <v>728.28</v>
      </c>
      <c r="D19123" s="17" t="s">
        <v>11</v>
      </c>
      <c r="E19123" s="17"/>
      <c r="F19123" s="18"/>
      <c r="G19123" s="36" t="str">
        <f>IF(ISNUMBER(F19123),C19123*F19123,"")</f>
        <v/>
      </c>
    </row>
    <row r="19124" spans="1:7" ht="12" customHeight="1" outlineLevel="2" x14ac:dyDescent="0.2">
      <c r="A19124" s="14" t="s">
        <v>37640</v>
      </c>
      <c r="B19124" s="15" t="s">
        <v>37641</v>
      </c>
      <c r="C19124" s="16">
        <f>175.68/(1+B2)</f>
        <v>175.68</v>
      </c>
      <c r="D19124" s="17" t="s">
        <v>11</v>
      </c>
      <c r="E19124" s="17" t="s">
        <v>11</v>
      </c>
      <c r="F19124" s="18"/>
      <c r="G19124" s="36" t="str">
        <f>IF(ISNUMBER(F19124),C19124*F19124,"")</f>
        <v/>
      </c>
    </row>
    <row r="19125" spans="1:7" ht="12" customHeight="1" outlineLevel="2" x14ac:dyDescent="0.2">
      <c r="A19125" s="14" t="s">
        <v>37642</v>
      </c>
      <c r="B19125" s="15" t="s">
        <v>37643</v>
      </c>
      <c r="C19125" s="16">
        <f>361.92/(1+B2)</f>
        <v>361.92</v>
      </c>
      <c r="D19125" s="17" t="s">
        <v>11</v>
      </c>
      <c r="E19125" s="17"/>
      <c r="F19125" s="18"/>
      <c r="G19125" s="36" t="str">
        <f>IF(ISNUMBER(F19125),C19125*F19125,"")</f>
        <v/>
      </c>
    </row>
    <row r="19126" spans="1:7" ht="12" customHeight="1" outlineLevel="2" x14ac:dyDescent="0.2">
      <c r="A19126" s="14" t="s">
        <v>37644</v>
      </c>
      <c r="B19126" s="15" t="s">
        <v>37645</v>
      </c>
      <c r="C19126" s="16">
        <f>63.48/(1+B2)</f>
        <v>63.48</v>
      </c>
      <c r="D19126" s="17" t="s">
        <v>11</v>
      </c>
      <c r="E19126" s="17" t="s">
        <v>11</v>
      </c>
      <c r="F19126" s="18"/>
      <c r="G19126" s="36" t="str">
        <f>IF(ISNUMBER(F19126),C19126*F19126,"")</f>
        <v/>
      </c>
    </row>
    <row r="19127" spans="1:7" ht="12" customHeight="1" outlineLevel="2" x14ac:dyDescent="0.2">
      <c r="A19127" s="14" t="s">
        <v>37646</v>
      </c>
      <c r="B19127" s="15" t="s">
        <v>37647</v>
      </c>
      <c r="C19127" s="16">
        <f>666.77/(1+B2)</f>
        <v>666.77</v>
      </c>
      <c r="D19127" s="17" t="s">
        <v>11</v>
      </c>
      <c r="E19127" s="17"/>
      <c r="F19127" s="18"/>
      <c r="G19127" s="36" t="str">
        <f>IF(ISNUMBER(F19127),C19127*F19127,"")</f>
        <v/>
      </c>
    </row>
    <row r="19128" spans="1:7" ht="12" customHeight="1" outlineLevel="2" x14ac:dyDescent="0.2">
      <c r="A19128" s="14" t="s">
        <v>37648</v>
      </c>
      <c r="B19128" s="15" t="s">
        <v>37649</v>
      </c>
      <c r="C19128" s="16">
        <f>153.6/(1+B2)</f>
        <v>153.6</v>
      </c>
      <c r="D19128" s="17" t="s">
        <v>11</v>
      </c>
      <c r="E19128" s="17"/>
      <c r="F19128" s="18"/>
      <c r="G19128" s="36" t="str">
        <f>IF(ISNUMBER(F19128),C19128*F19128,"")</f>
        <v/>
      </c>
    </row>
    <row r="19129" spans="1:7" s="1" customFormat="1" ht="15.95" customHeight="1" x14ac:dyDescent="0.25">
      <c r="A19129" s="8"/>
      <c r="B19129" s="9" t="s">
        <v>37650</v>
      </c>
      <c r="C19129" s="10"/>
      <c r="D19129" s="10"/>
      <c r="E19129" s="10"/>
      <c r="F19129" s="10"/>
      <c r="G19129" s="34"/>
    </row>
    <row r="19130" spans="1:7" s="1" customFormat="1" ht="15.95" customHeight="1" outlineLevel="1" x14ac:dyDescent="0.25">
      <c r="A19130" s="11"/>
      <c r="B19130" s="12" t="s">
        <v>37651</v>
      </c>
      <c r="C19130" s="13"/>
      <c r="D19130" s="13"/>
      <c r="E19130" s="13"/>
      <c r="F19130" s="13"/>
      <c r="G19130" s="35"/>
    </row>
    <row r="19131" spans="1:7" ht="12" customHeight="1" outlineLevel="2" x14ac:dyDescent="0.2">
      <c r="A19131" s="14" t="s">
        <v>37652</v>
      </c>
      <c r="B19131" s="15" t="s">
        <v>37653</v>
      </c>
      <c r="C19131" s="16">
        <f>124.88/(1+B2)</f>
        <v>124.88</v>
      </c>
      <c r="D19131" s="17" t="s">
        <v>53</v>
      </c>
      <c r="E19131" s="17" t="s">
        <v>106</v>
      </c>
      <c r="F19131" s="18"/>
      <c r="G19131" s="36" t="str">
        <f>IF(ISNUMBER(F19131),C19131*F19131,"")</f>
        <v/>
      </c>
    </row>
    <row r="19132" spans="1:7" ht="24" customHeight="1" outlineLevel="2" x14ac:dyDescent="0.2">
      <c r="A19132" s="14" t="s">
        <v>37654</v>
      </c>
      <c r="B19132" s="15" t="s">
        <v>37655</v>
      </c>
      <c r="C19132" s="16">
        <f>343.76/(1+B2)</f>
        <v>343.76</v>
      </c>
      <c r="D19132" s="17" t="s">
        <v>14</v>
      </c>
      <c r="E19132" s="17" t="s">
        <v>53</v>
      </c>
      <c r="F19132" s="18"/>
      <c r="G19132" s="36" t="str">
        <f>IF(ISNUMBER(F19132),C19132*F19132,"")</f>
        <v/>
      </c>
    </row>
    <row r="19133" spans="1:7" ht="12" customHeight="1" outlineLevel="2" x14ac:dyDescent="0.2">
      <c r="A19133" s="14" t="s">
        <v>37656</v>
      </c>
      <c r="B19133" s="15" t="s">
        <v>37657</v>
      </c>
      <c r="C19133" s="16">
        <f>317.7/(1+B2)</f>
        <v>317.7</v>
      </c>
      <c r="D19133" s="17" t="s">
        <v>53</v>
      </c>
      <c r="E19133" s="17" t="s">
        <v>106</v>
      </c>
      <c r="F19133" s="18"/>
      <c r="G19133" s="36" t="str">
        <f>IF(ISNUMBER(F19133),C19133*F19133,"")</f>
        <v/>
      </c>
    </row>
    <row r="19134" spans="1:7" ht="12" customHeight="1" outlineLevel="2" x14ac:dyDescent="0.2">
      <c r="A19134" s="14" t="s">
        <v>37658</v>
      </c>
      <c r="B19134" s="15" t="s">
        <v>37659</v>
      </c>
      <c r="C19134" s="16">
        <f>371/(1+B2)</f>
        <v>371</v>
      </c>
      <c r="D19134" s="17" t="s">
        <v>53</v>
      </c>
      <c r="E19134" s="17" t="s">
        <v>53</v>
      </c>
      <c r="F19134" s="18"/>
      <c r="G19134" s="36" t="str">
        <f>IF(ISNUMBER(F19134),C19134*F19134,"")</f>
        <v/>
      </c>
    </row>
    <row r="19135" spans="1:7" ht="12" customHeight="1" outlineLevel="2" x14ac:dyDescent="0.2">
      <c r="A19135" s="14" t="s">
        <v>37660</v>
      </c>
      <c r="B19135" s="15" t="s">
        <v>37661</v>
      </c>
      <c r="C19135" s="16">
        <f>41.13/(1+B2)</f>
        <v>41.13</v>
      </c>
      <c r="D19135" s="17" t="s">
        <v>11</v>
      </c>
      <c r="E19135" s="17" t="s">
        <v>53</v>
      </c>
      <c r="F19135" s="18"/>
      <c r="G19135" s="36" t="str">
        <f>IF(ISNUMBER(F19135),C19135*F19135,"")</f>
        <v/>
      </c>
    </row>
    <row r="19136" spans="1:7" ht="12" customHeight="1" outlineLevel="2" x14ac:dyDescent="0.2">
      <c r="A19136" s="14" t="s">
        <v>37662</v>
      </c>
      <c r="B19136" s="15" t="s">
        <v>37663</v>
      </c>
      <c r="C19136" s="16">
        <f>75.08/(1+B2)</f>
        <v>75.08</v>
      </c>
      <c r="D19136" s="17" t="s">
        <v>11</v>
      </c>
      <c r="E19136" s="17" t="s">
        <v>11</v>
      </c>
      <c r="F19136" s="18"/>
      <c r="G19136" s="36" t="str">
        <f>IF(ISNUMBER(F19136),C19136*F19136,"")</f>
        <v/>
      </c>
    </row>
    <row r="19137" spans="1:7" ht="12" customHeight="1" outlineLevel="2" x14ac:dyDescent="0.2">
      <c r="A19137" s="14" t="s">
        <v>37664</v>
      </c>
      <c r="B19137" s="15" t="s">
        <v>37665</v>
      </c>
      <c r="C19137" s="16">
        <f>46.59/(1+B2)</f>
        <v>46.59</v>
      </c>
      <c r="D19137" s="17" t="s">
        <v>11</v>
      </c>
      <c r="E19137" s="17"/>
      <c r="F19137" s="18"/>
      <c r="G19137" s="36" t="str">
        <f>IF(ISNUMBER(F19137),C19137*F19137,"")</f>
        <v/>
      </c>
    </row>
    <row r="19138" spans="1:7" ht="12" customHeight="1" outlineLevel="2" x14ac:dyDescent="0.2">
      <c r="A19138" s="14" t="s">
        <v>37666</v>
      </c>
      <c r="B19138" s="15" t="s">
        <v>37667</v>
      </c>
      <c r="C19138" s="16">
        <f>65.95/(1+B2)</f>
        <v>65.95</v>
      </c>
      <c r="D19138" s="17" t="s">
        <v>11</v>
      </c>
      <c r="E19138" s="17"/>
      <c r="F19138" s="18"/>
      <c r="G19138" s="36" t="str">
        <f>IF(ISNUMBER(F19138),C19138*F19138,"")</f>
        <v/>
      </c>
    </row>
    <row r="19139" spans="1:7" ht="12" customHeight="1" outlineLevel="2" x14ac:dyDescent="0.2">
      <c r="A19139" s="14" t="s">
        <v>37668</v>
      </c>
      <c r="B19139" s="15" t="s">
        <v>37669</v>
      </c>
      <c r="C19139" s="16">
        <f>34.3/(1+B2)</f>
        <v>34.299999999999997</v>
      </c>
      <c r="D19139" s="17" t="s">
        <v>53</v>
      </c>
      <c r="E19139" s="17" t="s">
        <v>14</v>
      </c>
      <c r="F19139" s="18"/>
      <c r="G19139" s="36" t="str">
        <f>IF(ISNUMBER(F19139),C19139*F19139,"")</f>
        <v/>
      </c>
    </row>
    <row r="19140" spans="1:7" ht="12" customHeight="1" outlineLevel="2" x14ac:dyDescent="0.2">
      <c r="A19140" s="14" t="s">
        <v>37670</v>
      </c>
      <c r="B19140" s="15" t="s">
        <v>37671</v>
      </c>
      <c r="C19140" s="16">
        <f>34.3/(1+B2)</f>
        <v>34.299999999999997</v>
      </c>
      <c r="D19140" s="17" t="s">
        <v>53</v>
      </c>
      <c r="E19140" s="17" t="s">
        <v>53</v>
      </c>
      <c r="F19140" s="18"/>
      <c r="G19140" s="36" t="str">
        <f>IF(ISNUMBER(F19140),C19140*F19140,"")</f>
        <v/>
      </c>
    </row>
    <row r="19141" spans="1:7" ht="24" customHeight="1" outlineLevel="2" x14ac:dyDescent="0.2">
      <c r="A19141" s="14" t="s">
        <v>37672</v>
      </c>
      <c r="B19141" s="15" t="s">
        <v>37673</v>
      </c>
      <c r="C19141" s="16">
        <f>29.35/(1+B2)</f>
        <v>29.35</v>
      </c>
      <c r="D19141" s="17" t="s">
        <v>11</v>
      </c>
      <c r="E19141" s="17" t="s">
        <v>53</v>
      </c>
      <c r="F19141" s="18"/>
      <c r="G19141" s="36" t="str">
        <f>IF(ISNUMBER(F19141),C19141*F19141,"")</f>
        <v/>
      </c>
    </row>
    <row r="19142" spans="1:7" ht="12" customHeight="1" outlineLevel="2" x14ac:dyDescent="0.2">
      <c r="A19142" s="14" t="s">
        <v>37674</v>
      </c>
      <c r="B19142" s="15" t="s">
        <v>37675</v>
      </c>
      <c r="C19142" s="16">
        <f>73.01/(1+B2)</f>
        <v>73.010000000000005</v>
      </c>
      <c r="D19142" s="17" t="s">
        <v>53</v>
      </c>
      <c r="E19142" s="17" t="s">
        <v>14</v>
      </c>
      <c r="F19142" s="18"/>
      <c r="G19142" s="36" t="str">
        <f>IF(ISNUMBER(F19142),C19142*F19142,"")</f>
        <v/>
      </c>
    </row>
    <row r="19143" spans="1:7" ht="12" customHeight="1" outlineLevel="2" x14ac:dyDescent="0.2">
      <c r="A19143" s="14" t="s">
        <v>37676</v>
      </c>
      <c r="B19143" s="15" t="s">
        <v>37677</v>
      </c>
      <c r="C19143" s="16">
        <f>39.71/(1+B2)</f>
        <v>39.71</v>
      </c>
      <c r="D19143" s="17" t="s">
        <v>53</v>
      </c>
      <c r="E19143" s="17" t="s">
        <v>106</v>
      </c>
      <c r="F19143" s="18"/>
      <c r="G19143" s="36" t="str">
        <f>IF(ISNUMBER(F19143),C19143*F19143,"")</f>
        <v/>
      </c>
    </row>
    <row r="19144" spans="1:7" ht="12" customHeight="1" outlineLevel="2" x14ac:dyDescent="0.2">
      <c r="A19144" s="14" t="s">
        <v>37678</v>
      </c>
      <c r="B19144" s="15" t="s">
        <v>37679</v>
      </c>
      <c r="C19144" s="16">
        <f>155.81/(1+B2)</f>
        <v>155.81</v>
      </c>
      <c r="D19144" s="17" t="s">
        <v>53</v>
      </c>
      <c r="E19144" s="17"/>
      <c r="F19144" s="18"/>
      <c r="G19144" s="36" t="str">
        <f>IF(ISNUMBER(F19144),C19144*F19144,"")</f>
        <v/>
      </c>
    </row>
    <row r="19145" spans="1:7" ht="12" customHeight="1" outlineLevel="2" x14ac:dyDescent="0.2">
      <c r="A19145" s="14" t="s">
        <v>37680</v>
      </c>
      <c r="B19145" s="15" t="s">
        <v>37681</v>
      </c>
      <c r="C19145" s="16">
        <f>79.8/(1+B2)</f>
        <v>79.8</v>
      </c>
      <c r="D19145" s="17" t="s">
        <v>53</v>
      </c>
      <c r="E19145" s="17" t="s">
        <v>53</v>
      </c>
      <c r="F19145" s="18"/>
      <c r="G19145" s="36" t="str">
        <f>IF(ISNUMBER(F19145),C19145*F19145,"")</f>
        <v/>
      </c>
    </row>
    <row r="19146" spans="1:7" ht="12" customHeight="1" outlineLevel="2" x14ac:dyDescent="0.2">
      <c r="A19146" s="14" t="s">
        <v>37682</v>
      </c>
      <c r="B19146" s="15" t="s">
        <v>37683</v>
      </c>
      <c r="C19146" s="16">
        <f>92.38/(1+B2)</f>
        <v>92.38</v>
      </c>
      <c r="D19146" s="17" t="s">
        <v>53</v>
      </c>
      <c r="E19146" s="17"/>
      <c r="F19146" s="18"/>
      <c r="G19146" s="36" t="str">
        <f>IF(ISNUMBER(F19146),C19146*F19146,"")</f>
        <v/>
      </c>
    </row>
    <row r="19147" spans="1:7" ht="12" customHeight="1" outlineLevel="2" x14ac:dyDescent="0.2">
      <c r="A19147" s="14" t="s">
        <v>37684</v>
      </c>
      <c r="B19147" s="15" t="s">
        <v>37685</v>
      </c>
      <c r="C19147" s="16">
        <f>85.49/(1+B2)</f>
        <v>85.49</v>
      </c>
      <c r="D19147" s="17" t="s">
        <v>14</v>
      </c>
      <c r="E19147" s="17"/>
      <c r="F19147" s="18"/>
      <c r="G19147" s="36" t="str">
        <f>IF(ISNUMBER(F19147),C19147*F19147,"")</f>
        <v/>
      </c>
    </row>
    <row r="19148" spans="1:7" ht="12" customHeight="1" outlineLevel="2" x14ac:dyDescent="0.2">
      <c r="A19148" s="14" t="s">
        <v>37686</v>
      </c>
      <c r="B19148" s="15" t="s">
        <v>37687</v>
      </c>
      <c r="C19148" s="16">
        <f>74.91/(1+B2)</f>
        <v>74.91</v>
      </c>
      <c r="D19148" s="17" t="s">
        <v>53</v>
      </c>
      <c r="E19148" s="17" t="s">
        <v>106</v>
      </c>
      <c r="F19148" s="18"/>
      <c r="G19148" s="36" t="str">
        <f>IF(ISNUMBER(F19148),C19148*F19148,"")</f>
        <v/>
      </c>
    </row>
    <row r="19149" spans="1:7" ht="12" customHeight="1" outlineLevel="2" x14ac:dyDescent="0.2">
      <c r="A19149" s="14" t="s">
        <v>37688</v>
      </c>
      <c r="B19149" s="15" t="s">
        <v>37689</v>
      </c>
      <c r="C19149" s="16">
        <f>159.01/(1+B2)</f>
        <v>159.01</v>
      </c>
      <c r="D19149" s="17" t="s">
        <v>14</v>
      </c>
      <c r="E19149" s="17" t="s">
        <v>53</v>
      </c>
      <c r="F19149" s="18"/>
      <c r="G19149" s="36" t="str">
        <f>IF(ISNUMBER(F19149),C19149*F19149,"")</f>
        <v/>
      </c>
    </row>
    <row r="19150" spans="1:7" ht="24" customHeight="1" outlineLevel="2" x14ac:dyDescent="0.2">
      <c r="A19150" s="14" t="s">
        <v>37690</v>
      </c>
      <c r="B19150" s="15" t="s">
        <v>37691</v>
      </c>
      <c r="C19150" s="16">
        <f>73.66/(1+B2)</f>
        <v>73.66</v>
      </c>
      <c r="D19150" s="17" t="s">
        <v>53</v>
      </c>
      <c r="E19150" s="17" t="s">
        <v>14</v>
      </c>
      <c r="F19150" s="18"/>
      <c r="G19150" s="36" t="str">
        <f>IF(ISNUMBER(F19150),C19150*F19150,"")</f>
        <v/>
      </c>
    </row>
    <row r="19151" spans="1:7" ht="12" customHeight="1" outlineLevel="2" x14ac:dyDescent="0.2">
      <c r="A19151" s="14" t="s">
        <v>37692</v>
      </c>
      <c r="B19151" s="15" t="s">
        <v>37693</v>
      </c>
      <c r="C19151" s="16">
        <f>79.74/(1+B2)</f>
        <v>79.739999999999995</v>
      </c>
      <c r="D19151" s="17" t="s">
        <v>53</v>
      </c>
      <c r="E19151" s="17" t="s">
        <v>53</v>
      </c>
      <c r="F19151" s="18"/>
      <c r="G19151" s="36" t="str">
        <f>IF(ISNUMBER(F19151),C19151*F19151,"")</f>
        <v/>
      </c>
    </row>
    <row r="19152" spans="1:7" ht="12" customHeight="1" outlineLevel="2" x14ac:dyDescent="0.2">
      <c r="A19152" s="14" t="s">
        <v>37694</v>
      </c>
      <c r="B19152" s="15" t="s">
        <v>37695</v>
      </c>
      <c r="C19152" s="16">
        <f>183.98/(1+B2)</f>
        <v>183.98</v>
      </c>
      <c r="D19152" s="17" t="s">
        <v>11</v>
      </c>
      <c r="E19152" s="17"/>
      <c r="F19152" s="18"/>
      <c r="G19152" s="36" t="str">
        <f>IF(ISNUMBER(F19152),C19152*F19152,"")</f>
        <v/>
      </c>
    </row>
    <row r="19153" spans="1:7" ht="12" customHeight="1" outlineLevel="2" x14ac:dyDescent="0.2">
      <c r="A19153" s="14" t="s">
        <v>37696</v>
      </c>
      <c r="B19153" s="15" t="s">
        <v>37697</v>
      </c>
      <c r="C19153" s="16">
        <f>84.78/(1+B2)</f>
        <v>84.78</v>
      </c>
      <c r="D19153" s="17" t="s">
        <v>11</v>
      </c>
      <c r="E19153" s="17"/>
      <c r="F19153" s="18"/>
      <c r="G19153" s="36" t="str">
        <f>IF(ISNUMBER(F19153),C19153*F19153,"")</f>
        <v/>
      </c>
    </row>
    <row r="19154" spans="1:7" ht="12" customHeight="1" outlineLevel="2" x14ac:dyDescent="0.2">
      <c r="A19154" s="14" t="s">
        <v>37698</v>
      </c>
      <c r="B19154" s="15" t="s">
        <v>37699</v>
      </c>
      <c r="C19154" s="16">
        <f>125.79/(1+B2)</f>
        <v>125.79</v>
      </c>
      <c r="D19154" s="17" t="s">
        <v>11</v>
      </c>
      <c r="E19154" s="17"/>
      <c r="F19154" s="18"/>
      <c r="G19154" s="36" t="str">
        <f>IF(ISNUMBER(F19154),C19154*F19154,"")</f>
        <v/>
      </c>
    </row>
    <row r="19155" spans="1:7" ht="12" customHeight="1" outlineLevel="2" x14ac:dyDescent="0.2">
      <c r="A19155" s="14" t="s">
        <v>37700</v>
      </c>
      <c r="B19155" s="15" t="s">
        <v>37701</v>
      </c>
      <c r="C19155" s="16">
        <f>173.54/(1+B2)</f>
        <v>173.54</v>
      </c>
      <c r="D19155" s="17" t="s">
        <v>11</v>
      </c>
      <c r="E19155" s="17" t="s">
        <v>53</v>
      </c>
      <c r="F19155" s="18"/>
      <c r="G19155" s="36" t="str">
        <f>IF(ISNUMBER(F19155),C19155*F19155,"")</f>
        <v/>
      </c>
    </row>
    <row r="19156" spans="1:7" ht="12" customHeight="1" outlineLevel="2" x14ac:dyDescent="0.2">
      <c r="A19156" s="14" t="s">
        <v>37702</v>
      </c>
      <c r="B19156" s="15" t="s">
        <v>37703</v>
      </c>
      <c r="C19156" s="16">
        <f>83.74/(1+B2)</f>
        <v>83.74</v>
      </c>
      <c r="D19156" s="17" t="s">
        <v>53</v>
      </c>
      <c r="E19156" s="17" t="s">
        <v>53</v>
      </c>
      <c r="F19156" s="18"/>
      <c r="G19156" s="36" t="str">
        <f>IF(ISNUMBER(F19156),C19156*F19156,"")</f>
        <v/>
      </c>
    </row>
    <row r="19157" spans="1:7" ht="12" customHeight="1" outlineLevel="2" x14ac:dyDescent="0.2">
      <c r="A19157" s="14" t="s">
        <v>37704</v>
      </c>
      <c r="B19157" s="15" t="s">
        <v>37705</v>
      </c>
      <c r="C19157" s="16">
        <f>497.81/(1+B2)</f>
        <v>497.81</v>
      </c>
      <c r="D19157" s="17" t="s">
        <v>11</v>
      </c>
      <c r="E19157" s="17"/>
      <c r="F19157" s="18"/>
      <c r="G19157" s="36" t="str">
        <f>IF(ISNUMBER(F19157),C19157*F19157,"")</f>
        <v/>
      </c>
    </row>
    <row r="19158" spans="1:7" ht="12" customHeight="1" outlineLevel="2" x14ac:dyDescent="0.2">
      <c r="A19158" s="14" t="s">
        <v>37706</v>
      </c>
      <c r="B19158" s="15" t="s">
        <v>37707</v>
      </c>
      <c r="C19158" s="16">
        <f>16.76/(1+B2)</f>
        <v>16.760000000000002</v>
      </c>
      <c r="D19158" s="17" t="s">
        <v>11</v>
      </c>
      <c r="E19158" s="17" t="s">
        <v>106</v>
      </c>
      <c r="F19158" s="18"/>
      <c r="G19158" s="36" t="str">
        <f>IF(ISNUMBER(F19158),C19158*F19158,"")</f>
        <v/>
      </c>
    </row>
    <row r="19159" spans="1:7" ht="24" customHeight="1" outlineLevel="2" x14ac:dyDescent="0.2">
      <c r="A19159" s="14" t="s">
        <v>37708</v>
      </c>
      <c r="B19159" s="15" t="s">
        <v>37709</v>
      </c>
      <c r="C19159" s="16">
        <f>9.9/(1+B2)</f>
        <v>9.9</v>
      </c>
      <c r="D19159" s="17" t="s">
        <v>14</v>
      </c>
      <c r="E19159" s="17"/>
      <c r="F19159" s="18"/>
      <c r="G19159" s="36" t="str">
        <f>IF(ISNUMBER(F19159),C19159*F19159,"")</f>
        <v/>
      </c>
    </row>
    <row r="19160" spans="1:7" ht="12" customHeight="1" outlineLevel="2" x14ac:dyDescent="0.2">
      <c r="A19160" s="14" t="s">
        <v>37710</v>
      </c>
      <c r="B19160" s="15" t="s">
        <v>37711</v>
      </c>
      <c r="C19160" s="16">
        <f>23.51/(1+B2)</f>
        <v>23.51</v>
      </c>
      <c r="D19160" s="17" t="s">
        <v>106</v>
      </c>
      <c r="E19160" s="17" t="s">
        <v>106</v>
      </c>
      <c r="F19160" s="18"/>
      <c r="G19160" s="36" t="str">
        <f>IF(ISNUMBER(F19160),C19160*F19160,"")</f>
        <v/>
      </c>
    </row>
    <row r="19161" spans="1:7" ht="12" customHeight="1" outlineLevel="2" x14ac:dyDescent="0.2">
      <c r="A19161" s="14" t="s">
        <v>37712</v>
      </c>
      <c r="B19161" s="15" t="s">
        <v>37713</v>
      </c>
      <c r="C19161" s="16">
        <f>47.03/(1+B2)</f>
        <v>47.03</v>
      </c>
      <c r="D19161" s="17" t="s">
        <v>53</v>
      </c>
      <c r="E19161" s="17" t="s">
        <v>106</v>
      </c>
      <c r="F19161" s="18"/>
      <c r="G19161" s="36" t="str">
        <f>IF(ISNUMBER(F19161),C19161*F19161,"")</f>
        <v/>
      </c>
    </row>
    <row r="19162" spans="1:7" ht="12" customHeight="1" outlineLevel="2" x14ac:dyDescent="0.2">
      <c r="A19162" s="14" t="s">
        <v>37714</v>
      </c>
      <c r="B19162" s="15" t="s">
        <v>37715</v>
      </c>
      <c r="C19162" s="16">
        <f>240.65/(1+B2)</f>
        <v>240.65</v>
      </c>
      <c r="D19162" s="17" t="s">
        <v>53</v>
      </c>
      <c r="E19162" s="17"/>
      <c r="F19162" s="18"/>
      <c r="G19162" s="36" t="str">
        <f>IF(ISNUMBER(F19162),C19162*F19162,"")</f>
        <v/>
      </c>
    </row>
    <row r="19163" spans="1:7" ht="12" customHeight="1" outlineLevel="2" x14ac:dyDescent="0.2">
      <c r="A19163" s="14" t="s">
        <v>37716</v>
      </c>
      <c r="B19163" s="15" t="s">
        <v>37717</v>
      </c>
      <c r="C19163" s="16">
        <f>72.11/(1+B2)</f>
        <v>72.11</v>
      </c>
      <c r="D19163" s="17" t="s">
        <v>14</v>
      </c>
      <c r="E19163" s="17" t="s">
        <v>53</v>
      </c>
      <c r="F19163" s="18"/>
      <c r="G19163" s="36" t="str">
        <f>IF(ISNUMBER(F19163),C19163*F19163,"")</f>
        <v/>
      </c>
    </row>
    <row r="19164" spans="1:7" ht="12" customHeight="1" outlineLevel="2" x14ac:dyDescent="0.2">
      <c r="A19164" s="14" t="s">
        <v>37718</v>
      </c>
      <c r="B19164" s="15" t="s">
        <v>37719</v>
      </c>
      <c r="C19164" s="16">
        <f>45.13/(1+B2)</f>
        <v>45.13</v>
      </c>
      <c r="D19164" s="17" t="s">
        <v>53</v>
      </c>
      <c r="E19164" s="17"/>
      <c r="F19164" s="18"/>
      <c r="G19164" s="36" t="str">
        <f>IF(ISNUMBER(F19164),C19164*F19164,"")</f>
        <v/>
      </c>
    </row>
    <row r="19165" spans="1:7" ht="12" customHeight="1" outlineLevel="2" x14ac:dyDescent="0.2">
      <c r="A19165" s="14" t="s">
        <v>37720</v>
      </c>
      <c r="B19165" s="15" t="s">
        <v>37721</v>
      </c>
      <c r="C19165" s="16">
        <f>87.75/(1+B2)</f>
        <v>87.75</v>
      </c>
      <c r="D19165" s="17" t="s">
        <v>11</v>
      </c>
      <c r="E19165" s="17" t="s">
        <v>53</v>
      </c>
      <c r="F19165" s="18"/>
      <c r="G19165" s="36" t="str">
        <f>IF(ISNUMBER(F19165),C19165*F19165,"")</f>
        <v/>
      </c>
    </row>
    <row r="19166" spans="1:7" ht="12" customHeight="1" outlineLevel="2" x14ac:dyDescent="0.2">
      <c r="A19166" s="14" t="s">
        <v>37722</v>
      </c>
      <c r="B19166" s="15" t="s">
        <v>37723</v>
      </c>
      <c r="C19166" s="16">
        <f>167.9/(1+B2)</f>
        <v>167.9</v>
      </c>
      <c r="D19166" s="17" t="s">
        <v>14</v>
      </c>
      <c r="E19166" s="17" t="s">
        <v>14</v>
      </c>
      <c r="F19166" s="18"/>
      <c r="G19166" s="36" t="str">
        <f>IF(ISNUMBER(F19166),C19166*F19166,"")</f>
        <v/>
      </c>
    </row>
    <row r="19167" spans="1:7" ht="12" customHeight="1" outlineLevel="2" x14ac:dyDescent="0.2">
      <c r="A19167" s="14" t="s">
        <v>37724</v>
      </c>
      <c r="B19167" s="15" t="s">
        <v>37725</v>
      </c>
      <c r="C19167" s="16">
        <f>18.66/(1+B2)</f>
        <v>18.66</v>
      </c>
      <c r="D19167" s="17" t="s">
        <v>11</v>
      </c>
      <c r="E19167" s="17" t="s">
        <v>53</v>
      </c>
      <c r="F19167" s="18"/>
      <c r="G19167" s="36" t="str">
        <f>IF(ISNUMBER(F19167),C19167*F19167,"")</f>
        <v/>
      </c>
    </row>
    <row r="19168" spans="1:7" ht="12" customHeight="1" outlineLevel="2" x14ac:dyDescent="0.2">
      <c r="A19168" s="14" t="s">
        <v>37726</v>
      </c>
      <c r="B19168" s="15" t="s">
        <v>37727</v>
      </c>
      <c r="C19168" s="16">
        <f>20.05/(1+B2)</f>
        <v>20.05</v>
      </c>
      <c r="D19168" s="17" t="s">
        <v>106</v>
      </c>
      <c r="E19168" s="17" t="s">
        <v>106</v>
      </c>
      <c r="F19168" s="18"/>
      <c r="G19168" s="36" t="str">
        <f>IF(ISNUMBER(F19168),C19168*F19168,"")</f>
        <v/>
      </c>
    </row>
    <row r="19169" spans="1:7" ht="12" customHeight="1" outlineLevel="2" x14ac:dyDescent="0.2">
      <c r="A19169" s="14" t="s">
        <v>37728</v>
      </c>
      <c r="B19169" s="15" t="s">
        <v>37729</v>
      </c>
      <c r="C19169" s="16">
        <f>10.78/(1+B2)</f>
        <v>10.78</v>
      </c>
      <c r="D19169" s="17" t="s">
        <v>11</v>
      </c>
      <c r="E19169" s="17"/>
      <c r="F19169" s="18"/>
      <c r="G19169" s="36" t="str">
        <f>IF(ISNUMBER(F19169),C19169*F19169,"")</f>
        <v/>
      </c>
    </row>
    <row r="19170" spans="1:7" ht="12" customHeight="1" outlineLevel="2" x14ac:dyDescent="0.2">
      <c r="A19170" s="14" t="s">
        <v>37730</v>
      </c>
      <c r="B19170" s="15" t="s">
        <v>37731</v>
      </c>
      <c r="C19170" s="16">
        <f>43.2/(1+B2)</f>
        <v>43.2</v>
      </c>
      <c r="D19170" s="17" t="s">
        <v>11</v>
      </c>
      <c r="E19170" s="17" t="s">
        <v>53</v>
      </c>
      <c r="F19170" s="18"/>
      <c r="G19170" s="36" t="str">
        <f>IF(ISNUMBER(F19170),C19170*F19170,"")</f>
        <v/>
      </c>
    </row>
    <row r="19171" spans="1:7" ht="12" customHeight="1" outlineLevel="2" x14ac:dyDescent="0.2">
      <c r="A19171" s="14" t="s">
        <v>37732</v>
      </c>
      <c r="B19171" s="15" t="s">
        <v>37733</v>
      </c>
      <c r="C19171" s="16">
        <f>43.51/(1+B2)</f>
        <v>43.51</v>
      </c>
      <c r="D19171" s="17" t="s">
        <v>11</v>
      </c>
      <c r="E19171" s="17"/>
      <c r="F19171" s="18"/>
      <c r="G19171" s="36" t="str">
        <f>IF(ISNUMBER(F19171),C19171*F19171,"")</f>
        <v/>
      </c>
    </row>
    <row r="19172" spans="1:7" s="1" customFormat="1" ht="15.95" customHeight="1" outlineLevel="1" x14ac:dyDescent="0.25">
      <c r="A19172" s="11"/>
      <c r="B19172" s="12" t="s">
        <v>37734</v>
      </c>
      <c r="C19172" s="13"/>
      <c r="D19172" s="13"/>
      <c r="E19172" s="13"/>
      <c r="F19172" s="13"/>
      <c r="G19172" s="35"/>
    </row>
    <row r="19173" spans="1:7" ht="12" customHeight="1" outlineLevel="2" x14ac:dyDescent="0.2">
      <c r="A19173" s="14" t="s">
        <v>37735</v>
      </c>
      <c r="B19173" s="15" t="s">
        <v>37736</v>
      </c>
      <c r="C19173" s="16">
        <f>105.28/(1+B2)</f>
        <v>105.28</v>
      </c>
      <c r="D19173" s="17" t="s">
        <v>11</v>
      </c>
      <c r="E19173" s="17" t="s">
        <v>53</v>
      </c>
      <c r="F19173" s="18"/>
      <c r="G19173" s="36" t="str">
        <f>IF(ISNUMBER(F19173),C19173*F19173,"")</f>
        <v/>
      </c>
    </row>
    <row r="19174" spans="1:7" ht="12" customHeight="1" outlineLevel="2" x14ac:dyDescent="0.2">
      <c r="A19174" s="14" t="s">
        <v>37737</v>
      </c>
      <c r="B19174" s="15" t="s">
        <v>37738</v>
      </c>
      <c r="C19174" s="16">
        <f>27.78/(1+B2)</f>
        <v>27.78</v>
      </c>
      <c r="D19174" s="17" t="s">
        <v>11</v>
      </c>
      <c r="E19174" s="17"/>
      <c r="F19174" s="18"/>
      <c r="G19174" s="36" t="str">
        <f>IF(ISNUMBER(F19174),C19174*F19174,"")</f>
        <v/>
      </c>
    </row>
    <row r="19175" spans="1:7" ht="12" customHeight="1" outlineLevel="2" x14ac:dyDescent="0.2">
      <c r="A19175" s="14" t="s">
        <v>37739</v>
      </c>
      <c r="B19175" s="15" t="s">
        <v>37740</v>
      </c>
      <c r="C19175" s="16">
        <f>44.64/(1+B2)</f>
        <v>44.64</v>
      </c>
      <c r="D19175" s="17" t="s">
        <v>11</v>
      </c>
      <c r="E19175" s="17" t="s">
        <v>106</v>
      </c>
      <c r="F19175" s="18"/>
      <c r="G19175" s="36" t="str">
        <f>IF(ISNUMBER(F19175),C19175*F19175,"")</f>
        <v/>
      </c>
    </row>
    <row r="19176" spans="1:7" ht="12" customHeight="1" outlineLevel="2" x14ac:dyDescent="0.2">
      <c r="A19176" s="14" t="s">
        <v>37741</v>
      </c>
      <c r="B19176" s="15" t="s">
        <v>37742</v>
      </c>
      <c r="C19176" s="16">
        <f>69.96/(1+B2)</f>
        <v>69.959999999999994</v>
      </c>
      <c r="D19176" s="17" t="s">
        <v>11</v>
      </c>
      <c r="E19176" s="17"/>
      <c r="F19176" s="18"/>
      <c r="G19176" s="36" t="str">
        <f>IF(ISNUMBER(F19176),C19176*F19176,"")</f>
        <v/>
      </c>
    </row>
    <row r="19177" spans="1:7" ht="12" customHeight="1" outlineLevel="2" x14ac:dyDescent="0.2">
      <c r="A19177" s="14" t="s">
        <v>37743</v>
      </c>
      <c r="B19177" s="15" t="s">
        <v>37744</v>
      </c>
      <c r="C19177" s="16">
        <f>57.85/(1+B2)</f>
        <v>57.85</v>
      </c>
      <c r="D19177" s="17" t="s">
        <v>106</v>
      </c>
      <c r="E19177" s="17"/>
      <c r="F19177" s="18"/>
      <c r="G19177" s="36" t="str">
        <f>IF(ISNUMBER(F19177),C19177*F19177,"")</f>
        <v/>
      </c>
    </row>
    <row r="19178" spans="1:7" ht="12" customHeight="1" outlineLevel="2" x14ac:dyDescent="0.2">
      <c r="A19178" s="14" t="s">
        <v>37745</v>
      </c>
      <c r="B19178" s="15" t="s">
        <v>37746</v>
      </c>
      <c r="C19178" s="16">
        <f>77.91/(1+B2)</f>
        <v>77.91</v>
      </c>
      <c r="D19178" s="17" t="s">
        <v>11</v>
      </c>
      <c r="E19178" s="17" t="s">
        <v>53</v>
      </c>
      <c r="F19178" s="18"/>
      <c r="G19178" s="36" t="str">
        <f>IF(ISNUMBER(F19178),C19178*F19178,"")</f>
        <v/>
      </c>
    </row>
    <row r="19179" spans="1:7" ht="12" customHeight="1" outlineLevel="2" x14ac:dyDescent="0.2">
      <c r="A19179" s="14" t="s">
        <v>37747</v>
      </c>
      <c r="B19179" s="15" t="s">
        <v>37748</v>
      </c>
      <c r="C19179" s="16">
        <f>118.13/(1+B2)</f>
        <v>118.13</v>
      </c>
      <c r="D19179" s="17" t="s">
        <v>53</v>
      </c>
      <c r="E19179" s="17" t="s">
        <v>11</v>
      </c>
      <c r="F19179" s="18"/>
      <c r="G19179" s="36" t="str">
        <f>IF(ISNUMBER(F19179),C19179*F19179,"")</f>
        <v/>
      </c>
    </row>
    <row r="19180" spans="1:7" ht="12" customHeight="1" outlineLevel="2" x14ac:dyDescent="0.2">
      <c r="A19180" s="14" t="s">
        <v>37749</v>
      </c>
      <c r="B19180" s="15" t="s">
        <v>37750</v>
      </c>
      <c r="C19180" s="16">
        <f>113.4/(1+B2)</f>
        <v>113.4</v>
      </c>
      <c r="D19180" s="17" t="s">
        <v>11</v>
      </c>
      <c r="E19180" s="17"/>
      <c r="F19180" s="18"/>
      <c r="G19180" s="36" t="str">
        <f>IF(ISNUMBER(F19180),C19180*F19180,"")</f>
        <v/>
      </c>
    </row>
    <row r="19181" spans="1:7" ht="12" customHeight="1" outlineLevel="2" x14ac:dyDescent="0.2">
      <c r="A19181" s="14" t="s">
        <v>37751</v>
      </c>
      <c r="B19181" s="15" t="s">
        <v>37752</v>
      </c>
      <c r="C19181" s="16">
        <f>38.1/(1+B2)</f>
        <v>38.1</v>
      </c>
      <c r="D19181" s="17" t="s">
        <v>14</v>
      </c>
      <c r="E19181" s="17"/>
      <c r="F19181" s="18"/>
      <c r="G19181" s="36" t="str">
        <f>IF(ISNUMBER(F19181),C19181*F19181,"")</f>
        <v/>
      </c>
    </row>
    <row r="19182" spans="1:7" s="1" customFormat="1" ht="15.95" customHeight="1" outlineLevel="1" x14ac:dyDescent="0.25">
      <c r="A19182" s="11"/>
      <c r="B19182" s="12" t="s">
        <v>37753</v>
      </c>
      <c r="C19182" s="13"/>
      <c r="D19182" s="13"/>
      <c r="E19182" s="13"/>
      <c r="F19182" s="13"/>
      <c r="G19182" s="35"/>
    </row>
    <row r="19183" spans="1:7" ht="12" customHeight="1" outlineLevel="2" x14ac:dyDescent="0.2">
      <c r="A19183" s="14" t="s">
        <v>37754</v>
      </c>
      <c r="B19183" s="15" t="s">
        <v>37755</v>
      </c>
      <c r="C19183" s="16">
        <f>117.78/(1+B2)</f>
        <v>117.78</v>
      </c>
      <c r="D19183" s="17" t="s">
        <v>11</v>
      </c>
      <c r="E19183" s="17" t="s">
        <v>11</v>
      </c>
      <c r="F19183" s="18"/>
      <c r="G19183" s="36" t="str">
        <f>IF(ISNUMBER(F19183),C19183*F19183,"")</f>
        <v/>
      </c>
    </row>
    <row r="19184" spans="1:7" ht="12" customHeight="1" outlineLevel="2" x14ac:dyDescent="0.2">
      <c r="A19184" s="14" t="s">
        <v>37756</v>
      </c>
      <c r="B19184" s="15" t="s">
        <v>37757</v>
      </c>
      <c r="C19184" s="16">
        <f>254.52/(1+B2)</f>
        <v>254.52</v>
      </c>
      <c r="D19184" s="17" t="s">
        <v>11</v>
      </c>
      <c r="E19184" s="17"/>
      <c r="F19184" s="18"/>
      <c r="G19184" s="36" t="str">
        <f>IF(ISNUMBER(F19184),C19184*F19184,"")</f>
        <v/>
      </c>
    </row>
    <row r="19185" spans="1:7" ht="12" customHeight="1" outlineLevel="2" x14ac:dyDescent="0.2">
      <c r="A19185" s="14" t="s">
        <v>37758</v>
      </c>
      <c r="B19185" s="15" t="s">
        <v>37759</v>
      </c>
      <c r="C19185" s="16">
        <f>252.74/(1+B2)</f>
        <v>252.74</v>
      </c>
      <c r="D19185" s="17" t="s">
        <v>11</v>
      </c>
      <c r="E19185" s="17"/>
      <c r="F19185" s="18"/>
      <c r="G19185" s="36" t="str">
        <f>IF(ISNUMBER(F19185),C19185*F19185,"")</f>
        <v/>
      </c>
    </row>
    <row r="19186" spans="1:7" ht="12" customHeight="1" outlineLevel="2" x14ac:dyDescent="0.2">
      <c r="A19186" s="14" t="s">
        <v>37760</v>
      </c>
      <c r="B19186" s="15" t="s">
        <v>37761</v>
      </c>
      <c r="C19186" s="16">
        <f>166.62/(1+B2)</f>
        <v>166.62</v>
      </c>
      <c r="D19186" s="17" t="s">
        <v>11</v>
      </c>
      <c r="E19186" s="17"/>
      <c r="F19186" s="18"/>
      <c r="G19186" s="36" t="str">
        <f>IF(ISNUMBER(F19186),C19186*F19186,"")</f>
        <v/>
      </c>
    </row>
    <row r="19187" spans="1:7" ht="12" customHeight="1" outlineLevel="2" x14ac:dyDescent="0.2">
      <c r="A19187" s="14" t="s">
        <v>37762</v>
      </c>
      <c r="B19187" s="15" t="s">
        <v>37763</v>
      </c>
      <c r="C19187" s="16">
        <f>363.86/(1+B2)</f>
        <v>363.86</v>
      </c>
      <c r="D19187" s="17" t="s">
        <v>14</v>
      </c>
      <c r="E19187" s="17"/>
      <c r="F19187" s="18"/>
      <c r="G19187" s="36" t="str">
        <f>IF(ISNUMBER(F19187),C19187*F19187,"")</f>
        <v/>
      </c>
    </row>
    <row r="19188" spans="1:7" ht="12" customHeight="1" outlineLevel="2" x14ac:dyDescent="0.2">
      <c r="A19188" s="14" t="s">
        <v>37764</v>
      </c>
      <c r="B19188" s="15" t="s">
        <v>37765</v>
      </c>
      <c r="C19188" s="16">
        <f>308.68/(1+B2)</f>
        <v>308.68</v>
      </c>
      <c r="D19188" s="17" t="s">
        <v>14</v>
      </c>
      <c r="E19188" s="17"/>
      <c r="F19188" s="18"/>
      <c r="G19188" s="36" t="str">
        <f>IF(ISNUMBER(F19188),C19188*F19188,"")</f>
        <v/>
      </c>
    </row>
    <row r="19189" spans="1:7" ht="12" customHeight="1" outlineLevel="2" x14ac:dyDescent="0.2">
      <c r="A19189" s="14" t="s">
        <v>37766</v>
      </c>
      <c r="B19189" s="15" t="s">
        <v>37767</v>
      </c>
      <c r="C19189" s="16">
        <f>442/(1+B2)</f>
        <v>442</v>
      </c>
      <c r="D19189" s="17" t="s">
        <v>11</v>
      </c>
      <c r="E19189" s="17"/>
      <c r="F19189" s="18"/>
      <c r="G19189" s="36" t="str">
        <f>IF(ISNUMBER(F19189),C19189*F19189,"")</f>
        <v/>
      </c>
    </row>
    <row r="19190" spans="1:7" ht="24" customHeight="1" outlineLevel="2" x14ac:dyDescent="0.2">
      <c r="A19190" s="14" t="s">
        <v>37768</v>
      </c>
      <c r="B19190" s="15" t="s">
        <v>37769</v>
      </c>
      <c r="C19190" s="16">
        <f>165.29/(1+B2)</f>
        <v>165.29</v>
      </c>
      <c r="D19190" s="17" t="s">
        <v>14</v>
      </c>
      <c r="E19190" s="17" t="s">
        <v>11</v>
      </c>
      <c r="F19190" s="18"/>
      <c r="G19190" s="36" t="str">
        <f>IF(ISNUMBER(F19190),C19190*F19190,"")</f>
        <v/>
      </c>
    </row>
    <row r="19191" spans="1:7" ht="12" customHeight="1" outlineLevel="2" x14ac:dyDescent="0.2">
      <c r="A19191" s="14" t="s">
        <v>37770</v>
      </c>
      <c r="B19191" s="15" t="s">
        <v>37771</v>
      </c>
      <c r="C19191" s="16">
        <f>67.57/(1+B2)</f>
        <v>67.569999999999993</v>
      </c>
      <c r="D19191" s="17" t="s">
        <v>11</v>
      </c>
      <c r="E19191" s="17"/>
      <c r="F19191" s="18"/>
      <c r="G19191" s="36" t="str">
        <f>IF(ISNUMBER(F19191),C19191*F19191,"")</f>
        <v/>
      </c>
    </row>
    <row r="19192" spans="1:7" ht="12" customHeight="1" outlineLevel="2" x14ac:dyDescent="0.2">
      <c r="A19192" s="14" t="s">
        <v>37772</v>
      </c>
      <c r="B19192" s="15" t="s">
        <v>37773</v>
      </c>
      <c r="C19192" s="16">
        <f>50.06/(1+B2)</f>
        <v>50.06</v>
      </c>
      <c r="D19192" s="17" t="s">
        <v>14</v>
      </c>
      <c r="E19192" s="17" t="s">
        <v>106</v>
      </c>
      <c r="F19192" s="18"/>
      <c r="G19192" s="36" t="str">
        <f>IF(ISNUMBER(F19192),C19192*F19192,"")</f>
        <v/>
      </c>
    </row>
    <row r="19193" spans="1:7" ht="12" customHeight="1" outlineLevel="2" x14ac:dyDescent="0.2">
      <c r="A19193" s="14" t="s">
        <v>37774</v>
      </c>
      <c r="B19193" s="15" t="s">
        <v>37775</v>
      </c>
      <c r="C19193" s="16">
        <f>49.54/(1+B2)</f>
        <v>49.54</v>
      </c>
      <c r="D19193" s="17" t="s">
        <v>11</v>
      </c>
      <c r="E19193" s="17" t="s">
        <v>106</v>
      </c>
      <c r="F19193" s="18"/>
      <c r="G19193" s="36" t="str">
        <f>IF(ISNUMBER(F19193),C19193*F19193,"")</f>
        <v/>
      </c>
    </row>
    <row r="19194" spans="1:7" ht="12" customHeight="1" outlineLevel="2" x14ac:dyDescent="0.2">
      <c r="A19194" s="14" t="s">
        <v>37776</v>
      </c>
      <c r="B19194" s="15" t="s">
        <v>37777</v>
      </c>
      <c r="C19194" s="16">
        <f>12.34/(1+B2)</f>
        <v>12.34</v>
      </c>
      <c r="D19194" s="17" t="s">
        <v>53</v>
      </c>
      <c r="E19194" s="17" t="s">
        <v>106</v>
      </c>
      <c r="F19194" s="18"/>
      <c r="G19194" s="36" t="str">
        <f>IF(ISNUMBER(F19194),C19194*F19194,"")</f>
        <v/>
      </c>
    </row>
    <row r="19195" spans="1:7" ht="12" customHeight="1" outlineLevel="2" x14ac:dyDescent="0.2">
      <c r="A19195" s="14" t="s">
        <v>37778</v>
      </c>
      <c r="B19195" s="15" t="s">
        <v>37779</v>
      </c>
      <c r="C19195" s="16">
        <f>11.9/(1+B2)</f>
        <v>11.9</v>
      </c>
      <c r="D19195" s="17" t="s">
        <v>53</v>
      </c>
      <c r="E19195" s="17" t="s">
        <v>106</v>
      </c>
      <c r="F19195" s="18"/>
      <c r="G19195" s="36" t="str">
        <f>IF(ISNUMBER(F19195),C19195*F19195,"")</f>
        <v/>
      </c>
    </row>
    <row r="19196" spans="1:7" ht="12" customHeight="1" outlineLevel="2" x14ac:dyDescent="0.2">
      <c r="A19196" s="14" t="s">
        <v>37780</v>
      </c>
      <c r="B19196" s="15" t="s">
        <v>37781</v>
      </c>
      <c r="C19196" s="16">
        <f>64.91/(1+B2)</f>
        <v>64.91</v>
      </c>
      <c r="D19196" s="17" t="s">
        <v>11</v>
      </c>
      <c r="E19196" s="17" t="s">
        <v>53</v>
      </c>
      <c r="F19196" s="18"/>
      <c r="G19196" s="36" t="str">
        <f>IF(ISNUMBER(F19196),C19196*F19196,"")</f>
        <v/>
      </c>
    </row>
    <row r="19197" spans="1:7" ht="12" customHeight="1" outlineLevel="2" x14ac:dyDescent="0.2">
      <c r="A19197" s="14" t="s">
        <v>37782</v>
      </c>
      <c r="B19197" s="15" t="s">
        <v>37783</v>
      </c>
      <c r="C19197" s="16">
        <f>6.35/(1+B2)</f>
        <v>6.35</v>
      </c>
      <c r="D19197" s="17" t="s">
        <v>11</v>
      </c>
      <c r="E19197" s="17"/>
      <c r="F19197" s="18"/>
      <c r="G19197" s="36" t="str">
        <f>IF(ISNUMBER(F19197),C19197*F19197,"")</f>
        <v/>
      </c>
    </row>
    <row r="19198" spans="1:7" ht="12" customHeight="1" outlineLevel="2" x14ac:dyDescent="0.2">
      <c r="A19198" s="14" t="s">
        <v>37784</v>
      </c>
      <c r="B19198" s="15" t="s">
        <v>37785</v>
      </c>
      <c r="C19198" s="16">
        <f>10.77/(1+B2)</f>
        <v>10.77</v>
      </c>
      <c r="D19198" s="17" t="s">
        <v>11</v>
      </c>
      <c r="E19198" s="17"/>
      <c r="F19198" s="18"/>
      <c r="G19198" s="36" t="str">
        <f>IF(ISNUMBER(F19198),C19198*F19198,"")</f>
        <v/>
      </c>
    </row>
    <row r="19199" spans="1:7" ht="12" customHeight="1" outlineLevel="2" x14ac:dyDescent="0.2">
      <c r="A19199" s="14" t="s">
        <v>37786</v>
      </c>
      <c r="B19199" s="15" t="s">
        <v>37787</v>
      </c>
      <c r="C19199" s="16">
        <f>34.16/(1+B2)</f>
        <v>34.159999999999997</v>
      </c>
      <c r="D19199" s="17" t="s">
        <v>53</v>
      </c>
      <c r="E19199" s="17"/>
      <c r="F19199" s="18"/>
      <c r="G19199" s="36" t="str">
        <f>IF(ISNUMBER(F19199),C19199*F19199,"")</f>
        <v/>
      </c>
    </row>
    <row r="19200" spans="1:7" ht="12" customHeight="1" outlineLevel="2" x14ac:dyDescent="0.2">
      <c r="A19200" s="14" t="s">
        <v>37788</v>
      </c>
      <c r="B19200" s="15" t="s">
        <v>37789</v>
      </c>
      <c r="C19200" s="16">
        <f>30.49/(1+B2)</f>
        <v>30.49</v>
      </c>
      <c r="D19200" s="17" t="s">
        <v>11</v>
      </c>
      <c r="E19200" s="17" t="s">
        <v>106</v>
      </c>
      <c r="F19200" s="18"/>
      <c r="G19200" s="36" t="str">
        <f>IF(ISNUMBER(F19200),C19200*F19200,"")</f>
        <v/>
      </c>
    </row>
    <row r="19201" spans="1:7" ht="24" customHeight="1" outlineLevel="2" x14ac:dyDescent="0.2">
      <c r="A19201" s="14" t="s">
        <v>37790</v>
      </c>
      <c r="B19201" s="15" t="s">
        <v>37791</v>
      </c>
      <c r="C19201" s="16">
        <f>179.93/(1+B2)</f>
        <v>179.93</v>
      </c>
      <c r="D19201" s="17" t="s">
        <v>11</v>
      </c>
      <c r="E19201" s="17"/>
      <c r="F19201" s="18"/>
      <c r="G19201" s="36" t="str">
        <f>IF(ISNUMBER(F19201),C19201*F19201,"")</f>
        <v/>
      </c>
    </row>
    <row r="19202" spans="1:7" ht="12" customHeight="1" outlineLevel="2" x14ac:dyDescent="0.2">
      <c r="A19202" s="14" t="s">
        <v>37792</v>
      </c>
      <c r="B19202" s="15" t="s">
        <v>37793</v>
      </c>
      <c r="C19202" s="16">
        <f>46.81/(1+B2)</f>
        <v>46.81</v>
      </c>
      <c r="D19202" s="17" t="s">
        <v>11</v>
      </c>
      <c r="E19202" s="17"/>
      <c r="F19202" s="18"/>
      <c r="G19202" s="36" t="str">
        <f>IF(ISNUMBER(F19202),C19202*F19202,"")</f>
        <v/>
      </c>
    </row>
    <row r="19203" spans="1:7" ht="12" customHeight="1" outlineLevel="2" x14ac:dyDescent="0.2">
      <c r="A19203" s="14" t="s">
        <v>37794</v>
      </c>
      <c r="B19203" s="15" t="s">
        <v>37795</v>
      </c>
      <c r="C19203" s="16">
        <f>82.88/(1+B2)</f>
        <v>82.88</v>
      </c>
      <c r="D19203" s="17" t="s">
        <v>11</v>
      </c>
      <c r="E19203" s="17"/>
      <c r="F19203" s="18"/>
      <c r="G19203" s="36" t="str">
        <f>IF(ISNUMBER(F19203),C19203*F19203,"")</f>
        <v/>
      </c>
    </row>
    <row r="19204" spans="1:7" ht="12" customHeight="1" outlineLevel="2" x14ac:dyDescent="0.2">
      <c r="A19204" s="14" t="s">
        <v>37796</v>
      </c>
      <c r="B19204" s="15" t="s">
        <v>37797</v>
      </c>
      <c r="C19204" s="16">
        <f>86.09/(1+B2)</f>
        <v>86.09</v>
      </c>
      <c r="D19204" s="17" t="s">
        <v>11</v>
      </c>
      <c r="E19204" s="17" t="s">
        <v>11</v>
      </c>
      <c r="F19204" s="18"/>
      <c r="G19204" s="36" t="str">
        <f>IF(ISNUMBER(F19204),C19204*F19204,"")</f>
        <v/>
      </c>
    </row>
    <row r="19205" spans="1:7" ht="12" customHeight="1" outlineLevel="2" x14ac:dyDescent="0.2">
      <c r="A19205" s="14" t="s">
        <v>37798</v>
      </c>
      <c r="B19205" s="15" t="s">
        <v>37799</v>
      </c>
      <c r="C19205" s="16">
        <f>74.59/(1+B2)</f>
        <v>74.59</v>
      </c>
      <c r="D19205" s="17" t="s">
        <v>14</v>
      </c>
      <c r="E19205" s="17" t="s">
        <v>53</v>
      </c>
      <c r="F19205" s="18"/>
      <c r="G19205" s="36" t="str">
        <f>IF(ISNUMBER(F19205),C19205*F19205,"")</f>
        <v/>
      </c>
    </row>
    <row r="19206" spans="1:7" ht="12" customHeight="1" outlineLevel="2" x14ac:dyDescent="0.2">
      <c r="A19206" s="14" t="s">
        <v>37800</v>
      </c>
      <c r="B19206" s="15" t="s">
        <v>37801</v>
      </c>
      <c r="C19206" s="16">
        <f>198.77/(1+B2)</f>
        <v>198.77</v>
      </c>
      <c r="D19206" s="17" t="s">
        <v>14</v>
      </c>
      <c r="E19206" s="17"/>
      <c r="F19206" s="18"/>
      <c r="G19206" s="36" t="str">
        <f>IF(ISNUMBER(F19206),C19206*F19206,"")</f>
        <v/>
      </c>
    </row>
    <row r="19207" spans="1:7" ht="12" customHeight="1" outlineLevel="2" x14ac:dyDescent="0.2">
      <c r="A19207" s="14" t="s">
        <v>37802</v>
      </c>
      <c r="B19207" s="15" t="s">
        <v>37803</v>
      </c>
      <c r="C19207" s="16">
        <f>210.48/(1+B2)</f>
        <v>210.48</v>
      </c>
      <c r="D19207" s="17" t="s">
        <v>53</v>
      </c>
      <c r="E19207" s="17"/>
      <c r="F19207" s="18"/>
      <c r="G19207" s="36" t="str">
        <f>IF(ISNUMBER(F19207),C19207*F19207,"")</f>
        <v/>
      </c>
    </row>
    <row r="19208" spans="1:7" ht="12" customHeight="1" outlineLevel="2" x14ac:dyDescent="0.2">
      <c r="A19208" s="14" t="s">
        <v>37804</v>
      </c>
      <c r="B19208" s="15" t="s">
        <v>37805</v>
      </c>
      <c r="C19208" s="16">
        <f>100.68/(1+B2)</f>
        <v>100.68</v>
      </c>
      <c r="D19208" s="17" t="s">
        <v>11</v>
      </c>
      <c r="E19208" s="17" t="s">
        <v>53</v>
      </c>
      <c r="F19208" s="18"/>
      <c r="G19208" s="36" t="str">
        <f>IF(ISNUMBER(F19208),C19208*F19208,"")</f>
        <v/>
      </c>
    </row>
    <row r="19209" spans="1:7" ht="12" customHeight="1" outlineLevel="2" x14ac:dyDescent="0.2">
      <c r="A19209" s="14" t="s">
        <v>37806</v>
      </c>
      <c r="B19209" s="15" t="s">
        <v>37807</v>
      </c>
      <c r="C19209" s="16">
        <f>128.69/(1+B2)</f>
        <v>128.69</v>
      </c>
      <c r="D19209" s="17" t="s">
        <v>14</v>
      </c>
      <c r="E19209" s="17" t="s">
        <v>14</v>
      </c>
      <c r="F19209" s="18"/>
      <c r="G19209" s="36" t="str">
        <f>IF(ISNUMBER(F19209),C19209*F19209,"")</f>
        <v/>
      </c>
    </row>
    <row r="19210" spans="1:7" ht="12" customHeight="1" outlineLevel="2" x14ac:dyDescent="0.2">
      <c r="A19210" s="14" t="s">
        <v>37808</v>
      </c>
      <c r="B19210" s="15" t="s">
        <v>37809</v>
      </c>
      <c r="C19210" s="16">
        <f>145.99/(1+B2)</f>
        <v>145.99</v>
      </c>
      <c r="D19210" s="17" t="s">
        <v>11</v>
      </c>
      <c r="E19210" s="17" t="s">
        <v>14</v>
      </c>
      <c r="F19210" s="18"/>
      <c r="G19210" s="36" t="str">
        <f>IF(ISNUMBER(F19210),C19210*F19210,"")</f>
        <v/>
      </c>
    </row>
    <row r="19211" spans="1:7" ht="12" customHeight="1" outlineLevel="2" x14ac:dyDescent="0.2">
      <c r="A19211" s="14" t="s">
        <v>37810</v>
      </c>
      <c r="B19211" s="15" t="s">
        <v>37811</v>
      </c>
      <c r="C19211" s="16">
        <f>305.22/(1+B2)</f>
        <v>305.22000000000003</v>
      </c>
      <c r="D19211" s="17" t="s">
        <v>11</v>
      </c>
      <c r="E19211" s="17"/>
      <c r="F19211" s="18"/>
      <c r="G19211" s="36" t="str">
        <f>IF(ISNUMBER(F19211),C19211*F19211,"")</f>
        <v/>
      </c>
    </row>
    <row r="19212" spans="1:7" ht="12" customHeight="1" outlineLevel="2" x14ac:dyDescent="0.2">
      <c r="A19212" s="14" t="s">
        <v>37812</v>
      </c>
      <c r="B19212" s="15" t="s">
        <v>37813</v>
      </c>
      <c r="C19212" s="16">
        <f>49.61/(1+B2)</f>
        <v>49.61</v>
      </c>
      <c r="D19212" s="17" t="s">
        <v>11</v>
      </c>
      <c r="E19212" s="17" t="s">
        <v>11</v>
      </c>
      <c r="F19212" s="18"/>
      <c r="G19212" s="36" t="str">
        <f>IF(ISNUMBER(F19212),C19212*F19212,"")</f>
        <v/>
      </c>
    </row>
    <row r="19213" spans="1:7" ht="12" customHeight="1" outlineLevel="2" x14ac:dyDescent="0.2">
      <c r="A19213" s="14" t="s">
        <v>37814</v>
      </c>
      <c r="B19213" s="15" t="s">
        <v>37815</v>
      </c>
      <c r="C19213" s="16">
        <f>292.43/(1+B2)</f>
        <v>292.43</v>
      </c>
      <c r="D19213" s="17" t="s">
        <v>11</v>
      </c>
      <c r="E19213" s="17"/>
      <c r="F19213" s="18"/>
      <c r="G19213" s="36" t="str">
        <f>IF(ISNUMBER(F19213),C19213*F19213,"")</f>
        <v/>
      </c>
    </row>
    <row r="19214" spans="1:7" s="1" customFormat="1" ht="15.95" customHeight="1" outlineLevel="1" x14ac:dyDescent="0.25">
      <c r="A19214" s="11"/>
      <c r="B19214" s="12" t="s">
        <v>37816</v>
      </c>
      <c r="C19214" s="13"/>
      <c r="D19214" s="13"/>
      <c r="E19214" s="13"/>
      <c r="F19214" s="13"/>
      <c r="G19214" s="35"/>
    </row>
    <row r="19215" spans="1:7" ht="12" customHeight="1" outlineLevel="2" x14ac:dyDescent="0.2">
      <c r="A19215" s="14" t="s">
        <v>37817</v>
      </c>
      <c r="B19215" s="15" t="s">
        <v>37818</v>
      </c>
      <c r="C19215" s="16">
        <f>32.06/(1+B2)</f>
        <v>32.06</v>
      </c>
      <c r="D19215" s="17" t="s">
        <v>53</v>
      </c>
      <c r="E19215" s="17" t="s">
        <v>53</v>
      </c>
      <c r="F19215" s="18"/>
      <c r="G19215" s="36" t="str">
        <f>IF(ISNUMBER(F19215),C19215*F19215,"")</f>
        <v/>
      </c>
    </row>
    <row r="19216" spans="1:7" ht="12" customHeight="1" outlineLevel="2" x14ac:dyDescent="0.2">
      <c r="A19216" s="14" t="s">
        <v>37819</v>
      </c>
      <c r="B19216" s="15" t="s">
        <v>37820</v>
      </c>
      <c r="C19216" s="16">
        <f>30.38/(1+B2)</f>
        <v>30.38</v>
      </c>
      <c r="D19216" s="17" t="s">
        <v>53</v>
      </c>
      <c r="E19216" s="17" t="s">
        <v>14</v>
      </c>
      <c r="F19216" s="18"/>
      <c r="G19216" s="36" t="str">
        <f>IF(ISNUMBER(F19216),C19216*F19216,"")</f>
        <v/>
      </c>
    </row>
    <row r="19217" spans="1:7" ht="12" customHeight="1" outlineLevel="2" x14ac:dyDescent="0.2">
      <c r="A19217" s="14" t="s">
        <v>37821</v>
      </c>
      <c r="B19217" s="15" t="s">
        <v>37822</v>
      </c>
      <c r="C19217" s="16">
        <f>14.85/(1+B2)</f>
        <v>14.85</v>
      </c>
      <c r="D19217" s="17" t="s">
        <v>53</v>
      </c>
      <c r="E19217" s="17"/>
      <c r="F19217" s="18"/>
      <c r="G19217" s="36" t="str">
        <f>IF(ISNUMBER(F19217),C19217*F19217,"")</f>
        <v/>
      </c>
    </row>
    <row r="19218" spans="1:7" ht="12" customHeight="1" outlineLevel="2" x14ac:dyDescent="0.2">
      <c r="A19218" s="14" t="s">
        <v>37823</v>
      </c>
      <c r="B19218" s="15" t="s">
        <v>37824</v>
      </c>
      <c r="C19218" s="16">
        <f>50.85/(1+B2)</f>
        <v>50.85</v>
      </c>
      <c r="D19218" s="17" t="s">
        <v>53</v>
      </c>
      <c r="E19218" s="17" t="s">
        <v>14</v>
      </c>
      <c r="F19218" s="18"/>
      <c r="G19218" s="36" t="str">
        <f>IF(ISNUMBER(F19218),C19218*F19218,"")</f>
        <v/>
      </c>
    </row>
    <row r="19219" spans="1:7" ht="12" customHeight="1" outlineLevel="2" x14ac:dyDescent="0.2">
      <c r="A19219" s="14" t="s">
        <v>37825</v>
      </c>
      <c r="B19219" s="15" t="s">
        <v>37826</v>
      </c>
      <c r="C19219" s="16">
        <f>9.04/(1+B2)</f>
        <v>9.0399999999999991</v>
      </c>
      <c r="D19219" s="17" t="s">
        <v>11</v>
      </c>
      <c r="E19219" s="17"/>
      <c r="F19219" s="18"/>
      <c r="G19219" s="36" t="str">
        <f>IF(ISNUMBER(F19219),C19219*F19219,"")</f>
        <v/>
      </c>
    </row>
    <row r="19220" spans="1:7" ht="12" customHeight="1" outlineLevel="2" x14ac:dyDescent="0.2">
      <c r="A19220" s="14" t="s">
        <v>37827</v>
      </c>
      <c r="B19220" s="15" t="s">
        <v>37828</v>
      </c>
      <c r="C19220" s="16">
        <f>49.88/(1+B2)</f>
        <v>49.88</v>
      </c>
      <c r="D19220" s="17" t="s">
        <v>11</v>
      </c>
      <c r="E19220" s="17" t="s">
        <v>53</v>
      </c>
      <c r="F19220" s="18"/>
      <c r="G19220" s="36" t="str">
        <f>IF(ISNUMBER(F19220),C19220*F19220,"")</f>
        <v/>
      </c>
    </row>
    <row r="19221" spans="1:7" ht="12" customHeight="1" outlineLevel="2" x14ac:dyDescent="0.2">
      <c r="A19221" s="14" t="s">
        <v>37829</v>
      </c>
      <c r="B19221" s="15" t="s">
        <v>37830</v>
      </c>
      <c r="C19221" s="16">
        <f>17.1/(1+B2)</f>
        <v>17.100000000000001</v>
      </c>
      <c r="D19221" s="17" t="s">
        <v>11</v>
      </c>
      <c r="E19221" s="17"/>
      <c r="F19221" s="18"/>
      <c r="G19221" s="36" t="str">
        <f>IF(ISNUMBER(F19221),C19221*F19221,"")</f>
        <v/>
      </c>
    </row>
    <row r="19222" spans="1:7" ht="12" customHeight="1" outlineLevel="2" x14ac:dyDescent="0.2">
      <c r="A19222" s="14" t="s">
        <v>37831</v>
      </c>
      <c r="B19222" s="15" t="s">
        <v>37832</v>
      </c>
      <c r="C19222" s="16">
        <f>31.16/(1+B2)</f>
        <v>31.16</v>
      </c>
      <c r="D19222" s="17" t="s">
        <v>14</v>
      </c>
      <c r="E19222" s="17" t="s">
        <v>106</v>
      </c>
      <c r="F19222" s="18"/>
      <c r="G19222" s="36" t="str">
        <f>IF(ISNUMBER(F19222),C19222*F19222,"")</f>
        <v/>
      </c>
    </row>
    <row r="19223" spans="1:7" ht="12" customHeight="1" outlineLevel="2" x14ac:dyDescent="0.2">
      <c r="A19223" s="14" t="s">
        <v>37833</v>
      </c>
      <c r="B19223" s="15" t="s">
        <v>37834</v>
      </c>
      <c r="C19223" s="16">
        <f>118.13/(1+B2)</f>
        <v>118.13</v>
      </c>
      <c r="D19223" s="17" t="s">
        <v>53</v>
      </c>
      <c r="E19223" s="17" t="s">
        <v>53</v>
      </c>
      <c r="F19223" s="18"/>
      <c r="G19223" s="36" t="str">
        <f>IF(ISNUMBER(F19223),C19223*F19223,"")</f>
        <v/>
      </c>
    </row>
    <row r="19224" spans="1:7" ht="12" customHeight="1" outlineLevel="2" x14ac:dyDescent="0.2">
      <c r="A19224" s="14" t="s">
        <v>37835</v>
      </c>
      <c r="B19224" s="15" t="s">
        <v>37836</v>
      </c>
      <c r="C19224" s="16">
        <f>170.66/(1+B2)</f>
        <v>170.66</v>
      </c>
      <c r="D19224" s="17" t="s">
        <v>14</v>
      </c>
      <c r="E19224" s="17" t="s">
        <v>14</v>
      </c>
      <c r="F19224" s="18"/>
      <c r="G19224" s="36" t="str">
        <f>IF(ISNUMBER(F19224),C19224*F19224,"")</f>
        <v/>
      </c>
    </row>
    <row r="19225" spans="1:7" ht="12" customHeight="1" outlineLevel="2" x14ac:dyDescent="0.2">
      <c r="A19225" s="14" t="s">
        <v>37837</v>
      </c>
      <c r="B19225" s="15" t="s">
        <v>37838</v>
      </c>
      <c r="C19225" s="16">
        <f>98.33/(1+B2)</f>
        <v>98.33</v>
      </c>
      <c r="D19225" s="17" t="s">
        <v>14</v>
      </c>
      <c r="E19225" s="17" t="s">
        <v>53</v>
      </c>
      <c r="F19225" s="18"/>
      <c r="G19225" s="36" t="str">
        <f>IF(ISNUMBER(F19225),C19225*F19225,"")</f>
        <v/>
      </c>
    </row>
    <row r="19226" spans="1:7" ht="12" customHeight="1" outlineLevel="2" x14ac:dyDescent="0.2">
      <c r="A19226" s="14" t="s">
        <v>37839</v>
      </c>
      <c r="B19226" s="15" t="s">
        <v>37840</v>
      </c>
      <c r="C19226" s="16">
        <f>21.15/(1+B2)</f>
        <v>21.15</v>
      </c>
      <c r="D19226" s="17" t="s">
        <v>53</v>
      </c>
      <c r="E19226" s="17" t="s">
        <v>53</v>
      </c>
      <c r="F19226" s="18"/>
      <c r="G19226" s="36" t="str">
        <f>IF(ISNUMBER(F19226),C19226*F19226,"")</f>
        <v/>
      </c>
    </row>
    <row r="19227" spans="1:7" ht="12" customHeight="1" outlineLevel="2" x14ac:dyDescent="0.2">
      <c r="A19227" s="14" t="s">
        <v>37841</v>
      </c>
      <c r="B19227" s="15" t="s">
        <v>37842</v>
      </c>
      <c r="C19227" s="16">
        <f>223.8/(1+B2)</f>
        <v>223.8</v>
      </c>
      <c r="D19227" s="17" t="s">
        <v>53</v>
      </c>
      <c r="E19227" s="17"/>
      <c r="F19227" s="18"/>
      <c r="G19227" s="36" t="str">
        <f>IF(ISNUMBER(F19227),C19227*F19227,"")</f>
        <v/>
      </c>
    </row>
    <row r="19228" spans="1:7" ht="12" customHeight="1" outlineLevel="2" x14ac:dyDescent="0.2">
      <c r="A19228" s="14" t="s">
        <v>37843</v>
      </c>
      <c r="B19228" s="15" t="s">
        <v>37844</v>
      </c>
      <c r="C19228" s="16">
        <f>30.31/(1+B2)</f>
        <v>30.31</v>
      </c>
      <c r="D19228" s="17" t="s">
        <v>53</v>
      </c>
      <c r="E19228" s="17" t="s">
        <v>11</v>
      </c>
      <c r="F19228" s="18"/>
      <c r="G19228" s="36" t="str">
        <f>IF(ISNUMBER(F19228),C19228*F19228,"")</f>
        <v/>
      </c>
    </row>
    <row r="19229" spans="1:7" ht="12" customHeight="1" outlineLevel="2" x14ac:dyDescent="0.2">
      <c r="A19229" s="14" t="s">
        <v>37845</v>
      </c>
      <c r="B19229" s="15" t="s">
        <v>37846</v>
      </c>
      <c r="C19229" s="16">
        <f>42.08/(1+B2)</f>
        <v>42.08</v>
      </c>
      <c r="D19229" s="17" t="s">
        <v>53</v>
      </c>
      <c r="E19229" s="17" t="s">
        <v>53</v>
      </c>
      <c r="F19229" s="18"/>
      <c r="G19229" s="36" t="str">
        <f>IF(ISNUMBER(F19229),C19229*F19229,"")</f>
        <v/>
      </c>
    </row>
    <row r="19230" spans="1:7" ht="12" customHeight="1" outlineLevel="2" x14ac:dyDescent="0.2">
      <c r="A19230" s="14" t="s">
        <v>37847</v>
      </c>
      <c r="B19230" s="15" t="s">
        <v>37848</v>
      </c>
      <c r="C19230" s="16">
        <f>82.24/(1+B2)</f>
        <v>82.24</v>
      </c>
      <c r="D19230" s="17" t="s">
        <v>53</v>
      </c>
      <c r="E19230" s="17" t="s">
        <v>14</v>
      </c>
      <c r="F19230" s="18"/>
      <c r="G19230" s="36" t="str">
        <f>IF(ISNUMBER(F19230),C19230*F19230,"")</f>
        <v/>
      </c>
    </row>
    <row r="19231" spans="1:7" ht="12" customHeight="1" outlineLevel="2" x14ac:dyDescent="0.2">
      <c r="A19231" s="14" t="s">
        <v>37849</v>
      </c>
      <c r="B19231" s="15" t="s">
        <v>37850</v>
      </c>
      <c r="C19231" s="16">
        <f>82.13/(1+B2)</f>
        <v>82.13</v>
      </c>
      <c r="D19231" s="17" t="s">
        <v>53</v>
      </c>
      <c r="E19231" s="17" t="s">
        <v>53</v>
      </c>
      <c r="F19231" s="18"/>
      <c r="G19231" s="36" t="str">
        <f>IF(ISNUMBER(F19231),C19231*F19231,"")</f>
        <v/>
      </c>
    </row>
    <row r="19232" spans="1:7" s="1" customFormat="1" ht="15.95" customHeight="1" outlineLevel="1" x14ac:dyDescent="0.25">
      <c r="A19232" s="11"/>
      <c r="B19232" s="12" t="s">
        <v>37851</v>
      </c>
      <c r="C19232" s="13"/>
      <c r="D19232" s="13"/>
      <c r="E19232" s="13"/>
      <c r="F19232" s="13"/>
      <c r="G19232" s="35"/>
    </row>
    <row r="19233" spans="1:7" ht="12" customHeight="1" outlineLevel="2" x14ac:dyDescent="0.2">
      <c r="A19233" s="14" t="s">
        <v>37852</v>
      </c>
      <c r="B19233" s="15" t="s">
        <v>37853</v>
      </c>
      <c r="C19233" s="16">
        <f>123.55/(1+B2)</f>
        <v>123.55</v>
      </c>
      <c r="D19233" s="17" t="s">
        <v>11</v>
      </c>
      <c r="E19233" s="17"/>
      <c r="F19233" s="18"/>
      <c r="G19233" s="36" t="str">
        <f>IF(ISNUMBER(F19233),C19233*F19233,"")</f>
        <v/>
      </c>
    </row>
    <row r="19234" spans="1:7" ht="12" customHeight="1" outlineLevel="2" x14ac:dyDescent="0.2">
      <c r="A19234" s="14" t="s">
        <v>37854</v>
      </c>
      <c r="B19234" s="15" t="s">
        <v>37855</v>
      </c>
      <c r="C19234" s="16">
        <f>143.1/(1+B2)</f>
        <v>143.1</v>
      </c>
      <c r="D19234" s="17" t="s">
        <v>11</v>
      </c>
      <c r="E19234" s="17"/>
      <c r="F19234" s="18"/>
      <c r="G19234" s="36" t="str">
        <f>IF(ISNUMBER(F19234),C19234*F19234,"")</f>
        <v/>
      </c>
    </row>
    <row r="19235" spans="1:7" ht="12" customHeight="1" outlineLevel="2" x14ac:dyDescent="0.2">
      <c r="A19235" s="14" t="s">
        <v>37856</v>
      </c>
      <c r="B19235" s="15" t="s">
        <v>37857</v>
      </c>
      <c r="C19235" s="16">
        <f>74.74/(1+B2)</f>
        <v>74.739999999999995</v>
      </c>
      <c r="D19235" s="17" t="s">
        <v>14</v>
      </c>
      <c r="E19235" s="17"/>
      <c r="F19235" s="18"/>
      <c r="G19235" s="36" t="str">
        <f>IF(ISNUMBER(F19235),C19235*F19235,"")</f>
        <v/>
      </c>
    </row>
    <row r="19236" spans="1:7" ht="12" customHeight="1" outlineLevel="2" x14ac:dyDescent="0.2">
      <c r="A19236" s="14" t="s">
        <v>37858</v>
      </c>
      <c r="B19236" s="15" t="s">
        <v>37859</v>
      </c>
      <c r="C19236" s="16">
        <f>94.28/(1+B2)</f>
        <v>94.28</v>
      </c>
      <c r="D19236" s="17" t="s">
        <v>106</v>
      </c>
      <c r="E19236" s="17"/>
      <c r="F19236" s="18"/>
      <c r="G19236" s="36" t="str">
        <f>IF(ISNUMBER(F19236),C19236*F19236,"")</f>
        <v/>
      </c>
    </row>
    <row r="19237" spans="1:7" ht="12" customHeight="1" outlineLevel="2" x14ac:dyDescent="0.2">
      <c r="A19237" s="14" t="s">
        <v>37860</v>
      </c>
      <c r="B19237" s="15" t="s">
        <v>37861</v>
      </c>
      <c r="C19237" s="16">
        <f>181.73/(1+B2)</f>
        <v>181.73</v>
      </c>
      <c r="D19237" s="17" t="s">
        <v>53</v>
      </c>
      <c r="E19237" s="17"/>
      <c r="F19237" s="18"/>
      <c r="G19237" s="36" t="str">
        <f>IF(ISNUMBER(F19237),C19237*F19237,"")</f>
        <v/>
      </c>
    </row>
    <row r="19238" spans="1:7" s="1" customFormat="1" ht="15.95" customHeight="1" x14ac:dyDescent="0.25">
      <c r="A19238" s="8"/>
      <c r="B19238" s="9" t="s">
        <v>37862</v>
      </c>
      <c r="C19238" s="10"/>
      <c r="D19238" s="10"/>
      <c r="E19238" s="10"/>
      <c r="F19238" s="10"/>
      <c r="G19238" s="34"/>
    </row>
    <row r="19239" spans="1:7" s="1" customFormat="1" ht="15.95" customHeight="1" outlineLevel="1" x14ac:dyDescent="0.25">
      <c r="A19239" s="11"/>
      <c r="B19239" s="12" t="s">
        <v>37863</v>
      </c>
      <c r="C19239" s="13"/>
      <c r="D19239" s="13"/>
      <c r="E19239" s="13"/>
      <c r="F19239" s="13"/>
      <c r="G19239" s="35"/>
    </row>
    <row r="19240" spans="1:7" ht="12" customHeight="1" outlineLevel="2" x14ac:dyDescent="0.2">
      <c r="A19240" s="14" t="s">
        <v>37864</v>
      </c>
      <c r="B19240" s="15" t="s">
        <v>37865</v>
      </c>
      <c r="C19240" s="16">
        <f>109.31/(1+B2)</f>
        <v>109.31</v>
      </c>
      <c r="D19240" s="17" t="s">
        <v>11</v>
      </c>
      <c r="E19240" s="17" t="s">
        <v>11</v>
      </c>
      <c r="F19240" s="18"/>
      <c r="G19240" s="36" t="str">
        <f>IF(ISNUMBER(F19240),C19240*F19240,"")</f>
        <v/>
      </c>
    </row>
    <row r="19241" spans="1:7" ht="12" customHeight="1" outlineLevel="2" x14ac:dyDescent="0.2">
      <c r="A19241" s="14" t="s">
        <v>37866</v>
      </c>
      <c r="B19241" s="15" t="s">
        <v>37867</v>
      </c>
      <c r="C19241" s="16">
        <f>228.79/(1+B2)</f>
        <v>228.79</v>
      </c>
      <c r="D19241" s="17" t="s">
        <v>11</v>
      </c>
      <c r="E19241" s="17"/>
      <c r="F19241" s="18"/>
      <c r="G19241" s="36" t="str">
        <f>IF(ISNUMBER(F19241),C19241*F19241,"")</f>
        <v/>
      </c>
    </row>
    <row r="19242" spans="1:7" ht="12" customHeight="1" outlineLevel="2" x14ac:dyDescent="0.2">
      <c r="A19242" s="14" t="s">
        <v>37868</v>
      </c>
      <c r="B19242" s="15" t="s">
        <v>37869</v>
      </c>
      <c r="C19242" s="16">
        <f>309.3/(1+B2)</f>
        <v>309.3</v>
      </c>
      <c r="D19242" s="17" t="s">
        <v>11</v>
      </c>
      <c r="E19242" s="17" t="s">
        <v>11</v>
      </c>
      <c r="F19242" s="18"/>
      <c r="G19242" s="36" t="str">
        <f>IF(ISNUMBER(F19242),C19242*F19242,"")</f>
        <v/>
      </c>
    </row>
    <row r="19243" spans="1:7" ht="12" customHeight="1" outlineLevel="2" x14ac:dyDescent="0.2">
      <c r="A19243" s="14" t="s">
        <v>37870</v>
      </c>
      <c r="B19243" s="15" t="s">
        <v>37871</v>
      </c>
      <c r="C19243" s="16">
        <f>253.09/(1+B2)</f>
        <v>253.09</v>
      </c>
      <c r="D19243" s="17" t="s">
        <v>11</v>
      </c>
      <c r="E19243" s="17" t="s">
        <v>11</v>
      </c>
      <c r="F19243" s="18"/>
      <c r="G19243" s="36" t="str">
        <f>IF(ISNUMBER(F19243),C19243*F19243,"")</f>
        <v/>
      </c>
    </row>
    <row r="19244" spans="1:7" ht="12" customHeight="1" outlineLevel="2" x14ac:dyDescent="0.2">
      <c r="A19244" s="14" t="s">
        <v>37872</v>
      </c>
      <c r="B19244" s="15" t="s">
        <v>37873</v>
      </c>
      <c r="C19244" s="16">
        <f>77.78/(1+B2)</f>
        <v>77.78</v>
      </c>
      <c r="D19244" s="17" t="s">
        <v>11</v>
      </c>
      <c r="E19244" s="17" t="s">
        <v>14</v>
      </c>
      <c r="F19244" s="18"/>
      <c r="G19244" s="36" t="str">
        <f>IF(ISNUMBER(F19244),C19244*F19244,"")</f>
        <v/>
      </c>
    </row>
    <row r="19245" spans="1:7" ht="12" customHeight="1" outlineLevel="2" x14ac:dyDescent="0.2">
      <c r="A19245" s="14" t="s">
        <v>37874</v>
      </c>
      <c r="B19245" s="15" t="s">
        <v>37875</v>
      </c>
      <c r="C19245" s="16">
        <f>278.64/(1+B2)</f>
        <v>278.64</v>
      </c>
      <c r="D19245" s="17" t="s">
        <v>11</v>
      </c>
      <c r="E19245" s="17" t="s">
        <v>11</v>
      </c>
      <c r="F19245" s="18"/>
      <c r="G19245" s="36" t="str">
        <f>IF(ISNUMBER(F19245),C19245*F19245,"")</f>
        <v/>
      </c>
    </row>
    <row r="19246" spans="1:7" ht="12" customHeight="1" outlineLevel="2" x14ac:dyDescent="0.2">
      <c r="A19246" s="14" t="s">
        <v>37876</v>
      </c>
      <c r="B19246" s="15" t="s">
        <v>37877</v>
      </c>
      <c r="C19246" s="16">
        <f>259.61/(1+B2)</f>
        <v>259.61</v>
      </c>
      <c r="D19246" s="17" t="s">
        <v>11</v>
      </c>
      <c r="E19246" s="17" t="s">
        <v>11</v>
      </c>
      <c r="F19246" s="18"/>
      <c r="G19246" s="36" t="str">
        <f>IF(ISNUMBER(F19246),C19246*F19246,"")</f>
        <v/>
      </c>
    </row>
    <row r="19247" spans="1:7" ht="12" customHeight="1" outlineLevel="2" x14ac:dyDescent="0.2">
      <c r="A19247" s="14" t="s">
        <v>37878</v>
      </c>
      <c r="B19247" s="15" t="s">
        <v>37879</v>
      </c>
      <c r="C19247" s="16">
        <f>269.72/(1+B2)</f>
        <v>269.72000000000003</v>
      </c>
      <c r="D19247" s="17" t="s">
        <v>11</v>
      </c>
      <c r="E19247" s="17" t="s">
        <v>11</v>
      </c>
      <c r="F19247" s="18"/>
      <c r="G19247" s="36" t="str">
        <f>IF(ISNUMBER(F19247),C19247*F19247,"")</f>
        <v/>
      </c>
    </row>
    <row r="19248" spans="1:7" ht="12" customHeight="1" outlineLevel="2" x14ac:dyDescent="0.2">
      <c r="A19248" s="14" t="s">
        <v>37880</v>
      </c>
      <c r="B19248" s="15" t="s">
        <v>37881</v>
      </c>
      <c r="C19248" s="16">
        <f>167.33/(1+B2)</f>
        <v>167.33</v>
      </c>
      <c r="D19248" s="17" t="s">
        <v>11</v>
      </c>
      <c r="E19248" s="17" t="s">
        <v>11</v>
      </c>
      <c r="F19248" s="18"/>
      <c r="G19248" s="36" t="str">
        <f>IF(ISNUMBER(F19248),C19248*F19248,"")</f>
        <v/>
      </c>
    </row>
    <row r="19249" spans="1:7" ht="12" customHeight="1" outlineLevel="2" x14ac:dyDescent="0.2">
      <c r="A19249" s="14" t="s">
        <v>37882</v>
      </c>
      <c r="B19249" s="15" t="s">
        <v>37883</v>
      </c>
      <c r="C19249" s="16">
        <f>168.48/(1+B2)</f>
        <v>168.48</v>
      </c>
      <c r="D19249" s="17" t="s">
        <v>11</v>
      </c>
      <c r="E19249" s="17" t="s">
        <v>11</v>
      </c>
      <c r="F19249" s="18"/>
      <c r="G19249" s="36" t="str">
        <f>IF(ISNUMBER(F19249),C19249*F19249,"")</f>
        <v/>
      </c>
    </row>
    <row r="19250" spans="1:7" ht="12" customHeight="1" outlineLevel="2" x14ac:dyDescent="0.2">
      <c r="A19250" s="14" t="s">
        <v>37884</v>
      </c>
      <c r="B19250" s="15" t="s">
        <v>37885</v>
      </c>
      <c r="C19250" s="16">
        <f>306.4/(1+B2)</f>
        <v>306.39999999999998</v>
      </c>
      <c r="D19250" s="17" t="s">
        <v>11</v>
      </c>
      <c r="E19250" s="17" t="s">
        <v>11</v>
      </c>
      <c r="F19250" s="18"/>
      <c r="G19250" s="36" t="str">
        <f>IF(ISNUMBER(F19250),C19250*F19250,"")</f>
        <v/>
      </c>
    </row>
    <row r="19251" spans="1:7" ht="12" customHeight="1" outlineLevel="2" x14ac:dyDescent="0.2">
      <c r="A19251" s="14" t="s">
        <v>37886</v>
      </c>
      <c r="B19251" s="15" t="s">
        <v>37887</v>
      </c>
      <c r="C19251" s="16">
        <f>307.79/(1+B2)</f>
        <v>307.79000000000002</v>
      </c>
      <c r="D19251" s="17" t="s">
        <v>11</v>
      </c>
      <c r="E19251" s="17" t="s">
        <v>11</v>
      </c>
      <c r="F19251" s="18"/>
      <c r="G19251" s="36" t="str">
        <f>IF(ISNUMBER(F19251),C19251*F19251,"")</f>
        <v/>
      </c>
    </row>
    <row r="19252" spans="1:7" ht="12" customHeight="1" outlineLevel="2" x14ac:dyDescent="0.2">
      <c r="A19252" s="14" t="s">
        <v>37888</v>
      </c>
      <c r="B19252" s="15" t="s">
        <v>37889</v>
      </c>
      <c r="C19252" s="16">
        <f>306.4/(1+B2)</f>
        <v>306.39999999999998</v>
      </c>
      <c r="D19252" s="17" t="s">
        <v>11</v>
      </c>
      <c r="E19252" s="17" t="s">
        <v>11</v>
      </c>
      <c r="F19252" s="18"/>
      <c r="G19252" s="36" t="str">
        <f>IF(ISNUMBER(F19252),C19252*F19252,"")</f>
        <v/>
      </c>
    </row>
    <row r="19253" spans="1:7" ht="12" customHeight="1" outlineLevel="2" x14ac:dyDescent="0.2">
      <c r="A19253" s="14" t="s">
        <v>37890</v>
      </c>
      <c r="B19253" s="15" t="s">
        <v>37891</v>
      </c>
      <c r="C19253" s="16">
        <f>306.4/(1+B2)</f>
        <v>306.39999999999998</v>
      </c>
      <c r="D19253" s="17" t="s">
        <v>11</v>
      </c>
      <c r="E19253" s="17"/>
      <c r="F19253" s="18"/>
      <c r="G19253" s="36" t="str">
        <f>IF(ISNUMBER(F19253),C19253*F19253,"")</f>
        <v/>
      </c>
    </row>
    <row r="19254" spans="1:7" ht="12" customHeight="1" outlineLevel="2" x14ac:dyDescent="0.2">
      <c r="A19254" s="14" t="s">
        <v>37892</v>
      </c>
      <c r="B19254" s="15" t="s">
        <v>37893</v>
      </c>
      <c r="C19254" s="16">
        <f>331.5/(1+B2)</f>
        <v>331.5</v>
      </c>
      <c r="D19254" s="17" t="s">
        <v>11</v>
      </c>
      <c r="E19254" s="17" t="s">
        <v>11</v>
      </c>
      <c r="F19254" s="18"/>
      <c r="G19254" s="36" t="str">
        <f>IF(ISNUMBER(F19254),C19254*F19254,"")</f>
        <v/>
      </c>
    </row>
    <row r="19255" spans="1:7" ht="12" customHeight="1" outlineLevel="2" x14ac:dyDescent="0.2">
      <c r="A19255" s="14" t="s">
        <v>37894</v>
      </c>
      <c r="B19255" s="15" t="s">
        <v>37895</v>
      </c>
      <c r="C19255" s="16">
        <f>334.66/(1+B2)</f>
        <v>334.66</v>
      </c>
      <c r="D19255" s="17" t="s">
        <v>11</v>
      </c>
      <c r="E19255" s="17"/>
      <c r="F19255" s="18"/>
      <c r="G19255" s="36" t="str">
        <f>IF(ISNUMBER(F19255),C19255*F19255,"")</f>
        <v/>
      </c>
    </row>
    <row r="19256" spans="1:7" ht="12" customHeight="1" outlineLevel="2" x14ac:dyDescent="0.2">
      <c r="A19256" s="14" t="s">
        <v>37896</v>
      </c>
      <c r="B19256" s="15" t="s">
        <v>37897</v>
      </c>
      <c r="C19256" s="16">
        <f>345.59/(1+B2)</f>
        <v>345.59</v>
      </c>
      <c r="D19256" s="17" t="s">
        <v>11</v>
      </c>
      <c r="E19256" s="17"/>
      <c r="F19256" s="18"/>
      <c r="G19256" s="36" t="str">
        <f>IF(ISNUMBER(F19256),C19256*F19256,"")</f>
        <v/>
      </c>
    </row>
    <row r="19257" spans="1:7" ht="12" customHeight="1" outlineLevel="2" x14ac:dyDescent="0.2">
      <c r="A19257" s="14" t="s">
        <v>37898</v>
      </c>
      <c r="B19257" s="15" t="s">
        <v>37899</v>
      </c>
      <c r="C19257" s="16">
        <f>346.26/(1+B2)</f>
        <v>346.26</v>
      </c>
      <c r="D19257" s="17" t="s">
        <v>11</v>
      </c>
      <c r="E19257" s="17"/>
      <c r="F19257" s="18"/>
      <c r="G19257" s="36" t="str">
        <f>IF(ISNUMBER(F19257),C19257*F19257,"")</f>
        <v/>
      </c>
    </row>
    <row r="19258" spans="1:7" ht="12" customHeight="1" outlineLevel="2" x14ac:dyDescent="0.2">
      <c r="A19258" s="14" t="s">
        <v>37900</v>
      </c>
      <c r="B19258" s="15" t="s">
        <v>37901</v>
      </c>
      <c r="C19258" s="16">
        <f>92.05/(1+B2)</f>
        <v>92.05</v>
      </c>
      <c r="D19258" s="17" t="s">
        <v>11</v>
      </c>
      <c r="E19258" s="17" t="s">
        <v>11</v>
      </c>
      <c r="F19258" s="18"/>
      <c r="G19258" s="36" t="str">
        <f>IF(ISNUMBER(F19258),C19258*F19258,"")</f>
        <v/>
      </c>
    </row>
    <row r="19259" spans="1:7" ht="12" customHeight="1" outlineLevel="2" x14ac:dyDescent="0.2">
      <c r="A19259" s="14" t="s">
        <v>37902</v>
      </c>
      <c r="B19259" s="15" t="s">
        <v>37903</v>
      </c>
      <c r="C19259" s="16">
        <f>700.4/(1+B2)</f>
        <v>700.4</v>
      </c>
      <c r="D19259" s="17" t="s">
        <v>11</v>
      </c>
      <c r="E19259" s="17" t="s">
        <v>11</v>
      </c>
      <c r="F19259" s="18"/>
      <c r="G19259" s="36" t="str">
        <f>IF(ISNUMBER(F19259),C19259*F19259,"")</f>
        <v/>
      </c>
    </row>
    <row r="19260" spans="1:7" ht="12" customHeight="1" outlineLevel="2" x14ac:dyDescent="0.2">
      <c r="A19260" s="14" t="s">
        <v>37904</v>
      </c>
      <c r="B19260" s="15" t="s">
        <v>37905</v>
      </c>
      <c r="C19260" s="16">
        <f>383.74/(1+B2)</f>
        <v>383.74</v>
      </c>
      <c r="D19260" s="17" t="s">
        <v>11</v>
      </c>
      <c r="E19260" s="17" t="s">
        <v>11</v>
      </c>
      <c r="F19260" s="18"/>
      <c r="G19260" s="36" t="str">
        <f>IF(ISNUMBER(F19260),C19260*F19260,"")</f>
        <v/>
      </c>
    </row>
    <row r="19261" spans="1:7" ht="12" customHeight="1" outlineLevel="2" x14ac:dyDescent="0.2">
      <c r="A19261" s="14" t="s">
        <v>37906</v>
      </c>
      <c r="B19261" s="15" t="s">
        <v>37907</v>
      </c>
      <c r="C19261" s="16">
        <f>383.74/(1+B2)</f>
        <v>383.74</v>
      </c>
      <c r="D19261" s="17" t="s">
        <v>11</v>
      </c>
      <c r="E19261" s="17" t="s">
        <v>11</v>
      </c>
      <c r="F19261" s="18"/>
      <c r="G19261" s="36" t="str">
        <f>IF(ISNUMBER(F19261),C19261*F19261,"")</f>
        <v/>
      </c>
    </row>
    <row r="19262" spans="1:7" ht="12" customHeight="1" outlineLevel="2" x14ac:dyDescent="0.2">
      <c r="A19262" s="14" t="s">
        <v>37908</v>
      </c>
      <c r="B19262" s="15" t="s">
        <v>37909</v>
      </c>
      <c r="C19262" s="16">
        <f>383.74/(1+B2)</f>
        <v>383.74</v>
      </c>
      <c r="D19262" s="17" t="s">
        <v>11</v>
      </c>
      <c r="E19262" s="17" t="s">
        <v>11</v>
      </c>
      <c r="F19262" s="18"/>
      <c r="G19262" s="36" t="str">
        <f>IF(ISNUMBER(F19262),C19262*F19262,"")</f>
        <v/>
      </c>
    </row>
    <row r="19263" spans="1:7" ht="12" customHeight="1" outlineLevel="2" x14ac:dyDescent="0.2">
      <c r="A19263" s="14" t="s">
        <v>37910</v>
      </c>
      <c r="B19263" s="15" t="s">
        <v>37911</v>
      </c>
      <c r="C19263" s="16">
        <f>456.56/(1+B2)</f>
        <v>456.56</v>
      </c>
      <c r="D19263" s="17" t="s">
        <v>11</v>
      </c>
      <c r="E19263" s="17" t="s">
        <v>11</v>
      </c>
      <c r="F19263" s="18"/>
      <c r="G19263" s="36" t="str">
        <f>IF(ISNUMBER(F19263),C19263*F19263,"")</f>
        <v/>
      </c>
    </row>
    <row r="19264" spans="1:7" ht="12" customHeight="1" outlineLevel="2" x14ac:dyDescent="0.2">
      <c r="A19264" s="14" t="s">
        <v>37912</v>
      </c>
      <c r="B19264" s="15" t="s">
        <v>37913</v>
      </c>
      <c r="C19264" s="16">
        <f>456.56/(1+B2)</f>
        <v>456.56</v>
      </c>
      <c r="D19264" s="17" t="s">
        <v>11</v>
      </c>
      <c r="E19264" s="17" t="s">
        <v>11</v>
      </c>
      <c r="F19264" s="18"/>
      <c r="G19264" s="36" t="str">
        <f>IF(ISNUMBER(F19264),C19264*F19264,"")</f>
        <v/>
      </c>
    </row>
    <row r="19265" spans="1:7" ht="12" customHeight="1" outlineLevel="2" x14ac:dyDescent="0.2">
      <c r="A19265" s="14" t="s">
        <v>37914</v>
      </c>
      <c r="B19265" s="15" t="s">
        <v>37915</v>
      </c>
      <c r="C19265" s="16">
        <f>456.56/(1+B2)</f>
        <v>456.56</v>
      </c>
      <c r="D19265" s="17" t="s">
        <v>11</v>
      </c>
      <c r="E19265" s="17" t="s">
        <v>11</v>
      </c>
      <c r="F19265" s="18"/>
      <c r="G19265" s="36" t="str">
        <f>IF(ISNUMBER(F19265),C19265*F19265,"")</f>
        <v/>
      </c>
    </row>
    <row r="19266" spans="1:7" ht="12" customHeight="1" outlineLevel="2" x14ac:dyDescent="0.2">
      <c r="A19266" s="14" t="s">
        <v>37916</v>
      </c>
      <c r="B19266" s="15" t="s">
        <v>37917</v>
      </c>
      <c r="C19266" s="16">
        <f>449.26/(1+B2)</f>
        <v>449.26</v>
      </c>
      <c r="D19266" s="17" t="s">
        <v>11</v>
      </c>
      <c r="E19266" s="17"/>
      <c r="F19266" s="18"/>
      <c r="G19266" s="36" t="str">
        <f>IF(ISNUMBER(F19266),C19266*F19266,"")</f>
        <v/>
      </c>
    </row>
    <row r="19267" spans="1:7" ht="12" customHeight="1" outlineLevel="2" x14ac:dyDescent="0.2">
      <c r="A19267" s="14" t="s">
        <v>37918</v>
      </c>
      <c r="B19267" s="15" t="s">
        <v>37919</v>
      </c>
      <c r="C19267" s="16">
        <f>456.56/(1+B2)</f>
        <v>456.56</v>
      </c>
      <c r="D19267" s="17" t="s">
        <v>11</v>
      </c>
      <c r="E19267" s="17" t="s">
        <v>11</v>
      </c>
      <c r="F19267" s="18"/>
      <c r="G19267" s="36" t="str">
        <f>IF(ISNUMBER(F19267),C19267*F19267,"")</f>
        <v/>
      </c>
    </row>
    <row r="19268" spans="1:7" ht="12" customHeight="1" outlineLevel="2" x14ac:dyDescent="0.2">
      <c r="A19268" s="14" t="s">
        <v>37920</v>
      </c>
      <c r="B19268" s="15" t="s">
        <v>37921</v>
      </c>
      <c r="C19268" s="16">
        <f>136.21/(1+B2)</f>
        <v>136.21</v>
      </c>
      <c r="D19268" s="17" t="s">
        <v>11</v>
      </c>
      <c r="E19268" s="17" t="s">
        <v>11</v>
      </c>
      <c r="F19268" s="18"/>
      <c r="G19268" s="36" t="str">
        <f>IF(ISNUMBER(F19268),C19268*F19268,"")</f>
        <v/>
      </c>
    </row>
    <row r="19269" spans="1:7" ht="12" customHeight="1" outlineLevel="2" x14ac:dyDescent="0.2">
      <c r="A19269" s="14" t="s">
        <v>37922</v>
      </c>
      <c r="B19269" s="15" t="s">
        <v>37923</v>
      </c>
      <c r="C19269" s="16">
        <f>335.83/(1+B2)</f>
        <v>335.83</v>
      </c>
      <c r="D19269" s="17" t="s">
        <v>11</v>
      </c>
      <c r="E19269" s="17" t="s">
        <v>11</v>
      </c>
      <c r="F19269" s="18"/>
      <c r="G19269" s="36" t="str">
        <f>IF(ISNUMBER(F19269),C19269*F19269,"")</f>
        <v/>
      </c>
    </row>
    <row r="19270" spans="1:7" ht="12" customHeight="1" outlineLevel="2" x14ac:dyDescent="0.2">
      <c r="A19270" s="14" t="s">
        <v>37924</v>
      </c>
      <c r="B19270" s="15" t="s">
        <v>37925</v>
      </c>
      <c r="C19270" s="16">
        <f>456.56/(1+B2)</f>
        <v>456.56</v>
      </c>
      <c r="D19270" s="17" t="s">
        <v>11</v>
      </c>
      <c r="E19270" s="17" t="s">
        <v>11</v>
      </c>
      <c r="F19270" s="18"/>
      <c r="G19270" s="36" t="str">
        <f>IF(ISNUMBER(F19270),C19270*F19270,"")</f>
        <v/>
      </c>
    </row>
    <row r="19271" spans="1:7" ht="12" customHeight="1" outlineLevel="2" x14ac:dyDescent="0.2">
      <c r="A19271" s="14" t="s">
        <v>37926</v>
      </c>
      <c r="B19271" s="15" t="s">
        <v>37927</v>
      </c>
      <c r="C19271" s="16">
        <f>456.56/(1+B2)</f>
        <v>456.56</v>
      </c>
      <c r="D19271" s="17" t="s">
        <v>11</v>
      </c>
      <c r="E19271" s="17"/>
      <c r="F19271" s="18"/>
      <c r="G19271" s="36" t="str">
        <f>IF(ISNUMBER(F19271),C19271*F19271,"")</f>
        <v/>
      </c>
    </row>
    <row r="19272" spans="1:7" ht="12" customHeight="1" outlineLevel="2" x14ac:dyDescent="0.2">
      <c r="A19272" s="14" t="s">
        <v>37928</v>
      </c>
      <c r="B19272" s="15" t="s">
        <v>37929</v>
      </c>
      <c r="C19272" s="16">
        <f>316.37/(1+B2)</f>
        <v>316.37</v>
      </c>
      <c r="D19272" s="17" t="s">
        <v>11</v>
      </c>
      <c r="E19272" s="17" t="s">
        <v>11</v>
      </c>
      <c r="F19272" s="18"/>
      <c r="G19272" s="36" t="str">
        <f>IF(ISNUMBER(F19272),C19272*F19272,"")</f>
        <v/>
      </c>
    </row>
    <row r="19273" spans="1:7" ht="12" customHeight="1" outlineLevel="2" x14ac:dyDescent="0.2">
      <c r="A19273" s="14" t="s">
        <v>37930</v>
      </c>
      <c r="B19273" s="15" t="s">
        <v>37931</v>
      </c>
      <c r="C19273" s="16">
        <f>243.34/(1+B2)</f>
        <v>243.34</v>
      </c>
      <c r="D19273" s="17" t="s">
        <v>11</v>
      </c>
      <c r="E19273" s="17" t="s">
        <v>11</v>
      </c>
      <c r="F19273" s="18"/>
      <c r="G19273" s="36" t="str">
        <f>IF(ISNUMBER(F19273),C19273*F19273,"")</f>
        <v/>
      </c>
    </row>
    <row r="19274" spans="1:7" ht="12" customHeight="1" outlineLevel="2" x14ac:dyDescent="0.2">
      <c r="A19274" s="14" t="s">
        <v>37932</v>
      </c>
      <c r="B19274" s="15" t="s">
        <v>37933</v>
      </c>
      <c r="C19274" s="16">
        <f>225.11/(1+B2)</f>
        <v>225.11</v>
      </c>
      <c r="D19274" s="17" t="s">
        <v>11</v>
      </c>
      <c r="E19274" s="17" t="s">
        <v>14</v>
      </c>
      <c r="F19274" s="18"/>
      <c r="G19274" s="36" t="str">
        <f>IF(ISNUMBER(F19274),C19274*F19274,"")</f>
        <v/>
      </c>
    </row>
    <row r="19275" spans="1:7" ht="12" customHeight="1" outlineLevel="2" x14ac:dyDescent="0.2">
      <c r="A19275" s="14" t="s">
        <v>37934</v>
      </c>
      <c r="B19275" s="15" t="s">
        <v>37935</v>
      </c>
      <c r="C19275" s="16">
        <f>519.04/(1+B2)</f>
        <v>519.04</v>
      </c>
      <c r="D19275" s="17" t="s">
        <v>11</v>
      </c>
      <c r="E19275" s="17"/>
      <c r="F19275" s="18"/>
      <c r="G19275" s="36" t="str">
        <f>IF(ISNUMBER(F19275),C19275*F19275,"")</f>
        <v/>
      </c>
    </row>
    <row r="19276" spans="1:7" ht="24" customHeight="1" outlineLevel="2" x14ac:dyDescent="0.2">
      <c r="A19276" s="14" t="s">
        <v>37936</v>
      </c>
      <c r="B19276" s="15" t="s">
        <v>37937</v>
      </c>
      <c r="C19276" s="16">
        <f>282.23/(1+B2)</f>
        <v>282.23</v>
      </c>
      <c r="D19276" s="17" t="s">
        <v>11</v>
      </c>
      <c r="E19276" s="17" t="s">
        <v>11</v>
      </c>
      <c r="F19276" s="18"/>
      <c r="G19276" s="36" t="str">
        <f>IF(ISNUMBER(F19276),C19276*F19276,"")</f>
        <v/>
      </c>
    </row>
    <row r="19277" spans="1:7" ht="12" customHeight="1" outlineLevel="2" x14ac:dyDescent="0.2">
      <c r="A19277" s="14" t="s">
        <v>37938</v>
      </c>
      <c r="B19277" s="15" t="s">
        <v>37939</v>
      </c>
      <c r="C19277" s="16">
        <f>226.87/(1+B2)</f>
        <v>226.87</v>
      </c>
      <c r="D19277" s="17" t="s">
        <v>11</v>
      </c>
      <c r="E19277" s="17" t="s">
        <v>11</v>
      </c>
      <c r="F19277" s="18"/>
      <c r="G19277" s="36" t="str">
        <f>IF(ISNUMBER(F19277),C19277*F19277,"")</f>
        <v/>
      </c>
    </row>
    <row r="19278" spans="1:7" ht="12" customHeight="1" outlineLevel="2" x14ac:dyDescent="0.2">
      <c r="A19278" s="14" t="s">
        <v>37940</v>
      </c>
      <c r="B19278" s="15" t="s">
        <v>37941</v>
      </c>
      <c r="C19278" s="16">
        <f>234.47/(1+B2)</f>
        <v>234.47</v>
      </c>
      <c r="D19278" s="17" t="s">
        <v>11</v>
      </c>
      <c r="E19278" s="17" t="s">
        <v>11</v>
      </c>
      <c r="F19278" s="18"/>
      <c r="G19278" s="36" t="str">
        <f>IF(ISNUMBER(F19278),C19278*F19278,"")</f>
        <v/>
      </c>
    </row>
    <row r="19279" spans="1:7" ht="24" customHeight="1" outlineLevel="2" x14ac:dyDescent="0.2">
      <c r="A19279" s="14" t="s">
        <v>37942</v>
      </c>
      <c r="B19279" s="15" t="s">
        <v>37943</v>
      </c>
      <c r="C19279" s="16">
        <f>416.18/(1+B2)</f>
        <v>416.18</v>
      </c>
      <c r="D19279" s="17" t="s">
        <v>11</v>
      </c>
      <c r="E19279" s="17"/>
      <c r="F19279" s="18"/>
      <c r="G19279" s="36" t="str">
        <f>IF(ISNUMBER(F19279),C19279*F19279,"")</f>
        <v/>
      </c>
    </row>
    <row r="19280" spans="1:7" ht="24" customHeight="1" outlineLevel="2" x14ac:dyDescent="0.2">
      <c r="A19280" s="14" t="s">
        <v>37944</v>
      </c>
      <c r="B19280" s="15" t="s">
        <v>37945</v>
      </c>
      <c r="C19280" s="16">
        <f>416.18/(1+B2)</f>
        <v>416.18</v>
      </c>
      <c r="D19280" s="17" t="s">
        <v>11</v>
      </c>
      <c r="E19280" s="17" t="s">
        <v>53</v>
      </c>
      <c r="F19280" s="18"/>
      <c r="G19280" s="36" t="str">
        <f>IF(ISNUMBER(F19280),C19280*F19280,"")</f>
        <v/>
      </c>
    </row>
    <row r="19281" spans="1:7" ht="24" customHeight="1" outlineLevel="2" x14ac:dyDescent="0.2">
      <c r="A19281" s="14" t="s">
        <v>37946</v>
      </c>
      <c r="B19281" s="15" t="s">
        <v>37947</v>
      </c>
      <c r="C19281" s="16">
        <f>416.18/(1+B2)</f>
        <v>416.18</v>
      </c>
      <c r="D19281" s="17" t="s">
        <v>11</v>
      </c>
      <c r="E19281" s="17"/>
      <c r="F19281" s="18"/>
      <c r="G19281" s="36" t="str">
        <f>IF(ISNUMBER(F19281),C19281*F19281,"")</f>
        <v/>
      </c>
    </row>
    <row r="19282" spans="1:7" ht="12" customHeight="1" outlineLevel="2" x14ac:dyDescent="0.2">
      <c r="A19282" s="14" t="s">
        <v>37948</v>
      </c>
      <c r="B19282" s="15" t="s">
        <v>37949</v>
      </c>
      <c r="C19282" s="16">
        <f>432.15/(1+B2)</f>
        <v>432.15</v>
      </c>
      <c r="D19282" s="17" t="s">
        <v>11</v>
      </c>
      <c r="E19282" s="17"/>
      <c r="F19282" s="18"/>
      <c r="G19282" s="36" t="str">
        <f>IF(ISNUMBER(F19282),C19282*F19282,"")</f>
        <v/>
      </c>
    </row>
    <row r="19283" spans="1:7" ht="12" customHeight="1" outlineLevel="2" x14ac:dyDescent="0.2">
      <c r="A19283" s="14" t="s">
        <v>37950</v>
      </c>
      <c r="B19283" s="15" t="s">
        <v>37951</v>
      </c>
      <c r="C19283" s="16">
        <f>245.51/(1+B2)</f>
        <v>245.51</v>
      </c>
      <c r="D19283" s="17" t="s">
        <v>11</v>
      </c>
      <c r="E19283" s="17"/>
      <c r="F19283" s="18"/>
      <c r="G19283" s="36" t="str">
        <f>IF(ISNUMBER(F19283),C19283*F19283,"")</f>
        <v/>
      </c>
    </row>
    <row r="19284" spans="1:7" ht="12" customHeight="1" outlineLevel="2" x14ac:dyDescent="0.2">
      <c r="A19284" s="14" t="s">
        <v>37952</v>
      </c>
      <c r="B19284" s="15" t="s">
        <v>37953</v>
      </c>
      <c r="C19284" s="16">
        <f>268.36/(1+B2)</f>
        <v>268.36</v>
      </c>
      <c r="D19284" s="17" t="s">
        <v>11</v>
      </c>
      <c r="E19284" s="17"/>
      <c r="F19284" s="18"/>
      <c r="G19284" s="36" t="str">
        <f>IF(ISNUMBER(F19284),C19284*F19284,"")</f>
        <v/>
      </c>
    </row>
    <row r="19285" spans="1:7" ht="12" customHeight="1" outlineLevel="2" x14ac:dyDescent="0.2">
      <c r="A19285" s="14" t="s">
        <v>37954</v>
      </c>
      <c r="B19285" s="15" t="s">
        <v>37955</v>
      </c>
      <c r="C19285" s="16">
        <f>164.75/(1+B2)</f>
        <v>164.75</v>
      </c>
      <c r="D19285" s="17" t="s">
        <v>11</v>
      </c>
      <c r="E19285" s="17" t="s">
        <v>11</v>
      </c>
      <c r="F19285" s="18"/>
      <c r="G19285" s="36" t="str">
        <f>IF(ISNUMBER(F19285),C19285*F19285,"")</f>
        <v/>
      </c>
    </row>
    <row r="19286" spans="1:7" ht="12" customHeight="1" outlineLevel="2" x14ac:dyDescent="0.2">
      <c r="A19286" s="14" t="s">
        <v>37956</v>
      </c>
      <c r="B19286" s="15" t="s">
        <v>37957</v>
      </c>
      <c r="C19286" s="16">
        <f>268.36/(1+B2)</f>
        <v>268.36</v>
      </c>
      <c r="D19286" s="17" t="s">
        <v>11</v>
      </c>
      <c r="E19286" s="17" t="s">
        <v>11</v>
      </c>
      <c r="F19286" s="18"/>
      <c r="G19286" s="36" t="str">
        <f>IF(ISNUMBER(F19286),C19286*F19286,"")</f>
        <v/>
      </c>
    </row>
    <row r="19287" spans="1:7" ht="12" customHeight="1" outlineLevel="2" x14ac:dyDescent="0.2">
      <c r="A19287" s="14" t="s">
        <v>37958</v>
      </c>
      <c r="B19287" s="15" t="s">
        <v>37959</v>
      </c>
      <c r="C19287" s="16">
        <f>222.92/(1+B2)</f>
        <v>222.92</v>
      </c>
      <c r="D19287" s="17" t="s">
        <v>11</v>
      </c>
      <c r="E19287" s="17" t="s">
        <v>11</v>
      </c>
      <c r="F19287" s="18"/>
      <c r="G19287" s="36" t="str">
        <f>IF(ISNUMBER(F19287),C19287*F19287,"")</f>
        <v/>
      </c>
    </row>
    <row r="19288" spans="1:7" ht="12" customHeight="1" outlineLevel="2" x14ac:dyDescent="0.2">
      <c r="A19288" s="14" t="s">
        <v>37960</v>
      </c>
      <c r="B19288" s="15" t="s">
        <v>37961</v>
      </c>
      <c r="C19288" s="16">
        <f>222.92/(1+B2)</f>
        <v>222.92</v>
      </c>
      <c r="D19288" s="17" t="s">
        <v>11</v>
      </c>
      <c r="E19288" s="17" t="s">
        <v>11</v>
      </c>
      <c r="F19288" s="18"/>
      <c r="G19288" s="36" t="str">
        <f>IF(ISNUMBER(F19288),C19288*F19288,"")</f>
        <v/>
      </c>
    </row>
    <row r="19289" spans="1:7" ht="24" customHeight="1" outlineLevel="2" x14ac:dyDescent="0.2">
      <c r="A19289" s="14" t="s">
        <v>37962</v>
      </c>
      <c r="B19289" s="15" t="s">
        <v>37963</v>
      </c>
      <c r="C19289" s="16">
        <f>254.76/(1+B2)</f>
        <v>254.76</v>
      </c>
      <c r="D19289" s="17" t="s">
        <v>11</v>
      </c>
      <c r="E19289" s="17" t="s">
        <v>11</v>
      </c>
      <c r="F19289" s="18"/>
      <c r="G19289" s="36" t="str">
        <f>IF(ISNUMBER(F19289),C19289*F19289,"")</f>
        <v/>
      </c>
    </row>
    <row r="19290" spans="1:7" ht="12" customHeight="1" outlineLevel="2" x14ac:dyDescent="0.2">
      <c r="A19290" s="14" t="s">
        <v>37964</v>
      </c>
      <c r="B19290" s="15" t="s">
        <v>37965</v>
      </c>
      <c r="C19290" s="16">
        <f>245.51/(1+B2)</f>
        <v>245.51</v>
      </c>
      <c r="D19290" s="17" t="s">
        <v>11</v>
      </c>
      <c r="E19290" s="17"/>
      <c r="F19290" s="18"/>
      <c r="G19290" s="36" t="str">
        <f>IF(ISNUMBER(F19290),C19290*F19290,"")</f>
        <v/>
      </c>
    </row>
    <row r="19291" spans="1:7" ht="24" customHeight="1" outlineLevel="2" x14ac:dyDescent="0.2">
      <c r="A19291" s="14" t="s">
        <v>37966</v>
      </c>
      <c r="B19291" s="15" t="s">
        <v>37967</v>
      </c>
      <c r="C19291" s="16">
        <f>268.16/(1+B2)</f>
        <v>268.16000000000003</v>
      </c>
      <c r="D19291" s="17" t="s">
        <v>11</v>
      </c>
      <c r="E19291" s="17" t="s">
        <v>11</v>
      </c>
      <c r="F19291" s="18"/>
      <c r="G19291" s="36" t="str">
        <f>IF(ISNUMBER(F19291),C19291*F19291,"")</f>
        <v/>
      </c>
    </row>
    <row r="19292" spans="1:7" ht="12" customHeight="1" outlineLevel="2" x14ac:dyDescent="0.2">
      <c r="A19292" s="14" t="s">
        <v>37968</v>
      </c>
      <c r="B19292" s="15" t="s">
        <v>37969</v>
      </c>
      <c r="C19292" s="16">
        <f>282.06/(1+B2)</f>
        <v>282.06</v>
      </c>
      <c r="D19292" s="17" t="s">
        <v>11</v>
      </c>
      <c r="E19292" s="17" t="s">
        <v>11</v>
      </c>
      <c r="F19292" s="18"/>
      <c r="G19292" s="36" t="str">
        <f>IF(ISNUMBER(F19292),C19292*F19292,"")</f>
        <v/>
      </c>
    </row>
    <row r="19293" spans="1:7" ht="12" customHeight="1" outlineLevel="2" x14ac:dyDescent="0.2">
      <c r="A19293" s="14" t="s">
        <v>37970</v>
      </c>
      <c r="B19293" s="15" t="s">
        <v>37971</v>
      </c>
      <c r="C19293" s="16">
        <f>194.12/(1+B2)</f>
        <v>194.12</v>
      </c>
      <c r="D19293" s="17" t="s">
        <v>11</v>
      </c>
      <c r="E19293" s="17"/>
      <c r="F19293" s="18"/>
      <c r="G19293" s="36" t="str">
        <f>IF(ISNUMBER(F19293),C19293*F19293,"")</f>
        <v/>
      </c>
    </row>
    <row r="19294" spans="1:7" ht="12" customHeight="1" outlineLevel="2" x14ac:dyDescent="0.2">
      <c r="A19294" s="14" t="s">
        <v>37972</v>
      </c>
      <c r="B19294" s="15" t="s">
        <v>37973</v>
      </c>
      <c r="C19294" s="16">
        <f>91.18/(1+B2)</f>
        <v>91.18</v>
      </c>
      <c r="D19294" s="17" t="s">
        <v>11</v>
      </c>
      <c r="E19294" s="17" t="s">
        <v>11</v>
      </c>
      <c r="F19294" s="18"/>
      <c r="G19294" s="36" t="str">
        <f>IF(ISNUMBER(F19294),C19294*F19294,"")</f>
        <v/>
      </c>
    </row>
    <row r="19295" spans="1:7" ht="12" customHeight="1" outlineLevel="2" x14ac:dyDescent="0.2">
      <c r="A19295" s="14" t="s">
        <v>37974</v>
      </c>
      <c r="B19295" s="15" t="s">
        <v>37975</v>
      </c>
      <c r="C19295" s="16">
        <f>222.92/(1+B2)</f>
        <v>222.92</v>
      </c>
      <c r="D19295" s="17" t="s">
        <v>11</v>
      </c>
      <c r="E19295" s="17" t="s">
        <v>11</v>
      </c>
      <c r="F19295" s="18"/>
      <c r="G19295" s="36" t="str">
        <f>IF(ISNUMBER(F19295),C19295*F19295,"")</f>
        <v/>
      </c>
    </row>
    <row r="19296" spans="1:7" ht="12" customHeight="1" outlineLevel="2" x14ac:dyDescent="0.2">
      <c r="A19296" s="14" t="s">
        <v>37976</v>
      </c>
      <c r="B19296" s="15" t="s">
        <v>37977</v>
      </c>
      <c r="C19296" s="16">
        <f>222.92/(1+B2)</f>
        <v>222.92</v>
      </c>
      <c r="D19296" s="17" t="s">
        <v>11</v>
      </c>
      <c r="E19296" s="17" t="s">
        <v>11</v>
      </c>
      <c r="F19296" s="18"/>
      <c r="G19296" s="36" t="str">
        <f>IF(ISNUMBER(F19296),C19296*F19296,"")</f>
        <v/>
      </c>
    </row>
    <row r="19297" spans="1:7" ht="12" customHeight="1" outlineLevel="2" x14ac:dyDescent="0.2">
      <c r="A19297" s="14" t="s">
        <v>37978</v>
      </c>
      <c r="B19297" s="15" t="s">
        <v>37979</v>
      </c>
      <c r="C19297" s="16">
        <f>222.92/(1+B2)</f>
        <v>222.92</v>
      </c>
      <c r="D19297" s="17" t="s">
        <v>11</v>
      </c>
      <c r="E19297" s="17" t="s">
        <v>11</v>
      </c>
      <c r="F19297" s="18"/>
      <c r="G19297" s="36" t="str">
        <f>IF(ISNUMBER(F19297),C19297*F19297,"")</f>
        <v/>
      </c>
    </row>
    <row r="19298" spans="1:7" ht="12" customHeight="1" outlineLevel="2" x14ac:dyDescent="0.2">
      <c r="A19298" s="14" t="s">
        <v>37980</v>
      </c>
      <c r="B19298" s="15" t="s">
        <v>37981</v>
      </c>
      <c r="C19298" s="16">
        <f>222.92/(1+B2)</f>
        <v>222.92</v>
      </c>
      <c r="D19298" s="17" t="s">
        <v>11</v>
      </c>
      <c r="E19298" s="17" t="s">
        <v>11</v>
      </c>
      <c r="F19298" s="18"/>
      <c r="G19298" s="36" t="str">
        <f>IF(ISNUMBER(F19298),C19298*F19298,"")</f>
        <v/>
      </c>
    </row>
    <row r="19299" spans="1:7" ht="12" customHeight="1" outlineLevel="2" x14ac:dyDescent="0.2">
      <c r="A19299" s="14" t="s">
        <v>37982</v>
      </c>
      <c r="B19299" s="15" t="s">
        <v>37983</v>
      </c>
      <c r="C19299" s="16">
        <f>222.92/(1+B2)</f>
        <v>222.92</v>
      </c>
      <c r="D19299" s="17" t="s">
        <v>11</v>
      </c>
      <c r="E19299" s="17" t="s">
        <v>11</v>
      </c>
      <c r="F19299" s="18"/>
      <c r="G19299" s="36" t="str">
        <f>IF(ISNUMBER(F19299),C19299*F19299,"")</f>
        <v/>
      </c>
    </row>
    <row r="19300" spans="1:7" ht="12" customHeight="1" outlineLevel="2" x14ac:dyDescent="0.2">
      <c r="A19300" s="14" t="s">
        <v>37984</v>
      </c>
      <c r="B19300" s="15" t="s">
        <v>37985</v>
      </c>
      <c r="C19300" s="16">
        <f>272.84/(1+B2)</f>
        <v>272.83999999999997</v>
      </c>
      <c r="D19300" s="17" t="s">
        <v>11</v>
      </c>
      <c r="E19300" s="17" t="s">
        <v>11</v>
      </c>
      <c r="F19300" s="18"/>
      <c r="G19300" s="36" t="str">
        <f>IF(ISNUMBER(F19300),C19300*F19300,"")</f>
        <v/>
      </c>
    </row>
    <row r="19301" spans="1:7" ht="12" customHeight="1" outlineLevel="2" x14ac:dyDescent="0.2">
      <c r="A19301" s="14" t="s">
        <v>37986</v>
      </c>
      <c r="B19301" s="15" t="s">
        <v>37987</v>
      </c>
      <c r="C19301" s="16">
        <f>130.36/(1+B2)</f>
        <v>130.36000000000001</v>
      </c>
      <c r="D19301" s="17" t="s">
        <v>11</v>
      </c>
      <c r="E19301" s="17" t="s">
        <v>11</v>
      </c>
      <c r="F19301" s="18"/>
      <c r="G19301" s="36" t="str">
        <f>IF(ISNUMBER(F19301),C19301*F19301,"")</f>
        <v/>
      </c>
    </row>
    <row r="19302" spans="1:7" ht="12" customHeight="1" outlineLevel="2" x14ac:dyDescent="0.2">
      <c r="A19302" s="14" t="s">
        <v>37988</v>
      </c>
      <c r="B19302" s="15" t="s">
        <v>37989</v>
      </c>
      <c r="C19302" s="16">
        <f>220.39/(1+B2)</f>
        <v>220.39</v>
      </c>
      <c r="D19302" s="17" t="s">
        <v>11</v>
      </c>
      <c r="E19302" s="17" t="s">
        <v>11</v>
      </c>
      <c r="F19302" s="18"/>
      <c r="G19302" s="36" t="str">
        <f>IF(ISNUMBER(F19302),C19302*F19302,"")</f>
        <v/>
      </c>
    </row>
    <row r="19303" spans="1:7" ht="24" customHeight="1" outlineLevel="2" x14ac:dyDescent="0.2">
      <c r="A19303" s="14" t="s">
        <v>37990</v>
      </c>
      <c r="B19303" s="15" t="s">
        <v>37991</v>
      </c>
      <c r="C19303" s="16">
        <f>144.22/(1+B2)</f>
        <v>144.22</v>
      </c>
      <c r="D19303" s="17" t="s">
        <v>11</v>
      </c>
      <c r="E19303" s="17"/>
      <c r="F19303" s="18"/>
      <c r="G19303" s="36" t="str">
        <f>IF(ISNUMBER(F19303),C19303*F19303,"")</f>
        <v/>
      </c>
    </row>
    <row r="19304" spans="1:7" ht="24" customHeight="1" outlineLevel="2" x14ac:dyDescent="0.2">
      <c r="A19304" s="14" t="s">
        <v>37992</v>
      </c>
      <c r="B19304" s="15" t="s">
        <v>37993</v>
      </c>
      <c r="C19304" s="16">
        <f>144.22/(1+B2)</f>
        <v>144.22</v>
      </c>
      <c r="D19304" s="17" t="s">
        <v>11</v>
      </c>
      <c r="E19304" s="17"/>
      <c r="F19304" s="18"/>
      <c r="G19304" s="36" t="str">
        <f>IF(ISNUMBER(F19304),C19304*F19304,"")</f>
        <v/>
      </c>
    </row>
    <row r="19305" spans="1:7" ht="12" customHeight="1" outlineLevel="2" x14ac:dyDescent="0.2">
      <c r="A19305" s="14" t="s">
        <v>37994</v>
      </c>
      <c r="B19305" s="15" t="s">
        <v>37995</v>
      </c>
      <c r="C19305" s="16">
        <f>173.57/(1+B2)</f>
        <v>173.57</v>
      </c>
      <c r="D19305" s="17" t="s">
        <v>11</v>
      </c>
      <c r="E19305" s="17" t="s">
        <v>14</v>
      </c>
      <c r="F19305" s="18"/>
      <c r="G19305" s="36" t="str">
        <f>IF(ISNUMBER(F19305),C19305*F19305,"")</f>
        <v/>
      </c>
    </row>
    <row r="19306" spans="1:7" ht="12" customHeight="1" outlineLevel="2" x14ac:dyDescent="0.2">
      <c r="A19306" s="14" t="s">
        <v>37996</v>
      </c>
      <c r="B19306" s="15" t="s">
        <v>37997</v>
      </c>
      <c r="C19306" s="16">
        <f>144.22/(1+B2)</f>
        <v>144.22</v>
      </c>
      <c r="D19306" s="17" t="s">
        <v>11</v>
      </c>
      <c r="E19306" s="17"/>
      <c r="F19306" s="18"/>
      <c r="G19306" s="36" t="str">
        <f>IF(ISNUMBER(F19306),C19306*F19306,"")</f>
        <v/>
      </c>
    </row>
    <row r="19307" spans="1:7" ht="12" customHeight="1" outlineLevel="2" x14ac:dyDescent="0.2">
      <c r="A19307" s="14" t="s">
        <v>37998</v>
      </c>
      <c r="B19307" s="15" t="s">
        <v>37999</v>
      </c>
      <c r="C19307" s="16">
        <f>222.92/(1+B2)</f>
        <v>222.92</v>
      </c>
      <c r="D19307" s="17" t="s">
        <v>11</v>
      </c>
      <c r="E19307" s="17" t="s">
        <v>11</v>
      </c>
      <c r="F19307" s="18"/>
      <c r="G19307" s="36" t="str">
        <f>IF(ISNUMBER(F19307),C19307*F19307,"")</f>
        <v/>
      </c>
    </row>
    <row r="19308" spans="1:7" ht="12" customHeight="1" outlineLevel="2" x14ac:dyDescent="0.2">
      <c r="A19308" s="14" t="s">
        <v>38000</v>
      </c>
      <c r="B19308" s="15" t="s">
        <v>38001</v>
      </c>
      <c r="C19308" s="16">
        <f>155.14/(1+B2)</f>
        <v>155.13999999999999</v>
      </c>
      <c r="D19308" s="17" t="s">
        <v>11</v>
      </c>
      <c r="E19308" s="17"/>
      <c r="F19308" s="18"/>
      <c r="G19308" s="36" t="str">
        <f>IF(ISNUMBER(F19308),C19308*F19308,"")</f>
        <v/>
      </c>
    </row>
    <row r="19309" spans="1:7" ht="24" customHeight="1" outlineLevel="2" x14ac:dyDescent="0.2">
      <c r="A19309" s="14" t="s">
        <v>38002</v>
      </c>
      <c r="B19309" s="15" t="s">
        <v>38003</v>
      </c>
      <c r="C19309" s="16">
        <f>365.26/(1+B2)</f>
        <v>365.26</v>
      </c>
      <c r="D19309" s="17" t="s">
        <v>11</v>
      </c>
      <c r="E19309" s="17" t="s">
        <v>11</v>
      </c>
      <c r="F19309" s="18"/>
      <c r="G19309" s="36" t="str">
        <f>IF(ISNUMBER(F19309),C19309*F19309,"")</f>
        <v/>
      </c>
    </row>
    <row r="19310" spans="1:7" ht="12" customHeight="1" outlineLevel="2" x14ac:dyDescent="0.2">
      <c r="A19310" s="14" t="s">
        <v>38004</v>
      </c>
      <c r="B19310" s="15" t="s">
        <v>38005</v>
      </c>
      <c r="C19310" s="16">
        <f>302.84/(1+B2)</f>
        <v>302.83999999999997</v>
      </c>
      <c r="D19310" s="17" t="s">
        <v>11</v>
      </c>
      <c r="E19310" s="17"/>
      <c r="F19310" s="18"/>
      <c r="G19310" s="36" t="str">
        <f>IF(ISNUMBER(F19310),C19310*F19310,"")</f>
        <v/>
      </c>
    </row>
    <row r="19311" spans="1:7" ht="24" customHeight="1" outlineLevel="2" x14ac:dyDescent="0.2">
      <c r="A19311" s="14" t="s">
        <v>38006</v>
      </c>
      <c r="B19311" s="15" t="s">
        <v>38007</v>
      </c>
      <c r="C19311" s="16">
        <f>308.32/(1+B2)</f>
        <v>308.32</v>
      </c>
      <c r="D19311" s="17" t="s">
        <v>11</v>
      </c>
      <c r="E19311" s="17" t="s">
        <v>11</v>
      </c>
      <c r="F19311" s="18"/>
      <c r="G19311" s="36" t="str">
        <f>IF(ISNUMBER(F19311),C19311*F19311,"")</f>
        <v/>
      </c>
    </row>
    <row r="19312" spans="1:7" ht="24" customHeight="1" outlineLevel="2" x14ac:dyDescent="0.2">
      <c r="A19312" s="14" t="s">
        <v>38008</v>
      </c>
      <c r="B19312" s="15" t="s">
        <v>38009</v>
      </c>
      <c r="C19312" s="16">
        <f>308.32/(1+B2)</f>
        <v>308.32</v>
      </c>
      <c r="D19312" s="17" t="s">
        <v>11</v>
      </c>
      <c r="E19312" s="17" t="s">
        <v>11</v>
      </c>
      <c r="F19312" s="18"/>
      <c r="G19312" s="36" t="str">
        <f>IF(ISNUMBER(F19312),C19312*F19312,"")</f>
        <v/>
      </c>
    </row>
    <row r="19313" spans="1:7" ht="12" customHeight="1" outlineLevel="2" x14ac:dyDescent="0.2">
      <c r="A19313" s="14" t="s">
        <v>38010</v>
      </c>
      <c r="B19313" s="15" t="s">
        <v>38011</v>
      </c>
      <c r="C19313" s="16">
        <f>282.06/(1+B2)</f>
        <v>282.06</v>
      </c>
      <c r="D19313" s="17" t="s">
        <v>11</v>
      </c>
      <c r="E19313" s="17" t="s">
        <v>11</v>
      </c>
      <c r="F19313" s="18"/>
      <c r="G19313" s="36" t="str">
        <f>IF(ISNUMBER(F19313),C19313*F19313,"")</f>
        <v/>
      </c>
    </row>
    <row r="19314" spans="1:7" ht="12" customHeight="1" outlineLevel="2" x14ac:dyDescent="0.2">
      <c r="A19314" s="14" t="s">
        <v>38012</v>
      </c>
      <c r="B19314" s="15" t="s">
        <v>38013</v>
      </c>
      <c r="C19314" s="16">
        <f>251.22/(1+B2)</f>
        <v>251.22</v>
      </c>
      <c r="D19314" s="17" t="s">
        <v>11</v>
      </c>
      <c r="E19314" s="17" t="s">
        <v>11</v>
      </c>
      <c r="F19314" s="18"/>
      <c r="G19314" s="36" t="str">
        <f>IF(ISNUMBER(F19314),C19314*F19314,"")</f>
        <v/>
      </c>
    </row>
    <row r="19315" spans="1:7" ht="12" customHeight="1" outlineLevel="2" x14ac:dyDescent="0.2">
      <c r="A19315" s="14" t="s">
        <v>38014</v>
      </c>
      <c r="B19315" s="15" t="s">
        <v>38015</v>
      </c>
      <c r="C19315" s="16">
        <f>276.35/(1+B2)</f>
        <v>276.35000000000002</v>
      </c>
      <c r="D19315" s="17" t="s">
        <v>11</v>
      </c>
      <c r="E19315" s="17"/>
      <c r="F19315" s="18"/>
      <c r="G19315" s="36" t="str">
        <f>IF(ISNUMBER(F19315),C19315*F19315,"")</f>
        <v/>
      </c>
    </row>
    <row r="19316" spans="1:7" ht="24" customHeight="1" outlineLevel="2" x14ac:dyDescent="0.2">
      <c r="A19316" s="14" t="s">
        <v>38016</v>
      </c>
      <c r="B19316" s="15" t="s">
        <v>38017</v>
      </c>
      <c r="C19316" s="16">
        <f>282.06/(1+B2)</f>
        <v>282.06</v>
      </c>
      <c r="D19316" s="17" t="s">
        <v>11</v>
      </c>
      <c r="E19316" s="17" t="s">
        <v>11</v>
      </c>
      <c r="F19316" s="18"/>
      <c r="G19316" s="36" t="str">
        <f>IF(ISNUMBER(F19316),C19316*F19316,"")</f>
        <v/>
      </c>
    </row>
    <row r="19317" spans="1:7" ht="12" customHeight="1" outlineLevel="2" x14ac:dyDescent="0.2">
      <c r="A19317" s="14" t="s">
        <v>38018</v>
      </c>
      <c r="B19317" s="15" t="s">
        <v>38019</v>
      </c>
      <c r="C19317" s="16">
        <f>276.35/(1+B2)</f>
        <v>276.35000000000002</v>
      </c>
      <c r="D19317" s="17" t="s">
        <v>11</v>
      </c>
      <c r="E19317" s="17"/>
      <c r="F19317" s="18"/>
      <c r="G19317" s="36" t="str">
        <f>IF(ISNUMBER(F19317),C19317*F19317,"")</f>
        <v/>
      </c>
    </row>
    <row r="19318" spans="1:7" ht="24" customHeight="1" outlineLevel="2" x14ac:dyDescent="0.2">
      <c r="A19318" s="14" t="s">
        <v>38020</v>
      </c>
      <c r="B19318" s="15" t="s">
        <v>38021</v>
      </c>
      <c r="C19318" s="16">
        <f>268.36/(1+B2)</f>
        <v>268.36</v>
      </c>
      <c r="D19318" s="17" t="s">
        <v>11</v>
      </c>
      <c r="E19318" s="17"/>
      <c r="F19318" s="18"/>
      <c r="G19318" s="36" t="str">
        <f>IF(ISNUMBER(F19318),C19318*F19318,"")</f>
        <v/>
      </c>
    </row>
    <row r="19319" spans="1:7" ht="12" customHeight="1" outlineLevel="2" x14ac:dyDescent="0.2">
      <c r="A19319" s="14" t="s">
        <v>38022</v>
      </c>
      <c r="B19319" s="15" t="s">
        <v>38023</v>
      </c>
      <c r="C19319" s="16">
        <f>244.56/(1+B2)</f>
        <v>244.56</v>
      </c>
      <c r="D19319" s="17" t="s">
        <v>11</v>
      </c>
      <c r="E19319" s="17"/>
      <c r="F19319" s="18"/>
      <c r="G19319" s="36" t="str">
        <f>IF(ISNUMBER(F19319),C19319*F19319,"")</f>
        <v/>
      </c>
    </row>
    <row r="19320" spans="1:7" ht="12" customHeight="1" outlineLevel="2" x14ac:dyDescent="0.2">
      <c r="A19320" s="14" t="s">
        <v>38024</v>
      </c>
      <c r="B19320" s="15" t="s">
        <v>38025</v>
      </c>
      <c r="C19320" s="16">
        <f>222.92/(1+B2)</f>
        <v>222.92</v>
      </c>
      <c r="D19320" s="17" t="s">
        <v>11</v>
      </c>
      <c r="E19320" s="17" t="s">
        <v>11</v>
      </c>
      <c r="F19320" s="18"/>
      <c r="G19320" s="36" t="str">
        <f>IF(ISNUMBER(F19320),C19320*F19320,"")</f>
        <v/>
      </c>
    </row>
    <row r="19321" spans="1:7" ht="12" customHeight="1" outlineLevel="2" x14ac:dyDescent="0.2">
      <c r="A19321" s="14" t="s">
        <v>38026</v>
      </c>
      <c r="B19321" s="15" t="s">
        <v>38027</v>
      </c>
      <c r="C19321" s="16">
        <f>222.92/(1+B2)</f>
        <v>222.92</v>
      </c>
      <c r="D19321" s="17" t="s">
        <v>11</v>
      </c>
      <c r="E19321" s="17" t="s">
        <v>11</v>
      </c>
      <c r="F19321" s="18"/>
      <c r="G19321" s="36" t="str">
        <f>IF(ISNUMBER(F19321),C19321*F19321,"")</f>
        <v/>
      </c>
    </row>
    <row r="19322" spans="1:7" ht="12" customHeight="1" outlineLevel="2" x14ac:dyDescent="0.2">
      <c r="A19322" s="14" t="s">
        <v>38028</v>
      </c>
      <c r="B19322" s="15" t="s">
        <v>38029</v>
      </c>
      <c r="C19322" s="16">
        <f>222.92/(1+B2)</f>
        <v>222.92</v>
      </c>
      <c r="D19322" s="17" t="s">
        <v>11</v>
      </c>
      <c r="E19322" s="17" t="s">
        <v>11</v>
      </c>
      <c r="F19322" s="18"/>
      <c r="G19322" s="36" t="str">
        <f>IF(ISNUMBER(F19322),C19322*F19322,"")</f>
        <v/>
      </c>
    </row>
    <row r="19323" spans="1:7" ht="12" customHeight="1" outlineLevel="2" x14ac:dyDescent="0.2">
      <c r="A19323" s="14" t="s">
        <v>38030</v>
      </c>
      <c r="B19323" s="15" t="s">
        <v>38031</v>
      </c>
      <c r="C19323" s="16">
        <f>245.51/(1+B2)</f>
        <v>245.51</v>
      </c>
      <c r="D19323" s="17" t="s">
        <v>11</v>
      </c>
      <c r="E19323" s="17"/>
      <c r="F19323" s="18"/>
      <c r="G19323" s="36" t="str">
        <f>IF(ISNUMBER(F19323),C19323*F19323,"")</f>
        <v/>
      </c>
    </row>
    <row r="19324" spans="1:7" ht="12" customHeight="1" outlineLevel="2" x14ac:dyDescent="0.2">
      <c r="A19324" s="14" t="s">
        <v>38032</v>
      </c>
      <c r="B19324" s="15" t="s">
        <v>38033</v>
      </c>
      <c r="C19324" s="16">
        <f>222.92/(1+B2)</f>
        <v>222.92</v>
      </c>
      <c r="D19324" s="17" t="s">
        <v>11</v>
      </c>
      <c r="E19324" s="17" t="s">
        <v>11</v>
      </c>
      <c r="F19324" s="18"/>
      <c r="G19324" s="36" t="str">
        <f>IF(ISNUMBER(F19324),C19324*F19324,"")</f>
        <v/>
      </c>
    </row>
    <row r="19325" spans="1:7" ht="12" customHeight="1" outlineLevel="2" x14ac:dyDescent="0.2">
      <c r="A19325" s="14" t="s">
        <v>38034</v>
      </c>
      <c r="B19325" s="15" t="s">
        <v>38035</v>
      </c>
      <c r="C19325" s="16">
        <f>222.92/(1+B2)</f>
        <v>222.92</v>
      </c>
      <c r="D19325" s="17" t="s">
        <v>11</v>
      </c>
      <c r="E19325" s="17" t="s">
        <v>11</v>
      </c>
      <c r="F19325" s="18"/>
      <c r="G19325" s="36" t="str">
        <f>IF(ISNUMBER(F19325),C19325*F19325,"")</f>
        <v/>
      </c>
    </row>
    <row r="19326" spans="1:7" ht="24" customHeight="1" outlineLevel="2" x14ac:dyDescent="0.2">
      <c r="A19326" s="14" t="s">
        <v>38036</v>
      </c>
      <c r="B19326" s="15" t="s">
        <v>38037</v>
      </c>
      <c r="C19326" s="16">
        <f>85.62/(1+B2)</f>
        <v>85.62</v>
      </c>
      <c r="D19326" s="17" t="s">
        <v>11</v>
      </c>
      <c r="E19326" s="17" t="s">
        <v>11</v>
      </c>
      <c r="F19326" s="18"/>
      <c r="G19326" s="36" t="str">
        <f>IF(ISNUMBER(F19326),C19326*F19326,"")</f>
        <v/>
      </c>
    </row>
    <row r="19327" spans="1:7" ht="12" customHeight="1" outlineLevel="2" x14ac:dyDescent="0.2">
      <c r="A19327" s="14" t="s">
        <v>38038</v>
      </c>
      <c r="B19327" s="15" t="s">
        <v>38039</v>
      </c>
      <c r="C19327" s="16">
        <f>311.75/(1+B2)</f>
        <v>311.75</v>
      </c>
      <c r="D19327" s="17" t="s">
        <v>11</v>
      </c>
      <c r="E19327" s="17" t="s">
        <v>11</v>
      </c>
      <c r="F19327" s="18"/>
      <c r="G19327" s="36" t="str">
        <f>IF(ISNUMBER(F19327),C19327*F19327,"")</f>
        <v/>
      </c>
    </row>
    <row r="19328" spans="1:7" ht="12" customHeight="1" outlineLevel="2" x14ac:dyDescent="0.2">
      <c r="A19328" s="14" t="s">
        <v>38040</v>
      </c>
      <c r="B19328" s="15" t="s">
        <v>38041</v>
      </c>
      <c r="C19328" s="16">
        <f>327.37/(1+B2)</f>
        <v>327.37</v>
      </c>
      <c r="D19328" s="17" t="s">
        <v>11</v>
      </c>
      <c r="E19328" s="17"/>
      <c r="F19328" s="18"/>
      <c r="G19328" s="36" t="str">
        <f>IF(ISNUMBER(F19328),C19328*F19328,"")</f>
        <v/>
      </c>
    </row>
    <row r="19329" spans="1:7" ht="12" customHeight="1" outlineLevel="2" x14ac:dyDescent="0.2">
      <c r="A19329" s="14" t="s">
        <v>38042</v>
      </c>
      <c r="B19329" s="15" t="s">
        <v>38043</v>
      </c>
      <c r="C19329" s="16">
        <f>218/(1+B2)</f>
        <v>218</v>
      </c>
      <c r="D19329" s="17" t="s">
        <v>11</v>
      </c>
      <c r="E19329" s="17" t="s">
        <v>53</v>
      </c>
      <c r="F19329" s="18"/>
      <c r="G19329" s="36" t="str">
        <f>IF(ISNUMBER(F19329),C19329*F19329,"")</f>
        <v/>
      </c>
    </row>
    <row r="19330" spans="1:7" ht="12" customHeight="1" outlineLevel="2" x14ac:dyDescent="0.2">
      <c r="A19330" s="14" t="s">
        <v>38044</v>
      </c>
      <c r="B19330" s="15" t="s">
        <v>38045</v>
      </c>
      <c r="C19330" s="16">
        <f>334.91/(1+B2)</f>
        <v>334.91</v>
      </c>
      <c r="D19330" s="17" t="s">
        <v>11</v>
      </c>
      <c r="E19330" s="17"/>
      <c r="F19330" s="18"/>
      <c r="G19330" s="36" t="str">
        <f>IF(ISNUMBER(F19330),C19330*F19330,"")</f>
        <v/>
      </c>
    </row>
    <row r="19331" spans="1:7" ht="12" customHeight="1" outlineLevel="2" x14ac:dyDescent="0.2">
      <c r="A19331" s="14" t="s">
        <v>38046</v>
      </c>
      <c r="B19331" s="15" t="s">
        <v>38047</v>
      </c>
      <c r="C19331" s="16">
        <f>285.48/(1+B2)</f>
        <v>285.48</v>
      </c>
      <c r="D19331" s="17" t="s">
        <v>11</v>
      </c>
      <c r="E19331" s="17" t="s">
        <v>11</v>
      </c>
      <c r="F19331" s="18"/>
      <c r="G19331" s="36" t="str">
        <f>IF(ISNUMBER(F19331),C19331*F19331,"")</f>
        <v/>
      </c>
    </row>
    <row r="19332" spans="1:7" ht="24" customHeight="1" outlineLevel="2" x14ac:dyDescent="0.2">
      <c r="A19332" s="14" t="s">
        <v>38048</v>
      </c>
      <c r="B19332" s="15" t="s">
        <v>38049</v>
      </c>
      <c r="C19332" s="16">
        <f>557.5/(1+B2)</f>
        <v>557.5</v>
      </c>
      <c r="D19332" s="17" t="s">
        <v>11</v>
      </c>
      <c r="E19332" s="17"/>
      <c r="F19332" s="18"/>
      <c r="G19332" s="36" t="str">
        <f>IF(ISNUMBER(F19332),C19332*F19332,"")</f>
        <v/>
      </c>
    </row>
    <row r="19333" spans="1:7" ht="24" customHeight="1" outlineLevel="2" x14ac:dyDescent="0.2">
      <c r="A19333" s="14" t="s">
        <v>38050</v>
      </c>
      <c r="B19333" s="15" t="s">
        <v>38051</v>
      </c>
      <c r="C19333" s="16">
        <f>602.85/(1+B2)</f>
        <v>602.85</v>
      </c>
      <c r="D19333" s="17" t="s">
        <v>11</v>
      </c>
      <c r="E19333" s="17"/>
      <c r="F19333" s="18"/>
      <c r="G19333" s="36" t="str">
        <f>IF(ISNUMBER(F19333),C19333*F19333,"")</f>
        <v/>
      </c>
    </row>
    <row r="19334" spans="1:7" ht="12" customHeight="1" outlineLevel="2" x14ac:dyDescent="0.2">
      <c r="A19334" s="14" t="s">
        <v>38052</v>
      </c>
      <c r="B19334" s="15" t="s">
        <v>38053</v>
      </c>
      <c r="C19334" s="16">
        <f>285.77/(1+B2)</f>
        <v>285.77</v>
      </c>
      <c r="D19334" s="17" t="s">
        <v>11</v>
      </c>
      <c r="E19334" s="17" t="s">
        <v>11</v>
      </c>
      <c r="F19334" s="18"/>
      <c r="G19334" s="36" t="str">
        <f>IF(ISNUMBER(F19334),C19334*F19334,"")</f>
        <v/>
      </c>
    </row>
    <row r="19335" spans="1:7" ht="24" customHeight="1" outlineLevel="2" x14ac:dyDescent="0.2">
      <c r="A19335" s="14" t="s">
        <v>38054</v>
      </c>
      <c r="B19335" s="15" t="s">
        <v>38055</v>
      </c>
      <c r="C19335" s="16">
        <f>657.93/(1+B2)</f>
        <v>657.93</v>
      </c>
      <c r="D19335" s="17" t="s">
        <v>11</v>
      </c>
      <c r="E19335" s="17"/>
      <c r="F19335" s="18"/>
      <c r="G19335" s="36" t="str">
        <f>IF(ISNUMBER(F19335),C19335*F19335,"")</f>
        <v/>
      </c>
    </row>
    <row r="19336" spans="1:7" ht="12" customHeight="1" outlineLevel="2" x14ac:dyDescent="0.2">
      <c r="A19336" s="14" t="s">
        <v>38056</v>
      </c>
      <c r="B19336" s="15" t="s">
        <v>38057</v>
      </c>
      <c r="C19336" s="16">
        <f>614.92/(1+B2)</f>
        <v>614.91999999999996</v>
      </c>
      <c r="D19336" s="17" t="s">
        <v>11</v>
      </c>
      <c r="E19336" s="17"/>
      <c r="F19336" s="18"/>
      <c r="G19336" s="36" t="str">
        <f>IF(ISNUMBER(F19336),C19336*F19336,"")</f>
        <v/>
      </c>
    </row>
    <row r="19337" spans="1:7" ht="24" customHeight="1" outlineLevel="2" x14ac:dyDescent="0.2">
      <c r="A19337" s="14" t="s">
        <v>38058</v>
      </c>
      <c r="B19337" s="15" t="s">
        <v>38059</v>
      </c>
      <c r="C19337" s="16">
        <f>273.78/(1+B2)</f>
        <v>273.77999999999997</v>
      </c>
      <c r="D19337" s="17" t="s">
        <v>11</v>
      </c>
      <c r="E19337" s="17" t="s">
        <v>11</v>
      </c>
      <c r="F19337" s="18"/>
      <c r="G19337" s="36" t="str">
        <f>IF(ISNUMBER(F19337),C19337*F19337,"")</f>
        <v/>
      </c>
    </row>
    <row r="19338" spans="1:7" ht="24" customHeight="1" outlineLevel="2" x14ac:dyDescent="0.2">
      <c r="A19338" s="14" t="s">
        <v>38060</v>
      </c>
      <c r="B19338" s="15" t="s">
        <v>38061</v>
      </c>
      <c r="C19338" s="16">
        <f>534.69/(1+B2)</f>
        <v>534.69000000000005</v>
      </c>
      <c r="D19338" s="17" t="s">
        <v>11</v>
      </c>
      <c r="E19338" s="17"/>
      <c r="F19338" s="18"/>
      <c r="G19338" s="36" t="str">
        <f>IF(ISNUMBER(F19338),C19338*F19338,"")</f>
        <v/>
      </c>
    </row>
    <row r="19339" spans="1:7" ht="12" customHeight="1" outlineLevel="2" x14ac:dyDescent="0.2">
      <c r="A19339" s="14" t="s">
        <v>38062</v>
      </c>
      <c r="B19339" s="15" t="s">
        <v>38063</v>
      </c>
      <c r="C19339" s="16">
        <f>558.49/(1+B2)</f>
        <v>558.49</v>
      </c>
      <c r="D19339" s="17" t="s">
        <v>11</v>
      </c>
      <c r="E19339" s="17"/>
      <c r="F19339" s="18"/>
      <c r="G19339" s="36" t="str">
        <f>IF(ISNUMBER(F19339),C19339*F19339,"")</f>
        <v/>
      </c>
    </row>
    <row r="19340" spans="1:7" ht="12" customHeight="1" outlineLevel="2" x14ac:dyDescent="0.2">
      <c r="A19340" s="14" t="s">
        <v>38064</v>
      </c>
      <c r="B19340" s="15" t="s">
        <v>38065</v>
      </c>
      <c r="C19340" s="16">
        <f>734.28/(1+B2)</f>
        <v>734.28</v>
      </c>
      <c r="D19340" s="17" t="s">
        <v>11</v>
      </c>
      <c r="E19340" s="17"/>
      <c r="F19340" s="18"/>
      <c r="G19340" s="36" t="str">
        <f>IF(ISNUMBER(F19340),C19340*F19340,"")</f>
        <v/>
      </c>
    </row>
    <row r="19341" spans="1:7" ht="24" customHeight="1" outlineLevel="2" x14ac:dyDescent="0.2">
      <c r="A19341" s="14" t="s">
        <v>38066</v>
      </c>
      <c r="B19341" s="15" t="s">
        <v>38067</v>
      </c>
      <c r="C19341" s="16">
        <f>566.78/(1+B2)</f>
        <v>566.78</v>
      </c>
      <c r="D19341" s="17" t="s">
        <v>14</v>
      </c>
      <c r="E19341" s="17"/>
      <c r="F19341" s="18"/>
      <c r="G19341" s="36" t="str">
        <f>IF(ISNUMBER(F19341),C19341*F19341,"")</f>
        <v/>
      </c>
    </row>
    <row r="19342" spans="1:7" ht="12" customHeight="1" outlineLevel="2" x14ac:dyDescent="0.2">
      <c r="A19342" s="14" t="s">
        <v>38068</v>
      </c>
      <c r="B19342" s="15" t="s">
        <v>38069</v>
      </c>
      <c r="C19342" s="16">
        <f>558.49/(1+B2)</f>
        <v>558.49</v>
      </c>
      <c r="D19342" s="17" t="s">
        <v>11</v>
      </c>
      <c r="E19342" s="17" t="s">
        <v>11</v>
      </c>
      <c r="F19342" s="18"/>
      <c r="G19342" s="36" t="str">
        <f>IF(ISNUMBER(F19342),C19342*F19342,"")</f>
        <v/>
      </c>
    </row>
    <row r="19343" spans="1:7" ht="12" customHeight="1" outlineLevel="2" x14ac:dyDescent="0.2">
      <c r="A19343" s="14" t="s">
        <v>38070</v>
      </c>
      <c r="B19343" s="15" t="s">
        <v>38071</v>
      </c>
      <c r="C19343" s="16">
        <f>468.19/(1+B2)</f>
        <v>468.19</v>
      </c>
      <c r="D19343" s="17" t="s">
        <v>11</v>
      </c>
      <c r="E19343" s="17"/>
      <c r="F19343" s="18"/>
      <c r="G19343" s="36" t="str">
        <f>IF(ISNUMBER(F19343),C19343*F19343,"")</f>
        <v/>
      </c>
    </row>
    <row r="19344" spans="1:7" ht="12" customHeight="1" outlineLevel="2" x14ac:dyDescent="0.2">
      <c r="A19344" s="14" t="s">
        <v>38072</v>
      </c>
      <c r="B19344" s="15" t="s">
        <v>38073</v>
      </c>
      <c r="C19344" s="16">
        <f>341.25/(1+B2)</f>
        <v>341.25</v>
      </c>
      <c r="D19344" s="17" t="s">
        <v>11</v>
      </c>
      <c r="E19344" s="17"/>
      <c r="F19344" s="18"/>
      <c r="G19344" s="36" t="str">
        <f>IF(ISNUMBER(F19344),C19344*F19344,"")</f>
        <v/>
      </c>
    </row>
    <row r="19345" spans="1:7" ht="12" customHeight="1" outlineLevel="2" x14ac:dyDescent="0.2">
      <c r="A19345" s="14" t="s">
        <v>38074</v>
      </c>
      <c r="B19345" s="15" t="s">
        <v>38075</v>
      </c>
      <c r="C19345" s="16">
        <f>587.5/(1+B2)</f>
        <v>587.5</v>
      </c>
      <c r="D19345" s="17" t="s">
        <v>11</v>
      </c>
      <c r="E19345" s="17" t="s">
        <v>11</v>
      </c>
      <c r="F19345" s="18"/>
      <c r="G19345" s="36" t="str">
        <f>IF(ISNUMBER(F19345),C19345*F19345,"")</f>
        <v/>
      </c>
    </row>
    <row r="19346" spans="1:7" ht="12" customHeight="1" outlineLevel="2" x14ac:dyDescent="0.2">
      <c r="A19346" s="14" t="s">
        <v>38076</v>
      </c>
      <c r="B19346" s="15" t="s">
        <v>38077</v>
      </c>
      <c r="C19346" s="16">
        <f>393.75/(1+B2)</f>
        <v>393.75</v>
      </c>
      <c r="D19346" s="17" t="s">
        <v>11</v>
      </c>
      <c r="E19346" s="17" t="s">
        <v>11</v>
      </c>
      <c r="F19346" s="18"/>
      <c r="G19346" s="36" t="str">
        <f>IF(ISNUMBER(F19346),C19346*F19346,"")</f>
        <v/>
      </c>
    </row>
    <row r="19347" spans="1:7" ht="24" customHeight="1" outlineLevel="2" x14ac:dyDescent="0.2">
      <c r="A19347" s="14" t="s">
        <v>38078</v>
      </c>
      <c r="B19347" s="15" t="s">
        <v>38079</v>
      </c>
      <c r="C19347" s="16">
        <f>446.25/(1+B2)</f>
        <v>446.25</v>
      </c>
      <c r="D19347" s="17" t="s">
        <v>11</v>
      </c>
      <c r="E19347" s="17" t="s">
        <v>11</v>
      </c>
      <c r="F19347" s="18"/>
      <c r="G19347" s="36" t="str">
        <f>IF(ISNUMBER(F19347),C19347*F19347,"")</f>
        <v/>
      </c>
    </row>
    <row r="19348" spans="1:7" ht="12" customHeight="1" outlineLevel="2" x14ac:dyDescent="0.2">
      <c r="A19348" s="14" t="s">
        <v>38080</v>
      </c>
      <c r="B19348" s="15" t="s">
        <v>38081</v>
      </c>
      <c r="C19348" s="16">
        <f>417.5/(1+B2)</f>
        <v>417.5</v>
      </c>
      <c r="D19348" s="17" t="s">
        <v>11</v>
      </c>
      <c r="E19348" s="17"/>
      <c r="F19348" s="18"/>
      <c r="G19348" s="36" t="str">
        <f>IF(ISNUMBER(F19348),C19348*F19348,"")</f>
        <v/>
      </c>
    </row>
    <row r="19349" spans="1:7" ht="12" customHeight="1" outlineLevel="2" x14ac:dyDescent="0.2">
      <c r="A19349" s="14" t="s">
        <v>38082</v>
      </c>
      <c r="B19349" s="15" t="s">
        <v>38083</v>
      </c>
      <c r="C19349" s="16">
        <f>205/(1+B2)</f>
        <v>205</v>
      </c>
      <c r="D19349" s="17" t="s">
        <v>11</v>
      </c>
      <c r="E19349" s="17"/>
      <c r="F19349" s="18"/>
      <c r="G19349" s="36" t="str">
        <f>IF(ISNUMBER(F19349),C19349*F19349,"")</f>
        <v/>
      </c>
    </row>
    <row r="19350" spans="1:7" ht="24" customHeight="1" outlineLevel="2" x14ac:dyDescent="0.2">
      <c r="A19350" s="14" t="s">
        <v>38084</v>
      </c>
      <c r="B19350" s="15" t="s">
        <v>38085</v>
      </c>
      <c r="C19350" s="16">
        <f>625/(1+B2)</f>
        <v>625</v>
      </c>
      <c r="D19350" s="17" t="s">
        <v>11</v>
      </c>
      <c r="E19350" s="17"/>
      <c r="F19350" s="18"/>
      <c r="G19350" s="36" t="str">
        <f>IF(ISNUMBER(F19350),C19350*F19350,"")</f>
        <v/>
      </c>
    </row>
    <row r="19351" spans="1:7" ht="12" customHeight="1" outlineLevel="2" x14ac:dyDescent="0.2">
      <c r="A19351" s="14" t="s">
        <v>38086</v>
      </c>
      <c r="B19351" s="15" t="s">
        <v>38087</v>
      </c>
      <c r="C19351" s="16">
        <f>201.16/(1+B2)</f>
        <v>201.16</v>
      </c>
      <c r="D19351" s="17" t="s">
        <v>11</v>
      </c>
      <c r="E19351" s="17"/>
      <c r="F19351" s="18"/>
      <c r="G19351" s="36" t="str">
        <f>IF(ISNUMBER(F19351),C19351*F19351,"")</f>
        <v/>
      </c>
    </row>
    <row r="19352" spans="1:7" ht="12" customHeight="1" outlineLevel="2" x14ac:dyDescent="0.2">
      <c r="A19352" s="14" t="s">
        <v>38088</v>
      </c>
      <c r="B19352" s="15" t="s">
        <v>38089</v>
      </c>
      <c r="C19352" s="16">
        <f>346.79/(1+B2)</f>
        <v>346.79</v>
      </c>
      <c r="D19352" s="17" t="s">
        <v>11</v>
      </c>
      <c r="E19352" s="17" t="s">
        <v>14</v>
      </c>
      <c r="F19352" s="18"/>
      <c r="G19352" s="36" t="str">
        <f>IF(ISNUMBER(F19352),C19352*F19352,"")</f>
        <v/>
      </c>
    </row>
    <row r="19353" spans="1:7" ht="12" customHeight="1" outlineLevel="2" x14ac:dyDescent="0.2">
      <c r="A19353" s="14" t="s">
        <v>38090</v>
      </c>
      <c r="B19353" s="15" t="s">
        <v>38091</v>
      </c>
      <c r="C19353" s="16">
        <f>436.02/(1+B2)</f>
        <v>436.02</v>
      </c>
      <c r="D19353" s="17" t="s">
        <v>11</v>
      </c>
      <c r="E19353" s="17" t="s">
        <v>14</v>
      </c>
      <c r="F19353" s="18"/>
      <c r="G19353" s="36" t="str">
        <f>IF(ISNUMBER(F19353),C19353*F19353,"")</f>
        <v/>
      </c>
    </row>
    <row r="19354" spans="1:7" ht="12" customHeight="1" outlineLevel="2" x14ac:dyDescent="0.2">
      <c r="A19354" s="14" t="s">
        <v>38092</v>
      </c>
      <c r="B19354" s="15" t="s">
        <v>38093</v>
      </c>
      <c r="C19354" s="16">
        <f>346.79/(1+B2)</f>
        <v>346.79</v>
      </c>
      <c r="D19354" s="17" t="s">
        <v>11</v>
      </c>
      <c r="E19354" s="17" t="s">
        <v>14</v>
      </c>
      <c r="F19354" s="18"/>
      <c r="G19354" s="36" t="str">
        <f>IF(ISNUMBER(F19354),C19354*F19354,"")</f>
        <v/>
      </c>
    </row>
    <row r="19355" spans="1:7" ht="24" customHeight="1" outlineLevel="2" x14ac:dyDescent="0.2">
      <c r="A19355" s="14" t="s">
        <v>38094</v>
      </c>
      <c r="B19355" s="15" t="s">
        <v>38095</v>
      </c>
      <c r="C19355" s="16">
        <f>58.67/(1+B2)</f>
        <v>58.67</v>
      </c>
      <c r="D19355" s="17" t="s">
        <v>11</v>
      </c>
      <c r="E19355" s="17"/>
      <c r="F19355" s="18"/>
      <c r="G19355" s="36" t="str">
        <f>IF(ISNUMBER(F19355),C19355*F19355,"")</f>
        <v/>
      </c>
    </row>
    <row r="19356" spans="1:7" s="1" customFormat="1" ht="15.95" customHeight="1" outlineLevel="1" x14ac:dyDescent="0.25">
      <c r="A19356" s="11"/>
      <c r="B19356" s="12" t="s">
        <v>38096</v>
      </c>
      <c r="C19356" s="13"/>
      <c r="D19356" s="13"/>
      <c r="E19356" s="13"/>
      <c r="F19356" s="13"/>
      <c r="G19356" s="35"/>
    </row>
    <row r="19357" spans="1:7" ht="12" customHeight="1" outlineLevel="2" x14ac:dyDescent="0.2">
      <c r="A19357" s="14" t="s">
        <v>38097</v>
      </c>
      <c r="B19357" s="15" t="s">
        <v>38098</v>
      </c>
      <c r="C19357" s="16">
        <f>241.6/(1+B2)</f>
        <v>241.6</v>
      </c>
      <c r="D19357" s="17" t="s">
        <v>53</v>
      </c>
      <c r="E19357" s="17" t="s">
        <v>11</v>
      </c>
      <c r="F19357" s="18"/>
      <c r="G19357" s="36" t="str">
        <f>IF(ISNUMBER(F19357),C19357*F19357,"")</f>
        <v/>
      </c>
    </row>
    <row r="19358" spans="1:7" ht="12" customHeight="1" outlineLevel="2" x14ac:dyDescent="0.2">
      <c r="A19358" s="14" t="s">
        <v>38099</v>
      </c>
      <c r="B19358" s="15" t="s">
        <v>38100</v>
      </c>
      <c r="C19358" s="16">
        <f>241.6/(1+B2)</f>
        <v>241.6</v>
      </c>
      <c r="D19358" s="17"/>
      <c r="E19358" s="17" t="s">
        <v>14</v>
      </c>
      <c r="F19358" s="18"/>
      <c r="G19358" s="36" t="str">
        <f>IF(ISNUMBER(F19358),C19358*F19358,"")</f>
        <v/>
      </c>
    </row>
    <row r="19359" spans="1:7" ht="12" customHeight="1" outlineLevel="2" x14ac:dyDescent="0.2">
      <c r="A19359" s="14" t="s">
        <v>38101</v>
      </c>
      <c r="B19359" s="15" t="s">
        <v>38102</v>
      </c>
      <c r="C19359" s="16">
        <f>223.68/(1+B2)</f>
        <v>223.68</v>
      </c>
      <c r="D19359" s="17" t="s">
        <v>11</v>
      </c>
      <c r="E19359" s="17" t="s">
        <v>106</v>
      </c>
      <c r="F19359" s="18"/>
      <c r="G19359" s="36" t="str">
        <f>IF(ISNUMBER(F19359),C19359*F19359,"")</f>
        <v/>
      </c>
    </row>
    <row r="19360" spans="1:7" ht="12" customHeight="1" outlineLevel="2" x14ac:dyDescent="0.2">
      <c r="A19360" s="14" t="s">
        <v>38103</v>
      </c>
      <c r="B19360" s="15" t="s">
        <v>38104</v>
      </c>
      <c r="C19360" s="16">
        <f>250.91/(1+B2)</f>
        <v>250.91</v>
      </c>
      <c r="D19360" s="17" t="s">
        <v>11</v>
      </c>
      <c r="E19360" s="17" t="s">
        <v>106</v>
      </c>
      <c r="F19360" s="18"/>
      <c r="G19360" s="36" t="str">
        <f>IF(ISNUMBER(F19360),C19360*F19360,"")</f>
        <v/>
      </c>
    </row>
    <row r="19361" spans="1:7" ht="12" customHeight="1" outlineLevel="2" x14ac:dyDescent="0.2">
      <c r="A19361" s="14" t="s">
        <v>38105</v>
      </c>
      <c r="B19361" s="15" t="s">
        <v>38106</v>
      </c>
      <c r="C19361" s="16">
        <f>265.42/(1+B2)</f>
        <v>265.42</v>
      </c>
      <c r="D19361" s="17" t="s">
        <v>11</v>
      </c>
      <c r="E19361" s="17" t="s">
        <v>106</v>
      </c>
      <c r="F19361" s="18"/>
      <c r="G19361" s="36" t="str">
        <f>IF(ISNUMBER(F19361),C19361*F19361,"")</f>
        <v/>
      </c>
    </row>
    <row r="19362" spans="1:7" ht="12" customHeight="1" outlineLevel="2" x14ac:dyDescent="0.2">
      <c r="A19362" s="14" t="s">
        <v>38107</v>
      </c>
      <c r="B19362" s="15" t="s">
        <v>38108</v>
      </c>
      <c r="C19362" s="16">
        <f>265.42/(1+B2)</f>
        <v>265.42</v>
      </c>
      <c r="D19362" s="17" t="s">
        <v>11</v>
      </c>
      <c r="E19362" s="17" t="s">
        <v>106</v>
      </c>
      <c r="F19362" s="18"/>
      <c r="G19362" s="36" t="str">
        <f>IF(ISNUMBER(F19362),C19362*F19362,"")</f>
        <v/>
      </c>
    </row>
    <row r="19363" spans="1:7" ht="12" customHeight="1" outlineLevel="2" x14ac:dyDescent="0.2">
      <c r="A19363" s="14" t="s">
        <v>38109</v>
      </c>
      <c r="B19363" s="15" t="s">
        <v>38110</v>
      </c>
      <c r="C19363" s="16">
        <f>264.81/(1+B2)</f>
        <v>264.81</v>
      </c>
      <c r="D19363" s="17" t="s">
        <v>14</v>
      </c>
      <c r="E19363" s="17" t="s">
        <v>106</v>
      </c>
      <c r="F19363" s="18"/>
      <c r="G19363" s="36" t="str">
        <f>IF(ISNUMBER(F19363),C19363*F19363,"")</f>
        <v/>
      </c>
    </row>
    <row r="19364" spans="1:7" ht="12" customHeight="1" outlineLevel="2" x14ac:dyDescent="0.2">
      <c r="A19364" s="14" t="s">
        <v>38111</v>
      </c>
      <c r="B19364" s="15" t="s">
        <v>38112</v>
      </c>
      <c r="C19364" s="16">
        <f>271.47/(1+B2)</f>
        <v>271.47000000000003</v>
      </c>
      <c r="D19364" s="17" t="s">
        <v>11</v>
      </c>
      <c r="E19364" s="17" t="s">
        <v>106</v>
      </c>
      <c r="F19364" s="18"/>
      <c r="G19364" s="36" t="str">
        <f>IF(ISNUMBER(F19364),C19364*F19364,"")</f>
        <v/>
      </c>
    </row>
    <row r="19365" spans="1:7" ht="12" customHeight="1" outlineLevel="2" x14ac:dyDescent="0.2">
      <c r="A19365" s="14" t="s">
        <v>38113</v>
      </c>
      <c r="B19365" s="15" t="s">
        <v>38114</v>
      </c>
      <c r="C19365" s="16">
        <f>241.6/(1+B2)</f>
        <v>241.6</v>
      </c>
      <c r="D19365" s="17" t="s">
        <v>11</v>
      </c>
      <c r="E19365" s="17" t="s">
        <v>106</v>
      </c>
      <c r="F19365" s="18"/>
      <c r="G19365" s="36" t="str">
        <f>IF(ISNUMBER(F19365),C19365*F19365,"")</f>
        <v/>
      </c>
    </row>
    <row r="19366" spans="1:7" ht="12" customHeight="1" outlineLevel="2" x14ac:dyDescent="0.2">
      <c r="A19366" s="14" t="s">
        <v>38115</v>
      </c>
      <c r="B19366" s="15" t="s">
        <v>38116</v>
      </c>
      <c r="C19366" s="16">
        <f>241.6/(1+B2)</f>
        <v>241.6</v>
      </c>
      <c r="D19366" s="17" t="s">
        <v>11</v>
      </c>
      <c r="E19366" s="17" t="s">
        <v>53</v>
      </c>
      <c r="F19366" s="18"/>
      <c r="G19366" s="36" t="str">
        <f>IF(ISNUMBER(F19366),C19366*F19366,"")</f>
        <v/>
      </c>
    </row>
    <row r="19367" spans="1:7" ht="12" customHeight="1" outlineLevel="2" x14ac:dyDescent="0.2">
      <c r="A19367" s="14" t="s">
        <v>38117</v>
      </c>
      <c r="B19367" s="15" t="s">
        <v>38118</v>
      </c>
      <c r="C19367" s="16">
        <f>223.68/(1+B2)</f>
        <v>223.68</v>
      </c>
      <c r="D19367" s="17" t="s">
        <v>11</v>
      </c>
      <c r="E19367" s="17" t="s">
        <v>106</v>
      </c>
      <c r="F19367" s="18"/>
      <c r="G19367" s="36" t="str">
        <f>IF(ISNUMBER(F19367),C19367*F19367,"")</f>
        <v/>
      </c>
    </row>
    <row r="19368" spans="1:7" ht="12" customHeight="1" outlineLevel="2" x14ac:dyDescent="0.2">
      <c r="A19368" s="14" t="s">
        <v>38119</v>
      </c>
      <c r="B19368" s="15" t="s">
        <v>38120</v>
      </c>
      <c r="C19368" s="16">
        <f>241.6/(1+B2)</f>
        <v>241.6</v>
      </c>
      <c r="D19368" s="17" t="s">
        <v>11</v>
      </c>
      <c r="E19368" s="17" t="s">
        <v>53</v>
      </c>
      <c r="F19368" s="18"/>
      <c r="G19368" s="36" t="str">
        <f>IF(ISNUMBER(F19368),C19368*F19368,"")</f>
        <v/>
      </c>
    </row>
    <row r="19369" spans="1:7" ht="12" customHeight="1" outlineLevel="2" x14ac:dyDescent="0.2">
      <c r="A19369" s="14" t="s">
        <v>38121</v>
      </c>
      <c r="B19369" s="15" t="s">
        <v>38122</v>
      </c>
      <c r="C19369" s="16">
        <f>265.42/(1+B2)</f>
        <v>265.42</v>
      </c>
      <c r="D19369" s="17" t="s">
        <v>11</v>
      </c>
      <c r="E19369" s="17" t="s">
        <v>106</v>
      </c>
      <c r="F19369" s="18"/>
      <c r="G19369" s="36" t="str">
        <f>IF(ISNUMBER(F19369),C19369*F19369,"")</f>
        <v/>
      </c>
    </row>
    <row r="19370" spans="1:7" ht="12" customHeight="1" outlineLevel="2" x14ac:dyDescent="0.2">
      <c r="A19370" s="14" t="s">
        <v>38123</v>
      </c>
      <c r="B19370" s="15" t="s">
        <v>38124</v>
      </c>
      <c r="C19370" s="16">
        <f>245.75/(1+B2)</f>
        <v>245.75</v>
      </c>
      <c r="D19370" s="17" t="s">
        <v>11</v>
      </c>
      <c r="E19370" s="17" t="s">
        <v>11</v>
      </c>
      <c r="F19370" s="18"/>
      <c r="G19370" s="36" t="str">
        <f>IF(ISNUMBER(F19370),C19370*F19370,"")</f>
        <v/>
      </c>
    </row>
    <row r="19371" spans="1:7" ht="12" customHeight="1" outlineLevel="2" x14ac:dyDescent="0.2">
      <c r="A19371" s="14" t="s">
        <v>38125</v>
      </c>
      <c r="B19371" s="15" t="s">
        <v>38126</v>
      </c>
      <c r="C19371" s="16">
        <f>245.75/(1+B2)</f>
        <v>245.75</v>
      </c>
      <c r="D19371" s="17" t="s">
        <v>11</v>
      </c>
      <c r="E19371" s="17" t="s">
        <v>106</v>
      </c>
      <c r="F19371" s="18"/>
      <c r="G19371" s="36" t="str">
        <f>IF(ISNUMBER(F19371),C19371*F19371,"")</f>
        <v/>
      </c>
    </row>
    <row r="19372" spans="1:7" ht="12" customHeight="1" outlineLevel="2" x14ac:dyDescent="0.2">
      <c r="A19372" s="14" t="s">
        <v>38127</v>
      </c>
      <c r="B19372" s="15" t="s">
        <v>38128</v>
      </c>
      <c r="C19372" s="16">
        <f>265.42/(1+B2)</f>
        <v>265.42</v>
      </c>
      <c r="D19372" s="17" t="s">
        <v>11</v>
      </c>
      <c r="E19372" s="17" t="s">
        <v>106</v>
      </c>
      <c r="F19372" s="18"/>
      <c r="G19372" s="36" t="str">
        <f>IF(ISNUMBER(F19372),C19372*F19372,"")</f>
        <v/>
      </c>
    </row>
    <row r="19373" spans="1:7" ht="12" customHeight="1" outlineLevel="2" x14ac:dyDescent="0.2">
      <c r="A19373" s="14" t="s">
        <v>38129</v>
      </c>
      <c r="B19373" s="15" t="s">
        <v>38130</v>
      </c>
      <c r="C19373" s="16">
        <f>185.41/(1+B2)</f>
        <v>185.41</v>
      </c>
      <c r="D19373" s="17" t="s">
        <v>53</v>
      </c>
      <c r="E19373" s="17" t="s">
        <v>53</v>
      </c>
      <c r="F19373" s="18"/>
      <c r="G19373" s="36" t="str">
        <f>IF(ISNUMBER(F19373),C19373*F19373,"")</f>
        <v/>
      </c>
    </row>
    <row r="19374" spans="1:7" s="1" customFormat="1" ht="15.95" customHeight="1" outlineLevel="1" x14ac:dyDescent="0.25">
      <c r="A19374" s="11"/>
      <c r="B19374" s="12" t="s">
        <v>38131</v>
      </c>
      <c r="C19374" s="13"/>
      <c r="D19374" s="13"/>
      <c r="E19374" s="13"/>
      <c r="F19374" s="13"/>
      <c r="G19374" s="35"/>
    </row>
    <row r="19375" spans="1:7" ht="12" customHeight="1" outlineLevel="2" x14ac:dyDescent="0.2">
      <c r="A19375" s="14" t="s">
        <v>38132</v>
      </c>
      <c r="B19375" s="15" t="s">
        <v>38133</v>
      </c>
      <c r="C19375" s="16">
        <f>270.42/(1+B2)</f>
        <v>270.42</v>
      </c>
      <c r="D19375" s="17" t="s">
        <v>11</v>
      </c>
      <c r="E19375" s="17" t="s">
        <v>106</v>
      </c>
      <c r="F19375" s="18"/>
      <c r="G19375" s="36" t="str">
        <f>IF(ISNUMBER(F19375),C19375*F19375,"")</f>
        <v/>
      </c>
    </row>
    <row r="19376" spans="1:7" ht="12" customHeight="1" outlineLevel="2" x14ac:dyDescent="0.2">
      <c r="A19376" s="14" t="s">
        <v>38134</v>
      </c>
      <c r="B19376" s="15" t="s">
        <v>38135</v>
      </c>
      <c r="C19376" s="16">
        <f>427.56/(1+B2)</f>
        <v>427.56</v>
      </c>
      <c r="D19376" s="17" t="s">
        <v>11</v>
      </c>
      <c r="E19376" s="17" t="s">
        <v>14</v>
      </c>
      <c r="F19376" s="18"/>
      <c r="G19376" s="36" t="str">
        <f>IF(ISNUMBER(F19376),C19376*F19376,"")</f>
        <v/>
      </c>
    </row>
    <row r="19377" spans="1:7" ht="12" customHeight="1" outlineLevel="2" x14ac:dyDescent="0.2">
      <c r="A19377" s="14" t="s">
        <v>38136</v>
      </c>
      <c r="B19377" s="15" t="s">
        <v>38137</v>
      </c>
      <c r="C19377" s="16">
        <f>95.24/(1+B2)</f>
        <v>95.24</v>
      </c>
      <c r="D19377" s="17" t="s">
        <v>14</v>
      </c>
      <c r="E19377" s="17" t="s">
        <v>106</v>
      </c>
      <c r="F19377" s="18"/>
      <c r="G19377" s="36" t="str">
        <f>IF(ISNUMBER(F19377),C19377*F19377,"")</f>
        <v/>
      </c>
    </row>
    <row r="19378" spans="1:7" ht="12" customHeight="1" outlineLevel="2" x14ac:dyDescent="0.2">
      <c r="A19378" s="14" t="s">
        <v>38138</v>
      </c>
      <c r="B19378" s="15" t="s">
        <v>38139</v>
      </c>
      <c r="C19378" s="16">
        <f>102.41/(1+B2)</f>
        <v>102.41</v>
      </c>
      <c r="D19378" s="17" t="s">
        <v>14</v>
      </c>
      <c r="E19378" s="17" t="s">
        <v>53</v>
      </c>
      <c r="F19378" s="18"/>
      <c r="G19378" s="36" t="str">
        <f>IF(ISNUMBER(F19378),C19378*F19378,"")</f>
        <v/>
      </c>
    </row>
    <row r="19379" spans="1:7" ht="12" customHeight="1" outlineLevel="2" x14ac:dyDescent="0.2">
      <c r="A19379" s="14" t="s">
        <v>38140</v>
      </c>
      <c r="B19379" s="15" t="s">
        <v>38141</v>
      </c>
      <c r="C19379" s="16">
        <f>115.37/(1+B2)</f>
        <v>115.37</v>
      </c>
      <c r="D19379" s="17" t="s">
        <v>14</v>
      </c>
      <c r="E19379" s="17" t="s">
        <v>14</v>
      </c>
      <c r="F19379" s="18"/>
      <c r="G19379" s="36" t="str">
        <f>IF(ISNUMBER(F19379),C19379*F19379,"")</f>
        <v/>
      </c>
    </row>
    <row r="19380" spans="1:7" ht="12" customHeight="1" outlineLevel="2" x14ac:dyDescent="0.2">
      <c r="A19380" s="14" t="s">
        <v>38142</v>
      </c>
      <c r="B19380" s="15" t="s">
        <v>38143</v>
      </c>
      <c r="C19380" s="16">
        <f>145.53/(1+B2)</f>
        <v>145.53</v>
      </c>
      <c r="D19380" s="17" t="s">
        <v>53</v>
      </c>
      <c r="E19380" s="17" t="s">
        <v>11</v>
      </c>
      <c r="F19380" s="18"/>
      <c r="G19380" s="36" t="str">
        <f>IF(ISNUMBER(F19380),C19380*F19380,"")</f>
        <v/>
      </c>
    </row>
    <row r="19381" spans="1:7" ht="12" customHeight="1" outlineLevel="2" x14ac:dyDescent="0.2">
      <c r="A19381" s="14" t="s">
        <v>38144</v>
      </c>
      <c r="B19381" s="15" t="s">
        <v>38145</v>
      </c>
      <c r="C19381" s="16">
        <f>174.27/(1+B2)</f>
        <v>174.27</v>
      </c>
      <c r="D19381" s="17" t="s">
        <v>14</v>
      </c>
      <c r="E19381" s="17" t="s">
        <v>106</v>
      </c>
      <c r="F19381" s="18"/>
      <c r="G19381" s="36" t="str">
        <f>IF(ISNUMBER(F19381),C19381*F19381,"")</f>
        <v/>
      </c>
    </row>
    <row r="19382" spans="1:7" ht="12" customHeight="1" outlineLevel="2" x14ac:dyDescent="0.2">
      <c r="A19382" s="14" t="s">
        <v>38146</v>
      </c>
      <c r="B19382" s="15" t="s">
        <v>38147</v>
      </c>
      <c r="C19382" s="16">
        <f>249.08/(1+B2)</f>
        <v>249.08</v>
      </c>
      <c r="D19382" s="17" t="s">
        <v>11</v>
      </c>
      <c r="E19382" s="17" t="s">
        <v>106</v>
      </c>
      <c r="F19382" s="18"/>
      <c r="G19382" s="36" t="str">
        <f>IF(ISNUMBER(F19382),C19382*F19382,"")</f>
        <v/>
      </c>
    </row>
    <row r="19383" spans="1:7" ht="12" customHeight="1" outlineLevel="2" x14ac:dyDescent="0.2">
      <c r="A19383" s="14" t="s">
        <v>38148</v>
      </c>
      <c r="B19383" s="15" t="s">
        <v>38149</v>
      </c>
      <c r="C19383" s="16">
        <f>273.11/(1+B2)</f>
        <v>273.11</v>
      </c>
      <c r="D19383" s="17" t="s">
        <v>11</v>
      </c>
      <c r="E19383" s="17" t="s">
        <v>53</v>
      </c>
      <c r="F19383" s="18"/>
      <c r="G19383" s="36" t="str">
        <f>IF(ISNUMBER(F19383),C19383*F19383,"")</f>
        <v/>
      </c>
    </row>
    <row r="19384" spans="1:7" ht="12" customHeight="1" outlineLevel="2" x14ac:dyDescent="0.2">
      <c r="A19384" s="14" t="s">
        <v>38150</v>
      </c>
      <c r="B19384" s="15" t="s">
        <v>38151</v>
      </c>
      <c r="C19384" s="16">
        <f>294.66/(1+B2)</f>
        <v>294.66000000000003</v>
      </c>
      <c r="D19384" s="17" t="s">
        <v>14</v>
      </c>
      <c r="E19384" s="17"/>
      <c r="F19384" s="18"/>
      <c r="G19384" s="36" t="str">
        <f>IF(ISNUMBER(F19384),C19384*F19384,"")</f>
        <v/>
      </c>
    </row>
    <row r="19385" spans="1:7" ht="12" customHeight="1" outlineLevel="2" x14ac:dyDescent="0.2">
      <c r="A19385" s="14" t="s">
        <v>38152</v>
      </c>
      <c r="B19385" s="15" t="s">
        <v>38153</v>
      </c>
      <c r="C19385" s="16">
        <f>309.02/(1+B2)</f>
        <v>309.02</v>
      </c>
      <c r="D19385" s="17" t="s">
        <v>11</v>
      </c>
      <c r="E19385" s="17" t="s">
        <v>14</v>
      </c>
      <c r="F19385" s="18"/>
      <c r="G19385" s="36" t="str">
        <f>IF(ISNUMBER(F19385),C19385*F19385,"")</f>
        <v/>
      </c>
    </row>
    <row r="19386" spans="1:7" ht="12" customHeight="1" outlineLevel="2" x14ac:dyDescent="0.2">
      <c r="A19386" s="14" t="s">
        <v>38154</v>
      </c>
      <c r="B19386" s="15" t="s">
        <v>38155</v>
      </c>
      <c r="C19386" s="16">
        <f>330.59/(1+B2)</f>
        <v>330.59</v>
      </c>
      <c r="D19386" s="17" t="s">
        <v>11</v>
      </c>
      <c r="E19386" s="17" t="s">
        <v>14</v>
      </c>
      <c r="F19386" s="18"/>
      <c r="G19386" s="36" t="str">
        <f>IF(ISNUMBER(F19386),C19386*F19386,"")</f>
        <v/>
      </c>
    </row>
    <row r="19387" spans="1:7" ht="12" customHeight="1" outlineLevel="2" x14ac:dyDescent="0.2">
      <c r="A19387" s="14" t="s">
        <v>38156</v>
      </c>
      <c r="B19387" s="15" t="s">
        <v>38157</v>
      </c>
      <c r="C19387" s="16">
        <f>344.94/(1+B2)</f>
        <v>344.94</v>
      </c>
      <c r="D19387" s="17" t="s">
        <v>11</v>
      </c>
      <c r="E19387" s="17" t="s">
        <v>106</v>
      </c>
      <c r="F19387" s="18"/>
      <c r="G19387" s="36" t="str">
        <f>IF(ISNUMBER(F19387),C19387*F19387,"")</f>
        <v/>
      </c>
    </row>
    <row r="19388" spans="1:7" ht="12" customHeight="1" outlineLevel="2" x14ac:dyDescent="0.2">
      <c r="A19388" s="14" t="s">
        <v>38158</v>
      </c>
      <c r="B19388" s="15" t="s">
        <v>38159</v>
      </c>
      <c r="C19388" s="16">
        <f>47.29/(1+B2)</f>
        <v>47.29</v>
      </c>
      <c r="D19388" s="17" t="s">
        <v>11</v>
      </c>
      <c r="E19388" s="17" t="s">
        <v>11</v>
      </c>
      <c r="F19388" s="18"/>
      <c r="G19388" s="36" t="str">
        <f>IF(ISNUMBER(F19388),C19388*F19388,"")</f>
        <v/>
      </c>
    </row>
    <row r="19389" spans="1:7" ht="12" customHeight="1" outlineLevel="2" x14ac:dyDescent="0.2">
      <c r="A19389" s="14" t="s">
        <v>38160</v>
      </c>
      <c r="B19389" s="15" t="s">
        <v>38161</v>
      </c>
      <c r="C19389" s="16">
        <f>51.7/(1+B2)</f>
        <v>51.7</v>
      </c>
      <c r="D19389" s="17" t="s">
        <v>11</v>
      </c>
      <c r="E19389" s="17" t="s">
        <v>106</v>
      </c>
      <c r="F19389" s="18"/>
      <c r="G19389" s="36" t="str">
        <f>IF(ISNUMBER(F19389),C19389*F19389,"")</f>
        <v/>
      </c>
    </row>
    <row r="19390" spans="1:7" ht="12" customHeight="1" outlineLevel="2" x14ac:dyDescent="0.2">
      <c r="A19390" s="14" t="s">
        <v>38162</v>
      </c>
      <c r="B19390" s="15" t="s">
        <v>38163</v>
      </c>
      <c r="C19390" s="16">
        <f>286.21/(1+B2)</f>
        <v>286.20999999999998</v>
      </c>
      <c r="D19390" s="17" t="s">
        <v>11</v>
      </c>
      <c r="E19390" s="17" t="s">
        <v>11</v>
      </c>
      <c r="F19390" s="18"/>
      <c r="G19390" s="36" t="str">
        <f>IF(ISNUMBER(F19390),C19390*F19390,"")</f>
        <v/>
      </c>
    </row>
    <row r="19391" spans="1:7" ht="12" customHeight="1" outlineLevel="2" x14ac:dyDescent="0.2">
      <c r="A19391" s="14" t="s">
        <v>38164</v>
      </c>
      <c r="B19391" s="15" t="s">
        <v>38165</v>
      </c>
      <c r="C19391" s="16">
        <f>120.31/(1+B2)</f>
        <v>120.31</v>
      </c>
      <c r="D19391" s="17" t="s">
        <v>11</v>
      </c>
      <c r="E19391" s="17" t="s">
        <v>53</v>
      </c>
      <c r="F19391" s="18"/>
      <c r="G19391" s="36" t="str">
        <f>IF(ISNUMBER(F19391),C19391*F19391,"")</f>
        <v/>
      </c>
    </row>
    <row r="19392" spans="1:7" ht="12" customHeight="1" outlineLevel="2" x14ac:dyDescent="0.2">
      <c r="A19392" s="14" t="s">
        <v>38166</v>
      </c>
      <c r="B19392" s="15" t="s">
        <v>38167</v>
      </c>
      <c r="C19392" s="16">
        <f>135.21/(1+B2)</f>
        <v>135.21</v>
      </c>
      <c r="D19392" s="17" t="s">
        <v>14</v>
      </c>
      <c r="E19392" s="17" t="s">
        <v>53</v>
      </c>
      <c r="F19392" s="18"/>
      <c r="G19392" s="36" t="str">
        <f>IF(ISNUMBER(F19392),C19392*F19392,"")</f>
        <v/>
      </c>
    </row>
    <row r="19393" spans="1:7" ht="12" customHeight="1" outlineLevel="2" x14ac:dyDescent="0.2">
      <c r="A19393" s="14" t="s">
        <v>38168</v>
      </c>
      <c r="B19393" s="15" t="s">
        <v>38169</v>
      </c>
      <c r="C19393" s="16">
        <f>144.89/(1+B2)</f>
        <v>144.88999999999999</v>
      </c>
      <c r="D19393" s="17" t="s">
        <v>14</v>
      </c>
      <c r="E19393" s="17" t="s">
        <v>106</v>
      </c>
      <c r="F19393" s="18"/>
      <c r="G19393" s="36" t="str">
        <f>IF(ISNUMBER(F19393),C19393*F19393,"")</f>
        <v/>
      </c>
    </row>
    <row r="19394" spans="1:7" ht="12" customHeight="1" outlineLevel="2" x14ac:dyDescent="0.2">
      <c r="A19394" s="14" t="s">
        <v>38170</v>
      </c>
      <c r="B19394" s="15" t="s">
        <v>38171</v>
      </c>
      <c r="C19394" s="16">
        <f>158.46/(1+B2)</f>
        <v>158.46</v>
      </c>
      <c r="D19394" s="17" t="s">
        <v>53</v>
      </c>
      <c r="E19394" s="17" t="s">
        <v>106</v>
      </c>
      <c r="F19394" s="18"/>
      <c r="G19394" s="36" t="str">
        <f>IF(ISNUMBER(F19394),C19394*F19394,"")</f>
        <v/>
      </c>
    </row>
    <row r="19395" spans="1:7" ht="12" customHeight="1" outlineLevel="2" x14ac:dyDescent="0.2">
      <c r="A19395" s="14" t="s">
        <v>38172</v>
      </c>
      <c r="B19395" s="15" t="s">
        <v>38173</v>
      </c>
      <c r="C19395" s="16">
        <f>189.29/(1+B2)</f>
        <v>189.29</v>
      </c>
      <c r="D19395" s="17" t="s">
        <v>11</v>
      </c>
      <c r="E19395" s="17" t="s">
        <v>106</v>
      </c>
      <c r="F19395" s="18"/>
      <c r="G19395" s="36" t="str">
        <f>IF(ISNUMBER(F19395),C19395*F19395,"")</f>
        <v/>
      </c>
    </row>
    <row r="19396" spans="1:7" ht="12" customHeight="1" outlineLevel="2" x14ac:dyDescent="0.2">
      <c r="A19396" s="14" t="s">
        <v>38174</v>
      </c>
      <c r="B19396" s="15" t="s">
        <v>38175</v>
      </c>
      <c r="C19396" s="16">
        <f>215.73/(1+B2)</f>
        <v>215.73</v>
      </c>
      <c r="D19396" s="17" t="s">
        <v>11</v>
      </c>
      <c r="E19396" s="17" t="s">
        <v>106</v>
      </c>
      <c r="F19396" s="18"/>
      <c r="G19396" s="36" t="str">
        <f>IF(ISNUMBER(F19396),C19396*F19396,"")</f>
        <v/>
      </c>
    </row>
    <row r="19397" spans="1:7" ht="12" customHeight="1" outlineLevel="2" x14ac:dyDescent="0.2">
      <c r="A19397" s="14" t="s">
        <v>38176</v>
      </c>
      <c r="B19397" s="15" t="s">
        <v>38177</v>
      </c>
      <c r="C19397" s="16">
        <f>248.46/(1+B2)</f>
        <v>248.46</v>
      </c>
      <c r="D19397" s="17" t="s">
        <v>14</v>
      </c>
      <c r="E19397" s="17" t="s">
        <v>106</v>
      </c>
      <c r="F19397" s="18"/>
      <c r="G19397" s="36" t="str">
        <f>IF(ISNUMBER(F19397),C19397*F19397,"")</f>
        <v/>
      </c>
    </row>
    <row r="19398" spans="1:7" ht="12" customHeight="1" outlineLevel="2" x14ac:dyDescent="0.2">
      <c r="A19398" s="14" t="s">
        <v>38178</v>
      </c>
      <c r="B19398" s="15" t="s">
        <v>38179</v>
      </c>
      <c r="C19398" s="16">
        <f>293.11/(1+B2)</f>
        <v>293.11</v>
      </c>
      <c r="D19398" s="17" t="s">
        <v>11</v>
      </c>
      <c r="E19398" s="17" t="s">
        <v>53</v>
      </c>
      <c r="F19398" s="18"/>
      <c r="G19398" s="36" t="str">
        <f>IF(ISNUMBER(F19398),C19398*F19398,"")</f>
        <v/>
      </c>
    </row>
    <row r="19399" spans="1:7" ht="12" customHeight="1" outlineLevel="2" x14ac:dyDescent="0.2">
      <c r="A19399" s="14" t="s">
        <v>38180</v>
      </c>
      <c r="B19399" s="15" t="s">
        <v>38181</v>
      </c>
      <c r="C19399" s="16">
        <f>363.16/(1+B2)</f>
        <v>363.16</v>
      </c>
      <c r="D19399" s="17"/>
      <c r="E19399" s="17" t="s">
        <v>53</v>
      </c>
      <c r="F19399" s="18"/>
      <c r="G19399" s="36" t="str">
        <f>IF(ISNUMBER(F19399),C19399*F19399,"")</f>
        <v/>
      </c>
    </row>
    <row r="19400" spans="1:7" ht="12" customHeight="1" outlineLevel="2" x14ac:dyDescent="0.2">
      <c r="A19400" s="14" t="s">
        <v>38182</v>
      </c>
      <c r="B19400" s="15" t="s">
        <v>38183</v>
      </c>
      <c r="C19400" s="16">
        <f>179.23/(1+B2)</f>
        <v>179.23</v>
      </c>
      <c r="D19400" s="17" t="s">
        <v>11</v>
      </c>
      <c r="E19400" s="17" t="s">
        <v>53</v>
      </c>
      <c r="F19400" s="18"/>
      <c r="G19400" s="36" t="str">
        <f>IF(ISNUMBER(F19400),C19400*F19400,"")</f>
        <v/>
      </c>
    </row>
    <row r="19401" spans="1:7" ht="12" customHeight="1" outlineLevel="2" x14ac:dyDescent="0.2">
      <c r="A19401" s="14" t="s">
        <v>38184</v>
      </c>
      <c r="B19401" s="15" t="s">
        <v>38185</v>
      </c>
      <c r="C19401" s="16">
        <f>262.72/(1+B2)</f>
        <v>262.72000000000003</v>
      </c>
      <c r="D19401" s="17" t="s">
        <v>11</v>
      </c>
      <c r="E19401" s="17"/>
      <c r="F19401" s="18"/>
      <c r="G19401" s="36" t="str">
        <f>IF(ISNUMBER(F19401),C19401*F19401,"")</f>
        <v/>
      </c>
    </row>
    <row r="19402" spans="1:7" ht="12" customHeight="1" outlineLevel="2" x14ac:dyDescent="0.2">
      <c r="A19402" s="14" t="s">
        <v>38186</v>
      </c>
      <c r="B19402" s="15" t="s">
        <v>38187</v>
      </c>
      <c r="C19402" s="16">
        <f>228.73/(1+B2)</f>
        <v>228.73</v>
      </c>
      <c r="D19402" s="17" t="s">
        <v>11</v>
      </c>
      <c r="E19402" s="17" t="s">
        <v>14</v>
      </c>
      <c r="F19402" s="18"/>
      <c r="G19402" s="36" t="str">
        <f>IF(ISNUMBER(F19402),C19402*F19402,"")</f>
        <v/>
      </c>
    </row>
    <row r="19403" spans="1:7" ht="12" customHeight="1" outlineLevel="2" x14ac:dyDescent="0.2">
      <c r="A19403" s="14" t="s">
        <v>38188</v>
      </c>
      <c r="B19403" s="15" t="s">
        <v>38189</v>
      </c>
      <c r="C19403" s="16">
        <f>85.45/(1+B2)</f>
        <v>85.45</v>
      </c>
      <c r="D19403" s="17" t="s">
        <v>11</v>
      </c>
      <c r="E19403" s="17"/>
      <c r="F19403" s="18"/>
      <c r="G19403" s="36" t="str">
        <f>IF(ISNUMBER(F19403),C19403*F19403,"")</f>
        <v/>
      </c>
    </row>
    <row r="19404" spans="1:7" ht="12" customHeight="1" outlineLevel="2" x14ac:dyDescent="0.2">
      <c r="A19404" s="14" t="s">
        <v>38190</v>
      </c>
      <c r="B19404" s="15" t="s">
        <v>38191</v>
      </c>
      <c r="C19404" s="16">
        <f>136.71/(1+B2)</f>
        <v>136.71</v>
      </c>
      <c r="D19404" s="17" t="s">
        <v>11</v>
      </c>
      <c r="E19404" s="17" t="s">
        <v>106</v>
      </c>
      <c r="F19404" s="18"/>
      <c r="G19404" s="36" t="str">
        <f>IF(ISNUMBER(F19404),C19404*F19404,"")</f>
        <v/>
      </c>
    </row>
    <row r="19405" spans="1:7" ht="12" customHeight="1" outlineLevel="2" x14ac:dyDescent="0.2">
      <c r="A19405" s="14" t="s">
        <v>38192</v>
      </c>
      <c r="B19405" s="15" t="s">
        <v>38193</v>
      </c>
      <c r="C19405" s="16">
        <f>56/(1+B2)</f>
        <v>56</v>
      </c>
      <c r="D19405" s="17" t="s">
        <v>14</v>
      </c>
      <c r="E19405" s="17" t="s">
        <v>14</v>
      </c>
      <c r="F19405" s="18"/>
      <c r="G19405" s="36" t="str">
        <f>IF(ISNUMBER(F19405),C19405*F19405,"")</f>
        <v/>
      </c>
    </row>
    <row r="19406" spans="1:7" ht="12" customHeight="1" outlineLevel="2" x14ac:dyDescent="0.2">
      <c r="A19406" s="14" t="s">
        <v>38194</v>
      </c>
      <c r="B19406" s="15" t="s">
        <v>38195</v>
      </c>
      <c r="C19406" s="16">
        <f>57.26/(1+B2)</f>
        <v>57.26</v>
      </c>
      <c r="D19406" s="17" t="s">
        <v>53</v>
      </c>
      <c r="E19406" s="17" t="s">
        <v>106</v>
      </c>
      <c r="F19406" s="18"/>
      <c r="G19406" s="36" t="str">
        <f>IF(ISNUMBER(F19406),C19406*F19406,"")</f>
        <v/>
      </c>
    </row>
    <row r="19407" spans="1:7" ht="12" customHeight="1" outlineLevel="2" x14ac:dyDescent="0.2">
      <c r="A19407" s="14" t="s">
        <v>38196</v>
      </c>
      <c r="B19407" s="15" t="s">
        <v>38197</v>
      </c>
      <c r="C19407" s="16">
        <f>65.94/(1+B2)</f>
        <v>65.94</v>
      </c>
      <c r="D19407" s="17" t="s">
        <v>14</v>
      </c>
      <c r="E19407" s="17" t="s">
        <v>106</v>
      </c>
      <c r="F19407" s="18"/>
      <c r="G19407" s="36" t="str">
        <f>IF(ISNUMBER(F19407),C19407*F19407,"")</f>
        <v/>
      </c>
    </row>
    <row r="19408" spans="1:7" ht="12" customHeight="1" outlineLevel="2" x14ac:dyDescent="0.2">
      <c r="A19408" s="14" t="s">
        <v>38198</v>
      </c>
      <c r="B19408" s="15" t="s">
        <v>38199</v>
      </c>
      <c r="C19408" s="16">
        <f>64.59/(1+B2)</f>
        <v>64.59</v>
      </c>
      <c r="D19408" s="17" t="s">
        <v>14</v>
      </c>
      <c r="E19408" s="17" t="s">
        <v>53</v>
      </c>
      <c r="F19408" s="18"/>
      <c r="G19408" s="36" t="str">
        <f>IF(ISNUMBER(F19408),C19408*F19408,"")</f>
        <v/>
      </c>
    </row>
    <row r="19409" spans="1:7" ht="12" customHeight="1" outlineLevel="2" x14ac:dyDescent="0.2">
      <c r="A19409" s="14" t="s">
        <v>38200</v>
      </c>
      <c r="B19409" s="15" t="s">
        <v>38201</v>
      </c>
      <c r="C19409" s="16">
        <f>71.89/(1+B2)</f>
        <v>71.89</v>
      </c>
      <c r="D19409" s="17" t="s">
        <v>53</v>
      </c>
      <c r="E19409" s="17" t="s">
        <v>106</v>
      </c>
      <c r="F19409" s="18"/>
      <c r="G19409" s="36" t="str">
        <f>IF(ISNUMBER(F19409),C19409*F19409,"")</f>
        <v/>
      </c>
    </row>
    <row r="19410" spans="1:7" ht="12" customHeight="1" outlineLevel="2" x14ac:dyDescent="0.2">
      <c r="A19410" s="14" t="s">
        <v>38202</v>
      </c>
      <c r="B19410" s="15" t="s">
        <v>38203</v>
      </c>
      <c r="C19410" s="16">
        <f>72.63/(1+B2)</f>
        <v>72.63</v>
      </c>
      <c r="D19410" s="17" t="s">
        <v>11</v>
      </c>
      <c r="E19410" s="17" t="s">
        <v>106</v>
      </c>
      <c r="F19410" s="18"/>
      <c r="G19410" s="36" t="str">
        <f>IF(ISNUMBER(F19410),C19410*F19410,"")</f>
        <v/>
      </c>
    </row>
    <row r="19411" spans="1:7" ht="12" customHeight="1" outlineLevel="2" x14ac:dyDescent="0.2">
      <c r="A19411" s="14" t="s">
        <v>38204</v>
      </c>
      <c r="B19411" s="15" t="s">
        <v>38205</v>
      </c>
      <c r="C19411" s="16">
        <f>78.76/(1+B2)</f>
        <v>78.760000000000005</v>
      </c>
      <c r="D19411" s="17" t="s">
        <v>11</v>
      </c>
      <c r="E19411" s="17" t="s">
        <v>106</v>
      </c>
      <c r="F19411" s="18"/>
      <c r="G19411" s="36" t="str">
        <f>IF(ISNUMBER(F19411),C19411*F19411,"")</f>
        <v/>
      </c>
    </row>
    <row r="19412" spans="1:7" ht="12" customHeight="1" outlineLevel="2" x14ac:dyDescent="0.2">
      <c r="A19412" s="14" t="s">
        <v>38206</v>
      </c>
      <c r="B19412" s="15" t="s">
        <v>38207</v>
      </c>
      <c r="C19412" s="16">
        <f>77.5/(1+B2)</f>
        <v>77.5</v>
      </c>
      <c r="D19412" s="17" t="s">
        <v>14</v>
      </c>
      <c r="E19412" s="17" t="s">
        <v>106</v>
      </c>
      <c r="F19412" s="18"/>
      <c r="G19412" s="36" t="str">
        <f>IF(ISNUMBER(F19412),C19412*F19412,"")</f>
        <v/>
      </c>
    </row>
    <row r="19413" spans="1:7" ht="12" customHeight="1" outlineLevel="2" x14ac:dyDescent="0.2">
      <c r="A19413" s="14" t="s">
        <v>38208</v>
      </c>
      <c r="B19413" s="15" t="s">
        <v>38209</v>
      </c>
      <c r="C19413" s="16">
        <f>83.15/(1+B2)</f>
        <v>83.15</v>
      </c>
      <c r="D19413" s="17" t="s">
        <v>14</v>
      </c>
      <c r="E19413" s="17" t="s">
        <v>106</v>
      </c>
      <c r="F19413" s="18"/>
      <c r="G19413" s="36" t="str">
        <f>IF(ISNUMBER(F19413),C19413*F19413,"")</f>
        <v/>
      </c>
    </row>
    <row r="19414" spans="1:7" ht="12" customHeight="1" outlineLevel="2" x14ac:dyDescent="0.2">
      <c r="A19414" s="14" t="s">
        <v>38210</v>
      </c>
      <c r="B19414" s="15" t="s">
        <v>38211</v>
      </c>
      <c r="C19414" s="16">
        <f>82.48/(1+B2)</f>
        <v>82.48</v>
      </c>
      <c r="D19414" s="17" t="s">
        <v>14</v>
      </c>
      <c r="E19414" s="17" t="s">
        <v>106</v>
      </c>
      <c r="F19414" s="18"/>
      <c r="G19414" s="36" t="str">
        <f>IF(ISNUMBER(F19414),C19414*F19414,"")</f>
        <v/>
      </c>
    </row>
    <row r="19415" spans="1:7" ht="12" customHeight="1" outlineLevel="2" x14ac:dyDescent="0.2">
      <c r="A19415" s="14" t="s">
        <v>38212</v>
      </c>
      <c r="B19415" s="15" t="s">
        <v>38213</v>
      </c>
      <c r="C19415" s="16">
        <f>98.48/(1+B2)</f>
        <v>98.48</v>
      </c>
      <c r="D19415" s="17" t="s">
        <v>14</v>
      </c>
      <c r="E19415" s="17" t="s">
        <v>106</v>
      </c>
      <c r="F19415" s="18"/>
      <c r="G19415" s="36" t="str">
        <f>IF(ISNUMBER(F19415),C19415*F19415,"")</f>
        <v/>
      </c>
    </row>
    <row r="19416" spans="1:7" ht="12" customHeight="1" outlineLevel="2" x14ac:dyDescent="0.2">
      <c r="A19416" s="14" t="s">
        <v>38214</v>
      </c>
      <c r="B19416" s="15" t="s">
        <v>38215</v>
      </c>
      <c r="C19416" s="16">
        <f>98.64/(1+B2)</f>
        <v>98.64</v>
      </c>
      <c r="D19416" s="17" t="s">
        <v>53</v>
      </c>
      <c r="E19416" s="17" t="s">
        <v>106</v>
      </c>
      <c r="F19416" s="18"/>
      <c r="G19416" s="36" t="str">
        <f>IF(ISNUMBER(F19416),C19416*F19416,"")</f>
        <v/>
      </c>
    </row>
    <row r="19417" spans="1:7" ht="12" customHeight="1" outlineLevel="2" x14ac:dyDescent="0.2">
      <c r="A19417" s="14" t="s">
        <v>38216</v>
      </c>
      <c r="B19417" s="15" t="s">
        <v>38217</v>
      </c>
      <c r="C19417" s="16">
        <f>110.6/(1+B2)</f>
        <v>110.6</v>
      </c>
      <c r="D19417" s="17" t="s">
        <v>14</v>
      </c>
      <c r="E19417" s="17" t="s">
        <v>106</v>
      </c>
      <c r="F19417" s="18"/>
      <c r="G19417" s="36" t="str">
        <f>IF(ISNUMBER(F19417),C19417*F19417,"")</f>
        <v/>
      </c>
    </row>
    <row r="19418" spans="1:7" ht="12" customHeight="1" outlineLevel="2" x14ac:dyDescent="0.2">
      <c r="A19418" s="14" t="s">
        <v>38218</v>
      </c>
      <c r="B19418" s="15" t="s">
        <v>38219</v>
      </c>
      <c r="C19418" s="16">
        <f>110.48/(1+B2)</f>
        <v>110.48</v>
      </c>
      <c r="D19418" s="17" t="s">
        <v>14</v>
      </c>
      <c r="E19418" s="17" t="s">
        <v>106</v>
      </c>
      <c r="F19418" s="18"/>
      <c r="G19418" s="36" t="str">
        <f>IF(ISNUMBER(F19418),C19418*F19418,"")</f>
        <v/>
      </c>
    </row>
    <row r="19419" spans="1:7" ht="12" customHeight="1" outlineLevel="2" x14ac:dyDescent="0.2">
      <c r="A19419" s="14" t="s">
        <v>38220</v>
      </c>
      <c r="B19419" s="15" t="s">
        <v>38221</v>
      </c>
      <c r="C19419" s="16">
        <f>127.54/(1+B2)</f>
        <v>127.54</v>
      </c>
      <c r="D19419" s="17" t="s">
        <v>53</v>
      </c>
      <c r="E19419" s="17" t="s">
        <v>106</v>
      </c>
      <c r="F19419" s="18"/>
      <c r="G19419" s="36" t="str">
        <f>IF(ISNUMBER(F19419),C19419*F19419,"")</f>
        <v/>
      </c>
    </row>
    <row r="19420" spans="1:7" ht="12" customHeight="1" outlineLevel="2" x14ac:dyDescent="0.2">
      <c r="A19420" s="14" t="s">
        <v>38222</v>
      </c>
      <c r="B19420" s="15" t="s">
        <v>38223</v>
      </c>
      <c r="C19420" s="16">
        <f>127/(1+B2)</f>
        <v>127</v>
      </c>
      <c r="D19420" s="17" t="s">
        <v>14</v>
      </c>
      <c r="E19420" s="17" t="s">
        <v>106</v>
      </c>
      <c r="F19420" s="18"/>
      <c r="G19420" s="36" t="str">
        <f>IF(ISNUMBER(F19420),C19420*F19420,"")</f>
        <v/>
      </c>
    </row>
    <row r="19421" spans="1:7" ht="12" customHeight="1" outlineLevel="2" x14ac:dyDescent="0.2">
      <c r="A19421" s="14" t="s">
        <v>38224</v>
      </c>
      <c r="B19421" s="15" t="s">
        <v>38225</v>
      </c>
      <c r="C19421" s="16">
        <f>147.71/(1+B2)</f>
        <v>147.71</v>
      </c>
      <c r="D19421" s="17" t="s">
        <v>53</v>
      </c>
      <c r="E19421" s="17" t="s">
        <v>106</v>
      </c>
      <c r="F19421" s="18"/>
      <c r="G19421" s="36" t="str">
        <f>IF(ISNUMBER(F19421),C19421*F19421,"")</f>
        <v/>
      </c>
    </row>
    <row r="19422" spans="1:7" ht="12" customHeight="1" outlineLevel="2" x14ac:dyDescent="0.2">
      <c r="A19422" s="14" t="s">
        <v>38226</v>
      </c>
      <c r="B19422" s="15" t="s">
        <v>38227</v>
      </c>
      <c r="C19422" s="16">
        <f>145.34/(1+B2)</f>
        <v>145.34</v>
      </c>
      <c r="D19422" s="17" t="s">
        <v>11</v>
      </c>
      <c r="E19422" s="17" t="s">
        <v>106</v>
      </c>
      <c r="F19422" s="18"/>
      <c r="G19422" s="36" t="str">
        <f>IF(ISNUMBER(F19422),C19422*F19422,"")</f>
        <v/>
      </c>
    </row>
    <row r="19423" spans="1:7" ht="12" customHeight="1" outlineLevel="2" x14ac:dyDescent="0.2">
      <c r="A19423" s="14" t="s">
        <v>38228</v>
      </c>
      <c r="B19423" s="15" t="s">
        <v>38229</v>
      </c>
      <c r="C19423" s="16">
        <f>165.84/(1+B2)</f>
        <v>165.84</v>
      </c>
      <c r="D19423" s="17" t="s">
        <v>11</v>
      </c>
      <c r="E19423" s="17" t="s">
        <v>53</v>
      </c>
      <c r="F19423" s="18"/>
      <c r="G19423" s="36" t="str">
        <f>IF(ISNUMBER(F19423),C19423*F19423,"")</f>
        <v/>
      </c>
    </row>
    <row r="19424" spans="1:7" ht="12" customHeight="1" outlineLevel="2" x14ac:dyDescent="0.2">
      <c r="A19424" s="14" t="s">
        <v>38230</v>
      </c>
      <c r="B19424" s="15" t="s">
        <v>38231</v>
      </c>
      <c r="C19424" s="16">
        <f>165.13/(1+B2)</f>
        <v>165.13</v>
      </c>
      <c r="D19424" s="17" t="s">
        <v>11</v>
      </c>
      <c r="E19424" s="17" t="s">
        <v>14</v>
      </c>
      <c r="F19424" s="18"/>
      <c r="G19424" s="36" t="str">
        <f>IF(ISNUMBER(F19424),C19424*F19424,"")</f>
        <v/>
      </c>
    </row>
    <row r="19425" spans="1:7" ht="12" customHeight="1" outlineLevel="2" x14ac:dyDescent="0.2">
      <c r="A19425" s="14" t="s">
        <v>38232</v>
      </c>
      <c r="B19425" s="15" t="s">
        <v>38233</v>
      </c>
      <c r="C19425" s="16">
        <f>178.99/(1+B2)</f>
        <v>178.99</v>
      </c>
      <c r="D19425" s="17" t="s">
        <v>11</v>
      </c>
      <c r="E19425" s="17" t="s">
        <v>106</v>
      </c>
      <c r="F19425" s="18"/>
      <c r="G19425" s="36" t="str">
        <f>IF(ISNUMBER(F19425),C19425*F19425,"")</f>
        <v/>
      </c>
    </row>
    <row r="19426" spans="1:7" ht="12" customHeight="1" outlineLevel="2" x14ac:dyDescent="0.2">
      <c r="A19426" s="14" t="s">
        <v>38234</v>
      </c>
      <c r="B19426" s="15" t="s">
        <v>38235</v>
      </c>
      <c r="C19426" s="16">
        <f>180.75/(1+B2)</f>
        <v>180.75</v>
      </c>
      <c r="D19426" s="17" t="s">
        <v>53</v>
      </c>
      <c r="E19426" s="17" t="s">
        <v>53</v>
      </c>
      <c r="F19426" s="18"/>
      <c r="G19426" s="36" t="str">
        <f>IF(ISNUMBER(F19426),C19426*F19426,"")</f>
        <v/>
      </c>
    </row>
    <row r="19427" spans="1:7" ht="12" customHeight="1" outlineLevel="2" x14ac:dyDescent="0.2">
      <c r="A19427" s="14" t="s">
        <v>38236</v>
      </c>
      <c r="B19427" s="15" t="s">
        <v>38237</v>
      </c>
      <c r="C19427" s="16">
        <f>210.65/(1+B2)</f>
        <v>210.65</v>
      </c>
      <c r="D19427" s="17" t="s">
        <v>14</v>
      </c>
      <c r="E19427" s="17"/>
      <c r="F19427" s="18"/>
      <c r="G19427" s="36" t="str">
        <f>IF(ISNUMBER(F19427),C19427*F19427,"")</f>
        <v/>
      </c>
    </row>
    <row r="19428" spans="1:7" ht="12" customHeight="1" outlineLevel="2" x14ac:dyDescent="0.2">
      <c r="A19428" s="14" t="s">
        <v>38238</v>
      </c>
      <c r="B19428" s="15" t="s">
        <v>38239</v>
      </c>
      <c r="C19428" s="16">
        <f>215.78/(1+B2)</f>
        <v>215.78</v>
      </c>
      <c r="D19428" s="17" t="s">
        <v>11</v>
      </c>
      <c r="E19428" s="17" t="s">
        <v>14</v>
      </c>
      <c r="F19428" s="18"/>
      <c r="G19428" s="36" t="str">
        <f>IF(ISNUMBER(F19428),C19428*F19428,"")</f>
        <v/>
      </c>
    </row>
    <row r="19429" spans="1:7" ht="12" customHeight="1" outlineLevel="2" x14ac:dyDescent="0.2">
      <c r="A19429" s="14" t="s">
        <v>38240</v>
      </c>
      <c r="B19429" s="15" t="s">
        <v>38241</v>
      </c>
      <c r="C19429" s="16">
        <f>247.5/(1+B2)</f>
        <v>247.5</v>
      </c>
      <c r="D19429" s="17" t="s">
        <v>11</v>
      </c>
      <c r="E19429" s="17" t="s">
        <v>106</v>
      </c>
      <c r="F19429" s="18"/>
      <c r="G19429" s="36" t="str">
        <f>IF(ISNUMBER(F19429),C19429*F19429,"")</f>
        <v/>
      </c>
    </row>
    <row r="19430" spans="1:7" ht="12" customHeight="1" outlineLevel="2" x14ac:dyDescent="0.2">
      <c r="A19430" s="14" t="s">
        <v>38242</v>
      </c>
      <c r="B19430" s="15" t="s">
        <v>38243</v>
      </c>
      <c r="C19430" s="16">
        <f>240.35/(1+B2)</f>
        <v>240.35</v>
      </c>
      <c r="D19430" s="17" t="s">
        <v>11</v>
      </c>
      <c r="E19430" s="17" t="s">
        <v>53</v>
      </c>
      <c r="F19430" s="18"/>
      <c r="G19430" s="36" t="str">
        <f>IF(ISNUMBER(F19430),C19430*F19430,"")</f>
        <v/>
      </c>
    </row>
    <row r="19431" spans="1:7" ht="12" customHeight="1" outlineLevel="2" x14ac:dyDescent="0.2">
      <c r="A19431" s="14" t="s">
        <v>38244</v>
      </c>
      <c r="B19431" s="15" t="s">
        <v>38245</v>
      </c>
      <c r="C19431" s="16">
        <f>303.16/(1+B2)</f>
        <v>303.16000000000003</v>
      </c>
      <c r="D19431" s="17" t="s">
        <v>11</v>
      </c>
      <c r="E19431" s="17" t="s">
        <v>14</v>
      </c>
      <c r="F19431" s="18"/>
      <c r="G19431" s="36" t="str">
        <f>IF(ISNUMBER(F19431),C19431*F19431,"")</f>
        <v/>
      </c>
    </row>
    <row r="19432" spans="1:7" ht="12" customHeight="1" outlineLevel="2" x14ac:dyDescent="0.2">
      <c r="A19432" s="14" t="s">
        <v>38246</v>
      </c>
      <c r="B19432" s="15" t="s">
        <v>38247</v>
      </c>
      <c r="C19432" s="16">
        <f>284.9/(1+B2)</f>
        <v>284.89999999999998</v>
      </c>
      <c r="D19432" s="17" t="s">
        <v>11</v>
      </c>
      <c r="E19432" s="17" t="s">
        <v>53</v>
      </c>
      <c r="F19432" s="18"/>
      <c r="G19432" s="36" t="str">
        <f>IF(ISNUMBER(F19432),C19432*F19432,"")</f>
        <v/>
      </c>
    </row>
    <row r="19433" spans="1:7" ht="12" customHeight="1" outlineLevel="2" x14ac:dyDescent="0.2">
      <c r="A19433" s="14" t="s">
        <v>38248</v>
      </c>
      <c r="B19433" s="15" t="s">
        <v>38249</v>
      </c>
      <c r="C19433" s="16">
        <f>327.15/(1+B2)</f>
        <v>327.14999999999998</v>
      </c>
      <c r="D19433" s="17" t="s">
        <v>11</v>
      </c>
      <c r="E19433" s="17" t="s">
        <v>106</v>
      </c>
      <c r="F19433" s="18"/>
      <c r="G19433" s="36" t="str">
        <f>IF(ISNUMBER(F19433),C19433*F19433,"")</f>
        <v/>
      </c>
    </row>
    <row r="19434" spans="1:7" ht="12" customHeight="1" outlineLevel="2" x14ac:dyDescent="0.2">
      <c r="A19434" s="14" t="s">
        <v>38250</v>
      </c>
      <c r="B19434" s="15" t="s">
        <v>38251</v>
      </c>
      <c r="C19434" s="16">
        <f>322.84/(1+B2)</f>
        <v>322.83999999999997</v>
      </c>
      <c r="D19434" s="17" t="s">
        <v>11</v>
      </c>
      <c r="E19434" s="17"/>
      <c r="F19434" s="18"/>
      <c r="G19434" s="36" t="str">
        <f>IF(ISNUMBER(F19434),C19434*F19434,"")</f>
        <v/>
      </c>
    </row>
    <row r="19435" spans="1:7" ht="12" customHeight="1" outlineLevel="2" x14ac:dyDescent="0.2">
      <c r="A19435" s="14" t="s">
        <v>38252</v>
      </c>
      <c r="B19435" s="15" t="s">
        <v>38253</v>
      </c>
      <c r="C19435" s="16">
        <f>852/(1+B2)</f>
        <v>852</v>
      </c>
      <c r="D19435" s="17" t="s">
        <v>11</v>
      </c>
      <c r="E19435" s="17"/>
      <c r="F19435" s="18"/>
      <c r="G19435" s="36" t="str">
        <f>IF(ISNUMBER(F19435),C19435*F19435,"")</f>
        <v/>
      </c>
    </row>
    <row r="19436" spans="1:7" ht="12" customHeight="1" outlineLevel="2" x14ac:dyDescent="0.2">
      <c r="A19436" s="14" t="s">
        <v>38254</v>
      </c>
      <c r="B19436" s="15" t="s">
        <v>38255</v>
      </c>
      <c r="C19436" s="16">
        <f>958.24/(1+B2)</f>
        <v>958.24</v>
      </c>
      <c r="D19436" s="17"/>
      <c r="E19436" s="17" t="s">
        <v>11</v>
      </c>
      <c r="F19436" s="18"/>
      <c r="G19436" s="36" t="str">
        <f>IF(ISNUMBER(F19436),C19436*F19436,"")</f>
        <v/>
      </c>
    </row>
    <row r="19437" spans="1:7" ht="12" customHeight="1" outlineLevel="2" x14ac:dyDescent="0.2">
      <c r="A19437" s="14" t="s">
        <v>38256</v>
      </c>
      <c r="B19437" s="15" t="s">
        <v>38257</v>
      </c>
      <c r="C19437" s="16">
        <f>739.33/(1+B2)</f>
        <v>739.33</v>
      </c>
      <c r="D19437" s="17" t="s">
        <v>11</v>
      </c>
      <c r="E19437" s="17"/>
      <c r="F19437" s="18"/>
      <c r="G19437" s="36" t="str">
        <f>IF(ISNUMBER(F19437),C19437*F19437,"")</f>
        <v/>
      </c>
    </row>
    <row r="19438" spans="1:7" ht="12" customHeight="1" outlineLevel="2" x14ac:dyDescent="0.2">
      <c r="A19438" s="14" t="s">
        <v>38258</v>
      </c>
      <c r="B19438" s="15" t="s">
        <v>38259</v>
      </c>
      <c r="C19438" s="16">
        <f>777.31/(1+B2)</f>
        <v>777.31</v>
      </c>
      <c r="D19438" s="17" t="s">
        <v>11</v>
      </c>
      <c r="E19438" s="17"/>
      <c r="F19438" s="18"/>
      <c r="G19438" s="36" t="str">
        <f>IF(ISNUMBER(F19438),C19438*F19438,"")</f>
        <v/>
      </c>
    </row>
    <row r="19439" spans="1:7" ht="12" customHeight="1" outlineLevel="2" x14ac:dyDescent="0.2">
      <c r="A19439" s="14" t="s">
        <v>38260</v>
      </c>
      <c r="B19439" s="15" t="s">
        <v>38261</v>
      </c>
      <c r="C19439" s="16">
        <f>852/(1+B2)</f>
        <v>852</v>
      </c>
      <c r="D19439" s="17" t="s">
        <v>11</v>
      </c>
      <c r="E19439" s="17"/>
      <c r="F19439" s="18"/>
      <c r="G19439" s="36" t="str">
        <f>IF(ISNUMBER(F19439),C19439*F19439,"")</f>
        <v/>
      </c>
    </row>
    <row r="19440" spans="1:7" ht="12" customHeight="1" outlineLevel="2" x14ac:dyDescent="0.2">
      <c r="A19440" s="14" t="s">
        <v>38262</v>
      </c>
      <c r="B19440" s="15" t="s">
        <v>38263</v>
      </c>
      <c r="C19440" s="16">
        <f>927.96/(1+B2)</f>
        <v>927.96</v>
      </c>
      <c r="D19440" s="17" t="s">
        <v>11</v>
      </c>
      <c r="E19440" s="17"/>
      <c r="F19440" s="18"/>
      <c r="G19440" s="36" t="str">
        <f>IF(ISNUMBER(F19440),C19440*F19440,"")</f>
        <v/>
      </c>
    </row>
    <row r="19441" spans="1:7" ht="12" customHeight="1" outlineLevel="2" x14ac:dyDescent="0.2">
      <c r="A19441" s="14" t="s">
        <v>38264</v>
      </c>
      <c r="B19441" s="15" t="s">
        <v>38265</v>
      </c>
      <c r="C19441" s="16">
        <f>263.94/(1+B2)</f>
        <v>263.94</v>
      </c>
      <c r="D19441" s="17" t="s">
        <v>11</v>
      </c>
      <c r="E19441" s="17"/>
      <c r="F19441" s="18"/>
      <c r="G19441" s="36" t="str">
        <f>IF(ISNUMBER(F19441),C19441*F19441,"")</f>
        <v/>
      </c>
    </row>
    <row r="19442" spans="1:7" ht="12" customHeight="1" outlineLevel="2" x14ac:dyDescent="0.2">
      <c r="A19442" s="14" t="s">
        <v>38266</v>
      </c>
      <c r="B19442" s="15" t="s">
        <v>38267</v>
      </c>
      <c r="C19442" s="16">
        <f>297.4/(1+B2)</f>
        <v>297.39999999999998</v>
      </c>
      <c r="D19442" s="17" t="s">
        <v>11</v>
      </c>
      <c r="E19442" s="17"/>
      <c r="F19442" s="18"/>
      <c r="G19442" s="36" t="str">
        <f>IF(ISNUMBER(F19442),C19442*F19442,"")</f>
        <v/>
      </c>
    </row>
    <row r="19443" spans="1:7" ht="12" customHeight="1" outlineLevel="2" x14ac:dyDescent="0.2">
      <c r="A19443" s="14" t="s">
        <v>38268</v>
      </c>
      <c r="B19443" s="15" t="s">
        <v>38269</v>
      </c>
      <c r="C19443" s="16">
        <f>308.26/(1+B2)</f>
        <v>308.26</v>
      </c>
      <c r="D19443" s="17" t="s">
        <v>11</v>
      </c>
      <c r="E19443" s="17"/>
      <c r="F19443" s="18"/>
      <c r="G19443" s="36" t="str">
        <f>IF(ISNUMBER(F19443),C19443*F19443,"")</f>
        <v/>
      </c>
    </row>
    <row r="19444" spans="1:7" ht="12" customHeight="1" outlineLevel="2" x14ac:dyDescent="0.2">
      <c r="A19444" s="14" t="s">
        <v>38270</v>
      </c>
      <c r="B19444" s="15" t="s">
        <v>38271</v>
      </c>
      <c r="C19444" s="16">
        <f>353.21/(1+B2)</f>
        <v>353.21</v>
      </c>
      <c r="D19444" s="17" t="s">
        <v>11</v>
      </c>
      <c r="E19444" s="17"/>
      <c r="F19444" s="18"/>
      <c r="G19444" s="36" t="str">
        <f>IF(ISNUMBER(F19444),C19444*F19444,"")</f>
        <v/>
      </c>
    </row>
    <row r="19445" spans="1:7" ht="12" customHeight="1" outlineLevel="2" x14ac:dyDescent="0.2">
      <c r="A19445" s="14" t="s">
        <v>38272</v>
      </c>
      <c r="B19445" s="15" t="s">
        <v>38273</v>
      </c>
      <c r="C19445" s="16">
        <f>260.33/(1+B2)</f>
        <v>260.33</v>
      </c>
      <c r="D19445" s="17" t="s">
        <v>11</v>
      </c>
      <c r="E19445" s="17"/>
      <c r="F19445" s="18"/>
      <c r="G19445" s="36" t="str">
        <f>IF(ISNUMBER(F19445),C19445*F19445,"")</f>
        <v/>
      </c>
    </row>
    <row r="19446" spans="1:7" ht="12" customHeight="1" outlineLevel="2" x14ac:dyDescent="0.2">
      <c r="A19446" s="14" t="s">
        <v>38274</v>
      </c>
      <c r="B19446" s="15" t="s">
        <v>38275</v>
      </c>
      <c r="C19446" s="16">
        <f>291.18/(1+B2)</f>
        <v>291.18</v>
      </c>
      <c r="D19446" s="17" t="s">
        <v>11</v>
      </c>
      <c r="E19446" s="17" t="s">
        <v>11</v>
      </c>
      <c r="F19446" s="18"/>
      <c r="G19446" s="36" t="str">
        <f>IF(ISNUMBER(F19446),C19446*F19446,"")</f>
        <v/>
      </c>
    </row>
    <row r="19447" spans="1:7" ht="12" customHeight="1" outlineLevel="2" x14ac:dyDescent="0.2">
      <c r="A19447" s="14" t="s">
        <v>38276</v>
      </c>
      <c r="B19447" s="15" t="s">
        <v>38277</v>
      </c>
      <c r="C19447" s="16">
        <f>352.19/(1+B2)</f>
        <v>352.19</v>
      </c>
      <c r="D19447" s="17" t="s">
        <v>11</v>
      </c>
      <c r="E19447" s="17"/>
      <c r="F19447" s="18"/>
      <c r="G19447" s="36" t="str">
        <f>IF(ISNUMBER(F19447),C19447*F19447,"")</f>
        <v/>
      </c>
    </row>
    <row r="19448" spans="1:7" ht="12" customHeight="1" outlineLevel="2" x14ac:dyDescent="0.2">
      <c r="A19448" s="14" t="s">
        <v>38278</v>
      </c>
      <c r="B19448" s="15" t="s">
        <v>38279</v>
      </c>
      <c r="C19448" s="16">
        <f>284/(1+B2)</f>
        <v>284</v>
      </c>
      <c r="D19448" s="17" t="s">
        <v>11</v>
      </c>
      <c r="E19448" s="17"/>
      <c r="F19448" s="18"/>
      <c r="G19448" s="36" t="str">
        <f>IF(ISNUMBER(F19448),C19448*F19448,"")</f>
        <v/>
      </c>
    </row>
    <row r="19449" spans="1:7" ht="12" customHeight="1" outlineLevel="2" x14ac:dyDescent="0.2">
      <c r="A19449" s="14" t="s">
        <v>38280</v>
      </c>
      <c r="B19449" s="15" t="s">
        <v>38281</v>
      </c>
      <c r="C19449" s="16">
        <f>291.18/(1+B2)</f>
        <v>291.18</v>
      </c>
      <c r="D19449" s="17" t="s">
        <v>11</v>
      </c>
      <c r="E19449" s="17"/>
      <c r="F19449" s="18"/>
      <c r="G19449" s="36" t="str">
        <f>IF(ISNUMBER(F19449),C19449*F19449,"")</f>
        <v/>
      </c>
    </row>
    <row r="19450" spans="1:7" ht="12" customHeight="1" outlineLevel="2" x14ac:dyDescent="0.2">
      <c r="A19450" s="14" t="s">
        <v>38282</v>
      </c>
      <c r="B19450" s="15" t="s">
        <v>38283</v>
      </c>
      <c r="C19450" s="16">
        <f>352.19/(1+B2)</f>
        <v>352.19</v>
      </c>
      <c r="D19450" s="17" t="s">
        <v>11</v>
      </c>
      <c r="E19450" s="17"/>
      <c r="F19450" s="18"/>
      <c r="G19450" s="36" t="str">
        <f>IF(ISNUMBER(F19450),C19450*F19450,"")</f>
        <v/>
      </c>
    </row>
    <row r="19451" spans="1:7" s="1" customFormat="1" ht="15.95" customHeight="1" outlineLevel="1" x14ac:dyDescent="0.25">
      <c r="A19451" s="11"/>
      <c r="B19451" s="12" t="s">
        <v>38284</v>
      </c>
      <c r="C19451" s="13"/>
      <c r="D19451" s="13"/>
      <c r="E19451" s="13"/>
      <c r="F19451" s="13"/>
      <c r="G19451" s="35"/>
    </row>
    <row r="19452" spans="1:7" ht="12" customHeight="1" outlineLevel="2" x14ac:dyDescent="0.2">
      <c r="A19452" s="14" t="s">
        <v>38285</v>
      </c>
      <c r="B19452" s="15" t="s">
        <v>38286</v>
      </c>
      <c r="C19452" s="19">
        <f>1231.63/(1+B2)</f>
        <v>1231.6300000000001</v>
      </c>
      <c r="D19452" s="17" t="s">
        <v>11</v>
      </c>
      <c r="E19452" s="17" t="s">
        <v>106</v>
      </c>
      <c r="F19452" s="18"/>
      <c r="G19452" s="36" t="str">
        <f>IF(ISNUMBER(F19452),C19452*F19452,"")</f>
        <v/>
      </c>
    </row>
    <row r="19453" spans="1:7" ht="12" customHeight="1" outlineLevel="2" x14ac:dyDescent="0.2">
      <c r="A19453" s="14" t="s">
        <v>38287</v>
      </c>
      <c r="B19453" s="15" t="s">
        <v>38288</v>
      </c>
      <c r="C19453" s="19">
        <f>1184.78/(1+B2)</f>
        <v>1184.78</v>
      </c>
      <c r="D19453" s="17" t="s">
        <v>11</v>
      </c>
      <c r="E19453" s="17"/>
      <c r="F19453" s="18"/>
      <c r="G19453" s="36" t="str">
        <f>IF(ISNUMBER(F19453),C19453*F19453,"")</f>
        <v/>
      </c>
    </row>
    <row r="19454" spans="1:7" ht="24" customHeight="1" outlineLevel="2" x14ac:dyDescent="0.2">
      <c r="A19454" s="14" t="s">
        <v>38289</v>
      </c>
      <c r="B19454" s="15" t="s">
        <v>38290</v>
      </c>
      <c r="C19454" s="19">
        <f>1258.77/(1+B2)</f>
        <v>1258.77</v>
      </c>
      <c r="D19454" s="17" t="s">
        <v>11</v>
      </c>
      <c r="E19454" s="17" t="s">
        <v>11</v>
      </c>
      <c r="F19454" s="18"/>
      <c r="G19454" s="36" t="str">
        <f>IF(ISNUMBER(F19454),C19454*F19454,"")</f>
        <v/>
      </c>
    </row>
    <row r="19455" spans="1:7" ht="12" customHeight="1" outlineLevel="2" x14ac:dyDescent="0.2">
      <c r="A19455" s="14" t="s">
        <v>38291</v>
      </c>
      <c r="B19455" s="15" t="s">
        <v>38292</v>
      </c>
      <c r="C19455" s="16">
        <f>285.34/(1+B2)</f>
        <v>285.33999999999997</v>
      </c>
      <c r="D19455" s="17" t="s">
        <v>11</v>
      </c>
      <c r="E19455" s="17" t="s">
        <v>106</v>
      </c>
      <c r="F19455" s="18"/>
      <c r="G19455" s="36" t="str">
        <f>IF(ISNUMBER(F19455),C19455*F19455,"")</f>
        <v/>
      </c>
    </row>
    <row r="19456" spans="1:7" ht="12" customHeight="1" outlineLevel="2" x14ac:dyDescent="0.2">
      <c r="A19456" s="14" t="s">
        <v>38293</v>
      </c>
      <c r="B19456" s="15" t="s">
        <v>38294</v>
      </c>
      <c r="C19456" s="16">
        <f>338.57/(1+B2)</f>
        <v>338.57</v>
      </c>
      <c r="D19456" s="17" t="s">
        <v>53</v>
      </c>
      <c r="E19456" s="17" t="s">
        <v>106</v>
      </c>
      <c r="F19456" s="18"/>
      <c r="G19456" s="36" t="str">
        <f>IF(ISNUMBER(F19456),C19456*F19456,"")</f>
        <v/>
      </c>
    </row>
    <row r="19457" spans="1:7" ht="12" customHeight="1" outlineLevel="2" x14ac:dyDescent="0.2">
      <c r="A19457" s="14" t="s">
        <v>38295</v>
      </c>
      <c r="B19457" s="15" t="s">
        <v>38296</v>
      </c>
      <c r="C19457" s="16">
        <f>313.88/(1+B2)</f>
        <v>313.88</v>
      </c>
      <c r="D19457" s="17" t="s">
        <v>11</v>
      </c>
      <c r="E19457" s="17" t="s">
        <v>14</v>
      </c>
      <c r="F19457" s="18"/>
      <c r="G19457" s="36" t="str">
        <f>IF(ISNUMBER(F19457),C19457*F19457,"")</f>
        <v/>
      </c>
    </row>
    <row r="19458" spans="1:7" ht="12" customHeight="1" outlineLevel="2" x14ac:dyDescent="0.2">
      <c r="A19458" s="14" t="s">
        <v>38297</v>
      </c>
      <c r="B19458" s="15" t="s">
        <v>38298</v>
      </c>
      <c r="C19458" s="16">
        <f>372.39/(1+B2)</f>
        <v>372.39</v>
      </c>
      <c r="D19458" s="17" t="s">
        <v>14</v>
      </c>
      <c r="E19458" s="17" t="s">
        <v>106</v>
      </c>
      <c r="F19458" s="18"/>
      <c r="G19458" s="36" t="str">
        <f>IF(ISNUMBER(F19458),C19458*F19458,"")</f>
        <v/>
      </c>
    </row>
    <row r="19459" spans="1:7" ht="12" customHeight="1" outlineLevel="2" x14ac:dyDescent="0.2">
      <c r="A19459" s="14" t="s">
        <v>38299</v>
      </c>
      <c r="B19459" s="15" t="s">
        <v>38300</v>
      </c>
      <c r="C19459" s="16">
        <f>481.14/(1+B2)</f>
        <v>481.14</v>
      </c>
      <c r="D19459" s="17" t="s">
        <v>11</v>
      </c>
      <c r="E19459" s="17"/>
      <c r="F19459" s="18"/>
      <c r="G19459" s="36" t="str">
        <f>IF(ISNUMBER(F19459),C19459*F19459,"")</f>
        <v/>
      </c>
    </row>
    <row r="19460" spans="1:7" ht="12" customHeight="1" outlineLevel="2" x14ac:dyDescent="0.2">
      <c r="A19460" s="14" t="s">
        <v>38301</v>
      </c>
      <c r="B19460" s="15" t="s">
        <v>38302</v>
      </c>
      <c r="C19460" s="16">
        <f>520.88/(1+B2)</f>
        <v>520.88</v>
      </c>
      <c r="D19460" s="17" t="s">
        <v>11</v>
      </c>
      <c r="E19460" s="17" t="s">
        <v>14</v>
      </c>
      <c r="F19460" s="18"/>
      <c r="G19460" s="36" t="str">
        <f>IF(ISNUMBER(F19460),C19460*F19460,"")</f>
        <v/>
      </c>
    </row>
    <row r="19461" spans="1:7" ht="12" customHeight="1" outlineLevel="2" x14ac:dyDescent="0.2">
      <c r="A19461" s="14" t="s">
        <v>38303</v>
      </c>
      <c r="B19461" s="15" t="s">
        <v>38304</v>
      </c>
      <c r="C19461" s="16">
        <f>551.8/(1+B2)</f>
        <v>551.79999999999995</v>
      </c>
      <c r="D19461" s="17" t="s">
        <v>11</v>
      </c>
      <c r="E19461" s="17" t="s">
        <v>106</v>
      </c>
      <c r="F19461" s="18"/>
      <c r="G19461" s="36" t="str">
        <f>IF(ISNUMBER(F19461),C19461*F19461,"")</f>
        <v/>
      </c>
    </row>
    <row r="19462" spans="1:7" ht="12" customHeight="1" outlineLevel="2" x14ac:dyDescent="0.2">
      <c r="A19462" s="14" t="s">
        <v>38305</v>
      </c>
      <c r="B19462" s="15" t="s">
        <v>38306</v>
      </c>
      <c r="C19462" s="16">
        <f>132.45/(1+B2)</f>
        <v>132.44999999999999</v>
      </c>
      <c r="D19462" s="17" t="s">
        <v>11</v>
      </c>
      <c r="E19462" s="17" t="s">
        <v>106</v>
      </c>
      <c r="F19462" s="18"/>
      <c r="G19462" s="36" t="str">
        <f>IF(ISNUMBER(F19462),C19462*F19462,"")</f>
        <v/>
      </c>
    </row>
    <row r="19463" spans="1:7" ht="12" customHeight="1" outlineLevel="2" x14ac:dyDescent="0.2">
      <c r="A19463" s="14" t="s">
        <v>38307</v>
      </c>
      <c r="B19463" s="15" t="s">
        <v>38308</v>
      </c>
      <c r="C19463" s="16">
        <f>471.5/(1+B2)</f>
        <v>471.5</v>
      </c>
      <c r="D19463" s="17" t="s">
        <v>11</v>
      </c>
      <c r="E19463" s="17" t="s">
        <v>106</v>
      </c>
      <c r="F19463" s="18"/>
      <c r="G19463" s="36" t="str">
        <f>IF(ISNUMBER(F19463),C19463*F19463,"")</f>
        <v/>
      </c>
    </row>
    <row r="19464" spans="1:7" ht="12" customHeight="1" outlineLevel="2" x14ac:dyDescent="0.2">
      <c r="A19464" s="14" t="s">
        <v>38309</v>
      </c>
      <c r="B19464" s="15" t="s">
        <v>38310</v>
      </c>
      <c r="C19464" s="16">
        <f>554.87/(1+B2)</f>
        <v>554.87</v>
      </c>
      <c r="D19464" s="17" t="s">
        <v>11</v>
      </c>
      <c r="E19464" s="17" t="s">
        <v>53</v>
      </c>
      <c r="F19464" s="18"/>
      <c r="G19464" s="36" t="str">
        <f>IF(ISNUMBER(F19464),C19464*F19464,"")</f>
        <v/>
      </c>
    </row>
    <row r="19465" spans="1:7" ht="12" customHeight="1" outlineLevel="2" x14ac:dyDescent="0.2">
      <c r="A19465" s="14" t="s">
        <v>38311</v>
      </c>
      <c r="B19465" s="15" t="s">
        <v>38312</v>
      </c>
      <c r="C19465" s="16">
        <f>539.45/(1+B2)</f>
        <v>539.45000000000005</v>
      </c>
      <c r="D19465" s="17" t="s">
        <v>11</v>
      </c>
      <c r="E19465" s="17" t="s">
        <v>106</v>
      </c>
      <c r="F19465" s="18"/>
      <c r="G19465" s="36" t="str">
        <f>IF(ISNUMBER(F19465),C19465*F19465,"")</f>
        <v/>
      </c>
    </row>
    <row r="19466" spans="1:7" ht="12" customHeight="1" outlineLevel="2" x14ac:dyDescent="0.2">
      <c r="A19466" s="14" t="s">
        <v>38313</v>
      </c>
      <c r="B19466" s="15" t="s">
        <v>38314</v>
      </c>
      <c r="C19466" s="16">
        <f>471.5/(1+B2)</f>
        <v>471.5</v>
      </c>
      <c r="D19466" s="17" t="s">
        <v>11</v>
      </c>
      <c r="E19466" s="17" t="s">
        <v>106</v>
      </c>
      <c r="F19466" s="18"/>
      <c r="G19466" s="36" t="str">
        <f>IF(ISNUMBER(F19466),C19466*F19466,"")</f>
        <v/>
      </c>
    </row>
    <row r="19467" spans="1:7" ht="12" customHeight="1" outlineLevel="2" x14ac:dyDescent="0.2">
      <c r="A19467" s="14" t="s">
        <v>38315</v>
      </c>
      <c r="B19467" s="15" t="s">
        <v>38316</v>
      </c>
      <c r="C19467" s="16">
        <f>554.87/(1+B2)</f>
        <v>554.87</v>
      </c>
      <c r="D19467" s="17" t="s">
        <v>11</v>
      </c>
      <c r="E19467" s="17" t="s">
        <v>53</v>
      </c>
      <c r="F19467" s="18"/>
      <c r="G19467" s="36" t="str">
        <f>IF(ISNUMBER(F19467),C19467*F19467,"")</f>
        <v/>
      </c>
    </row>
    <row r="19468" spans="1:7" ht="12" customHeight="1" outlineLevel="2" x14ac:dyDescent="0.2">
      <c r="A19468" s="14" t="s">
        <v>38317</v>
      </c>
      <c r="B19468" s="15" t="s">
        <v>38318</v>
      </c>
      <c r="C19468" s="16">
        <f>539.45/(1+B2)</f>
        <v>539.45000000000005</v>
      </c>
      <c r="D19468" s="17" t="s">
        <v>11</v>
      </c>
      <c r="E19468" s="17" t="s">
        <v>106</v>
      </c>
      <c r="F19468" s="18"/>
      <c r="G19468" s="36" t="str">
        <f>IF(ISNUMBER(F19468),C19468*F19468,"")</f>
        <v/>
      </c>
    </row>
    <row r="19469" spans="1:7" ht="12" customHeight="1" outlineLevel="2" x14ac:dyDescent="0.2">
      <c r="A19469" s="14" t="s">
        <v>38319</v>
      </c>
      <c r="B19469" s="15" t="s">
        <v>38320</v>
      </c>
      <c r="C19469" s="16">
        <f>614.73/(1+B2)</f>
        <v>614.73</v>
      </c>
      <c r="D19469" s="17" t="s">
        <v>11</v>
      </c>
      <c r="E19469" s="17" t="s">
        <v>11</v>
      </c>
      <c r="F19469" s="18"/>
      <c r="G19469" s="36" t="str">
        <f>IF(ISNUMBER(F19469),C19469*F19469,"")</f>
        <v/>
      </c>
    </row>
    <row r="19470" spans="1:7" ht="24" customHeight="1" outlineLevel="2" x14ac:dyDescent="0.2">
      <c r="A19470" s="14" t="s">
        <v>38321</v>
      </c>
      <c r="B19470" s="15" t="s">
        <v>38322</v>
      </c>
      <c r="C19470" s="19">
        <f>1703.36/(1+B2)</f>
        <v>1703.36</v>
      </c>
      <c r="D19470" s="17" t="s">
        <v>11</v>
      </c>
      <c r="E19470" s="17" t="s">
        <v>14</v>
      </c>
      <c r="F19470" s="18"/>
      <c r="G19470" s="36" t="str">
        <f>IF(ISNUMBER(F19470),C19470*F19470,"")</f>
        <v/>
      </c>
    </row>
    <row r="19471" spans="1:7" ht="24" customHeight="1" outlineLevel="2" x14ac:dyDescent="0.2">
      <c r="A19471" s="14" t="s">
        <v>38323</v>
      </c>
      <c r="B19471" s="15" t="s">
        <v>38324</v>
      </c>
      <c r="C19471" s="19">
        <f>1574.33/(1+B2)</f>
        <v>1574.33</v>
      </c>
      <c r="D19471" s="17" t="s">
        <v>11</v>
      </c>
      <c r="E19471" s="17"/>
      <c r="F19471" s="18"/>
      <c r="G19471" s="36" t="str">
        <f>IF(ISNUMBER(F19471),C19471*F19471,"")</f>
        <v/>
      </c>
    </row>
    <row r="19472" spans="1:7" ht="24" customHeight="1" outlineLevel="2" x14ac:dyDescent="0.2">
      <c r="A19472" s="14" t="s">
        <v>38325</v>
      </c>
      <c r="B19472" s="15" t="s">
        <v>38326</v>
      </c>
      <c r="C19472" s="19">
        <f>1548.51/(1+B2)</f>
        <v>1548.51</v>
      </c>
      <c r="D19472" s="17" t="s">
        <v>11</v>
      </c>
      <c r="E19472" s="17"/>
      <c r="F19472" s="18"/>
      <c r="G19472" s="36" t="str">
        <f>IF(ISNUMBER(F19472),C19472*F19472,"")</f>
        <v/>
      </c>
    </row>
    <row r="19473" spans="1:7" ht="24" customHeight="1" outlineLevel="2" x14ac:dyDescent="0.2">
      <c r="A19473" s="14" t="s">
        <v>38327</v>
      </c>
      <c r="B19473" s="15" t="s">
        <v>38328</v>
      </c>
      <c r="C19473" s="19">
        <f>1132.37/(1+B2)</f>
        <v>1132.3699999999999</v>
      </c>
      <c r="D19473" s="17" t="s">
        <v>11</v>
      </c>
      <c r="E19473" s="17" t="s">
        <v>11</v>
      </c>
      <c r="F19473" s="18"/>
      <c r="G19473" s="36" t="str">
        <f>IF(ISNUMBER(F19473),C19473*F19473,"")</f>
        <v/>
      </c>
    </row>
    <row r="19474" spans="1:7" s="1" customFormat="1" ht="15.95" customHeight="1" outlineLevel="1" x14ac:dyDescent="0.25">
      <c r="A19474" s="11"/>
      <c r="B19474" s="12" t="s">
        <v>38329</v>
      </c>
      <c r="C19474" s="13"/>
      <c r="D19474" s="13"/>
      <c r="E19474" s="13"/>
      <c r="F19474" s="13"/>
      <c r="G19474" s="35"/>
    </row>
    <row r="19475" spans="1:7" ht="12" customHeight="1" outlineLevel="2" x14ac:dyDescent="0.2">
      <c r="A19475" s="14" t="s">
        <v>38330</v>
      </c>
      <c r="B19475" s="15" t="s">
        <v>38331</v>
      </c>
      <c r="C19475" s="16">
        <f>228.36/(1+B2)</f>
        <v>228.36</v>
      </c>
      <c r="D19475" s="17" t="s">
        <v>11</v>
      </c>
      <c r="E19475" s="17"/>
      <c r="F19475" s="18"/>
      <c r="G19475" s="36" t="str">
        <f>IF(ISNUMBER(F19475),C19475*F19475,"")</f>
        <v/>
      </c>
    </row>
    <row r="19476" spans="1:7" ht="12" customHeight="1" outlineLevel="2" x14ac:dyDescent="0.2">
      <c r="A19476" s="14" t="s">
        <v>38332</v>
      </c>
      <c r="B19476" s="15" t="s">
        <v>38333</v>
      </c>
      <c r="C19476" s="16">
        <f>232.98/(1+B2)</f>
        <v>232.98</v>
      </c>
      <c r="D19476" s="17" t="s">
        <v>11</v>
      </c>
      <c r="E19476" s="17" t="s">
        <v>14</v>
      </c>
      <c r="F19476" s="18"/>
      <c r="G19476" s="36" t="str">
        <f>IF(ISNUMBER(F19476),C19476*F19476,"")</f>
        <v/>
      </c>
    </row>
    <row r="19477" spans="1:7" ht="12" customHeight="1" outlineLevel="2" x14ac:dyDescent="0.2">
      <c r="A19477" s="14" t="s">
        <v>38334</v>
      </c>
      <c r="B19477" s="15" t="s">
        <v>38335</v>
      </c>
      <c r="C19477" s="16">
        <f>149.03/(1+B2)</f>
        <v>149.03</v>
      </c>
      <c r="D19477" s="17" t="s">
        <v>11</v>
      </c>
      <c r="E19477" s="17" t="s">
        <v>53</v>
      </c>
      <c r="F19477" s="18"/>
      <c r="G19477" s="36" t="str">
        <f>IF(ISNUMBER(F19477),C19477*F19477,"")</f>
        <v/>
      </c>
    </row>
    <row r="19478" spans="1:7" ht="12" customHeight="1" outlineLevel="2" x14ac:dyDescent="0.2">
      <c r="A19478" s="14" t="s">
        <v>38336</v>
      </c>
      <c r="B19478" s="15" t="s">
        <v>38337</v>
      </c>
      <c r="C19478" s="16">
        <f>119.94/(1+B2)</f>
        <v>119.94</v>
      </c>
      <c r="D19478" s="17" t="s">
        <v>14</v>
      </c>
      <c r="E19478" s="17" t="s">
        <v>106</v>
      </c>
      <c r="F19478" s="18"/>
      <c r="G19478" s="36" t="str">
        <f>IF(ISNUMBER(F19478),C19478*F19478,"")</f>
        <v/>
      </c>
    </row>
    <row r="19479" spans="1:7" ht="12" customHeight="1" outlineLevel="2" x14ac:dyDescent="0.2">
      <c r="A19479" s="14" t="s">
        <v>38338</v>
      </c>
      <c r="B19479" s="15" t="s">
        <v>38339</v>
      </c>
      <c r="C19479" s="16">
        <f>175.28/(1+B2)</f>
        <v>175.28</v>
      </c>
      <c r="D19479" s="17" t="s">
        <v>11</v>
      </c>
      <c r="E19479" s="17" t="s">
        <v>14</v>
      </c>
      <c r="F19479" s="18"/>
      <c r="G19479" s="36" t="str">
        <f>IF(ISNUMBER(F19479),C19479*F19479,"")</f>
        <v/>
      </c>
    </row>
    <row r="19480" spans="1:7" ht="12" customHeight="1" outlineLevel="2" x14ac:dyDescent="0.2">
      <c r="A19480" s="14" t="s">
        <v>38340</v>
      </c>
      <c r="B19480" s="15" t="s">
        <v>38341</v>
      </c>
      <c r="C19480" s="16">
        <f>119.94/(1+B2)</f>
        <v>119.94</v>
      </c>
      <c r="D19480" s="17" t="s">
        <v>14</v>
      </c>
      <c r="E19480" s="17" t="s">
        <v>106</v>
      </c>
      <c r="F19480" s="18"/>
      <c r="G19480" s="36" t="str">
        <f>IF(ISNUMBER(F19480),C19480*F19480,"")</f>
        <v/>
      </c>
    </row>
    <row r="19481" spans="1:7" ht="12" customHeight="1" outlineLevel="2" x14ac:dyDescent="0.2">
      <c r="A19481" s="14" t="s">
        <v>38342</v>
      </c>
      <c r="B19481" s="15" t="s">
        <v>38343</v>
      </c>
      <c r="C19481" s="16">
        <f>149.03/(1+B2)</f>
        <v>149.03</v>
      </c>
      <c r="D19481" s="17" t="s">
        <v>14</v>
      </c>
      <c r="E19481" s="17" t="s">
        <v>11</v>
      </c>
      <c r="F19481" s="18"/>
      <c r="G19481" s="36" t="str">
        <f>IF(ISNUMBER(F19481),C19481*F19481,"")</f>
        <v/>
      </c>
    </row>
    <row r="19482" spans="1:7" ht="12" customHeight="1" outlineLevel="2" x14ac:dyDescent="0.2">
      <c r="A19482" s="14" t="s">
        <v>38344</v>
      </c>
      <c r="B19482" s="15" t="s">
        <v>38345</v>
      </c>
      <c r="C19482" s="16">
        <f>611.3/(1+B2)</f>
        <v>611.29999999999995</v>
      </c>
      <c r="D19482" s="17" t="s">
        <v>11</v>
      </c>
      <c r="E19482" s="17" t="s">
        <v>106</v>
      </c>
      <c r="F19482" s="18"/>
      <c r="G19482" s="36" t="str">
        <f>IF(ISNUMBER(F19482),C19482*F19482,"")</f>
        <v/>
      </c>
    </row>
    <row r="19483" spans="1:7" ht="12" customHeight="1" outlineLevel="2" x14ac:dyDescent="0.2">
      <c r="A19483" s="14" t="s">
        <v>38346</v>
      </c>
      <c r="B19483" s="15" t="s">
        <v>38347</v>
      </c>
      <c r="C19483" s="16">
        <f>177.54/(1+B2)</f>
        <v>177.54</v>
      </c>
      <c r="D19483" s="17" t="s">
        <v>11</v>
      </c>
      <c r="E19483" s="17" t="s">
        <v>14</v>
      </c>
      <c r="F19483" s="18"/>
      <c r="G19483" s="36" t="str">
        <f>IF(ISNUMBER(F19483),C19483*F19483,"")</f>
        <v/>
      </c>
    </row>
    <row r="19484" spans="1:7" ht="12" customHeight="1" outlineLevel="2" x14ac:dyDescent="0.2">
      <c r="A19484" s="14" t="s">
        <v>38348</v>
      </c>
      <c r="B19484" s="15" t="s">
        <v>38349</v>
      </c>
      <c r="C19484" s="16">
        <f>177.54/(1+B2)</f>
        <v>177.54</v>
      </c>
      <c r="D19484" s="17" t="s">
        <v>11</v>
      </c>
      <c r="E19484" s="17" t="s">
        <v>14</v>
      </c>
      <c r="F19484" s="18"/>
      <c r="G19484" s="36" t="str">
        <f>IF(ISNUMBER(F19484),C19484*F19484,"")</f>
        <v/>
      </c>
    </row>
    <row r="19485" spans="1:7" ht="12" customHeight="1" outlineLevel="2" x14ac:dyDescent="0.2">
      <c r="A19485" s="14" t="s">
        <v>38350</v>
      </c>
      <c r="B19485" s="15" t="s">
        <v>38351</v>
      </c>
      <c r="C19485" s="16">
        <f>706.94/(1+B2)</f>
        <v>706.94</v>
      </c>
      <c r="D19485" s="17" t="s">
        <v>14</v>
      </c>
      <c r="E19485" s="17" t="s">
        <v>14</v>
      </c>
      <c r="F19485" s="18"/>
      <c r="G19485" s="36" t="str">
        <f>IF(ISNUMBER(F19485),C19485*F19485,"")</f>
        <v/>
      </c>
    </row>
    <row r="19486" spans="1:7" ht="12" customHeight="1" outlineLevel="2" x14ac:dyDescent="0.2">
      <c r="A19486" s="14" t="s">
        <v>38352</v>
      </c>
      <c r="B19486" s="15" t="s">
        <v>38353</v>
      </c>
      <c r="C19486" s="16">
        <f>706.94/(1+B2)</f>
        <v>706.94</v>
      </c>
      <c r="D19486" s="17" t="s">
        <v>11</v>
      </c>
      <c r="E19486" s="17" t="s">
        <v>106</v>
      </c>
      <c r="F19486" s="18"/>
      <c r="G19486" s="36" t="str">
        <f>IF(ISNUMBER(F19486),C19486*F19486,"")</f>
        <v/>
      </c>
    </row>
    <row r="19487" spans="1:7" ht="12" customHeight="1" outlineLevel="2" x14ac:dyDescent="0.2">
      <c r="A19487" s="14" t="s">
        <v>38354</v>
      </c>
      <c r="B19487" s="15" t="s">
        <v>38355</v>
      </c>
      <c r="C19487" s="16">
        <f>708.39/(1+B2)</f>
        <v>708.39</v>
      </c>
      <c r="D19487" s="17" t="s">
        <v>11</v>
      </c>
      <c r="E19487" s="17" t="s">
        <v>53</v>
      </c>
      <c r="F19487" s="18"/>
      <c r="G19487" s="36" t="str">
        <f>IF(ISNUMBER(F19487),C19487*F19487,"")</f>
        <v/>
      </c>
    </row>
    <row r="19488" spans="1:7" ht="12" customHeight="1" outlineLevel="2" x14ac:dyDescent="0.2">
      <c r="A19488" s="14" t="s">
        <v>38356</v>
      </c>
      <c r="B19488" s="15" t="s">
        <v>38357</v>
      </c>
      <c r="C19488" s="16">
        <f>708.39/(1+B2)</f>
        <v>708.39</v>
      </c>
      <c r="D19488" s="17" t="s">
        <v>11</v>
      </c>
      <c r="E19488" s="17" t="s">
        <v>14</v>
      </c>
      <c r="F19488" s="18"/>
      <c r="G19488" s="36" t="str">
        <f>IF(ISNUMBER(F19488),C19488*F19488,"")</f>
        <v/>
      </c>
    </row>
    <row r="19489" spans="1:7" ht="12" customHeight="1" outlineLevel="2" x14ac:dyDescent="0.2">
      <c r="A19489" s="14" t="s">
        <v>38358</v>
      </c>
      <c r="B19489" s="15" t="s">
        <v>38359</v>
      </c>
      <c r="C19489" s="16">
        <f>254.99/(1+B2)</f>
        <v>254.99</v>
      </c>
      <c r="D19489" s="17" t="s">
        <v>11</v>
      </c>
      <c r="E19489" s="17" t="s">
        <v>14</v>
      </c>
      <c r="F19489" s="18"/>
      <c r="G19489" s="36" t="str">
        <f>IF(ISNUMBER(F19489),C19489*F19489,"")</f>
        <v/>
      </c>
    </row>
    <row r="19490" spans="1:7" ht="12" customHeight="1" outlineLevel="2" x14ac:dyDescent="0.2">
      <c r="A19490" s="14" t="s">
        <v>38360</v>
      </c>
      <c r="B19490" s="15" t="s">
        <v>38361</v>
      </c>
      <c r="C19490" s="16">
        <f>659.87/(1+B2)</f>
        <v>659.87</v>
      </c>
      <c r="D19490" s="17" t="s">
        <v>11</v>
      </c>
      <c r="E19490" s="17" t="s">
        <v>11</v>
      </c>
      <c r="F19490" s="18"/>
      <c r="G19490" s="36" t="str">
        <f>IF(ISNUMBER(F19490),C19490*F19490,"")</f>
        <v/>
      </c>
    </row>
    <row r="19491" spans="1:7" ht="12" customHeight="1" outlineLevel="2" x14ac:dyDescent="0.2">
      <c r="A19491" s="14" t="s">
        <v>38362</v>
      </c>
      <c r="B19491" s="15" t="s">
        <v>38363</v>
      </c>
      <c r="C19491" s="16">
        <f>202.63/(1+B2)</f>
        <v>202.63</v>
      </c>
      <c r="D19491" s="17" t="s">
        <v>11</v>
      </c>
      <c r="E19491" s="17" t="s">
        <v>106</v>
      </c>
      <c r="F19491" s="18"/>
      <c r="G19491" s="36" t="str">
        <f>IF(ISNUMBER(F19491),C19491*F19491,"")</f>
        <v/>
      </c>
    </row>
    <row r="19492" spans="1:7" ht="12" customHeight="1" outlineLevel="2" x14ac:dyDescent="0.2">
      <c r="A19492" s="14" t="s">
        <v>38364</v>
      </c>
      <c r="B19492" s="15" t="s">
        <v>38365</v>
      </c>
      <c r="C19492" s="16">
        <f>237.12/(1+B2)</f>
        <v>237.12</v>
      </c>
      <c r="D19492" s="17" t="s">
        <v>11</v>
      </c>
      <c r="E19492" s="17" t="s">
        <v>14</v>
      </c>
      <c r="F19492" s="18"/>
      <c r="G19492" s="36" t="str">
        <f>IF(ISNUMBER(F19492),C19492*F19492,"")</f>
        <v/>
      </c>
    </row>
    <row r="19493" spans="1:7" ht="12" customHeight="1" outlineLevel="2" x14ac:dyDescent="0.2">
      <c r="A19493" s="14" t="s">
        <v>38366</v>
      </c>
      <c r="B19493" s="15" t="s">
        <v>38367</v>
      </c>
      <c r="C19493" s="16">
        <f>197.06/(1+B2)</f>
        <v>197.06</v>
      </c>
      <c r="D19493" s="17" t="s">
        <v>11</v>
      </c>
      <c r="E19493" s="17"/>
      <c r="F19493" s="18"/>
      <c r="G19493" s="36" t="str">
        <f>IF(ISNUMBER(F19493),C19493*F19493,"")</f>
        <v/>
      </c>
    </row>
    <row r="19494" spans="1:7" ht="12" customHeight="1" outlineLevel="2" x14ac:dyDescent="0.2">
      <c r="A19494" s="14" t="s">
        <v>38368</v>
      </c>
      <c r="B19494" s="15" t="s">
        <v>38369</v>
      </c>
      <c r="C19494" s="16">
        <f>221.93/(1+B2)</f>
        <v>221.93</v>
      </c>
      <c r="D19494" s="17" t="s">
        <v>11</v>
      </c>
      <c r="E19494" s="17" t="s">
        <v>53</v>
      </c>
      <c r="F19494" s="18"/>
      <c r="G19494" s="36" t="str">
        <f>IF(ISNUMBER(F19494),C19494*F19494,"")</f>
        <v/>
      </c>
    </row>
    <row r="19495" spans="1:7" ht="12" customHeight="1" outlineLevel="2" x14ac:dyDescent="0.2">
      <c r="A19495" s="14" t="s">
        <v>38370</v>
      </c>
      <c r="B19495" s="15" t="s">
        <v>38371</v>
      </c>
      <c r="C19495" s="16">
        <f>212.35/(1+B2)</f>
        <v>212.35</v>
      </c>
      <c r="D19495" s="17" t="s">
        <v>11</v>
      </c>
      <c r="E19495" s="17" t="s">
        <v>106</v>
      </c>
      <c r="F19495" s="18"/>
      <c r="G19495" s="36" t="str">
        <f>IF(ISNUMBER(F19495),C19495*F19495,"")</f>
        <v/>
      </c>
    </row>
    <row r="19496" spans="1:7" ht="12" customHeight="1" outlineLevel="2" x14ac:dyDescent="0.2">
      <c r="A19496" s="14" t="s">
        <v>38372</v>
      </c>
      <c r="B19496" s="15" t="s">
        <v>38373</v>
      </c>
      <c r="C19496" s="16">
        <f>235.81/(1+B2)</f>
        <v>235.81</v>
      </c>
      <c r="D19496" s="17" t="s">
        <v>11</v>
      </c>
      <c r="E19496" s="17"/>
      <c r="F19496" s="18"/>
      <c r="G19496" s="36" t="str">
        <f>IF(ISNUMBER(F19496),C19496*F19496,"")</f>
        <v/>
      </c>
    </row>
    <row r="19497" spans="1:7" ht="24" customHeight="1" outlineLevel="2" x14ac:dyDescent="0.2">
      <c r="A19497" s="14" t="s">
        <v>38374</v>
      </c>
      <c r="B19497" s="15" t="s">
        <v>38375</v>
      </c>
      <c r="C19497" s="16">
        <f>764.07/(1+B2)</f>
        <v>764.07</v>
      </c>
      <c r="D19497" s="17" t="s">
        <v>11</v>
      </c>
      <c r="E19497" s="17"/>
      <c r="F19497" s="18"/>
      <c r="G19497" s="36" t="str">
        <f>IF(ISNUMBER(F19497),C19497*F19497,"")</f>
        <v/>
      </c>
    </row>
    <row r="19498" spans="1:7" ht="12" customHeight="1" outlineLevel="2" x14ac:dyDescent="0.2">
      <c r="A19498" s="14" t="s">
        <v>38376</v>
      </c>
      <c r="B19498" s="15" t="s">
        <v>38377</v>
      </c>
      <c r="C19498" s="16">
        <f>843.93/(1+B2)</f>
        <v>843.93</v>
      </c>
      <c r="D19498" s="17" t="s">
        <v>11</v>
      </c>
      <c r="E19498" s="17"/>
      <c r="F19498" s="18"/>
      <c r="G19498" s="36" t="str">
        <f>IF(ISNUMBER(F19498),C19498*F19498,"")</f>
        <v/>
      </c>
    </row>
    <row r="19499" spans="1:7" ht="12" customHeight="1" outlineLevel="2" x14ac:dyDescent="0.2">
      <c r="A19499" s="14" t="s">
        <v>38378</v>
      </c>
      <c r="B19499" s="15" t="s">
        <v>38379</v>
      </c>
      <c r="C19499" s="16">
        <f>844.46/(1+B2)</f>
        <v>844.46</v>
      </c>
      <c r="D19499" s="17" t="s">
        <v>11</v>
      </c>
      <c r="E19499" s="17" t="s">
        <v>11</v>
      </c>
      <c r="F19499" s="18"/>
      <c r="G19499" s="36" t="str">
        <f>IF(ISNUMBER(F19499),C19499*F19499,"")</f>
        <v/>
      </c>
    </row>
    <row r="19500" spans="1:7" ht="24" customHeight="1" outlineLevel="2" x14ac:dyDescent="0.2">
      <c r="A19500" s="14" t="s">
        <v>38380</v>
      </c>
      <c r="B19500" s="15" t="s">
        <v>38381</v>
      </c>
      <c r="C19500" s="19">
        <f>1014.73/(1+B2)</f>
        <v>1014.73</v>
      </c>
      <c r="D19500" s="17" t="s">
        <v>11</v>
      </c>
      <c r="E19500" s="17"/>
      <c r="F19500" s="18"/>
      <c r="G19500" s="36" t="str">
        <f>IF(ISNUMBER(F19500),C19500*F19500,"")</f>
        <v/>
      </c>
    </row>
    <row r="19501" spans="1:7" ht="24" customHeight="1" outlineLevel="2" x14ac:dyDescent="0.2">
      <c r="A19501" s="14" t="s">
        <v>38382</v>
      </c>
      <c r="B19501" s="15" t="s">
        <v>38383</v>
      </c>
      <c r="C19501" s="19">
        <f>1025.59/(1+B2)</f>
        <v>1025.5899999999999</v>
      </c>
      <c r="D19501" s="17" t="s">
        <v>11</v>
      </c>
      <c r="E19501" s="17"/>
      <c r="F19501" s="18"/>
      <c r="G19501" s="36" t="str">
        <f>IF(ISNUMBER(F19501),C19501*F19501,"")</f>
        <v/>
      </c>
    </row>
    <row r="19502" spans="1:7" ht="12" customHeight="1" outlineLevel="2" x14ac:dyDescent="0.2">
      <c r="A19502" s="14" t="s">
        <v>38384</v>
      </c>
      <c r="B19502" s="15" t="s">
        <v>38385</v>
      </c>
      <c r="C19502" s="16">
        <f>323.69/(1+B2)</f>
        <v>323.69</v>
      </c>
      <c r="D19502" s="17" t="s">
        <v>11</v>
      </c>
      <c r="E19502" s="17"/>
      <c r="F19502" s="18"/>
      <c r="G19502" s="36" t="str">
        <f>IF(ISNUMBER(F19502),C19502*F19502,"")</f>
        <v/>
      </c>
    </row>
    <row r="19503" spans="1:7" s="1" customFormat="1" ht="15.95" customHeight="1" outlineLevel="1" x14ac:dyDescent="0.25">
      <c r="A19503" s="11"/>
      <c r="B19503" s="12" t="s">
        <v>38386</v>
      </c>
      <c r="C19503" s="13"/>
      <c r="D19503" s="13"/>
      <c r="E19503" s="13"/>
      <c r="F19503" s="13"/>
      <c r="G19503" s="35"/>
    </row>
    <row r="19504" spans="1:7" ht="12" customHeight="1" outlineLevel="2" x14ac:dyDescent="0.2">
      <c r="A19504" s="14" t="s">
        <v>38387</v>
      </c>
      <c r="B19504" s="15" t="s">
        <v>38388</v>
      </c>
      <c r="C19504" s="16">
        <f>90.68/(1+B2)</f>
        <v>90.68</v>
      </c>
      <c r="D19504" s="17" t="s">
        <v>11</v>
      </c>
      <c r="E19504" s="17" t="s">
        <v>106</v>
      </c>
      <c r="F19504" s="18"/>
      <c r="G19504" s="36" t="str">
        <f>IF(ISNUMBER(F19504),C19504*F19504,"")</f>
        <v/>
      </c>
    </row>
    <row r="19505" spans="1:7" ht="12" customHeight="1" outlineLevel="2" x14ac:dyDescent="0.2">
      <c r="A19505" s="14" t="s">
        <v>38389</v>
      </c>
      <c r="B19505" s="15" t="s">
        <v>38390</v>
      </c>
      <c r="C19505" s="16">
        <f>96.63/(1+B2)</f>
        <v>96.63</v>
      </c>
      <c r="D19505" s="17" t="s">
        <v>53</v>
      </c>
      <c r="E19505" s="17" t="s">
        <v>106</v>
      </c>
      <c r="F19505" s="18"/>
      <c r="G19505" s="36" t="str">
        <f>IF(ISNUMBER(F19505),C19505*F19505,"")</f>
        <v/>
      </c>
    </row>
    <row r="19506" spans="1:7" ht="12" customHeight="1" outlineLevel="2" x14ac:dyDescent="0.2">
      <c r="A19506" s="14" t="s">
        <v>38391</v>
      </c>
      <c r="B19506" s="15" t="s">
        <v>38392</v>
      </c>
      <c r="C19506" s="16">
        <f>138.8/(1+B2)</f>
        <v>138.80000000000001</v>
      </c>
      <c r="D19506" s="17" t="s">
        <v>14</v>
      </c>
      <c r="E19506" s="17" t="s">
        <v>106</v>
      </c>
      <c r="F19506" s="18"/>
      <c r="G19506" s="36" t="str">
        <f>IF(ISNUMBER(F19506),C19506*F19506,"")</f>
        <v/>
      </c>
    </row>
    <row r="19507" spans="1:7" ht="12" customHeight="1" outlineLevel="2" x14ac:dyDescent="0.2">
      <c r="A19507" s="14" t="s">
        <v>38393</v>
      </c>
      <c r="B19507" s="15" t="s">
        <v>38394</v>
      </c>
      <c r="C19507" s="16">
        <f>135.28/(1+B2)</f>
        <v>135.28</v>
      </c>
      <c r="D19507" s="17" t="s">
        <v>11</v>
      </c>
      <c r="E19507" s="17" t="s">
        <v>106</v>
      </c>
      <c r="F19507" s="18"/>
      <c r="G19507" s="36" t="str">
        <f>IF(ISNUMBER(F19507),C19507*F19507,"")</f>
        <v/>
      </c>
    </row>
    <row r="19508" spans="1:7" ht="12" customHeight="1" outlineLevel="2" x14ac:dyDescent="0.2">
      <c r="A19508" s="14" t="s">
        <v>38395</v>
      </c>
      <c r="B19508" s="15" t="s">
        <v>38396</v>
      </c>
      <c r="C19508" s="16">
        <f>144.7/(1+B2)</f>
        <v>144.69999999999999</v>
      </c>
      <c r="D19508" s="17" t="s">
        <v>11</v>
      </c>
      <c r="E19508" s="17" t="s">
        <v>106</v>
      </c>
      <c r="F19508" s="18"/>
      <c r="G19508" s="36" t="str">
        <f>IF(ISNUMBER(F19508),C19508*F19508,"")</f>
        <v/>
      </c>
    </row>
    <row r="19509" spans="1:7" ht="12" customHeight="1" outlineLevel="2" x14ac:dyDescent="0.2">
      <c r="A19509" s="14" t="s">
        <v>38397</v>
      </c>
      <c r="B19509" s="15" t="s">
        <v>38398</v>
      </c>
      <c r="C19509" s="16">
        <f>83.7/(1+B2)</f>
        <v>83.7</v>
      </c>
      <c r="D19509" s="17" t="s">
        <v>14</v>
      </c>
      <c r="E19509" s="17" t="s">
        <v>106</v>
      </c>
      <c r="F19509" s="18"/>
      <c r="G19509" s="36" t="str">
        <f>IF(ISNUMBER(F19509),C19509*F19509,"")</f>
        <v/>
      </c>
    </row>
    <row r="19510" spans="1:7" ht="12" customHeight="1" outlineLevel="2" x14ac:dyDescent="0.2">
      <c r="A19510" s="14" t="s">
        <v>38399</v>
      </c>
      <c r="B19510" s="15" t="s">
        <v>38400</v>
      </c>
      <c r="C19510" s="16">
        <f>90.85/(1+B2)</f>
        <v>90.85</v>
      </c>
      <c r="D19510" s="17" t="s">
        <v>14</v>
      </c>
      <c r="E19510" s="17" t="s">
        <v>14</v>
      </c>
      <c r="F19510" s="18"/>
      <c r="G19510" s="36" t="str">
        <f>IF(ISNUMBER(F19510),C19510*F19510,"")</f>
        <v/>
      </c>
    </row>
    <row r="19511" spans="1:7" ht="12" customHeight="1" outlineLevel="2" x14ac:dyDescent="0.2">
      <c r="A19511" s="14" t="s">
        <v>38401</v>
      </c>
      <c r="B19511" s="15" t="s">
        <v>38402</v>
      </c>
      <c r="C19511" s="16">
        <f>90.68/(1+B2)</f>
        <v>90.68</v>
      </c>
      <c r="D19511" s="17" t="s">
        <v>11</v>
      </c>
      <c r="E19511" s="17" t="s">
        <v>106</v>
      </c>
      <c r="F19511" s="18"/>
      <c r="G19511" s="36" t="str">
        <f>IF(ISNUMBER(F19511),C19511*F19511,"")</f>
        <v/>
      </c>
    </row>
    <row r="19512" spans="1:7" ht="12" customHeight="1" outlineLevel="2" x14ac:dyDescent="0.2">
      <c r="A19512" s="14" t="s">
        <v>38403</v>
      </c>
      <c r="B19512" s="15" t="s">
        <v>38404</v>
      </c>
      <c r="C19512" s="16">
        <f>96.63/(1+B2)</f>
        <v>96.63</v>
      </c>
      <c r="D19512" s="17" t="s">
        <v>14</v>
      </c>
      <c r="E19512" s="17" t="s">
        <v>106</v>
      </c>
      <c r="F19512" s="18"/>
      <c r="G19512" s="36" t="str">
        <f>IF(ISNUMBER(F19512),C19512*F19512,"")</f>
        <v/>
      </c>
    </row>
    <row r="19513" spans="1:7" ht="12" customHeight="1" outlineLevel="2" x14ac:dyDescent="0.2">
      <c r="A19513" s="14" t="s">
        <v>38405</v>
      </c>
      <c r="B19513" s="15" t="s">
        <v>38406</v>
      </c>
      <c r="C19513" s="16">
        <f>133.33/(1+B2)</f>
        <v>133.33000000000001</v>
      </c>
      <c r="D19513" s="17" t="s">
        <v>11</v>
      </c>
      <c r="E19513" s="17" t="s">
        <v>14</v>
      </c>
      <c r="F19513" s="18"/>
      <c r="G19513" s="36" t="str">
        <f>IF(ISNUMBER(F19513),C19513*F19513,"")</f>
        <v/>
      </c>
    </row>
    <row r="19514" spans="1:7" ht="12" customHeight="1" outlineLevel="2" x14ac:dyDescent="0.2">
      <c r="A19514" s="14" t="s">
        <v>38407</v>
      </c>
      <c r="B19514" s="15" t="s">
        <v>38408</v>
      </c>
      <c r="C19514" s="16">
        <f>138.8/(1+B2)</f>
        <v>138.80000000000001</v>
      </c>
      <c r="D19514" s="17" t="s">
        <v>14</v>
      </c>
      <c r="E19514" s="17" t="s">
        <v>53</v>
      </c>
      <c r="F19514" s="18"/>
      <c r="G19514" s="36" t="str">
        <f>IF(ISNUMBER(F19514),C19514*F19514,"")</f>
        <v/>
      </c>
    </row>
    <row r="19515" spans="1:7" ht="12" customHeight="1" outlineLevel="2" x14ac:dyDescent="0.2">
      <c r="A19515" s="14" t="s">
        <v>38409</v>
      </c>
      <c r="B19515" s="15" t="s">
        <v>38410</v>
      </c>
      <c r="C19515" s="16">
        <f>144.71/(1+B2)</f>
        <v>144.71</v>
      </c>
      <c r="D19515" s="17" t="s">
        <v>11</v>
      </c>
      <c r="E19515" s="17" t="s">
        <v>106</v>
      </c>
      <c r="F19515" s="18"/>
      <c r="G19515" s="36" t="str">
        <f>IF(ISNUMBER(F19515),C19515*F19515,"")</f>
        <v/>
      </c>
    </row>
    <row r="19516" spans="1:7" ht="12" customHeight="1" outlineLevel="2" x14ac:dyDescent="0.2">
      <c r="A19516" s="14" t="s">
        <v>38411</v>
      </c>
      <c r="B19516" s="15" t="s">
        <v>38412</v>
      </c>
      <c r="C19516" s="16">
        <f>142.13/(1+B2)</f>
        <v>142.13</v>
      </c>
      <c r="D19516" s="17" t="s">
        <v>11</v>
      </c>
      <c r="E19516" s="17" t="s">
        <v>106</v>
      </c>
      <c r="F19516" s="18"/>
      <c r="G19516" s="36" t="str">
        <f>IF(ISNUMBER(F19516),C19516*F19516,"")</f>
        <v/>
      </c>
    </row>
    <row r="19517" spans="1:7" ht="12" customHeight="1" outlineLevel="2" x14ac:dyDescent="0.2">
      <c r="A19517" s="14" t="s">
        <v>38413</v>
      </c>
      <c r="B19517" s="15" t="s">
        <v>38414</v>
      </c>
      <c r="C19517" s="16">
        <f>148.5/(1+B2)</f>
        <v>148.5</v>
      </c>
      <c r="D19517" s="17" t="s">
        <v>14</v>
      </c>
      <c r="E19517" s="17"/>
      <c r="F19517" s="18"/>
      <c r="G19517" s="36" t="str">
        <f>IF(ISNUMBER(F19517),C19517*F19517,"")</f>
        <v/>
      </c>
    </row>
    <row r="19518" spans="1:7" ht="12" customHeight="1" outlineLevel="2" x14ac:dyDescent="0.2">
      <c r="A19518" s="14" t="s">
        <v>38415</v>
      </c>
      <c r="B19518" s="15" t="s">
        <v>38416</v>
      </c>
      <c r="C19518" s="16">
        <f>76.96/(1+B2)</f>
        <v>76.959999999999994</v>
      </c>
      <c r="D19518" s="17" t="s">
        <v>11</v>
      </c>
      <c r="E19518" s="17" t="s">
        <v>53</v>
      </c>
      <c r="F19518" s="18"/>
      <c r="G19518" s="36" t="str">
        <f>IF(ISNUMBER(F19518),C19518*F19518,"")</f>
        <v/>
      </c>
    </row>
    <row r="19519" spans="1:7" ht="12" customHeight="1" outlineLevel="2" x14ac:dyDescent="0.2">
      <c r="A19519" s="14" t="s">
        <v>38417</v>
      </c>
      <c r="B19519" s="15" t="s">
        <v>38418</v>
      </c>
      <c r="C19519" s="16">
        <f>84.47/(1+B2)</f>
        <v>84.47</v>
      </c>
      <c r="D19519" s="17" t="s">
        <v>11</v>
      </c>
      <c r="E19519" s="17" t="s">
        <v>106</v>
      </c>
      <c r="F19519" s="18"/>
      <c r="G19519" s="36" t="str">
        <f>IF(ISNUMBER(F19519),C19519*F19519,"")</f>
        <v/>
      </c>
    </row>
    <row r="19520" spans="1:7" ht="12" customHeight="1" outlineLevel="2" x14ac:dyDescent="0.2">
      <c r="A19520" s="14" t="s">
        <v>38419</v>
      </c>
      <c r="B19520" s="15" t="s">
        <v>38420</v>
      </c>
      <c r="C19520" s="16">
        <f>76.75/(1+B2)</f>
        <v>76.75</v>
      </c>
      <c r="D19520" s="17" t="s">
        <v>14</v>
      </c>
      <c r="E19520" s="17"/>
      <c r="F19520" s="18"/>
      <c r="G19520" s="36" t="str">
        <f>IF(ISNUMBER(F19520),C19520*F19520,"")</f>
        <v/>
      </c>
    </row>
    <row r="19521" spans="1:7" ht="12" customHeight="1" outlineLevel="2" x14ac:dyDescent="0.2">
      <c r="A19521" s="14" t="s">
        <v>38421</v>
      </c>
      <c r="B19521" s="15" t="s">
        <v>38422</v>
      </c>
      <c r="C19521" s="16">
        <f>71.95/(1+B2)</f>
        <v>71.95</v>
      </c>
      <c r="D19521" s="17" t="s">
        <v>14</v>
      </c>
      <c r="E19521" s="17" t="s">
        <v>106</v>
      </c>
      <c r="F19521" s="18"/>
      <c r="G19521" s="36" t="str">
        <f>IF(ISNUMBER(F19521),C19521*F19521,"")</f>
        <v/>
      </c>
    </row>
    <row r="19522" spans="1:7" ht="12" customHeight="1" outlineLevel="2" x14ac:dyDescent="0.2">
      <c r="A19522" s="14" t="s">
        <v>38423</v>
      </c>
      <c r="B19522" s="15" t="s">
        <v>38424</v>
      </c>
      <c r="C19522" s="16">
        <f>73.29/(1+B2)</f>
        <v>73.290000000000006</v>
      </c>
      <c r="D19522" s="17" t="s">
        <v>11</v>
      </c>
      <c r="E19522" s="17" t="s">
        <v>106</v>
      </c>
      <c r="F19522" s="18"/>
      <c r="G19522" s="36" t="str">
        <f>IF(ISNUMBER(F19522),C19522*F19522,"")</f>
        <v/>
      </c>
    </row>
    <row r="19523" spans="1:7" ht="12" customHeight="1" outlineLevel="2" x14ac:dyDescent="0.2">
      <c r="A19523" s="14" t="s">
        <v>38425</v>
      </c>
      <c r="B19523" s="15" t="s">
        <v>38426</v>
      </c>
      <c r="C19523" s="16">
        <f>87.67/(1+B2)</f>
        <v>87.67</v>
      </c>
      <c r="D19523" s="17" t="s">
        <v>11</v>
      </c>
      <c r="E19523" s="17" t="s">
        <v>106</v>
      </c>
      <c r="F19523" s="18"/>
      <c r="G19523" s="36" t="str">
        <f>IF(ISNUMBER(F19523),C19523*F19523,"")</f>
        <v/>
      </c>
    </row>
    <row r="19524" spans="1:7" ht="12" customHeight="1" outlineLevel="2" x14ac:dyDescent="0.2">
      <c r="A19524" s="14" t="s">
        <v>38427</v>
      </c>
      <c r="B19524" s="15" t="s">
        <v>38428</v>
      </c>
      <c r="C19524" s="16">
        <f>76.2/(1+B2)</f>
        <v>76.2</v>
      </c>
      <c r="D19524" s="17" t="s">
        <v>53</v>
      </c>
      <c r="E19524" s="17" t="s">
        <v>53</v>
      </c>
      <c r="F19524" s="18"/>
      <c r="G19524" s="36" t="str">
        <f>IF(ISNUMBER(F19524),C19524*F19524,"")</f>
        <v/>
      </c>
    </row>
    <row r="19525" spans="1:7" ht="12" customHeight="1" outlineLevel="2" x14ac:dyDescent="0.2">
      <c r="A19525" s="14" t="s">
        <v>38429</v>
      </c>
      <c r="B19525" s="15" t="s">
        <v>38430</v>
      </c>
      <c r="C19525" s="16">
        <f>43.93/(1+B2)</f>
        <v>43.93</v>
      </c>
      <c r="D19525" s="17" t="s">
        <v>11</v>
      </c>
      <c r="E19525" s="17" t="s">
        <v>106</v>
      </c>
      <c r="F19525" s="18"/>
      <c r="G19525" s="36" t="str">
        <f>IF(ISNUMBER(F19525),C19525*F19525,"")</f>
        <v/>
      </c>
    </row>
    <row r="19526" spans="1:7" s="1" customFormat="1" ht="15.95" customHeight="1" outlineLevel="1" x14ac:dyDescent="0.25">
      <c r="A19526" s="11"/>
      <c r="B19526" s="12" t="s">
        <v>38431</v>
      </c>
      <c r="C19526" s="13"/>
      <c r="D19526" s="13"/>
      <c r="E19526" s="13"/>
      <c r="F19526" s="13"/>
      <c r="G19526" s="35"/>
    </row>
    <row r="19527" spans="1:7" ht="12" customHeight="1" outlineLevel="2" x14ac:dyDescent="0.2">
      <c r="A19527" s="14" t="s">
        <v>38432</v>
      </c>
      <c r="B19527" s="15" t="s">
        <v>38433</v>
      </c>
      <c r="C19527" s="19">
        <f>2250.26/(1+B2)</f>
        <v>2250.2600000000002</v>
      </c>
      <c r="D19527" s="17" t="s">
        <v>11</v>
      </c>
      <c r="E19527" s="17"/>
      <c r="F19527" s="18"/>
      <c r="G19527" s="36" t="str">
        <f>IF(ISNUMBER(F19527),C19527*F19527,"")</f>
        <v/>
      </c>
    </row>
    <row r="19528" spans="1:7" ht="24" customHeight="1" outlineLevel="2" x14ac:dyDescent="0.2">
      <c r="A19528" s="14" t="s">
        <v>38434</v>
      </c>
      <c r="B19528" s="15" t="s">
        <v>38435</v>
      </c>
      <c r="C19528" s="19">
        <f>1322.64/(1+B2)</f>
        <v>1322.64</v>
      </c>
      <c r="D19528" s="17" t="s">
        <v>11</v>
      </c>
      <c r="E19528" s="17"/>
      <c r="F19528" s="18"/>
      <c r="G19528" s="36" t="str">
        <f>IF(ISNUMBER(F19528),C19528*F19528,"")</f>
        <v/>
      </c>
    </row>
    <row r="19529" spans="1:7" ht="12" customHeight="1" outlineLevel="2" x14ac:dyDescent="0.2">
      <c r="A19529" s="14" t="s">
        <v>38436</v>
      </c>
      <c r="B19529" s="15" t="s">
        <v>38437</v>
      </c>
      <c r="C19529" s="16">
        <f>235.52/(1+B2)</f>
        <v>235.52</v>
      </c>
      <c r="D19529" s="17" t="s">
        <v>14</v>
      </c>
      <c r="E19529" s="17" t="s">
        <v>53</v>
      </c>
      <c r="F19529" s="18"/>
      <c r="G19529" s="36" t="str">
        <f>IF(ISNUMBER(F19529),C19529*F19529,"")</f>
        <v/>
      </c>
    </row>
    <row r="19530" spans="1:7" ht="12" customHeight="1" outlineLevel="2" x14ac:dyDescent="0.2">
      <c r="A19530" s="14" t="s">
        <v>38438</v>
      </c>
      <c r="B19530" s="15" t="s">
        <v>38439</v>
      </c>
      <c r="C19530" s="16">
        <f>273.77/(1+B2)</f>
        <v>273.77</v>
      </c>
      <c r="D19530" s="17" t="s">
        <v>11</v>
      </c>
      <c r="E19530" s="17"/>
      <c r="F19530" s="18"/>
      <c r="G19530" s="36" t="str">
        <f>IF(ISNUMBER(F19530),C19530*F19530,"")</f>
        <v/>
      </c>
    </row>
    <row r="19531" spans="1:7" ht="12" customHeight="1" outlineLevel="2" x14ac:dyDescent="0.2">
      <c r="A19531" s="14" t="s">
        <v>38440</v>
      </c>
      <c r="B19531" s="15" t="s">
        <v>38441</v>
      </c>
      <c r="C19531" s="16">
        <f>286.17/(1+B2)</f>
        <v>286.17</v>
      </c>
      <c r="D19531" s="17" t="s">
        <v>11</v>
      </c>
      <c r="E19531" s="17" t="s">
        <v>11</v>
      </c>
      <c r="F19531" s="18"/>
      <c r="G19531" s="36" t="str">
        <f>IF(ISNUMBER(F19531),C19531*F19531,"")</f>
        <v/>
      </c>
    </row>
    <row r="19532" spans="1:7" ht="12" customHeight="1" outlineLevel="2" x14ac:dyDescent="0.2">
      <c r="A19532" s="14" t="s">
        <v>38442</v>
      </c>
      <c r="B19532" s="15" t="s">
        <v>38443</v>
      </c>
      <c r="C19532" s="16">
        <f>292.9/(1+B2)</f>
        <v>292.89999999999998</v>
      </c>
      <c r="D19532" s="17" t="s">
        <v>53</v>
      </c>
      <c r="E19532" s="17" t="s">
        <v>106</v>
      </c>
      <c r="F19532" s="18"/>
      <c r="G19532" s="36" t="str">
        <f>IF(ISNUMBER(F19532),C19532*F19532,"")</f>
        <v/>
      </c>
    </row>
    <row r="19533" spans="1:7" ht="12" customHeight="1" outlineLevel="2" x14ac:dyDescent="0.2">
      <c r="A19533" s="14" t="s">
        <v>38444</v>
      </c>
      <c r="B19533" s="15" t="s">
        <v>38445</v>
      </c>
      <c r="C19533" s="16">
        <f>299.48/(1+B2)</f>
        <v>299.48</v>
      </c>
      <c r="D19533" s="17" t="s">
        <v>11</v>
      </c>
      <c r="E19533" s="17" t="s">
        <v>106</v>
      </c>
      <c r="F19533" s="18"/>
      <c r="G19533" s="36" t="str">
        <f>IF(ISNUMBER(F19533),C19533*F19533,"")</f>
        <v/>
      </c>
    </row>
    <row r="19534" spans="1:7" ht="12" customHeight="1" outlineLevel="2" x14ac:dyDescent="0.2">
      <c r="A19534" s="14" t="s">
        <v>38446</v>
      </c>
      <c r="B19534" s="15" t="s">
        <v>38447</v>
      </c>
      <c r="C19534" s="16">
        <f>111.08/(1+B2)</f>
        <v>111.08</v>
      </c>
      <c r="D19534" s="17" t="s">
        <v>11</v>
      </c>
      <c r="E19534" s="17" t="s">
        <v>14</v>
      </c>
      <c r="F19534" s="18"/>
      <c r="G19534" s="36" t="str">
        <f>IF(ISNUMBER(F19534),C19534*F19534,"")</f>
        <v/>
      </c>
    </row>
    <row r="19535" spans="1:7" ht="12" customHeight="1" outlineLevel="2" x14ac:dyDescent="0.2">
      <c r="A19535" s="14" t="s">
        <v>38448</v>
      </c>
      <c r="B19535" s="15" t="s">
        <v>38449</v>
      </c>
      <c r="C19535" s="16">
        <f>158.44/(1+B2)</f>
        <v>158.44</v>
      </c>
      <c r="D19535" s="17" t="s">
        <v>11</v>
      </c>
      <c r="E19535" s="17" t="s">
        <v>14</v>
      </c>
      <c r="F19535" s="18"/>
      <c r="G19535" s="36" t="str">
        <f>IF(ISNUMBER(F19535),C19535*F19535,"")</f>
        <v/>
      </c>
    </row>
    <row r="19536" spans="1:7" ht="12" customHeight="1" outlineLevel="2" x14ac:dyDescent="0.2">
      <c r="A19536" s="14" t="s">
        <v>38450</v>
      </c>
      <c r="B19536" s="15" t="s">
        <v>38451</v>
      </c>
      <c r="C19536" s="16">
        <f>383.6/(1+B2)</f>
        <v>383.6</v>
      </c>
      <c r="D19536" s="17" t="s">
        <v>11</v>
      </c>
      <c r="E19536" s="17" t="s">
        <v>53</v>
      </c>
      <c r="F19536" s="18"/>
      <c r="G19536" s="36" t="str">
        <f>IF(ISNUMBER(F19536),C19536*F19536,"")</f>
        <v/>
      </c>
    </row>
    <row r="19537" spans="1:7" ht="12" customHeight="1" outlineLevel="2" x14ac:dyDescent="0.2">
      <c r="A19537" s="14" t="s">
        <v>38452</v>
      </c>
      <c r="B19537" s="15" t="s">
        <v>38453</v>
      </c>
      <c r="C19537" s="16">
        <f>264.1/(1+B2)</f>
        <v>264.10000000000002</v>
      </c>
      <c r="D19537" s="17" t="s">
        <v>11</v>
      </c>
      <c r="E19537" s="17" t="s">
        <v>11</v>
      </c>
      <c r="F19537" s="18"/>
      <c r="G19537" s="36" t="str">
        <f>IF(ISNUMBER(F19537),C19537*F19537,"")</f>
        <v/>
      </c>
    </row>
    <row r="19538" spans="1:7" ht="12" customHeight="1" outlineLevel="2" x14ac:dyDescent="0.2">
      <c r="A19538" s="14" t="s">
        <v>38454</v>
      </c>
      <c r="B19538" s="15" t="s">
        <v>38455</v>
      </c>
      <c r="C19538" s="16">
        <f>342.9/(1+B2)</f>
        <v>342.9</v>
      </c>
      <c r="D19538" s="17" t="s">
        <v>11</v>
      </c>
      <c r="E19538" s="17" t="s">
        <v>14</v>
      </c>
      <c r="F19538" s="18"/>
      <c r="G19538" s="36" t="str">
        <f>IF(ISNUMBER(F19538),C19538*F19538,"")</f>
        <v/>
      </c>
    </row>
    <row r="19539" spans="1:7" ht="12" customHeight="1" outlineLevel="2" x14ac:dyDescent="0.2">
      <c r="A19539" s="14" t="s">
        <v>38456</v>
      </c>
      <c r="B19539" s="15" t="s">
        <v>38457</v>
      </c>
      <c r="C19539" s="16">
        <f>342.3/(1+B2)</f>
        <v>342.3</v>
      </c>
      <c r="D19539" s="17" t="s">
        <v>11</v>
      </c>
      <c r="E19539" s="17" t="s">
        <v>53</v>
      </c>
      <c r="F19539" s="18"/>
      <c r="G19539" s="36" t="str">
        <f>IF(ISNUMBER(F19539),C19539*F19539,"")</f>
        <v/>
      </c>
    </row>
    <row r="19540" spans="1:7" ht="12" customHeight="1" outlineLevel="2" x14ac:dyDescent="0.2">
      <c r="A19540" s="14" t="s">
        <v>38458</v>
      </c>
      <c r="B19540" s="15" t="s">
        <v>38459</v>
      </c>
      <c r="C19540" s="16">
        <f>330.78/(1+B2)</f>
        <v>330.78</v>
      </c>
      <c r="D19540" s="17" t="s">
        <v>11</v>
      </c>
      <c r="E19540" s="17" t="s">
        <v>106</v>
      </c>
      <c r="F19540" s="18"/>
      <c r="G19540" s="36" t="str">
        <f>IF(ISNUMBER(F19540),C19540*F19540,"")</f>
        <v/>
      </c>
    </row>
    <row r="19541" spans="1:7" ht="12" customHeight="1" outlineLevel="2" x14ac:dyDescent="0.2">
      <c r="A19541" s="14" t="s">
        <v>38460</v>
      </c>
      <c r="B19541" s="15" t="s">
        <v>38461</v>
      </c>
      <c r="C19541" s="16">
        <f>220.54/(1+B2)</f>
        <v>220.54</v>
      </c>
      <c r="D19541" s="17" t="s">
        <v>14</v>
      </c>
      <c r="E19541" s="17" t="s">
        <v>53</v>
      </c>
      <c r="F19541" s="18"/>
      <c r="G19541" s="36" t="str">
        <f>IF(ISNUMBER(F19541),C19541*F19541,"")</f>
        <v/>
      </c>
    </row>
    <row r="19542" spans="1:7" ht="12" customHeight="1" outlineLevel="2" x14ac:dyDescent="0.2">
      <c r="A19542" s="14" t="s">
        <v>38462</v>
      </c>
      <c r="B19542" s="15" t="s">
        <v>38463</v>
      </c>
      <c r="C19542" s="16">
        <f>295.41/(1+B2)</f>
        <v>295.41000000000003</v>
      </c>
      <c r="D19542" s="17" t="s">
        <v>14</v>
      </c>
      <c r="E19542" s="17" t="s">
        <v>14</v>
      </c>
      <c r="F19542" s="18"/>
      <c r="G19542" s="36" t="str">
        <f>IF(ISNUMBER(F19542),C19542*F19542,"")</f>
        <v/>
      </c>
    </row>
    <row r="19543" spans="1:7" ht="12" customHeight="1" outlineLevel="2" x14ac:dyDescent="0.2">
      <c r="A19543" s="14" t="s">
        <v>38464</v>
      </c>
      <c r="B19543" s="15" t="s">
        <v>38465</v>
      </c>
      <c r="C19543" s="16">
        <f>297.03/(1+B2)</f>
        <v>297.02999999999997</v>
      </c>
      <c r="D19543" s="17" t="s">
        <v>11</v>
      </c>
      <c r="E19543" s="17" t="s">
        <v>106</v>
      </c>
      <c r="F19543" s="18"/>
      <c r="G19543" s="36" t="str">
        <f>IF(ISNUMBER(F19543),C19543*F19543,"")</f>
        <v/>
      </c>
    </row>
    <row r="19544" spans="1:7" ht="12" customHeight="1" outlineLevel="2" x14ac:dyDescent="0.2">
      <c r="A19544" s="14" t="s">
        <v>38466</v>
      </c>
      <c r="B19544" s="15" t="s">
        <v>38467</v>
      </c>
      <c r="C19544" s="16">
        <f>294.04/(1+B2)</f>
        <v>294.04000000000002</v>
      </c>
      <c r="D19544" s="17" t="s">
        <v>11</v>
      </c>
      <c r="E19544" s="17" t="s">
        <v>106</v>
      </c>
      <c r="F19544" s="18"/>
      <c r="G19544" s="36" t="str">
        <f>IF(ISNUMBER(F19544),C19544*F19544,"")</f>
        <v/>
      </c>
    </row>
    <row r="19545" spans="1:7" ht="12" customHeight="1" outlineLevel="2" x14ac:dyDescent="0.2">
      <c r="A19545" s="14" t="s">
        <v>38468</v>
      </c>
      <c r="B19545" s="15" t="s">
        <v>38469</v>
      </c>
      <c r="C19545" s="16">
        <f>256.32/(1+B2)</f>
        <v>256.32</v>
      </c>
      <c r="D19545" s="17" t="s">
        <v>11</v>
      </c>
      <c r="E19545" s="17" t="s">
        <v>11</v>
      </c>
      <c r="F19545" s="18"/>
      <c r="G19545" s="36" t="str">
        <f>IF(ISNUMBER(F19545),C19545*F19545,"")</f>
        <v/>
      </c>
    </row>
    <row r="19546" spans="1:7" ht="12" customHeight="1" outlineLevel="2" x14ac:dyDescent="0.2">
      <c r="A19546" s="14" t="s">
        <v>38470</v>
      </c>
      <c r="B19546" s="15" t="s">
        <v>38471</v>
      </c>
      <c r="C19546" s="16">
        <f>332.22/(1+B2)</f>
        <v>332.22</v>
      </c>
      <c r="D19546" s="17" t="s">
        <v>11</v>
      </c>
      <c r="E19546" s="17" t="s">
        <v>53</v>
      </c>
      <c r="F19546" s="18"/>
      <c r="G19546" s="36" t="str">
        <f>IF(ISNUMBER(F19546),C19546*F19546,"")</f>
        <v/>
      </c>
    </row>
    <row r="19547" spans="1:7" ht="12" customHeight="1" outlineLevel="2" x14ac:dyDescent="0.2">
      <c r="A19547" s="14" t="s">
        <v>38472</v>
      </c>
      <c r="B19547" s="15" t="s">
        <v>38473</v>
      </c>
      <c r="C19547" s="16">
        <f>314.5/(1+B2)</f>
        <v>314.5</v>
      </c>
      <c r="D19547" s="17" t="s">
        <v>11</v>
      </c>
      <c r="E19547" s="17" t="s">
        <v>106</v>
      </c>
      <c r="F19547" s="18"/>
      <c r="G19547" s="36" t="str">
        <f>IF(ISNUMBER(F19547),C19547*F19547,"")</f>
        <v/>
      </c>
    </row>
    <row r="19548" spans="1:7" ht="12" customHeight="1" outlineLevel="2" x14ac:dyDescent="0.2">
      <c r="A19548" s="14" t="s">
        <v>38474</v>
      </c>
      <c r="B19548" s="15" t="s">
        <v>38475</v>
      </c>
      <c r="C19548" s="16">
        <f>319.78/(1+B2)</f>
        <v>319.77999999999997</v>
      </c>
      <c r="D19548" s="17" t="s">
        <v>11</v>
      </c>
      <c r="E19548" s="17" t="s">
        <v>106</v>
      </c>
      <c r="F19548" s="18"/>
      <c r="G19548" s="36" t="str">
        <f>IF(ISNUMBER(F19548),C19548*F19548,"")</f>
        <v/>
      </c>
    </row>
    <row r="19549" spans="1:7" ht="12" customHeight="1" outlineLevel="2" x14ac:dyDescent="0.2">
      <c r="A19549" s="14" t="s">
        <v>38476</v>
      </c>
      <c r="B19549" s="15" t="s">
        <v>38477</v>
      </c>
      <c r="C19549" s="16">
        <f>137.38/(1+B2)</f>
        <v>137.38</v>
      </c>
      <c r="D19549" s="17" t="s">
        <v>11</v>
      </c>
      <c r="E19549" s="17" t="s">
        <v>53</v>
      </c>
      <c r="F19549" s="18"/>
      <c r="G19549" s="36" t="str">
        <f>IF(ISNUMBER(F19549),C19549*F19549,"")</f>
        <v/>
      </c>
    </row>
    <row r="19550" spans="1:7" ht="12" customHeight="1" outlineLevel="2" x14ac:dyDescent="0.2">
      <c r="A19550" s="14" t="s">
        <v>38478</v>
      </c>
      <c r="B19550" s="15" t="s">
        <v>38479</v>
      </c>
      <c r="C19550" s="16">
        <f>272.54/(1+B2)</f>
        <v>272.54000000000002</v>
      </c>
      <c r="D19550" s="17" t="s">
        <v>11</v>
      </c>
      <c r="E19550" s="17" t="s">
        <v>53</v>
      </c>
      <c r="F19550" s="18"/>
      <c r="G19550" s="36" t="str">
        <f>IF(ISNUMBER(F19550),C19550*F19550,"")</f>
        <v/>
      </c>
    </row>
    <row r="19551" spans="1:7" ht="12" customHeight="1" outlineLevel="2" x14ac:dyDescent="0.2">
      <c r="A19551" s="14" t="s">
        <v>38480</v>
      </c>
      <c r="B19551" s="15" t="s">
        <v>38481</v>
      </c>
      <c r="C19551" s="16">
        <f>324.18/(1+B2)</f>
        <v>324.18</v>
      </c>
      <c r="D19551" s="17" t="s">
        <v>11</v>
      </c>
      <c r="E19551" s="17"/>
      <c r="F19551" s="18"/>
      <c r="G19551" s="36" t="str">
        <f>IF(ISNUMBER(F19551),C19551*F19551,"")</f>
        <v/>
      </c>
    </row>
    <row r="19552" spans="1:7" ht="12" customHeight="1" outlineLevel="2" x14ac:dyDescent="0.2">
      <c r="A19552" s="14" t="s">
        <v>38482</v>
      </c>
      <c r="B19552" s="15" t="s">
        <v>38483</v>
      </c>
      <c r="C19552" s="16">
        <f>335.95/(1+B2)</f>
        <v>335.95</v>
      </c>
      <c r="D19552" s="17" t="s">
        <v>11</v>
      </c>
      <c r="E19552" s="17" t="s">
        <v>53</v>
      </c>
      <c r="F19552" s="18"/>
      <c r="G19552" s="36" t="str">
        <f>IF(ISNUMBER(F19552),C19552*F19552,"")</f>
        <v/>
      </c>
    </row>
    <row r="19553" spans="1:7" ht="12" customHeight="1" outlineLevel="2" x14ac:dyDescent="0.2">
      <c r="A19553" s="14" t="s">
        <v>38484</v>
      </c>
      <c r="B19553" s="15" t="s">
        <v>38485</v>
      </c>
      <c r="C19553" s="16">
        <f>231.49/(1+B2)</f>
        <v>231.49</v>
      </c>
      <c r="D19553" s="17" t="s">
        <v>11</v>
      </c>
      <c r="E19553" s="17" t="s">
        <v>53</v>
      </c>
      <c r="F19553" s="18"/>
      <c r="G19553" s="36" t="str">
        <f>IF(ISNUMBER(F19553),C19553*F19553,"")</f>
        <v/>
      </c>
    </row>
    <row r="19554" spans="1:7" ht="12" customHeight="1" outlineLevel="2" x14ac:dyDescent="0.2">
      <c r="A19554" s="14" t="s">
        <v>38486</v>
      </c>
      <c r="B19554" s="15" t="s">
        <v>38487</v>
      </c>
      <c r="C19554" s="16">
        <f>288.17/(1+B2)</f>
        <v>288.17</v>
      </c>
      <c r="D19554" s="17" t="s">
        <v>14</v>
      </c>
      <c r="E19554" s="17" t="s">
        <v>106</v>
      </c>
      <c r="F19554" s="18"/>
      <c r="G19554" s="36" t="str">
        <f>IF(ISNUMBER(F19554),C19554*F19554,"")</f>
        <v/>
      </c>
    </row>
    <row r="19555" spans="1:7" ht="12" customHeight="1" outlineLevel="2" x14ac:dyDescent="0.2">
      <c r="A19555" s="14" t="s">
        <v>38488</v>
      </c>
      <c r="B19555" s="15" t="s">
        <v>38489</v>
      </c>
      <c r="C19555" s="16">
        <f>296.84/(1+B2)</f>
        <v>296.83999999999997</v>
      </c>
      <c r="D19555" s="17" t="s">
        <v>11</v>
      </c>
      <c r="E19555" s="17" t="s">
        <v>106</v>
      </c>
      <c r="F19555" s="18"/>
      <c r="G19555" s="36" t="str">
        <f>IF(ISNUMBER(F19555),C19555*F19555,"")</f>
        <v/>
      </c>
    </row>
    <row r="19556" spans="1:7" ht="12" customHeight="1" outlineLevel="2" x14ac:dyDescent="0.2">
      <c r="A19556" s="14" t="s">
        <v>38490</v>
      </c>
      <c r="B19556" s="15" t="s">
        <v>38491</v>
      </c>
      <c r="C19556" s="16">
        <f>319.27/(1+B2)</f>
        <v>319.27</v>
      </c>
      <c r="D19556" s="17" t="s">
        <v>11</v>
      </c>
      <c r="E19556" s="17"/>
      <c r="F19556" s="18"/>
      <c r="G19556" s="36" t="str">
        <f>IF(ISNUMBER(F19556),C19556*F19556,"")</f>
        <v/>
      </c>
    </row>
    <row r="19557" spans="1:7" ht="12" customHeight="1" outlineLevel="2" x14ac:dyDescent="0.2">
      <c r="A19557" s="14" t="s">
        <v>38492</v>
      </c>
      <c r="B19557" s="15" t="s">
        <v>38493</v>
      </c>
      <c r="C19557" s="16">
        <f>304.51/(1+B2)</f>
        <v>304.51</v>
      </c>
      <c r="D19557" s="17" t="s">
        <v>11</v>
      </c>
      <c r="E19557" s="17" t="s">
        <v>11</v>
      </c>
      <c r="F19557" s="18"/>
      <c r="G19557" s="36" t="str">
        <f>IF(ISNUMBER(F19557),C19557*F19557,"")</f>
        <v/>
      </c>
    </row>
    <row r="19558" spans="1:7" ht="12" customHeight="1" outlineLevel="2" x14ac:dyDescent="0.2">
      <c r="A19558" s="14" t="s">
        <v>38494</v>
      </c>
      <c r="B19558" s="15" t="s">
        <v>38495</v>
      </c>
      <c r="C19558" s="16">
        <f>310.6/(1+B2)</f>
        <v>310.60000000000002</v>
      </c>
      <c r="D19558" s="17" t="s">
        <v>11</v>
      </c>
      <c r="E19558" s="17"/>
      <c r="F19558" s="18"/>
      <c r="G19558" s="36" t="str">
        <f>IF(ISNUMBER(F19558),C19558*F19558,"")</f>
        <v/>
      </c>
    </row>
    <row r="19559" spans="1:7" ht="12" customHeight="1" outlineLevel="2" x14ac:dyDescent="0.2">
      <c r="A19559" s="14" t="s">
        <v>38496</v>
      </c>
      <c r="B19559" s="15" t="s">
        <v>38497</v>
      </c>
      <c r="C19559" s="16">
        <f>283.06/(1+B2)</f>
        <v>283.06</v>
      </c>
      <c r="D19559" s="17" t="s">
        <v>11</v>
      </c>
      <c r="E19559" s="17"/>
      <c r="F19559" s="18"/>
      <c r="G19559" s="36" t="str">
        <f>IF(ISNUMBER(F19559),C19559*F19559,"")</f>
        <v/>
      </c>
    </row>
    <row r="19560" spans="1:7" ht="12" customHeight="1" outlineLevel="2" x14ac:dyDescent="0.2">
      <c r="A19560" s="14" t="s">
        <v>38498</v>
      </c>
      <c r="B19560" s="15" t="s">
        <v>38499</v>
      </c>
      <c r="C19560" s="16">
        <f>291.79/(1+B2)</f>
        <v>291.79000000000002</v>
      </c>
      <c r="D19560" s="17" t="s">
        <v>11</v>
      </c>
      <c r="E19560" s="17" t="s">
        <v>53</v>
      </c>
      <c r="F19560" s="18"/>
      <c r="G19560" s="36" t="str">
        <f>IF(ISNUMBER(F19560),C19560*F19560,"")</f>
        <v/>
      </c>
    </row>
    <row r="19561" spans="1:7" ht="12" customHeight="1" outlineLevel="2" x14ac:dyDescent="0.2">
      <c r="A19561" s="14" t="s">
        <v>38500</v>
      </c>
      <c r="B19561" s="15" t="s">
        <v>38501</v>
      </c>
      <c r="C19561" s="16">
        <f>296.47/(1+B2)</f>
        <v>296.47000000000003</v>
      </c>
      <c r="D19561" s="17" t="s">
        <v>11</v>
      </c>
      <c r="E19561" s="17" t="s">
        <v>11</v>
      </c>
      <c r="F19561" s="18"/>
      <c r="G19561" s="36" t="str">
        <f>IF(ISNUMBER(F19561),C19561*F19561,"")</f>
        <v/>
      </c>
    </row>
    <row r="19562" spans="1:7" ht="12" customHeight="1" outlineLevel="2" x14ac:dyDescent="0.2">
      <c r="A19562" s="14" t="s">
        <v>38502</v>
      </c>
      <c r="B19562" s="15" t="s">
        <v>38503</v>
      </c>
      <c r="C19562" s="16">
        <f>283.77/(1+B2)</f>
        <v>283.77</v>
      </c>
      <c r="D19562" s="17" t="s">
        <v>11</v>
      </c>
      <c r="E19562" s="17" t="s">
        <v>53</v>
      </c>
      <c r="F19562" s="18"/>
      <c r="G19562" s="36" t="str">
        <f>IF(ISNUMBER(F19562),C19562*F19562,"")</f>
        <v/>
      </c>
    </row>
    <row r="19563" spans="1:7" ht="12" customHeight="1" outlineLevel="2" x14ac:dyDescent="0.2">
      <c r="A19563" s="14" t="s">
        <v>38504</v>
      </c>
      <c r="B19563" s="15" t="s">
        <v>38505</v>
      </c>
      <c r="C19563" s="16">
        <f>370.97/(1+B2)</f>
        <v>370.97</v>
      </c>
      <c r="D19563" s="17" t="s">
        <v>11</v>
      </c>
      <c r="E19563" s="17" t="s">
        <v>11</v>
      </c>
      <c r="F19563" s="18"/>
      <c r="G19563" s="36" t="str">
        <f>IF(ISNUMBER(F19563),C19563*F19563,"")</f>
        <v/>
      </c>
    </row>
    <row r="19564" spans="1:7" ht="12" customHeight="1" outlineLevel="2" x14ac:dyDescent="0.2">
      <c r="A19564" s="14" t="s">
        <v>38506</v>
      </c>
      <c r="B19564" s="15" t="s">
        <v>38507</v>
      </c>
      <c r="C19564" s="16">
        <f>343.47/(1+B2)</f>
        <v>343.47</v>
      </c>
      <c r="D19564" s="17" t="s">
        <v>11</v>
      </c>
      <c r="E19564" s="17" t="s">
        <v>53</v>
      </c>
      <c r="F19564" s="18"/>
      <c r="G19564" s="36" t="str">
        <f>IF(ISNUMBER(F19564),C19564*F19564,"")</f>
        <v/>
      </c>
    </row>
    <row r="19565" spans="1:7" ht="12" customHeight="1" outlineLevel="2" x14ac:dyDescent="0.2">
      <c r="A19565" s="14" t="s">
        <v>38508</v>
      </c>
      <c r="B19565" s="15" t="s">
        <v>38509</v>
      </c>
      <c r="C19565" s="16">
        <f>343.47/(1+B2)</f>
        <v>343.47</v>
      </c>
      <c r="D19565" s="17" t="s">
        <v>14</v>
      </c>
      <c r="E19565" s="17"/>
      <c r="F19565" s="18"/>
      <c r="G19565" s="36" t="str">
        <f>IF(ISNUMBER(F19565),C19565*F19565,"")</f>
        <v/>
      </c>
    </row>
    <row r="19566" spans="1:7" ht="12" customHeight="1" outlineLevel="2" x14ac:dyDescent="0.2">
      <c r="A19566" s="14" t="s">
        <v>38510</v>
      </c>
      <c r="B19566" s="15" t="s">
        <v>38511</v>
      </c>
      <c r="C19566" s="16">
        <f>175.22/(1+B2)</f>
        <v>175.22</v>
      </c>
      <c r="D19566" s="17" t="s">
        <v>11</v>
      </c>
      <c r="E19566" s="17"/>
      <c r="F19566" s="18"/>
      <c r="G19566" s="36" t="str">
        <f>IF(ISNUMBER(F19566),C19566*F19566,"")</f>
        <v/>
      </c>
    </row>
    <row r="19567" spans="1:7" ht="12" customHeight="1" outlineLevel="2" x14ac:dyDescent="0.2">
      <c r="A19567" s="14" t="s">
        <v>38512</v>
      </c>
      <c r="B19567" s="15" t="s">
        <v>38513</v>
      </c>
      <c r="C19567" s="16">
        <f>301.75/(1+B2)</f>
        <v>301.75</v>
      </c>
      <c r="D19567" s="17" t="s">
        <v>11</v>
      </c>
      <c r="E19567" s="17" t="s">
        <v>53</v>
      </c>
      <c r="F19567" s="18"/>
      <c r="G19567" s="36" t="str">
        <f>IF(ISNUMBER(F19567),C19567*F19567,"")</f>
        <v/>
      </c>
    </row>
    <row r="19568" spans="1:7" ht="12" customHeight="1" outlineLevel="2" x14ac:dyDescent="0.2">
      <c r="A19568" s="14" t="s">
        <v>38514</v>
      </c>
      <c r="B19568" s="15" t="s">
        <v>38515</v>
      </c>
      <c r="C19568" s="16">
        <f>325.88/(1+B2)</f>
        <v>325.88</v>
      </c>
      <c r="D19568" s="17" t="s">
        <v>11</v>
      </c>
      <c r="E19568" s="17" t="s">
        <v>14</v>
      </c>
      <c r="F19568" s="18"/>
      <c r="G19568" s="36" t="str">
        <f>IF(ISNUMBER(F19568),C19568*F19568,"")</f>
        <v/>
      </c>
    </row>
    <row r="19569" spans="1:7" ht="12" customHeight="1" outlineLevel="2" x14ac:dyDescent="0.2">
      <c r="A19569" s="14" t="s">
        <v>38516</v>
      </c>
      <c r="B19569" s="15" t="s">
        <v>38517</v>
      </c>
      <c r="C19569" s="16">
        <f>333.97/(1+B2)</f>
        <v>333.97</v>
      </c>
      <c r="D19569" s="17" t="s">
        <v>11</v>
      </c>
      <c r="E19569" s="17" t="s">
        <v>11</v>
      </c>
      <c r="F19569" s="18"/>
      <c r="G19569" s="36" t="str">
        <f>IF(ISNUMBER(F19569),C19569*F19569,"")</f>
        <v/>
      </c>
    </row>
    <row r="19570" spans="1:7" ht="24" customHeight="1" outlineLevel="2" x14ac:dyDescent="0.2">
      <c r="A19570" s="14" t="s">
        <v>38518</v>
      </c>
      <c r="B19570" s="15" t="s">
        <v>38519</v>
      </c>
      <c r="C19570" s="16">
        <f>676.32/(1+B2)</f>
        <v>676.32</v>
      </c>
      <c r="D19570" s="17" t="s">
        <v>11</v>
      </c>
      <c r="E19570" s="17" t="s">
        <v>53</v>
      </c>
      <c r="F19570" s="18"/>
      <c r="G19570" s="36" t="str">
        <f>IF(ISNUMBER(F19570),C19570*F19570,"")</f>
        <v/>
      </c>
    </row>
    <row r="19571" spans="1:7" ht="12" customHeight="1" outlineLevel="2" x14ac:dyDescent="0.2">
      <c r="A19571" s="14" t="s">
        <v>38520</v>
      </c>
      <c r="B19571" s="15" t="s">
        <v>38521</v>
      </c>
      <c r="C19571" s="16">
        <f>188.34/(1+B2)</f>
        <v>188.34</v>
      </c>
      <c r="D19571" s="17" t="s">
        <v>11</v>
      </c>
      <c r="E19571" s="17"/>
      <c r="F19571" s="18"/>
      <c r="G19571" s="36" t="str">
        <f>IF(ISNUMBER(F19571),C19571*F19571,"")</f>
        <v/>
      </c>
    </row>
    <row r="19572" spans="1:7" ht="12" customHeight="1" outlineLevel="2" x14ac:dyDescent="0.2">
      <c r="A19572" s="14" t="s">
        <v>38522</v>
      </c>
      <c r="B19572" s="15" t="s">
        <v>38523</v>
      </c>
      <c r="C19572" s="16">
        <f>206.82/(1+B2)</f>
        <v>206.82</v>
      </c>
      <c r="D19572" s="17" t="s">
        <v>11</v>
      </c>
      <c r="E19572" s="17"/>
      <c r="F19572" s="18"/>
      <c r="G19572" s="36" t="str">
        <f>IF(ISNUMBER(F19572),C19572*F19572,"")</f>
        <v/>
      </c>
    </row>
    <row r="19573" spans="1:7" ht="12" customHeight="1" outlineLevel="2" x14ac:dyDescent="0.2">
      <c r="A19573" s="14" t="s">
        <v>38524</v>
      </c>
      <c r="B19573" s="15" t="s">
        <v>38525</v>
      </c>
      <c r="C19573" s="16">
        <f>92.54/(1+B2)</f>
        <v>92.54</v>
      </c>
      <c r="D19573" s="17" t="s">
        <v>11</v>
      </c>
      <c r="E19573" s="17"/>
      <c r="F19573" s="18"/>
      <c r="G19573" s="36" t="str">
        <f>IF(ISNUMBER(F19573),C19573*F19573,"")</f>
        <v/>
      </c>
    </row>
    <row r="19574" spans="1:7" s="1" customFormat="1" ht="15.95" customHeight="1" outlineLevel="1" x14ac:dyDescent="0.25">
      <c r="A19574" s="11"/>
      <c r="B19574" s="12" t="s">
        <v>38526</v>
      </c>
      <c r="C19574" s="13"/>
      <c r="D19574" s="13"/>
      <c r="E19574" s="13"/>
      <c r="F19574" s="13"/>
      <c r="G19574" s="35"/>
    </row>
    <row r="19575" spans="1:7" ht="12" customHeight="1" outlineLevel="2" x14ac:dyDescent="0.2">
      <c r="A19575" s="14" t="s">
        <v>38527</v>
      </c>
      <c r="B19575" s="15" t="s">
        <v>38528</v>
      </c>
      <c r="C19575" s="16">
        <f>108.48/(1+B2)</f>
        <v>108.48</v>
      </c>
      <c r="D19575" s="17" t="s">
        <v>11</v>
      </c>
      <c r="E19575" s="17" t="s">
        <v>106</v>
      </c>
      <c r="F19575" s="18"/>
      <c r="G19575" s="36" t="str">
        <f>IF(ISNUMBER(F19575),C19575*F19575,"")</f>
        <v/>
      </c>
    </row>
    <row r="19576" spans="1:7" ht="12" customHeight="1" outlineLevel="2" x14ac:dyDescent="0.2">
      <c r="A19576" s="14" t="s">
        <v>38529</v>
      </c>
      <c r="B19576" s="15" t="s">
        <v>38530</v>
      </c>
      <c r="C19576" s="16">
        <f>165.75/(1+B2)</f>
        <v>165.75</v>
      </c>
      <c r="D19576" s="17" t="s">
        <v>11</v>
      </c>
      <c r="E19576" s="17" t="s">
        <v>106</v>
      </c>
      <c r="F19576" s="18"/>
      <c r="G19576" s="36" t="str">
        <f>IF(ISNUMBER(F19576),C19576*F19576,"")</f>
        <v/>
      </c>
    </row>
    <row r="19577" spans="1:7" ht="12" customHeight="1" outlineLevel="2" x14ac:dyDescent="0.2">
      <c r="A19577" s="14" t="s">
        <v>38531</v>
      </c>
      <c r="B19577" s="15" t="s">
        <v>38532</v>
      </c>
      <c r="C19577" s="16">
        <f>173.86/(1+B2)</f>
        <v>173.86</v>
      </c>
      <c r="D19577" s="17" t="s">
        <v>11</v>
      </c>
      <c r="E19577" s="17" t="s">
        <v>106</v>
      </c>
      <c r="F19577" s="18"/>
      <c r="G19577" s="36" t="str">
        <f>IF(ISNUMBER(F19577),C19577*F19577,"")</f>
        <v/>
      </c>
    </row>
    <row r="19578" spans="1:7" ht="12" customHeight="1" outlineLevel="2" x14ac:dyDescent="0.2">
      <c r="A19578" s="14" t="s">
        <v>38533</v>
      </c>
      <c r="B19578" s="15" t="s">
        <v>38534</v>
      </c>
      <c r="C19578" s="16">
        <f>182.08/(1+B2)</f>
        <v>182.08</v>
      </c>
      <c r="D19578" s="17" t="s">
        <v>11</v>
      </c>
      <c r="E19578" s="17" t="s">
        <v>14</v>
      </c>
      <c r="F19578" s="18"/>
      <c r="G19578" s="36" t="str">
        <f>IF(ISNUMBER(F19578),C19578*F19578,"")</f>
        <v/>
      </c>
    </row>
    <row r="19579" spans="1:7" ht="12" customHeight="1" outlineLevel="2" x14ac:dyDescent="0.2">
      <c r="A19579" s="14" t="s">
        <v>38535</v>
      </c>
      <c r="B19579" s="15" t="s">
        <v>38536</v>
      </c>
      <c r="C19579" s="16">
        <f>138.62/(1+B2)</f>
        <v>138.62</v>
      </c>
      <c r="D19579" s="17" t="s">
        <v>11</v>
      </c>
      <c r="E19579" s="17" t="s">
        <v>53</v>
      </c>
      <c r="F19579" s="18"/>
      <c r="G19579" s="36" t="str">
        <f>IF(ISNUMBER(F19579),C19579*F19579,"")</f>
        <v/>
      </c>
    </row>
    <row r="19580" spans="1:7" ht="12" customHeight="1" outlineLevel="2" x14ac:dyDescent="0.2">
      <c r="A19580" s="14" t="s">
        <v>38537</v>
      </c>
      <c r="B19580" s="15" t="s">
        <v>38538</v>
      </c>
      <c r="C19580" s="16">
        <f>193.51/(1+B2)</f>
        <v>193.51</v>
      </c>
      <c r="D19580" s="17" t="s">
        <v>14</v>
      </c>
      <c r="E19580" s="17" t="s">
        <v>11</v>
      </c>
      <c r="F19580" s="18"/>
      <c r="G19580" s="36" t="str">
        <f>IF(ISNUMBER(F19580),C19580*F19580,"")</f>
        <v/>
      </c>
    </row>
    <row r="19581" spans="1:7" ht="12" customHeight="1" outlineLevel="2" x14ac:dyDescent="0.2">
      <c r="A19581" s="14" t="s">
        <v>38539</v>
      </c>
      <c r="B19581" s="15" t="s">
        <v>38540</v>
      </c>
      <c r="C19581" s="16">
        <f>249.21/(1+B2)</f>
        <v>249.21</v>
      </c>
      <c r="D19581" s="17" t="s">
        <v>11</v>
      </c>
      <c r="E19581" s="17" t="s">
        <v>106</v>
      </c>
      <c r="F19581" s="18"/>
      <c r="G19581" s="36" t="str">
        <f>IF(ISNUMBER(F19581),C19581*F19581,"")</f>
        <v/>
      </c>
    </row>
    <row r="19582" spans="1:7" ht="12" customHeight="1" outlineLevel="2" x14ac:dyDescent="0.2">
      <c r="A19582" s="14" t="s">
        <v>38541</v>
      </c>
      <c r="B19582" s="15" t="s">
        <v>38542</v>
      </c>
      <c r="C19582" s="16">
        <f>310.3/(1+B2)</f>
        <v>310.3</v>
      </c>
      <c r="D19582" s="17" t="s">
        <v>14</v>
      </c>
      <c r="E19582" s="17" t="s">
        <v>11</v>
      </c>
      <c r="F19582" s="18"/>
      <c r="G19582" s="36" t="str">
        <f>IF(ISNUMBER(F19582),C19582*F19582,"")</f>
        <v/>
      </c>
    </row>
    <row r="19583" spans="1:7" ht="12" customHeight="1" outlineLevel="2" x14ac:dyDescent="0.2">
      <c r="A19583" s="14" t="s">
        <v>38543</v>
      </c>
      <c r="B19583" s="15" t="s">
        <v>38544</v>
      </c>
      <c r="C19583" s="16">
        <f>295.99/(1+B2)</f>
        <v>295.99</v>
      </c>
      <c r="D19583" s="17" t="s">
        <v>11</v>
      </c>
      <c r="E19583" s="17" t="s">
        <v>106</v>
      </c>
      <c r="F19583" s="18"/>
      <c r="G19583" s="36" t="str">
        <f>IF(ISNUMBER(F19583),C19583*F19583,"")</f>
        <v/>
      </c>
    </row>
    <row r="19584" spans="1:7" ht="12" customHeight="1" outlineLevel="2" x14ac:dyDescent="0.2">
      <c r="A19584" s="14" t="s">
        <v>38545</v>
      </c>
      <c r="B19584" s="15" t="s">
        <v>38546</v>
      </c>
      <c r="C19584" s="16">
        <f>301.88/(1+B2)</f>
        <v>301.88</v>
      </c>
      <c r="D19584" s="17" t="s">
        <v>11</v>
      </c>
      <c r="E19584" s="17" t="s">
        <v>106</v>
      </c>
      <c r="F19584" s="18"/>
      <c r="G19584" s="36" t="str">
        <f>IF(ISNUMBER(F19584),C19584*F19584,"")</f>
        <v/>
      </c>
    </row>
    <row r="19585" spans="1:7" ht="12" customHeight="1" outlineLevel="2" x14ac:dyDescent="0.2">
      <c r="A19585" s="14" t="s">
        <v>38547</v>
      </c>
      <c r="B19585" s="15" t="s">
        <v>38548</v>
      </c>
      <c r="C19585" s="16">
        <f>116.03/(1+B2)</f>
        <v>116.03</v>
      </c>
      <c r="D19585" s="17" t="s">
        <v>11</v>
      </c>
      <c r="E19585" s="17" t="s">
        <v>106</v>
      </c>
      <c r="F19585" s="18"/>
      <c r="G19585" s="36" t="str">
        <f>IF(ISNUMBER(F19585),C19585*F19585,"")</f>
        <v/>
      </c>
    </row>
    <row r="19586" spans="1:7" ht="12" customHeight="1" outlineLevel="2" x14ac:dyDescent="0.2">
      <c r="A19586" s="14" t="s">
        <v>38549</v>
      </c>
      <c r="B19586" s="15" t="s">
        <v>38550</v>
      </c>
      <c r="C19586" s="16">
        <f>449.4/(1+B2)</f>
        <v>449.4</v>
      </c>
      <c r="D19586" s="17" t="s">
        <v>11</v>
      </c>
      <c r="E19586" s="17" t="s">
        <v>53</v>
      </c>
      <c r="F19586" s="18"/>
      <c r="G19586" s="36" t="str">
        <f>IF(ISNUMBER(F19586),C19586*F19586,"")</f>
        <v/>
      </c>
    </row>
    <row r="19587" spans="1:7" ht="12" customHeight="1" outlineLevel="2" x14ac:dyDescent="0.2">
      <c r="A19587" s="14" t="s">
        <v>38551</v>
      </c>
      <c r="B19587" s="15" t="s">
        <v>38552</v>
      </c>
      <c r="C19587" s="16">
        <f>378.29/(1+B2)</f>
        <v>378.29</v>
      </c>
      <c r="D19587" s="17" t="s">
        <v>11</v>
      </c>
      <c r="E19587" s="17" t="s">
        <v>53</v>
      </c>
      <c r="F19587" s="18"/>
      <c r="G19587" s="36" t="str">
        <f>IF(ISNUMBER(F19587),C19587*F19587,"")</f>
        <v/>
      </c>
    </row>
    <row r="19588" spans="1:7" ht="12" customHeight="1" outlineLevel="2" x14ac:dyDescent="0.2">
      <c r="A19588" s="14" t="s">
        <v>38553</v>
      </c>
      <c r="B19588" s="15" t="s">
        <v>38554</v>
      </c>
      <c r="C19588" s="16">
        <f>885.14/(1+B2)</f>
        <v>885.14</v>
      </c>
      <c r="D19588" s="17" t="s">
        <v>11</v>
      </c>
      <c r="E19588" s="17" t="s">
        <v>14</v>
      </c>
      <c r="F19588" s="18"/>
      <c r="G19588" s="36" t="str">
        <f>IF(ISNUMBER(F19588),C19588*F19588,"")</f>
        <v/>
      </c>
    </row>
    <row r="19589" spans="1:7" ht="24" customHeight="1" outlineLevel="2" x14ac:dyDescent="0.2">
      <c r="A19589" s="14" t="s">
        <v>38555</v>
      </c>
      <c r="B19589" s="15" t="s">
        <v>38556</v>
      </c>
      <c r="C19589" s="16">
        <f>819.58/(1+B2)</f>
        <v>819.58</v>
      </c>
      <c r="D19589" s="17" t="s">
        <v>11</v>
      </c>
      <c r="E19589" s="17" t="s">
        <v>14</v>
      </c>
      <c r="F19589" s="18"/>
      <c r="G19589" s="36" t="str">
        <f>IF(ISNUMBER(F19589),C19589*F19589,"")</f>
        <v/>
      </c>
    </row>
    <row r="19590" spans="1:7" ht="12" customHeight="1" outlineLevel="2" x14ac:dyDescent="0.2">
      <c r="A19590" s="14" t="s">
        <v>38557</v>
      </c>
      <c r="B19590" s="15" t="s">
        <v>38558</v>
      </c>
      <c r="C19590" s="16">
        <f>973.65/(1+B2)</f>
        <v>973.65</v>
      </c>
      <c r="D19590" s="17" t="s">
        <v>11</v>
      </c>
      <c r="E19590" s="17" t="s">
        <v>106</v>
      </c>
      <c r="F19590" s="18"/>
      <c r="G19590" s="36" t="str">
        <f>IF(ISNUMBER(F19590),C19590*F19590,"")</f>
        <v/>
      </c>
    </row>
    <row r="19591" spans="1:7" ht="12" customHeight="1" outlineLevel="2" x14ac:dyDescent="0.2">
      <c r="A19591" s="14" t="s">
        <v>38559</v>
      </c>
      <c r="B19591" s="15" t="s">
        <v>38560</v>
      </c>
      <c r="C19591" s="16">
        <f>901.52/(1+B2)</f>
        <v>901.52</v>
      </c>
      <c r="D19591" s="17" t="s">
        <v>11</v>
      </c>
      <c r="E19591" s="17" t="s">
        <v>106</v>
      </c>
      <c r="F19591" s="18"/>
      <c r="G19591" s="36" t="str">
        <f>IF(ISNUMBER(F19591),C19591*F19591,"")</f>
        <v/>
      </c>
    </row>
    <row r="19592" spans="1:7" ht="24" customHeight="1" outlineLevel="2" x14ac:dyDescent="0.2">
      <c r="A19592" s="14" t="s">
        <v>38561</v>
      </c>
      <c r="B19592" s="15" t="s">
        <v>38562</v>
      </c>
      <c r="C19592" s="19">
        <f>1018.58/(1+B2)</f>
        <v>1018.58</v>
      </c>
      <c r="D19592" s="17" t="s">
        <v>11</v>
      </c>
      <c r="E19592" s="17" t="s">
        <v>11</v>
      </c>
      <c r="F19592" s="18"/>
      <c r="G19592" s="36" t="str">
        <f>IF(ISNUMBER(F19592),C19592*F19592,"")</f>
        <v/>
      </c>
    </row>
    <row r="19593" spans="1:7" ht="12" customHeight="1" outlineLevel="2" x14ac:dyDescent="0.2">
      <c r="A19593" s="14" t="s">
        <v>38563</v>
      </c>
      <c r="B19593" s="15" t="s">
        <v>38564</v>
      </c>
      <c r="C19593" s="16">
        <f>673.71/(1+B2)</f>
        <v>673.71</v>
      </c>
      <c r="D19593" s="17" t="s">
        <v>11</v>
      </c>
      <c r="E19593" s="17" t="s">
        <v>106</v>
      </c>
      <c r="F19593" s="18"/>
      <c r="G19593" s="36" t="str">
        <f>IF(ISNUMBER(F19593),C19593*F19593,"")</f>
        <v/>
      </c>
    </row>
    <row r="19594" spans="1:7" ht="12" customHeight="1" outlineLevel="2" x14ac:dyDescent="0.2">
      <c r="A19594" s="14" t="s">
        <v>38565</v>
      </c>
      <c r="B19594" s="15" t="s">
        <v>38566</v>
      </c>
      <c r="C19594" s="16">
        <f>232.7/(1+B2)</f>
        <v>232.7</v>
      </c>
      <c r="D19594" s="17" t="s">
        <v>11</v>
      </c>
      <c r="E19594" s="17" t="s">
        <v>53</v>
      </c>
      <c r="F19594" s="18"/>
      <c r="G19594" s="36" t="str">
        <f>IF(ISNUMBER(F19594),C19594*F19594,"")</f>
        <v/>
      </c>
    </row>
    <row r="19595" spans="1:7" ht="12" customHeight="1" outlineLevel="2" x14ac:dyDescent="0.2">
      <c r="A19595" s="14" t="s">
        <v>38567</v>
      </c>
      <c r="B19595" s="15" t="s">
        <v>38568</v>
      </c>
      <c r="C19595" s="16">
        <f>297.1/(1+B2)</f>
        <v>297.10000000000002</v>
      </c>
      <c r="D19595" s="17" t="s">
        <v>11</v>
      </c>
      <c r="E19595" s="17" t="s">
        <v>53</v>
      </c>
      <c r="F19595" s="18"/>
      <c r="G19595" s="36" t="str">
        <f>IF(ISNUMBER(F19595),C19595*F19595,"")</f>
        <v/>
      </c>
    </row>
    <row r="19596" spans="1:7" ht="12" customHeight="1" outlineLevel="2" x14ac:dyDescent="0.2">
      <c r="A19596" s="14" t="s">
        <v>38569</v>
      </c>
      <c r="B19596" s="15" t="s">
        <v>38570</v>
      </c>
      <c r="C19596" s="16">
        <f>306.3/(1+B2)</f>
        <v>306.3</v>
      </c>
      <c r="D19596" s="17" t="s">
        <v>11</v>
      </c>
      <c r="E19596" s="17"/>
      <c r="F19596" s="18"/>
      <c r="G19596" s="36" t="str">
        <f>IF(ISNUMBER(F19596),C19596*F19596,"")</f>
        <v/>
      </c>
    </row>
    <row r="19597" spans="1:7" ht="12" customHeight="1" outlineLevel="2" x14ac:dyDescent="0.2">
      <c r="A19597" s="14" t="s">
        <v>38571</v>
      </c>
      <c r="B19597" s="15" t="s">
        <v>38572</v>
      </c>
      <c r="C19597" s="16">
        <f>311.17/(1+B2)</f>
        <v>311.17</v>
      </c>
      <c r="D19597" s="17" t="s">
        <v>11</v>
      </c>
      <c r="E19597" s="17" t="s">
        <v>106</v>
      </c>
      <c r="F19597" s="18"/>
      <c r="G19597" s="36" t="str">
        <f>IF(ISNUMBER(F19597),C19597*F19597,"")</f>
        <v/>
      </c>
    </row>
    <row r="19598" spans="1:7" ht="12" customHeight="1" outlineLevel="2" x14ac:dyDescent="0.2">
      <c r="A19598" s="14" t="s">
        <v>38573</v>
      </c>
      <c r="B19598" s="15" t="s">
        <v>38574</v>
      </c>
      <c r="C19598" s="16">
        <f>275.8/(1+B2)</f>
        <v>275.8</v>
      </c>
      <c r="D19598" s="17" t="s">
        <v>14</v>
      </c>
      <c r="E19598" s="17" t="s">
        <v>106</v>
      </c>
      <c r="F19598" s="18"/>
      <c r="G19598" s="36" t="str">
        <f>IF(ISNUMBER(F19598),C19598*F19598,"")</f>
        <v/>
      </c>
    </row>
    <row r="19599" spans="1:7" ht="12" customHeight="1" outlineLevel="2" x14ac:dyDescent="0.2">
      <c r="A19599" s="14" t="s">
        <v>38575</v>
      </c>
      <c r="B19599" s="15" t="s">
        <v>38576</v>
      </c>
      <c r="C19599" s="16">
        <f>333.84/(1+B2)</f>
        <v>333.84</v>
      </c>
      <c r="D19599" s="17" t="s">
        <v>11</v>
      </c>
      <c r="E19599" s="17" t="s">
        <v>106</v>
      </c>
      <c r="F19599" s="18"/>
      <c r="G19599" s="36" t="str">
        <f>IF(ISNUMBER(F19599),C19599*F19599,"")</f>
        <v/>
      </c>
    </row>
    <row r="19600" spans="1:7" ht="12" customHeight="1" outlineLevel="2" x14ac:dyDescent="0.2">
      <c r="A19600" s="14" t="s">
        <v>38577</v>
      </c>
      <c r="B19600" s="15" t="s">
        <v>38578</v>
      </c>
      <c r="C19600" s="16">
        <f>157.66/(1+B2)</f>
        <v>157.66</v>
      </c>
      <c r="D19600" s="17" t="s">
        <v>11</v>
      </c>
      <c r="E19600" s="17"/>
      <c r="F19600" s="18"/>
      <c r="G19600" s="36" t="str">
        <f>IF(ISNUMBER(F19600),C19600*F19600,"")</f>
        <v/>
      </c>
    </row>
    <row r="19601" spans="1:7" ht="12" customHeight="1" outlineLevel="2" x14ac:dyDescent="0.2">
      <c r="A19601" s="14" t="s">
        <v>38579</v>
      </c>
      <c r="B19601" s="15" t="s">
        <v>38580</v>
      </c>
      <c r="C19601" s="16">
        <f>214.63/(1+B2)</f>
        <v>214.63</v>
      </c>
      <c r="D19601" s="17" t="s">
        <v>11</v>
      </c>
      <c r="E19601" s="17" t="s">
        <v>106</v>
      </c>
      <c r="F19601" s="18"/>
      <c r="G19601" s="36" t="str">
        <f>IF(ISNUMBER(F19601),C19601*F19601,"")</f>
        <v/>
      </c>
    </row>
    <row r="19602" spans="1:7" ht="12" customHeight="1" outlineLevel="2" x14ac:dyDescent="0.2">
      <c r="A19602" s="14" t="s">
        <v>38581</v>
      </c>
      <c r="B19602" s="15" t="s">
        <v>38582</v>
      </c>
      <c r="C19602" s="16">
        <f>298.82/(1+B2)</f>
        <v>298.82</v>
      </c>
      <c r="D19602" s="17" t="s">
        <v>11</v>
      </c>
      <c r="E19602" s="17"/>
      <c r="F19602" s="18"/>
      <c r="G19602" s="36" t="str">
        <f>IF(ISNUMBER(F19602),C19602*F19602,"")</f>
        <v/>
      </c>
    </row>
    <row r="19603" spans="1:7" ht="12" customHeight="1" outlineLevel="2" x14ac:dyDescent="0.2">
      <c r="A19603" s="14" t="s">
        <v>38583</v>
      </c>
      <c r="B19603" s="15" t="s">
        <v>38584</v>
      </c>
      <c r="C19603" s="16">
        <f>852.02/(1+B2)</f>
        <v>852.02</v>
      </c>
      <c r="D19603" s="17" t="s">
        <v>11</v>
      </c>
      <c r="E19603" s="17" t="s">
        <v>14</v>
      </c>
      <c r="F19603" s="18"/>
      <c r="G19603" s="36" t="str">
        <f>IF(ISNUMBER(F19603),C19603*F19603,"")</f>
        <v/>
      </c>
    </row>
    <row r="19604" spans="1:7" ht="12" customHeight="1" outlineLevel="2" x14ac:dyDescent="0.2">
      <c r="A19604" s="14" t="s">
        <v>38585</v>
      </c>
      <c r="B19604" s="15" t="s">
        <v>38586</v>
      </c>
      <c r="C19604" s="16">
        <f>311.17/(1+B2)</f>
        <v>311.17</v>
      </c>
      <c r="D19604" s="17" t="s">
        <v>11</v>
      </c>
      <c r="E19604" s="17" t="s">
        <v>11</v>
      </c>
      <c r="F19604" s="18"/>
      <c r="G19604" s="36" t="str">
        <f>IF(ISNUMBER(F19604),C19604*F19604,"")</f>
        <v/>
      </c>
    </row>
    <row r="19605" spans="1:7" ht="12" customHeight="1" outlineLevel="2" x14ac:dyDescent="0.2">
      <c r="A19605" s="14" t="s">
        <v>38587</v>
      </c>
      <c r="B19605" s="15" t="s">
        <v>38588</v>
      </c>
      <c r="C19605" s="16">
        <f>368.96/(1+B2)</f>
        <v>368.96</v>
      </c>
      <c r="D19605" s="17" t="s">
        <v>14</v>
      </c>
      <c r="E19605" s="17"/>
      <c r="F19605" s="18"/>
      <c r="G19605" s="36" t="str">
        <f>IF(ISNUMBER(F19605),C19605*F19605,"")</f>
        <v/>
      </c>
    </row>
    <row r="19606" spans="1:7" ht="12" customHeight="1" outlineLevel="2" x14ac:dyDescent="0.2">
      <c r="A19606" s="14" t="s">
        <v>38589</v>
      </c>
      <c r="B19606" s="15" t="s">
        <v>38590</v>
      </c>
      <c r="C19606" s="16">
        <f>248.53/(1+B2)</f>
        <v>248.53</v>
      </c>
      <c r="D19606" s="17" t="s">
        <v>11</v>
      </c>
      <c r="E19606" s="17" t="s">
        <v>53</v>
      </c>
      <c r="F19606" s="18"/>
      <c r="G19606" s="36" t="str">
        <f>IF(ISNUMBER(F19606),C19606*F19606,"")</f>
        <v/>
      </c>
    </row>
    <row r="19607" spans="1:7" ht="12" customHeight="1" outlineLevel="2" x14ac:dyDescent="0.2">
      <c r="A19607" s="14" t="s">
        <v>38591</v>
      </c>
      <c r="B19607" s="15" t="s">
        <v>38592</v>
      </c>
      <c r="C19607" s="16">
        <f>316.74/(1+B2)</f>
        <v>316.74</v>
      </c>
      <c r="D19607" s="17" t="s">
        <v>11</v>
      </c>
      <c r="E19607" s="17" t="s">
        <v>14</v>
      </c>
      <c r="F19607" s="18"/>
      <c r="G19607" s="36" t="str">
        <f>IF(ISNUMBER(F19607),C19607*F19607,"")</f>
        <v/>
      </c>
    </row>
    <row r="19608" spans="1:7" ht="12" customHeight="1" outlineLevel="2" x14ac:dyDescent="0.2">
      <c r="A19608" s="14" t="s">
        <v>38593</v>
      </c>
      <c r="B19608" s="15" t="s">
        <v>38594</v>
      </c>
      <c r="C19608" s="16">
        <f>372.21/(1+B2)</f>
        <v>372.21</v>
      </c>
      <c r="D19608" s="17" t="s">
        <v>11</v>
      </c>
      <c r="E19608" s="17" t="s">
        <v>14</v>
      </c>
      <c r="F19608" s="18"/>
      <c r="G19608" s="36" t="str">
        <f>IF(ISNUMBER(F19608),C19608*F19608,"")</f>
        <v/>
      </c>
    </row>
    <row r="19609" spans="1:7" ht="12" customHeight="1" outlineLevel="2" x14ac:dyDescent="0.2">
      <c r="A19609" s="14" t="s">
        <v>38595</v>
      </c>
      <c r="B19609" s="15" t="s">
        <v>38596</v>
      </c>
      <c r="C19609" s="16">
        <f>293.27/(1+B2)</f>
        <v>293.27</v>
      </c>
      <c r="D19609" s="17" t="s">
        <v>11</v>
      </c>
      <c r="E19609" s="17" t="s">
        <v>106</v>
      </c>
      <c r="F19609" s="18"/>
      <c r="G19609" s="36" t="str">
        <f>IF(ISNUMBER(F19609),C19609*F19609,"")</f>
        <v/>
      </c>
    </row>
    <row r="19610" spans="1:7" ht="12" customHeight="1" outlineLevel="2" x14ac:dyDescent="0.2">
      <c r="A19610" s="14" t="s">
        <v>38597</v>
      </c>
      <c r="B19610" s="15" t="s">
        <v>38598</v>
      </c>
      <c r="C19610" s="16">
        <f>300.56/(1+B2)</f>
        <v>300.56</v>
      </c>
      <c r="D19610" s="17" t="s">
        <v>11</v>
      </c>
      <c r="E19610" s="17" t="s">
        <v>106</v>
      </c>
      <c r="F19610" s="18"/>
      <c r="G19610" s="36" t="str">
        <f>IF(ISNUMBER(F19610),C19610*F19610,"")</f>
        <v/>
      </c>
    </row>
    <row r="19611" spans="1:7" ht="12" customHeight="1" outlineLevel="2" x14ac:dyDescent="0.2">
      <c r="A19611" s="14" t="s">
        <v>38599</v>
      </c>
      <c r="B19611" s="15" t="s">
        <v>38600</v>
      </c>
      <c r="C19611" s="16">
        <f>427.73/(1+B2)</f>
        <v>427.73</v>
      </c>
      <c r="D19611" s="17" t="s">
        <v>11</v>
      </c>
      <c r="E19611" s="17" t="s">
        <v>53</v>
      </c>
      <c r="F19611" s="18"/>
      <c r="G19611" s="36" t="str">
        <f>IF(ISNUMBER(F19611),C19611*F19611,"")</f>
        <v/>
      </c>
    </row>
    <row r="19612" spans="1:7" ht="12" customHeight="1" outlineLevel="2" x14ac:dyDescent="0.2">
      <c r="A19612" s="14" t="s">
        <v>38601</v>
      </c>
      <c r="B19612" s="15" t="s">
        <v>38602</v>
      </c>
      <c r="C19612" s="16">
        <f>485.84/(1+B2)</f>
        <v>485.84</v>
      </c>
      <c r="D19612" s="17" t="s">
        <v>11</v>
      </c>
      <c r="E19612" s="17" t="s">
        <v>53</v>
      </c>
      <c r="F19612" s="18"/>
      <c r="G19612" s="36" t="str">
        <f>IF(ISNUMBER(F19612),C19612*F19612,"")</f>
        <v/>
      </c>
    </row>
    <row r="19613" spans="1:7" ht="12" customHeight="1" outlineLevel="2" x14ac:dyDescent="0.2">
      <c r="A19613" s="14" t="s">
        <v>38603</v>
      </c>
      <c r="B19613" s="15" t="s">
        <v>38604</v>
      </c>
      <c r="C19613" s="16">
        <f>574.13/(1+B2)</f>
        <v>574.13</v>
      </c>
      <c r="D19613" s="17" t="s">
        <v>11</v>
      </c>
      <c r="E19613" s="17" t="s">
        <v>11</v>
      </c>
      <c r="F19613" s="18"/>
      <c r="G19613" s="36" t="str">
        <f>IF(ISNUMBER(F19613),C19613*F19613,"")</f>
        <v/>
      </c>
    </row>
    <row r="19614" spans="1:7" ht="12" customHeight="1" outlineLevel="2" x14ac:dyDescent="0.2">
      <c r="A19614" s="14" t="s">
        <v>38605</v>
      </c>
      <c r="B19614" s="15" t="s">
        <v>38606</v>
      </c>
      <c r="C19614" s="16">
        <f>425.93/(1+B2)</f>
        <v>425.93</v>
      </c>
      <c r="D19614" s="17" t="s">
        <v>11</v>
      </c>
      <c r="E19614" s="17"/>
      <c r="F19614" s="18"/>
      <c r="G19614" s="36" t="str">
        <f>IF(ISNUMBER(F19614),C19614*F19614,"")</f>
        <v/>
      </c>
    </row>
    <row r="19615" spans="1:7" ht="12" customHeight="1" outlineLevel="2" x14ac:dyDescent="0.2">
      <c r="A19615" s="14" t="s">
        <v>38607</v>
      </c>
      <c r="B19615" s="15" t="s">
        <v>38608</v>
      </c>
      <c r="C19615" s="16">
        <f>226.22/(1+B2)</f>
        <v>226.22</v>
      </c>
      <c r="D19615" s="17" t="s">
        <v>11</v>
      </c>
      <c r="E19615" s="17"/>
      <c r="F19615" s="18"/>
      <c r="G19615" s="36" t="str">
        <f>IF(ISNUMBER(F19615),C19615*F19615,"")</f>
        <v/>
      </c>
    </row>
    <row r="19616" spans="1:7" ht="12" customHeight="1" outlineLevel="2" x14ac:dyDescent="0.2">
      <c r="A19616" s="14" t="s">
        <v>38609</v>
      </c>
      <c r="B19616" s="15" t="s">
        <v>38610</v>
      </c>
      <c r="C19616" s="16">
        <f>261.79/(1+B2)</f>
        <v>261.79000000000002</v>
      </c>
      <c r="D19616" s="17" t="s">
        <v>11</v>
      </c>
      <c r="E19616" s="17"/>
      <c r="F19616" s="18"/>
      <c r="G19616" s="36" t="str">
        <f>IF(ISNUMBER(F19616),C19616*F19616,"")</f>
        <v/>
      </c>
    </row>
    <row r="19617" spans="1:7" ht="12" customHeight="1" outlineLevel="2" x14ac:dyDescent="0.2">
      <c r="A19617" s="14" t="s">
        <v>38611</v>
      </c>
      <c r="B19617" s="15" t="s">
        <v>38612</v>
      </c>
      <c r="C19617" s="16">
        <f>293.19/(1+B2)</f>
        <v>293.19</v>
      </c>
      <c r="D19617" s="17" t="s">
        <v>11</v>
      </c>
      <c r="E19617" s="17"/>
      <c r="F19617" s="18"/>
      <c r="G19617" s="36" t="str">
        <f>IF(ISNUMBER(F19617),C19617*F19617,"")</f>
        <v/>
      </c>
    </row>
    <row r="19618" spans="1:7" ht="12" customHeight="1" outlineLevel="2" x14ac:dyDescent="0.2">
      <c r="A19618" s="14" t="s">
        <v>38613</v>
      </c>
      <c r="B19618" s="15" t="s">
        <v>38614</v>
      </c>
      <c r="C19618" s="16">
        <f>277.55/(1+B2)</f>
        <v>277.55</v>
      </c>
      <c r="D19618" s="17" t="s">
        <v>11</v>
      </c>
      <c r="E19618" s="17" t="s">
        <v>11</v>
      </c>
      <c r="F19618" s="18"/>
      <c r="G19618" s="36" t="str">
        <f>IF(ISNUMBER(F19618),C19618*F19618,"")</f>
        <v/>
      </c>
    </row>
    <row r="19619" spans="1:7" ht="12" customHeight="1" outlineLevel="2" x14ac:dyDescent="0.2">
      <c r="A19619" s="14" t="s">
        <v>38615</v>
      </c>
      <c r="B19619" s="15" t="s">
        <v>38616</v>
      </c>
      <c r="C19619" s="16">
        <f>282.22/(1+B2)</f>
        <v>282.22000000000003</v>
      </c>
      <c r="D19619" s="17" t="s">
        <v>11</v>
      </c>
      <c r="E19619" s="17" t="s">
        <v>11</v>
      </c>
      <c r="F19619" s="18"/>
      <c r="G19619" s="36" t="str">
        <f>IF(ISNUMBER(F19619),C19619*F19619,"")</f>
        <v/>
      </c>
    </row>
    <row r="19620" spans="1:7" ht="12" customHeight="1" outlineLevel="2" x14ac:dyDescent="0.2">
      <c r="A19620" s="14" t="s">
        <v>38617</v>
      </c>
      <c r="B19620" s="15" t="s">
        <v>38618</v>
      </c>
      <c r="C19620" s="16">
        <f>121.25/(1+B2)</f>
        <v>121.25</v>
      </c>
      <c r="D19620" s="17" t="s">
        <v>11</v>
      </c>
      <c r="E19620" s="17"/>
      <c r="F19620" s="18"/>
      <c r="G19620" s="36" t="str">
        <f>IF(ISNUMBER(F19620),C19620*F19620,"")</f>
        <v/>
      </c>
    </row>
    <row r="19621" spans="1:7" ht="12" customHeight="1" outlineLevel="2" x14ac:dyDescent="0.2">
      <c r="A19621" s="14" t="s">
        <v>38619</v>
      </c>
      <c r="B19621" s="15" t="s">
        <v>38620</v>
      </c>
      <c r="C19621" s="16">
        <f>240.52/(1+B2)</f>
        <v>240.52</v>
      </c>
      <c r="D19621" s="17" t="s">
        <v>11</v>
      </c>
      <c r="E19621" s="17" t="s">
        <v>14</v>
      </c>
      <c r="F19621" s="18"/>
      <c r="G19621" s="36" t="str">
        <f>IF(ISNUMBER(F19621),C19621*F19621,"")</f>
        <v/>
      </c>
    </row>
    <row r="19622" spans="1:7" ht="12" customHeight="1" outlineLevel="2" x14ac:dyDescent="0.2">
      <c r="A19622" s="14" t="s">
        <v>38621</v>
      </c>
      <c r="B19622" s="15" t="s">
        <v>38622</v>
      </c>
      <c r="C19622" s="16">
        <f>296.49/(1+B2)</f>
        <v>296.49</v>
      </c>
      <c r="D19622" s="17" t="s">
        <v>14</v>
      </c>
      <c r="E19622" s="17" t="s">
        <v>14</v>
      </c>
      <c r="F19622" s="18"/>
      <c r="G19622" s="36" t="str">
        <f>IF(ISNUMBER(F19622),C19622*F19622,"")</f>
        <v/>
      </c>
    </row>
    <row r="19623" spans="1:7" ht="12" customHeight="1" outlineLevel="2" x14ac:dyDescent="0.2">
      <c r="A19623" s="14" t="s">
        <v>38623</v>
      </c>
      <c r="B19623" s="15" t="s">
        <v>38624</v>
      </c>
      <c r="C19623" s="16">
        <f>303.47/(1+B2)</f>
        <v>303.47000000000003</v>
      </c>
      <c r="D19623" s="17" t="s">
        <v>11</v>
      </c>
      <c r="E19623" s="17" t="s">
        <v>14</v>
      </c>
      <c r="F19623" s="18"/>
      <c r="G19623" s="36" t="str">
        <f>IF(ISNUMBER(F19623),C19623*F19623,"")</f>
        <v/>
      </c>
    </row>
    <row r="19624" spans="1:7" s="1" customFormat="1" ht="15.95" customHeight="1" outlineLevel="1" x14ac:dyDescent="0.25">
      <c r="A19624" s="11"/>
      <c r="B19624" s="12" t="s">
        <v>38625</v>
      </c>
      <c r="C19624" s="13"/>
      <c r="D19624" s="13"/>
      <c r="E19624" s="13"/>
      <c r="F19624" s="13"/>
      <c r="G19624" s="35"/>
    </row>
    <row r="19625" spans="1:7" ht="12" customHeight="1" outlineLevel="2" x14ac:dyDescent="0.2">
      <c r="A19625" s="14" t="s">
        <v>38626</v>
      </c>
      <c r="B19625" s="15" t="s">
        <v>38627</v>
      </c>
      <c r="C19625" s="16">
        <f>65.19/(1+B2)</f>
        <v>65.19</v>
      </c>
      <c r="D19625" s="17" t="s">
        <v>53</v>
      </c>
      <c r="E19625" s="17"/>
      <c r="F19625" s="18"/>
      <c r="G19625" s="36" t="str">
        <f>IF(ISNUMBER(F19625),C19625*F19625,"")</f>
        <v/>
      </c>
    </row>
    <row r="19626" spans="1:7" ht="12" customHeight="1" outlineLevel="2" x14ac:dyDescent="0.2">
      <c r="A19626" s="14" t="s">
        <v>38628</v>
      </c>
      <c r="B19626" s="15" t="s">
        <v>38629</v>
      </c>
      <c r="C19626" s="16">
        <f>77.02/(1+B2)</f>
        <v>77.02</v>
      </c>
      <c r="D19626" s="17" t="s">
        <v>14</v>
      </c>
      <c r="E19626" s="17"/>
      <c r="F19626" s="18"/>
      <c r="G19626" s="36" t="str">
        <f>IF(ISNUMBER(F19626),C19626*F19626,"")</f>
        <v/>
      </c>
    </row>
    <row r="19627" spans="1:7" ht="12" customHeight="1" outlineLevel="2" x14ac:dyDescent="0.2">
      <c r="A19627" s="14" t="s">
        <v>38630</v>
      </c>
      <c r="B19627" s="15" t="s">
        <v>38631</v>
      </c>
      <c r="C19627" s="16">
        <f>96.77/(1+B2)</f>
        <v>96.77</v>
      </c>
      <c r="D19627" s="17" t="s">
        <v>106</v>
      </c>
      <c r="E19627" s="17" t="s">
        <v>106</v>
      </c>
      <c r="F19627" s="18"/>
      <c r="G19627" s="36" t="str">
        <f>IF(ISNUMBER(F19627),C19627*F19627,"")</f>
        <v/>
      </c>
    </row>
    <row r="19628" spans="1:7" ht="12" customHeight="1" outlineLevel="2" x14ac:dyDescent="0.2">
      <c r="A19628" s="14" t="s">
        <v>38632</v>
      </c>
      <c r="B19628" s="15" t="s">
        <v>38633</v>
      </c>
      <c r="C19628" s="16">
        <f>9.88/(1+B2)</f>
        <v>9.8800000000000008</v>
      </c>
      <c r="D19628" s="17" t="s">
        <v>11</v>
      </c>
      <c r="E19628" s="17" t="s">
        <v>11</v>
      </c>
      <c r="F19628" s="18"/>
      <c r="G19628" s="36" t="str">
        <f>IF(ISNUMBER(F19628),C19628*F19628,"")</f>
        <v/>
      </c>
    </row>
    <row r="19629" spans="1:7" ht="12" customHeight="1" outlineLevel="2" x14ac:dyDescent="0.2">
      <c r="A19629" s="14" t="s">
        <v>38634</v>
      </c>
      <c r="B19629" s="15" t="s">
        <v>38635</v>
      </c>
      <c r="C19629" s="16">
        <f>7.37/(1+B2)</f>
        <v>7.37</v>
      </c>
      <c r="D19629" s="17" t="s">
        <v>11</v>
      </c>
      <c r="E19629" s="17"/>
      <c r="F19629" s="18"/>
      <c r="G19629" s="36" t="str">
        <f>IF(ISNUMBER(F19629),C19629*F19629,"")</f>
        <v/>
      </c>
    </row>
    <row r="19630" spans="1:7" ht="12" customHeight="1" outlineLevel="2" x14ac:dyDescent="0.2">
      <c r="A19630" s="14" t="s">
        <v>38636</v>
      </c>
      <c r="B19630" s="15" t="s">
        <v>38637</v>
      </c>
      <c r="C19630" s="16">
        <f>187.74/(1+B2)</f>
        <v>187.74</v>
      </c>
      <c r="D19630" s="17" t="s">
        <v>53</v>
      </c>
      <c r="E19630" s="17" t="s">
        <v>106</v>
      </c>
      <c r="F19630" s="18"/>
      <c r="G19630" s="36" t="str">
        <f>IF(ISNUMBER(F19630),C19630*F19630,"")</f>
        <v/>
      </c>
    </row>
    <row r="19631" spans="1:7" ht="12" customHeight="1" outlineLevel="2" x14ac:dyDescent="0.2">
      <c r="A19631" s="14" t="s">
        <v>38638</v>
      </c>
      <c r="B19631" s="15" t="s">
        <v>38639</v>
      </c>
      <c r="C19631" s="16">
        <f>236.91/(1+B2)</f>
        <v>236.91</v>
      </c>
      <c r="D19631" s="17" t="s">
        <v>11</v>
      </c>
      <c r="E19631" s="17" t="s">
        <v>106</v>
      </c>
      <c r="F19631" s="18"/>
      <c r="G19631" s="36" t="str">
        <f>IF(ISNUMBER(F19631),C19631*F19631,"")</f>
        <v/>
      </c>
    </row>
    <row r="19632" spans="1:7" ht="12" customHeight="1" outlineLevel="2" x14ac:dyDescent="0.2">
      <c r="A19632" s="14" t="s">
        <v>38640</v>
      </c>
      <c r="B19632" s="15" t="s">
        <v>38641</v>
      </c>
      <c r="C19632" s="16">
        <f>192.96/(1+B2)</f>
        <v>192.96</v>
      </c>
      <c r="D19632" s="17" t="s">
        <v>11</v>
      </c>
      <c r="E19632" s="17" t="s">
        <v>106</v>
      </c>
      <c r="F19632" s="18"/>
      <c r="G19632" s="36" t="str">
        <f>IF(ISNUMBER(F19632),C19632*F19632,"")</f>
        <v/>
      </c>
    </row>
    <row r="19633" spans="1:7" ht="12" customHeight="1" outlineLevel="2" x14ac:dyDescent="0.2">
      <c r="A19633" s="14" t="s">
        <v>38642</v>
      </c>
      <c r="B19633" s="15" t="s">
        <v>38643</v>
      </c>
      <c r="C19633" s="16">
        <f>236.91/(1+B2)</f>
        <v>236.91</v>
      </c>
      <c r="D19633" s="17" t="s">
        <v>11</v>
      </c>
      <c r="E19633" s="17" t="s">
        <v>106</v>
      </c>
      <c r="F19633" s="18"/>
      <c r="G19633" s="36" t="str">
        <f>IF(ISNUMBER(F19633),C19633*F19633,"")</f>
        <v/>
      </c>
    </row>
    <row r="19634" spans="1:7" ht="12" customHeight="1" outlineLevel="2" x14ac:dyDescent="0.2">
      <c r="A19634" s="14" t="s">
        <v>38644</v>
      </c>
      <c r="B19634" s="15" t="s">
        <v>38645</v>
      </c>
      <c r="C19634" s="16">
        <f>74.03/(1+B2)</f>
        <v>74.03</v>
      </c>
      <c r="D19634" s="17" t="s">
        <v>14</v>
      </c>
      <c r="E19634" s="17" t="s">
        <v>106</v>
      </c>
      <c r="F19634" s="18"/>
      <c r="G19634" s="36" t="str">
        <f>IF(ISNUMBER(F19634),C19634*F19634,"")</f>
        <v/>
      </c>
    </row>
    <row r="19635" spans="1:7" ht="12" customHeight="1" outlineLevel="2" x14ac:dyDescent="0.2">
      <c r="A19635" s="14" t="s">
        <v>38646</v>
      </c>
      <c r="B19635" s="15" t="s">
        <v>38647</v>
      </c>
      <c r="C19635" s="16">
        <f>74.03/(1+B2)</f>
        <v>74.03</v>
      </c>
      <c r="D19635" s="17" t="s">
        <v>11</v>
      </c>
      <c r="E19635" s="17" t="s">
        <v>53</v>
      </c>
      <c r="F19635" s="18"/>
      <c r="G19635" s="36" t="str">
        <f>IF(ISNUMBER(F19635),C19635*F19635,"")</f>
        <v/>
      </c>
    </row>
    <row r="19636" spans="1:7" ht="12" customHeight="1" outlineLevel="2" x14ac:dyDescent="0.2">
      <c r="A19636" s="14" t="s">
        <v>38648</v>
      </c>
      <c r="B19636" s="15" t="s">
        <v>38649</v>
      </c>
      <c r="C19636" s="16">
        <f>106.78/(1+B2)</f>
        <v>106.78</v>
      </c>
      <c r="D19636" s="17" t="s">
        <v>11</v>
      </c>
      <c r="E19636" s="17" t="s">
        <v>106</v>
      </c>
      <c r="F19636" s="18"/>
      <c r="G19636" s="36" t="str">
        <f>IF(ISNUMBER(F19636),C19636*F19636,"")</f>
        <v/>
      </c>
    </row>
    <row r="19637" spans="1:7" ht="12" customHeight="1" outlineLevel="2" x14ac:dyDescent="0.2">
      <c r="A19637" s="14" t="s">
        <v>38650</v>
      </c>
      <c r="B19637" s="15" t="s">
        <v>38651</v>
      </c>
      <c r="C19637" s="16">
        <f>43.6/(1+B2)</f>
        <v>43.6</v>
      </c>
      <c r="D19637" s="17" t="s">
        <v>53</v>
      </c>
      <c r="E19637" s="17" t="s">
        <v>106</v>
      </c>
      <c r="F19637" s="18"/>
      <c r="G19637" s="36" t="str">
        <f>IF(ISNUMBER(F19637),C19637*F19637,"")</f>
        <v/>
      </c>
    </row>
    <row r="19638" spans="1:7" ht="12" customHeight="1" outlineLevel="2" x14ac:dyDescent="0.2">
      <c r="A19638" s="14" t="s">
        <v>38652</v>
      </c>
      <c r="B19638" s="15" t="s">
        <v>38653</v>
      </c>
      <c r="C19638" s="16">
        <f>74.03/(1+B2)</f>
        <v>74.03</v>
      </c>
      <c r="D19638" s="17" t="s">
        <v>11</v>
      </c>
      <c r="E19638" s="17" t="s">
        <v>14</v>
      </c>
      <c r="F19638" s="18"/>
      <c r="G19638" s="36" t="str">
        <f>IF(ISNUMBER(F19638),C19638*F19638,"")</f>
        <v/>
      </c>
    </row>
    <row r="19639" spans="1:7" ht="12" customHeight="1" outlineLevel="2" x14ac:dyDescent="0.2">
      <c r="A19639" s="14" t="s">
        <v>38654</v>
      </c>
      <c r="B19639" s="15" t="s">
        <v>38655</v>
      </c>
      <c r="C19639" s="16">
        <f>103.91/(1+B2)</f>
        <v>103.91</v>
      </c>
      <c r="D19639" s="17" t="s">
        <v>11</v>
      </c>
      <c r="E19639" s="17"/>
      <c r="F19639" s="18"/>
      <c r="G19639" s="36" t="str">
        <f>IF(ISNUMBER(F19639),C19639*F19639,"")</f>
        <v/>
      </c>
    </row>
    <row r="19640" spans="1:7" ht="12" customHeight="1" outlineLevel="2" x14ac:dyDescent="0.2">
      <c r="A19640" s="14" t="s">
        <v>38656</v>
      </c>
      <c r="B19640" s="15" t="s">
        <v>38657</v>
      </c>
      <c r="C19640" s="16">
        <f>71.98/(1+B2)</f>
        <v>71.98</v>
      </c>
      <c r="D19640" s="17" t="s">
        <v>11</v>
      </c>
      <c r="E19640" s="17"/>
      <c r="F19640" s="18"/>
      <c r="G19640" s="36" t="str">
        <f>IF(ISNUMBER(F19640),C19640*F19640,"")</f>
        <v/>
      </c>
    </row>
    <row r="19641" spans="1:7" ht="12" customHeight="1" outlineLevel="2" x14ac:dyDescent="0.2">
      <c r="A19641" s="14" t="s">
        <v>38658</v>
      </c>
      <c r="B19641" s="15" t="s">
        <v>38659</v>
      </c>
      <c r="C19641" s="16">
        <f>220.9/(1+B2)</f>
        <v>220.9</v>
      </c>
      <c r="D19641" s="17" t="s">
        <v>14</v>
      </c>
      <c r="E19641" s="17" t="s">
        <v>106</v>
      </c>
      <c r="F19641" s="18"/>
      <c r="G19641" s="36" t="str">
        <f>IF(ISNUMBER(F19641),C19641*F19641,"")</f>
        <v/>
      </c>
    </row>
    <row r="19642" spans="1:7" ht="12" customHeight="1" outlineLevel="2" x14ac:dyDescent="0.2">
      <c r="A19642" s="14" t="s">
        <v>38660</v>
      </c>
      <c r="B19642" s="15" t="s">
        <v>38661</v>
      </c>
      <c r="C19642" s="16">
        <f>379.49/(1+B2)</f>
        <v>379.49</v>
      </c>
      <c r="D19642" s="17" t="s">
        <v>11</v>
      </c>
      <c r="E19642" s="17" t="s">
        <v>53</v>
      </c>
      <c r="F19642" s="18"/>
      <c r="G19642" s="36" t="str">
        <f>IF(ISNUMBER(F19642),C19642*F19642,"")</f>
        <v/>
      </c>
    </row>
    <row r="19643" spans="1:7" ht="12" customHeight="1" outlineLevel="2" x14ac:dyDescent="0.2">
      <c r="A19643" s="14" t="s">
        <v>38662</v>
      </c>
      <c r="B19643" s="15" t="s">
        <v>38663</v>
      </c>
      <c r="C19643" s="16">
        <f>279.35/(1+B2)</f>
        <v>279.35000000000002</v>
      </c>
      <c r="D19643" s="17" t="s">
        <v>11</v>
      </c>
      <c r="E19643" s="17" t="s">
        <v>106</v>
      </c>
      <c r="F19643" s="18"/>
      <c r="G19643" s="36" t="str">
        <f>IF(ISNUMBER(F19643),C19643*F19643,"")</f>
        <v/>
      </c>
    </row>
    <row r="19644" spans="1:7" ht="12" customHeight="1" outlineLevel="2" x14ac:dyDescent="0.2">
      <c r="A19644" s="14" t="s">
        <v>38664</v>
      </c>
      <c r="B19644" s="15" t="s">
        <v>38665</v>
      </c>
      <c r="C19644" s="16">
        <f>379.49/(1+B2)</f>
        <v>379.49</v>
      </c>
      <c r="D19644" s="17" t="s">
        <v>11</v>
      </c>
      <c r="E19644" s="17" t="s">
        <v>106</v>
      </c>
      <c r="F19644" s="18"/>
      <c r="G19644" s="36" t="str">
        <f>IF(ISNUMBER(F19644),C19644*F19644,"")</f>
        <v/>
      </c>
    </row>
    <row r="19645" spans="1:7" ht="12" customHeight="1" outlineLevel="2" x14ac:dyDescent="0.2">
      <c r="A19645" s="14" t="s">
        <v>38666</v>
      </c>
      <c r="B19645" s="15" t="s">
        <v>38667</v>
      </c>
      <c r="C19645" s="16">
        <f>649.41/(1+B2)</f>
        <v>649.41</v>
      </c>
      <c r="D19645" s="17" t="s">
        <v>11</v>
      </c>
      <c r="E19645" s="17" t="s">
        <v>11</v>
      </c>
      <c r="F19645" s="18"/>
      <c r="G19645" s="36" t="str">
        <f>IF(ISNUMBER(F19645),C19645*F19645,"")</f>
        <v/>
      </c>
    </row>
    <row r="19646" spans="1:7" ht="12" customHeight="1" outlineLevel="2" x14ac:dyDescent="0.2">
      <c r="A19646" s="14" t="s">
        <v>38668</v>
      </c>
      <c r="B19646" s="15" t="s">
        <v>38669</v>
      </c>
      <c r="C19646" s="16">
        <f>586.61/(1+B2)</f>
        <v>586.61</v>
      </c>
      <c r="D19646" s="17" t="s">
        <v>11</v>
      </c>
      <c r="E19646" s="17" t="s">
        <v>53</v>
      </c>
      <c r="F19646" s="18"/>
      <c r="G19646" s="36" t="str">
        <f>IF(ISNUMBER(F19646),C19646*F19646,"")</f>
        <v/>
      </c>
    </row>
    <row r="19647" spans="1:7" ht="12" customHeight="1" outlineLevel="2" x14ac:dyDescent="0.2">
      <c r="A19647" s="14" t="s">
        <v>38670</v>
      </c>
      <c r="B19647" s="15" t="s">
        <v>38671</v>
      </c>
      <c r="C19647" s="16">
        <f>586.61/(1+B2)</f>
        <v>586.61</v>
      </c>
      <c r="D19647" s="17" t="s">
        <v>11</v>
      </c>
      <c r="E19647" s="17" t="s">
        <v>11</v>
      </c>
      <c r="F19647" s="18"/>
      <c r="G19647" s="36" t="str">
        <f>IF(ISNUMBER(F19647),C19647*F19647,"")</f>
        <v/>
      </c>
    </row>
    <row r="19648" spans="1:7" ht="12" customHeight="1" outlineLevel="2" x14ac:dyDescent="0.2">
      <c r="A19648" s="14" t="s">
        <v>38672</v>
      </c>
      <c r="B19648" s="15" t="s">
        <v>38673</v>
      </c>
      <c r="C19648" s="16">
        <f>586.61/(1+B2)</f>
        <v>586.61</v>
      </c>
      <c r="D19648" s="17" t="s">
        <v>11</v>
      </c>
      <c r="E19648" s="17" t="s">
        <v>11</v>
      </c>
      <c r="F19648" s="18"/>
      <c r="G19648" s="36" t="str">
        <f>IF(ISNUMBER(F19648),C19648*F19648,"")</f>
        <v/>
      </c>
    </row>
    <row r="19649" spans="1:7" ht="12" customHeight="1" outlineLevel="2" x14ac:dyDescent="0.2">
      <c r="A19649" s="14" t="s">
        <v>38674</v>
      </c>
      <c r="B19649" s="15" t="s">
        <v>38675</v>
      </c>
      <c r="C19649" s="16">
        <f>682.94/(1+B2)</f>
        <v>682.94</v>
      </c>
      <c r="D19649" s="17" t="s">
        <v>11</v>
      </c>
      <c r="E19649" s="17" t="s">
        <v>11</v>
      </c>
      <c r="F19649" s="18"/>
      <c r="G19649" s="36" t="str">
        <f>IF(ISNUMBER(F19649),C19649*F19649,"")</f>
        <v/>
      </c>
    </row>
    <row r="19650" spans="1:7" ht="12" customHeight="1" outlineLevel="2" x14ac:dyDescent="0.2">
      <c r="A19650" s="14" t="s">
        <v>38676</v>
      </c>
      <c r="B19650" s="15" t="s">
        <v>38677</v>
      </c>
      <c r="C19650" s="16">
        <f>682.94/(1+B2)</f>
        <v>682.94</v>
      </c>
      <c r="D19650" s="17" t="s">
        <v>11</v>
      </c>
      <c r="E19650" s="17" t="s">
        <v>11</v>
      </c>
      <c r="F19650" s="18"/>
      <c r="G19650" s="36" t="str">
        <f>IF(ISNUMBER(F19650),C19650*F19650,"")</f>
        <v/>
      </c>
    </row>
    <row r="19651" spans="1:7" ht="12" customHeight="1" outlineLevel="2" x14ac:dyDescent="0.2">
      <c r="A19651" s="14" t="s">
        <v>38678</v>
      </c>
      <c r="B19651" s="15" t="s">
        <v>38679</v>
      </c>
      <c r="C19651" s="16">
        <f>389.19/(1+B2)</f>
        <v>389.19</v>
      </c>
      <c r="D19651" s="17" t="s">
        <v>11</v>
      </c>
      <c r="E19651" s="17"/>
      <c r="F19651" s="18"/>
      <c r="G19651" s="36" t="str">
        <f>IF(ISNUMBER(F19651),C19651*F19651,"")</f>
        <v/>
      </c>
    </row>
    <row r="19652" spans="1:7" ht="12" customHeight="1" outlineLevel="2" x14ac:dyDescent="0.2">
      <c r="A19652" s="14" t="s">
        <v>38680</v>
      </c>
      <c r="B19652" s="15" t="s">
        <v>38681</v>
      </c>
      <c r="C19652" s="16">
        <f>236.91/(1+B2)</f>
        <v>236.91</v>
      </c>
      <c r="D19652" s="17" t="s">
        <v>11</v>
      </c>
      <c r="E19652" s="17" t="s">
        <v>53</v>
      </c>
      <c r="F19652" s="18"/>
      <c r="G19652" s="36" t="str">
        <f>IF(ISNUMBER(F19652),C19652*F19652,"")</f>
        <v/>
      </c>
    </row>
    <row r="19653" spans="1:7" ht="12" customHeight="1" outlineLevel="2" x14ac:dyDescent="0.2">
      <c r="A19653" s="14" t="s">
        <v>38682</v>
      </c>
      <c r="B19653" s="15" t="s">
        <v>38683</v>
      </c>
      <c r="C19653" s="16">
        <f>305.95/(1+B2)</f>
        <v>305.95</v>
      </c>
      <c r="D19653" s="17" t="s">
        <v>11</v>
      </c>
      <c r="E19653" s="17" t="s">
        <v>11</v>
      </c>
      <c r="F19653" s="18"/>
      <c r="G19653" s="36" t="str">
        <f>IF(ISNUMBER(F19653),C19653*F19653,"")</f>
        <v/>
      </c>
    </row>
    <row r="19654" spans="1:7" ht="12" customHeight="1" outlineLevel="2" x14ac:dyDescent="0.2">
      <c r="A19654" s="14" t="s">
        <v>38684</v>
      </c>
      <c r="B19654" s="15" t="s">
        <v>38685</v>
      </c>
      <c r="C19654" s="16">
        <f>305.95/(1+B2)</f>
        <v>305.95</v>
      </c>
      <c r="D19654" s="17" t="s">
        <v>11</v>
      </c>
      <c r="E19654" s="17" t="s">
        <v>14</v>
      </c>
      <c r="F19654" s="18"/>
      <c r="G19654" s="36" t="str">
        <f>IF(ISNUMBER(F19654),C19654*F19654,"")</f>
        <v/>
      </c>
    </row>
    <row r="19655" spans="1:7" ht="12" customHeight="1" outlineLevel="2" x14ac:dyDescent="0.2">
      <c r="A19655" s="14" t="s">
        <v>38686</v>
      </c>
      <c r="B19655" s="15" t="s">
        <v>38687</v>
      </c>
      <c r="C19655" s="16">
        <f>299.82/(1+B2)</f>
        <v>299.82</v>
      </c>
      <c r="D19655" s="17" t="s">
        <v>11</v>
      </c>
      <c r="E19655" s="17" t="s">
        <v>53</v>
      </c>
      <c r="F19655" s="18"/>
      <c r="G19655" s="36" t="str">
        <f>IF(ISNUMBER(F19655),C19655*F19655,"")</f>
        <v/>
      </c>
    </row>
    <row r="19656" spans="1:7" ht="12" customHeight="1" outlineLevel="2" x14ac:dyDescent="0.2">
      <c r="A19656" s="14" t="s">
        <v>38688</v>
      </c>
      <c r="B19656" s="15" t="s">
        <v>38689</v>
      </c>
      <c r="C19656" s="16">
        <f>247.07/(1+B2)</f>
        <v>247.07</v>
      </c>
      <c r="D19656" s="17" t="s">
        <v>11</v>
      </c>
      <c r="E19656" s="17" t="s">
        <v>14</v>
      </c>
      <c r="F19656" s="18"/>
      <c r="G19656" s="36" t="str">
        <f>IF(ISNUMBER(F19656),C19656*F19656,"")</f>
        <v/>
      </c>
    </row>
    <row r="19657" spans="1:7" ht="12" customHeight="1" outlineLevel="2" x14ac:dyDescent="0.2">
      <c r="A19657" s="14" t="s">
        <v>38690</v>
      </c>
      <c r="B19657" s="15" t="s">
        <v>38691</v>
      </c>
      <c r="C19657" s="16">
        <f>299.82/(1+B2)</f>
        <v>299.82</v>
      </c>
      <c r="D19657" s="17" t="s">
        <v>11</v>
      </c>
      <c r="E19657" s="17" t="s">
        <v>106</v>
      </c>
      <c r="F19657" s="18"/>
      <c r="G19657" s="36" t="str">
        <f>IF(ISNUMBER(F19657),C19657*F19657,"")</f>
        <v/>
      </c>
    </row>
    <row r="19658" spans="1:7" ht="12" customHeight="1" outlineLevel="2" x14ac:dyDescent="0.2">
      <c r="A19658" s="14" t="s">
        <v>38692</v>
      </c>
      <c r="B19658" s="15" t="s">
        <v>38693</v>
      </c>
      <c r="C19658" s="16">
        <f>247.07/(1+B2)</f>
        <v>247.07</v>
      </c>
      <c r="D19658" s="17" t="s">
        <v>11</v>
      </c>
      <c r="E19658" s="17" t="s">
        <v>53</v>
      </c>
      <c r="F19658" s="18"/>
      <c r="G19658" s="36" t="str">
        <f>IF(ISNUMBER(F19658),C19658*F19658,"")</f>
        <v/>
      </c>
    </row>
    <row r="19659" spans="1:7" ht="12" customHeight="1" outlineLevel="2" x14ac:dyDescent="0.2">
      <c r="A19659" s="14" t="s">
        <v>38694</v>
      </c>
      <c r="B19659" s="15" t="s">
        <v>38695</v>
      </c>
      <c r="C19659" s="16">
        <f>299.82/(1+B2)</f>
        <v>299.82</v>
      </c>
      <c r="D19659" s="17" t="s">
        <v>11</v>
      </c>
      <c r="E19659" s="17" t="s">
        <v>14</v>
      </c>
      <c r="F19659" s="18"/>
      <c r="G19659" s="36" t="str">
        <f>IF(ISNUMBER(F19659),C19659*F19659,"")</f>
        <v/>
      </c>
    </row>
    <row r="19660" spans="1:7" ht="12" customHeight="1" outlineLevel="2" x14ac:dyDescent="0.2">
      <c r="A19660" s="14" t="s">
        <v>38696</v>
      </c>
      <c r="B19660" s="15" t="s">
        <v>38697</v>
      </c>
      <c r="C19660" s="16">
        <f>343.1/(1+B2)</f>
        <v>343.1</v>
      </c>
      <c r="D19660" s="17" t="s">
        <v>11</v>
      </c>
      <c r="E19660" s="17"/>
      <c r="F19660" s="18"/>
      <c r="G19660" s="36" t="str">
        <f>IF(ISNUMBER(F19660),C19660*F19660,"")</f>
        <v/>
      </c>
    </row>
    <row r="19661" spans="1:7" s="1" customFormat="1" ht="15.95" customHeight="1" outlineLevel="1" x14ac:dyDescent="0.25">
      <c r="A19661" s="11"/>
      <c r="B19661" s="12" t="s">
        <v>38698</v>
      </c>
      <c r="C19661" s="13"/>
      <c r="D19661" s="13"/>
      <c r="E19661" s="13"/>
      <c r="F19661" s="13"/>
      <c r="G19661" s="35"/>
    </row>
    <row r="19662" spans="1:7" s="1" customFormat="1" ht="12.95" customHeight="1" outlineLevel="2" x14ac:dyDescent="0.2">
      <c r="A19662" s="20"/>
      <c r="B19662" s="21" t="s">
        <v>38699</v>
      </c>
      <c r="C19662" s="22"/>
      <c r="D19662" s="22"/>
      <c r="E19662" s="22"/>
      <c r="F19662" s="22"/>
      <c r="G19662" s="37"/>
    </row>
    <row r="19663" spans="1:7" ht="12" customHeight="1" outlineLevel="3" x14ac:dyDescent="0.2">
      <c r="A19663" s="14" t="s">
        <v>38700</v>
      </c>
      <c r="B19663" s="15" t="s">
        <v>38701</v>
      </c>
      <c r="C19663" s="16">
        <f>28.83/(1+B2)</f>
        <v>28.83</v>
      </c>
      <c r="D19663" s="17" t="s">
        <v>11</v>
      </c>
      <c r="E19663" s="17"/>
      <c r="F19663" s="18"/>
      <c r="G19663" s="36" t="str">
        <f>IF(ISNUMBER(F19663),C19663*F19663,"")</f>
        <v/>
      </c>
    </row>
    <row r="19664" spans="1:7" ht="12" customHeight="1" outlineLevel="3" x14ac:dyDescent="0.2">
      <c r="A19664" s="14" t="s">
        <v>38702</v>
      </c>
      <c r="B19664" s="15" t="s">
        <v>38703</v>
      </c>
      <c r="C19664" s="16">
        <f>380.91/(1+B2)</f>
        <v>380.91</v>
      </c>
      <c r="D19664" s="17" t="s">
        <v>11</v>
      </c>
      <c r="E19664" s="17" t="s">
        <v>14</v>
      </c>
      <c r="F19664" s="18"/>
      <c r="G19664" s="36" t="str">
        <f>IF(ISNUMBER(F19664),C19664*F19664,"")</f>
        <v/>
      </c>
    </row>
    <row r="19665" spans="1:7" ht="12" customHeight="1" outlineLevel="3" x14ac:dyDescent="0.2">
      <c r="A19665" s="14" t="s">
        <v>38704</v>
      </c>
      <c r="B19665" s="15" t="s">
        <v>38705</v>
      </c>
      <c r="C19665" s="16">
        <f>404.51/(1+B2)</f>
        <v>404.51</v>
      </c>
      <c r="D19665" s="17" t="s">
        <v>11</v>
      </c>
      <c r="E19665" s="17"/>
      <c r="F19665" s="18"/>
      <c r="G19665" s="36" t="str">
        <f>IF(ISNUMBER(F19665),C19665*F19665,"")</f>
        <v/>
      </c>
    </row>
    <row r="19666" spans="1:7" ht="12" customHeight="1" outlineLevel="3" x14ac:dyDescent="0.2">
      <c r="A19666" s="14" t="s">
        <v>38706</v>
      </c>
      <c r="B19666" s="15" t="s">
        <v>38707</v>
      </c>
      <c r="C19666" s="16">
        <f>428.78/(1+B2)</f>
        <v>428.78</v>
      </c>
      <c r="D19666" s="17" t="s">
        <v>11</v>
      </c>
      <c r="E19666" s="17"/>
      <c r="F19666" s="18"/>
      <c r="G19666" s="36" t="str">
        <f>IF(ISNUMBER(F19666),C19666*F19666,"")</f>
        <v/>
      </c>
    </row>
    <row r="19667" spans="1:7" ht="12" customHeight="1" outlineLevel="3" x14ac:dyDescent="0.2">
      <c r="A19667" s="14" t="s">
        <v>38708</v>
      </c>
      <c r="B19667" s="15" t="s">
        <v>38709</v>
      </c>
      <c r="C19667" s="16">
        <f>863.19/(1+B2)</f>
        <v>863.19</v>
      </c>
      <c r="D19667" s="17" t="s">
        <v>11</v>
      </c>
      <c r="E19667" s="17" t="s">
        <v>11</v>
      </c>
      <c r="F19667" s="18"/>
      <c r="G19667" s="36" t="str">
        <f>IF(ISNUMBER(F19667),C19667*F19667,"")</f>
        <v/>
      </c>
    </row>
    <row r="19668" spans="1:7" ht="12" customHeight="1" outlineLevel="3" x14ac:dyDescent="0.2">
      <c r="A19668" s="14" t="s">
        <v>38710</v>
      </c>
      <c r="B19668" s="15" t="s">
        <v>38711</v>
      </c>
      <c r="C19668" s="19">
        <f>1230.54/(1+B2)</f>
        <v>1230.54</v>
      </c>
      <c r="D19668" s="17" t="s">
        <v>11</v>
      </c>
      <c r="E19668" s="17" t="s">
        <v>11</v>
      </c>
      <c r="F19668" s="18"/>
      <c r="G19668" s="36" t="str">
        <f>IF(ISNUMBER(F19668),C19668*F19668,"")</f>
        <v/>
      </c>
    </row>
    <row r="19669" spans="1:7" ht="12" customHeight="1" outlineLevel="3" x14ac:dyDescent="0.2">
      <c r="A19669" s="14" t="s">
        <v>38712</v>
      </c>
      <c r="B19669" s="15" t="s">
        <v>38713</v>
      </c>
      <c r="C19669" s="19">
        <f>1601.31/(1+B2)</f>
        <v>1601.31</v>
      </c>
      <c r="D19669" s="17" t="s">
        <v>11</v>
      </c>
      <c r="E19669" s="17"/>
      <c r="F19669" s="18"/>
      <c r="G19669" s="36" t="str">
        <f>IF(ISNUMBER(F19669),C19669*F19669,"")</f>
        <v/>
      </c>
    </row>
    <row r="19670" spans="1:7" ht="12" customHeight="1" outlineLevel="3" x14ac:dyDescent="0.2">
      <c r="A19670" s="14" t="s">
        <v>38714</v>
      </c>
      <c r="B19670" s="15" t="s">
        <v>38715</v>
      </c>
      <c r="C19670" s="16">
        <f>441.34/(1+B2)</f>
        <v>441.34</v>
      </c>
      <c r="D19670" s="17" t="s">
        <v>14</v>
      </c>
      <c r="E19670" s="17"/>
      <c r="F19670" s="18"/>
      <c r="G19670" s="36" t="str">
        <f>IF(ISNUMBER(F19670),C19670*F19670,"")</f>
        <v/>
      </c>
    </row>
    <row r="19671" spans="1:7" ht="12" customHeight="1" outlineLevel="3" x14ac:dyDescent="0.2">
      <c r="A19671" s="14" t="s">
        <v>38716</v>
      </c>
      <c r="B19671" s="15" t="s">
        <v>38717</v>
      </c>
      <c r="C19671" s="16">
        <f>598.95/(1+B2)</f>
        <v>598.95000000000005</v>
      </c>
      <c r="D19671" s="17" t="s">
        <v>11</v>
      </c>
      <c r="E19671" s="17"/>
      <c r="F19671" s="18"/>
      <c r="G19671" s="36" t="str">
        <f>IF(ISNUMBER(F19671),C19671*F19671,"")</f>
        <v/>
      </c>
    </row>
    <row r="19672" spans="1:7" ht="12" customHeight="1" outlineLevel="3" x14ac:dyDescent="0.2">
      <c r="A19672" s="14" t="s">
        <v>38718</v>
      </c>
      <c r="B19672" s="15" t="s">
        <v>38719</v>
      </c>
      <c r="C19672" s="16">
        <f>769.03/(1+B2)</f>
        <v>769.03</v>
      </c>
      <c r="D19672" s="17" t="s">
        <v>11</v>
      </c>
      <c r="E19672" s="17"/>
      <c r="F19672" s="18"/>
      <c r="G19672" s="36" t="str">
        <f>IF(ISNUMBER(F19672),C19672*F19672,"")</f>
        <v/>
      </c>
    </row>
    <row r="19673" spans="1:7" ht="12" customHeight="1" outlineLevel="3" x14ac:dyDescent="0.2">
      <c r="A19673" s="14" t="s">
        <v>38720</v>
      </c>
      <c r="B19673" s="15" t="s">
        <v>38721</v>
      </c>
      <c r="C19673" s="16">
        <f>564.59/(1+B2)</f>
        <v>564.59</v>
      </c>
      <c r="D19673" s="17"/>
      <c r="E19673" s="17" t="s">
        <v>11</v>
      </c>
      <c r="F19673" s="18"/>
      <c r="G19673" s="36" t="str">
        <f>IF(ISNUMBER(F19673),C19673*F19673,"")</f>
        <v/>
      </c>
    </row>
    <row r="19674" spans="1:7" ht="12" customHeight="1" outlineLevel="3" x14ac:dyDescent="0.2">
      <c r="A19674" s="14" t="s">
        <v>38722</v>
      </c>
      <c r="B19674" s="15" t="s">
        <v>38723</v>
      </c>
      <c r="C19674" s="16">
        <f>799.14/(1+B2)</f>
        <v>799.14</v>
      </c>
      <c r="D19674" s="17"/>
      <c r="E19674" s="17" t="s">
        <v>11</v>
      </c>
      <c r="F19674" s="18"/>
      <c r="G19674" s="36" t="str">
        <f>IF(ISNUMBER(F19674),C19674*F19674,"")</f>
        <v/>
      </c>
    </row>
    <row r="19675" spans="1:7" ht="12" customHeight="1" outlineLevel="3" x14ac:dyDescent="0.2">
      <c r="A19675" s="14" t="s">
        <v>38724</v>
      </c>
      <c r="B19675" s="15" t="s">
        <v>38725</v>
      </c>
      <c r="C19675" s="19">
        <f>1046.51/(1+B2)</f>
        <v>1046.51</v>
      </c>
      <c r="D19675" s="17"/>
      <c r="E19675" s="17" t="s">
        <v>11</v>
      </c>
      <c r="F19675" s="18"/>
      <c r="G19675" s="36" t="str">
        <f>IF(ISNUMBER(F19675),C19675*F19675,"")</f>
        <v/>
      </c>
    </row>
    <row r="19676" spans="1:7" ht="12" customHeight="1" outlineLevel="3" x14ac:dyDescent="0.2">
      <c r="A19676" s="14" t="s">
        <v>38726</v>
      </c>
      <c r="B19676" s="15" t="s">
        <v>38727</v>
      </c>
      <c r="C19676" s="16">
        <f>433.55/(1+B2)</f>
        <v>433.55</v>
      </c>
      <c r="D19676" s="17" t="s">
        <v>11</v>
      </c>
      <c r="E19676" s="17"/>
      <c r="F19676" s="18"/>
      <c r="G19676" s="36" t="str">
        <f>IF(ISNUMBER(F19676),C19676*F19676,"")</f>
        <v/>
      </c>
    </row>
    <row r="19677" spans="1:7" ht="12" customHeight="1" outlineLevel="3" x14ac:dyDescent="0.2">
      <c r="A19677" s="14" t="s">
        <v>38728</v>
      </c>
      <c r="B19677" s="15" t="s">
        <v>38729</v>
      </c>
      <c r="C19677" s="16">
        <f>619.85/(1+B2)</f>
        <v>619.85</v>
      </c>
      <c r="D19677" s="17" t="s">
        <v>11</v>
      </c>
      <c r="E19677" s="17"/>
      <c r="F19677" s="18"/>
      <c r="G19677" s="36" t="str">
        <f>IF(ISNUMBER(F19677),C19677*F19677,"")</f>
        <v/>
      </c>
    </row>
    <row r="19678" spans="1:7" ht="12" customHeight="1" outlineLevel="3" x14ac:dyDescent="0.2">
      <c r="A19678" s="14" t="s">
        <v>38730</v>
      </c>
      <c r="B19678" s="15" t="s">
        <v>38731</v>
      </c>
      <c r="C19678" s="16">
        <f>895.85/(1+B2)</f>
        <v>895.85</v>
      </c>
      <c r="D19678" s="17" t="s">
        <v>11</v>
      </c>
      <c r="E19678" s="17"/>
      <c r="F19678" s="18"/>
      <c r="G19678" s="36" t="str">
        <f>IF(ISNUMBER(F19678),C19678*F19678,"")</f>
        <v/>
      </c>
    </row>
    <row r="19679" spans="1:7" ht="12" customHeight="1" outlineLevel="3" x14ac:dyDescent="0.2">
      <c r="A19679" s="14" t="s">
        <v>38732</v>
      </c>
      <c r="B19679" s="15" t="s">
        <v>38733</v>
      </c>
      <c r="C19679" s="16">
        <f>531.3/(1+B2)</f>
        <v>531.29999999999995</v>
      </c>
      <c r="D19679" s="17" t="s">
        <v>11</v>
      </c>
      <c r="E19679" s="17"/>
      <c r="F19679" s="18"/>
      <c r="G19679" s="36" t="str">
        <f>IF(ISNUMBER(F19679),C19679*F19679,"")</f>
        <v/>
      </c>
    </row>
    <row r="19680" spans="1:7" ht="12" customHeight="1" outlineLevel="3" x14ac:dyDescent="0.2">
      <c r="A19680" s="14" t="s">
        <v>38734</v>
      </c>
      <c r="B19680" s="15" t="s">
        <v>38735</v>
      </c>
      <c r="C19680" s="16">
        <f>753.25/(1+B2)</f>
        <v>753.25</v>
      </c>
      <c r="D19680" s="17" t="s">
        <v>11</v>
      </c>
      <c r="E19680" s="17"/>
      <c r="F19680" s="18"/>
      <c r="G19680" s="36" t="str">
        <f>IF(ISNUMBER(F19680),C19680*F19680,"")</f>
        <v/>
      </c>
    </row>
    <row r="19681" spans="1:7" ht="12" customHeight="1" outlineLevel="3" x14ac:dyDescent="0.2">
      <c r="A19681" s="14" t="s">
        <v>38736</v>
      </c>
      <c r="B19681" s="15" t="s">
        <v>38737</v>
      </c>
      <c r="C19681" s="16">
        <f>986.7/(1+B2)</f>
        <v>986.7</v>
      </c>
      <c r="D19681" s="17" t="s">
        <v>11</v>
      </c>
      <c r="E19681" s="17"/>
      <c r="F19681" s="18"/>
      <c r="G19681" s="36" t="str">
        <f>IF(ISNUMBER(F19681),C19681*F19681,"")</f>
        <v/>
      </c>
    </row>
    <row r="19682" spans="1:7" ht="12" customHeight="1" outlineLevel="3" x14ac:dyDescent="0.2">
      <c r="A19682" s="14" t="s">
        <v>38738</v>
      </c>
      <c r="B19682" s="15" t="s">
        <v>38739</v>
      </c>
      <c r="C19682" s="16">
        <f>146.63/(1+B2)</f>
        <v>146.63</v>
      </c>
      <c r="D19682" s="17" t="s">
        <v>11</v>
      </c>
      <c r="E19682" s="17" t="s">
        <v>106</v>
      </c>
      <c r="F19682" s="18"/>
      <c r="G19682" s="36" t="str">
        <f>IF(ISNUMBER(F19682),C19682*F19682,"")</f>
        <v/>
      </c>
    </row>
    <row r="19683" spans="1:7" ht="12" customHeight="1" outlineLevel="3" x14ac:dyDescent="0.2">
      <c r="A19683" s="14" t="s">
        <v>38740</v>
      </c>
      <c r="B19683" s="15" t="s">
        <v>38741</v>
      </c>
      <c r="C19683" s="16">
        <f>301.56/(1+B2)</f>
        <v>301.56</v>
      </c>
      <c r="D19683" s="17" t="s">
        <v>11</v>
      </c>
      <c r="E19683" s="17" t="s">
        <v>11</v>
      </c>
      <c r="F19683" s="18"/>
      <c r="G19683" s="36" t="str">
        <f>IF(ISNUMBER(F19683),C19683*F19683,"")</f>
        <v/>
      </c>
    </row>
    <row r="19684" spans="1:7" ht="12" customHeight="1" outlineLevel="3" x14ac:dyDescent="0.2">
      <c r="A19684" s="14" t="s">
        <v>38742</v>
      </c>
      <c r="B19684" s="15" t="s">
        <v>38743</v>
      </c>
      <c r="C19684" s="16">
        <f>296.4/(1+B2)</f>
        <v>296.39999999999998</v>
      </c>
      <c r="D19684" s="17" t="s">
        <v>11</v>
      </c>
      <c r="E19684" s="17" t="s">
        <v>11</v>
      </c>
      <c r="F19684" s="18"/>
      <c r="G19684" s="36" t="str">
        <f>IF(ISNUMBER(F19684),C19684*F19684,"")</f>
        <v/>
      </c>
    </row>
    <row r="19685" spans="1:7" ht="12" customHeight="1" outlineLevel="3" x14ac:dyDescent="0.2">
      <c r="A19685" s="14" t="s">
        <v>38744</v>
      </c>
      <c r="B19685" s="15" t="s">
        <v>38745</v>
      </c>
      <c r="C19685" s="16">
        <f>230/(1+B2)</f>
        <v>230</v>
      </c>
      <c r="D19685" s="17" t="s">
        <v>14</v>
      </c>
      <c r="E19685" s="17"/>
      <c r="F19685" s="18"/>
      <c r="G19685" s="36" t="str">
        <f>IF(ISNUMBER(F19685),C19685*F19685,"")</f>
        <v/>
      </c>
    </row>
    <row r="19686" spans="1:7" ht="12" customHeight="1" outlineLevel="3" x14ac:dyDescent="0.2">
      <c r="A19686" s="14" t="s">
        <v>38746</v>
      </c>
      <c r="B19686" s="15" t="s">
        <v>38747</v>
      </c>
      <c r="C19686" s="16">
        <f>287.44/(1+B2)</f>
        <v>287.44</v>
      </c>
      <c r="D19686" s="17" t="s">
        <v>11</v>
      </c>
      <c r="E19686" s="17"/>
      <c r="F19686" s="18"/>
      <c r="G19686" s="36" t="str">
        <f>IF(ISNUMBER(F19686),C19686*F19686,"")</f>
        <v/>
      </c>
    </row>
    <row r="19687" spans="1:7" ht="12" customHeight="1" outlineLevel="3" x14ac:dyDescent="0.2">
      <c r="A19687" s="14" t="s">
        <v>38748</v>
      </c>
      <c r="B19687" s="15" t="s">
        <v>38749</v>
      </c>
      <c r="C19687" s="16">
        <f>254.37/(1+B2)</f>
        <v>254.37</v>
      </c>
      <c r="D19687" s="17" t="s">
        <v>14</v>
      </c>
      <c r="E19687" s="17"/>
      <c r="F19687" s="18"/>
      <c r="G19687" s="36" t="str">
        <f>IF(ISNUMBER(F19687),C19687*F19687,"")</f>
        <v/>
      </c>
    </row>
    <row r="19688" spans="1:7" ht="12" customHeight="1" outlineLevel="3" x14ac:dyDescent="0.2">
      <c r="A19688" s="14" t="s">
        <v>38750</v>
      </c>
      <c r="B19688" s="15" t="s">
        <v>38751</v>
      </c>
      <c r="C19688" s="16">
        <f>254.37/(1+B2)</f>
        <v>254.37</v>
      </c>
      <c r="D19688" s="17" t="s">
        <v>14</v>
      </c>
      <c r="E19688" s="17"/>
      <c r="F19688" s="18"/>
      <c r="G19688" s="36" t="str">
        <f>IF(ISNUMBER(F19688),C19688*F19688,"")</f>
        <v/>
      </c>
    </row>
    <row r="19689" spans="1:7" ht="12" customHeight="1" outlineLevel="3" x14ac:dyDescent="0.2">
      <c r="A19689" s="14" t="s">
        <v>38752</v>
      </c>
      <c r="B19689" s="15" t="s">
        <v>38753</v>
      </c>
      <c r="C19689" s="16">
        <f>532.28/(1+B2)</f>
        <v>532.28</v>
      </c>
      <c r="D19689" s="17" t="s">
        <v>11</v>
      </c>
      <c r="E19689" s="17" t="s">
        <v>11</v>
      </c>
      <c r="F19689" s="18"/>
      <c r="G19689" s="36" t="str">
        <f>IF(ISNUMBER(F19689),C19689*F19689,"")</f>
        <v/>
      </c>
    </row>
    <row r="19690" spans="1:7" ht="12" customHeight="1" outlineLevel="3" x14ac:dyDescent="0.2">
      <c r="A19690" s="14" t="s">
        <v>38754</v>
      </c>
      <c r="B19690" s="15" t="s">
        <v>38755</v>
      </c>
      <c r="C19690" s="16">
        <f>261.43/(1+B2)</f>
        <v>261.43</v>
      </c>
      <c r="D19690" s="17" t="s">
        <v>11</v>
      </c>
      <c r="E19690" s="17"/>
      <c r="F19690" s="18"/>
      <c r="G19690" s="36" t="str">
        <f>IF(ISNUMBER(F19690),C19690*F19690,"")</f>
        <v/>
      </c>
    </row>
    <row r="19691" spans="1:7" ht="12" customHeight="1" outlineLevel="3" x14ac:dyDescent="0.2">
      <c r="A19691" s="14" t="s">
        <v>38756</v>
      </c>
      <c r="B19691" s="15" t="s">
        <v>38757</v>
      </c>
      <c r="C19691" s="16">
        <f>313.72/(1+B2)</f>
        <v>313.72000000000003</v>
      </c>
      <c r="D19691" s="17" t="s">
        <v>11</v>
      </c>
      <c r="E19691" s="17"/>
      <c r="F19691" s="18"/>
      <c r="G19691" s="36" t="str">
        <f>IF(ISNUMBER(F19691),C19691*F19691,"")</f>
        <v/>
      </c>
    </row>
    <row r="19692" spans="1:7" ht="12" customHeight="1" outlineLevel="3" x14ac:dyDescent="0.2">
      <c r="A19692" s="14" t="s">
        <v>38758</v>
      </c>
      <c r="B19692" s="15" t="s">
        <v>38759</v>
      </c>
      <c r="C19692" s="16">
        <f>177.1/(1+B2)</f>
        <v>177.1</v>
      </c>
      <c r="D19692" s="17" t="s">
        <v>11</v>
      </c>
      <c r="E19692" s="17"/>
      <c r="F19692" s="18"/>
      <c r="G19692" s="36" t="str">
        <f>IF(ISNUMBER(F19692),C19692*F19692,"")</f>
        <v/>
      </c>
    </row>
    <row r="19693" spans="1:7" ht="12" customHeight="1" outlineLevel="3" x14ac:dyDescent="0.2">
      <c r="A19693" s="14" t="s">
        <v>38760</v>
      </c>
      <c r="B19693" s="15" t="s">
        <v>38761</v>
      </c>
      <c r="C19693" s="16">
        <f>224.15/(1+B2)</f>
        <v>224.15</v>
      </c>
      <c r="D19693" s="17" t="s">
        <v>14</v>
      </c>
      <c r="E19693" s="17"/>
      <c r="F19693" s="18"/>
      <c r="G19693" s="36" t="str">
        <f>IF(ISNUMBER(F19693),C19693*F19693,"")</f>
        <v/>
      </c>
    </row>
    <row r="19694" spans="1:7" ht="12" customHeight="1" outlineLevel="3" x14ac:dyDescent="0.2">
      <c r="A19694" s="14" t="s">
        <v>38762</v>
      </c>
      <c r="B19694" s="15" t="s">
        <v>38763</v>
      </c>
      <c r="C19694" s="16">
        <f>221.25/(1+B2)</f>
        <v>221.25</v>
      </c>
      <c r="D19694" s="17" t="s">
        <v>14</v>
      </c>
      <c r="E19694" s="17" t="s">
        <v>53</v>
      </c>
      <c r="F19694" s="18"/>
      <c r="G19694" s="36" t="str">
        <f>IF(ISNUMBER(F19694),C19694*F19694,"")</f>
        <v/>
      </c>
    </row>
    <row r="19695" spans="1:7" ht="12" customHeight="1" outlineLevel="3" x14ac:dyDescent="0.2">
      <c r="A19695" s="14" t="s">
        <v>38764</v>
      </c>
      <c r="B19695" s="15" t="s">
        <v>38765</v>
      </c>
      <c r="C19695" s="16">
        <f>295.77/(1+B2)</f>
        <v>295.77</v>
      </c>
      <c r="D19695" s="17" t="s">
        <v>11</v>
      </c>
      <c r="E19695" s="17"/>
      <c r="F19695" s="18"/>
      <c r="G19695" s="36" t="str">
        <f>IF(ISNUMBER(F19695),C19695*F19695,"")</f>
        <v/>
      </c>
    </row>
    <row r="19696" spans="1:7" ht="12" customHeight="1" outlineLevel="3" x14ac:dyDescent="0.2">
      <c r="A19696" s="14" t="s">
        <v>38766</v>
      </c>
      <c r="B19696" s="15" t="s">
        <v>38767</v>
      </c>
      <c r="C19696" s="16">
        <f>201.74/(1+B2)</f>
        <v>201.74</v>
      </c>
      <c r="D19696" s="17" t="s">
        <v>11</v>
      </c>
      <c r="E19696" s="17" t="s">
        <v>53</v>
      </c>
      <c r="F19696" s="18"/>
      <c r="G19696" s="36" t="str">
        <f>IF(ISNUMBER(F19696),C19696*F19696,"")</f>
        <v/>
      </c>
    </row>
    <row r="19697" spans="1:7" ht="24" customHeight="1" outlineLevel="3" x14ac:dyDescent="0.2">
      <c r="A19697" s="14" t="s">
        <v>38768</v>
      </c>
      <c r="B19697" s="15" t="s">
        <v>38769</v>
      </c>
      <c r="C19697" s="19">
        <f>1222.59/(1+B2)</f>
        <v>1222.5899999999999</v>
      </c>
      <c r="D19697" s="17" t="s">
        <v>11</v>
      </c>
      <c r="E19697" s="17"/>
      <c r="F19697" s="18"/>
      <c r="G19697" s="36" t="str">
        <f>IF(ISNUMBER(F19697),C19697*F19697,"")</f>
        <v/>
      </c>
    </row>
    <row r="19698" spans="1:7" ht="12" customHeight="1" outlineLevel="3" x14ac:dyDescent="0.2">
      <c r="A19698" s="14" t="s">
        <v>38770</v>
      </c>
      <c r="B19698" s="15" t="s">
        <v>38771</v>
      </c>
      <c r="C19698" s="16">
        <f>574.59/(1+B2)</f>
        <v>574.59</v>
      </c>
      <c r="D19698" s="17" t="s">
        <v>11</v>
      </c>
      <c r="E19698" s="17"/>
      <c r="F19698" s="18"/>
      <c r="G19698" s="36" t="str">
        <f>IF(ISNUMBER(F19698),C19698*F19698,"")</f>
        <v/>
      </c>
    </row>
    <row r="19699" spans="1:7" ht="24" customHeight="1" outlineLevel="3" x14ac:dyDescent="0.2">
      <c r="A19699" s="14" t="s">
        <v>38772</v>
      </c>
      <c r="B19699" s="15" t="s">
        <v>38773</v>
      </c>
      <c r="C19699" s="16">
        <f>369.71/(1+B2)</f>
        <v>369.71</v>
      </c>
      <c r="D19699" s="17" t="s">
        <v>11</v>
      </c>
      <c r="E19699" s="17"/>
      <c r="F19699" s="18"/>
      <c r="G19699" s="36" t="str">
        <f>IF(ISNUMBER(F19699),C19699*F19699,"")</f>
        <v/>
      </c>
    </row>
    <row r="19700" spans="1:7" ht="24" customHeight="1" outlineLevel="3" x14ac:dyDescent="0.2">
      <c r="A19700" s="14" t="s">
        <v>38774</v>
      </c>
      <c r="B19700" s="15" t="s">
        <v>38775</v>
      </c>
      <c r="C19700" s="16">
        <f>496.36/(1+B2)</f>
        <v>496.36</v>
      </c>
      <c r="D19700" s="17" t="s">
        <v>11</v>
      </c>
      <c r="E19700" s="17"/>
      <c r="F19700" s="18"/>
      <c r="G19700" s="36" t="str">
        <f>IF(ISNUMBER(F19700),C19700*F19700,"")</f>
        <v/>
      </c>
    </row>
    <row r="19701" spans="1:7" ht="12" customHeight="1" outlineLevel="3" x14ac:dyDescent="0.2">
      <c r="A19701" s="14" t="s">
        <v>38776</v>
      </c>
      <c r="B19701" s="15" t="s">
        <v>38777</v>
      </c>
      <c r="C19701" s="16">
        <f>95.43/(1+B2)</f>
        <v>95.43</v>
      </c>
      <c r="D19701" s="17" t="s">
        <v>14</v>
      </c>
      <c r="E19701" s="17" t="s">
        <v>14</v>
      </c>
      <c r="F19701" s="18"/>
      <c r="G19701" s="36" t="str">
        <f>IF(ISNUMBER(F19701),C19701*F19701,"")</f>
        <v/>
      </c>
    </row>
    <row r="19702" spans="1:7" ht="12" customHeight="1" outlineLevel="3" x14ac:dyDescent="0.2">
      <c r="A19702" s="14" t="s">
        <v>38778</v>
      </c>
      <c r="B19702" s="15" t="s">
        <v>38779</v>
      </c>
      <c r="C19702" s="16">
        <f>97.68/(1+B2)</f>
        <v>97.68</v>
      </c>
      <c r="D19702" s="17" t="s">
        <v>11</v>
      </c>
      <c r="E19702" s="17"/>
      <c r="F19702" s="18"/>
      <c r="G19702" s="36" t="str">
        <f>IF(ISNUMBER(F19702),C19702*F19702,"")</f>
        <v/>
      </c>
    </row>
    <row r="19703" spans="1:7" ht="12" customHeight="1" outlineLevel="3" x14ac:dyDescent="0.2">
      <c r="A19703" s="14" t="s">
        <v>38780</v>
      </c>
      <c r="B19703" s="15" t="s">
        <v>38781</v>
      </c>
      <c r="C19703" s="16">
        <f>119.5/(1+B2)</f>
        <v>119.5</v>
      </c>
      <c r="D19703" s="17" t="s">
        <v>53</v>
      </c>
      <c r="E19703" s="17"/>
      <c r="F19703" s="18"/>
      <c r="G19703" s="36" t="str">
        <f>IF(ISNUMBER(F19703),C19703*F19703,"")</f>
        <v/>
      </c>
    </row>
    <row r="19704" spans="1:7" ht="12" customHeight="1" outlineLevel="3" x14ac:dyDescent="0.2">
      <c r="A19704" s="14" t="s">
        <v>38782</v>
      </c>
      <c r="B19704" s="15" t="s">
        <v>38783</v>
      </c>
      <c r="C19704" s="16">
        <f>165.72/(1+B2)</f>
        <v>165.72</v>
      </c>
      <c r="D19704" s="17" t="s">
        <v>14</v>
      </c>
      <c r="E19704" s="17" t="s">
        <v>106</v>
      </c>
      <c r="F19704" s="18"/>
      <c r="G19704" s="36" t="str">
        <f>IF(ISNUMBER(F19704),C19704*F19704,"")</f>
        <v/>
      </c>
    </row>
    <row r="19705" spans="1:7" ht="12" customHeight="1" outlineLevel="3" x14ac:dyDescent="0.2">
      <c r="A19705" s="14" t="s">
        <v>38784</v>
      </c>
      <c r="B19705" s="15" t="s">
        <v>38785</v>
      </c>
      <c r="C19705" s="16">
        <f>238.83/(1+B2)</f>
        <v>238.83</v>
      </c>
      <c r="D19705" s="17" t="s">
        <v>11</v>
      </c>
      <c r="E19705" s="17" t="s">
        <v>11</v>
      </c>
      <c r="F19705" s="18"/>
      <c r="G19705" s="36" t="str">
        <f>IF(ISNUMBER(F19705),C19705*F19705,"")</f>
        <v/>
      </c>
    </row>
    <row r="19706" spans="1:7" ht="12" customHeight="1" outlineLevel="3" x14ac:dyDescent="0.2">
      <c r="A19706" s="14" t="s">
        <v>38786</v>
      </c>
      <c r="B19706" s="15" t="s">
        <v>38787</v>
      </c>
      <c r="C19706" s="16">
        <f>118.94/(1+B2)</f>
        <v>118.94</v>
      </c>
      <c r="D19706" s="17" t="s">
        <v>53</v>
      </c>
      <c r="E19706" s="17" t="s">
        <v>106</v>
      </c>
      <c r="F19706" s="18"/>
      <c r="G19706" s="36" t="str">
        <f>IF(ISNUMBER(F19706),C19706*F19706,"")</f>
        <v/>
      </c>
    </row>
    <row r="19707" spans="1:7" ht="12" customHeight="1" outlineLevel="3" x14ac:dyDescent="0.2">
      <c r="A19707" s="14" t="s">
        <v>38788</v>
      </c>
      <c r="B19707" s="15" t="s">
        <v>38789</v>
      </c>
      <c r="C19707" s="16">
        <f>95.92/(1+B2)</f>
        <v>95.92</v>
      </c>
      <c r="D19707" s="17" t="s">
        <v>53</v>
      </c>
      <c r="E19707" s="17"/>
      <c r="F19707" s="18"/>
      <c r="G19707" s="36" t="str">
        <f>IF(ISNUMBER(F19707),C19707*F19707,"")</f>
        <v/>
      </c>
    </row>
    <row r="19708" spans="1:7" ht="12" customHeight="1" outlineLevel="3" x14ac:dyDescent="0.2">
      <c r="A19708" s="14" t="s">
        <v>38790</v>
      </c>
      <c r="B19708" s="15" t="s">
        <v>38791</v>
      </c>
      <c r="C19708" s="16">
        <f>178.86/(1+B2)</f>
        <v>178.86</v>
      </c>
      <c r="D19708" s="17" t="s">
        <v>11</v>
      </c>
      <c r="E19708" s="17"/>
      <c r="F19708" s="18"/>
      <c r="G19708" s="36" t="str">
        <f>IF(ISNUMBER(F19708),C19708*F19708,"")</f>
        <v/>
      </c>
    </row>
    <row r="19709" spans="1:7" ht="12" customHeight="1" outlineLevel="3" x14ac:dyDescent="0.2">
      <c r="A19709" s="14" t="s">
        <v>38792</v>
      </c>
      <c r="B19709" s="15" t="s">
        <v>38793</v>
      </c>
      <c r="C19709" s="16">
        <f>172.53/(1+B2)</f>
        <v>172.53</v>
      </c>
      <c r="D19709" s="17" t="s">
        <v>11</v>
      </c>
      <c r="E19709" s="17"/>
      <c r="F19709" s="18"/>
      <c r="G19709" s="36" t="str">
        <f>IF(ISNUMBER(F19709),C19709*F19709,"")</f>
        <v/>
      </c>
    </row>
    <row r="19710" spans="1:7" ht="12" customHeight="1" outlineLevel="3" x14ac:dyDescent="0.2">
      <c r="A19710" s="14" t="s">
        <v>38794</v>
      </c>
      <c r="B19710" s="15" t="s">
        <v>38795</v>
      </c>
      <c r="C19710" s="16">
        <f>97.75/(1+B2)</f>
        <v>97.75</v>
      </c>
      <c r="D19710" s="17" t="s">
        <v>14</v>
      </c>
      <c r="E19710" s="17"/>
      <c r="F19710" s="18"/>
      <c r="G19710" s="36" t="str">
        <f>IF(ISNUMBER(F19710),C19710*F19710,"")</f>
        <v/>
      </c>
    </row>
    <row r="19711" spans="1:7" ht="12" customHeight="1" outlineLevel="3" x14ac:dyDescent="0.2">
      <c r="A19711" s="14" t="s">
        <v>38796</v>
      </c>
      <c r="B19711" s="15" t="s">
        <v>38797</v>
      </c>
      <c r="C19711" s="16">
        <f>138.83/(1+B2)</f>
        <v>138.83000000000001</v>
      </c>
      <c r="D19711" s="17" t="s">
        <v>11</v>
      </c>
      <c r="E19711" s="17"/>
      <c r="F19711" s="18"/>
      <c r="G19711" s="36" t="str">
        <f>IF(ISNUMBER(F19711),C19711*F19711,"")</f>
        <v/>
      </c>
    </row>
    <row r="19712" spans="1:7" ht="12" customHeight="1" outlineLevel="3" x14ac:dyDescent="0.2">
      <c r="A19712" s="14" t="s">
        <v>38798</v>
      </c>
      <c r="B19712" s="15" t="s">
        <v>38799</v>
      </c>
      <c r="C19712" s="16">
        <f>268.61/(1+B2)</f>
        <v>268.61</v>
      </c>
      <c r="D19712" s="17" t="s">
        <v>11</v>
      </c>
      <c r="E19712" s="17" t="s">
        <v>53</v>
      </c>
      <c r="F19712" s="18"/>
      <c r="G19712" s="36" t="str">
        <f>IF(ISNUMBER(F19712),C19712*F19712,"")</f>
        <v/>
      </c>
    </row>
    <row r="19713" spans="1:7" ht="12" customHeight="1" outlineLevel="3" x14ac:dyDescent="0.2">
      <c r="A19713" s="14" t="s">
        <v>38800</v>
      </c>
      <c r="B19713" s="15" t="s">
        <v>38801</v>
      </c>
      <c r="C19713" s="16">
        <f>132.35/(1+B2)</f>
        <v>132.35</v>
      </c>
      <c r="D19713" s="17" t="s">
        <v>14</v>
      </c>
      <c r="E19713" s="17" t="s">
        <v>14</v>
      </c>
      <c r="F19713" s="18"/>
      <c r="G19713" s="36" t="str">
        <f>IF(ISNUMBER(F19713),C19713*F19713,"")</f>
        <v/>
      </c>
    </row>
    <row r="19714" spans="1:7" ht="12" customHeight="1" outlineLevel="3" x14ac:dyDescent="0.2">
      <c r="A19714" s="14" t="s">
        <v>38802</v>
      </c>
      <c r="B19714" s="15" t="s">
        <v>38803</v>
      </c>
      <c r="C19714" s="16">
        <f>202.58/(1+B2)</f>
        <v>202.58</v>
      </c>
      <c r="D19714" s="17" t="s">
        <v>14</v>
      </c>
      <c r="E19714" s="17" t="s">
        <v>11</v>
      </c>
      <c r="F19714" s="18"/>
      <c r="G19714" s="36" t="str">
        <f>IF(ISNUMBER(F19714),C19714*F19714,"")</f>
        <v/>
      </c>
    </row>
    <row r="19715" spans="1:7" ht="12" customHeight="1" outlineLevel="3" x14ac:dyDescent="0.2">
      <c r="A19715" s="14" t="s">
        <v>38804</v>
      </c>
      <c r="B19715" s="15" t="s">
        <v>38805</v>
      </c>
      <c r="C19715" s="16">
        <f>172.91/(1+B2)</f>
        <v>172.91</v>
      </c>
      <c r="D19715" s="17" t="s">
        <v>14</v>
      </c>
      <c r="E19715" s="17"/>
      <c r="F19715" s="18"/>
      <c r="G19715" s="36" t="str">
        <f>IF(ISNUMBER(F19715),C19715*F19715,"")</f>
        <v/>
      </c>
    </row>
    <row r="19716" spans="1:7" ht="12" customHeight="1" outlineLevel="3" x14ac:dyDescent="0.2">
      <c r="A19716" s="14" t="s">
        <v>38806</v>
      </c>
      <c r="B19716" s="15" t="s">
        <v>38807</v>
      </c>
      <c r="C19716" s="16">
        <f>148.89/(1+B2)</f>
        <v>148.88999999999999</v>
      </c>
      <c r="D19716" s="17" t="s">
        <v>11</v>
      </c>
      <c r="E19716" s="17"/>
      <c r="F19716" s="18"/>
      <c r="G19716" s="36" t="str">
        <f>IF(ISNUMBER(F19716),C19716*F19716,"")</f>
        <v/>
      </c>
    </row>
    <row r="19717" spans="1:7" ht="12" customHeight="1" outlineLevel="3" x14ac:dyDescent="0.2">
      <c r="A19717" s="14" t="s">
        <v>38808</v>
      </c>
      <c r="B19717" s="15" t="s">
        <v>38809</v>
      </c>
      <c r="C19717" s="16">
        <f>187.86/(1+B2)</f>
        <v>187.86</v>
      </c>
      <c r="D19717" s="17" t="s">
        <v>11</v>
      </c>
      <c r="E19717" s="17"/>
      <c r="F19717" s="18"/>
      <c r="G19717" s="36" t="str">
        <f>IF(ISNUMBER(F19717),C19717*F19717,"")</f>
        <v/>
      </c>
    </row>
    <row r="19718" spans="1:7" ht="12" customHeight="1" outlineLevel="3" x14ac:dyDescent="0.2">
      <c r="A19718" s="14" t="s">
        <v>38810</v>
      </c>
      <c r="B19718" s="15" t="s">
        <v>38811</v>
      </c>
      <c r="C19718" s="16">
        <f>259.67/(1+B2)</f>
        <v>259.67</v>
      </c>
      <c r="D19718" s="17" t="s">
        <v>14</v>
      </c>
      <c r="E19718" s="17"/>
      <c r="F19718" s="18"/>
      <c r="G19718" s="36" t="str">
        <f>IF(ISNUMBER(F19718),C19718*F19718,"")</f>
        <v/>
      </c>
    </row>
    <row r="19719" spans="1:7" ht="12" customHeight="1" outlineLevel="3" x14ac:dyDescent="0.2">
      <c r="A19719" s="14" t="s">
        <v>38812</v>
      </c>
      <c r="B19719" s="15" t="s">
        <v>38813</v>
      </c>
      <c r="C19719" s="16">
        <f>95.38/(1+B2)</f>
        <v>95.38</v>
      </c>
      <c r="D19719" s="17" t="s">
        <v>14</v>
      </c>
      <c r="E19719" s="17" t="s">
        <v>106</v>
      </c>
      <c r="F19719" s="18"/>
      <c r="G19719" s="36" t="str">
        <f>IF(ISNUMBER(F19719),C19719*F19719,"")</f>
        <v/>
      </c>
    </row>
    <row r="19720" spans="1:7" ht="12" customHeight="1" outlineLevel="3" x14ac:dyDescent="0.2">
      <c r="A19720" s="14" t="s">
        <v>38814</v>
      </c>
      <c r="B19720" s="15" t="s">
        <v>38815</v>
      </c>
      <c r="C19720" s="16">
        <f>146.77/(1+B2)</f>
        <v>146.77000000000001</v>
      </c>
      <c r="D19720" s="17" t="s">
        <v>14</v>
      </c>
      <c r="E19720" s="17" t="s">
        <v>53</v>
      </c>
      <c r="F19720" s="18"/>
      <c r="G19720" s="36" t="str">
        <f>IF(ISNUMBER(F19720),C19720*F19720,"")</f>
        <v/>
      </c>
    </row>
    <row r="19721" spans="1:7" ht="12" customHeight="1" outlineLevel="3" x14ac:dyDescent="0.2">
      <c r="A19721" s="14" t="s">
        <v>38816</v>
      </c>
      <c r="B19721" s="15" t="s">
        <v>38817</v>
      </c>
      <c r="C19721" s="16">
        <f>142.66/(1+B2)</f>
        <v>142.66</v>
      </c>
      <c r="D19721" s="17" t="s">
        <v>11</v>
      </c>
      <c r="E19721" s="17" t="s">
        <v>53</v>
      </c>
      <c r="F19721" s="18"/>
      <c r="G19721" s="36" t="str">
        <f>IF(ISNUMBER(F19721),C19721*F19721,"")</f>
        <v/>
      </c>
    </row>
    <row r="19722" spans="1:7" ht="12" customHeight="1" outlineLevel="3" x14ac:dyDescent="0.2">
      <c r="A19722" s="14" t="s">
        <v>38818</v>
      </c>
      <c r="B19722" s="15" t="s">
        <v>38819</v>
      </c>
      <c r="C19722" s="16">
        <f>104.14/(1+B2)</f>
        <v>104.14</v>
      </c>
      <c r="D19722" s="17" t="s">
        <v>14</v>
      </c>
      <c r="E19722" s="17"/>
      <c r="F19722" s="18"/>
      <c r="G19722" s="36" t="str">
        <f>IF(ISNUMBER(F19722),C19722*F19722,"")</f>
        <v/>
      </c>
    </row>
    <row r="19723" spans="1:7" ht="12" customHeight="1" outlineLevel="3" x14ac:dyDescent="0.2">
      <c r="A19723" s="14" t="s">
        <v>38820</v>
      </c>
      <c r="B19723" s="15" t="s">
        <v>38821</v>
      </c>
      <c r="C19723" s="16">
        <f>96.54/(1+B2)</f>
        <v>96.54</v>
      </c>
      <c r="D19723" s="17" t="s">
        <v>53</v>
      </c>
      <c r="E19723" s="17"/>
      <c r="F19723" s="18"/>
      <c r="G19723" s="36" t="str">
        <f>IF(ISNUMBER(F19723),C19723*F19723,"")</f>
        <v/>
      </c>
    </row>
    <row r="19724" spans="1:7" ht="12" customHeight="1" outlineLevel="3" x14ac:dyDescent="0.2">
      <c r="A19724" s="14" t="s">
        <v>38822</v>
      </c>
      <c r="B19724" s="15" t="s">
        <v>38823</v>
      </c>
      <c r="C19724" s="16">
        <f>165.64/(1+B2)</f>
        <v>165.64</v>
      </c>
      <c r="D19724" s="17" t="s">
        <v>11</v>
      </c>
      <c r="E19724" s="17" t="s">
        <v>11</v>
      </c>
      <c r="F19724" s="18"/>
      <c r="G19724" s="36" t="str">
        <f>IF(ISNUMBER(F19724),C19724*F19724,"")</f>
        <v/>
      </c>
    </row>
    <row r="19725" spans="1:7" ht="12" customHeight="1" outlineLevel="3" x14ac:dyDescent="0.2">
      <c r="A19725" s="14" t="s">
        <v>38824</v>
      </c>
      <c r="B19725" s="15" t="s">
        <v>38825</v>
      </c>
      <c r="C19725" s="16">
        <f>117.07/(1+B2)</f>
        <v>117.07</v>
      </c>
      <c r="D19725" s="17" t="s">
        <v>11</v>
      </c>
      <c r="E19725" s="17"/>
      <c r="F19725" s="18"/>
      <c r="G19725" s="36" t="str">
        <f>IF(ISNUMBER(F19725),C19725*F19725,"")</f>
        <v/>
      </c>
    </row>
    <row r="19726" spans="1:7" ht="12" customHeight="1" outlineLevel="3" x14ac:dyDescent="0.2">
      <c r="A19726" s="14" t="s">
        <v>38826</v>
      </c>
      <c r="B19726" s="15" t="s">
        <v>38827</v>
      </c>
      <c r="C19726" s="16">
        <f>272.18/(1+B2)</f>
        <v>272.18</v>
      </c>
      <c r="D19726" s="17"/>
      <c r="E19726" s="17" t="s">
        <v>11</v>
      </c>
      <c r="F19726" s="18"/>
      <c r="G19726" s="36" t="str">
        <f>IF(ISNUMBER(F19726),C19726*F19726,"")</f>
        <v/>
      </c>
    </row>
    <row r="19727" spans="1:7" ht="12" customHeight="1" outlineLevel="3" x14ac:dyDescent="0.2">
      <c r="A19727" s="14" t="s">
        <v>38828</v>
      </c>
      <c r="B19727" s="15" t="s">
        <v>38829</v>
      </c>
      <c r="C19727" s="16">
        <f>96.54/(1+B2)</f>
        <v>96.54</v>
      </c>
      <c r="D19727" s="17" t="s">
        <v>14</v>
      </c>
      <c r="E19727" s="17" t="s">
        <v>106</v>
      </c>
      <c r="F19727" s="18"/>
      <c r="G19727" s="36" t="str">
        <f>IF(ISNUMBER(F19727),C19727*F19727,"")</f>
        <v/>
      </c>
    </row>
    <row r="19728" spans="1:7" ht="12" customHeight="1" outlineLevel="3" x14ac:dyDescent="0.2">
      <c r="A19728" s="14" t="s">
        <v>38830</v>
      </c>
      <c r="B19728" s="15" t="s">
        <v>38831</v>
      </c>
      <c r="C19728" s="16">
        <f>145.97/(1+B2)</f>
        <v>145.97</v>
      </c>
      <c r="D19728" s="17" t="s">
        <v>14</v>
      </c>
      <c r="E19728" s="17"/>
      <c r="F19728" s="18"/>
      <c r="G19728" s="36" t="str">
        <f>IF(ISNUMBER(F19728),C19728*F19728,"")</f>
        <v/>
      </c>
    </row>
    <row r="19729" spans="1:7" ht="12" customHeight="1" outlineLevel="3" x14ac:dyDescent="0.2">
      <c r="A19729" s="14" t="s">
        <v>38832</v>
      </c>
      <c r="B19729" s="15" t="s">
        <v>38833</v>
      </c>
      <c r="C19729" s="16">
        <f>82.88/(1+B2)</f>
        <v>82.88</v>
      </c>
      <c r="D19729" s="17" t="s">
        <v>14</v>
      </c>
      <c r="E19729" s="17" t="s">
        <v>106</v>
      </c>
      <c r="F19729" s="18"/>
      <c r="G19729" s="36" t="str">
        <f>IF(ISNUMBER(F19729),C19729*F19729,"")</f>
        <v/>
      </c>
    </row>
    <row r="19730" spans="1:7" ht="12" customHeight="1" outlineLevel="3" x14ac:dyDescent="0.2">
      <c r="A19730" s="14" t="s">
        <v>38834</v>
      </c>
      <c r="B19730" s="15" t="s">
        <v>38835</v>
      </c>
      <c r="C19730" s="16">
        <f>137.69/(1+B2)</f>
        <v>137.69</v>
      </c>
      <c r="D19730" s="17" t="s">
        <v>14</v>
      </c>
      <c r="E19730" s="17" t="s">
        <v>106</v>
      </c>
      <c r="F19730" s="18"/>
      <c r="G19730" s="36" t="str">
        <f>IF(ISNUMBER(F19730),C19730*F19730,"")</f>
        <v/>
      </c>
    </row>
    <row r="19731" spans="1:7" ht="12" customHeight="1" outlineLevel="3" x14ac:dyDescent="0.2">
      <c r="A19731" s="14" t="s">
        <v>38836</v>
      </c>
      <c r="B19731" s="15" t="s">
        <v>38837</v>
      </c>
      <c r="C19731" s="16">
        <f>145.97/(1+B2)</f>
        <v>145.97</v>
      </c>
      <c r="D19731" s="17" t="s">
        <v>53</v>
      </c>
      <c r="E19731" s="17"/>
      <c r="F19731" s="18"/>
      <c r="G19731" s="36" t="str">
        <f>IF(ISNUMBER(F19731),C19731*F19731,"")</f>
        <v/>
      </c>
    </row>
    <row r="19732" spans="1:7" ht="12" customHeight="1" outlineLevel="3" x14ac:dyDescent="0.2">
      <c r="A19732" s="14" t="s">
        <v>38838</v>
      </c>
      <c r="B19732" s="15" t="s">
        <v>38839</v>
      </c>
      <c r="C19732" s="16">
        <f>2.36/(1+B2)</f>
        <v>2.36</v>
      </c>
      <c r="D19732" s="17" t="s">
        <v>53</v>
      </c>
      <c r="E19732" s="17" t="s">
        <v>106</v>
      </c>
      <c r="F19732" s="18"/>
      <c r="G19732" s="36" t="str">
        <f>IF(ISNUMBER(F19732),C19732*F19732,"")</f>
        <v/>
      </c>
    </row>
    <row r="19733" spans="1:7" s="1" customFormat="1" ht="12.95" customHeight="1" outlineLevel="2" x14ac:dyDescent="0.2">
      <c r="A19733" s="20"/>
      <c r="B19733" s="21" t="s">
        <v>38840</v>
      </c>
      <c r="C19733" s="22"/>
      <c r="D19733" s="22"/>
      <c r="E19733" s="22"/>
      <c r="F19733" s="22"/>
      <c r="G19733" s="37"/>
    </row>
    <row r="19734" spans="1:7" ht="12" customHeight="1" outlineLevel="3" x14ac:dyDescent="0.2">
      <c r="A19734" s="14" t="s">
        <v>38841</v>
      </c>
      <c r="B19734" s="15" t="s">
        <v>38842</v>
      </c>
      <c r="C19734" s="16">
        <f>83.58/(1+B2)</f>
        <v>83.58</v>
      </c>
      <c r="D19734" s="17" t="s">
        <v>14</v>
      </c>
      <c r="E19734" s="17" t="s">
        <v>11</v>
      </c>
      <c r="F19734" s="18"/>
      <c r="G19734" s="36" t="str">
        <f>IF(ISNUMBER(F19734),C19734*F19734,"")</f>
        <v/>
      </c>
    </row>
    <row r="19735" spans="1:7" ht="12" customHeight="1" outlineLevel="3" x14ac:dyDescent="0.2">
      <c r="A19735" s="14" t="s">
        <v>38843</v>
      </c>
      <c r="B19735" s="15" t="s">
        <v>38844</v>
      </c>
      <c r="C19735" s="16">
        <f>174.66/(1+B2)</f>
        <v>174.66</v>
      </c>
      <c r="D19735" s="17" t="s">
        <v>11</v>
      </c>
      <c r="E19735" s="17"/>
      <c r="F19735" s="18"/>
      <c r="G19735" s="36" t="str">
        <f>IF(ISNUMBER(F19735),C19735*F19735,"")</f>
        <v/>
      </c>
    </row>
    <row r="19736" spans="1:7" ht="12" customHeight="1" outlineLevel="3" x14ac:dyDescent="0.2">
      <c r="A19736" s="14" t="s">
        <v>38845</v>
      </c>
      <c r="B19736" s="15" t="s">
        <v>38846</v>
      </c>
      <c r="C19736" s="16">
        <f>119.16/(1+B2)</f>
        <v>119.16</v>
      </c>
      <c r="D19736" s="17" t="s">
        <v>11</v>
      </c>
      <c r="E19736" s="17"/>
      <c r="F19736" s="18"/>
      <c r="G19736" s="36" t="str">
        <f>IF(ISNUMBER(F19736),C19736*F19736,"")</f>
        <v/>
      </c>
    </row>
    <row r="19737" spans="1:7" ht="12" customHeight="1" outlineLevel="3" x14ac:dyDescent="0.2">
      <c r="A19737" s="14" t="s">
        <v>38847</v>
      </c>
      <c r="B19737" s="15" t="s">
        <v>38848</v>
      </c>
      <c r="C19737" s="16">
        <f>97.52/(1+B2)</f>
        <v>97.52</v>
      </c>
      <c r="D19737" s="17" t="s">
        <v>11</v>
      </c>
      <c r="E19737" s="17" t="s">
        <v>11</v>
      </c>
      <c r="F19737" s="18"/>
      <c r="G19737" s="36" t="str">
        <f>IF(ISNUMBER(F19737),C19737*F19737,"")</f>
        <v/>
      </c>
    </row>
    <row r="19738" spans="1:7" ht="12" customHeight="1" outlineLevel="3" x14ac:dyDescent="0.2">
      <c r="A19738" s="14" t="s">
        <v>38849</v>
      </c>
      <c r="B19738" s="15" t="s">
        <v>38850</v>
      </c>
      <c r="C19738" s="16">
        <f>152.3/(1+B2)</f>
        <v>152.30000000000001</v>
      </c>
      <c r="D19738" s="17" t="s">
        <v>11</v>
      </c>
      <c r="E19738" s="17" t="s">
        <v>14</v>
      </c>
      <c r="F19738" s="18"/>
      <c r="G19738" s="36" t="str">
        <f>IF(ISNUMBER(F19738),C19738*F19738,"")</f>
        <v/>
      </c>
    </row>
    <row r="19739" spans="1:7" ht="12" customHeight="1" outlineLevel="3" x14ac:dyDescent="0.2">
      <c r="A19739" s="14" t="s">
        <v>38851</v>
      </c>
      <c r="B19739" s="15" t="s">
        <v>38852</v>
      </c>
      <c r="C19739" s="16">
        <f>106.19/(1+B2)</f>
        <v>106.19</v>
      </c>
      <c r="D19739" s="17" t="s">
        <v>11</v>
      </c>
      <c r="E19739" s="17"/>
      <c r="F19739" s="18"/>
      <c r="G19739" s="36" t="str">
        <f>IF(ISNUMBER(F19739),C19739*F19739,"")</f>
        <v/>
      </c>
    </row>
    <row r="19740" spans="1:7" ht="12" customHeight="1" outlineLevel="3" x14ac:dyDescent="0.2">
      <c r="A19740" s="14" t="s">
        <v>38853</v>
      </c>
      <c r="B19740" s="15" t="s">
        <v>38854</v>
      </c>
      <c r="C19740" s="16">
        <f>2.24/(1+B2)</f>
        <v>2.2400000000000002</v>
      </c>
      <c r="D19740" s="17" t="s">
        <v>106</v>
      </c>
      <c r="E19740" s="17"/>
      <c r="F19740" s="18"/>
      <c r="G19740" s="36" t="str">
        <f>IF(ISNUMBER(F19740),C19740*F19740,"")</f>
        <v/>
      </c>
    </row>
    <row r="19741" spans="1:7" ht="12" customHeight="1" outlineLevel="3" x14ac:dyDescent="0.2">
      <c r="A19741" s="14" t="s">
        <v>38855</v>
      </c>
      <c r="B19741" s="15" t="s">
        <v>38856</v>
      </c>
      <c r="C19741" s="16">
        <f>3.84/(1+B2)</f>
        <v>3.84</v>
      </c>
      <c r="D19741" s="17" t="s">
        <v>53</v>
      </c>
      <c r="E19741" s="17"/>
      <c r="F19741" s="18"/>
      <c r="G19741" s="36" t="str">
        <f>IF(ISNUMBER(F19741),C19741*F19741,"")</f>
        <v/>
      </c>
    </row>
    <row r="19742" spans="1:7" ht="12" customHeight="1" outlineLevel="3" x14ac:dyDescent="0.2">
      <c r="A19742" s="14" t="s">
        <v>38857</v>
      </c>
      <c r="B19742" s="15" t="s">
        <v>38858</v>
      </c>
      <c r="C19742" s="16">
        <f>313.33/(1+B2)</f>
        <v>313.33</v>
      </c>
      <c r="D19742" s="17" t="s">
        <v>11</v>
      </c>
      <c r="E19742" s="17"/>
      <c r="F19742" s="18"/>
      <c r="G19742" s="36" t="str">
        <f>IF(ISNUMBER(F19742),C19742*F19742,"")</f>
        <v/>
      </c>
    </row>
    <row r="19743" spans="1:7" ht="12" customHeight="1" outlineLevel="3" x14ac:dyDescent="0.2">
      <c r="A19743" s="14" t="s">
        <v>38859</v>
      </c>
      <c r="B19743" s="15" t="s">
        <v>38860</v>
      </c>
      <c r="C19743" s="16">
        <f>132.78/(1+B2)</f>
        <v>132.78</v>
      </c>
      <c r="D19743" s="17" t="s">
        <v>11</v>
      </c>
      <c r="E19743" s="17"/>
      <c r="F19743" s="18"/>
      <c r="G19743" s="36" t="str">
        <f>IF(ISNUMBER(F19743),C19743*F19743,"")</f>
        <v/>
      </c>
    </row>
    <row r="19744" spans="1:7" ht="12" customHeight="1" outlineLevel="3" x14ac:dyDescent="0.2">
      <c r="A19744" s="14" t="s">
        <v>38861</v>
      </c>
      <c r="B19744" s="15" t="s">
        <v>38862</v>
      </c>
      <c r="C19744" s="16">
        <f>3.33/(1+B2)</f>
        <v>3.33</v>
      </c>
      <c r="D19744" s="17" t="s">
        <v>11</v>
      </c>
      <c r="E19744" s="17"/>
      <c r="F19744" s="18"/>
      <c r="G19744" s="36" t="str">
        <f>IF(ISNUMBER(F19744),C19744*F19744,"")</f>
        <v/>
      </c>
    </row>
    <row r="19745" spans="1:7" ht="12" customHeight="1" outlineLevel="3" x14ac:dyDescent="0.2">
      <c r="A19745" s="14" t="s">
        <v>38863</v>
      </c>
      <c r="B19745" s="15" t="s">
        <v>38864</v>
      </c>
      <c r="C19745" s="16">
        <f>8.83/(1+B2)</f>
        <v>8.83</v>
      </c>
      <c r="D19745" s="17" t="s">
        <v>53</v>
      </c>
      <c r="E19745" s="17" t="s">
        <v>11</v>
      </c>
      <c r="F19745" s="18"/>
      <c r="G19745" s="36" t="str">
        <f>IF(ISNUMBER(F19745),C19745*F19745,"")</f>
        <v/>
      </c>
    </row>
    <row r="19746" spans="1:7" ht="12" customHeight="1" outlineLevel="3" x14ac:dyDescent="0.2">
      <c r="A19746" s="14" t="s">
        <v>38865</v>
      </c>
      <c r="B19746" s="15" t="s">
        <v>38866</v>
      </c>
      <c r="C19746" s="16">
        <f>17.12/(1+B2)</f>
        <v>17.12</v>
      </c>
      <c r="D19746" s="17" t="s">
        <v>53</v>
      </c>
      <c r="E19746" s="17"/>
      <c r="F19746" s="18"/>
      <c r="G19746" s="36" t="str">
        <f>IF(ISNUMBER(F19746),C19746*F19746,"")</f>
        <v/>
      </c>
    </row>
    <row r="19747" spans="1:7" ht="12" customHeight="1" outlineLevel="3" x14ac:dyDescent="0.2">
      <c r="A19747" s="14" t="s">
        <v>38867</v>
      </c>
      <c r="B19747" s="15" t="s">
        <v>38868</v>
      </c>
      <c r="C19747" s="16">
        <f>19.17/(1+B2)</f>
        <v>19.170000000000002</v>
      </c>
      <c r="D19747" s="17" t="s">
        <v>106</v>
      </c>
      <c r="E19747" s="17" t="s">
        <v>106</v>
      </c>
      <c r="F19747" s="18"/>
      <c r="G19747" s="36" t="str">
        <f>IF(ISNUMBER(F19747),C19747*F19747,"")</f>
        <v/>
      </c>
    </row>
    <row r="19748" spans="1:7" ht="12" customHeight="1" outlineLevel="3" x14ac:dyDescent="0.2">
      <c r="A19748" s="14" t="s">
        <v>38869</v>
      </c>
      <c r="B19748" s="15" t="s">
        <v>38870</v>
      </c>
      <c r="C19748" s="16">
        <f>944.82/(1+B2)</f>
        <v>944.82</v>
      </c>
      <c r="D19748" s="17" t="s">
        <v>11</v>
      </c>
      <c r="E19748" s="17"/>
      <c r="F19748" s="18"/>
      <c r="G19748" s="36" t="str">
        <f>IF(ISNUMBER(F19748),C19748*F19748,"")</f>
        <v/>
      </c>
    </row>
    <row r="19749" spans="1:7" ht="12" customHeight="1" outlineLevel="3" x14ac:dyDescent="0.2">
      <c r="A19749" s="14" t="s">
        <v>38871</v>
      </c>
      <c r="B19749" s="15" t="s">
        <v>38872</v>
      </c>
      <c r="C19749" s="16">
        <f>86.15/(1+B2)</f>
        <v>86.15</v>
      </c>
      <c r="D19749" s="17" t="s">
        <v>11</v>
      </c>
      <c r="E19749" s="17" t="s">
        <v>11</v>
      </c>
      <c r="F19749" s="18"/>
      <c r="G19749" s="36" t="str">
        <f>IF(ISNUMBER(F19749),C19749*F19749,"")</f>
        <v/>
      </c>
    </row>
    <row r="19750" spans="1:7" ht="12" customHeight="1" outlineLevel="3" x14ac:dyDescent="0.2">
      <c r="A19750" s="14" t="s">
        <v>38873</v>
      </c>
      <c r="B19750" s="15" t="s">
        <v>38874</v>
      </c>
      <c r="C19750" s="16">
        <f>134.22/(1+B2)</f>
        <v>134.22</v>
      </c>
      <c r="D19750" s="17" t="s">
        <v>11</v>
      </c>
      <c r="E19750" s="17" t="s">
        <v>11</v>
      </c>
      <c r="F19750" s="18"/>
      <c r="G19750" s="36" t="str">
        <f>IF(ISNUMBER(F19750),C19750*F19750,"")</f>
        <v/>
      </c>
    </row>
    <row r="19751" spans="1:7" ht="12" customHeight="1" outlineLevel="3" x14ac:dyDescent="0.2">
      <c r="A19751" s="14" t="s">
        <v>38875</v>
      </c>
      <c r="B19751" s="15" t="s">
        <v>38876</v>
      </c>
      <c r="C19751" s="16">
        <f>122.36/(1+B2)</f>
        <v>122.36</v>
      </c>
      <c r="D19751" s="17" t="s">
        <v>11</v>
      </c>
      <c r="E19751" s="17" t="s">
        <v>11</v>
      </c>
      <c r="F19751" s="18"/>
      <c r="G19751" s="36" t="str">
        <f>IF(ISNUMBER(F19751),C19751*F19751,"")</f>
        <v/>
      </c>
    </row>
    <row r="19752" spans="1:7" ht="12" customHeight="1" outlineLevel="3" x14ac:dyDescent="0.2">
      <c r="A19752" s="14" t="s">
        <v>38877</v>
      </c>
      <c r="B19752" s="15" t="s">
        <v>38878</v>
      </c>
      <c r="C19752" s="16">
        <f>64.76/(1+B2)</f>
        <v>64.760000000000005</v>
      </c>
      <c r="D19752" s="17" t="s">
        <v>11</v>
      </c>
      <c r="E19752" s="17" t="s">
        <v>11</v>
      </c>
      <c r="F19752" s="18"/>
      <c r="G19752" s="36" t="str">
        <f>IF(ISNUMBER(F19752),C19752*F19752,"")</f>
        <v/>
      </c>
    </row>
    <row r="19753" spans="1:7" ht="12" customHeight="1" outlineLevel="3" x14ac:dyDescent="0.2">
      <c r="A19753" s="14" t="s">
        <v>38879</v>
      </c>
      <c r="B19753" s="15" t="s">
        <v>38880</v>
      </c>
      <c r="C19753" s="16">
        <f>253.56/(1+B2)</f>
        <v>253.56</v>
      </c>
      <c r="D19753" s="17" t="s">
        <v>11</v>
      </c>
      <c r="E19753" s="17" t="s">
        <v>11</v>
      </c>
      <c r="F19753" s="18"/>
      <c r="G19753" s="36" t="str">
        <f>IF(ISNUMBER(F19753),C19753*F19753,"")</f>
        <v/>
      </c>
    </row>
    <row r="19754" spans="1:7" ht="12" customHeight="1" outlineLevel="3" x14ac:dyDescent="0.2">
      <c r="A19754" s="14" t="s">
        <v>38881</v>
      </c>
      <c r="B19754" s="15" t="s">
        <v>38882</v>
      </c>
      <c r="C19754" s="16">
        <f>205.21/(1+B2)</f>
        <v>205.21</v>
      </c>
      <c r="D19754" s="17" t="s">
        <v>11</v>
      </c>
      <c r="E19754" s="17" t="s">
        <v>11</v>
      </c>
      <c r="F19754" s="18"/>
      <c r="G19754" s="36" t="str">
        <f>IF(ISNUMBER(F19754),C19754*F19754,"")</f>
        <v/>
      </c>
    </row>
    <row r="19755" spans="1:7" ht="12" customHeight="1" outlineLevel="3" x14ac:dyDescent="0.2">
      <c r="A19755" s="14" t="s">
        <v>38883</v>
      </c>
      <c r="B19755" s="15" t="s">
        <v>38884</v>
      </c>
      <c r="C19755" s="16">
        <f>275.48/(1+B2)</f>
        <v>275.48</v>
      </c>
      <c r="D19755" s="17" t="s">
        <v>11</v>
      </c>
      <c r="E19755" s="17" t="s">
        <v>11</v>
      </c>
      <c r="F19755" s="18"/>
      <c r="G19755" s="36" t="str">
        <f>IF(ISNUMBER(F19755),C19755*F19755,"")</f>
        <v/>
      </c>
    </row>
    <row r="19756" spans="1:7" ht="12" customHeight="1" outlineLevel="3" x14ac:dyDescent="0.2">
      <c r="A19756" s="14" t="s">
        <v>38885</v>
      </c>
      <c r="B19756" s="15" t="s">
        <v>38886</v>
      </c>
      <c r="C19756" s="16">
        <f>324.25/(1+B2)</f>
        <v>324.25</v>
      </c>
      <c r="D19756" s="17" t="s">
        <v>11</v>
      </c>
      <c r="E19756" s="17" t="s">
        <v>11</v>
      </c>
      <c r="F19756" s="18"/>
      <c r="G19756" s="36" t="str">
        <f>IF(ISNUMBER(F19756),C19756*F19756,"")</f>
        <v/>
      </c>
    </row>
    <row r="19757" spans="1:7" ht="12" customHeight="1" outlineLevel="3" x14ac:dyDescent="0.2">
      <c r="A19757" s="14" t="s">
        <v>38887</v>
      </c>
      <c r="B19757" s="15" t="s">
        <v>38888</v>
      </c>
      <c r="C19757" s="16">
        <f>331.26/(1+B2)</f>
        <v>331.26</v>
      </c>
      <c r="D19757" s="17" t="s">
        <v>11</v>
      </c>
      <c r="E19757" s="17" t="s">
        <v>11</v>
      </c>
      <c r="F19757" s="18"/>
      <c r="G19757" s="36" t="str">
        <f>IF(ISNUMBER(F19757),C19757*F19757,"")</f>
        <v/>
      </c>
    </row>
    <row r="19758" spans="1:7" ht="12" customHeight="1" outlineLevel="3" x14ac:dyDescent="0.2">
      <c r="A19758" s="14" t="s">
        <v>38889</v>
      </c>
      <c r="B19758" s="15" t="s">
        <v>38890</v>
      </c>
      <c r="C19758" s="16">
        <f>2.01/(1+B2)</f>
        <v>2.0099999999999998</v>
      </c>
      <c r="D19758" s="17" t="s">
        <v>53</v>
      </c>
      <c r="E19758" s="17" t="s">
        <v>53</v>
      </c>
      <c r="F19758" s="18"/>
      <c r="G19758" s="36" t="str">
        <f>IF(ISNUMBER(F19758),C19758*F19758,"")</f>
        <v/>
      </c>
    </row>
    <row r="19759" spans="1:7" ht="12" customHeight="1" outlineLevel="3" x14ac:dyDescent="0.2">
      <c r="A19759" s="14" t="s">
        <v>38891</v>
      </c>
      <c r="B19759" s="15" t="s">
        <v>38892</v>
      </c>
      <c r="C19759" s="16">
        <f>2.2/(1+B2)</f>
        <v>2.2000000000000002</v>
      </c>
      <c r="D19759" s="17" t="s">
        <v>53</v>
      </c>
      <c r="E19759" s="17" t="s">
        <v>106</v>
      </c>
      <c r="F19759" s="18"/>
      <c r="G19759" s="36" t="str">
        <f>IF(ISNUMBER(F19759),C19759*F19759,"")</f>
        <v/>
      </c>
    </row>
    <row r="19760" spans="1:7" ht="12" customHeight="1" outlineLevel="3" x14ac:dyDescent="0.2">
      <c r="A19760" s="14" t="s">
        <v>38893</v>
      </c>
      <c r="B19760" s="15" t="s">
        <v>38894</v>
      </c>
      <c r="C19760" s="16">
        <f>4.86/(1+B2)</f>
        <v>4.8600000000000003</v>
      </c>
      <c r="D19760" s="17" t="s">
        <v>11</v>
      </c>
      <c r="E19760" s="17" t="s">
        <v>106</v>
      </c>
      <c r="F19760" s="18"/>
      <c r="G19760" s="36" t="str">
        <f>IF(ISNUMBER(F19760),C19760*F19760,"")</f>
        <v/>
      </c>
    </row>
    <row r="19761" spans="1:7" ht="12" customHeight="1" outlineLevel="3" x14ac:dyDescent="0.2">
      <c r="A19761" s="14" t="s">
        <v>38895</v>
      </c>
      <c r="B19761" s="15" t="s">
        <v>38896</v>
      </c>
      <c r="C19761" s="16">
        <f>5.89/(1+B2)</f>
        <v>5.89</v>
      </c>
      <c r="D19761" s="17" t="s">
        <v>106</v>
      </c>
      <c r="E19761" s="17"/>
      <c r="F19761" s="18"/>
      <c r="G19761" s="36" t="str">
        <f>IF(ISNUMBER(F19761),C19761*F19761,"")</f>
        <v/>
      </c>
    </row>
    <row r="19762" spans="1:7" ht="12" customHeight="1" outlineLevel="3" x14ac:dyDescent="0.2">
      <c r="A19762" s="14" t="s">
        <v>38897</v>
      </c>
      <c r="B19762" s="15" t="s">
        <v>38898</v>
      </c>
      <c r="C19762" s="16">
        <f>2.99/(1+B2)</f>
        <v>2.99</v>
      </c>
      <c r="D19762" s="17" t="s">
        <v>53</v>
      </c>
      <c r="E19762" s="17" t="s">
        <v>106</v>
      </c>
      <c r="F19762" s="18"/>
      <c r="G19762" s="36" t="str">
        <f>IF(ISNUMBER(F19762),C19762*F19762,"")</f>
        <v/>
      </c>
    </row>
    <row r="19763" spans="1:7" ht="12" customHeight="1" outlineLevel="3" x14ac:dyDescent="0.2">
      <c r="A19763" s="14" t="s">
        <v>38899</v>
      </c>
      <c r="B19763" s="15" t="s">
        <v>38900</v>
      </c>
      <c r="C19763" s="16">
        <f>6.16/(1+B2)</f>
        <v>6.16</v>
      </c>
      <c r="D19763" s="17" t="s">
        <v>11</v>
      </c>
      <c r="E19763" s="17"/>
      <c r="F19763" s="18"/>
      <c r="G19763" s="36" t="str">
        <f>IF(ISNUMBER(F19763),C19763*F19763,"")</f>
        <v/>
      </c>
    </row>
    <row r="19764" spans="1:7" ht="12" customHeight="1" outlineLevel="3" x14ac:dyDescent="0.2">
      <c r="A19764" s="14" t="s">
        <v>38901</v>
      </c>
      <c r="B19764" s="15" t="s">
        <v>38902</v>
      </c>
      <c r="C19764" s="16">
        <f>24.43/(1+B2)</f>
        <v>24.43</v>
      </c>
      <c r="D19764" s="17" t="s">
        <v>14</v>
      </c>
      <c r="E19764" s="17"/>
      <c r="F19764" s="18"/>
      <c r="G19764" s="36" t="str">
        <f>IF(ISNUMBER(F19764),C19764*F19764,"")</f>
        <v/>
      </c>
    </row>
    <row r="19765" spans="1:7" ht="12" customHeight="1" outlineLevel="3" x14ac:dyDescent="0.2">
      <c r="A19765" s="14" t="s">
        <v>38903</v>
      </c>
      <c r="B19765" s="15" t="s">
        <v>38904</v>
      </c>
      <c r="C19765" s="16">
        <f>21.06/(1+B2)</f>
        <v>21.06</v>
      </c>
      <c r="D19765" s="17" t="s">
        <v>14</v>
      </c>
      <c r="E19765" s="17" t="s">
        <v>106</v>
      </c>
      <c r="F19765" s="18"/>
      <c r="G19765" s="36" t="str">
        <f>IF(ISNUMBER(F19765),C19765*F19765,"")</f>
        <v/>
      </c>
    </row>
    <row r="19766" spans="1:7" ht="12" customHeight="1" outlineLevel="3" x14ac:dyDescent="0.2">
      <c r="A19766" s="14" t="s">
        <v>38905</v>
      </c>
      <c r="B19766" s="15" t="s">
        <v>38906</v>
      </c>
      <c r="C19766" s="16">
        <f>194.26/(1+B2)</f>
        <v>194.26</v>
      </c>
      <c r="D19766" s="17" t="s">
        <v>53</v>
      </c>
      <c r="E19766" s="17"/>
      <c r="F19766" s="18"/>
      <c r="G19766" s="36" t="str">
        <f>IF(ISNUMBER(F19766),C19766*F19766,"")</f>
        <v/>
      </c>
    </row>
    <row r="19767" spans="1:7" ht="12" customHeight="1" outlineLevel="3" x14ac:dyDescent="0.2">
      <c r="A19767" s="14" t="s">
        <v>38907</v>
      </c>
      <c r="B19767" s="15" t="s">
        <v>38908</v>
      </c>
      <c r="C19767" s="16">
        <f>239.09/(1+B2)</f>
        <v>239.09</v>
      </c>
      <c r="D19767" s="17" t="s">
        <v>11</v>
      </c>
      <c r="E19767" s="17"/>
      <c r="F19767" s="18"/>
      <c r="G19767" s="36" t="str">
        <f>IF(ISNUMBER(F19767),C19767*F19767,"")</f>
        <v/>
      </c>
    </row>
    <row r="19768" spans="1:7" ht="12" customHeight="1" outlineLevel="3" x14ac:dyDescent="0.2">
      <c r="A19768" s="14" t="s">
        <v>38909</v>
      </c>
      <c r="B19768" s="15" t="s">
        <v>38910</v>
      </c>
      <c r="C19768" s="16">
        <f>188.15/(1+B2)</f>
        <v>188.15</v>
      </c>
      <c r="D19768" s="17" t="s">
        <v>53</v>
      </c>
      <c r="E19768" s="17"/>
      <c r="F19768" s="18"/>
      <c r="G19768" s="36" t="str">
        <f>IF(ISNUMBER(F19768),C19768*F19768,"")</f>
        <v/>
      </c>
    </row>
    <row r="19769" spans="1:7" ht="12" customHeight="1" outlineLevel="3" x14ac:dyDescent="0.2">
      <c r="A19769" s="14" t="s">
        <v>38911</v>
      </c>
      <c r="B19769" s="15" t="s">
        <v>38912</v>
      </c>
      <c r="C19769" s="16">
        <f>231.62/(1+B2)</f>
        <v>231.62</v>
      </c>
      <c r="D19769" s="17" t="s">
        <v>11</v>
      </c>
      <c r="E19769" s="17"/>
      <c r="F19769" s="18"/>
      <c r="G19769" s="36" t="str">
        <f>IF(ISNUMBER(F19769),C19769*F19769,"")</f>
        <v/>
      </c>
    </row>
    <row r="19770" spans="1:7" ht="12" customHeight="1" outlineLevel="3" x14ac:dyDescent="0.2">
      <c r="A19770" s="14" t="s">
        <v>38913</v>
      </c>
      <c r="B19770" s="15" t="s">
        <v>38914</v>
      </c>
      <c r="C19770" s="16">
        <f>139.64/(1+B2)</f>
        <v>139.63999999999999</v>
      </c>
      <c r="D19770" s="17" t="s">
        <v>11</v>
      </c>
      <c r="E19770" s="17"/>
      <c r="F19770" s="18"/>
      <c r="G19770" s="36" t="str">
        <f>IF(ISNUMBER(F19770),C19770*F19770,"")</f>
        <v/>
      </c>
    </row>
    <row r="19771" spans="1:7" ht="12" customHeight="1" outlineLevel="3" x14ac:dyDescent="0.2">
      <c r="A19771" s="14" t="s">
        <v>38915</v>
      </c>
      <c r="B19771" s="15" t="s">
        <v>38916</v>
      </c>
      <c r="C19771" s="16">
        <f>45.61/(1+B2)</f>
        <v>45.61</v>
      </c>
      <c r="D19771" s="17" t="s">
        <v>11</v>
      </c>
      <c r="E19771" s="17" t="s">
        <v>106</v>
      </c>
      <c r="F19771" s="18"/>
      <c r="G19771" s="36" t="str">
        <f>IF(ISNUMBER(F19771),C19771*F19771,"")</f>
        <v/>
      </c>
    </row>
    <row r="19772" spans="1:7" ht="12" customHeight="1" outlineLevel="3" x14ac:dyDescent="0.2">
      <c r="A19772" s="14" t="s">
        <v>38917</v>
      </c>
      <c r="B19772" s="15" t="s">
        <v>38918</v>
      </c>
      <c r="C19772" s="16">
        <f>45.48/(1+B2)</f>
        <v>45.48</v>
      </c>
      <c r="D19772" s="17" t="s">
        <v>11</v>
      </c>
      <c r="E19772" s="17"/>
      <c r="F19772" s="18"/>
      <c r="G19772" s="36" t="str">
        <f>IF(ISNUMBER(F19772),C19772*F19772,"")</f>
        <v/>
      </c>
    </row>
    <row r="19773" spans="1:7" ht="12" customHeight="1" outlineLevel="3" x14ac:dyDescent="0.2">
      <c r="A19773" s="14" t="s">
        <v>38919</v>
      </c>
      <c r="B19773" s="15" t="s">
        <v>38920</v>
      </c>
      <c r="C19773" s="16">
        <f>38.05/(1+B2)</f>
        <v>38.049999999999997</v>
      </c>
      <c r="D19773" s="17" t="s">
        <v>11</v>
      </c>
      <c r="E19773" s="17" t="s">
        <v>11</v>
      </c>
      <c r="F19773" s="18"/>
      <c r="G19773" s="36" t="str">
        <f>IF(ISNUMBER(F19773),C19773*F19773,"")</f>
        <v/>
      </c>
    </row>
    <row r="19774" spans="1:7" ht="12" customHeight="1" outlineLevel="3" x14ac:dyDescent="0.2">
      <c r="A19774" s="14" t="s">
        <v>38921</v>
      </c>
      <c r="B19774" s="15" t="s">
        <v>38922</v>
      </c>
      <c r="C19774" s="16">
        <f>58.37/(1+B2)</f>
        <v>58.37</v>
      </c>
      <c r="D19774" s="17" t="s">
        <v>11</v>
      </c>
      <c r="E19774" s="17"/>
      <c r="F19774" s="18"/>
      <c r="G19774" s="36" t="str">
        <f>IF(ISNUMBER(F19774),C19774*F19774,"")</f>
        <v/>
      </c>
    </row>
    <row r="19775" spans="1:7" ht="12" customHeight="1" outlineLevel="3" x14ac:dyDescent="0.2">
      <c r="A19775" s="14" t="s">
        <v>38923</v>
      </c>
      <c r="B19775" s="15" t="s">
        <v>38924</v>
      </c>
      <c r="C19775" s="16">
        <f>56.25/(1+B2)</f>
        <v>56.25</v>
      </c>
      <c r="D19775" s="17" t="s">
        <v>11</v>
      </c>
      <c r="E19775" s="17" t="s">
        <v>106</v>
      </c>
      <c r="F19775" s="18"/>
      <c r="G19775" s="36" t="str">
        <f>IF(ISNUMBER(F19775),C19775*F19775,"")</f>
        <v/>
      </c>
    </row>
    <row r="19776" spans="1:7" ht="12" customHeight="1" outlineLevel="3" x14ac:dyDescent="0.2">
      <c r="A19776" s="14" t="s">
        <v>38925</v>
      </c>
      <c r="B19776" s="15" t="s">
        <v>38926</v>
      </c>
      <c r="C19776" s="16">
        <f>90.18/(1+B2)</f>
        <v>90.18</v>
      </c>
      <c r="D19776" s="17" t="s">
        <v>11</v>
      </c>
      <c r="E19776" s="17" t="s">
        <v>14</v>
      </c>
      <c r="F19776" s="18"/>
      <c r="G19776" s="36" t="str">
        <f>IF(ISNUMBER(F19776),C19776*F19776,"")</f>
        <v/>
      </c>
    </row>
    <row r="19777" spans="1:7" ht="12" customHeight="1" outlineLevel="3" x14ac:dyDescent="0.2">
      <c r="A19777" s="14" t="s">
        <v>38927</v>
      </c>
      <c r="B19777" s="15" t="s">
        <v>38928</v>
      </c>
      <c r="C19777" s="16">
        <f>61.91/(1+B2)</f>
        <v>61.91</v>
      </c>
      <c r="D19777" s="17" t="s">
        <v>11</v>
      </c>
      <c r="E19777" s="17" t="s">
        <v>14</v>
      </c>
      <c r="F19777" s="18"/>
      <c r="G19777" s="36" t="str">
        <f>IF(ISNUMBER(F19777),C19777*F19777,"")</f>
        <v/>
      </c>
    </row>
    <row r="19778" spans="1:7" ht="12" customHeight="1" outlineLevel="3" x14ac:dyDescent="0.2">
      <c r="A19778" s="14" t="s">
        <v>38929</v>
      </c>
      <c r="B19778" s="15" t="s">
        <v>38930</v>
      </c>
      <c r="C19778" s="16">
        <f>67.47/(1+B2)</f>
        <v>67.47</v>
      </c>
      <c r="D19778" s="17" t="s">
        <v>11</v>
      </c>
      <c r="E19778" s="17" t="s">
        <v>106</v>
      </c>
      <c r="F19778" s="18"/>
      <c r="G19778" s="36" t="str">
        <f>IF(ISNUMBER(F19778),C19778*F19778,"")</f>
        <v/>
      </c>
    </row>
    <row r="19779" spans="1:7" ht="12" customHeight="1" outlineLevel="3" x14ac:dyDescent="0.2">
      <c r="A19779" s="14" t="s">
        <v>38931</v>
      </c>
      <c r="B19779" s="15" t="s">
        <v>38932</v>
      </c>
      <c r="C19779" s="16">
        <f>97.95/(1+B2)</f>
        <v>97.95</v>
      </c>
      <c r="D19779" s="17" t="s">
        <v>11</v>
      </c>
      <c r="E19779" s="17" t="s">
        <v>14</v>
      </c>
      <c r="F19779" s="18"/>
      <c r="G19779" s="36" t="str">
        <f>IF(ISNUMBER(F19779),C19779*F19779,"")</f>
        <v/>
      </c>
    </row>
    <row r="19780" spans="1:7" ht="12" customHeight="1" outlineLevel="3" x14ac:dyDescent="0.2">
      <c r="A19780" s="14" t="s">
        <v>38933</v>
      </c>
      <c r="B19780" s="15" t="s">
        <v>38934</v>
      </c>
      <c r="C19780" s="16">
        <f>3.78/(1+B2)</f>
        <v>3.78</v>
      </c>
      <c r="D19780" s="17"/>
      <c r="E19780" s="17" t="s">
        <v>106</v>
      </c>
      <c r="F19780" s="18"/>
      <c r="G19780" s="36" t="str">
        <f>IF(ISNUMBER(F19780),C19780*F19780,"")</f>
        <v/>
      </c>
    </row>
    <row r="19781" spans="1:7" ht="12" customHeight="1" outlineLevel="3" x14ac:dyDescent="0.2">
      <c r="A19781" s="14" t="s">
        <v>38935</v>
      </c>
      <c r="B19781" s="15" t="s">
        <v>38936</v>
      </c>
      <c r="C19781" s="16">
        <f>5.54/(1+B2)</f>
        <v>5.54</v>
      </c>
      <c r="D19781" s="17" t="s">
        <v>11</v>
      </c>
      <c r="E19781" s="17" t="s">
        <v>106</v>
      </c>
      <c r="F19781" s="18"/>
      <c r="G19781" s="36" t="str">
        <f>IF(ISNUMBER(F19781),C19781*F19781,"")</f>
        <v/>
      </c>
    </row>
    <row r="19782" spans="1:7" ht="12" customHeight="1" outlineLevel="3" x14ac:dyDescent="0.2">
      <c r="A19782" s="14" t="s">
        <v>38937</v>
      </c>
      <c r="B19782" s="15" t="s">
        <v>38938</v>
      </c>
      <c r="C19782" s="16">
        <f>5.8/(1+B2)</f>
        <v>5.8</v>
      </c>
      <c r="D19782" s="17" t="s">
        <v>106</v>
      </c>
      <c r="E19782" s="17" t="s">
        <v>53</v>
      </c>
      <c r="F19782" s="18"/>
      <c r="G19782" s="36" t="str">
        <f>IF(ISNUMBER(F19782),C19782*F19782,"")</f>
        <v/>
      </c>
    </row>
    <row r="19783" spans="1:7" ht="12" customHeight="1" outlineLevel="3" x14ac:dyDescent="0.2">
      <c r="A19783" s="14" t="s">
        <v>38939</v>
      </c>
      <c r="B19783" s="15" t="s">
        <v>38940</v>
      </c>
      <c r="C19783" s="16">
        <f>6.16/(1+B2)</f>
        <v>6.16</v>
      </c>
      <c r="D19783" s="17" t="s">
        <v>53</v>
      </c>
      <c r="E19783" s="17"/>
      <c r="F19783" s="18"/>
      <c r="G19783" s="36" t="str">
        <f>IF(ISNUMBER(F19783),C19783*F19783,"")</f>
        <v/>
      </c>
    </row>
    <row r="19784" spans="1:7" ht="12" customHeight="1" outlineLevel="3" x14ac:dyDescent="0.2">
      <c r="A19784" s="14" t="s">
        <v>38941</v>
      </c>
      <c r="B19784" s="15" t="s">
        <v>38942</v>
      </c>
      <c r="C19784" s="16">
        <f>359.36/(1+B2)</f>
        <v>359.36</v>
      </c>
      <c r="D19784" s="17" t="s">
        <v>53</v>
      </c>
      <c r="E19784" s="17"/>
      <c r="F19784" s="18"/>
      <c r="G19784" s="36" t="str">
        <f>IF(ISNUMBER(F19784),C19784*F19784,"")</f>
        <v/>
      </c>
    </row>
    <row r="19785" spans="1:7" ht="12" customHeight="1" outlineLevel="3" x14ac:dyDescent="0.2">
      <c r="A19785" s="14" t="s">
        <v>38943</v>
      </c>
      <c r="B19785" s="15" t="s">
        <v>38944</v>
      </c>
      <c r="C19785" s="16">
        <f>107.78/(1+B2)</f>
        <v>107.78</v>
      </c>
      <c r="D19785" s="17" t="s">
        <v>11</v>
      </c>
      <c r="E19785" s="17" t="s">
        <v>53</v>
      </c>
      <c r="F19785" s="18"/>
      <c r="G19785" s="36" t="str">
        <f>IF(ISNUMBER(F19785),C19785*F19785,"")</f>
        <v/>
      </c>
    </row>
    <row r="19786" spans="1:7" ht="12" customHeight="1" outlineLevel="3" x14ac:dyDescent="0.2">
      <c r="A19786" s="14" t="s">
        <v>38945</v>
      </c>
      <c r="B19786" s="15" t="s">
        <v>38946</v>
      </c>
      <c r="C19786" s="16">
        <f>174.2/(1+B2)</f>
        <v>174.2</v>
      </c>
      <c r="D19786" s="17" t="s">
        <v>14</v>
      </c>
      <c r="E19786" s="17" t="s">
        <v>14</v>
      </c>
      <c r="F19786" s="18"/>
      <c r="G19786" s="36" t="str">
        <f>IF(ISNUMBER(F19786),C19786*F19786,"")</f>
        <v/>
      </c>
    </row>
    <row r="19787" spans="1:7" ht="12" customHeight="1" outlineLevel="3" x14ac:dyDescent="0.2">
      <c r="A19787" s="14" t="s">
        <v>38947</v>
      </c>
      <c r="B19787" s="15" t="s">
        <v>38948</v>
      </c>
      <c r="C19787" s="16">
        <f>18.08/(1+B2)</f>
        <v>18.079999999999998</v>
      </c>
      <c r="D19787" s="17" t="s">
        <v>11</v>
      </c>
      <c r="E19787" s="17" t="s">
        <v>106</v>
      </c>
      <c r="F19787" s="18"/>
      <c r="G19787" s="36" t="str">
        <f>IF(ISNUMBER(F19787),C19787*F19787,"")</f>
        <v/>
      </c>
    </row>
    <row r="19788" spans="1:7" ht="12" customHeight="1" outlineLevel="3" x14ac:dyDescent="0.2">
      <c r="A19788" s="14" t="s">
        <v>38949</v>
      </c>
      <c r="B19788" s="15" t="s">
        <v>38950</v>
      </c>
      <c r="C19788" s="16">
        <f>12.5/(1+B2)</f>
        <v>12.5</v>
      </c>
      <c r="D19788" s="17" t="s">
        <v>11</v>
      </c>
      <c r="E19788" s="17" t="s">
        <v>53</v>
      </c>
      <c r="F19788" s="18"/>
      <c r="G19788" s="36" t="str">
        <f>IF(ISNUMBER(F19788),C19788*F19788,"")</f>
        <v/>
      </c>
    </row>
    <row r="19789" spans="1:7" ht="12" customHeight="1" outlineLevel="3" x14ac:dyDescent="0.2">
      <c r="A19789" s="14" t="s">
        <v>38951</v>
      </c>
      <c r="B19789" s="15" t="s">
        <v>38952</v>
      </c>
      <c r="C19789" s="16">
        <f>27.31/(1+B2)</f>
        <v>27.31</v>
      </c>
      <c r="D19789" s="17" t="s">
        <v>11</v>
      </c>
      <c r="E19789" s="17"/>
      <c r="F19789" s="18"/>
      <c r="G19789" s="36" t="str">
        <f>IF(ISNUMBER(F19789),C19789*F19789,"")</f>
        <v/>
      </c>
    </row>
    <row r="19790" spans="1:7" ht="12" customHeight="1" outlineLevel="3" x14ac:dyDescent="0.2">
      <c r="A19790" s="14" t="s">
        <v>38953</v>
      </c>
      <c r="B19790" s="15" t="s">
        <v>38954</v>
      </c>
      <c r="C19790" s="16">
        <f>60.29/(1+B2)</f>
        <v>60.29</v>
      </c>
      <c r="D19790" s="17" t="s">
        <v>53</v>
      </c>
      <c r="E19790" s="17"/>
      <c r="F19790" s="18"/>
      <c r="G19790" s="36" t="str">
        <f>IF(ISNUMBER(F19790),C19790*F19790,"")</f>
        <v/>
      </c>
    </row>
    <row r="19791" spans="1:7" ht="12" customHeight="1" outlineLevel="3" x14ac:dyDescent="0.2">
      <c r="A19791" s="14" t="s">
        <v>38955</v>
      </c>
      <c r="B19791" s="15" t="s">
        <v>38956</v>
      </c>
      <c r="C19791" s="16">
        <f>62.23/(1+B2)</f>
        <v>62.23</v>
      </c>
      <c r="D19791" s="17" t="s">
        <v>11</v>
      </c>
      <c r="E19791" s="17"/>
      <c r="F19791" s="18"/>
      <c r="G19791" s="36" t="str">
        <f>IF(ISNUMBER(F19791),C19791*F19791,"")</f>
        <v/>
      </c>
    </row>
    <row r="19792" spans="1:7" ht="12" customHeight="1" outlineLevel="3" x14ac:dyDescent="0.2">
      <c r="A19792" s="14" t="s">
        <v>38957</v>
      </c>
      <c r="B19792" s="15" t="s">
        <v>38958</v>
      </c>
      <c r="C19792" s="16">
        <f>6.26/(1+B2)</f>
        <v>6.26</v>
      </c>
      <c r="D19792" s="17" t="s">
        <v>14</v>
      </c>
      <c r="E19792" s="17" t="s">
        <v>106</v>
      </c>
      <c r="F19792" s="18"/>
      <c r="G19792" s="36" t="str">
        <f>IF(ISNUMBER(F19792),C19792*F19792,"")</f>
        <v/>
      </c>
    </row>
    <row r="19793" spans="1:7" ht="12" customHeight="1" outlineLevel="3" x14ac:dyDescent="0.2">
      <c r="A19793" s="14" t="s">
        <v>38959</v>
      </c>
      <c r="B19793" s="15" t="s">
        <v>38960</v>
      </c>
      <c r="C19793" s="16">
        <f>9.47/(1+B2)</f>
        <v>9.4700000000000006</v>
      </c>
      <c r="D19793" s="17" t="s">
        <v>53</v>
      </c>
      <c r="E19793" s="17" t="s">
        <v>53</v>
      </c>
      <c r="F19793" s="18"/>
      <c r="G19793" s="36" t="str">
        <f>IF(ISNUMBER(F19793),C19793*F19793,"")</f>
        <v/>
      </c>
    </row>
    <row r="19794" spans="1:7" ht="12" customHeight="1" outlineLevel="3" x14ac:dyDescent="0.2">
      <c r="A19794" s="14" t="s">
        <v>38961</v>
      </c>
      <c r="B19794" s="15" t="s">
        <v>38962</v>
      </c>
      <c r="C19794" s="16">
        <f>84.9/(1+B2)</f>
        <v>84.9</v>
      </c>
      <c r="D19794" s="17" t="s">
        <v>11</v>
      </c>
      <c r="E19794" s="17"/>
      <c r="F19794" s="18"/>
      <c r="G19794" s="36" t="str">
        <f>IF(ISNUMBER(F19794),C19794*F19794,"")</f>
        <v/>
      </c>
    </row>
    <row r="19795" spans="1:7" ht="12" customHeight="1" outlineLevel="3" x14ac:dyDescent="0.2">
      <c r="A19795" s="14" t="s">
        <v>38963</v>
      </c>
      <c r="B19795" s="15" t="s">
        <v>38964</v>
      </c>
      <c r="C19795" s="16">
        <f>31.92/(1+B2)</f>
        <v>31.92</v>
      </c>
      <c r="D19795" s="17" t="s">
        <v>14</v>
      </c>
      <c r="E19795" s="17" t="s">
        <v>53</v>
      </c>
      <c r="F19795" s="18"/>
      <c r="G19795" s="36" t="str">
        <f>IF(ISNUMBER(F19795),C19795*F19795,"")</f>
        <v/>
      </c>
    </row>
    <row r="19796" spans="1:7" ht="12" customHeight="1" outlineLevel="3" x14ac:dyDescent="0.2">
      <c r="A19796" s="14" t="s">
        <v>38965</v>
      </c>
      <c r="B19796" s="15" t="s">
        <v>38966</v>
      </c>
      <c r="C19796" s="16">
        <f>215.64/(1+B2)</f>
        <v>215.64</v>
      </c>
      <c r="D19796" s="17" t="s">
        <v>106</v>
      </c>
      <c r="E19796" s="17" t="s">
        <v>11</v>
      </c>
      <c r="F19796" s="18"/>
      <c r="G19796" s="36" t="str">
        <f>IF(ISNUMBER(F19796),C19796*F19796,"")</f>
        <v/>
      </c>
    </row>
    <row r="19797" spans="1:7" ht="12" customHeight="1" outlineLevel="3" x14ac:dyDescent="0.2">
      <c r="A19797" s="14" t="s">
        <v>38967</v>
      </c>
      <c r="B19797" s="15" t="s">
        <v>38968</v>
      </c>
      <c r="C19797" s="16">
        <f>92.49/(1+B2)</f>
        <v>92.49</v>
      </c>
      <c r="D19797" s="17" t="s">
        <v>53</v>
      </c>
      <c r="E19797" s="17"/>
      <c r="F19797" s="18"/>
      <c r="G19797" s="36" t="str">
        <f>IF(ISNUMBER(F19797),C19797*F19797,"")</f>
        <v/>
      </c>
    </row>
    <row r="19798" spans="1:7" ht="12" customHeight="1" outlineLevel="3" x14ac:dyDescent="0.2">
      <c r="A19798" s="14" t="s">
        <v>38969</v>
      </c>
      <c r="B19798" s="15" t="s">
        <v>38970</v>
      </c>
      <c r="C19798" s="16">
        <f>143.55/(1+B2)</f>
        <v>143.55000000000001</v>
      </c>
      <c r="D19798" s="17" t="s">
        <v>11</v>
      </c>
      <c r="E19798" s="17"/>
      <c r="F19798" s="18"/>
      <c r="G19798" s="36" t="str">
        <f>IF(ISNUMBER(F19798),C19798*F19798,"")</f>
        <v/>
      </c>
    </row>
    <row r="19799" spans="1:7" ht="12" customHeight="1" outlineLevel="3" x14ac:dyDescent="0.2">
      <c r="A19799" s="14" t="s">
        <v>38971</v>
      </c>
      <c r="B19799" s="15" t="s">
        <v>38972</v>
      </c>
      <c r="C19799" s="16">
        <f>55.75/(1+B2)</f>
        <v>55.75</v>
      </c>
      <c r="D19799" s="17" t="s">
        <v>11</v>
      </c>
      <c r="E19799" s="17"/>
      <c r="F19799" s="18"/>
      <c r="G19799" s="36" t="str">
        <f>IF(ISNUMBER(F19799),C19799*F19799,"")</f>
        <v/>
      </c>
    </row>
    <row r="19800" spans="1:7" ht="12" customHeight="1" outlineLevel="3" x14ac:dyDescent="0.2">
      <c r="A19800" s="14" t="s">
        <v>38973</v>
      </c>
      <c r="B19800" s="15" t="s">
        <v>38974</v>
      </c>
      <c r="C19800" s="16">
        <f>60.23/(1+B2)</f>
        <v>60.23</v>
      </c>
      <c r="D19800" s="17" t="s">
        <v>11</v>
      </c>
      <c r="E19800" s="17" t="s">
        <v>53</v>
      </c>
      <c r="F19800" s="18"/>
      <c r="G19800" s="36" t="str">
        <f>IF(ISNUMBER(F19800),C19800*F19800,"")</f>
        <v/>
      </c>
    </row>
    <row r="19801" spans="1:7" ht="12" customHeight="1" outlineLevel="3" x14ac:dyDescent="0.2">
      <c r="A19801" s="14" t="s">
        <v>38975</v>
      </c>
      <c r="B19801" s="15" t="s">
        <v>38976</v>
      </c>
      <c r="C19801" s="16">
        <f>92.72/(1+B2)</f>
        <v>92.72</v>
      </c>
      <c r="D19801" s="17" t="s">
        <v>53</v>
      </c>
      <c r="E19801" s="17"/>
      <c r="F19801" s="18"/>
      <c r="G19801" s="36" t="str">
        <f>IF(ISNUMBER(F19801),C19801*F19801,"")</f>
        <v/>
      </c>
    </row>
    <row r="19802" spans="1:7" ht="12" customHeight="1" outlineLevel="3" x14ac:dyDescent="0.2">
      <c r="A19802" s="14" t="s">
        <v>38977</v>
      </c>
      <c r="B19802" s="15" t="s">
        <v>38978</v>
      </c>
      <c r="C19802" s="16">
        <f>14.03/(1+B2)</f>
        <v>14.03</v>
      </c>
      <c r="D19802" s="17" t="s">
        <v>11</v>
      </c>
      <c r="E19802" s="17"/>
      <c r="F19802" s="18"/>
      <c r="G19802" s="36" t="str">
        <f>IF(ISNUMBER(F19802),C19802*F19802,"")</f>
        <v/>
      </c>
    </row>
    <row r="19803" spans="1:7" ht="12" customHeight="1" outlineLevel="3" x14ac:dyDescent="0.2">
      <c r="A19803" s="14" t="s">
        <v>38979</v>
      </c>
      <c r="B19803" s="15" t="s">
        <v>38980</v>
      </c>
      <c r="C19803" s="16">
        <f>13.82/(1+B2)</f>
        <v>13.82</v>
      </c>
      <c r="D19803" s="17" t="s">
        <v>106</v>
      </c>
      <c r="E19803" s="17"/>
      <c r="F19803" s="18"/>
      <c r="G19803" s="36" t="str">
        <f>IF(ISNUMBER(F19803),C19803*F19803,"")</f>
        <v/>
      </c>
    </row>
    <row r="19804" spans="1:7" ht="12" customHeight="1" outlineLevel="3" x14ac:dyDescent="0.2">
      <c r="A19804" s="14" t="s">
        <v>38981</v>
      </c>
      <c r="B19804" s="15" t="s">
        <v>38982</v>
      </c>
      <c r="C19804" s="16">
        <f>143.8/(1+B2)</f>
        <v>143.80000000000001</v>
      </c>
      <c r="D19804" s="17" t="s">
        <v>11</v>
      </c>
      <c r="E19804" s="17" t="s">
        <v>106</v>
      </c>
      <c r="F19804" s="18"/>
      <c r="G19804" s="36" t="str">
        <f>IF(ISNUMBER(F19804),C19804*F19804,"")</f>
        <v/>
      </c>
    </row>
    <row r="19805" spans="1:7" ht="12" customHeight="1" outlineLevel="3" x14ac:dyDescent="0.2">
      <c r="A19805" s="14" t="s">
        <v>38983</v>
      </c>
      <c r="B19805" s="15" t="s">
        <v>38984</v>
      </c>
      <c r="C19805" s="16">
        <f>228.03/(1+B2)</f>
        <v>228.03</v>
      </c>
      <c r="D19805" s="17" t="s">
        <v>11</v>
      </c>
      <c r="E19805" s="17" t="s">
        <v>53</v>
      </c>
      <c r="F19805" s="18"/>
      <c r="G19805" s="36" t="str">
        <f>IF(ISNUMBER(F19805),C19805*F19805,"")</f>
        <v/>
      </c>
    </row>
    <row r="19806" spans="1:7" ht="12" customHeight="1" outlineLevel="3" x14ac:dyDescent="0.2">
      <c r="A19806" s="14" t="s">
        <v>38985</v>
      </c>
      <c r="B19806" s="15" t="s">
        <v>38986</v>
      </c>
      <c r="C19806" s="16">
        <f>73.68/(1+B2)</f>
        <v>73.680000000000007</v>
      </c>
      <c r="D19806" s="17"/>
      <c r="E19806" s="17" t="s">
        <v>14</v>
      </c>
      <c r="F19806" s="18"/>
      <c r="G19806" s="36" t="str">
        <f>IF(ISNUMBER(F19806),C19806*F19806,"")</f>
        <v/>
      </c>
    </row>
    <row r="19807" spans="1:7" ht="12" customHeight="1" outlineLevel="3" x14ac:dyDescent="0.2">
      <c r="A19807" s="14" t="s">
        <v>38987</v>
      </c>
      <c r="B19807" s="15" t="s">
        <v>38988</v>
      </c>
      <c r="C19807" s="16">
        <f>148.53/(1+B2)</f>
        <v>148.53</v>
      </c>
      <c r="D19807" s="17" t="s">
        <v>11</v>
      </c>
      <c r="E19807" s="17" t="s">
        <v>53</v>
      </c>
      <c r="F19807" s="18"/>
      <c r="G19807" s="36" t="str">
        <f>IF(ISNUMBER(F19807),C19807*F19807,"")</f>
        <v/>
      </c>
    </row>
    <row r="19808" spans="1:7" ht="12" customHeight="1" outlineLevel="3" x14ac:dyDescent="0.2">
      <c r="A19808" s="14" t="s">
        <v>38989</v>
      </c>
      <c r="B19808" s="15" t="s">
        <v>38990</v>
      </c>
      <c r="C19808" s="16">
        <f>117.34/(1+B2)</f>
        <v>117.34</v>
      </c>
      <c r="D19808" s="17"/>
      <c r="E19808" s="17" t="s">
        <v>53</v>
      </c>
      <c r="F19808" s="18"/>
      <c r="G19808" s="36" t="str">
        <f>IF(ISNUMBER(F19808),C19808*F19808,"")</f>
        <v/>
      </c>
    </row>
    <row r="19809" spans="1:7" ht="12" customHeight="1" outlineLevel="3" x14ac:dyDescent="0.2">
      <c r="A19809" s="14" t="s">
        <v>38991</v>
      </c>
      <c r="B19809" s="15" t="s">
        <v>38992</v>
      </c>
      <c r="C19809" s="16">
        <f>147.35/(1+B2)</f>
        <v>147.35</v>
      </c>
      <c r="D19809" s="17" t="s">
        <v>14</v>
      </c>
      <c r="E19809" s="17" t="s">
        <v>14</v>
      </c>
      <c r="F19809" s="18"/>
      <c r="G19809" s="36" t="str">
        <f>IF(ISNUMBER(F19809),C19809*F19809,"")</f>
        <v/>
      </c>
    </row>
    <row r="19810" spans="1:7" ht="12" customHeight="1" outlineLevel="3" x14ac:dyDescent="0.2">
      <c r="A19810" s="14" t="s">
        <v>38993</v>
      </c>
      <c r="B19810" s="15" t="s">
        <v>38994</v>
      </c>
      <c r="C19810" s="16">
        <f>228.38/(1+B2)</f>
        <v>228.38</v>
      </c>
      <c r="D19810" s="17" t="s">
        <v>11</v>
      </c>
      <c r="E19810" s="17" t="s">
        <v>53</v>
      </c>
      <c r="F19810" s="18"/>
      <c r="G19810" s="36" t="str">
        <f>IF(ISNUMBER(F19810),C19810*F19810,"")</f>
        <v/>
      </c>
    </row>
    <row r="19811" spans="1:7" ht="12" customHeight="1" outlineLevel="3" x14ac:dyDescent="0.2">
      <c r="A19811" s="14" t="s">
        <v>38995</v>
      </c>
      <c r="B19811" s="15" t="s">
        <v>38996</v>
      </c>
      <c r="C19811" s="16">
        <f>252.98/(1+B2)</f>
        <v>252.98</v>
      </c>
      <c r="D19811" s="17" t="s">
        <v>11</v>
      </c>
      <c r="E19811" s="17" t="s">
        <v>106</v>
      </c>
      <c r="F19811" s="18"/>
      <c r="G19811" s="36" t="str">
        <f>IF(ISNUMBER(F19811),C19811*F19811,"")</f>
        <v/>
      </c>
    </row>
    <row r="19812" spans="1:7" ht="12" customHeight="1" outlineLevel="3" x14ac:dyDescent="0.2">
      <c r="A19812" s="14" t="s">
        <v>38997</v>
      </c>
      <c r="B19812" s="15" t="s">
        <v>38998</v>
      </c>
      <c r="C19812" s="16">
        <f>216.05/(1+B2)</f>
        <v>216.05</v>
      </c>
      <c r="D19812" s="17" t="s">
        <v>11</v>
      </c>
      <c r="E19812" s="17" t="s">
        <v>14</v>
      </c>
      <c r="F19812" s="18"/>
      <c r="G19812" s="36" t="str">
        <f>IF(ISNUMBER(F19812),C19812*F19812,"")</f>
        <v/>
      </c>
    </row>
    <row r="19813" spans="1:7" ht="12" customHeight="1" outlineLevel="3" x14ac:dyDescent="0.2">
      <c r="A19813" s="14" t="s">
        <v>38999</v>
      </c>
      <c r="B19813" s="15" t="s">
        <v>39000</v>
      </c>
      <c r="C19813" s="16">
        <f>147.33/(1+B2)</f>
        <v>147.33000000000001</v>
      </c>
      <c r="D19813" s="17"/>
      <c r="E19813" s="17" t="s">
        <v>11</v>
      </c>
      <c r="F19813" s="18"/>
      <c r="G19813" s="36" t="str">
        <f>IF(ISNUMBER(F19813),C19813*F19813,"")</f>
        <v/>
      </c>
    </row>
    <row r="19814" spans="1:7" ht="12" customHeight="1" outlineLevel="3" x14ac:dyDescent="0.2">
      <c r="A19814" s="14" t="s">
        <v>39001</v>
      </c>
      <c r="B19814" s="15" t="s">
        <v>39002</v>
      </c>
      <c r="C19814" s="16">
        <f>160.51/(1+B2)</f>
        <v>160.51</v>
      </c>
      <c r="D19814" s="17" t="s">
        <v>11</v>
      </c>
      <c r="E19814" s="17" t="s">
        <v>53</v>
      </c>
      <c r="F19814" s="18"/>
      <c r="G19814" s="36" t="str">
        <f>IF(ISNUMBER(F19814),C19814*F19814,"")</f>
        <v/>
      </c>
    </row>
    <row r="19815" spans="1:7" ht="12" customHeight="1" outlineLevel="3" x14ac:dyDescent="0.2">
      <c r="A19815" s="14" t="s">
        <v>39003</v>
      </c>
      <c r="B19815" s="15" t="s">
        <v>39004</v>
      </c>
      <c r="C19815" s="16">
        <f>164.22/(1+B2)</f>
        <v>164.22</v>
      </c>
      <c r="D19815" s="17" t="s">
        <v>11</v>
      </c>
      <c r="E19815" s="17" t="s">
        <v>11</v>
      </c>
      <c r="F19815" s="18"/>
      <c r="G19815" s="36" t="str">
        <f>IF(ISNUMBER(F19815),C19815*F19815,"")</f>
        <v/>
      </c>
    </row>
    <row r="19816" spans="1:7" ht="12" customHeight="1" outlineLevel="3" x14ac:dyDescent="0.2">
      <c r="A19816" s="14" t="s">
        <v>39005</v>
      </c>
      <c r="B19816" s="15" t="s">
        <v>39006</v>
      </c>
      <c r="C19816" s="16">
        <f>152.95/(1+B2)</f>
        <v>152.94999999999999</v>
      </c>
      <c r="D19816" s="17"/>
      <c r="E19816" s="17" t="s">
        <v>53</v>
      </c>
      <c r="F19816" s="18"/>
      <c r="G19816" s="36" t="str">
        <f>IF(ISNUMBER(F19816),C19816*F19816,"")</f>
        <v/>
      </c>
    </row>
    <row r="19817" spans="1:7" ht="12" customHeight="1" outlineLevel="3" x14ac:dyDescent="0.2">
      <c r="A19817" s="14" t="s">
        <v>39007</v>
      </c>
      <c r="B19817" s="15" t="s">
        <v>39008</v>
      </c>
      <c r="C19817" s="16">
        <f>256.98/(1+B2)</f>
        <v>256.98</v>
      </c>
      <c r="D19817" s="17" t="s">
        <v>11</v>
      </c>
      <c r="E19817" s="17" t="s">
        <v>11</v>
      </c>
      <c r="F19817" s="18"/>
      <c r="G19817" s="36" t="str">
        <f>IF(ISNUMBER(F19817),C19817*F19817,"")</f>
        <v/>
      </c>
    </row>
    <row r="19818" spans="1:7" ht="12" customHeight="1" outlineLevel="3" x14ac:dyDescent="0.2">
      <c r="A19818" s="14" t="s">
        <v>39009</v>
      </c>
      <c r="B19818" s="15" t="s">
        <v>39010</v>
      </c>
      <c r="C19818" s="16">
        <f>329.14/(1+B2)</f>
        <v>329.14</v>
      </c>
      <c r="D19818" s="17" t="s">
        <v>11</v>
      </c>
      <c r="E19818" s="17" t="s">
        <v>14</v>
      </c>
      <c r="F19818" s="18"/>
      <c r="G19818" s="36" t="str">
        <f>IF(ISNUMBER(F19818),C19818*F19818,"")</f>
        <v/>
      </c>
    </row>
    <row r="19819" spans="1:7" ht="12" customHeight="1" outlineLevel="3" x14ac:dyDescent="0.2">
      <c r="A19819" s="14" t="s">
        <v>39011</v>
      </c>
      <c r="B19819" s="15" t="s">
        <v>39012</v>
      </c>
      <c r="C19819" s="16">
        <f>14.84/(1+B2)</f>
        <v>14.84</v>
      </c>
      <c r="D19819" s="17" t="s">
        <v>106</v>
      </c>
      <c r="E19819" s="17"/>
      <c r="F19819" s="18"/>
      <c r="G19819" s="36" t="str">
        <f>IF(ISNUMBER(F19819),C19819*F19819,"")</f>
        <v/>
      </c>
    </row>
    <row r="19820" spans="1:7" ht="12" customHeight="1" outlineLevel="3" x14ac:dyDescent="0.2">
      <c r="A19820" s="14" t="s">
        <v>39013</v>
      </c>
      <c r="B19820" s="15" t="s">
        <v>39014</v>
      </c>
      <c r="C19820" s="16">
        <f>4.48/(1+B2)</f>
        <v>4.4800000000000004</v>
      </c>
      <c r="D19820" s="17" t="s">
        <v>11</v>
      </c>
      <c r="E19820" s="17"/>
      <c r="F19820" s="18"/>
      <c r="G19820" s="36" t="str">
        <f>IF(ISNUMBER(F19820),C19820*F19820,"")</f>
        <v/>
      </c>
    </row>
    <row r="19821" spans="1:7" ht="12" customHeight="1" outlineLevel="3" x14ac:dyDescent="0.2">
      <c r="A19821" s="14" t="s">
        <v>39015</v>
      </c>
      <c r="B19821" s="15" t="s">
        <v>39016</v>
      </c>
      <c r="C19821" s="16">
        <f>4.8/(1+B2)</f>
        <v>4.8</v>
      </c>
      <c r="D19821" s="17" t="s">
        <v>53</v>
      </c>
      <c r="E19821" s="17" t="s">
        <v>106</v>
      </c>
      <c r="F19821" s="18"/>
      <c r="G19821" s="36" t="str">
        <f>IF(ISNUMBER(F19821),C19821*F19821,"")</f>
        <v/>
      </c>
    </row>
    <row r="19822" spans="1:7" ht="12" customHeight="1" outlineLevel="3" x14ac:dyDescent="0.2">
      <c r="A19822" s="14" t="s">
        <v>39017</v>
      </c>
      <c r="B19822" s="15" t="s">
        <v>39018</v>
      </c>
      <c r="C19822" s="16">
        <f>7.09/(1+B2)</f>
        <v>7.09</v>
      </c>
      <c r="D19822" s="17" t="s">
        <v>11</v>
      </c>
      <c r="E19822" s="17" t="s">
        <v>53</v>
      </c>
      <c r="F19822" s="18"/>
      <c r="G19822" s="36" t="str">
        <f>IF(ISNUMBER(F19822),C19822*F19822,"")</f>
        <v/>
      </c>
    </row>
    <row r="19823" spans="1:7" ht="12" customHeight="1" outlineLevel="3" x14ac:dyDescent="0.2">
      <c r="A19823" s="14" t="s">
        <v>39019</v>
      </c>
      <c r="B19823" s="15" t="s">
        <v>39020</v>
      </c>
      <c r="C19823" s="16">
        <f>16.63/(1+B2)</f>
        <v>16.63</v>
      </c>
      <c r="D19823" s="17" t="s">
        <v>11</v>
      </c>
      <c r="E19823" s="17"/>
      <c r="F19823" s="18"/>
      <c r="G19823" s="36" t="str">
        <f>IF(ISNUMBER(F19823),C19823*F19823,"")</f>
        <v/>
      </c>
    </row>
    <row r="19824" spans="1:7" ht="12" customHeight="1" outlineLevel="3" x14ac:dyDescent="0.2">
      <c r="A19824" s="14" t="s">
        <v>39021</v>
      </c>
      <c r="B19824" s="15" t="s">
        <v>39022</v>
      </c>
      <c r="C19824" s="16">
        <f>7.45/(1+B2)</f>
        <v>7.45</v>
      </c>
      <c r="D19824" s="17" t="s">
        <v>11</v>
      </c>
      <c r="E19824" s="17" t="s">
        <v>53</v>
      </c>
      <c r="F19824" s="18"/>
      <c r="G19824" s="36" t="str">
        <f>IF(ISNUMBER(F19824),C19824*F19824,"")</f>
        <v/>
      </c>
    </row>
    <row r="19825" spans="1:7" ht="12" customHeight="1" outlineLevel="3" x14ac:dyDescent="0.2">
      <c r="A19825" s="14" t="s">
        <v>39023</v>
      </c>
      <c r="B19825" s="15" t="s">
        <v>39024</v>
      </c>
      <c r="C19825" s="16">
        <f>8.14/(1+B2)</f>
        <v>8.14</v>
      </c>
      <c r="D19825" s="17" t="s">
        <v>11</v>
      </c>
      <c r="E19825" s="17" t="s">
        <v>11</v>
      </c>
      <c r="F19825" s="18"/>
      <c r="G19825" s="36" t="str">
        <f>IF(ISNUMBER(F19825),C19825*F19825,"")</f>
        <v/>
      </c>
    </row>
    <row r="19826" spans="1:7" ht="12" customHeight="1" outlineLevel="3" x14ac:dyDescent="0.2">
      <c r="A19826" s="14" t="s">
        <v>39025</v>
      </c>
      <c r="B19826" s="15" t="s">
        <v>39026</v>
      </c>
      <c r="C19826" s="16">
        <f>43.1/(1+B2)</f>
        <v>43.1</v>
      </c>
      <c r="D19826" s="17" t="s">
        <v>106</v>
      </c>
      <c r="E19826" s="17"/>
      <c r="F19826" s="18"/>
      <c r="G19826" s="36" t="str">
        <f>IF(ISNUMBER(F19826),C19826*F19826,"")</f>
        <v/>
      </c>
    </row>
    <row r="19827" spans="1:7" ht="12" customHeight="1" outlineLevel="3" x14ac:dyDescent="0.2">
      <c r="A19827" s="14" t="s">
        <v>39027</v>
      </c>
      <c r="B19827" s="15" t="s">
        <v>39028</v>
      </c>
      <c r="C19827" s="16">
        <f>49.52/(1+B2)</f>
        <v>49.52</v>
      </c>
      <c r="D19827" s="17" t="s">
        <v>53</v>
      </c>
      <c r="E19827" s="17" t="s">
        <v>53</v>
      </c>
      <c r="F19827" s="18"/>
      <c r="G19827" s="36" t="str">
        <f>IF(ISNUMBER(F19827),C19827*F19827,"")</f>
        <v/>
      </c>
    </row>
    <row r="19828" spans="1:7" ht="12" customHeight="1" outlineLevel="3" x14ac:dyDescent="0.2">
      <c r="A19828" s="14" t="s">
        <v>39029</v>
      </c>
      <c r="B19828" s="15" t="s">
        <v>39030</v>
      </c>
      <c r="C19828" s="16">
        <f>80.04/(1+B2)</f>
        <v>80.040000000000006</v>
      </c>
      <c r="D19828" s="17" t="s">
        <v>14</v>
      </c>
      <c r="E19828" s="17"/>
      <c r="F19828" s="18"/>
      <c r="G19828" s="36" t="str">
        <f>IF(ISNUMBER(F19828),C19828*F19828,"")</f>
        <v/>
      </c>
    </row>
    <row r="19829" spans="1:7" ht="12" customHeight="1" outlineLevel="3" x14ac:dyDescent="0.2">
      <c r="A19829" s="14" t="s">
        <v>39031</v>
      </c>
      <c r="B19829" s="15" t="s">
        <v>39032</v>
      </c>
      <c r="C19829" s="16">
        <f>221.71/(1+B2)</f>
        <v>221.71</v>
      </c>
      <c r="D19829" s="17" t="s">
        <v>14</v>
      </c>
      <c r="E19829" s="17"/>
      <c r="F19829" s="18"/>
      <c r="G19829" s="36" t="str">
        <f>IF(ISNUMBER(F19829),C19829*F19829,"")</f>
        <v/>
      </c>
    </row>
    <row r="19830" spans="1:7" ht="12" customHeight="1" outlineLevel="3" x14ac:dyDescent="0.2">
      <c r="A19830" s="14" t="s">
        <v>39033</v>
      </c>
      <c r="B19830" s="15" t="s">
        <v>39034</v>
      </c>
      <c r="C19830" s="16">
        <f>40.48/(1+B2)</f>
        <v>40.479999999999997</v>
      </c>
      <c r="D19830" s="17" t="s">
        <v>14</v>
      </c>
      <c r="E19830" s="17"/>
      <c r="F19830" s="18"/>
      <c r="G19830" s="36" t="str">
        <f>IF(ISNUMBER(F19830),C19830*F19830,"")</f>
        <v/>
      </c>
    </row>
    <row r="19831" spans="1:7" ht="12" customHeight="1" outlineLevel="3" x14ac:dyDescent="0.2">
      <c r="A19831" s="14" t="s">
        <v>39035</v>
      </c>
      <c r="B19831" s="15" t="s">
        <v>39036</v>
      </c>
      <c r="C19831" s="16">
        <f>64.62/(1+B2)</f>
        <v>64.62</v>
      </c>
      <c r="D19831" s="17" t="s">
        <v>11</v>
      </c>
      <c r="E19831" s="17"/>
      <c r="F19831" s="18"/>
      <c r="G19831" s="36" t="str">
        <f>IF(ISNUMBER(F19831),C19831*F19831,"")</f>
        <v/>
      </c>
    </row>
    <row r="19832" spans="1:7" ht="12" customHeight="1" outlineLevel="3" x14ac:dyDescent="0.2">
      <c r="A19832" s="14" t="s">
        <v>39037</v>
      </c>
      <c r="B19832" s="15" t="s">
        <v>39038</v>
      </c>
      <c r="C19832" s="16">
        <f>120.81/(1+B2)</f>
        <v>120.81</v>
      </c>
      <c r="D19832" s="17" t="s">
        <v>11</v>
      </c>
      <c r="E19832" s="17"/>
      <c r="F19832" s="18"/>
      <c r="G19832" s="36" t="str">
        <f>IF(ISNUMBER(F19832),C19832*F19832,"")</f>
        <v/>
      </c>
    </row>
    <row r="19833" spans="1:7" ht="12" customHeight="1" outlineLevel="3" x14ac:dyDescent="0.2">
      <c r="A19833" s="14" t="s">
        <v>39039</v>
      </c>
      <c r="B19833" s="15" t="s">
        <v>39040</v>
      </c>
      <c r="C19833" s="16">
        <f>60.29/(1+B2)</f>
        <v>60.29</v>
      </c>
      <c r="D19833" s="17" t="s">
        <v>11</v>
      </c>
      <c r="E19833" s="17" t="s">
        <v>14</v>
      </c>
      <c r="F19833" s="18"/>
      <c r="G19833" s="36" t="str">
        <f>IF(ISNUMBER(F19833),C19833*F19833,"")</f>
        <v/>
      </c>
    </row>
    <row r="19834" spans="1:7" ht="12" customHeight="1" outlineLevel="3" x14ac:dyDescent="0.2">
      <c r="A19834" s="14" t="s">
        <v>39041</v>
      </c>
      <c r="B19834" s="15" t="s">
        <v>39042</v>
      </c>
      <c r="C19834" s="16">
        <f>61.17/(1+B2)</f>
        <v>61.17</v>
      </c>
      <c r="D19834" s="17" t="s">
        <v>11</v>
      </c>
      <c r="E19834" s="17"/>
      <c r="F19834" s="18"/>
      <c r="G19834" s="36" t="str">
        <f>IF(ISNUMBER(F19834),C19834*F19834,"")</f>
        <v/>
      </c>
    </row>
    <row r="19835" spans="1:7" ht="12" customHeight="1" outlineLevel="3" x14ac:dyDescent="0.2">
      <c r="A19835" s="14" t="s">
        <v>39043</v>
      </c>
      <c r="B19835" s="15" t="s">
        <v>39044</v>
      </c>
      <c r="C19835" s="16">
        <f>76.83/(1+B2)</f>
        <v>76.83</v>
      </c>
      <c r="D19835" s="17" t="s">
        <v>14</v>
      </c>
      <c r="E19835" s="17"/>
      <c r="F19835" s="18"/>
      <c r="G19835" s="36" t="str">
        <f>IF(ISNUMBER(F19835),C19835*F19835,"")</f>
        <v/>
      </c>
    </row>
    <row r="19836" spans="1:7" ht="12" customHeight="1" outlineLevel="3" x14ac:dyDescent="0.2">
      <c r="A19836" s="14" t="s">
        <v>39045</v>
      </c>
      <c r="B19836" s="15" t="s">
        <v>39046</v>
      </c>
      <c r="C19836" s="16">
        <f>101.35/(1+B2)</f>
        <v>101.35</v>
      </c>
      <c r="D19836" s="17" t="s">
        <v>11</v>
      </c>
      <c r="E19836" s="17"/>
      <c r="F19836" s="18"/>
      <c r="G19836" s="36" t="str">
        <f>IF(ISNUMBER(F19836),C19836*F19836,"")</f>
        <v/>
      </c>
    </row>
    <row r="19837" spans="1:7" ht="12" customHeight="1" outlineLevel="3" x14ac:dyDescent="0.2">
      <c r="A19837" s="14" t="s">
        <v>39047</v>
      </c>
      <c r="B19837" s="15" t="s">
        <v>39048</v>
      </c>
      <c r="C19837" s="16">
        <f>102.47/(1+B2)</f>
        <v>102.47</v>
      </c>
      <c r="D19837" s="17" t="s">
        <v>14</v>
      </c>
      <c r="E19837" s="17"/>
      <c r="F19837" s="18"/>
      <c r="G19837" s="36" t="str">
        <f>IF(ISNUMBER(F19837),C19837*F19837,"")</f>
        <v/>
      </c>
    </row>
    <row r="19838" spans="1:7" s="1" customFormat="1" ht="15.95" customHeight="1" outlineLevel="1" x14ac:dyDescent="0.25">
      <c r="A19838" s="11"/>
      <c r="B19838" s="12" t="s">
        <v>39049</v>
      </c>
      <c r="C19838" s="13"/>
      <c r="D19838" s="13"/>
      <c r="E19838" s="13"/>
      <c r="F19838" s="13"/>
      <c r="G19838" s="35"/>
    </row>
    <row r="19839" spans="1:7" ht="24" customHeight="1" outlineLevel="2" x14ac:dyDescent="0.2">
      <c r="A19839" s="14" t="s">
        <v>39050</v>
      </c>
      <c r="B19839" s="15" t="s">
        <v>39051</v>
      </c>
      <c r="C19839" s="16">
        <f>726.93/(1+B2)</f>
        <v>726.93</v>
      </c>
      <c r="D19839" s="17" t="s">
        <v>11</v>
      </c>
      <c r="E19839" s="17" t="s">
        <v>11</v>
      </c>
      <c r="F19839" s="18"/>
      <c r="G19839" s="36" t="str">
        <f>IF(ISNUMBER(F19839),C19839*F19839,"")</f>
        <v/>
      </c>
    </row>
    <row r="19840" spans="1:7" s="1" customFormat="1" ht="15.95" customHeight="1" outlineLevel="1" x14ac:dyDescent="0.25">
      <c r="A19840" s="11"/>
      <c r="B19840" s="12" t="s">
        <v>39052</v>
      </c>
      <c r="C19840" s="13"/>
      <c r="D19840" s="13"/>
      <c r="E19840" s="13"/>
      <c r="F19840" s="13"/>
      <c r="G19840" s="35"/>
    </row>
    <row r="19841" spans="1:7" s="1" customFormat="1" ht="12.95" customHeight="1" outlineLevel="2" x14ac:dyDescent="0.2">
      <c r="A19841" s="20"/>
      <c r="B19841" s="21" t="s">
        <v>39053</v>
      </c>
      <c r="C19841" s="22"/>
      <c r="D19841" s="22"/>
      <c r="E19841" s="22"/>
      <c r="F19841" s="22"/>
      <c r="G19841" s="37"/>
    </row>
    <row r="19842" spans="1:7" ht="12" customHeight="1" outlineLevel="3" x14ac:dyDescent="0.2">
      <c r="A19842" s="14" t="s">
        <v>39054</v>
      </c>
      <c r="B19842" s="15" t="s">
        <v>39055</v>
      </c>
      <c r="C19842" s="16">
        <f>89.06/(1+B2)</f>
        <v>89.06</v>
      </c>
      <c r="D19842" s="17" t="s">
        <v>11</v>
      </c>
      <c r="E19842" s="17"/>
      <c r="F19842" s="18"/>
      <c r="G19842" s="36" t="str">
        <f>IF(ISNUMBER(F19842),C19842*F19842,"")</f>
        <v/>
      </c>
    </row>
    <row r="19843" spans="1:7" ht="12" customHeight="1" outlineLevel="3" x14ac:dyDescent="0.2">
      <c r="A19843" s="14" t="s">
        <v>39056</v>
      </c>
      <c r="B19843" s="15" t="s">
        <v>39057</v>
      </c>
      <c r="C19843" s="16">
        <f>60/(1+B2)</f>
        <v>60</v>
      </c>
      <c r="D19843" s="17" t="s">
        <v>11</v>
      </c>
      <c r="E19843" s="17"/>
      <c r="F19843" s="18"/>
      <c r="G19843" s="36" t="str">
        <f>IF(ISNUMBER(F19843),C19843*F19843,"")</f>
        <v/>
      </c>
    </row>
    <row r="19844" spans="1:7" ht="12" customHeight="1" outlineLevel="3" x14ac:dyDescent="0.2">
      <c r="A19844" s="14" t="s">
        <v>39058</v>
      </c>
      <c r="B19844" s="15" t="s">
        <v>39059</v>
      </c>
      <c r="C19844" s="16">
        <f>273.71/(1+B2)</f>
        <v>273.70999999999998</v>
      </c>
      <c r="D19844" s="17" t="s">
        <v>14</v>
      </c>
      <c r="E19844" s="17" t="s">
        <v>14</v>
      </c>
      <c r="F19844" s="18"/>
      <c r="G19844" s="36" t="str">
        <f>IF(ISNUMBER(F19844),C19844*F19844,"")</f>
        <v/>
      </c>
    </row>
    <row r="19845" spans="1:7" ht="12" customHeight="1" outlineLevel="3" x14ac:dyDescent="0.2">
      <c r="A19845" s="14" t="s">
        <v>39060</v>
      </c>
      <c r="B19845" s="15" t="s">
        <v>39061</v>
      </c>
      <c r="C19845" s="16">
        <f>273.71/(1+B2)</f>
        <v>273.70999999999998</v>
      </c>
      <c r="D19845" s="17" t="s">
        <v>11</v>
      </c>
      <c r="E19845" s="17"/>
      <c r="F19845" s="18"/>
      <c r="G19845" s="36" t="str">
        <f>IF(ISNUMBER(F19845),C19845*F19845,"")</f>
        <v/>
      </c>
    </row>
    <row r="19846" spans="1:7" ht="12" customHeight="1" outlineLevel="3" x14ac:dyDescent="0.2">
      <c r="A19846" s="14" t="s">
        <v>39062</v>
      </c>
      <c r="B19846" s="15" t="s">
        <v>39063</v>
      </c>
      <c r="C19846" s="16">
        <f>84.5/(1+B2)</f>
        <v>84.5</v>
      </c>
      <c r="D19846" s="17" t="s">
        <v>11</v>
      </c>
      <c r="E19846" s="17" t="s">
        <v>11</v>
      </c>
      <c r="F19846" s="18"/>
      <c r="G19846" s="36" t="str">
        <f>IF(ISNUMBER(F19846),C19846*F19846,"")</f>
        <v/>
      </c>
    </row>
    <row r="19847" spans="1:7" ht="12" customHeight="1" outlineLevel="3" x14ac:dyDescent="0.2">
      <c r="A19847" s="14" t="s">
        <v>39064</v>
      </c>
      <c r="B19847" s="15" t="s">
        <v>39065</v>
      </c>
      <c r="C19847" s="16">
        <f>79.94/(1+B2)</f>
        <v>79.94</v>
      </c>
      <c r="D19847" s="17" t="s">
        <v>14</v>
      </c>
      <c r="E19847" s="17" t="s">
        <v>14</v>
      </c>
      <c r="F19847" s="18"/>
      <c r="G19847" s="36" t="str">
        <f>IF(ISNUMBER(F19847),C19847*F19847,"")</f>
        <v/>
      </c>
    </row>
    <row r="19848" spans="1:7" ht="12" customHeight="1" outlineLevel="3" x14ac:dyDescent="0.2">
      <c r="A19848" s="14" t="s">
        <v>39066</v>
      </c>
      <c r="B19848" s="15" t="s">
        <v>39067</v>
      </c>
      <c r="C19848" s="16">
        <f>273.71/(1+B2)</f>
        <v>273.70999999999998</v>
      </c>
      <c r="D19848" s="17" t="s">
        <v>11</v>
      </c>
      <c r="E19848" s="17" t="s">
        <v>53</v>
      </c>
      <c r="F19848" s="18"/>
      <c r="G19848" s="36" t="str">
        <f>IF(ISNUMBER(F19848),C19848*F19848,"")</f>
        <v/>
      </c>
    </row>
    <row r="19849" spans="1:7" ht="12" customHeight="1" outlineLevel="3" x14ac:dyDescent="0.2">
      <c r="A19849" s="14" t="s">
        <v>39068</v>
      </c>
      <c r="B19849" s="15" t="s">
        <v>39069</v>
      </c>
      <c r="C19849" s="16">
        <f>273.71/(1+B2)</f>
        <v>273.70999999999998</v>
      </c>
      <c r="D19849" s="17" t="s">
        <v>11</v>
      </c>
      <c r="E19849" s="17" t="s">
        <v>14</v>
      </c>
      <c r="F19849" s="18"/>
      <c r="G19849" s="36" t="str">
        <f>IF(ISNUMBER(F19849),C19849*F19849,"")</f>
        <v/>
      </c>
    </row>
    <row r="19850" spans="1:7" ht="12" customHeight="1" outlineLevel="3" x14ac:dyDescent="0.2">
      <c r="A19850" s="14" t="s">
        <v>39070</v>
      </c>
      <c r="B19850" s="15" t="s">
        <v>39071</v>
      </c>
      <c r="C19850" s="16">
        <f>273.71/(1+B2)</f>
        <v>273.70999999999998</v>
      </c>
      <c r="D19850" s="17" t="s">
        <v>11</v>
      </c>
      <c r="E19850" s="17"/>
      <c r="F19850" s="18"/>
      <c r="G19850" s="36" t="str">
        <f>IF(ISNUMBER(F19850),C19850*F19850,"")</f>
        <v/>
      </c>
    </row>
    <row r="19851" spans="1:7" ht="12" customHeight="1" outlineLevel="3" x14ac:dyDescent="0.2">
      <c r="A19851" s="14" t="s">
        <v>39072</v>
      </c>
      <c r="B19851" s="15" t="s">
        <v>39073</v>
      </c>
      <c r="C19851" s="16">
        <f>79.93/(1+B2)</f>
        <v>79.930000000000007</v>
      </c>
      <c r="D19851" s="17" t="s">
        <v>11</v>
      </c>
      <c r="E19851" s="17" t="s">
        <v>14</v>
      </c>
      <c r="F19851" s="18"/>
      <c r="G19851" s="36" t="str">
        <f>IF(ISNUMBER(F19851),C19851*F19851,"")</f>
        <v/>
      </c>
    </row>
    <row r="19852" spans="1:7" ht="12" customHeight="1" outlineLevel="3" x14ac:dyDescent="0.2">
      <c r="A19852" s="14" t="s">
        <v>39074</v>
      </c>
      <c r="B19852" s="15" t="s">
        <v>39075</v>
      </c>
      <c r="C19852" s="16">
        <f>24.84/(1+B2)</f>
        <v>24.84</v>
      </c>
      <c r="D19852" s="17" t="s">
        <v>11</v>
      </c>
      <c r="E19852" s="17"/>
      <c r="F19852" s="18"/>
      <c r="G19852" s="36" t="str">
        <f>IF(ISNUMBER(F19852),C19852*F19852,"")</f>
        <v/>
      </c>
    </row>
    <row r="19853" spans="1:7" s="1" customFormat="1" ht="12.95" customHeight="1" outlineLevel="2" x14ac:dyDescent="0.2">
      <c r="A19853" s="20"/>
      <c r="B19853" s="21" t="s">
        <v>39076</v>
      </c>
      <c r="C19853" s="22"/>
      <c r="D19853" s="22"/>
      <c r="E19853" s="22"/>
      <c r="F19853" s="22"/>
      <c r="G19853" s="37"/>
    </row>
    <row r="19854" spans="1:7" ht="12" customHeight="1" outlineLevel="3" x14ac:dyDescent="0.2">
      <c r="A19854" s="14" t="s">
        <v>39077</v>
      </c>
      <c r="B19854" s="15" t="s">
        <v>39078</v>
      </c>
      <c r="C19854" s="16">
        <f>476.11/(1+B2)</f>
        <v>476.11</v>
      </c>
      <c r="D19854" s="17" t="s">
        <v>11</v>
      </c>
      <c r="E19854" s="17" t="s">
        <v>11</v>
      </c>
      <c r="F19854" s="18"/>
      <c r="G19854" s="36" t="str">
        <f>IF(ISNUMBER(F19854),C19854*F19854,"")</f>
        <v/>
      </c>
    </row>
    <row r="19855" spans="1:7" ht="24" customHeight="1" outlineLevel="3" x14ac:dyDescent="0.2">
      <c r="A19855" s="14" t="s">
        <v>39079</v>
      </c>
      <c r="B19855" s="15" t="s">
        <v>39080</v>
      </c>
      <c r="C19855" s="16">
        <f>753.67/(1+B2)</f>
        <v>753.67</v>
      </c>
      <c r="D19855" s="17" t="s">
        <v>11</v>
      </c>
      <c r="E19855" s="17" t="s">
        <v>11</v>
      </c>
      <c r="F19855" s="18"/>
      <c r="G19855" s="36" t="str">
        <f>IF(ISNUMBER(F19855),C19855*F19855,"")</f>
        <v/>
      </c>
    </row>
    <row r="19856" spans="1:7" ht="12" customHeight="1" outlineLevel="3" x14ac:dyDescent="0.2">
      <c r="A19856" s="14" t="s">
        <v>39081</v>
      </c>
      <c r="B19856" s="15" t="s">
        <v>39082</v>
      </c>
      <c r="C19856" s="16">
        <f>753.67/(1+B2)</f>
        <v>753.67</v>
      </c>
      <c r="D19856" s="17" t="s">
        <v>11</v>
      </c>
      <c r="E19856" s="17" t="s">
        <v>11</v>
      </c>
      <c r="F19856" s="18"/>
      <c r="G19856" s="36" t="str">
        <f>IF(ISNUMBER(F19856),C19856*F19856,"")</f>
        <v/>
      </c>
    </row>
    <row r="19857" spans="1:7" ht="12" customHeight="1" outlineLevel="3" x14ac:dyDescent="0.2">
      <c r="A19857" s="14" t="s">
        <v>39083</v>
      </c>
      <c r="B19857" s="15" t="s">
        <v>39084</v>
      </c>
      <c r="C19857" s="16">
        <f>656.6/(1+B2)</f>
        <v>656.6</v>
      </c>
      <c r="D19857" s="17" t="s">
        <v>11</v>
      </c>
      <c r="E19857" s="17" t="s">
        <v>11</v>
      </c>
      <c r="F19857" s="18"/>
      <c r="G19857" s="36" t="str">
        <f>IF(ISNUMBER(F19857),C19857*F19857,"")</f>
        <v/>
      </c>
    </row>
    <row r="19858" spans="1:7" ht="12" customHeight="1" outlineLevel="3" x14ac:dyDescent="0.2">
      <c r="A19858" s="14" t="s">
        <v>39085</v>
      </c>
      <c r="B19858" s="15" t="s">
        <v>39086</v>
      </c>
      <c r="C19858" s="16">
        <f>628.42/(1+B2)</f>
        <v>628.41999999999996</v>
      </c>
      <c r="D19858" s="17" t="s">
        <v>11</v>
      </c>
      <c r="E19858" s="17" t="s">
        <v>11</v>
      </c>
      <c r="F19858" s="18"/>
      <c r="G19858" s="36" t="str">
        <f>IF(ISNUMBER(F19858),C19858*F19858,"")</f>
        <v/>
      </c>
    </row>
    <row r="19859" spans="1:7" ht="12" customHeight="1" outlineLevel="3" x14ac:dyDescent="0.2">
      <c r="A19859" s="14" t="s">
        <v>39087</v>
      </c>
      <c r="B19859" s="15" t="s">
        <v>39088</v>
      </c>
      <c r="C19859" s="16">
        <f>91.92/(1+B2)</f>
        <v>91.92</v>
      </c>
      <c r="D19859" s="17" t="s">
        <v>11</v>
      </c>
      <c r="E19859" s="17" t="s">
        <v>53</v>
      </c>
      <c r="F19859" s="18"/>
      <c r="G19859" s="36" t="str">
        <f>IF(ISNUMBER(F19859),C19859*F19859,"")</f>
        <v/>
      </c>
    </row>
    <row r="19860" spans="1:7" ht="12" customHeight="1" outlineLevel="3" x14ac:dyDescent="0.2">
      <c r="A19860" s="14" t="s">
        <v>39089</v>
      </c>
      <c r="B19860" s="15" t="s">
        <v>39090</v>
      </c>
      <c r="C19860" s="16">
        <f>120.58/(1+B2)</f>
        <v>120.58</v>
      </c>
      <c r="D19860" s="17" t="s">
        <v>11</v>
      </c>
      <c r="E19860" s="17" t="s">
        <v>53</v>
      </c>
      <c r="F19860" s="18"/>
      <c r="G19860" s="36" t="str">
        <f>IF(ISNUMBER(F19860),C19860*F19860,"")</f>
        <v/>
      </c>
    </row>
    <row r="19861" spans="1:7" ht="12" customHeight="1" outlineLevel="3" x14ac:dyDescent="0.2">
      <c r="A19861" s="14" t="s">
        <v>39091</v>
      </c>
      <c r="B19861" s="15" t="s">
        <v>39092</v>
      </c>
      <c r="C19861" s="16">
        <f>150.15/(1+B2)</f>
        <v>150.15</v>
      </c>
      <c r="D19861" s="17"/>
      <c r="E19861" s="17" t="s">
        <v>11</v>
      </c>
      <c r="F19861" s="18"/>
      <c r="G19861" s="36" t="str">
        <f>IF(ISNUMBER(F19861),C19861*F19861,"")</f>
        <v/>
      </c>
    </row>
    <row r="19862" spans="1:7" ht="12" customHeight="1" outlineLevel="3" x14ac:dyDescent="0.2">
      <c r="A19862" s="14" t="s">
        <v>39093</v>
      </c>
      <c r="B19862" s="15" t="s">
        <v>39094</v>
      </c>
      <c r="C19862" s="16">
        <f>135.38/(1+B2)</f>
        <v>135.38</v>
      </c>
      <c r="D19862" s="17" t="s">
        <v>11</v>
      </c>
      <c r="E19862" s="17"/>
      <c r="F19862" s="18"/>
      <c r="G19862" s="36" t="str">
        <f>IF(ISNUMBER(F19862),C19862*F19862,"")</f>
        <v/>
      </c>
    </row>
    <row r="19863" spans="1:7" ht="12" customHeight="1" outlineLevel="3" x14ac:dyDescent="0.2">
      <c r="A19863" s="14" t="s">
        <v>39095</v>
      </c>
      <c r="B19863" s="15" t="s">
        <v>39096</v>
      </c>
      <c r="C19863" s="16">
        <f>157.88/(1+B2)</f>
        <v>157.88</v>
      </c>
      <c r="D19863" s="17" t="s">
        <v>14</v>
      </c>
      <c r="E19863" s="17" t="s">
        <v>53</v>
      </c>
      <c r="F19863" s="18"/>
      <c r="G19863" s="36" t="str">
        <f>IF(ISNUMBER(F19863),C19863*F19863,"")</f>
        <v/>
      </c>
    </row>
    <row r="19864" spans="1:7" ht="12" customHeight="1" outlineLevel="3" x14ac:dyDescent="0.2">
      <c r="A19864" s="14" t="s">
        <v>39097</v>
      </c>
      <c r="B19864" s="15" t="s">
        <v>39098</v>
      </c>
      <c r="C19864" s="16">
        <f>157.88/(1+B2)</f>
        <v>157.88</v>
      </c>
      <c r="D19864" s="17" t="s">
        <v>11</v>
      </c>
      <c r="E19864" s="17" t="s">
        <v>11</v>
      </c>
      <c r="F19864" s="18"/>
      <c r="G19864" s="36" t="str">
        <f>IF(ISNUMBER(F19864),C19864*F19864,"")</f>
        <v/>
      </c>
    </row>
    <row r="19865" spans="1:7" ht="12" customHeight="1" outlineLevel="3" x14ac:dyDescent="0.2">
      <c r="A19865" s="14" t="s">
        <v>39099</v>
      </c>
      <c r="B19865" s="15" t="s">
        <v>39100</v>
      </c>
      <c r="C19865" s="16">
        <f>120.54/(1+B2)</f>
        <v>120.54</v>
      </c>
      <c r="D19865" s="17" t="s">
        <v>11</v>
      </c>
      <c r="E19865" s="17" t="s">
        <v>53</v>
      </c>
      <c r="F19865" s="18"/>
      <c r="G19865" s="36" t="str">
        <f>IF(ISNUMBER(F19865),C19865*F19865,"")</f>
        <v/>
      </c>
    </row>
    <row r="19866" spans="1:7" ht="12" customHeight="1" outlineLevel="3" x14ac:dyDescent="0.2">
      <c r="A19866" s="14" t="s">
        <v>39101</v>
      </c>
      <c r="B19866" s="15" t="s">
        <v>39102</v>
      </c>
      <c r="C19866" s="16">
        <f>120.54/(1+B2)</f>
        <v>120.54</v>
      </c>
      <c r="D19866" s="17" t="s">
        <v>11</v>
      </c>
      <c r="E19866" s="17" t="s">
        <v>14</v>
      </c>
      <c r="F19866" s="18"/>
      <c r="G19866" s="36" t="str">
        <f>IF(ISNUMBER(F19866),C19866*F19866,"")</f>
        <v/>
      </c>
    </row>
    <row r="19867" spans="1:7" ht="12" customHeight="1" outlineLevel="3" x14ac:dyDescent="0.2">
      <c r="A19867" s="14" t="s">
        <v>39103</v>
      </c>
      <c r="B19867" s="15" t="s">
        <v>39104</v>
      </c>
      <c r="C19867" s="16">
        <f>150.15/(1+B2)</f>
        <v>150.15</v>
      </c>
      <c r="D19867" s="17" t="s">
        <v>11</v>
      </c>
      <c r="E19867" s="17" t="s">
        <v>106</v>
      </c>
      <c r="F19867" s="18"/>
      <c r="G19867" s="36" t="str">
        <f>IF(ISNUMBER(F19867),C19867*F19867,"")</f>
        <v/>
      </c>
    </row>
    <row r="19868" spans="1:7" ht="12" customHeight="1" outlineLevel="3" x14ac:dyDescent="0.2">
      <c r="A19868" s="14" t="s">
        <v>39105</v>
      </c>
      <c r="B19868" s="15" t="s">
        <v>39106</v>
      </c>
      <c r="C19868" s="16">
        <f>165.06/(1+B2)</f>
        <v>165.06</v>
      </c>
      <c r="D19868" s="17" t="s">
        <v>11</v>
      </c>
      <c r="E19868" s="17" t="s">
        <v>11</v>
      </c>
      <c r="F19868" s="18"/>
      <c r="G19868" s="36" t="str">
        <f>IF(ISNUMBER(F19868),C19868*F19868,"")</f>
        <v/>
      </c>
    </row>
    <row r="19869" spans="1:7" ht="12" customHeight="1" outlineLevel="3" x14ac:dyDescent="0.2">
      <c r="A19869" s="14" t="s">
        <v>39107</v>
      </c>
      <c r="B19869" s="15" t="s">
        <v>39108</v>
      </c>
      <c r="C19869" s="16">
        <f>165.06/(1+B2)</f>
        <v>165.06</v>
      </c>
      <c r="D19869" s="17" t="s">
        <v>11</v>
      </c>
      <c r="E19869" s="17"/>
      <c r="F19869" s="18"/>
      <c r="G19869" s="36" t="str">
        <f>IF(ISNUMBER(F19869),C19869*F19869,"")</f>
        <v/>
      </c>
    </row>
    <row r="19870" spans="1:7" ht="12" customHeight="1" outlineLevel="3" x14ac:dyDescent="0.2">
      <c r="A19870" s="14" t="s">
        <v>39109</v>
      </c>
      <c r="B19870" s="15" t="s">
        <v>39110</v>
      </c>
      <c r="C19870" s="16">
        <f>205.01/(1+B2)</f>
        <v>205.01</v>
      </c>
      <c r="D19870" s="17"/>
      <c r="E19870" s="17" t="s">
        <v>53</v>
      </c>
      <c r="F19870" s="18"/>
      <c r="G19870" s="36" t="str">
        <f>IF(ISNUMBER(F19870),C19870*F19870,"")</f>
        <v/>
      </c>
    </row>
    <row r="19871" spans="1:7" ht="12" customHeight="1" outlineLevel="3" x14ac:dyDescent="0.2">
      <c r="A19871" s="14" t="s">
        <v>39111</v>
      </c>
      <c r="B19871" s="15" t="s">
        <v>39112</v>
      </c>
      <c r="C19871" s="16">
        <f>512.51/(1+B2)</f>
        <v>512.51</v>
      </c>
      <c r="D19871" s="17" t="s">
        <v>11</v>
      </c>
      <c r="E19871" s="17" t="s">
        <v>53</v>
      </c>
      <c r="F19871" s="18"/>
      <c r="G19871" s="36" t="str">
        <f>IF(ISNUMBER(F19871),C19871*F19871,"")</f>
        <v/>
      </c>
    </row>
    <row r="19872" spans="1:7" ht="12" customHeight="1" outlineLevel="3" x14ac:dyDescent="0.2">
      <c r="A19872" s="14" t="s">
        <v>39113</v>
      </c>
      <c r="B19872" s="15" t="s">
        <v>39114</v>
      </c>
      <c r="C19872" s="16">
        <f>506.23/(1+B2)</f>
        <v>506.23</v>
      </c>
      <c r="D19872" s="17" t="s">
        <v>11</v>
      </c>
      <c r="E19872" s="17"/>
      <c r="F19872" s="18"/>
      <c r="G19872" s="36" t="str">
        <f>IF(ISNUMBER(F19872),C19872*F19872,"")</f>
        <v/>
      </c>
    </row>
    <row r="19873" spans="1:7" ht="12" customHeight="1" outlineLevel="3" x14ac:dyDescent="0.2">
      <c r="A19873" s="14" t="s">
        <v>39115</v>
      </c>
      <c r="B19873" s="15" t="s">
        <v>39116</v>
      </c>
      <c r="C19873" s="16">
        <f>448.45/(1+B2)</f>
        <v>448.45</v>
      </c>
      <c r="D19873" s="17" t="s">
        <v>11</v>
      </c>
      <c r="E19873" s="17" t="s">
        <v>14</v>
      </c>
      <c r="F19873" s="18"/>
      <c r="G19873" s="36" t="str">
        <f>IF(ISNUMBER(F19873),C19873*F19873,"")</f>
        <v/>
      </c>
    </row>
    <row r="19874" spans="1:7" ht="12" customHeight="1" outlineLevel="3" x14ac:dyDescent="0.2">
      <c r="A19874" s="14" t="s">
        <v>39117</v>
      </c>
      <c r="B19874" s="15" t="s">
        <v>39118</v>
      </c>
      <c r="C19874" s="16">
        <f>269.07/(1+B2)</f>
        <v>269.07</v>
      </c>
      <c r="D19874" s="17" t="s">
        <v>11</v>
      </c>
      <c r="E19874" s="17" t="s">
        <v>11</v>
      </c>
      <c r="F19874" s="18"/>
      <c r="G19874" s="36" t="str">
        <f>IF(ISNUMBER(F19874),C19874*F19874,"")</f>
        <v/>
      </c>
    </row>
    <row r="19875" spans="1:7" ht="12" customHeight="1" outlineLevel="3" x14ac:dyDescent="0.2">
      <c r="A19875" s="14" t="s">
        <v>39119</v>
      </c>
      <c r="B19875" s="15" t="s">
        <v>39120</v>
      </c>
      <c r="C19875" s="16">
        <f>448.45/(1+B2)</f>
        <v>448.45</v>
      </c>
      <c r="D19875" s="17" t="s">
        <v>11</v>
      </c>
      <c r="E19875" s="17" t="s">
        <v>11</v>
      </c>
      <c r="F19875" s="18"/>
      <c r="G19875" s="36" t="str">
        <f>IF(ISNUMBER(F19875),C19875*F19875,"")</f>
        <v/>
      </c>
    </row>
    <row r="19876" spans="1:7" ht="12" customHeight="1" outlineLevel="3" x14ac:dyDescent="0.2">
      <c r="A19876" s="14" t="s">
        <v>39121</v>
      </c>
      <c r="B19876" s="15" t="s">
        <v>39122</v>
      </c>
      <c r="C19876" s="16">
        <f>209.02/(1+B2)</f>
        <v>209.02</v>
      </c>
      <c r="D19876" s="17" t="s">
        <v>14</v>
      </c>
      <c r="E19876" s="17" t="s">
        <v>11</v>
      </c>
      <c r="F19876" s="18"/>
      <c r="G19876" s="36" t="str">
        <f>IF(ISNUMBER(F19876),C19876*F19876,"")</f>
        <v/>
      </c>
    </row>
    <row r="19877" spans="1:7" ht="24" customHeight="1" outlineLevel="3" x14ac:dyDescent="0.2">
      <c r="A19877" s="14" t="s">
        <v>39123</v>
      </c>
      <c r="B19877" s="15" t="s">
        <v>39124</v>
      </c>
      <c r="C19877" s="16">
        <f>186.59/(1+B2)</f>
        <v>186.59</v>
      </c>
      <c r="D19877" s="17" t="s">
        <v>11</v>
      </c>
      <c r="E19877" s="17" t="s">
        <v>14</v>
      </c>
      <c r="F19877" s="18"/>
      <c r="G19877" s="36" t="str">
        <f>IF(ISNUMBER(F19877),C19877*F19877,"")</f>
        <v/>
      </c>
    </row>
    <row r="19878" spans="1:7" ht="24" customHeight="1" outlineLevel="3" x14ac:dyDescent="0.2">
      <c r="A19878" s="14" t="s">
        <v>39125</v>
      </c>
      <c r="B19878" s="15" t="s">
        <v>39126</v>
      </c>
      <c r="C19878" s="16">
        <f>243.34/(1+B2)</f>
        <v>243.34</v>
      </c>
      <c r="D19878" s="17" t="s">
        <v>11</v>
      </c>
      <c r="E19878" s="17" t="s">
        <v>11</v>
      </c>
      <c r="F19878" s="18"/>
      <c r="G19878" s="36" t="str">
        <f>IF(ISNUMBER(F19878),C19878*F19878,"")</f>
        <v/>
      </c>
    </row>
    <row r="19879" spans="1:7" ht="12" customHeight="1" outlineLevel="3" x14ac:dyDescent="0.2">
      <c r="A19879" s="14" t="s">
        <v>39127</v>
      </c>
      <c r="B19879" s="15" t="s">
        <v>39128</v>
      </c>
      <c r="C19879" s="16">
        <f>162.72/(1+B2)</f>
        <v>162.72</v>
      </c>
      <c r="D19879" s="17" t="s">
        <v>11</v>
      </c>
      <c r="E19879" s="17" t="s">
        <v>14</v>
      </c>
      <c r="F19879" s="18"/>
      <c r="G19879" s="36" t="str">
        <f>IF(ISNUMBER(F19879),C19879*F19879,"")</f>
        <v/>
      </c>
    </row>
    <row r="19880" spans="1:7" ht="12" customHeight="1" outlineLevel="3" x14ac:dyDescent="0.2">
      <c r="A19880" s="14" t="s">
        <v>39129</v>
      </c>
      <c r="B19880" s="15" t="s">
        <v>39130</v>
      </c>
      <c r="C19880" s="16">
        <f>209.44/(1+B2)</f>
        <v>209.44</v>
      </c>
      <c r="D19880" s="17" t="s">
        <v>11</v>
      </c>
      <c r="E19880" s="17"/>
      <c r="F19880" s="18"/>
      <c r="G19880" s="36" t="str">
        <f>IF(ISNUMBER(F19880),C19880*F19880,"")</f>
        <v/>
      </c>
    </row>
    <row r="19881" spans="1:7" ht="24" customHeight="1" outlineLevel="3" x14ac:dyDescent="0.2">
      <c r="A19881" s="14" t="s">
        <v>39131</v>
      </c>
      <c r="B19881" s="15" t="s">
        <v>39132</v>
      </c>
      <c r="C19881" s="16">
        <f>226.86/(1+B2)</f>
        <v>226.86</v>
      </c>
      <c r="D19881" s="17" t="s">
        <v>11</v>
      </c>
      <c r="E19881" s="17" t="s">
        <v>14</v>
      </c>
      <c r="F19881" s="18"/>
      <c r="G19881" s="36" t="str">
        <f>IF(ISNUMBER(F19881),C19881*F19881,"")</f>
        <v/>
      </c>
    </row>
    <row r="19882" spans="1:7" ht="24" customHeight="1" outlineLevel="3" x14ac:dyDescent="0.2">
      <c r="A19882" s="14" t="s">
        <v>39133</v>
      </c>
      <c r="B19882" s="15" t="s">
        <v>39134</v>
      </c>
      <c r="C19882" s="16">
        <f>228.93/(1+B2)</f>
        <v>228.93</v>
      </c>
      <c r="D19882" s="17" t="s">
        <v>11</v>
      </c>
      <c r="E19882" s="17" t="s">
        <v>53</v>
      </c>
      <c r="F19882" s="18"/>
      <c r="G19882" s="36" t="str">
        <f>IF(ISNUMBER(F19882),C19882*F19882,"")</f>
        <v/>
      </c>
    </row>
    <row r="19883" spans="1:7" ht="12" customHeight="1" outlineLevel="3" x14ac:dyDescent="0.2">
      <c r="A19883" s="14" t="s">
        <v>39135</v>
      </c>
      <c r="B19883" s="15" t="s">
        <v>39136</v>
      </c>
      <c r="C19883" s="16">
        <f>274.2/(1+B2)</f>
        <v>274.2</v>
      </c>
      <c r="D19883" s="17" t="s">
        <v>11</v>
      </c>
      <c r="E19883" s="17" t="s">
        <v>106</v>
      </c>
      <c r="F19883" s="18"/>
      <c r="G19883" s="36" t="str">
        <f>IF(ISNUMBER(F19883),C19883*F19883,"")</f>
        <v/>
      </c>
    </row>
    <row r="19884" spans="1:7" ht="12" customHeight="1" outlineLevel="3" x14ac:dyDescent="0.2">
      <c r="A19884" s="14" t="s">
        <v>39137</v>
      </c>
      <c r="B19884" s="15" t="s">
        <v>39138</v>
      </c>
      <c r="C19884" s="16">
        <f>335.53/(1+B2)</f>
        <v>335.53</v>
      </c>
      <c r="D19884" s="17" t="s">
        <v>11</v>
      </c>
      <c r="E19884" s="17"/>
      <c r="F19884" s="18"/>
      <c r="G19884" s="36" t="str">
        <f>IF(ISNUMBER(F19884),C19884*F19884,"")</f>
        <v/>
      </c>
    </row>
    <row r="19885" spans="1:7" ht="12" customHeight="1" outlineLevel="3" x14ac:dyDescent="0.2">
      <c r="A19885" s="14" t="s">
        <v>39139</v>
      </c>
      <c r="B19885" s="15" t="s">
        <v>39140</v>
      </c>
      <c r="C19885" s="16">
        <f>280.36/(1+B2)</f>
        <v>280.36</v>
      </c>
      <c r="D19885" s="17" t="s">
        <v>11</v>
      </c>
      <c r="E19885" s="17"/>
      <c r="F19885" s="18"/>
      <c r="G19885" s="36" t="str">
        <f>IF(ISNUMBER(F19885),C19885*F19885,"")</f>
        <v/>
      </c>
    </row>
    <row r="19886" spans="1:7" ht="12" customHeight="1" outlineLevel="3" x14ac:dyDescent="0.2">
      <c r="A19886" s="14" t="s">
        <v>39141</v>
      </c>
      <c r="B19886" s="15" t="s">
        <v>39142</v>
      </c>
      <c r="C19886" s="16">
        <f>254.48/(1+B2)</f>
        <v>254.48</v>
      </c>
      <c r="D19886" s="17" t="s">
        <v>11</v>
      </c>
      <c r="E19886" s="17" t="s">
        <v>53</v>
      </c>
      <c r="F19886" s="18"/>
      <c r="G19886" s="36" t="str">
        <f>IF(ISNUMBER(F19886),C19886*F19886,"")</f>
        <v/>
      </c>
    </row>
    <row r="19887" spans="1:7" ht="12" customHeight="1" outlineLevel="3" x14ac:dyDescent="0.2">
      <c r="A19887" s="14" t="s">
        <v>39143</v>
      </c>
      <c r="B19887" s="15" t="s">
        <v>39144</v>
      </c>
      <c r="C19887" s="16">
        <f>305.48/(1+B2)</f>
        <v>305.48</v>
      </c>
      <c r="D19887" s="17" t="s">
        <v>11</v>
      </c>
      <c r="E19887" s="17" t="s">
        <v>14</v>
      </c>
      <c r="F19887" s="18"/>
      <c r="G19887" s="36" t="str">
        <f>IF(ISNUMBER(F19887),C19887*F19887,"")</f>
        <v/>
      </c>
    </row>
    <row r="19888" spans="1:7" ht="12" customHeight="1" outlineLevel="3" x14ac:dyDescent="0.2">
      <c r="A19888" s="14" t="s">
        <v>39145</v>
      </c>
      <c r="B19888" s="15" t="s">
        <v>39146</v>
      </c>
      <c r="C19888" s="16">
        <f>338.7/(1+B2)</f>
        <v>338.7</v>
      </c>
      <c r="D19888" s="17" t="s">
        <v>11</v>
      </c>
      <c r="E19888" s="17"/>
      <c r="F19888" s="18"/>
      <c r="G19888" s="36" t="str">
        <f>IF(ISNUMBER(F19888),C19888*F19888,"")</f>
        <v/>
      </c>
    </row>
    <row r="19889" spans="1:7" ht="12" customHeight="1" outlineLevel="3" x14ac:dyDescent="0.2">
      <c r="A19889" s="14" t="s">
        <v>39147</v>
      </c>
      <c r="B19889" s="15" t="s">
        <v>39148</v>
      </c>
      <c r="C19889" s="16">
        <f>178.59/(1+B2)</f>
        <v>178.59</v>
      </c>
      <c r="D19889" s="17"/>
      <c r="E19889" s="17" t="s">
        <v>11</v>
      </c>
      <c r="F19889" s="18"/>
      <c r="G19889" s="36" t="str">
        <f>IF(ISNUMBER(F19889),C19889*F19889,"")</f>
        <v/>
      </c>
    </row>
    <row r="19890" spans="1:7" ht="12" customHeight="1" outlineLevel="3" x14ac:dyDescent="0.2">
      <c r="A19890" s="14" t="s">
        <v>39149</v>
      </c>
      <c r="B19890" s="15" t="s">
        <v>39150</v>
      </c>
      <c r="C19890" s="16">
        <f>198.31/(1+B2)</f>
        <v>198.31</v>
      </c>
      <c r="D19890" s="17" t="s">
        <v>11</v>
      </c>
      <c r="E19890" s="17" t="s">
        <v>11</v>
      </c>
      <c r="F19890" s="18"/>
      <c r="G19890" s="36" t="str">
        <f>IF(ISNUMBER(F19890),C19890*F19890,"")</f>
        <v/>
      </c>
    </row>
    <row r="19891" spans="1:7" ht="12" customHeight="1" outlineLevel="3" x14ac:dyDescent="0.2">
      <c r="A19891" s="14" t="s">
        <v>39151</v>
      </c>
      <c r="B19891" s="15" t="s">
        <v>39152</v>
      </c>
      <c r="C19891" s="16">
        <f>193.56/(1+B2)</f>
        <v>193.56</v>
      </c>
      <c r="D19891" s="17" t="s">
        <v>11</v>
      </c>
      <c r="E19891" s="17" t="s">
        <v>11</v>
      </c>
      <c r="F19891" s="18"/>
      <c r="G19891" s="36" t="str">
        <f>IF(ISNUMBER(F19891),C19891*F19891,"")</f>
        <v/>
      </c>
    </row>
    <row r="19892" spans="1:7" ht="12" customHeight="1" outlineLevel="3" x14ac:dyDescent="0.2">
      <c r="A19892" s="14" t="s">
        <v>39153</v>
      </c>
      <c r="B19892" s="15" t="s">
        <v>39154</v>
      </c>
      <c r="C19892" s="16">
        <f>196.79/(1+B2)</f>
        <v>196.79</v>
      </c>
      <c r="D19892" s="17" t="s">
        <v>11</v>
      </c>
      <c r="E19892" s="17" t="s">
        <v>53</v>
      </c>
      <c r="F19892" s="18"/>
      <c r="G19892" s="36" t="str">
        <f>IF(ISNUMBER(F19892),C19892*F19892,"")</f>
        <v/>
      </c>
    </row>
    <row r="19893" spans="1:7" ht="12" customHeight="1" outlineLevel="3" x14ac:dyDescent="0.2">
      <c r="A19893" s="14" t="s">
        <v>39155</v>
      </c>
      <c r="B19893" s="15" t="s">
        <v>39156</v>
      </c>
      <c r="C19893" s="16">
        <f>217.31/(1+B2)</f>
        <v>217.31</v>
      </c>
      <c r="D19893" s="17" t="s">
        <v>11</v>
      </c>
      <c r="E19893" s="17" t="s">
        <v>11</v>
      </c>
      <c r="F19893" s="18"/>
      <c r="G19893" s="36" t="str">
        <f>IF(ISNUMBER(F19893),C19893*F19893,"")</f>
        <v/>
      </c>
    </row>
    <row r="19894" spans="1:7" ht="12" customHeight="1" outlineLevel="3" x14ac:dyDescent="0.2">
      <c r="A19894" s="14" t="s">
        <v>39157</v>
      </c>
      <c r="B19894" s="15" t="s">
        <v>39158</v>
      </c>
      <c r="C19894" s="16">
        <f>217.31/(1+B2)</f>
        <v>217.31</v>
      </c>
      <c r="D19894" s="17" t="s">
        <v>11</v>
      </c>
      <c r="E19894" s="17" t="s">
        <v>11</v>
      </c>
      <c r="F19894" s="18"/>
      <c r="G19894" s="36" t="str">
        <f>IF(ISNUMBER(F19894),C19894*F19894,"")</f>
        <v/>
      </c>
    </row>
    <row r="19895" spans="1:7" ht="12" customHeight="1" outlineLevel="3" x14ac:dyDescent="0.2">
      <c r="A19895" s="14" t="s">
        <v>39159</v>
      </c>
      <c r="B19895" s="15" t="s">
        <v>39160</v>
      </c>
      <c r="C19895" s="16">
        <f>207.03/(1+B2)</f>
        <v>207.03</v>
      </c>
      <c r="D19895" s="17"/>
      <c r="E19895" s="17" t="s">
        <v>14</v>
      </c>
      <c r="F19895" s="18"/>
      <c r="G19895" s="36" t="str">
        <f>IF(ISNUMBER(F19895),C19895*F19895,"")</f>
        <v/>
      </c>
    </row>
    <row r="19896" spans="1:7" ht="12" customHeight="1" outlineLevel="3" x14ac:dyDescent="0.2">
      <c r="A19896" s="14" t="s">
        <v>39161</v>
      </c>
      <c r="B19896" s="15" t="s">
        <v>39162</v>
      </c>
      <c r="C19896" s="16">
        <f>229.19/(1+B2)</f>
        <v>229.19</v>
      </c>
      <c r="D19896" s="17" t="s">
        <v>11</v>
      </c>
      <c r="E19896" s="17" t="s">
        <v>11</v>
      </c>
      <c r="F19896" s="18"/>
      <c r="G19896" s="36" t="str">
        <f>IF(ISNUMBER(F19896),C19896*F19896,"")</f>
        <v/>
      </c>
    </row>
    <row r="19897" spans="1:7" ht="12" customHeight="1" outlineLevel="3" x14ac:dyDescent="0.2">
      <c r="A19897" s="14" t="s">
        <v>39163</v>
      </c>
      <c r="B19897" s="15" t="s">
        <v>39164</v>
      </c>
      <c r="C19897" s="16">
        <f>229.19/(1+B2)</f>
        <v>229.19</v>
      </c>
      <c r="D19897" s="17" t="s">
        <v>11</v>
      </c>
      <c r="E19897" s="17"/>
      <c r="F19897" s="18"/>
      <c r="G19897" s="36" t="str">
        <f>IF(ISNUMBER(F19897),C19897*F19897,"")</f>
        <v/>
      </c>
    </row>
    <row r="19898" spans="1:7" ht="12" customHeight="1" outlineLevel="3" x14ac:dyDescent="0.2">
      <c r="A19898" s="14" t="s">
        <v>39165</v>
      </c>
      <c r="B19898" s="15" t="s">
        <v>39166</v>
      </c>
      <c r="C19898" s="16">
        <f>208.16/(1+B2)</f>
        <v>208.16</v>
      </c>
      <c r="D19898" s="17" t="s">
        <v>11</v>
      </c>
      <c r="E19898" s="17" t="s">
        <v>53</v>
      </c>
      <c r="F19898" s="18"/>
      <c r="G19898" s="36" t="str">
        <f>IF(ISNUMBER(F19898),C19898*F19898,"")</f>
        <v/>
      </c>
    </row>
    <row r="19899" spans="1:7" ht="12" customHeight="1" outlineLevel="3" x14ac:dyDescent="0.2">
      <c r="A19899" s="14" t="s">
        <v>39167</v>
      </c>
      <c r="B19899" s="15" t="s">
        <v>39168</v>
      </c>
      <c r="C19899" s="16">
        <f>232.75/(1+B2)</f>
        <v>232.75</v>
      </c>
      <c r="D19899" s="17" t="s">
        <v>11</v>
      </c>
      <c r="E19899" s="17" t="s">
        <v>11</v>
      </c>
      <c r="F19899" s="18"/>
      <c r="G19899" s="36" t="str">
        <f>IF(ISNUMBER(F19899),C19899*F19899,"")</f>
        <v/>
      </c>
    </row>
    <row r="19900" spans="1:7" ht="12" customHeight="1" outlineLevel="3" x14ac:dyDescent="0.2">
      <c r="A19900" s="14" t="s">
        <v>39169</v>
      </c>
      <c r="B19900" s="15" t="s">
        <v>39170</v>
      </c>
      <c r="C19900" s="16">
        <f>232.75/(1+B2)</f>
        <v>232.75</v>
      </c>
      <c r="D19900" s="17" t="s">
        <v>11</v>
      </c>
      <c r="E19900" s="17"/>
      <c r="F19900" s="18"/>
      <c r="G19900" s="36" t="str">
        <f>IF(ISNUMBER(F19900),C19900*F19900,"")</f>
        <v/>
      </c>
    </row>
    <row r="19901" spans="1:7" ht="12" customHeight="1" outlineLevel="3" x14ac:dyDescent="0.2">
      <c r="A19901" s="14" t="s">
        <v>39171</v>
      </c>
      <c r="B19901" s="15" t="s">
        <v>39172</v>
      </c>
      <c r="C19901" s="16">
        <f>531.56/(1+B2)</f>
        <v>531.55999999999995</v>
      </c>
      <c r="D19901" s="17" t="s">
        <v>14</v>
      </c>
      <c r="E19901" s="17" t="s">
        <v>106</v>
      </c>
      <c r="F19901" s="18"/>
      <c r="G19901" s="36" t="str">
        <f>IF(ISNUMBER(F19901),C19901*F19901,"")</f>
        <v/>
      </c>
    </row>
    <row r="19902" spans="1:7" ht="12" customHeight="1" outlineLevel="3" x14ac:dyDescent="0.2">
      <c r="A19902" s="14" t="s">
        <v>39173</v>
      </c>
      <c r="B19902" s="15" t="s">
        <v>39174</v>
      </c>
      <c r="C19902" s="16">
        <f>303.33/(1+B2)</f>
        <v>303.33</v>
      </c>
      <c r="D19902" s="17" t="s">
        <v>11</v>
      </c>
      <c r="E19902" s="17"/>
      <c r="F19902" s="18"/>
      <c r="G19902" s="36" t="str">
        <f>IF(ISNUMBER(F19902),C19902*F19902,"")</f>
        <v/>
      </c>
    </row>
    <row r="19903" spans="1:7" ht="12" customHeight="1" outlineLevel="3" x14ac:dyDescent="0.2">
      <c r="A19903" s="14" t="s">
        <v>39175</v>
      </c>
      <c r="B19903" s="15" t="s">
        <v>39176</v>
      </c>
      <c r="C19903" s="16">
        <f>358.97/(1+B2)</f>
        <v>358.97</v>
      </c>
      <c r="D19903" s="17" t="s">
        <v>11</v>
      </c>
      <c r="E19903" s="17"/>
      <c r="F19903" s="18"/>
      <c r="G19903" s="36" t="str">
        <f>IF(ISNUMBER(F19903),C19903*F19903,"")</f>
        <v/>
      </c>
    </row>
    <row r="19904" spans="1:7" ht="12" customHeight="1" outlineLevel="3" x14ac:dyDescent="0.2">
      <c r="A19904" s="14" t="s">
        <v>39177</v>
      </c>
      <c r="B19904" s="15" t="s">
        <v>39178</v>
      </c>
      <c r="C19904" s="16">
        <f>335.07/(1+B2)</f>
        <v>335.07</v>
      </c>
      <c r="D19904" s="17" t="s">
        <v>11</v>
      </c>
      <c r="E19904" s="17"/>
      <c r="F19904" s="18"/>
      <c r="G19904" s="36" t="str">
        <f>IF(ISNUMBER(F19904),C19904*F19904,"")</f>
        <v/>
      </c>
    </row>
    <row r="19905" spans="1:7" ht="12" customHeight="1" outlineLevel="3" x14ac:dyDescent="0.2">
      <c r="A19905" s="14" t="s">
        <v>39179</v>
      </c>
      <c r="B19905" s="15" t="s">
        <v>39180</v>
      </c>
      <c r="C19905" s="16">
        <f>142.48/(1+B2)</f>
        <v>142.47999999999999</v>
      </c>
      <c r="D19905" s="17" t="s">
        <v>11</v>
      </c>
      <c r="E19905" s="17" t="s">
        <v>106</v>
      </c>
      <c r="F19905" s="18"/>
      <c r="G19905" s="36" t="str">
        <f>IF(ISNUMBER(F19905),C19905*F19905,"")</f>
        <v/>
      </c>
    </row>
    <row r="19906" spans="1:7" ht="12" customHeight="1" outlineLevel="3" x14ac:dyDescent="0.2">
      <c r="A19906" s="14" t="s">
        <v>39181</v>
      </c>
      <c r="B19906" s="15" t="s">
        <v>39182</v>
      </c>
      <c r="C19906" s="16">
        <f>145.71/(1+B2)</f>
        <v>145.71</v>
      </c>
      <c r="D19906" s="17" t="s">
        <v>11</v>
      </c>
      <c r="E19906" s="17" t="s">
        <v>14</v>
      </c>
      <c r="F19906" s="18"/>
      <c r="G19906" s="36" t="str">
        <f>IF(ISNUMBER(F19906),C19906*F19906,"")</f>
        <v/>
      </c>
    </row>
    <row r="19907" spans="1:7" ht="12" customHeight="1" outlineLevel="3" x14ac:dyDescent="0.2">
      <c r="A19907" s="14" t="s">
        <v>39183</v>
      </c>
      <c r="B19907" s="15" t="s">
        <v>39184</v>
      </c>
      <c r="C19907" s="16">
        <f>104.5/(1+B2)</f>
        <v>104.5</v>
      </c>
      <c r="D19907" s="17" t="s">
        <v>11</v>
      </c>
      <c r="E19907" s="17"/>
      <c r="F19907" s="18"/>
      <c r="G19907" s="36" t="str">
        <f>IF(ISNUMBER(F19907),C19907*F19907,"")</f>
        <v/>
      </c>
    </row>
    <row r="19908" spans="1:7" ht="12" customHeight="1" outlineLevel="3" x14ac:dyDescent="0.2">
      <c r="A19908" s="14" t="s">
        <v>39185</v>
      </c>
      <c r="B19908" s="15" t="s">
        <v>39186</v>
      </c>
      <c r="C19908" s="16">
        <f>529.44/(1+B2)</f>
        <v>529.44000000000005</v>
      </c>
      <c r="D19908" s="17" t="s">
        <v>53</v>
      </c>
      <c r="E19908" s="17"/>
      <c r="F19908" s="18"/>
      <c r="G19908" s="36" t="str">
        <f>IF(ISNUMBER(F19908),C19908*F19908,"")</f>
        <v/>
      </c>
    </row>
    <row r="19909" spans="1:7" ht="12" customHeight="1" outlineLevel="3" x14ac:dyDescent="0.2">
      <c r="A19909" s="14" t="s">
        <v>39187</v>
      </c>
      <c r="B19909" s="15" t="s">
        <v>39188</v>
      </c>
      <c r="C19909" s="16">
        <f>355.09/(1+B2)</f>
        <v>355.09</v>
      </c>
      <c r="D19909" s="17" t="s">
        <v>11</v>
      </c>
      <c r="E19909" s="17" t="s">
        <v>11</v>
      </c>
      <c r="F19909" s="18"/>
      <c r="G19909" s="36" t="str">
        <f>IF(ISNUMBER(F19909),C19909*F19909,"")</f>
        <v/>
      </c>
    </row>
    <row r="19910" spans="1:7" ht="12" customHeight="1" outlineLevel="3" x14ac:dyDescent="0.2">
      <c r="A19910" s="14" t="s">
        <v>39189</v>
      </c>
      <c r="B19910" s="15" t="s">
        <v>39190</v>
      </c>
      <c r="C19910" s="16">
        <f>111.2/(1+B2)</f>
        <v>111.2</v>
      </c>
      <c r="D19910" s="17" t="s">
        <v>11</v>
      </c>
      <c r="E19910" s="17" t="s">
        <v>14</v>
      </c>
      <c r="F19910" s="18"/>
      <c r="G19910" s="36" t="str">
        <f>IF(ISNUMBER(F19910),C19910*F19910,"")</f>
        <v/>
      </c>
    </row>
    <row r="19911" spans="1:7" ht="12" customHeight="1" outlineLevel="3" x14ac:dyDescent="0.2">
      <c r="A19911" s="14" t="s">
        <v>39191</v>
      </c>
      <c r="B19911" s="15" t="s">
        <v>39192</v>
      </c>
      <c r="C19911" s="16">
        <f>106.54/(1+B2)</f>
        <v>106.54</v>
      </c>
      <c r="D19911" s="17" t="s">
        <v>11</v>
      </c>
      <c r="E19911" s="17" t="s">
        <v>14</v>
      </c>
      <c r="F19911" s="18"/>
      <c r="G19911" s="36" t="str">
        <f>IF(ISNUMBER(F19911),C19911*F19911,"")</f>
        <v/>
      </c>
    </row>
    <row r="19912" spans="1:7" ht="12" customHeight="1" outlineLevel="3" x14ac:dyDescent="0.2">
      <c r="A19912" s="14" t="s">
        <v>39193</v>
      </c>
      <c r="B19912" s="15" t="s">
        <v>39194</v>
      </c>
      <c r="C19912" s="16">
        <f>105.6/(1+B2)</f>
        <v>105.6</v>
      </c>
      <c r="D19912" s="17" t="s">
        <v>11</v>
      </c>
      <c r="E19912" s="17"/>
      <c r="F19912" s="18"/>
      <c r="G19912" s="36" t="str">
        <f>IF(ISNUMBER(F19912),C19912*F19912,"")</f>
        <v/>
      </c>
    </row>
    <row r="19913" spans="1:7" ht="24" customHeight="1" outlineLevel="3" x14ac:dyDescent="0.2">
      <c r="A19913" s="14" t="s">
        <v>39195</v>
      </c>
      <c r="B19913" s="15" t="s">
        <v>39196</v>
      </c>
      <c r="C19913" s="16">
        <f>85.72/(1+B2)</f>
        <v>85.72</v>
      </c>
      <c r="D19913" s="17" t="s">
        <v>11</v>
      </c>
      <c r="E19913" s="17" t="s">
        <v>106</v>
      </c>
      <c r="F19913" s="18"/>
      <c r="G19913" s="36" t="str">
        <f>IF(ISNUMBER(F19913),C19913*F19913,"")</f>
        <v/>
      </c>
    </row>
    <row r="19914" spans="1:7" ht="12" customHeight="1" outlineLevel="3" x14ac:dyDescent="0.2">
      <c r="A19914" s="14" t="s">
        <v>39197</v>
      </c>
      <c r="B19914" s="15" t="s">
        <v>39198</v>
      </c>
      <c r="C19914" s="16">
        <f>187.04/(1+B2)</f>
        <v>187.04</v>
      </c>
      <c r="D19914" s="17" t="s">
        <v>11</v>
      </c>
      <c r="E19914" s="17" t="s">
        <v>11</v>
      </c>
      <c r="F19914" s="18"/>
      <c r="G19914" s="36" t="str">
        <f>IF(ISNUMBER(F19914),C19914*F19914,"")</f>
        <v/>
      </c>
    </row>
    <row r="19915" spans="1:7" ht="24" customHeight="1" outlineLevel="3" x14ac:dyDescent="0.2">
      <c r="A19915" s="14" t="s">
        <v>39199</v>
      </c>
      <c r="B19915" s="15" t="s">
        <v>39200</v>
      </c>
      <c r="C19915" s="16">
        <f>446.02/(1+B2)</f>
        <v>446.02</v>
      </c>
      <c r="D19915" s="17" t="s">
        <v>11</v>
      </c>
      <c r="E19915" s="17" t="s">
        <v>11</v>
      </c>
      <c r="F19915" s="18"/>
      <c r="G19915" s="36" t="str">
        <f>IF(ISNUMBER(F19915),C19915*F19915,"")</f>
        <v/>
      </c>
    </row>
    <row r="19916" spans="1:7" ht="12" customHeight="1" outlineLevel="3" x14ac:dyDescent="0.2">
      <c r="A19916" s="14" t="s">
        <v>39201</v>
      </c>
      <c r="B19916" s="15" t="s">
        <v>39202</v>
      </c>
      <c r="C19916" s="16">
        <f>250.08/(1+B2)</f>
        <v>250.08</v>
      </c>
      <c r="D19916" s="17" t="s">
        <v>11</v>
      </c>
      <c r="E19916" s="17" t="s">
        <v>11</v>
      </c>
      <c r="F19916" s="18"/>
      <c r="G19916" s="36" t="str">
        <f>IF(ISNUMBER(F19916),C19916*F19916,"")</f>
        <v/>
      </c>
    </row>
    <row r="19917" spans="1:7" ht="12" customHeight="1" outlineLevel="3" x14ac:dyDescent="0.2">
      <c r="A19917" s="14" t="s">
        <v>39203</v>
      </c>
      <c r="B19917" s="15" t="s">
        <v>39204</v>
      </c>
      <c r="C19917" s="16">
        <f>234.1/(1+B2)</f>
        <v>234.1</v>
      </c>
      <c r="D19917" s="17" t="s">
        <v>11</v>
      </c>
      <c r="E19917" s="17" t="s">
        <v>11</v>
      </c>
      <c r="F19917" s="18"/>
      <c r="G19917" s="36" t="str">
        <f>IF(ISNUMBER(F19917),C19917*F19917,"")</f>
        <v/>
      </c>
    </row>
    <row r="19918" spans="1:7" ht="24" customHeight="1" outlineLevel="3" x14ac:dyDescent="0.2">
      <c r="A19918" s="14" t="s">
        <v>39205</v>
      </c>
      <c r="B19918" s="15" t="s">
        <v>39206</v>
      </c>
      <c r="C19918" s="16">
        <f>497.55/(1+B2)</f>
        <v>497.55</v>
      </c>
      <c r="D19918" s="17" t="s">
        <v>11</v>
      </c>
      <c r="E19918" s="17"/>
      <c r="F19918" s="18"/>
      <c r="G19918" s="36" t="str">
        <f>IF(ISNUMBER(F19918),C19918*F19918,"")</f>
        <v/>
      </c>
    </row>
    <row r="19919" spans="1:7" ht="24" customHeight="1" outlineLevel="3" x14ac:dyDescent="0.2">
      <c r="A19919" s="14" t="s">
        <v>39207</v>
      </c>
      <c r="B19919" s="15" t="s">
        <v>39208</v>
      </c>
      <c r="C19919" s="16">
        <f>516.5/(1+B2)</f>
        <v>516.5</v>
      </c>
      <c r="D19919" s="17" t="s">
        <v>11</v>
      </c>
      <c r="E19919" s="17"/>
      <c r="F19919" s="18"/>
      <c r="G19919" s="36" t="str">
        <f>IF(ISNUMBER(F19919),C19919*F19919,"")</f>
        <v/>
      </c>
    </row>
    <row r="19920" spans="1:7" ht="12" customHeight="1" outlineLevel="3" x14ac:dyDescent="0.2">
      <c r="A19920" s="14" t="s">
        <v>39209</v>
      </c>
      <c r="B19920" s="15" t="s">
        <v>39210</v>
      </c>
      <c r="C19920" s="16">
        <f>273.61/(1+B2)</f>
        <v>273.61</v>
      </c>
      <c r="D19920" s="17" t="s">
        <v>11</v>
      </c>
      <c r="E19920" s="17" t="s">
        <v>11</v>
      </c>
      <c r="F19920" s="18"/>
      <c r="G19920" s="36" t="str">
        <f>IF(ISNUMBER(F19920),C19920*F19920,"")</f>
        <v/>
      </c>
    </row>
    <row r="19921" spans="1:7" ht="12" customHeight="1" outlineLevel="3" x14ac:dyDescent="0.2">
      <c r="A19921" s="14" t="s">
        <v>39211</v>
      </c>
      <c r="B19921" s="15" t="s">
        <v>39212</v>
      </c>
      <c r="C19921" s="16">
        <f>256.93/(1+B2)</f>
        <v>256.93</v>
      </c>
      <c r="D19921" s="17" t="s">
        <v>11</v>
      </c>
      <c r="E19921" s="17" t="s">
        <v>11</v>
      </c>
      <c r="F19921" s="18"/>
      <c r="G19921" s="36" t="str">
        <f>IF(ISNUMBER(F19921),C19921*F19921,"")</f>
        <v/>
      </c>
    </row>
    <row r="19922" spans="1:7" s="1" customFormat="1" ht="12.95" customHeight="1" outlineLevel="2" x14ac:dyDescent="0.2">
      <c r="A19922" s="20"/>
      <c r="B19922" s="21" t="s">
        <v>39213</v>
      </c>
      <c r="C19922" s="22"/>
      <c r="D19922" s="22"/>
      <c r="E19922" s="22"/>
      <c r="F19922" s="22"/>
      <c r="G19922" s="37"/>
    </row>
    <row r="19923" spans="1:7" ht="12" customHeight="1" outlineLevel="3" x14ac:dyDescent="0.2">
      <c r="A19923" s="14" t="s">
        <v>39214</v>
      </c>
      <c r="B19923" s="15" t="s">
        <v>39215</v>
      </c>
      <c r="C19923" s="16">
        <f>310.71/(1+B2)</f>
        <v>310.70999999999998</v>
      </c>
      <c r="D19923" s="17" t="s">
        <v>11</v>
      </c>
      <c r="E19923" s="17"/>
      <c r="F19923" s="18"/>
      <c r="G19923" s="36" t="str">
        <f>IF(ISNUMBER(F19923),C19923*F19923,"")</f>
        <v/>
      </c>
    </row>
    <row r="19924" spans="1:7" ht="12" customHeight="1" outlineLevel="3" x14ac:dyDescent="0.2">
      <c r="A19924" s="14" t="s">
        <v>39216</v>
      </c>
      <c r="B19924" s="15" t="s">
        <v>39217</v>
      </c>
      <c r="C19924" s="16">
        <f>333.14/(1+B2)</f>
        <v>333.14</v>
      </c>
      <c r="D19924" s="17" t="s">
        <v>11</v>
      </c>
      <c r="E19924" s="17"/>
      <c r="F19924" s="18"/>
      <c r="G19924" s="36" t="str">
        <f>IF(ISNUMBER(F19924),C19924*F19924,"")</f>
        <v/>
      </c>
    </row>
    <row r="19925" spans="1:7" ht="12" customHeight="1" outlineLevel="3" x14ac:dyDescent="0.2">
      <c r="A19925" s="14" t="s">
        <v>39218</v>
      </c>
      <c r="B19925" s="15" t="s">
        <v>39219</v>
      </c>
      <c r="C19925" s="16">
        <f>365.18/(1+B2)</f>
        <v>365.18</v>
      </c>
      <c r="D19925" s="17" t="s">
        <v>11</v>
      </c>
      <c r="E19925" s="17" t="s">
        <v>11</v>
      </c>
      <c r="F19925" s="18"/>
      <c r="G19925" s="36" t="str">
        <f>IF(ISNUMBER(F19925),C19925*F19925,"")</f>
        <v/>
      </c>
    </row>
    <row r="19926" spans="1:7" ht="12" customHeight="1" outlineLevel="3" x14ac:dyDescent="0.2">
      <c r="A19926" s="14" t="s">
        <v>39220</v>
      </c>
      <c r="B19926" s="15" t="s">
        <v>39221</v>
      </c>
      <c r="C19926" s="16">
        <f>448.45/(1+B2)</f>
        <v>448.45</v>
      </c>
      <c r="D19926" s="17" t="s">
        <v>11</v>
      </c>
      <c r="E19926" s="17"/>
      <c r="F19926" s="18"/>
      <c r="G19926" s="36" t="str">
        <f>IF(ISNUMBER(F19926),C19926*F19926,"")</f>
        <v/>
      </c>
    </row>
    <row r="19927" spans="1:7" ht="12" customHeight="1" outlineLevel="3" x14ac:dyDescent="0.2">
      <c r="A19927" s="14" t="s">
        <v>39222</v>
      </c>
      <c r="B19927" s="15" t="s">
        <v>39223</v>
      </c>
      <c r="C19927" s="16">
        <f>239.1/(1+B2)</f>
        <v>239.1</v>
      </c>
      <c r="D19927" s="17" t="s">
        <v>11</v>
      </c>
      <c r="E19927" s="17" t="s">
        <v>53</v>
      </c>
      <c r="F19927" s="18"/>
      <c r="G19927" s="36" t="str">
        <f>IF(ISNUMBER(F19927),C19927*F19927,"")</f>
        <v/>
      </c>
    </row>
    <row r="19928" spans="1:7" ht="12" customHeight="1" outlineLevel="3" x14ac:dyDescent="0.2">
      <c r="A19928" s="14" t="s">
        <v>39224</v>
      </c>
      <c r="B19928" s="15" t="s">
        <v>39225</v>
      </c>
      <c r="C19928" s="16">
        <f>121.53/(1+B2)</f>
        <v>121.53</v>
      </c>
      <c r="D19928" s="17" t="s">
        <v>11</v>
      </c>
      <c r="E19928" s="17" t="s">
        <v>53</v>
      </c>
      <c r="F19928" s="18"/>
      <c r="G19928" s="36" t="str">
        <f>IF(ISNUMBER(F19928),C19928*F19928,"")</f>
        <v/>
      </c>
    </row>
    <row r="19929" spans="1:7" ht="12" customHeight="1" outlineLevel="3" x14ac:dyDescent="0.2">
      <c r="A19929" s="14" t="s">
        <v>39226</v>
      </c>
      <c r="B19929" s="15" t="s">
        <v>39227</v>
      </c>
      <c r="C19929" s="16">
        <f>119.33/(1+B2)</f>
        <v>119.33</v>
      </c>
      <c r="D19929" s="17" t="s">
        <v>11</v>
      </c>
      <c r="E19929" s="17" t="s">
        <v>11</v>
      </c>
      <c r="F19929" s="18"/>
      <c r="G19929" s="36" t="str">
        <f>IF(ISNUMBER(F19929),C19929*F19929,"")</f>
        <v/>
      </c>
    </row>
    <row r="19930" spans="1:7" ht="12" customHeight="1" outlineLevel="3" x14ac:dyDescent="0.2">
      <c r="A19930" s="14" t="s">
        <v>39228</v>
      </c>
      <c r="B19930" s="15" t="s">
        <v>39229</v>
      </c>
      <c r="C19930" s="16">
        <f>131.83/(1+B2)</f>
        <v>131.83000000000001</v>
      </c>
      <c r="D19930" s="17" t="s">
        <v>11</v>
      </c>
      <c r="E19930" s="17" t="s">
        <v>11</v>
      </c>
      <c r="F19930" s="18"/>
      <c r="G19930" s="36" t="str">
        <f>IF(ISNUMBER(F19930),C19930*F19930,"")</f>
        <v/>
      </c>
    </row>
    <row r="19931" spans="1:7" ht="12" customHeight="1" outlineLevel="3" x14ac:dyDescent="0.2">
      <c r="A19931" s="14" t="s">
        <v>39230</v>
      </c>
      <c r="B19931" s="15" t="s">
        <v>39231</v>
      </c>
      <c r="C19931" s="16">
        <f>143.75/(1+B2)</f>
        <v>143.75</v>
      </c>
      <c r="D19931" s="17" t="s">
        <v>11</v>
      </c>
      <c r="E19931" s="17" t="s">
        <v>11</v>
      </c>
      <c r="F19931" s="18"/>
      <c r="G19931" s="36" t="str">
        <f>IF(ISNUMBER(F19931),C19931*F19931,"")</f>
        <v/>
      </c>
    </row>
    <row r="19932" spans="1:7" ht="12" customHeight="1" outlineLevel="3" x14ac:dyDescent="0.2">
      <c r="A19932" s="14" t="s">
        <v>39232</v>
      </c>
      <c r="B19932" s="15" t="s">
        <v>39233</v>
      </c>
      <c r="C19932" s="16">
        <f>187.03/(1+B2)</f>
        <v>187.03</v>
      </c>
      <c r="D19932" s="17" t="s">
        <v>11</v>
      </c>
      <c r="E19932" s="17" t="s">
        <v>53</v>
      </c>
      <c r="F19932" s="18"/>
      <c r="G19932" s="36" t="str">
        <f>IF(ISNUMBER(F19932),C19932*F19932,"")</f>
        <v/>
      </c>
    </row>
    <row r="19933" spans="1:7" ht="12" customHeight="1" outlineLevel="3" x14ac:dyDescent="0.2">
      <c r="A19933" s="14" t="s">
        <v>39234</v>
      </c>
      <c r="B19933" s="15" t="s">
        <v>39235</v>
      </c>
      <c r="C19933" s="16">
        <f>221.53/(1+B2)</f>
        <v>221.53</v>
      </c>
      <c r="D19933" s="17" t="s">
        <v>11</v>
      </c>
      <c r="E19933" s="17" t="s">
        <v>53</v>
      </c>
      <c r="F19933" s="18"/>
      <c r="G19933" s="36" t="str">
        <f>IF(ISNUMBER(F19933),C19933*F19933,"")</f>
        <v/>
      </c>
    </row>
    <row r="19934" spans="1:7" ht="12" customHeight="1" outlineLevel="3" x14ac:dyDescent="0.2">
      <c r="A19934" s="14" t="s">
        <v>39236</v>
      </c>
      <c r="B19934" s="15" t="s">
        <v>39237</v>
      </c>
      <c r="C19934" s="16">
        <f>276.41/(1+B2)</f>
        <v>276.41000000000003</v>
      </c>
      <c r="D19934" s="17" t="s">
        <v>11</v>
      </c>
      <c r="E19934" s="17" t="s">
        <v>11</v>
      </c>
      <c r="F19934" s="18"/>
      <c r="G19934" s="36" t="str">
        <f>IF(ISNUMBER(F19934),C19934*F19934,"")</f>
        <v/>
      </c>
    </row>
    <row r="19935" spans="1:7" ht="12" customHeight="1" outlineLevel="3" x14ac:dyDescent="0.2">
      <c r="A19935" s="14" t="s">
        <v>39238</v>
      </c>
      <c r="B19935" s="15" t="s">
        <v>39239</v>
      </c>
      <c r="C19935" s="16">
        <f>237.52/(1+B2)</f>
        <v>237.52</v>
      </c>
      <c r="D19935" s="17" t="s">
        <v>11</v>
      </c>
      <c r="E19935" s="17" t="s">
        <v>14</v>
      </c>
      <c r="F19935" s="18"/>
      <c r="G19935" s="36" t="str">
        <f>IF(ISNUMBER(F19935),C19935*F19935,"")</f>
        <v/>
      </c>
    </row>
    <row r="19936" spans="1:7" ht="12" customHeight="1" outlineLevel="3" x14ac:dyDescent="0.2">
      <c r="A19936" s="14" t="s">
        <v>39240</v>
      </c>
      <c r="B19936" s="15" t="s">
        <v>39241</v>
      </c>
      <c r="C19936" s="16">
        <f>369.3/(1+B2)</f>
        <v>369.3</v>
      </c>
      <c r="D19936" s="17" t="s">
        <v>11</v>
      </c>
      <c r="E19936" s="17"/>
      <c r="F19936" s="18"/>
      <c r="G19936" s="36" t="str">
        <f>IF(ISNUMBER(F19936),C19936*F19936,"")</f>
        <v/>
      </c>
    </row>
    <row r="19937" spans="1:7" ht="12" customHeight="1" outlineLevel="3" x14ac:dyDescent="0.2">
      <c r="A19937" s="14" t="s">
        <v>39242</v>
      </c>
      <c r="B19937" s="15" t="s">
        <v>39243</v>
      </c>
      <c r="C19937" s="16">
        <f>225.41/(1+B2)</f>
        <v>225.41</v>
      </c>
      <c r="D19937" s="17" t="s">
        <v>14</v>
      </c>
      <c r="E19937" s="17" t="s">
        <v>11</v>
      </c>
      <c r="F19937" s="18"/>
      <c r="G19937" s="36" t="str">
        <f>IF(ISNUMBER(F19937),C19937*F19937,"")</f>
        <v/>
      </c>
    </row>
    <row r="19938" spans="1:7" ht="12" customHeight="1" outlineLevel="3" x14ac:dyDescent="0.2">
      <c r="A19938" s="14" t="s">
        <v>39244</v>
      </c>
      <c r="B19938" s="15" t="s">
        <v>39245</v>
      </c>
      <c r="C19938" s="16">
        <f>279.31/(1+B2)</f>
        <v>279.31</v>
      </c>
      <c r="D19938" s="17" t="s">
        <v>11</v>
      </c>
      <c r="E19938" s="17" t="s">
        <v>11</v>
      </c>
      <c r="F19938" s="18"/>
      <c r="G19938" s="36" t="str">
        <f>IF(ISNUMBER(F19938),C19938*F19938,"")</f>
        <v/>
      </c>
    </row>
    <row r="19939" spans="1:7" ht="12" customHeight="1" outlineLevel="3" x14ac:dyDescent="0.2">
      <c r="A19939" s="14" t="s">
        <v>39246</v>
      </c>
      <c r="B19939" s="15" t="s">
        <v>39247</v>
      </c>
      <c r="C19939" s="16">
        <f>249.26/(1+B2)</f>
        <v>249.26</v>
      </c>
      <c r="D19939" s="17" t="s">
        <v>11</v>
      </c>
      <c r="E19939" s="17" t="s">
        <v>14</v>
      </c>
      <c r="F19939" s="18"/>
      <c r="G19939" s="36" t="str">
        <f>IF(ISNUMBER(F19939),C19939*F19939,"")</f>
        <v/>
      </c>
    </row>
    <row r="19940" spans="1:7" ht="12" customHeight="1" outlineLevel="3" x14ac:dyDescent="0.2">
      <c r="A19940" s="14" t="s">
        <v>39248</v>
      </c>
      <c r="B19940" s="15" t="s">
        <v>39249</v>
      </c>
      <c r="C19940" s="16">
        <f>198.01/(1+B2)</f>
        <v>198.01</v>
      </c>
      <c r="D19940" s="17" t="s">
        <v>11</v>
      </c>
      <c r="E19940" s="17" t="s">
        <v>11</v>
      </c>
      <c r="F19940" s="18"/>
      <c r="G19940" s="36" t="str">
        <f>IF(ISNUMBER(F19940),C19940*F19940,"")</f>
        <v/>
      </c>
    </row>
    <row r="19941" spans="1:7" ht="12" customHeight="1" outlineLevel="3" x14ac:dyDescent="0.2">
      <c r="A19941" s="14" t="s">
        <v>39250</v>
      </c>
      <c r="B19941" s="15" t="s">
        <v>39251</v>
      </c>
      <c r="C19941" s="16">
        <f>395.89/(1+B2)</f>
        <v>395.89</v>
      </c>
      <c r="D19941" s="17" t="s">
        <v>11</v>
      </c>
      <c r="E19941" s="17" t="s">
        <v>11</v>
      </c>
      <c r="F19941" s="18"/>
      <c r="G19941" s="36" t="str">
        <f>IF(ISNUMBER(F19941),C19941*F19941,"")</f>
        <v/>
      </c>
    </row>
    <row r="19942" spans="1:7" ht="12" customHeight="1" outlineLevel="3" x14ac:dyDescent="0.2">
      <c r="A19942" s="14" t="s">
        <v>39252</v>
      </c>
      <c r="B19942" s="15" t="s">
        <v>39253</v>
      </c>
      <c r="C19942" s="16">
        <f>313.81/(1+B2)</f>
        <v>313.81</v>
      </c>
      <c r="D19942" s="17" t="s">
        <v>11</v>
      </c>
      <c r="E19942" s="17"/>
      <c r="F19942" s="18"/>
      <c r="G19942" s="36" t="str">
        <f>IF(ISNUMBER(F19942),C19942*F19942,"")</f>
        <v/>
      </c>
    </row>
    <row r="19943" spans="1:7" ht="12" customHeight="1" outlineLevel="3" x14ac:dyDescent="0.2">
      <c r="A19943" s="14" t="s">
        <v>39254</v>
      </c>
      <c r="B19943" s="15" t="s">
        <v>39255</v>
      </c>
      <c r="C19943" s="16">
        <f>422.83/(1+B2)</f>
        <v>422.83</v>
      </c>
      <c r="D19943" s="17" t="s">
        <v>11</v>
      </c>
      <c r="E19943" s="17" t="s">
        <v>53</v>
      </c>
      <c r="F19943" s="18"/>
      <c r="G19943" s="36" t="str">
        <f>IF(ISNUMBER(F19943),C19943*F19943,"")</f>
        <v/>
      </c>
    </row>
    <row r="19944" spans="1:7" ht="12" customHeight="1" outlineLevel="3" x14ac:dyDescent="0.2">
      <c r="A19944" s="14" t="s">
        <v>39256</v>
      </c>
      <c r="B19944" s="15" t="s">
        <v>39257</v>
      </c>
      <c r="C19944" s="16">
        <f>448.45/(1+B2)</f>
        <v>448.45</v>
      </c>
      <c r="D19944" s="17" t="s">
        <v>14</v>
      </c>
      <c r="E19944" s="17" t="s">
        <v>11</v>
      </c>
      <c r="F19944" s="18"/>
      <c r="G19944" s="36" t="str">
        <f>IF(ISNUMBER(F19944),C19944*F19944,"")</f>
        <v/>
      </c>
    </row>
    <row r="19945" spans="1:7" ht="12" customHeight="1" outlineLevel="3" x14ac:dyDescent="0.2">
      <c r="A19945" s="14" t="s">
        <v>39258</v>
      </c>
      <c r="B19945" s="15" t="s">
        <v>39259</v>
      </c>
      <c r="C19945" s="16">
        <f>298.76/(1+B2)</f>
        <v>298.76</v>
      </c>
      <c r="D19945" s="17" t="s">
        <v>11</v>
      </c>
      <c r="E19945" s="17" t="s">
        <v>11</v>
      </c>
      <c r="F19945" s="18"/>
      <c r="G19945" s="36" t="str">
        <f>IF(ISNUMBER(F19945),C19945*F19945,"")</f>
        <v/>
      </c>
    </row>
    <row r="19946" spans="1:7" ht="12" customHeight="1" outlineLevel="3" x14ac:dyDescent="0.2">
      <c r="A19946" s="14" t="s">
        <v>39260</v>
      </c>
      <c r="B19946" s="15" t="s">
        <v>39261</v>
      </c>
      <c r="C19946" s="16">
        <f>422.83/(1+B2)</f>
        <v>422.83</v>
      </c>
      <c r="D19946" s="17" t="s">
        <v>11</v>
      </c>
      <c r="E19946" s="17" t="s">
        <v>14</v>
      </c>
      <c r="F19946" s="18"/>
      <c r="G19946" s="36" t="str">
        <f>IF(ISNUMBER(F19946),C19946*F19946,"")</f>
        <v/>
      </c>
    </row>
    <row r="19947" spans="1:7" ht="12" customHeight="1" outlineLevel="3" x14ac:dyDescent="0.2">
      <c r="A19947" s="14" t="s">
        <v>39262</v>
      </c>
      <c r="B19947" s="15" t="s">
        <v>39263</v>
      </c>
      <c r="C19947" s="16">
        <f>651.3/(1+B2)</f>
        <v>651.29999999999995</v>
      </c>
      <c r="D19947" s="17" t="s">
        <v>11</v>
      </c>
      <c r="E19947" s="17"/>
      <c r="F19947" s="18"/>
      <c r="G19947" s="36" t="str">
        <f>IF(ISNUMBER(F19947),C19947*F19947,"")</f>
        <v/>
      </c>
    </row>
    <row r="19948" spans="1:7" ht="12" customHeight="1" outlineLevel="3" x14ac:dyDescent="0.2">
      <c r="A19948" s="14" t="s">
        <v>39264</v>
      </c>
      <c r="B19948" s="15" t="s">
        <v>39265</v>
      </c>
      <c r="C19948" s="16">
        <f>651.3/(1+B2)</f>
        <v>651.29999999999995</v>
      </c>
      <c r="D19948" s="17" t="s">
        <v>11</v>
      </c>
      <c r="E19948" s="17"/>
      <c r="F19948" s="18"/>
      <c r="G19948" s="36" t="str">
        <f>IF(ISNUMBER(F19948),C19948*F19948,"")</f>
        <v/>
      </c>
    </row>
    <row r="19949" spans="1:7" ht="12" customHeight="1" outlineLevel="3" x14ac:dyDescent="0.2">
      <c r="A19949" s="14" t="s">
        <v>39266</v>
      </c>
      <c r="B19949" s="15" t="s">
        <v>39267</v>
      </c>
      <c r="C19949" s="16">
        <f>651.3/(1+B2)</f>
        <v>651.29999999999995</v>
      </c>
      <c r="D19949" s="17" t="s">
        <v>11</v>
      </c>
      <c r="E19949" s="17"/>
      <c r="F19949" s="18"/>
      <c r="G19949" s="36" t="str">
        <f>IF(ISNUMBER(F19949),C19949*F19949,"")</f>
        <v/>
      </c>
    </row>
    <row r="19950" spans="1:7" ht="12" customHeight="1" outlineLevel="3" x14ac:dyDescent="0.2">
      <c r="A19950" s="14" t="s">
        <v>39268</v>
      </c>
      <c r="B19950" s="15" t="s">
        <v>39269</v>
      </c>
      <c r="C19950" s="16">
        <f>117.61/(1+B2)</f>
        <v>117.61</v>
      </c>
      <c r="D19950" s="17" t="s">
        <v>11</v>
      </c>
      <c r="E19950" s="17" t="s">
        <v>11</v>
      </c>
      <c r="F19950" s="18"/>
      <c r="G19950" s="36" t="str">
        <f>IF(ISNUMBER(F19950),C19950*F19950,"")</f>
        <v/>
      </c>
    </row>
    <row r="19951" spans="1:7" ht="12" customHeight="1" outlineLevel="3" x14ac:dyDescent="0.2">
      <c r="A19951" s="14" t="s">
        <v>39270</v>
      </c>
      <c r="B19951" s="15" t="s">
        <v>39271</v>
      </c>
      <c r="C19951" s="16">
        <f>228/(1+B2)</f>
        <v>228</v>
      </c>
      <c r="D19951" s="17" t="s">
        <v>11</v>
      </c>
      <c r="E19951" s="17"/>
      <c r="F19951" s="18"/>
      <c r="G19951" s="36" t="str">
        <f>IF(ISNUMBER(F19951),C19951*F19951,"")</f>
        <v/>
      </c>
    </row>
    <row r="19952" spans="1:7" ht="12" customHeight="1" outlineLevel="3" x14ac:dyDescent="0.2">
      <c r="A19952" s="14" t="s">
        <v>39272</v>
      </c>
      <c r="B19952" s="15" t="s">
        <v>39273</v>
      </c>
      <c r="C19952" s="16">
        <f>254.01/(1+B2)</f>
        <v>254.01</v>
      </c>
      <c r="D19952" s="17" t="s">
        <v>11</v>
      </c>
      <c r="E19952" s="17"/>
      <c r="F19952" s="18"/>
      <c r="G19952" s="36" t="str">
        <f>IF(ISNUMBER(F19952),C19952*F19952,"")</f>
        <v/>
      </c>
    </row>
    <row r="19953" spans="1:7" ht="12" customHeight="1" outlineLevel="3" x14ac:dyDescent="0.2">
      <c r="A19953" s="14" t="s">
        <v>39274</v>
      </c>
      <c r="B19953" s="15" t="s">
        <v>39275</v>
      </c>
      <c r="C19953" s="16">
        <f>75/(1+B2)</f>
        <v>75</v>
      </c>
      <c r="D19953" s="17" t="s">
        <v>14</v>
      </c>
      <c r="E19953" s="17" t="s">
        <v>11</v>
      </c>
      <c r="F19953" s="18"/>
      <c r="G19953" s="36" t="str">
        <f>IF(ISNUMBER(F19953),C19953*F19953,"")</f>
        <v/>
      </c>
    </row>
    <row r="19954" spans="1:7" ht="12" customHeight="1" outlineLevel="3" x14ac:dyDescent="0.2">
      <c r="A19954" s="14" t="s">
        <v>39276</v>
      </c>
      <c r="B19954" s="15" t="s">
        <v>39277</v>
      </c>
      <c r="C19954" s="16">
        <f>222.67/(1+B2)</f>
        <v>222.67</v>
      </c>
      <c r="D19954" s="17" t="s">
        <v>11</v>
      </c>
      <c r="E19954" s="17" t="s">
        <v>14</v>
      </c>
      <c r="F19954" s="18"/>
      <c r="G19954" s="36" t="str">
        <f>IF(ISNUMBER(F19954),C19954*F19954,"")</f>
        <v/>
      </c>
    </row>
    <row r="19955" spans="1:7" ht="12" customHeight="1" outlineLevel="3" x14ac:dyDescent="0.2">
      <c r="A19955" s="14" t="s">
        <v>39278</v>
      </c>
      <c r="B19955" s="15" t="s">
        <v>39279</v>
      </c>
      <c r="C19955" s="16">
        <f>398.83/(1+B2)</f>
        <v>398.83</v>
      </c>
      <c r="D19955" s="17" t="s">
        <v>11</v>
      </c>
      <c r="E19955" s="17"/>
      <c r="F19955" s="18"/>
      <c r="G19955" s="36" t="str">
        <f>IF(ISNUMBER(F19955),C19955*F19955,"")</f>
        <v/>
      </c>
    </row>
    <row r="19956" spans="1:7" ht="12" customHeight="1" outlineLevel="3" x14ac:dyDescent="0.2">
      <c r="A19956" s="14" t="s">
        <v>39280</v>
      </c>
      <c r="B19956" s="15" t="s">
        <v>39281</v>
      </c>
      <c r="C19956" s="16">
        <f>156.44/(1+B2)</f>
        <v>156.44</v>
      </c>
      <c r="D19956" s="17" t="s">
        <v>11</v>
      </c>
      <c r="E19956" s="17" t="s">
        <v>11</v>
      </c>
      <c r="F19956" s="18"/>
      <c r="G19956" s="36" t="str">
        <f>IF(ISNUMBER(F19956),C19956*F19956,"")</f>
        <v/>
      </c>
    </row>
    <row r="19957" spans="1:7" ht="12" customHeight="1" outlineLevel="3" x14ac:dyDescent="0.2">
      <c r="A19957" s="14" t="s">
        <v>39282</v>
      </c>
      <c r="B19957" s="15" t="s">
        <v>39283</v>
      </c>
      <c r="C19957" s="16">
        <f>318.7/(1+B2)</f>
        <v>318.7</v>
      </c>
      <c r="D19957" s="17" t="s">
        <v>11</v>
      </c>
      <c r="E19957" s="17"/>
      <c r="F19957" s="18"/>
      <c r="G19957" s="36" t="str">
        <f>IF(ISNUMBER(F19957),C19957*F19957,"")</f>
        <v/>
      </c>
    </row>
    <row r="19958" spans="1:7" ht="12" customHeight="1" outlineLevel="3" x14ac:dyDescent="0.2">
      <c r="A19958" s="14" t="s">
        <v>39284</v>
      </c>
      <c r="B19958" s="15" t="s">
        <v>39285</v>
      </c>
      <c r="C19958" s="16">
        <f>95.38/(1+B2)</f>
        <v>95.38</v>
      </c>
      <c r="D19958" s="17" t="s">
        <v>11</v>
      </c>
      <c r="E19958" s="17" t="s">
        <v>53</v>
      </c>
      <c r="F19958" s="18"/>
      <c r="G19958" s="36" t="str">
        <f>IF(ISNUMBER(F19958),C19958*F19958,"")</f>
        <v/>
      </c>
    </row>
    <row r="19959" spans="1:7" ht="12" customHeight="1" outlineLevel="3" x14ac:dyDescent="0.2">
      <c r="A19959" s="14" t="s">
        <v>39286</v>
      </c>
      <c r="B19959" s="15" t="s">
        <v>39287</v>
      </c>
      <c r="C19959" s="16">
        <f>405.58/(1+B2)</f>
        <v>405.58</v>
      </c>
      <c r="D19959" s="17" t="s">
        <v>11</v>
      </c>
      <c r="E19959" s="17"/>
      <c r="F19959" s="18"/>
      <c r="G19959" s="36" t="str">
        <f>IF(ISNUMBER(F19959),C19959*F19959,"")</f>
        <v/>
      </c>
    </row>
    <row r="19960" spans="1:7" ht="12" customHeight="1" outlineLevel="3" x14ac:dyDescent="0.2">
      <c r="A19960" s="14" t="s">
        <v>39288</v>
      </c>
      <c r="B19960" s="15" t="s">
        <v>39289</v>
      </c>
      <c r="C19960" s="16">
        <f>111.58/(1+B2)</f>
        <v>111.58</v>
      </c>
      <c r="D19960" s="17" t="s">
        <v>11</v>
      </c>
      <c r="E19960" s="17" t="s">
        <v>14</v>
      </c>
      <c r="F19960" s="18"/>
      <c r="G19960" s="36" t="str">
        <f>IF(ISNUMBER(F19960),C19960*F19960,"")</f>
        <v/>
      </c>
    </row>
    <row r="19961" spans="1:7" ht="12" customHeight="1" outlineLevel="3" x14ac:dyDescent="0.2">
      <c r="A19961" s="14" t="s">
        <v>39290</v>
      </c>
      <c r="B19961" s="15" t="s">
        <v>39291</v>
      </c>
      <c r="C19961" s="16">
        <f>362.5/(1+B2)</f>
        <v>362.5</v>
      </c>
      <c r="D19961" s="17" t="s">
        <v>11</v>
      </c>
      <c r="E19961" s="17" t="s">
        <v>11</v>
      </c>
      <c r="F19961" s="18"/>
      <c r="G19961" s="36" t="str">
        <f>IF(ISNUMBER(F19961),C19961*F19961,"")</f>
        <v/>
      </c>
    </row>
    <row r="19962" spans="1:7" ht="12" customHeight="1" outlineLevel="3" x14ac:dyDescent="0.2">
      <c r="A19962" s="14" t="s">
        <v>39292</v>
      </c>
      <c r="B19962" s="15" t="s">
        <v>39293</v>
      </c>
      <c r="C19962" s="16">
        <f>273.55/(1+B2)</f>
        <v>273.55</v>
      </c>
      <c r="D19962" s="17" t="s">
        <v>11</v>
      </c>
      <c r="E19962" s="17"/>
      <c r="F19962" s="18"/>
      <c r="G19962" s="36" t="str">
        <f>IF(ISNUMBER(F19962),C19962*F19962,"")</f>
        <v/>
      </c>
    </row>
    <row r="19963" spans="1:7" ht="12" customHeight="1" outlineLevel="3" x14ac:dyDescent="0.2">
      <c r="A19963" s="14" t="s">
        <v>39294</v>
      </c>
      <c r="B19963" s="15" t="s">
        <v>39295</v>
      </c>
      <c r="C19963" s="16">
        <f>279.3/(1+B2)</f>
        <v>279.3</v>
      </c>
      <c r="D19963" s="17" t="s">
        <v>11</v>
      </c>
      <c r="E19963" s="17"/>
      <c r="F19963" s="18"/>
      <c r="G19963" s="36" t="str">
        <f>IF(ISNUMBER(F19963),C19963*F19963,"")</f>
        <v/>
      </c>
    </row>
    <row r="19964" spans="1:7" ht="12" customHeight="1" outlineLevel="3" x14ac:dyDescent="0.2">
      <c r="A19964" s="14" t="s">
        <v>39296</v>
      </c>
      <c r="B19964" s="15" t="s">
        <v>39297</v>
      </c>
      <c r="C19964" s="16">
        <f>273.55/(1+B2)</f>
        <v>273.55</v>
      </c>
      <c r="D19964" s="17" t="s">
        <v>11</v>
      </c>
      <c r="E19964" s="17"/>
      <c r="F19964" s="18"/>
      <c r="G19964" s="36" t="str">
        <f>IF(ISNUMBER(F19964),C19964*F19964,"")</f>
        <v/>
      </c>
    </row>
    <row r="19965" spans="1:7" s="1" customFormat="1" ht="12.95" customHeight="1" outlineLevel="2" x14ac:dyDescent="0.2">
      <c r="A19965" s="20"/>
      <c r="B19965" s="21" t="s">
        <v>39298</v>
      </c>
      <c r="C19965" s="22"/>
      <c r="D19965" s="22"/>
      <c r="E19965" s="22"/>
      <c r="F19965" s="22"/>
      <c r="G19965" s="37"/>
    </row>
    <row r="19966" spans="1:7" ht="12" customHeight="1" outlineLevel="3" x14ac:dyDescent="0.2">
      <c r="A19966" s="14" t="s">
        <v>39299</v>
      </c>
      <c r="B19966" s="15" t="s">
        <v>39300</v>
      </c>
      <c r="C19966" s="16">
        <f>120/(1+B2)</f>
        <v>120</v>
      </c>
      <c r="D19966" s="17" t="s">
        <v>11</v>
      </c>
      <c r="E19966" s="17"/>
      <c r="F19966" s="18"/>
      <c r="G19966" s="36" t="str">
        <f>IF(ISNUMBER(F19966),C19966*F19966,"")</f>
        <v/>
      </c>
    </row>
    <row r="19967" spans="1:7" ht="12" customHeight="1" outlineLevel="3" x14ac:dyDescent="0.2">
      <c r="A19967" s="14" t="s">
        <v>39301</v>
      </c>
      <c r="B19967" s="15" t="s">
        <v>39302</v>
      </c>
      <c r="C19967" s="16">
        <f>70.43/(1+B2)</f>
        <v>70.430000000000007</v>
      </c>
      <c r="D19967" s="17" t="s">
        <v>53</v>
      </c>
      <c r="E19967" s="17" t="s">
        <v>14</v>
      </c>
      <c r="F19967" s="18"/>
      <c r="G19967" s="36" t="str">
        <f>IF(ISNUMBER(F19967),C19967*F19967,"")</f>
        <v/>
      </c>
    </row>
    <row r="19968" spans="1:7" ht="12" customHeight="1" outlineLevel="3" x14ac:dyDescent="0.2">
      <c r="A19968" s="14" t="s">
        <v>39303</v>
      </c>
      <c r="B19968" s="15" t="s">
        <v>39304</v>
      </c>
      <c r="C19968" s="16">
        <f>67.7/(1+B2)</f>
        <v>67.7</v>
      </c>
      <c r="D19968" s="17" t="s">
        <v>53</v>
      </c>
      <c r="E19968" s="17"/>
      <c r="F19968" s="18"/>
      <c r="G19968" s="36" t="str">
        <f>IF(ISNUMBER(F19968),C19968*F19968,"")</f>
        <v/>
      </c>
    </row>
    <row r="19969" spans="1:7" ht="12" customHeight="1" outlineLevel="3" x14ac:dyDescent="0.2">
      <c r="A19969" s="14" t="s">
        <v>39305</v>
      </c>
      <c r="B19969" s="15" t="s">
        <v>39306</v>
      </c>
      <c r="C19969" s="16">
        <f>107.55/(1+B2)</f>
        <v>107.55</v>
      </c>
      <c r="D19969" s="17" t="s">
        <v>14</v>
      </c>
      <c r="E19969" s="17" t="s">
        <v>53</v>
      </c>
      <c r="F19969" s="18"/>
      <c r="G19969" s="36" t="str">
        <f>IF(ISNUMBER(F19969),C19969*F19969,"")</f>
        <v/>
      </c>
    </row>
    <row r="19970" spans="1:7" ht="12" customHeight="1" outlineLevel="3" x14ac:dyDescent="0.2">
      <c r="A19970" s="14" t="s">
        <v>39307</v>
      </c>
      <c r="B19970" s="15" t="s">
        <v>39308</v>
      </c>
      <c r="C19970" s="16">
        <f>158.25/(1+B2)</f>
        <v>158.25</v>
      </c>
      <c r="D19970" s="17" t="s">
        <v>14</v>
      </c>
      <c r="E19970" s="17"/>
      <c r="F19970" s="18"/>
      <c r="G19970" s="36" t="str">
        <f>IF(ISNUMBER(F19970),C19970*F19970,"")</f>
        <v/>
      </c>
    </row>
    <row r="19971" spans="1:7" ht="12" customHeight="1" outlineLevel="3" x14ac:dyDescent="0.2">
      <c r="A19971" s="14" t="s">
        <v>39309</v>
      </c>
      <c r="B19971" s="15" t="s">
        <v>39310</v>
      </c>
      <c r="C19971" s="16">
        <f>153.75/(1+B2)</f>
        <v>153.75</v>
      </c>
      <c r="D19971" s="17" t="s">
        <v>14</v>
      </c>
      <c r="E19971" s="17"/>
      <c r="F19971" s="18"/>
      <c r="G19971" s="36" t="str">
        <f>IF(ISNUMBER(F19971),C19971*F19971,"")</f>
        <v/>
      </c>
    </row>
    <row r="19972" spans="1:7" ht="12" customHeight="1" outlineLevel="3" x14ac:dyDescent="0.2">
      <c r="A19972" s="14" t="s">
        <v>39311</v>
      </c>
      <c r="B19972" s="15" t="s">
        <v>39312</v>
      </c>
      <c r="C19972" s="16">
        <f>63.7/(1+B2)</f>
        <v>63.7</v>
      </c>
      <c r="D19972" s="17" t="s">
        <v>11</v>
      </c>
      <c r="E19972" s="17" t="s">
        <v>53</v>
      </c>
      <c r="F19972" s="18"/>
      <c r="G19972" s="36" t="str">
        <f>IF(ISNUMBER(F19972),C19972*F19972,"")</f>
        <v/>
      </c>
    </row>
    <row r="19973" spans="1:7" ht="12" customHeight="1" outlineLevel="3" x14ac:dyDescent="0.2">
      <c r="A19973" s="14" t="s">
        <v>39313</v>
      </c>
      <c r="B19973" s="15" t="s">
        <v>39314</v>
      </c>
      <c r="C19973" s="16">
        <f>130.81/(1+B2)</f>
        <v>130.81</v>
      </c>
      <c r="D19973" s="17" t="s">
        <v>53</v>
      </c>
      <c r="E19973" s="17" t="s">
        <v>11</v>
      </c>
      <c r="F19973" s="18"/>
      <c r="G19973" s="36" t="str">
        <f>IF(ISNUMBER(F19973),C19973*F19973,"")</f>
        <v/>
      </c>
    </row>
    <row r="19974" spans="1:7" ht="12" customHeight="1" outlineLevel="3" x14ac:dyDescent="0.2">
      <c r="A19974" s="14" t="s">
        <v>39315</v>
      </c>
      <c r="B19974" s="15" t="s">
        <v>39316</v>
      </c>
      <c r="C19974" s="16">
        <f>126.26/(1+B2)</f>
        <v>126.26</v>
      </c>
      <c r="D19974" s="17" t="s">
        <v>53</v>
      </c>
      <c r="E19974" s="17" t="s">
        <v>14</v>
      </c>
      <c r="F19974" s="18"/>
      <c r="G19974" s="36" t="str">
        <f>IF(ISNUMBER(F19974),C19974*F19974,"")</f>
        <v/>
      </c>
    </row>
    <row r="19975" spans="1:7" ht="12" customHeight="1" outlineLevel="3" x14ac:dyDescent="0.2">
      <c r="A19975" s="14" t="s">
        <v>39317</v>
      </c>
      <c r="B19975" s="15" t="s">
        <v>39318</v>
      </c>
      <c r="C19975" s="16">
        <f>139.04/(1+B2)</f>
        <v>139.04</v>
      </c>
      <c r="D19975" s="17" t="s">
        <v>11</v>
      </c>
      <c r="E19975" s="17"/>
      <c r="F19975" s="18"/>
      <c r="G19975" s="36" t="str">
        <f>IF(ISNUMBER(F19975),C19975*F19975,"")</f>
        <v/>
      </c>
    </row>
    <row r="19976" spans="1:7" ht="12" customHeight="1" outlineLevel="3" x14ac:dyDescent="0.2">
      <c r="A19976" s="14" t="s">
        <v>39319</v>
      </c>
      <c r="B19976" s="15" t="s">
        <v>39320</v>
      </c>
      <c r="C19976" s="16">
        <f>97.41/(1+B2)</f>
        <v>97.41</v>
      </c>
      <c r="D19976" s="17" t="s">
        <v>53</v>
      </c>
      <c r="E19976" s="17"/>
      <c r="F19976" s="18"/>
      <c r="G19976" s="36" t="str">
        <f>IF(ISNUMBER(F19976),C19976*F19976,"")</f>
        <v/>
      </c>
    </row>
    <row r="19977" spans="1:7" ht="12" customHeight="1" outlineLevel="3" x14ac:dyDescent="0.2">
      <c r="A19977" s="14" t="s">
        <v>39321</v>
      </c>
      <c r="B19977" s="15" t="s">
        <v>39322</v>
      </c>
      <c r="C19977" s="16">
        <f>126.26/(1+B2)</f>
        <v>126.26</v>
      </c>
      <c r="D19977" s="17"/>
      <c r="E19977" s="17" t="s">
        <v>11</v>
      </c>
      <c r="F19977" s="18"/>
      <c r="G19977" s="36" t="str">
        <f>IF(ISNUMBER(F19977),C19977*F19977,"")</f>
        <v/>
      </c>
    </row>
    <row r="19978" spans="1:7" ht="12" customHeight="1" outlineLevel="3" x14ac:dyDescent="0.2">
      <c r="A19978" s="14" t="s">
        <v>39323</v>
      </c>
      <c r="B19978" s="15" t="s">
        <v>39324</v>
      </c>
      <c r="C19978" s="16">
        <f>80.62/(1+B2)</f>
        <v>80.62</v>
      </c>
      <c r="D19978" s="17" t="s">
        <v>14</v>
      </c>
      <c r="E19978" s="17" t="s">
        <v>106</v>
      </c>
      <c r="F19978" s="18"/>
      <c r="G19978" s="36" t="str">
        <f>IF(ISNUMBER(F19978),C19978*F19978,"")</f>
        <v/>
      </c>
    </row>
    <row r="19979" spans="1:7" ht="12" customHeight="1" outlineLevel="3" x14ac:dyDescent="0.2">
      <c r="A19979" s="14" t="s">
        <v>39325</v>
      </c>
      <c r="B19979" s="15" t="s">
        <v>39326</v>
      </c>
      <c r="C19979" s="16">
        <f>73.08/(1+B2)</f>
        <v>73.08</v>
      </c>
      <c r="D19979" s="17" t="s">
        <v>11</v>
      </c>
      <c r="E19979" s="17" t="s">
        <v>14</v>
      </c>
      <c r="F19979" s="18"/>
      <c r="G19979" s="36" t="str">
        <f>IF(ISNUMBER(F19979),C19979*F19979,"")</f>
        <v/>
      </c>
    </row>
    <row r="19980" spans="1:7" ht="12" customHeight="1" outlineLevel="3" x14ac:dyDescent="0.2">
      <c r="A19980" s="14" t="s">
        <v>39327</v>
      </c>
      <c r="B19980" s="15" t="s">
        <v>39328</v>
      </c>
      <c r="C19980" s="16">
        <f>63.88/(1+B2)</f>
        <v>63.88</v>
      </c>
      <c r="D19980" s="17" t="s">
        <v>11</v>
      </c>
      <c r="E19980" s="17" t="s">
        <v>106</v>
      </c>
      <c r="F19980" s="18"/>
      <c r="G19980" s="36" t="str">
        <f>IF(ISNUMBER(F19980),C19980*F19980,"")</f>
        <v/>
      </c>
    </row>
    <row r="19981" spans="1:7" ht="12" customHeight="1" outlineLevel="3" x14ac:dyDescent="0.2">
      <c r="A19981" s="14" t="s">
        <v>39329</v>
      </c>
      <c r="B19981" s="15" t="s">
        <v>39330</v>
      </c>
      <c r="C19981" s="16">
        <f>131.45/(1+B2)</f>
        <v>131.44999999999999</v>
      </c>
      <c r="D19981" s="17" t="s">
        <v>11</v>
      </c>
      <c r="E19981" s="17"/>
      <c r="F19981" s="18"/>
      <c r="G19981" s="36" t="str">
        <f>IF(ISNUMBER(F19981),C19981*F19981,"")</f>
        <v/>
      </c>
    </row>
    <row r="19982" spans="1:7" ht="12" customHeight="1" outlineLevel="3" x14ac:dyDescent="0.2">
      <c r="A19982" s="14" t="s">
        <v>39331</v>
      </c>
      <c r="B19982" s="15" t="s">
        <v>39332</v>
      </c>
      <c r="C19982" s="16">
        <f>126.26/(1+B2)</f>
        <v>126.26</v>
      </c>
      <c r="D19982" s="17" t="s">
        <v>11</v>
      </c>
      <c r="E19982" s="17" t="s">
        <v>106</v>
      </c>
      <c r="F19982" s="18"/>
      <c r="G19982" s="36" t="str">
        <f>IF(ISNUMBER(F19982),C19982*F19982,"")</f>
        <v/>
      </c>
    </row>
    <row r="19983" spans="1:7" ht="12" customHeight="1" outlineLevel="3" x14ac:dyDescent="0.2">
      <c r="A19983" s="14" t="s">
        <v>39333</v>
      </c>
      <c r="B19983" s="15" t="s">
        <v>39334</v>
      </c>
      <c r="C19983" s="16">
        <f>85.19/(1+B2)</f>
        <v>85.19</v>
      </c>
      <c r="D19983" s="17" t="s">
        <v>11</v>
      </c>
      <c r="E19983" s="17" t="s">
        <v>106</v>
      </c>
      <c r="F19983" s="18"/>
      <c r="G19983" s="36" t="str">
        <f>IF(ISNUMBER(F19983),C19983*F19983,"")</f>
        <v/>
      </c>
    </row>
    <row r="19984" spans="1:7" ht="12" customHeight="1" outlineLevel="3" x14ac:dyDescent="0.2">
      <c r="A19984" s="14" t="s">
        <v>39335</v>
      </c>
      <c r="B19984" s="15" t="s">
        <v>39336</v>
      </c>
      <c r="C19984" s="16">
        <f>68.52/(1+B2)</f>
        <v>68.52</v>
      </c>
      <c r="D19984" s="17" t="s">
        <v>14</v>
      </c>
      <c r="E19984" s="17" t="s">
        <v>106</v>
      </c>
      <c r="F19984" s="18"/>
      <c r="G19984" s="36" t="str">
        <f>IF(ISNUMBER(F19984),C19984*F19984,"")</f>
        <v/>
      </c>
    </row>
    <row r="19985" spans="1:7" ht="12" customHeight="1" outlineLevel="3" x14ac:dyDescent="0.2">
      <c r="A19985" s="14" t="s">
        <v>39337</v>
      </c>
      <c r="B19985" s="15" t="s">
        <v>39338</v>
      </c>
      <c r="C19985" s="16">
        <f>88.96/(1+B2)</f>
        <v>88.96</v>
      </c>
      <c r="D19985" s="17" t="s">
        <v>53</v>
      </c>
      <c r="E19985" s="17" t="s">
        <v>106</v>
      </c>
      <c r="F19985" s="18"/>
      <c r="G19985" s="36" t="str">
        <f>IF(ISNUMBER(F19985),C19985*F19985,"")</f>
        <v/>
      </c>
    </row>
    <row r="19986" spans="1:7" ht="12" customHeight="1" outlineLevel="3" x14ac:dyDescent="0.2">
      <c r="A19986" s="14" t="s">
        <v>39339</v>
      </c>
      <c r="B19986" s="15" t="s">
        <v>39340</v>
      </c>
      <c r="C19986" s="16">
        <f>94.78/(1+B2)</f>
        <v>94.78</v>
      </c>
      <c r="D19986" s="17" t="s">
        <v>53</v>
      </c>
      <c r="E19986" s="17" t="s">
        <v>106</v>
      </c>
      <c r="F19986" s="18"/>
      <c r="G19986" s="36" t="str">
        <f>IF(ISNUMBER(F19986),C19986*F19986,"")</f>
        <v/>
      </c>
    </row>
    <row r="19987" spans="1:7" ht="12" customHeight="1" outlineLevel="3" x14ac:dyDescent="0.2">
      <c r="A19987" s="14" t="s">
        <v>39341</v>
      </c>
      <c r="B19987" s="15" t="s">
        <v>39342</v>
      </c>
      <c r="C19987" s="16">
        <f>81.54/(1+B2)</f>
        <v>81.540000000000006</v>
      </c>
      <c r="D19987" s="17" t="s">
        <v>11</v>
      </c>
      <c r="E19987" s="17" t="s">
        <v>106</v>
      </c>
      <c r="F19987" s="18"/>
      <c r="G19987" s="36" t="str">
        <f>IF(ISNUMBER(F19987),C19987*F19987,"")</f>
        <v/>
      </c>
    </row>
    <row r="19988" spans="1:7" ht="12" customHeight="1" outlineLevel="3" x14ac:dyDescent="0.2">
      <c r="A19988" s="14" t="s">
        <v>39343</v>
      </c>
      <c r="B19988" s="15" t="s">
        <v>39344</v>
      </c>
      <c r="C19988" s="16">
        <f>92.85/(1+B2)</f>
        <v>92.85</v>
      </c>
      <c r="D19988" s="17" t="s">
        <v>106</v>
      </c>
      <c r="E19988" s="17" t="s">
        <v>106</v>
      </c>
      <c r="F19988" s="18"/>
      <c r="G19988" s="36" t="str">
        <f>IF(ISNUMBER(F19988),C19988*F19988,"")</f>
        <v/>
      </c>
    </row>
    <row r="19989" spans="1:7" ht="12" customHeight="1" outlineLevel="3" x14ac:dyDescent="0.2">
      <c r="A19989" s="14" t="s">
        <v>39345</v>
      </c>
      <c r="B19989" s="15" t="s">
        <v>39346</v>
      </c>
      <c r="C19989" s="16">
        <f>133.9/(1+B2)</f>
        <v>133.9</v>
      </c>
      <c r="D19989" s="17" t="s">
        <v>53</v>
      </c>
      <c r="E19989" s="17" t="s">
        <v>53</v>
      </c>
      <c r="F19989" s="18"/>
      <c r="G19989" s="36" t="str">
        <f>IF(ISNUMBER(F19989),C19989*F19989,"")</f>
        <v/>
      </c>
    </row>
    <row r="19990" spans="1:7" ht="12" customHeight="1" outlineLevel="3" x14ac:dyDescent="0.2">
      <c r="A19990" s="14" t="s">
        <v>39347</v>
      </c>
      <c r="B19990" s="15" t="s">
        <v>39348</v>
      </c>
      <c r="C19990" s="16">
        <f>91.13/(1+B2)</f>
        <v>91.13</v>
      </c>
      <c r="D19990" s="17" t="s">
        <v>11</v>
      </c>
      <c r="E19990" s="17" t="s">
        <v>106</v>
      </c>
      <c r="F19990" s="18"/>
      <c r="G19990" s="36" t="str">
        <f>IF(ISNUMBER(F19990),C19990*F19990,"")</f>
        <v/>
      </c>
    </row>
    <row r="19991" spans="1:7" ht="12" customHeight="1" outlineLevel="3" x14ac:dyDescent="0.2">
      <c r="A19991" s="14" t="s">
        <v>39349</v>
      </c>
      <c r="B19991" s="15" t="s">
        <v>39350</v>
      </c>
      <c r="C19991" s="16">
        <f>116.58/(1+B2)</f>
        <v>116.58</v>
      </c>
      <c r="D19991" s="17" t="s">
        <v>53</v>
      </c>
      <c r="E19991" s="17" t="s">
        <v>106</v>
      </c>
      <c r="F19991" s="18"/>
      <c r="G19991" s="36" t="str">
        <f>IF(ISNUMBER(F19991),C19991*F19991,"")</f>
        <v/>
      </c>
    </row>
    <row r="19992" spans="1:7" ht="12" customHeight="1" outlineLevel="3" x14ac:dyDescent="0.2">
      <c r="A19992" s="14" t="s">
        <v>39351</v>
      </c>
      <c r="B19992" s="15" t="s">
        <v>39352</v>
      </c>
      <c r="C19992" s="16">
        <f>648.21/(1+B2)</f>
        <v>648.21</v>
      </c>
      <c r="D19992" s="17" t="s">
        <v>11</v>
      </c>
      <c r="E19992" s="17"/>
      <c r="F19992" s="18"/>
      <c r="G19992" s="36" t="str">
        <f>IF(ISNUMBER(F19992),C19992*F19992,"")</f>
        <v/>
      </c>
    </row>
    <row r="19993" spans="1:7" ht="12" customHeight="1" outlineLevel="3" x14ac:dyDescent="0.2">
      <c r="A19993" s="14" t="s">
        <v>39353</v>
      </c>
      <c r="B19993" s="15" t="s">
        <v>39354</v>
      </c>
      <c r="C19993" s="16">
        <f>476.58/(1+B2)</f>
        <v>476.58</v>
      </c>
      <c r="D19993" s="17" t="s">
        <v>11</v>
      </c>
      <c r="E19993" s="17"/>
      <c r="F19993" s="18"/>
      <c r="G19993" s="36" t="str">
        <f>IF(ISNUMBER(F19993),C19993*F19993,"")</f>
        <v/>
      </c>
    </row>
    <row r="19994" spans="1:7" ht="12" customHeight="1" outlineLevel="3" x14ac:dyDescent="0.2">
      <c r="A19994" s="14" t="s">
        <v>39355</v>
      </c>
      <c r="B19994" s="15" t="s">
        <v>39356</v>
      </c>
      <c r="C19994" s="16">
        <f>518.71/(1+B2)</f>
        <v>518.71</v>
      </c>
      <c r="D19994" s="17" t="s">
        <v>11</v>
      </c>
      <c r="E19994" s="17"/>
      <c r="F19994" s="18"/>
      <c r="G19994" s="36" t="str">
        <f>IF(ISNUMBER(F19994),C19994*F19994,"")</f>
        <v/>
      </c>
    </row>
    <row r="19995" spans="1:7" ht="12" customHeight="1" outlineLevel="3" x14ac:dyDescent="0.2">
      <c r="A19995" s="14" t="s">
        <v>39357</v>
      </c>
      <c r="B19995" s="15" t="s">
        <v>39358</v>
      </c>
      <c r="C19995" s="16">
        <f>464.03/(1+B2)</f>
        <v>464.03</v>
      </c>
      <c r="D19995" s="17" t="s">
        <v>11</v>
      </c>
      <c r="E19995" s="17" t="s">
        <v>14</v>
      </c>
      <c r="F19995" s="18"/>
      <c r="G19995" s="36" t="str">
        <f>IF(ISNUMBER(F19995),C19995*F19995,"")</f>
        <v/>
      </c>
    </row>
    <row r="19996" spans="1:7" ht="12" customHeight="1" outlineLevel="3" x14ac:dyDescent="0.2">
      <c r="A19996" s="14" t="s">
        <v>39359</v>
      </c>
      <c r="B19996" s="15" t="s">
        <v>39360</v>
      </c>
      <c r="C19996" s="16">
        <f>597.53/(1+B2)</f>
        <v>597.53</v>
      </c>
      <c r="D19996" s="17" t="s">
        <v>11</v>
      </c>
      <c r="E19996" s="17"/>
      <c r="F19996" s="18"/>
      <c r="G19996" s="36" t="str">
        <f>IF(ISNUMBER(F19996),C19996*F19996,"")</f>
        <v/>
      </c>
    </row>
    <row r="19997" spans="1:7" ht="12" customHeight="1" outlineLevel="3" x14ac:dyDescent="0.2">
      <c r="A19997" s="14" t="s">
        <v>39361</v>
      </c>
      <c r="B19997" s="15" t="s">
        <v>39362</v>
      </c>
      <c r="C19997" s="16">
        <f>608.63/(1+B2)</f>
        <v>608.63</v>
      </c>
      <c r="D19997" s="17" t="s">
        <v>14</v>
      </c>
      <c r="E19997" s="17" t="s">
        <v>11</v>
      </c>
      <c r="F19997" s="18"/>
      <c r="G19997" s="36" t="str">
        <f>IF(ISNUMBER(F19997),C19997*F19997,"")</f>
        <v/>
      </c>
    </row>
    <row r="19998" spans="1:7" ht="12" customHeight="1" outlineLevel="3" x14ac:dyDescent="0.2">
      <c r="A19998" s="14" t="s">
        <v>39363</v>
      </c>
      <c r="B19998" s="15" t="s">
        <v>39364</v>
      </c>
      <c r="C19998" s="16">
        <f>597.53/(1+B2)</f>
        <v>597.53</v>
      </c>
      <c r="D19998" s="17" t="s">
        <v>11</v>
      </c>
      <c r="E19998" s="17"/>
      <c r="F19998" s="18"/>
      <c r="G19998" s="36" t="str">
        <f>IF(ISNUMBER(F19998),C19998*F19998,"")</f>
        <v/>
      </c>
    </row>
    <row r="19999" spans="1:7" ht="12" customHeight="1" outlineLevel="3" x14ac:dyDescent="0.2">
      <c r="A19999" s="14" t="s">
        <v>39365</v>
      </c>
      <c r="B19999" s="15" t="s">
        <v>39366</v>
      </c>
      <c r="C19999" s="16">
        <f>310.38/(1+B2)</f>
        <v>310.38</v>
      </c>
      <c r="D19999" s="17" t="s">
        <v>14</v>
      </c>
      <c r="E19999" s="17"/>
      <c r="F19999" s="18"/>
      <c r="G19999" s="36" t="str">
        <f>IF(ISNUMBER(F19999),C19999*F19999,"")</f>
        <v/>
      </c>
    </row>
    <row r="20000" spans="1:7" ht="12" customHeight="1" outlineLevel="3" x14ac:dyDescent="0.2">
      <c r="A20000" s="14" t="s">
        <v>39367</v>
      </c>
      <c r="B20000" s="15" t="s">
        <v>39368</v>
      </c>
      <c r="C20000" s="16">
        <f>310.38/(1+B2)</f>
        <v>310.38</v>
      </c>
      <c r="D20000" s="17" t="s">
        <v>11</v>
      </c>
      <c r="E20000" s="17" t="s">
        <v>53</v>
      </c>
      <c r="F20000" s="18"/>
      <c r="G20000" s="36" t="str">
        <f>IF(ISNUMBER(F20000),C20000*F20000,"")</f>
        <v/>
      </c>
    </row>
    <row r="20001" spans="1:7" ht="12" customHeight="1" outlineLevel="3" x14ac:dyDescent="0.2">
      <c r="A20001" s="14" t="s">
        <v>39369</v>
      </c>
      <c r="B20001" s="15" t="s">
        <v>39370</v>
      </c>
      <c r="C20001" s="16">
        <f>310.38/(1+B2)</f>
        <v>310.38</v>
      </c>
      <c r="D20001" s="17" t="s">
        <v>11</v>
      </c>
      <c r="E20001" s="17" t="s">
        <v>106</v>
      </c>
      <c r="F20001" s="18"/>
      <c r="G20001" s="36" t="str">
        <f>IF(ISNUMBER(F20001),C20001*F20001,"")</f>
        <v/>
      </c>
    </row>
    <row r="20002" spans="1:7" ht="12" customHeight="1" outlineLevel="3" x14ac:dyDescent="0.2">
      <c r="A20002" s="14" t="s">
        <v>39371</v>
      </c>
      <c r="B20002" s="15" t="s">
        <v>39372</v>
      </c>
      <c r="C20002" s="16">
        <f>686.61/(1+B2)</f>
        <v>686.61</v>
      </c>
      <c r="D20002" s="17" t="s">
        <v>11</v>
      </c>
      <c r="E20002" s="17"/>
      <c r="F20002" s="18"/>
      <c r="G20002" s="36" t="str">
        <f>IF(ISNUMBER(F20002),C20002*F20002,"")</f>
        <v/>
      </c>
    </row>
    <row r="20003" spans="1:7" ht="12" customHeight="1" outlineLevel="3" x14ac:dyDescent="0.2">
      <c r="A20003" s="14" t="s">
        <v>39373</v>
      </c>
      <c r="B20003" s="15" t="s">
        <v>39374</v>
      </c>
      <c r="C20003" s="16">
        <f>529.34/(1+B2)</f>
        <v>529.34</v>
      </c>
      <c r="D20003" s="17" t="s">
        <v>11</v>
      </c>
      <c r="E20003" s="17" t="s">
        <v>11</v>
      </c>
      <c r="F20003" s="18"/>
      <c r="G20003" s="36" t="str">
        <f>IF(ISNUMBER(F20003),C20003*F20003,"")</f>
        <v/>
      </c>
    </row>
    <row r="20004" spans="1:7" ht="12" customHeight="1" outlineLevel="3" x14ac:dyDescent="0.2">
      <c r="A20004" s="14" t="s">
        <v>39375</v>
      </c>
      <c r="B20004" s="15" t="s">
        <v>39376</v>
      </c>
      <c r="C20004" s="16">
        <f>559.45/(1+B2)</f>
        <v>559.45000000000005</v>
      </c>
      <c r="D20004" s="17" t="s">
        <v>14</v>
      </c>
      <c r="E20004" s="17" t="s">
        <v>53</v>
      </c>
      <c r="F20004" s="18"/>
      <c r="G20004" s="36" t="str">
        <f>IF(ISNUMBER(F20004),C20004*F20004,"")</f>
        <v/>
      </c>
    </row>
    <row r="20005" spans="1:7" ht="12" customHeight="1" outlineLevel="3" x14ac:dyDescent="0.2">
      <c r="A20005" s="14" t="s">
        <v>39377</v>
      </c>
      <c r="B20005" s="15" t="s">
        <v>39378</v>
      </c>
      <c r="C20005" s="16">
        <f>310.38/(1+B2)</f>
        <v>310.38</v>
      </c>
      <c r="D20005" s="17" t="s">
        <v>11</v>
      </c>
      <c r="E20005" s="17" t="s">
        <v>14</v>
      </c>
      <c r="F20005" s="18"/>
      <c r="G20005" s="36" t="str">
        <f>IF(ISNUMBER(F20005),C20005*F20005,"")</f>
        <v/>
      </c>
    </row>
    <row r="20006" spans="1:7" ht="12" customHeight="1" outlineLevel="3" x14ac:dyDescent="0.2">
      <c r="A20006" s="14" t="s">
        <v>39379</v>
      </c>
      <c r="B20006" s="15" t="s">
        <v>39380</v>
      </c>
      <c r="C20006" s="16">
        <f>253.06/(1+B2)</f>
        <v>253.06</v>
      </c>
      <c r="D20006" s="17" t="s">
        <v>11</v>
      </c>
      <c r="E20006" s="17"/>
      <c r="F20006" s="18"/>
      <c r="G20006" s="36" t="str">
        <f>IF(ISNUMBER(F20006),C20006*F20006,"")</f>
        <v/>
      </c>
    </row>
    <row r="20007" spans="1:7" ht="12" customHeight="1" outlineLevel="3" x14ac:dyDescent="0.2">
      <c r="A20007" s="14" t="s">
        <v>39381</v>
      </c>
      <c r="B20007" s="15" t="s">
        <v>39382</v>
      </c>
      <c r="C20007" s="16">
        <f>360.5/(1+B2)</f>
        <v>360.5</v>
      </c>
      <c r="D20007" s="17" t="s">
        <v>53</v>
      </c>
      <c r="E20007" s="17"/>
      <c r="F20007" s="18"/>
      <c r="G20007" s="36" t="str">
        <f>IF(ISNUMBER(F20007),C20007*F20007,"")</f>
        <v/>
      </c>
    </row>
    <row r="20008" spans="1:7" ht="12" customHeight="1" outlineLevel="3" x14ac:dyDescent="0.2">
      <c r="A20008" s="14" t="s">
        <v>39383</v>
      </c>
      <c r="B20008" s="15" t="s">
        <v>39384</v>
      </c>
      <c r="C20008" s="16">
        <f>108.49/(1+B2)</f>
        <v>108.49</v>
      </c>
      <c r="D20008" s="17" t="s">
        <v>14</v>
      </c>
      <c r="E20008" s="17"/>
      <c r="F20008" s="18"/>
      <c r="G20008" s="36" t="str">
        <f>IF(ISNUMBER(F20008),C20008*F20008,"")</f>
        <v/>
      </c>
    </row>
    <row r="20009" spans="1:7" ht="12" customHeight="1" outlineLevel="3" x14ac:dyDescent="0.2">
      <c r="A20009" s="14" t="s">
        <v>39385</v>
      </c>
      <c r="B20009" s="15" t="s">
        <v>39386</v>
      </c>
      <c r="C20009" s="16">
        <f>154.68/(1+B2)</f>
        <v>154.68</v>
      </c>
      <c r="D20009" s="17" t="s">
        <v>53</v>
      </c>
      <c r="E20009" s="17" t="s">
        <v>106</v>
      </c>
      <c r="F20009" s="18"/>
      <c r="G20009" s="36" t="str">
        <f>IF(ISNUMBER(F20009),C20009*F20009,"")</f>
        <v/>
      </c>
    </row>
    <row r="20010" spans="1:7" ht="12" customHeight="1" outlineLevel="3" x14ac:dyDescent="0.2">
      <c r="A20010" s="14" t="s">
        <v>39387</v>
      </c>
      <c r="B20010" s="15" t="s">
        <v>39388</v>
      </c>
      <c r="C20010" s="16">
        <f>154.6/(1+B2)</f>
        <v>154.6</v>
      </c>
      <c r="D20010" s="17" t="s">
        <v>11</v>
      </c>
      <c r="E20010" s="17"/>
      <c r="F20010" s="18"/>
      <c r="G20010" s="36" t="str">
        <f>IF(ISNUMBER(F20010),C20010*F20010,"")</f>
        <v/>
      </c>
    </row>
    <row r="20011" spans="1:7" s="1" customFormat="1" ht="12.95" customHeight="1" outlineLevel="2" x14ac:dyDescent="0.2">
      <c r="A20011" s="20"/>
      <c r="B20011" s="21" t="s">
        <v>39389</v>
      </c>
      <c r="C20011" s="22"/>
      <c r="D20011" s="22"/>
      <c r="E20011" s="22"/>
      <c r="F20011" s="22"/>
      <c r="G20011" s="37"/>
    </row>
    <row r="20012" spans="1:7" ht="12" customHeight="1" outlineLevel="3" x14ac:dyDescent="0.2">
      <c r="A20012" s="14" t="s">
        <v>39390</v>
      </c>
      <c r="B20012" s="15" t="s">
        <v>39391</v>
      </c>
      <c r="C20012" s="19">
        <f>1825.55/(1+B2)</f>
        <v>1825.55</v>
      </c>
      <c r="D20012" s="17" t="s">
        <v>11</v>
      </c>
      <c r="E20012" s="17"/>
      <c r="F20012" s="18"/>
      <c r="G20012" s="36" t="str">
        <f>IF(ISNUMBER(F20012),C20012*F20012,"")</f>
        <v/>
      </c>
    </row>
    <row r="20013" spans="1:7" ht="12" customHeight="1" outlineLevel="3" x14ac:dyDescent="0.2">
      <c r="A20013" s="14" t="s">
        <v>39392</v>
      </c>
      <c r="B20013" s="15" t="s">
        <v>39393</v>
      </c>
      <c r="C20013" s="16">
        <f>192.19/(1+B2)</f>
        <v>192.19</v>
      </c>
      <c r="D20013" s="17" t="s">
        <v>11</v>
      </c>
      <c r="E20013" s="17"/>
      <c r="F20013" s="18"/>
      <c r="G20013" s="36" t="str">
        <f>IF(ISNUMBER(F20013),C20013*F20013,"")</f>
        <v/>
      </c>
    </row>
    <row r="20014" spans="1:7" ht="12" customHeight="1" outlineLevel="3" x14ac:dyDescent="0.2">
      <c r="A20014" s="14" t="s">
        <v>39394</v>
      </c>
      <c r="B20014" s="15" t="s">
        <v>39395</v>
      </c>
      <c r="C20014" s="16">
        <f>251.08/(1+B2)</f>
        <v>251.08</v>
      </c>
      <c r="D20014" s="17" t="s">
        <v>11</v>
      </c>
      <c r="E20014" s="17" t="s">
        <v>14</v>
      </c>
      <c r="F20014" s="18"/>
      <c r="G20014" s="36" t="str">
        <f>IF(ISNUMBER(F20014),C20014*F20014,"")</f>
        <v/>
      </c>
    </row>
    <row r="20015" spans="1:7" ht="12" customHeight="1" outlineLevel="3" x14ac:dyDescent="0.2">
      <c r="A20015" s="14" t="s">
        <v>39396</v>
      </c>
      <c r="B20015" s="15" t="s">
        <v>39397</v>
      </c>
      <c r="C20015" s="16">
        <f>315.67/(1+B2)</f>
        <v>315.67</v>
      </c>
      <c r="D20015" s="17" t="s">
        <v>11</v>
      </c>
      <c r="E20015" s="17"/>
      <c r="F20015" s="18"/>
      <c r="G20015" s="36" t="str">
        <f>IF(ISNUMBER(F20015),C20015*F20015,"")</f>
        <v/>
      </c>
    </row>
    <row r="20016" spans="1:7" ht="12" customHeight="1" outlineLevel="3" x14ac:dyDescent="0.2">
      <c r="A20016" s="14" t="s">
        <v>39398</v>
      </c>
      <c r="B20016" s="15" t="s">
        <v>39399</v>
      </c>
      <c r="C20016" s="16">
        <f>81.4/(1+B2)</f>
        <v>81.400000000000006</v>
      </c>
      <c r="D20016" s="17"/>
      <c r="E20016" s="17" t="s">
        <v>53</v>
      </c>
      <c r="F20016" s="18"/>
      <c r="G20016" s="36" t="str">
        <f>IF(ISNUMBER(F20016),C20016*F20016,"")</f>
        <v/>
      </c>
    </row>
    <row r="20017" spans="1:7" ht="12" customHeight="1" outlineLevel="3" x14ac:dyDescent="0.2">
      <c r="A20017" s="14" t="s">
        <v>39400</v>
      </c>
      <c r="B20017" s="15" t="s">
        <v>39401</v>
      </c>
      <c r="C20017" s="16">
        <f>292/(1+B2)</f>
        <v>292</v>
      </c>
      <c r="D20017" s="17" t="s">
        <v>11</v>
      </c>
      <c r="E20017" s="17"/>
      <c r="F20017" s="18"/>
      <c r="G20017" s="36" t="str">
        <f>IF(ISNUMBER(F20017),C20017*F20017,"")</f>
        <v/>
      </c>
    </row>
    <row r="20018" spans="1:7" ht="12" customHeight="1" outlineLevel="3" x14ac:dyDescent="0.2">
      <c r="A20018" s="14" t="s">
        <v>39402</v>
      </c>
      <c r="B20018" s="15" t="s">
        <v>39403</v>
      </c>
      <c r="C20018" s="16">
        <f>68.14/(1+B2)</f>
        <v>68.14</v>
      </c>
      <c r="D20018" s="17" t="s">
        <v>11</v>
      </c>
      <c r="E20018" s="17" t="s">
        <v>106</v>
      </c>
      <c r="F20018" s="18"/>
      <c r="G20018" s="36" t="str">
        <f>IF(ISNUMBER(F20018),C20018*F20018,"")</f>
        <v/>
      </c>
    </row>
    <row r="20019" spans="1:7" ht="12" customHeight="1" outlineLevel="3" x14ac:dyDescent="0.2">
      <c r="A20019" s="14" t="s">
        <v>39404</v>
      </c>
      <c r="B20019" s="15" t="s">
        <v>39405</v>
      </c>
      <c r="C20019" s="16">
        <f>442.16/(1+B2)</f>
        <v>442.16</v>
      </c>
      <c r="D20019" s="17" t="s">
        <v>11</v>
      </c>
      <c r="E20019" s="17"/>
      <c r="F20019" s="18"/>
      <c r="G20019" s="36" t="str">
        <f>IF(ISNUMBER(F20019),C20019*F20019,"")</f>
        <v/>
      </c>
    </row>
    <row r="20020" spans="1:7" ht="12" customHeight="1" outlineLevel="3" x14ac:dyDescent="0.2">
      <c r="A20020" s="14" t="s">
        <v>39406</v>
      </c>
      <c r="B20020" s="15" t="s">
        <v>39407</v>
      </c>
      <c r="C20020" s="16">
        <f>153.75/(1+B2)</f>
        <v>153.75</v>
      </c>
      <c r="D20020" s="17" t="s">
        <v>11</v>
      </c>
      <c r="E20020" s="17"/>
      <c r="F20020" s="18"/>
      <c r="G20020" s="36" t="str">
        <f>IF(ISNUMBER(F20020),C20020*F20020,"")</f>
        <v/>
      </c>
    </row>
    <row r="20021" spans="1:7" ht="12" customHeight="1" outlineLevel="3" x14ac:dyDescent="0.2">
      <c r="A20021" s="14" t="s">
        <v>39408</v>
      </c>
      <c r="B20021" s="15" t="s">
        <v>39409</v>
      </c>
      <c r="C20021" s="16">
        <f>206.94/(1+B2)</f>
        <v>206.94</v>
      </c>
      <c r="D20021" s="17" t="s">
        <v>11</v>
      </c>
      <c r="E20021" s="17"/>
      <c r="F20021" s="18"/>
      <c r="G20021" s="36" t="str">
        <f>IF(ISNUMBER(F20021),C20021*F20021,"")</f>
        <v/>
      </c>
    </row>
    <row r="20022" spans="1:7" ht="12" customHeight="1" outlineLevel="3" x14ac:dyDescent="0.2">
      <c r="A20022" s="14" t="s">
        <v>39410</v>
      </c>
      <c r="B20022" s="15" t="s">
        <v>39411</v>
      </c>
      <c r="C20022" s="16">
        <f>256.26/(1+B2)</f>
        <v>256.26</v>
      </c>
      <c r="D20022" s="17" t="s">
        <v>11</v>
      </c>
      <c r="E20022" s="17"/>
      <c r="F20022" s="18"/>
      <c r="G20022" s="36" t="str">
        <f>IF(ISNUMBER(F20022),C20022*F20022,"")</f>
        <v/>
      </c>
    </row>
    <row r="20023" spans="1:7" ht="12" customHeight="1" outlineLevel="3" x14ac:dyDescent="0.2">
      <c r="A20023" s="14" t="s">
        <v>39412</v>
      </c>
      <c r="B20023" s="15" t="s">
        <v>39413</v>
      </c>
      <c r="C20023" s="16">
        <f>119.5/(1+B2)</f>
        <v>119.5</v>
      </c>
      <c r="D20023" s="17" t="s">
        <v>11</v>
      </c>
      <c r="E20023" s="17" t="s">
        <v>53</v>
      </c>
      <c r="F20023" s="18"/>
      <c r="G20023" s="36" t="str">
        <f>IF(ISNUMBER(F20023),C20023*F20023,"")</f>
        <v/>
      </c>
    </row>
    <row r="20024" spans="1:7" ht="12" customHeight="1" outlineLevel="3" x14ac:dyDescent="0.2">
      <c r="A20024" s="14" t="s">
        <v>39414</v>
      </c>
      <c r="B20024" s="15" t="s">
        <v>39415</v>
      </c>
      <c r="C20024" s="16">
        <f>239.01/(1+B2)</f>
        <v>239.01</v>
      </c>
      <c r="D20024" s="17" t="s">
        <v>11</v>
      </c>
      <c r="E20024" s="17"/>
      <c r="F20024" s="18"/>
      <c r="G20024" s="36" t="str">
        <f>IF(ISNUMBER(F20024),C20024*F20024,"")</f>
        <v/>
      </c>
    </row>
    <row r="20025" spans="1:7" ht="12" customHeight="1" outlineLevel="3" x14ac:dyDescent="0.2">
      <c r="A20025" s="14" t="s">
        <v>39416</v>
      </c>
      <c r="B20025" s="15" t="s">
        <v>39417</v>
      </c>
      <c r="C20025" s="16">
        <f>227.06/(1+B2)</f>
        <v>227.06</v>
      </c>
      <c r="D20025" s="17" t="s">
        <v>11</v>
      </c>
      <c r="E20025" s="17"/>
      <c r="F20025" s="18"/>
      <c r="G20025" s="36" t="str">
        <f>IF(ISNUMBER(F20025),C20025*F20025,"")</f>
        <v/>
      </c>
    </row>
    <row r="20026" spans="1:7" ht="12" customHeight="1" outlineLevel="3" x14ac:dyDescent="0.2">
      <c r="A20026" s="14" t="s">
        <v>39418</v>
      </c>
      <c r="B20026" s="15" t="s">
        <v>39419</v>
      </c>
      <c r="C20026" s="16">
        <f>243.44/(1+B2)</f>
        <v>243.44</v>
      </c>
      <c r="D20026" s="17" t="s">
        <v>11</v>
      </c>
      <c r="E20026" s="17"/>
      <c r="F20026" s="18"/>
      <c r="G20026" s="36" t="str">
        <f>IF(ISNUMBER(F20026),C20026*F20026,"")</f>
        <v/>
      </c>
    </row>
    <row r="20027" spans="1:7" ht="12" customHeight="1" outlineLevel="3" x14ac:dyDescent="0.2">
      <c r="A20027" s="14" t="s">
        <v>39420</v>
      </c>
      <c r="B20027" s="15" t="s">
        <v>39421</v>
      </c>
      <c r="C20027" s="16">
        <f>179.25/(1+B2)</f>
        <v>179.25</v>
      </c>
      <c r="D20027" s="17" t="s">
        <v>11</v>
      </c>
      <c r="E20027" s="17"/>
      <c r="F20027" s="18"/>
      <c r="G20027" s="36" t="str">
        <f>IF(ISNUMBER(F20027),C20027*F20027,"")</f>
        <v/>
      </c>
    </row>
    <row r="20028" spans="1:7" ht="12" customHeight="1" outlineLevel="3" x14ac:dyDescent="0.2">
      <c r="A20028" s="14" t="s">
        <v>39422</v>
      </c>
      <c r="B20028" s="15" t="s">
        <v>39423</v>
      </c>
      <c r="C20028" s="16">
        <f>205.01/(1+B2)</f>
        <v>205.01</v>
      </c>
      <c r="D20028" s="17" t="s">
        <v>11</v>
      </c>
      <c r="E20028" s="17" t="s">
        <v>11</v>
      </c>
      <c r="F20028" s="18"/>
      <c r="G20028" s="36" t="str">
        <f>IF(ISNUMBER(F20028),C20028*F20028,"")</f>
        <v/>
      </c>
    </row>
    <row r="20029" spans="1:7" ht="12" customHeight="1" outlineLevel="3" x14ac:dyDescent="0.2">
      <c r="A20029" s="14" t="s">
        <v>39424</v>
      </c>
      <c r="B20029" s="15" t="s">
        <v>39425</v>
      </c>
      <c r="C20029" s="16">
        <f>191.21/(1+B2)</f>
        <v>191.21</v>
      </c>
      <c r="D20029" s="17" t="s">
        <v>11</v>
      </c>
      <c r="E20029" s="17"/>
      <c r="F20029" s="18"/>
      <c r="G20029" s="36" t="str">
        <f>IF(ISNUMBER(F20029),C20029*F20029,"")</f>
        <v/>
      </c>
    </row>
    <row r="20030" spans="1:7" ht="12" customHeight="1" outlineLevel="3" x14ac:dyDescent="0.2">
      <c r="A20030" s="14" t="s">
        <v>39426</v>
      </c>
      <c r="B20030" s="15" t="s">
        <v>39427</v>
      </c>
      <c r="C20030" s="16">
        <f>262.91/(1+B2)</f>
        <v>262.91000000000003</v>
      </c>
      <c r="D20030" s="17" t="s">
        <v>11</v>
      </c>
      <c r="E20030" s="17" t="s">
        <v>14</v>
      </c>
      <c r="F20030" s="18"/>
      <c r="G20030" s="36" t="str">
        <f>IF(ISNUMBER(F20030),C20030*F20030,"")</f>
        <v/>
      </c>
    </row>
    <row r="20031" spans="1:7" ht="12" customHeight="1" outlineLevel="3" x14ac:dyDescent="0.2">
      <c r="A20031" s="14" t="s">
        <v>39428</v>
      </c>
      <c r="B20031" s="15" t="s">
        <v>39429</v>
      </c>
      <c r="C20031" s="16">
        <f>215.11/(1+B2)</f>
        <v>215.11</v>
      </c>
      <c r="D20031" s="17" t="s">
        <v>11</v>
      </c>
      <c r="E20031" s="17"/>
      <c r="F20031" s="18"/>
      <c r="G20031" s="36" t="str">
        <f>IF(ISNUMBER(F20031),C20031*F20031,"")</f>
        <v/>
      </c>
    </row>
    <row r="20032" spans="1:7" ht="12" customHeight="1" outlineLevel="3" x14ac:dyDescent="0.2">
      <c r="A20032" s="14" t="s">
        <v>39430</v>
      </c>
      <c r="B20032" s="15" t="s">
        <v>39431</v>
      </c>
      <c r="C20032" s="16">
        <f>281.88/(1+B2)</f>
        <v>281.88</v>
      </c>
      <c r="D20032" s="17" t="s">
        <v>14</v>
      </c>
      <c r="E20032" s="17" t="s">
        <v>11</v>
      </c>
      <c r="F20032" s="18"/>
      <c r="G20032" s="36" t="str">
        <f>IF(ISNUMBER(F20032),C20032*F20032,"")</f>
        <v/>
      </c>
    </row>
    <row r="20033" spans="1:7" ht="12" customHeight="1" outlineLevel="3" x14ac:dyDescent="0.2">
      <c r="A20033" s="14" t="s">
        <v>39432</v>
      </c>
      <c r="B20033" s="15" t="s">
        <v>39433</v>
      </c>
      <c r="C20033" s="16">
        <f>294.7/(1+B2)</f>
        <v>294.7</v>
      </c>
      <c r="D20033" s="17" t="s">
        <v>11</v>
      </c>
      <c r="E20033" s="17" t="s">
        <v>53</v>
      </c>
      <c r="F20033" s="18"/>
      <c r="G20033" s="36" t="str">
        <f>IF(ISNUMBER(F20033),C20033*F20033,"")</f>
        <v/>
      </c>
    </row>
    <row r="20034" spans="1:7" ht="12" customHeight="1" outlineLevel="3" x14ac:dyDescent="0.2">
      <c r="A20034" s="14" t="s">
        <v>39434</v>
      </c>
      <c r="B20034" s="15" t="s">
        <v>39435</v>
      </c>
      <c r="C20034" s="16">
        <f>274.86/(1+B2)</f>
        <v>274.86</v>
      </c>
      <c r="D20034" s="17" t="s">
        <v>11</v>
      </c>
      <c r="E20034" s="17"/>
      <c r="F20034" s="18"/>
      <c r="G20034" s="36" t="str">
        <f>IF(ISNUMBER(F20034),C20034*F20034,"")</f>
        <v/>
      </c>
    </row>
    <row r="20035" spans="1:7" ht="12" customHeight="1" outlineLevel="3" x14ac:dyDescent="0.2">
      <c r="A20035" s="14" t="s">
        <v>39436</v>
      </c>
      <c r="B20035" s="15" t="s">
        <v>39437</v>
      </c>
      <c r="C20035" s="16">
        <f>294.7/(1+B2)</f>
        <v>294.7</v>
      </c>
      <c r="D20035" s="17" t="s">
        <v>14</v>
      </c>
      <c r="E20035" s="17" t="s">
        <v>53</v>
      </c>
      <c r="F20035" s="18"/>
      <c r="G20035" s="36" t="str">
        <f>IF(ISNUMBER(F20035),C20035*F20035,"")</f>
        <v/>
      </c>
    </row>
    <row r="20036" spans="1:7" ht="12" customHeight="1" outlineLevel="3" x14ac:dyDescent="0.2">
      <c r="A20036" s="14" t="s">
        <v>39438</v>
      </c>
      <c r="B20036" s="15" t="s">
        <v>39439</v>
      </c>
      <c r="C20036" s="16">
        <f>294.7/(1+B2)</f>
        <v>294.7</v>
      </c>
      <c r="D20036" s="17" t="s">
        <v>11</v>
      </c>
      <c r="E20036" s="17" t="s">
        <v>11</v>
      </c>
      <c r="F20036" s="18"/>
      <c r="G20036" s="36" t="str">
        <f>IF(ISNUMBER(F20036),C20036*F20036,"")</f>
        <v/>
      </c>
    </row>
    <row r="20037" spans="1:7" ht="12" customHeight="1" outlineLevel="3" x14ac:dyDescent="0.2">
      <c r="A20037" s="14" t="s">
        <v>39440</v>
      </c>
      <c r="B20037" s="15" t="s">
        <v>39441</v>
      </c>
      <c r="C20037" s="16">
        <f>219.11/(1+B2)</f>
        <v>219.11</v>
      </c>
      <c r="D20037" s="17" t="s">
        <v>11</v>
      </c>
      <c r="E20037" s="17" t="s">
        <v>14</v>
      </c>
      <c r="F20037" s="18"/>
      <c r="G20037" s="36" t="str">
        <f>IF(ISNUMBER(F20037),C20037*F20037,"")</f>
        <v/>
      </c>
    </row>
    <row r="20038" spans="1:7" ht="12" customHeight="1" outlineLevel="3" x14ac:dyDescent="0.2">
      <c r="A20038" s="14" t="s">
        <v>39442</v>
      </c>
      <c r="B20038" s="15" t="s">
        <v>39443</v>
      </c>
      <c r="C20038" s="16">
        <f>358.76/(1+B2)</f>
        <v>358.76</v>
      </c>
      <c r="D20038" s="17" t="s">
        <v>11</v>
      </c>
      <c r="E20038" s="17" t="s">
        <v>14</v>
      </c>
      <c r="F20038" s="18"/>
      <c r="G20038" s="36" t="str">
        <f>IF(ISNUMBER(F20038),C20038*F20038,"")</f>
        <v/>
      </c>
    </row>
    <row r="20039" spans="1:7" ht="12" customHeight="1" outlineLevel="3" x14ac:dyDescent="0.2">
      <c r="A20039" s="14" t="s">
        <v>39444</v>
      </c>
      <c r="B20039" s="15" t="s">
        <v>39445</v>
      </c>
      <c r="C20039" s="16">
        <f>137.03/(1+B2)</f>
        <v>137.03</v>
      </c>
      <c r="D20039" s="17" t="s">
        <v>11</v>
      </c>
      <c r="E20039" s="17" t="s">
        <v>14</v>
      </c>
      <c r="F20039" s="18"/>
      <c r="G20039" s="36" t="str">
        <f>IF(ISNUMBER(F20039),C20039*F20039,"")</f>
        <v/>
      </c>
    </row>
    <row r="20040" spans="1:7" ht="12" customHeight="1" outlineLevel="3" x14ac:dyDescent="0.2">
      <c r="A20040" s="14" t="s">
        <v>39446</v>
      </c>
      <c r="B20040" s="15" t="s">
        <v>39447</v>
      </c>
      <c r="C20040" s="16">
        <f>142.31/(1+B2)</f>
        <v>142.31</v>
      </c>
      <c r="D20040" s="17" t="s">
        <v>11</v>
      </c>
      <c r="E20040" s="17" t="s">
        <v>11</v>
      </c>
      <c r="F20040" s="18"/>
      <c r="G20040" s="36" t="str">
        <f>IF(ISNUMBER(F20040),C20040*F20040,"")</f>
        <v/>
      </c>
    </row>
    <row r="20041" spans="1:7" ht="12" customHeight="1" outlineLevel="3" x14ac:dyDescent="0.2">
      <c r="A20041" s="14" t="s">
        <v>39448</v>
      </c>
      <c r="B20041" s="15" t="s">
        <v>39449</v>
      </c>
      <c r="C20041" s="16">
        <f>260.76/(1+B2)</f>
        <v>260.76</v>
      </c>
      <c r="D20041" s="17" t="s">
        <v>11</v>
      </c>
      <c r="E20041" s="17" t="s">
        <v>14</v>
      </c>
      <c r="F20041" s="18"/>
      <c r="G20041" s="36" t="str">
        <f>IF(ISNUMBER(F20041),C20041*F20041,"")</f>
        <v/>
      </c>
    </row>
    <row r="20042" spans="1:7" ht="12" customHeight="1" outlineLevel="3" x14ac:dyDescent="0.2">
      <c r="A20042" s="14" t="s">
        <v>39450</v>
      </c>
      <c r="B20042" s="15" t="s">
        <v>39451</v>
      </c>
      <c r="C20042" s="16">
        <f>99.2/(1+B2)</f>
        <v>99.2</v>
      </c>
      <c r="D20042" s="17" t="s">
        <v>11</v>
      </c>
      <c r="E20042" s="17" t="s">
        <v>11</v>
      </c>
      <c r="F20042" s="18"/>
      <c r="G20042" s="36" t="str">
        <f>IF(ISNUMBER(F20042),C20042*F20042,"")</f>
        <v/>
      </c>
    </row>
    <row r="20043" spans="1:7" ht="12" customHeight="1" outlineLevel="3" x14ac:dyDescent="0.2">
      <c r="A20043" s="14" t="s">
        <v>39452</v>
      </c>
      <c r="B20043" s="15" t="s">
        <v>39453</v>
      </c>
      <c r="C20043" s="16">
        <f>159.86/(1+B2)</f>
        <v>159.86000000000001</v>
      </c>
      <c r="D20043" s="17" t="s">
        <v>11</v>
      </c>
      <c r="E20043" s="17" t="s">
        <v>53</v>
      </c>
      <c r="F20043" s="18"/>
      <c r="G20043" s="36" t="str">
        <f>IF(ISNUMBER(F20043),C20043*F20043,"")</f>
        <v/>
      </c>
    </row>
    <row r="20044" spans="1:7" ht="12" customHeight="1" outlineLevel="3" x14ac:dyDescent="0.2">
      <c r="A20044" s="14" t="s">
        <v>39454</v>
      </c>
      <c r="B20044" s="15" t="s">
        <v>39455</v>
      </c>
      <c r="C20044" s="16">
        <f>171.29/(1+B2)</f>
        <v>171.29</v>
      </c>
      <c r="D20044" s="17" t="s">
        <v>11</v>
      </c>
      <c r="E20044" s="17" t="s">
        <v>11</v>
      </c>
      <c r="F20044" s="18"/>
      <c r="G20044" s="36" t="str">
        <f>IF(ISNUMBER(F20044),C20044*F20044,"")</f>
        <v/>
      </c>
    </row>
    <row r="20045" spans="1:7" ht="12" customHeight="1" outlineLevel="3" x14ac:dyDescent="0.2">
      <c r="A20045" s="14" t="s">
        <v>39456</v>
      </c>
      <c r="B20045" s="15" t="s">
        <v>39457</v>
      </c>
      <c r="C20045" s="16">
        <f>109.62/(1+B2)</f>
        <v>109.62</v>
      </c>
      <c r="D20045" s="17" t="s">
        <v>11</v>
      </c>
      <c r="E20045" s="17" t="s">
        <v>14</v>
      </c>
      <c r="F20045" s="18"/>
      <c r="G20045" s="36" t="str">
        <f>IF(ISNUMBER(F20045),C20045*F20045,"")</f>
        <v/>
      </c>
    </row>
    <row r="20046" spans="1:7" ht="12" customHeight="1" outlineLevel="3" x14ac:dyDescent="0.2">
      <c r="A20046" s="14" t="s">
        <v>39458</v>
      </c>
      <c r="B20046" s="15" t="s">
        <v>39459</v>
      </c>
      <c r="C20046" s="16">
        <f>122.18/(1+B2)</f>
        <v>122.18</v>
      </c>
      <c r="D20046" s="17" t="s">
        <v>11</v>
      </c>
      <c r="E20046" s="17"/>
      <c r="F20046" s="18"/>
      <c r="G20046" s="36" t="str">
        <f>IF(ISNUMBER(F20046),C20046*F20046,"")</f>
        <v/>
      </c>
    </row>
    <row r="20047" spans="1:7" ht="12" customHeight="1" outlineLevel="3" x14ac:dyDescent="0.2">
      <c r="A20047" s="14" t="s">
        <v>39460</v>
      </c>
      <c r="B20047" s="15" t="s">
        <v>39461</v>
      </c>
      <c r="C20047" s="16">
        <f>207.2/(1+B2)</f>
        <v>207.2</v>
      </c>
      <c r="D20047" s="17" t="s">
        <v>11</v>
      </c>
      <c r="E20047" s="17" t="s">
        <v>11</v>
      </c>
      <c r="F20047" s="18"/>
      <c r="G20047" s="36" t="str">
        <f>IF(ISNUMBER(F20047),C20047*F20047,"")</f>
        <v/>
      </c>
    </row>
    <row r="20048" spans="1:7" ht="12" customHeight="1" outlineLevel="3" x14ac:dyDescent="0.2">
      <c r="A20048" s="14" t="s">
        <v>39462</v>
      </c>
      <c r="B20048" s="15" t="s">
        <v>39463</v>
      </c>
      <c r="C20048" s="16">
        <f>199.03/(1+B2)</f>
        <v>199.03</v>
      </c>
      <c r="D20048" s="17" t="s">
        <v>11</v>
      </c>
      <c r="E20048" s="17" t="s">
        <v>14</v>
      </c>
      <c r="F20048" s="18"/>
      <c r="G20048" s="36" t="str">
        <f>IF(ISNUMBER(F20048),C20048*F20048,"")</f>
        <v/>
      </c>
    </row>
    <row r="20049" spans="1:7" ht="12" customHeight="1" outlineLevel="3" x14ac:dyDescent="0.2">
      <c r="A20049" s="14" t="s">
        <v>39464</v>
      </c>
      <c r="B20049" s="15" t="s">
        <v>39465</v>
      </c>
      <c r="C20049" s="16">
        <f>177/(1+B2)</f>
        <v>177</v>
      </c>
      <c r="D20049" s="17" t="s">
        <v>11</v>
      </c>
      <c r="E20049" s="17" t="s">
        <v>11</v>
      </c>
      <c r="F20049" s="18"/>
      <c r="G20049" s="36" t="str">
        <f>IF(ISNUMBER(F20049),C20049*F20049,"")</f>
        <v/>
      </c>
    </row>
    <row r="20050" spans="1:7" ht="12" customHeight="1" outlineLevel="3" x14ac:dyDescent="0.2">
      <c r="A20050" s="14" t="s">
        <v>39466</v>
      </c>
      <c r="B20050" s="15" t="s">
        <v>39467</v>
      </c>
      <c r="C20050" s="16">
        <f>250.08/(1+B2)</f>
        <v>250.08</v>
      </c>
      <c r="D20050" s="17" t="s">
        <v>11</v>
      </c>
      <c r="E20050" s="17" t="s">
        <v>14</v>
      </c>
      <c r="F20050" s="18"/>
      <c r="G20050" s="36" t="str">
        <f>IF(ISNUMBER(F20050),C20050*F20050,"")</f>
        <v/>
      </c>
    </row>
    <row r="20051" spans="1:7" ht="12" customHeight="1" outlineLevel="3" x14ac:dyDescent="0.2">
      <c r="A20051" s="14" t="s">
        <v>39468</v>
      </c>
      <c r="B20051" s="15" t="s">
        <v>39469</v>
      </c>
      <c r="C20051" s="16">
        <f>125.95/(1+B2)</f>
        <v>125.95</v>
      </c>
      <c r="D20051" s="17" t="s">
        <v>11</v>
      </c>
      <c r="E20051" s="17" t="s">
        <v>11</v>
      </c>
      <c r="F20051" s="18"/>
      <c r="G20051" s="36" t="str">
        <f>IF(ISNUMBER(F20051),C20051*F20051,"")</f>
        <v/>
      </c>
    </row>
    <row r="20052" spans="1:7" ht="12" customHeight="1" outlineLevel="3" x14ac:dyDescent="0.2">
      <c r="A20052" s="14" t="s">
        <v>39470</v>
      </c>
      <c r="B20052" s="15" t="s">
        <v>39471</v>
      </c>
      <c r="C20052" s="16">
        <f>188.88/(1+B2)</f>
        <v>188.88</v>
      </c>
      <c r="D20052" s="17" t="s">
        <v>11</v>
      </c>
      <c r="E20052" s="17" t="s">
        <v>53</v>
      </c>
      <c r="F20052" s="18"/>
      <c r="G20052" s="36" t="str">
        <f>IF(ISNUMBER(F20052),C20052*F20052,"")</f>
        <v/>
      </c>
    </row>
    <row r="20053" spans="1:7" ht="12" customHeight="1" outlineLevel="3" x14ac:dyDescent="0.2">
      <c r="A20053" s="14" t="s">
        <v>39472</v>
      </c>
      <c r="B20053" s="15" t="s">
        <v>39473</v>
      </c>
      <c r="C20053" s="16">
        <f>179.96/(1+B2)</f>
        <v>179.96</v>
      </c>
      <c r="D20053" s="17" t="s">
        <v>11</v>
      </c>
      <c r="E20053" s="17" t="s">
        <v>14</v>
      </c>
      <c r="F20053" s="18"/>
      <c r="G20053" s="36" t="str">
        <f>IF(ISNUMBER(F20053),C20053*F20053,"")</f>
        <v/>
      </c>
    </row>
    <row r="20054" spans="1:7" ht="12" customHeight="1" outlineLevel="3" x14ac:dyDescent="0.2">
      <c r="A20054" s="14" t="s">
        <v>39474</v>
      </c>
      <c r="B20054" s="15" t="s">
        <v>39475</v>
      </c>
      <c r="C20054" s="16">
        <f>231.44/(1+B2)</f>
        <v>231.44</v>
      </c>
      <c r="D20054" s="17" t="s">
        <v>11</v>
      </c>
      <c r="E20054" s="17" t="s">
        <v>53</v>
      </c>
      <c r="F20054" s="18"/>
      <c r="G20054" s="36" t="str">
        <f>IF(ISNUMBER(F20054),C20054*F20054,"")</f>
        <v/>
      </c>
    </row>
    <row r="20055" spans="1:7" ht="12" customHeight="1" outlineLevel="3" x14ac:dyDescent="0.2">
      <c r="A20055" s="14" t="s">
        <v>39476</v>
      </c>
      <c r="B20055" s="15" t="s">
        <v>39477</v>
      </c>
      <c r="C20055" s="16">
        <f>273.13/(1+B2)</f>
        <v>273.13</v>
      </c>
      <c r="D20055" s="17" t="s">
        <v>11</v>
      </c>
      <c r="E20055" s="17"/>
      <c r="F20055" s="18"/>
      <c r="G20055" s="36" t="str">
        <f>IF(ISNUMBER(F20055),C20055*F20055,"")</f>
        <v/>
      </c>
    </row>
    <row r="20056" spans="1:7" ht="12" customHeight="1" outlineLevel="3" x14ac:dyDescent="0.2">
      <c r="A20056" s="14" t="s">
        <v>39478</v>
      </c>
      <c r="B20056" s="15" t="s">
        <v>39479</v>
      </c>
      <c r="C20056" s="16">
        <f>160.18/(1+B2)</f>
        <v>160.18</v>
      </c>
      <c r="D20056" s="17" t="s">
        <v>11</v>
      </c>
      <c r="E20056" s="17" t="s">
        <v>11</v>
      </c>
      <c r="F20056" s="18"/>
      <c r="G20056" s="36" t="str">
        <f>IF(ISNUMBER(F20056),C20056*F20056,"")</f>
        <v/>
      </c>
    </row>
    <row r="20057" spans="1:7" ht="12" customHeight="1" outlineLevel="3" x14ac:dyDescent="0.2">
      <c r="A20057" s="14" t="s">
        <v>39480</v>
      </c>
      <c r="B20057" s="15" t="s">
        <v>39481</v>
      </c>
      <c r="C20057" s="16">
        <f>215.4/(1+B2)</f>
        <v>215.4</v>
      </c>
      <c r="D20057" s="17" t="s">
        <v>11</v>
      </c>
      <c r="E20057" s="17" t="s">
        <v>14</v>
      </c>
      <c r="F20057" s="18"/>
      <c r="G20057" s="36" t="str">
        <f>IF(ISNUMBER(F20057),C20057*F20057,"")</f>
        <v/>
      </c>
    </row>
    <row r="20058" spans="1:7" ht="12" customHeight="1" outlineLevel="3" x14ac:dyDescent="0.2">
      <c r="A20058" s="14" t="s">
        <v>39482</v>
      </c>
      <c r="B20058" s="15" t="s">
        <v>39483</v>
      </c>
      <c r="C20058" s="16">
        <f>175.38/(1+B2)</f>
        <v>175.38</v>
      </c>
      <c r="D20058" s="17" t="s">
        <v>11</v>
      </c>
      <c r="E20058" s="17" t="s">
        <v>14</v>
      </c>
      <c r="F20058" s="18"/>
      <c r="G20058" s="36" t="str">
        <f>IF(ISNUMBER(F20058),C20058*F20058,"")</f>
        <v/>
      </c>
    </row>
    <row r="20059" spans="1:7" ht="12" customHeight="1" outlineLevel="3" x14ac:dyDescent="0.2">
      <c r="A20059" s="14" t="s">
        <v>39484</v>
      </c>
      <c r="B20059" s="15" t="s">
        <v>39485</v>
      </c>
      <c r="C20059" s="16">
        <f>195.73/(1+B2)</f>
        <v>195.73</v>
      </c>
      <c r="D20059" s="17" t="s">
        <v>11</v>
      </c>
      <c r="E20059" s="17" t="s">
        <v>14</v>
      </c>
      <c r="F20059" s="18"/>
      <c r="G20059" s="36" t="str">
        <f>IF(ISNUMBER(F20059),C20059*F20059,"")</f>
        <v/>
      </c>
    </row>
    <row r="20060" spans="1:7" ht="24" customHeight="1" outlineLevel="3" x14ac:dyDescent="0.2">
      <c r="A20060" s="14" t="s">
        <v>39486</v>
      </c>
      <c r="B20060" s="15" t="s">
        <v>39487</v>
      </c>
      <c r="C20060" s="16">
        <f>163.3/(1+B2)</f>
        <v>163.30000000000001</v>
      </c>
      <c r="D20060" s="17" t="s">
        <v>11</v>
      </c>
      <c r="E20060" s="17" t="s">
        <v>11</v>
      </c>
      <c r="F20060" s="18"/>
      <c r="G20060" s="36" t="str">
        <f>IF(ISNUMBER(F20060),C20060*F20060,"")</f>
        <v/>
      </c>
    </row>
    <row r="20061" spans="1:7" ht="12" customHeight="1" outlineLevel="3" x14ac:dyDescent="0.2">
      <c r="A20061" s="14" t="s">
        <v>39488</v>
      </c>
      <c r="B20061" s="15" t="s">
        <v>39489</v>
      </c>
      <c r="C20061" s="16">
        <f>111.91/(1+B2)</f>
        <v>111.91</v>
      </c>
      <c r="D20061" s="17" t="s">
        <v>11</v>
      </c>
      <c r="E20061" s="17" t="s">
        <v>11</v>
      </c>
      <c r="F20061" s="18"/>
      <c r="G20061" s="36" t="str">
        <f>IF(ISNUMBER(F20061),C20061*F20061,"")</f>
        <v/>
      </c>
    </row>
    <row r="20062" spans="1:7" ht="12" customHeight="1" outlineLevel="3" x14ac:dyDescent="0.2">
      <c r="A20062" s="14" t="s">
        <v>39490</v>
      </c>
      <c r="B20062" s="15" t="s">
        <v>39491</v>
      </c>
      <c r="C20062" s="16">
        <f>125.62/(1+B2)</f>
        <v>125.62</v>
      </c>
      <c r="D20062" s="17" t="s">
        <v>11</v>
      </c>
      <c r="E20062" s="17"/>
      <c r="F20062" s="18"/>
      <c r="G20062" s="36" t="str">
        <f>IF(ISNUMBER(F20062),C20062*F20062,"")</f>
        <v/>
      </c>
    </row>
    <row r="20063" spans="1:7" ht="12" customHeight="1" outlineLevel="3" x14ac:dyDescent="0.2">
      <c r="A20063" s="14" t="s">
        <v>39492</v>
      </c>
      <c r="B20063" s="15" t="s">
        <v>39493</v>
      </c>
      <c r="C20063" s="16">
        <f>90.22/(1+B2)</f>
        <v>90.22</v>
      </c>
      <c r="D20063" s="17" t="s">
        <v>11</v>
      </c>
      <c r="E20063" s="17" t="s">
        <v>11</v>
      </c>
      <c r="F20063" s="18"/>
      <c r="G20063" s="36" t="str">
        <f>IF(ISNUMBER(F20063),C20063*F20063,"")</f>
        <v/>
      </c>
    </row>
    <row r="20064" spans="1:7" ht="12" customHeight="1" outlineLevel="3" x14ac:dyDescent="0.2">
      <c r="A20064" s="14" t="s">
        <v>39494</v>
      </c>
      <c r="B20064" s="15" t="s">
        <v>39495</v>
      </c>
      <c r="C20064" s="16">
        <f>107.27/(1+B2)</f>
        <v>107.27</v>
      </c>
      <c r="D20064" s="17" t="s">
        <v>11</v>
      </c>
      <c r="E20064" s="17" t="s">
        <v>14</v>
      </c>
      <c r="F20064" s="18"/>
      <c r="G20064" s="36" t="str">
        <f>IF(ISNUMBER(F20064),C20064*F20064,"")</f>
        <v/>
      </c>
    </row>
    <row r="20065" spans="1:7" ht="12" customHeight="1" outlineLevel="3" x14ac:dyDescent="0.2">
      <c r="A20065" s="14" t="s">
        <v>39496</v>
      </c>
      <c r="B20065" s="15" t="s">
        <v>39497</v>
      </c>
      <c r="C20065" s="16">
        <f>124.24/(1+B2)</f>
        <v>124.24</v>
      </c>
      <c r="D20065" s="17" t="s">
        <v>11</v>
      </c>
      <c r="E20065" s="17" t="s">
        <v>11</v>
      </c>
      <c r="F20065" s="18"/>
      <c r="G20065" s="36" t="str">
        <f>IF(ISNUMBER(F20065),C20065*F20065,"")</f>
        <v/>
      </c>
    </row>
    <row r="20066" spans="1:7" ht="12" customHeight="1" outlineLevel="3" x14ac:dyDescent="0.2">
      <c r="A20066" s="14" t="s">
        <v>39498</v>
      </c>
      <c r="B20066" s="15" t="s">
        <v>39499</v>
      </c>
      <c r="C20066" s="16">
        <f>141.6/(1+B2)</f>
        <v>141.6</v>
      </c>
      <c r="D20066" s="17" t="s">
        <v>11</v>
      </c>
      <c r="E20066" s="17" t="s">
        <v>14</v>
      </c>
      <c r="F20066" s="18"/>
      <c r="G20066" s="36" t="str">
        <f>IF(ISNUMBER(F20066),C20066*F20066,"")</f>
        <v/>
      </c>
    </row>
    <row r="20067" spans="1:7" ht="12" customHeight="1" outlineLevel="3" x14ac:dyDescent="0.2">
      <c r="A20067" s="14" t="s">
        <v>39500</v>
      </c>
      <c r="B20067" s="15" t="s">
        <v>39501</v>
      </c>
      <c r="C20067" s="16">
        <f>130.18/(1+B2)</f>
        <v>130.18</v>
      </c>
      <c r="D20067" s="17" t="s">
        <v>11</v>
      </c>
      <c r="E20067" s="17" t="s">
        <v>11</v>
      </c>
      <c r="F20067" s="18"/>
      <c r="G20067" s="36" t="str">
        <f>IF(ISNUMBER(F20067),C20067*F20067,"")</f>
        <v/>
      </c>
    </row>
    <row r="20068" spans="1:7" ht="12" customHeight="1" outlineLevel="3" x14ac:dyDescent="0.2">
      <c r="A20068" s="14" t="s">
        <v>39502</v>
      </c>
      <c r="B20068" s="15" t="s">
        <v>39503</v>
      </c>
      <c r="C20068" s="16">
        <f>107.34/(1+B2)</f>
        <v>107.34</v>
      </c>
      <c r="D20068" s="17" t="s">
        <v>11</v>
      </c>
      <c r="E20068" s="17" t="s">
        <v>14</v>
      </c>
      <c r="F20068" s="18"/>
      <c r="G20068" s="36" t="str">
        <f>IF(ISNUMBER(F20068),C20068*F20068,"")</f>
        <v/>
      </c>
    </row>
    <row r="20069" spans="1:7" ht="12" customHeight="1" outlineLevel="3" x14ac:dyDescent="0.2">
      <c r="A20069" s="14" t="s">
        <v>39504</v>
      </c>
      <c r="B20069" s="15" t="s">
        <v>39505</v>
      </c>
      <c r="C20069" s="16">
        <f>241.56/(1+B2)</f>
        <v>241.56</v>
      </c>
      <c r="D20069" s="17" t="s">
        <v>11</v>
      </c>
      <c r="E20069" s="17" t="s">
        <v>14</v>
      </c>
      <c r="F20069" s="18"/>
      <c r="G20069" s="36" t="str">
        <f>IF(ISNUMBER(F20069),C20069*F20069,"")</f>
        <v/>
      </c>
    </row>
    <row r="20070" spans="1:7" ht="12" customHeight="1" outlineLevel="3" x14ac:dyDescent="0.2">
      <c r="A20070" s="14" t="s">
        <v>39506</v>
      </c>
      <c r="B20070" s="15" t="s">
        <v>39507</v>
      </c>
      <c r="C20070" s="16">
        <f>120.49/(1+B2)</f>
        <v>120.49</v>
      </c>
      <c r="D20070" s="17" t="s">
        <v>11</v>
      </c>
      <c r="E20070" s="17" t="s">
        <v>53</v>
      </c>
      <c r="F20070" s="18"/>
      <c r="G20070" s="36" t="str">
        <f>IF(ISNUMBER(F20070),C20070*F20070,"")</f>
        <v/>
      </c>
    </row>
    <row r="20071" spans="1:7" ht="12" customHeight="1" outlineLevel="3" x14ac:dyDescent="0.2">
      <c r="A20071" s="14" t="s">
        <v>39508</v>
      </c>
      <c r="B20071" s="15" t="s">
        <v>39509</v>
      </c>
      <c r="C20071" s="16">
        <f>118.12/(1+B2)</f>
        <v>118.12</v>
      </c>
      <c r="D20071" s="17" t="s">
        <v>14</v>
      </c>
      <c r="E20071" s="17" t="s">
        <v>14</v>
      </c>
      <c r="F20071" s="18"/>
      <c r="G20071" s="36" t="str">
        <f>IF(ISNUMBER(F20071),C20071*F20071,"")</f>
        <v/>
      </c>
    </row>
    <row r="20072" spans="1:7" ht="12" customHeight="1" outlineLevel="3" x14ac:dyDescent="0.2">
      <c r="A20072" s="14" t="s">
        <v>39510</v>
      </c>
      <c r="B20072" s="15" t="s">
        <v>39511</v>
      </c>
      <c r="C20072" s="16">
        <f>73.19/(1+B2)</f>
        <v>73.19</v>
      </c>
      <c r="D20072" s="17" t="s">
        <v>11</v>
      </c>
      <c r="E20072" s="17" t="s">
        <v>14</v>
      </c>
      <c r="F20072" s="18"/>
      <c r="G20072" s="36" t="str">
        <f>IF(ISNUMBER(F20072),C20072*F20072,"")</f>
        <v/>
      </c>
    </row>
    <row r="20073" spans="1:7" ht="12" customHeight="1" outlineLevel="3" x14ac:dyDescent="0.2">
      <c r="A20073" s="14" t="s">
        <v>39512</v>
      </c>
      <c r="B20073" s="15" t="s">
        <v>39513</v>
      </c>
      <c r="C20073" s="16">
        <f>96.44/(1+B2)</f>
        <v>96.44</v>
      </c>
      <c r="D20073" s="17" t="s">
        <v>11</v>
      </c>
      <c r="E20073" s="17"/>
      <c r="F20073" s="18"/>
      <c r="G20073" s="36" t="str">
        <f>IF(ISNUMBER(F20073),C20073*F20073,"")</f>
        <v/>
      </c>
    </row>
    <row r="20074" spans="1:7" s="1" customFormat="1" ht="12.95" customHeight="1" outlineLevel="2" x14ac:dyDescent="0.2">
      <c r="A20074" s="20"/>
      <c r="B20074" s="21" t="s">
        <v>39514</v>
      </c>
      <c r="C20074" s="22"/>
      <c r="D20074" s="22"/>
      <c r="E20074" s="22"/>
      <c r="F20074" s="22"/>
      <c r="G20074" s="37"/>
    </row>
    <row r="20075" spans="1:7" ht="12" customHeight="1" outlineLevel="3" x14ac:dyDescent="0.2">
      <c r="A20075" s="14" t="s">
        <v>39515</v>
      </c>
      <c r="B20075" s="15" t="s">
        <v>39516</v>
      </c>
      <c r="C20075" s="16">
        <f>10/(1+B2)</f>
        <v>10</v>
      </c>
      <c r="D20075" s="17" t="s">
        <v>11</v>
      </c>
      <c r="E20075" s="17" t="s">
        <v>14</v>
      </c>
      <c r="F20075" s="18"/>
      <c r="G20075" s="36" t="str">
        <f>IF(ISNUMBER(F20075),C20075*F20075,"")</f>
        <v/>
      </c>
    </row>
    <row r="20076" spans="1:7" ht="12" customHeight="1" outlineLevel="3" x14ac:dyDescent="0.2">
      <c r="A20076" s="14" t="s">
        <v>39517</v>
      </c>
      <c r="B20076" s="15" t="s">
        <v>39518</v>
      </c>
      <c r="C20076" s="16">
        <f>31.65/(1+B2)</f>
        <v>31.65</v>
      </c>
      <c r="D20076" s="17"/>
      <c r="E20076" s="17" t="s">
        <v>11</v>
      </c>
      <c r="F20076" s="18"/>
      <c r="G20076" s="36" t="str">
        <f>IF(ISNUMBER(F20076),C20076*F20076,"")</f>
        <v/>
      </c>
    </row>
    <row r="20077" spans="1:7" ht="12" customHeight="1" outlineLevel="3" x14ac:dyDescent="0.2">
      <c r="A20077" s="14" t="s">
        <v>39519</v>
      </c>
      <c r="B20077" s="15" t="s">
        <v>39520</v>
      </c>
      <c r="C20077" s="16">
        <f>70/(1+B2)</f>
        <v>70</v>
      </c>
      <c r="D20077" s="17" t="s">
        <v>14</v>
      </c>
      <c r="E20077" s="17"/>
      <c r="F20077" s="18"/>
      <c r="G20077" s="36" t="str">
        <f>IF(ISNUMBER(F20077),C20077*F20077,"")</f>
        <v/>
      </c>
    </row>
    <row r="20078" spans="1:7" ht="12" customHeight="1" outlineLevel="3" x14ac:dyDescent="0.2">
      <c r="A20078" s="14" t="s">
        <v>39521</v>
      </c>
      <c r="B20078" s="15" t="s">
        <v>39522</v>
      </c>
      <c r="C20078" s="16">
        <f>51.25/(1+B2)</f>
        <v>51.25</v>
      </c>
      <c r="D20078" s="17" t="s">
        <v>11</v>
      </c>
      <c r="E20078" s="17" t="s">
        <v>14</v>
      </c>
      <c r="F20078" s="18"/>
      <c r="G20078" s="36" t="str">
        <f>IF(ISNUMBER(F20078),C20078*F20078,"")</f>
        <v/>
      </c>
    </row>
    <row r="20079" spans="1:7" ht="24" customHeight="1" outlineLevel="3" x14ac:dyDescent="0.2">
      <c r="A20079" s="14" t="s">
        <v>39523</v>
      </c>
      <c r="B20079" s="15" t="s">
        <v>39524</v>
      </c>
      <c r="C20079" s="16">
        <f>35.85/(1+B2)</f>
        <v>35.85</v>
      </c>
      <c r="D20079" s="17" t="s">
        <v>11</v>
      </c>
      <c r="E20079" s="17"/>
      <c r="F20079" s="18"/>
      <c r="G20079" s="36" t="str">
        <f>IF(ISNUMBER(F20079),C20079*F20079,"")</f>
        <v/>
      </c>
    </row>
    <row r="20080" spans="1:7" ht="12" customHeight="1" outlineLevel="3" x14ac:dyDescent="0.2">
      <c r="A20080" s="14" t="s">
        <v>39525</v>
      </c>
      <c r="B20080" s="15" t="s">
        <v>39526</v>
      </c>
      <c r="C20080" s="16">
        <f>24.25/(1+B2)</f>
        <v>24.25</v>
      </c>
      <c r="D20080" s="17" t="s">
        <v>11</v>
      </c>
      <c r="E20080" s="17" t="s">
        <v>11</v>
      </c>
      <c r="F20080" s="18"/>
      <c r="G20080" s="36" t="str">
        <f>IF(ISNUMBER(F20080),C20080*F20080,"")</f>
        <v/>
      </c>
    </row>
    <row r="20081" spans="1:7" ht="12" customHeight="1" outlineLevel="3" x14ac:dyDescent="0.2">
      <c r="A20081" s="14" t="s">
        <v>39527</v>
      </c>
      <c r="B20081" s="15" t="s">
        <v>39528</v>
      </c>
      <c r="C20081" s="16">
        <f>30.19/(1+B2)</f>
        <v>30.19</v>
      </c>
      <c r="D20081" s="17" t="s">
        <v>53</v>
      </c>
      <c r="E20081" s="17"/>
      <c r="F20081" s="18"/>
      <c r="G20081" s="36" t="str">
        <f>IF(ISNUMBER(F20081),C20081*F20081,"")</f>
        <v/>
      </c>
    </row>
    <row r="20082" spans="1:7" ht="12" customHeight="1" outlineLevel="3" x14ac:dyDescent="0.2">
      <c r="A20082" s="14" t="s">
        <v>39529</v>
      </c>
      <c r="B20082" s="15" t="s">
        <v>39530</v>
      </c>
      <c r="C20082" s="16">
        <f>33.21/(1+B2)</f>
        <v>33.21</v>
      </c>
      <c r="D20082" s="17" t="s">
        <v>106</v>
      </c>
      <c r="E20082" s="17"/>
      <c r="F20082" s="18"/>
      <c r="G20082" s="36" t="str">
        <f>IF(ISNUMBER(F20082),C20082*F20082,"")</f>
        <v/>
      </c>
    </row>
    <row r="20083" spans="1:7" ht="12" customHeight="1" outlineLevel="3" x14ac:dyDescent="0.2">
      <c r="A20083" s="14" t="s">
        <v>39531</v>
      </c>
      <c r="B20083" s="15" t="s">
        <v>39532</v>
      </c>
      <c r="C20083" s="16">
        <f>35.85/(1+B2)</f>
        <v>35.85</v>
      </c>
      <c r="D20083" s="17" t="s">
        <v>11</v>
      </c>
      <c r="E20083" s="17" t="s">
        <v>11</v>
      </c>
      <c r="F20083" s="18"/>
      <c r="G20083" s="36" t="str">
        <f>IF(ISNUMBER(F20083),C20083*F20083,"")</f>
        <v/>
      </c>
    </row>
    <row r="20084" spans="1:7" ht="12" customHeight="1" outlineLevel="3" x14ac:dyDescent="0.2">
      <c r="A20084" s="14" t="s">
        <v>39533</v>
      </c>
      <c r="B20084" s="15" t="s">
        <v>39534</v>
      </c>
      <c r="C20084" s="16">
        <f>47.8/(1+B2)</f>
        <v>47.8</v>
      </c>
      <c r="D20084" s="17" t="s">
        <v>11</v>
      </c>
      <c r="E20084" s="17"/>
      <c r="F20084" s="18"/>
      <c r="G20084" s="36" t="str">
        <f>IF(ISNUMBER(F20084),C20084*F20084,"")</f>
        <v/>
      </c>
    </row>
    <row r="20085" spans="1:7" ht="12" customHeight="1" outlineLevel="3" x14ac:dyDescent="0.2">
      <c r="A20085" s="14" t="s">
        <v>39535</v>
      </c>
      <c r="B20085" s="15" t="s">
        <v>39536</v>
      </c>
      <c r="C20085" s="16">
        <f>59.75/(1+B2)</f>
        <v>59.75</v>
      </c>
      <c r="D20085" s="17" t="s">
        <v>11</v>
      </c>
      <c r="E20085" s="17" t="s">
        <v>14</v>
      </c>
      <c r="F20085" s="18"/>
      <c r="G20085" s="36" t="str">
        <f>IF(ISNUMBER(F20085),C20085*F20085,"")</f>
        <v/>
      </c>
    </row>
    <row r="20086" spans="1:7" ht="12" customHeight="1" outlineLevel="3" x14ac:dyDescent="0.2">
      <c r="A20086" s="14" t="s">
        <v>39537</v>
      </c>
      <c r="B20086" s="15" t="s">
        <v>39538</v>
      </c>
      <c r="C20086" s="16">
        <f>292.14/(1+B2)</f>
        <v>292.14</v>
      </c>
      <c r="D20086" s="17" t="s">
        <v>11</v>
      </c>
      <c r="E20086" s="17" t="s">
        <v>11</v>
      </c>
      <c r="F20086" s="18"/>
      <c r="G20086" s="36" t="str">
        <f>IF(ISNUMBER(F20086),C20086*F20086,"")</f>
        <v/>
      </c>
    </row>
    <row r="20087" spans="1:7" ht="12" customHeight="1" outlineLevel="3" x14ac:dyDescent="0.2">
      <c r="A20087" s="14" t="s">
        <v>39539</v>
      </c>
      <c r="B20087" s="15" t="s">
        <v>39540</v>
      </c>
      <c r="C20087" s="16">
        <f>55.15/(1+B2)</f>
        <v>55.15</v>
      </c>
      <c r="D20087" s="17" t="s">
        <v>11</v>
      </c>
      <c r="E20087" s="17" t="s">
        <v>11</v>
      </c>
      <c r="F20087" s="18"/>
      <c r="G20087" s="36" t="str">
        <f>IF(ISNUMBER(F20087),C20087*F20087,"")</f>
        <v/>
      </c>
    </row>
    <row r="20088" spans="1:7" ht="12" customHeight="1" outlineLevel="3" x14ac:dyDescent="0.2">
      <c r="A20088" s="14" t="s">
        <v>39541</v>
      </c>
      <c r="B20088" s="15" t="s">
        <v>39542</v>
      </c>
      <c r="C20088" s="16">
        <f>52.52/(1+B2)</f>
        <v>52.52</v>
      </c>
      <c r="D20088" s="17" t="s">
        <v>11</v>
      </c>
      <c r="E20088" s="17" t="s">
        <v>14</v>
      </c>
      <c r="F20088" s="18"/>
      <c r="G20088" s="36" t="str">
        <f>IF(ISNUMBER(F20088),C20088*F20088,"")</f>
        <v/>
      </c>
    </row>
    <row r="20089" spans="1:7" ht="12" customHeight="1" outlineLevel="3" x14ac:dyDescent="0.2">
      <c r="A20089" s="14" t="s">
        <v>39543</v>
      </c>
      <c r="B20089" s="15" t="s">
        <v>39544</v>
      </c>
      <c r="C20089" s="16">
        <f>23.41/(1+B2)</f>
        <v>23.41</v>
      </c>
      <c r="D20089" s="17" t="s">
        <v>11</v>
      </c>
      <c r="E20089" s="17" t="s">
        <v>11</v>
      </c>
      <c r="F20089" s="18"/>
      <c r="G20089" s="36" t="str">
        <f>IF(ISNUMBER(F20089),C20089*F20089,"")</f>
        <v/>
      </c>
    </row>
    <row r="20090" spans="1:7" ht="12" customHeight="1" outlineLevel="3" x14ac:dyDescent="0.2">
      <c r="A20090" s="14" t="s">
        <v>39545</v>
      </c>
      <c r="B20090" s="15" t="s">
        <v>39546</v>
      </c>
      <c r="C20090" s="16">
        <f>172.54/(1+B2)</f>
        <v>172.54</v>
      </c>
      <c r="D20090" s="17" t="s">
        <v>11</v>
      </c>
      <c r="E20090" s="17" t="s">
        <v>11</v>
      </c>
      <c r="F20090" s="18"/>
      <c r="G20090" s="36" t="str">
        <f>IF(ISNUMBER(F20090),C20090*F20090,"")</f>
        <v/>
      </c>
    </row>
    <row r="20091" spans="1:7" ht="12" customHeight="1" outlineLevel="3" x14ac:dyDescent="0.2">
      <c r="A20091" s="14" t="s">
        <v>39547</v>
      </c>
      <c r="B20091" s="15" t="s">
        <v>39548</v>
      </c>
      <c r="C20091" s="16">
        <f>124.46/(1+B2)</f>
        <v>124.46</v>
      </c>
      <c r="D20091" s="17" t="s">
        <v>11</v>
      </c>
      <c r="E20091" s="17" t="s">
        <v>11</v>
      </c>
      <c r="F20091" s="18"/>
      <c r="G20091" s="36" t="str">
        <f>IF(ISNUMBER(F20091),C20091*F20091,"")</f>
        <v/>
      </c>
    </row>
    <row r="20092" spans="1:7" ht="12" customHeight="1" outlineLevel="3" x14ac:dyDescent="0.2">
      <c r="A20092" s="14" t="s">
        <v>39549</v>
      </c>
      <c r="B20092" s="15" t="s">
        <v>39550</v>
      </c>
      <c r="C20092" s="16">
        <f>369.38/(1+B2)</f>
        <v>369.38</v>
      </c>
      <c r="D20092" s="17" t="s">
        <v>11</v>
      </c>
      <c r="E20092" s="17"/>
      <c r="F20092" s="18"/>
      <c r="G20092" s="36" t="str">
        <f>IF(ISNUMBER(F20092),C20092*F20092,"")</f>
        <v/>
      </c>
    </row>
    <row r="20093" spans="1:7" ht="12" customHeight="1" outlineLevel="3" x14ac:dyDescent="0.2">
      <c r="A20093" s="14" t="s">
        <v>39551</v>
      </c>
      <c r="B20093" s="15" t="s">
        <v>39552</v>
      </c>
      <c r="C20093" s="16">
        <f>194.12/(1+B2)</f>
        <v>194.12</v>
      </c>
      <c r="D20093" s="17" t="s">
        <v>11</v>
      </c>
      <c r="E20093" s="17" t="s">
        <v>11</v>
      </c>
      <c r="F20093" s="18"/>
      <c r="G20093" s="36" t="str">
        <f>IF(ISNUMBER(F20093),C20093*F20093,"")</f>
        <v/>
      </c>
    </row>
    <row r="20094" spans="1:7" ht="12" customHeight="1" outlineLevel="3" x14ac:dyDescent="0.2">
      <c r="A20094" s="14" t="s">
        <v>39553</v>
      </c>
      <c r="B20094" s="15" t="s">
        <v>39554</v>
      </c>
      <c r="C20094" s="16">
        <f>174.72/(1+B2)</f>
        <v>174.72</v>
      </c>
      <c r="D20094" s="17" t="s">
        <v>11</v>
      </c>
      <c r="E20094" s="17" t="s">
        <v>14</v>
      </c>
      <c r="F20094" s="18"/>
      <c r="G20094" s="36" t="str">
        <f>IF(ISNUMBER(F20094),C20094*F20094,"")</f>
        <v/>
      </c>
    </row>
    <row r="20095" spans="1:7" ht="12" customHeight="1" outlineLevel="3" x14ac:dyDescent="0.2">
      <c r="A20095" s="14" t="s">
        <v>39555</v>
      </c>
      <c r="B20095" s="15" t="s">
        <v>39556</v>
      </c>
      <c r="C20095" s="16">
        <f>163.59/(1+B2)</f>
        <v>163.59</v>
      </c>
      <c r="D20095" s="17" t="s">
        <v>11</v>
      </c>
      <c r="E20095" s="17"/>
      <c r="F20095" s="18"/>
      <c r="G20095" s="36" t="str">
        <f>IF(ISNUMBER(F20095),C20095*F20095,"")</f>
        <v/>
      </c>
    </row>
    <row r="20096" spans="1:7" ht="12" customHeight="1" outlineLevel="3" x14ac:dyDescent="0.2">
      <c r="A20096" s="14" t="s">
        <v>39557</v>
      </c>
      <c r="B20096" s="15" t="s">
        <v>39558</v>
      </c>
      <c r="C20096" s="16">
        <f>286.36/(1+B2)</f>
        <v>286.36</v>
      </c>
      <c r="D20096" s="17" t="s">
        <v>11</v>
      </c>
      <c r="E20096" s="17" t="s">
        <v>11</v>
      </c>
      <c r="F20096" s="18"/>
      <c r="G20096" s="36" t="str">
        <f>IF(ISNUMBER(F20096),C20096*F20096,"")</f>
        <v/>
      </c>
    </row>
    <row r="20097" spans="1:7" ht="12" customHeight="1" outlineLevel="3" x14ac:dyDescent="0.2">
      <c r="A20097" s="14" t="s">
        <v>39559</v>
      </c>
      <c r="B20097" s="15" t="s">
        <v>39560</v>
      </c>
      <c r="C20097" s="16">
        <f>162.59/(1+B2)</f>
        <v>162.59</v>
      </c>
      <c r="D20097" s="17" t="s">
        <v>11</v>
      </c>
      <c r="E20097" s="17" t="s">
        <v>11</v>
      </c>
      <c r="F20097" s="18"/>
      <c r="G20097" s="36" t="str">
        <f>IF(ISNUMBER(F20097),C20097*F20097,"")</f>
        <v/>
      </c>
    </row>
    <row r="20098" spans="1:7" ht="12" customHeight="1" outlineLevel="3" x14ac:dyDescent="0.2">
      <c r="A20098" s="14" t="s">
        <v>39561</v>
      </c>
      <c r="B20098" s="15" t="s">
        <v>39562</v>
      </c>
      <c r="C20098" s="16">
        <f>83.65/(1+B2)</f>
        <v>83.65</v>
      </c>
      <c r="D20098" s="17" t="s">
        <v>11</v>
      </c>
      <c r="E20098" s="17"/>
      <c r="F20098" s="18"/>
      <c r="G20098" s="36" t="str">
        <f>IF(ISNUMBER(F20098),C20098*F20098,"")</f>
        <v/>
      </c>
    </row>
    <row r="20099" spans="1:7" ht="12" customHeight="1" outlineLevel="3" x14ac:dyDescent="0.2">
      <c r="A20099" s="14" t="s">
        <v>39563</v>
      </c>
      <c r="B20099" s="15" t="s">
        <v>39564</v>
      </c>
      <c r="C20099" s="16">
        <f>146.08/(1+B2)</f>
        <v>146.08000000000001</v>
      </c>
      <c r="D20099" s="17" t="s">
        <v>14</v>
      </c>
      <c r="E20099" s="17"/>
      <c r="F20099" s="18"/>
      <c r="G20099" s="36" t="str">
        <f>IF(ISNUMBER(F20099),C20099*F20099,"")</f>
        <v/>
      </c>
    </row>
    <row r="20100" spans="1:7" ht="12" customHeight="1" outlineLevel="3" x14ac:dyDescent="0.2">
      <c r="A20100" s="14" t="s">
        <v>39565</v>
      </c>
      <c r="B20100" s="15" t="s">
        <v>39566</v>
      </c>
      <c r="C20100" s="16">
        <f>146.08/(1+B2)</f>
        <v>146.08000000000001</v>
      </c>
      <c r="D20100" s="17" t="s">
        <v>11</v>
      </c>
      <c r="E20100" s="17"/>
      <c r="F20100" s="18"/>
      <c r="G20100" s="36" t="str">
        <f>IF(ISNUMBER(F20100),C20100*F20100,"")</f>
        <v/>
      </c>
    </row>
    <row r="20101" spans="1:7" ht="12" customHeight="1" outlineLevel="3" x14ac:dyDescent="0.2">
      <c r="A20101" s="14" t="s">
        <v>39567</v>
      </c>
      <c r="B20101" s="15" t="s">
        <v>39568</v>
      </c>
      <c r="C20101" s="16">
        <f>146.08/(1+B2)</f>
        <v>146.08000000000001</v>
      </c>
      <c r="D20101" s="17" t="s">
        <v>14</v>
      </c>
      <c r="E20101" s="17"/>
      <c r="F20101" s="18"/>
      <c r="G20101" s="36" t="str">
        <f>IF(ISNUMBER(F20101),C20101*F20101,"")</f>
        <v/>
      </c>
    </row>
    <row r="20102" spans="1:7" ht="12" customHeight="1" outlineLevel="3" x14ac:dyDescent="0.2">
      <c r="A20102" s="14" t="s">
        <v>39569</v>
      </c>
      <c r="B20102" s="15" t="s">
        <v>39570</v>
      </c>
      <c r="C20102" s="16">
        <f>298.76/(1+B2)</f>
        <v>298.76</v>
      </c>
      <c r="D20102" s="17" t="s">
        <v>11</v>
      </c>
      <c r="E20102" s="17"/>
      <c r="F20102" s="18"/>
      <c r="G20102" s="36" t="str">
        <f>IF(ISNUMBER(F20102),C20102*F20102,"")</f>
        <v/>
      </c>
    </row>
    <row r="20103" spans="1:7" ht="12" customHeight="1" outlineLevel="3" x14ac:dyDescent="0.2">
      <c r="A20103" s="14" t="s">
        <v>39571</v>
      </c>
      <c r="B20103" s="15" t="s">
        <v>39572</v>
      </c>
      <c r="C20103" s="16">
        <f>478.01/(1+B2)</f>
        <v>478.01</v>
      </c>
      <c r="D20103" s="17" t="s">
        <v>14</v>
      </c>
      <c r="E20103" s="17"/>
      <c r="F20103" s="18"/>
      <c r="G20103" s="36" t="str">
        <f>IF(ISNUMBER(F20103),C20103*F20103,"")</f>
        <v/>
      </c>
    </row>
    <row r="20104" spans="1:7" ht="12" customHeight="1" outlineLevel="3" x14ac:dyDescent="0.2">
      <c r="A20104" s="14" t="s">
        <v>39573</v>
      </c>
      <c r="B20104" s="15" t="s">
        <v>39574</v>
      </c>
      <c r="C20104" s="16">
        <f>85.21/(1+B2)</f>
        <v>85.21</v>
      </c>
      <c r="D20104" s="17" t="s">
        <v>11</v>
      </c>
      <c r="E20104" s="17"/>
      <c r="F20104" s="18"/>
      <c r="G20104" s="36" t="str">
        <f>IF(ISNUMBER(F20104),C20104*F20104,"")</f>
        <v/>
      </c>
    </row>
    <row r="20105" spans="1:7" ht="12" customHeight="1" outlineLevel="3" x14ac:dyDescent="0.2">
      <c r="A20105" s="14" t="s">
        <v>39575</v>
      </c>
      <c r="B20105" s="15" t="s">
        <v>39576</v>
      </c>
      <c r="C20105" s="16">
        <f>1.76/(1+B2)</f>
        <v>1.76</v>
      </c>
      <c r="D20105" s="17" t="s">
        <v>106</v>
      </c>
      <c r="E20105" s="17"/>
      <c r="F20105" s="18"/>
      <c r="G20105" s="36" t="str">
        <f>IF(ISNUMBER(F20105),C20105*F20105,"")</f>
        <v/>
      </c>
    </row>
    <row r="20106" spans="1:7" ht="12" customHeight="1" outlineLevel="3" x14ac:dyDescent="0.2">
      <c r="A20106" s="14" t="s">
        <v>39577</v>
      </c>
      <c r="B20106" s="15" t="s">
        <v>39578</v>
      </c>
      <c r="C20106" s="16">
        <f>239/(1+B2)</f>
        <v>239</v>
      </c>
      <c r="D20106" s="17" t="s">
        <v>11</v>
      </c>
      <c r="E20106" s="17" t="s">
        <v>11</v>
      </c>
      <c r="F20106" s="18"/>
      <c r="G20106" s="36" t="str">
        <f>IF(ISNUMBER(F20106),C20106*F20106,"")</f>
        <v/>
      </c>
    </row>
    <row r="20107" spans="1:7" ht="12" customHeight="1" outlineLevel="3" x14ac:dyDescent="0.2">
      <c r="A20107" s="14" t="s">
        <v>39579</v>
      </c>
      <c r="B20107" s="15" t="s">
        <v>39580</v>
      </c>
      <c r="C20107" s="16">
        <f>292.15/(1+B2)</f>
        <v>292.14999999999998</v>
      </c>
      <c r="D20107" s="17" t="s">
        <v>11</v>
      </c>
      <c r="E20107" s="17"/>
      <c r="F20107" s="18"/>
      <c r="G20107" s="36" t="str">
        <f>IF(ISNUMBER(F20107),C20107*F20107,"")</f>
        <v/>
      </c>
    </row>
    <row r="20108" spans="1:7" ht="12" customHeight="1" outlineLevel="3" x14ac:dyDescent="0.2">
      <c r="A20108" s="14" t="s">
        <v>39581</v>
      </c>
      <c r="B20108" s="15" t="s">
        <v>39582</v>
      </c>
      <c r="C20108" s="16">
        <f>123.96/(1+B2)</f>
        <v>123.96</v>
      </c>
      <c r="D20108" s="17"/>
      <c r="E20108" s="17" t="s">
        <v>11</v>
      </c>
      <c r="F20108" s="18"/>
      <c r="G20108" s="36" t="str">
        <f>IF(ISNUMBER(F20108),C20108*F20108,"")</f>
        <v/>
      </c>
    </row>
    <row r="20109" spans="1:7" ht="12" customHeight="1" outlineLevel="3" x14ac:dyDescent="0.2">
      <c r="A20109" s="14" t="s">
        <v>39583</v>
      </c>
      <c r="B20109" s="15" t="s">
        <v>39584</v>
      </c>
      <c r="C20109" s="16">
        <f>239.01/(1+B2)</f>
        <v>239.01</v>
      </c>
      <c r="D20109" s="17" t="s">
        <v>11</v>
      </c>
      <c r="E20109" s="17"/>
      <c r="F20109" s="18"/>
      <c r="G20109" s="36" t="str">
        <f>IF(ISNUMBER(F20109),C20109*F20109,"")</f>
        <v/>
      </c>
    </row>
    <row r="20110" spans="1:7" s="1" customFormat="1" ht="12.95" customHeight="1" outlineLevel="2" x14ac:dyDescent="0.2">
      <c r="A20110" s="20"/>
      <c r="B20110" s="21" t="s">
        <v>39585</v>
      </c>
      <c r="C20110" s="22"/>
      <c r="D20110" s="22"/>
      <c r="E20110" s="22"/>
      <c r="F20110" s="22"/>
      <c r="G20110" s="37"/>
    </row>
    <row r="20111" spans="1:7" ht="12" customHeight="1" outlineLevel="3" x14ac:dyDescent="0.2">
      <c r="A20111" s="14" t="s">
        <v>39586</v>
      </c>
      <c r="B20111" s="15" t="s">
        <v>39587</v>
      </c>
      <c r="C20111" s="16">
        <f>601.97/(1+B2)</f>
        <v>601.97</v>
      </c>
      <c r="D20111" s="17" t="s">
        <v>11</v>
      </c>
      <c r="E20111" s="17"/>
      <c r="F20111" s="18"/>
      <c r="G20111" s="36" t="str">
        <f>IF(ISNUMBER(F20111),C20111*F20111,"")</f>
        <v/>
      </c>
    </row>
    <row r="20112" spans="1:7" ht="12" customHeight="1" outlineLevel="3" x14ac:dyDescent="0.2">
      <c r="A20112" s="14" t="s">
        <v>39588</v>
      </c>
      <c r="B20112" s="15" t="s">
        <v>39589</v>
      </c>
      <c r="C20112" s="16">
        <f>185.55/(1+B2)</f>
        <v>185.55</v>
      </c>
      <c r="D20112" s="17" t="s">
        <v>11</v>
      </c>
      <c r="E20112" s="17"/>
      <c r="F20112" s="18"/>
      <c r="G20112" s="36" t="str">
        <f>IF(ISNUMBER(F20112),C20112*F20112,"")</f>
        <v/>
      </c>
    </row>
    <row r="20113" spans="1:7" ht="24" customHeight="1" outlineLevel="3" x14ac:dyDescent="0.2">
      <c r="A20113" s="14" t="s">
        <v>39590</v>
      </c>
      <c r="B20113" s="15" t="s">
        <v>39591</v>
      </c>
      <c r="C20113" s="16">
        <f>209.52/(1+B2)</f>
        <v>209.52</v>
      </c>
      <c r="D20113" s="17" t="s">
        <v>14</v>
      </c>
      <c r="E20113" s="17"/>
      <c r="F20113" s="18"/>
      <c r="G20113" s="36" t="str">
        <f>IF(ISNUMBER(F20113),C20113*F20113,"")</f>
        <v/>
      </c>
    </row>
    <row r="20114" spans="1:7" ht="24" customHeight="1" outlineLevel="3" x14ac:dyDescent="0.2">
      <c r="A20114" s="14" t="s">
        <v>39592</v>
      </c>
      <c r="B20114" s="15" t="s">
        <v>39593</v>
      </c>
      <c r="C20114" s="16">
        <f>248.18/(1+B2)</f>
        <v>248.18</v>
      </c>
      <c r="D20114" s="17" t="s">
        <v>14</v>
      </c>
      <c r="E20114" s="17"/>
      <c r="F20114" s="18"/>
      <c r="G20114" s="36" t="str">
        <f>IF(ISNUMBER(F20114),C20114*F20114,"")</f>
        <v/>
      </c>
    </row>
    <row r="20115" spans="1:7" ht="24" customHeight="1" outlineLevel="3" x14ac:dyDescent="0.2">
      <c r="A20115" s="14" t="s">
        <v>39594</v>
      </c>
      <c r="B20115" s="15" t="s">
        <v>39595</v>
      </c>
      <c r="C20115" s="16">
        <f>234.7/(1+B2)</f>
        <v>234.7</v>
      </c>
      <c r="D20115" s="17" t="s">
        <v>11</v>
      </c>
      <c r="E20115" s="17"/>
      <c r="F20115" s="18"/>
      <c r="G20115" s="36" t="str">
        <f>IF(ISNUMBER(F20115),C20115*F20115,"")</f>
        <v/>
      </c>
    </row>
    <row r="20116" spans="1:7" ht="24" customHeight="1" outlineLevel="3" x14ac:dyDescent="0.2">
      <c r="A20116" s="14" t="s">
        <v>39596</v>
      </c>
      <c r="B20116" s="15" t="s">
        <v>39597</v>
      </c>
      <c r="C20116" s="16">
        <f>232.89/(1+B2)</f>
        <v>232.89</v>
      </c>
      <c r="D20116" s="17" t="s">
        <v>11</v>
      </c>
      <c r="E20116" s="17"/>
      <c r="F20116" s="18"/>
      <c r="G20116" s="36" t="str">
        <f>IF(ISNUMBER(F20116),C20116*F20116,"")</f>
        <v/>
      </c>
    </row>
    <row r="20117" spans="1:7" ht="12" customHeight="1" outlineLevel="3" x14ac:dyDescent="0.2">
      <c r="A20117" s="14" t="s">
        <v>39598</v>
      </c>
      <c r="B20117" s="15" t="s">
        <v>39599</v>
      </c>
      <c r="C20117" s="16">
        <f>48.69/(1+B2)</f>
        <v>48.69</v>
      </c>
      <c r="D20117" s="17" t="s">
        <v>53</v>
      </c>
      <c r="E20117" s="17"/>
      <c r="F20117" s="18"/>
      <c r="G20117" s="36" t="str">
        <f>IF(ISNUMBER(F20117),C20117*F20117,"")</f>
        <v/>
      </c>
    </row>
    <row r="20118" spans="1:7" ht="12" customHeight="1" outlineLevel="3" x14ac:dyDescent="0.2">
      <c r="A20118" s="14" t="s">
        <v>39600</v>
      </c>
      <c r="B20118" s="15" t="s">
        <v>39601</v>
      </c>
      <c r="C20118" s="16">
        <f>48.69/(1+B2)</f>
        <v>48.69</v>
      </c>
      <c r="D20118" s="17" t="s">
        <v>11</v>
      </c>
      <c r="E20118" s="17" t="s">
        <v>53</v>
      </c>
      <c r="F20118" s="18"/>
      <c r="G20118" s="36" t="str">
        <f>IF(ISNUMBER(F20118),C20118*F20118,"")</f>
        <v/>
      </c>
    </row>
    <row r="20119" spans="1:7" ht="12" customHeight="1" outlineLevel="3" x14ac:dyDescent="0.2">
      <c r="A20119" s="14" t="s">
        <v>39602</v>
      </c>
      <c r="B20119" s="15" t="s">
        <v>39603</v>
      </c>
      <c r="C20119" s="16">
        <f>32.99/(1+B2)</f>
        <v>32.99</v>
      </c>
      <c r="D20119" s="17" t="s">
        <v>11</v>
      </c>
      <c r="E20119" s="17" t="s">
        <v>106</v>
      </c>
      <c r="F20119" s="18"/>
      <c r="G20119" s="36" t="str">
        <f>IF(ISNUMBER(F20119),C20119*F20119,"")</f>
        <v/>
      </c>
    </row>
    <row r="20120" spans="1:7" ht="12" customHeight="1" outlineLevel="3" x14ac:dyDescent="0.2">
      <c r="A20120" s="14" t="s">
        <v>39604</v>
      </c>
      <c r="B20120" s="15" t="s">
        <v>39605</v>
      </c>
      <c r="C20120" s="16">
        <f>32.99/(1+B2)</f>
        <v>32.99</v>
      </c>
      <c r="D20120" s="17" t="s">
        <v>11</v>
      </c>
      <c r="E20120" s="17" t="s">
        <v>106</v>
      </c>
      <c r="F20120" s="18"/>
      <c r="G20120" s="36" t="str">
        <f>IF(ISNUMBER(F20120),C20120*F20120,"")</f>
        <v/>
      </c>
    </row>
    <row r="20121" spans="1:7" ht="12" customHeight="1" outlineLevel="3" x14ac:dyDescent="0.2">
      <c r="A20121" s="14" t="s">
        <v>39606</v>
      </c>
      <c r="B20121" s="15" t="s">
        <v>39607</v>
      </c>
      <c r="C20121" s="16">
        <f>19.52/(1+B2)</f>
        <v>19.52</v>
      </c>
      <c r="D20121" s="17" t="s">
        <v>14</v>
      </c>
      <c r="E20121" s="17" t="s">
        <v>14</v>
      </c>
      <c r="F20121" s="18"/>
      <c r="G20121" s="36" t="str">
        <f>IF(ISNUMBER(F20121),C20121*F20121,"")</f>
        <v/>
      </c>
    </row>
    <row r="20122" spans="1:7" ht="12" customHeight="1" outlineLevel="3" x14ac:dyDescent="0.2">
      <c r="A20122" s="14" t="s">
        <v>39608</v>
      </c>
      <c r="B20122" s="15" t="s">
        <v>39609</v>
      </c>
      <c r="C20122" s="16">
        <f>25.59/(1+B2)</f>
        <v>25.59</v>
      </c>
      <c r="D20122" s="17" t="s">
        <v>14</v>
      </c>
      <c r="E20122" s="17"/>
      <c r="F20122" s="18"/>
      <c r="G20122" s="36" t="str">
        <f>IF(ISNUMBER(F20122),C20122*F20122,"")</f>
        <v/>
      </c>
    </row>
    <row r="20123" spans="1:7" ht="12" customHeight="1" outlineLevel="3" x14ac:dyDescent="0.2">
      <c r="A20123" s="14" t="s">
        <v>39610</v>
      </c>
      <c r="B20123" s="15" t="s">
        <v>39611</v>
      </c>
      <c r="C20123" s="16">
        <f>99.24/(1+B2)</f>
        <v>99.24</v>
      </c>
      <c r="D20123" s="17" t="s">
        <v>14</v>
      </c>
      <c r="E20123" s="17" t="s">
        <v>11</v>
      </c>
      <c r="F20123" s="18"/>
      <c r="G20123" s="36" t="str">
        <f>IF(ISNUMBER(F20123),C20123*F20123,"")</f>
        <v/>
      </c>
    </row>
    <row r="20124" spans="1:7" ht="12" customHeight="1" outlineLevel="3" x14ac:dyDescent="0.2">
      <c r="A20124" s="14" t="s">
        <v>39612</v>
      </c>
      <c r="B20124" s="15" t="s">
        <v>39613</v>
      </c>
      <c r="C20124" s="16">
        <f>129.07/(1+B2)</f>
        <v>129.07</v>
      </c>
      <c r="D20124" s="17" t="s">
        <v>11</v>
      </c>
      <c r="E20124" s="17" t="s">
        <v>11</v>
      </c>
      <c r="F20124" s="18"/>
      <c r="G20124" s="36" t="str">
        <f>IF(ISNUMBER(F20124),C20124*F20124,"")</f>
        <v/>
      </c>
    </row>
    <row r="20125" spans="1:7" ht="24" customHeight="1" outlineLevel="3" x14ac:dyDescent="0.2">
      <c r="A20125" s="14" t="s">
        <v>39614</v>
      </c>
      <c r="B20125" s="15" t="s">
        <v>39615</v>
      </c>
      <c r="C20125" s="16">
        <f>13.99/(1+B2)</f>
        <v>13.99</v>
      </c>
      <c r="D20125" s="17" t="s">
        <v>14</v>
      </c>
      <c r="E20125" s="17" t="s">
        <v>106</v>
      </c>
      <c r="F20125" s="18"/>
      <c r="G20125" s="36" t="str">
        <f>IF(ISNUMBER(F20125),C20125*F20125,"")</f>
        <v/>
      </c>
    </row>
    <row r="20126" spans="1:7" ht="12" customHeight="1" outlineLevel="3" x14ac:dyDescent="0.2">
      <c r="A20126" s="14" t="s">
        <v>39616</v>
      </c>
      <c r="B20126" s="15" t="s">
        <v>39617</v>
      </c>
      <c r="C20126" s="16">
        <f>12.71/(1+B2)</f>
        <v>12.71</v>
      </c>
      <c r="D20126" s="17" t="s">
        <v>53</v>
      </c>
      <c r="E20126" s="17" t="s">
        <v>53</v>
      </c>
      <c r="F20126" s="18"/>
      <c r="G20126" s="36" t="str">
        <f>IF(ISNUMBER(F20126),C20126*F20126,"")</f>
        <v/>
      </c>
    </row>
    <row r="20127" spans="1:7" ht="12" customHeight="1" outlineLevel="3" x14ac:dyDescent="0.2">
      <c r="A20127" s="14" t="s">
        <v>39618</v>
      </c>
      <c r="B20127" s="15" t="s">
        <v>39619</v>
      </c>
      <c r="C20127" s="16">
        <f>6.02/(1+B2)</f>
        <v>6.02</v>
      </c>
      <c r="D20127" s="17" t="s">
        <v>53</v>
      </c>
      <c r="E20127" s="17" t="s">
        <v>106</v>
      </c>
      <c r="F20127" s="18"/>
      <c r="G20127" s="36" t="str">
        <f>IF(ISNUMBER(F20127),C20127*F20127,"")</f>
        <v/>
      </c>
    </row>
    <row r="20128" spans="1:7" ht="12" customHeight="1" outlineLevel="3" x14ac:dyDescent="0.2">
      <c r="A20128" s="14" t="s">
        <v>39620</v>
      </c>
      <c r="B20128" s="15" t="s">
        <v>39621</v>
      </c>
      <c r="C20128" s="16">
        <f>18.04/(1+B2)</f>
        <v>18.04</v>
      </c>
      <c r="D20128" s="17" t="s">
        <v>11</v>
      </c>
      <c r="E20128" s="17" t="s">
        <v>11</v>
      </c>
      <c r="F20128" s="18"/>
      <c r="G20128" s="36" t="str">
        <f>IF(ISNUMBER(F20128),C20128*F20128,"")</f>
        <v/>
      </c>
    </row>
    <row r="20129" spans="1:7" ht="12" customHeight="1" outlineLevel="3" x14ac:dyDescent="0.2">
      <c r="A20129" s="14" t="s">
        <v>39622</v>
      </c>
      <c r="B20129" s="15" t="s">
        <v>39623</v>
      </c>
      <c r="C20129" s="16">
        <f>55.96/(1+B2)</f>
        <v>55.96</v>
      </c>
      <c r="D20129" s="17" t="s">
        <v>11</v>
      </c>
      <c r="E20129" s="17"/>
      <c r="F20129" s="18"/>
      <c r="G20129" s="36" t="str">
        <f>IF(ISNUMBER(F20129),C20129*F20129,"")</f>
        <v/>
      </c>
    </row>
    <row r="20130" spans="1:7" ht="12" customHeight="1" outlineLevel="3" x14ac:dyDescent="0.2">
      <c r="A20130" s="14" t="s">
        <v>39624</v>
      </c>
      <c r="B20130" s="15" t="s">
        <v>39625</v>
      </c>
      <c r="C20130" s="16">
        <f>25.59/(1+B2)</f>
        <v>25.59</v>
      </c>
      <c r="D20130" s="17" t="s">
        <v>14</v>
      </c>
      <c r="E20130" s="17" t="s">
        <v>14</v>
      </c>
      <c r="F20130" s="18"/>
      <c r="G20130" s="36" t="str">
        <f>IF(ISNUMBER(F20130),C20130*F20130,"")</f>
        <v/>
      </c>
    </row>
    <row r="20131" spans="1:7" ht="12" customHeight="1" outlineLevel="3" x14ac:dyDescent="0.2">
      <c r="A20131" s="14" t="s">
        <v>39626</v>
      </c>
      <c r="B20131" s="15" t="s">
        <v>39627</v>
      </c>
      <c r="C20131" s="16">
        <f>76.33/(1+B2)</f>
        <v>76.33</v>
      </c>
      <c r="D20131" s="17" t="s">
        <v>11</v>
      </c>
      <c r="E20131" s="17" t="s">
        <v>11</v>
      </c>
      <c r="F20131" s="18"/>
      <c r="G20131" s="36" t="str">
        <f>IF(ISNUMBER(F20131),C20131*F20131,"")</f>
        <v/>
      </c>
    </row>
    <row r="20132" spans="1:7" ht="12" customHeight="1" outlineLevel="3" x14ac:dyDescent="0.2">
      <c r="A20132" s="14" t="s">
        <v>39628</v>
      </c>
      <c r="B20132" s="15" t="s">
        <v>39629</v>
      </c>
      <c r="C20132" s="16">
        <f>61.49/(1+B2)</f>
        <v>61.49</v>
      </c>
      <c r="D20132" s="17" t="s">
        <v>11</v>
      </c>
      <c r="E20132" s="17"/>
      <c r="F20132" s="18"/>
      <c r="G20132" s="36" t="str">
        <f>IF(ISNUMBER(F20132),C20132*F20132,"")</f>
        <v/>
      </c>
    </row>
    <row r="20133" spans="1:7" ht="24" customHeight="1" outlineLevel="3" x14ac:dyDescent="0.2">
      <c r="A20133" s="14" t="s">
        <v>39630</v>
      </c>
      <c r="B20133" s="15" t="s">
        <v>39631</v>
      </c>
      <c r="C20133" s="16">
        <f>38.82/(1+B2)</f>
        <v>38.82</v>
      </c>
      <c r="D20133" s="17" t="s">
        <v>11</v>
      </c>
      <c r="E20133" s="17" t="s">
        <v>14</v>
      </c>
      <c r="F20133" s="18"/>
      <c r="G20133" s="36" t="str">
        <f>IF(ISNUMBER(F20133),C20133*F20133,"")</f>
        <v/>
      </c>
    </row>
    <row r="20134" spans="1:7" ht="12" customHeight="1" outlineLevel="3" x14ac:dyDescent="0.2">
      <c r="A20134" s="14" t="s">
        <v>39632</v>
      </c>
      <c r="B20134" s="15" t="s">
        <v>39633</v>
      </c>
      <c r="C20134" s="16">
        <f>620.28/(1+B2)</f>
        <v>620.28</v>
      </c>
      <c r="D20134" s="17" t="s">
        <v>11</v>
      </c>
      <c r="E20134" s="17"/>
      <c r="F20134" s="18"/>
      <c r="G20134" s="36" t="str">
        <f>IF(ISNUMBER(F20134),C20134*F20134,"")</f>
        <v/>
      </c>
    </row>
    <row r="20135" spans="1:7" ht="12" customHeight="1" outlineLevel="3" x14ac:dyDescent="0.2">
      <c r="A20135" s="14" t="s">
        <v>39634</v>
      </c>
      <c r="B20135" s="15" t="s">
        <v>39635</v>
      </c>
      <c r="C20135" s="16">
        <f>218.53/(1+B2)</f>
        <v>218.53</v>
      </c>
      <c r="D20135" s="17" t="s">
        <v>11</v>
      </c>
      <c r="E20135" s="17"/>
      <c r="F20135" s="18"/>
      <c r="G20135" s="36" t="str">
        <f>IF(ISNUMBER(F20135),C20135*F20135,"")</f>
        <v/>
      </c>
    </row>
    <row r="20136" spans="1:7" s="1" customFormat="1" ht="15.95" customHeight="1" outlineLevel="1" x14ac:dyDescent="0.25">
      <c r="A20136" s="11"/>
      <c r="B20136" s="12" t="s">
        <v>39636</v>
      </c>
      <c r="C20136" s="13"/>
      <c r="D20136" s="13"/>
      <c r="E20136" s="13"/>
      <c r="F20136" s="13"/>
      <c r="G20136" s="35"/>
    </row>
    <row r="20137" spans="1:7" s="1" customFormat="1" ht="12.95" customHeight="1" outlineLevel="2" x14ac:dyDescent="0.2">
      <c r="A20137" s="20"/>
      <c r="B20137" s="21" t="s">
        <v>39637</v>
      </c>
      <c r="C20137" s="22"/>
      <c r="D20137" s="22"/>
      <c r="E20137" s="22"/>
      <c r="F20137" s="22"/>
      <c r="G20137" s="37"/>
    </row>
    <row r="20138" spans="1:7" ht="12" customHeight="1" outlineLevel="3" x14ac:dyDescent="0.2">
      <c r="A20138" s="14" t="s">
        <v>39638</v>
      </c>
      <c r="B20138" s="15" t="s">
        <v>39639</v>
      </c>
      <c r="C20138" s="16">
        <f>315.29/(1+B2)</f>
        <v>315.29000000000002</v>
      </c>
      <c r="D20138" s="17" t="s">
        <v>14</v>
      </c>
      <c r="E20138" s="17" t="s">
        <v>53</v>
      </c>
      <c r="F20138" s="18"/>
      <c r="G20138" s="36" t="str">
        <f>IF(ISNUMBER(F20138),C20138*F20138,"")</f>
        <v/>
      </c>
    </row>
    <row r="20139" spans="1:7" ht="12" customHeight="1" outlineLevel="3" x14ac:dyDescent="0.2">
      <c r="A20139" s="14" t="s">
        <v>39640</v>
      </c>
      <c r="B20139" s="15" t="s">
        <v>39641</v>
      </c>
      <c r="C20139" s="16">
        <f>144/(1+B2)</f>
        <v>144</v>
      </c>
      <c r="D20139" s="17" t="s">
        <v>11</v>
      </c>
      <c r="E20139" s="17" t="s">
        <v>53</v>
      </c>
      <c r="F20139" s="18"/>
      <c r="G20139" s="36" t="str">
        <f>IF(ISNUMBER(F20139),C20139*F20139,"")</f>
        <v/>
      </c>
    </row>
    <row r="20140" spans="1:7" s="1" customFormat="1" ht="12.95" customHeight="1" outlineLevel="2" x14ac:dyDescent="0.2">
      <c r="A20140" s="20"/>
      <c r="B20140" s="21" t="s">
        <v>39642</v>
      </c>
      <c r="C20140" s="22"/>
      <c r="D20140" s="22"/>
      <c r="E20140" s="22"/>
      <c r="F20140" s="22"/>
      <c r="G20140" s="37"/>
    </row>
    <row r="20141" spans="1:7" ht="12" customHeight="1" outlineLevel="3" x14ac:dyDescent="0.2">
      <c r="A20141" s="14" t="s">
        <v>39643</v>
      </c>
      <c r="B20141" s="15" t="s">
        <v>39644</v>
      </c>
      <c r="C20141" s="16">
        <f>251.21/(1+B2)</f>
        <v>251.21</v>
      </c>
      <c r="D20141" s="17" t="s">
        <v>11</v>
      </c>
      <c r="E20141" s="17" t="s">
        <v>11</v>
      </c>
      <c r="F20141" s="18"/>
      <c r="G20141" s="36" t="str">
        <f>IF(ISNUMBER(F20141),C20141*F20141,"")</f>
        <v/>
      </c>
    </row>
    <row r="20142" spans="1:7" ht="12" customHeight="1" outlineLevel="3" x14ac:dyDescent="0.2">
      <c r="A20142" s="14" t="s">
        <v>39645</v>
      </c>
      <c r="B20142" s="15" t="s">
        <v>39646</v>
      </c>
      <c r="C20142" s="16">
        <f>332.2/(1+B2)</f>
        <v>332.2</v>
      </c>
      <c r="D20142" s="17" t="s">
        <v>11</v>
      </c>
      <c r="E20142" s="17"/>
      <c r="F20142" s="18"/>
      <c r="G20142" s="36" t="str">
        <f>IF(ISNUMBER(F20142),C20142*F20142,"")</f>
        <v/>
      </c>
    </row>
    <row r="20143" spans="1:7" ht="12" customHeight="1" outlineLevel="3" x14ac:dyDescent="0.2">
      <c r="A20143" s="14" t="s">
        <v>39647</v>
      </c>
      <c r="B20143" s="15" t="s">
        <v>39648</v>
      </c>
      <c r="C20143" s="16">
        <f>385/(1+B2)</f>
        <v>385</v>
      </c>
      <c r="D20143" s="17" t="s">
        <v>11</v>
      </c>
      <c r="E20143" s="17"/>
      <c r="F20143" s="18"/>
      <c r="G20143" s="36" t="str">
        <f>IF(ISNUMBER(F20143),C20143*F20143,"")</f>
        <v/>
      </c>
    </row>
    <row r="20144" spans="1:7" ht="12" customHeight="1" outlineLevel="3" x14ac:dyDescent="0.2">
      <c r="A20144" s="14" t="s">
        <v>39649</v>
      </c>
      <c r="B20144" s="15" t="s">
        <v>39650</v>
      </c>
      <c r="C20144" s="16">
        <f>335.5/(1+B2)</f>
        <v>335.5</v>
      </c>
      <c r="D20144" s="17" t="s">
        <v>11</v>
      </c>
      <c r="E20144" s="17"/>
      <c r="F20144" s="18"/>
      <c r="G20144" s="36" t="str">
        <f>IF(ISNUMBER(F20144),C20144*F20144,"")</f>
        <v/>
      </c>
    </row>
    <row r="20145" spans="1:7" ht="12" customHeight="1" outlineLevel="3" x14ac:dyDescent="0.2">
      <c r="A20145" s="14" t="s">
        <v>39651</v>
      </c>
      <c r="B20145" s="15" t="s">
        <v>39652</v>
      </c>
      <c r="C20145" s="16">
        <f>431.2/(1+B2)</f>
        <v>431.2</v>
      </c>
      <c r="D20145" s="17" t="s">
        <v>11</v>
      </c>
      <c r="E20145" s="17"/>
      <c r="F20145" s="18"/>
      <c r="G20145" s="36" t="str">
        <f>IF(ISNUMBER(F20145),C20145*F20145,"")</f>
        <v/>
      </c>
    </row>
    <row r="20146" spans="1:7" ht="12" customHeight="1" outlineLevel="3" x14ac:dyDescent="0.2">
      <c r="A20146" s="14" t="s">
        <v>39653</v>
      </c>
      <c r="B20146" s="15" t="s">
        <v>39654</v>
      </c>
      <c r="C20146" s="16">
        <f>448.8/(1+B2)</f>
        <v>448.8</v>
      </c>
      <c r="D20146" s="17" t="s">
        <v>11</v>
      </c>
      <c r="E20146" s="17"/>
      <c r="F20146" s="18"/>
      <c r="G20146" s="36" t="str">
        <f>IF(ISNUMBER(F20146),C20146*F20146,"")</f>
        <v/>
      </c>
    </row>
    <row r="20147" spans="1:7" ht="12" customHeight="1" outlineLevel="3" x14ac:dyDescent="0.2">
      <c r="A20147" s="14" t="s">
        <v>39655</v>
      </c>
      <c r="B20147" s="15" t="s">
        <v>39656</v>
      </c>
      <c r="C20147" s="16">
        <f>664.41/(1+B2)</f>
        <v>664.41</v>
      </c>
      <c r="D20147" s="17" t="s">
        <v>11</v>
      </c>
      <c r="E20147" s="17"/>
      <c r="F20147" s="18"/>
      <c r="G20147" s="36" t="str">
        <f>IF(ISNUMBER(F20147),C20147*F20147,"")</f>
        <v/>
      </c>
    </row>
    <row r="20148" spans="1:7" ht="12" customHeight="1" outlineLevel="3" x14ac:dyDescent="0.2">
      <c r="A20148" s="14" t="s">
        <v>39657</v>
      </c>
      <c r="B20148" s="15" t="s">
        <v>39658</v>
      </c>
      <c r="C20148" s="16">
        <f>380.45/(1+B2)</f>
        <v>380.45</v>
      </c>
      <c r="D20148" s="17" t="s">
        <v>11</v>
      </c>
      <c r="E20148" s="17" t="s">
        <v>11</v>
      </c>
      <c r="F20148" s="18"/>
      <c r="G20148" s="36" t="str">
        <f>IF(ISNUMBER(F20148),C20148*F20148,"")</f>
        <v/>
      </c>
    </row>
    <row r="20149" spans="1:7" ht="12" customHeight="1" outlineLevel="3" x14ac:dyDescent="0.2">
      <c r="A20149" s="14" t="s">
        <v>39659</v>
      </c>
      <c r="B20149" s="15" t="s">
        <v>39660</v>
      </c>
      <c r="C20149" s="16">
        <f>372.19/(1+B2)</f>
        <v>372.19</v>
      </c>
      <c r="D20149" s="17" t="s">
        <v>11</v>
      </c>
      <c r="E20149" s="17" t="s">
        <v>53</v>
      </c>
      <c r="F20149" s="18"/>
      <c r="G20149" s="36" t="str">
        <f>IF(ISNUMBER(F20149),C20149*F20149,"")</f>
        <v/>
      </c>
    </row>
    <row r="20150" spans="1:7" ht="12" customHeight="1" outlineLevel="3" x14ac:dyDescent="0.2">
      <c r="A20150" s="14" t="s">
        <v>39661</v>
      </c>
      <c r="B20150" s="15" t="s">
        <v>39662</v>
      </c>
      <c r="C20150" s="16">
        <f>485.45/(1+B2)</f>
        <v>485.45</v>
      </c>
      <c r="D20150" s="17" t="s">
        <v>11</v>
      </c>
      <c r="E20150" s="17"/>
      <c r="F20150" s="18"/>
      <c r="G20150" s="36" t="str">
        <f>IF(ISNUMBER(F20150),C20150*F20150,"")</f>
        <v/>
      </c>
    </row>
    <row r="20151" spans="1:7" ht="12" customHeight="1" outlineLevel="3" x14ac:dyDescent="0.2">
      <c r="A20151" s="14" t="s">
        <v>39663</v>
      </c>
      <c r="B20151" s="15" t="s">
        <v>39664</v>
      </c>
      <c r="C20151" s="16">
        <f>147.22/(1+B2)</f>
        <v>147.22</v>
      </c>
      <c r="D20151" s="17" t="s">
        <v>11</v>
      </c>
      <c r="E20151" s="17"/>
      <c r="F20151" s="18"/>
      <c r="G20151" s="36" t="str">
        <f>IF(ISNUMBER(F20151),C20151*F20151,"")</f>
        <v/>
      </c>
    </row>
    <row r="20152" spans="1:7" ht="12" customHeight="1" outlineLevel="3" x14ac:dyDescent="0.2">
      <c r="A20152" s="14" t="s">
        <v>39665</v>
      </c>
      <c r="B20152" s="15" t="s">
        <v>39666</v>
      </c>
      <c r="C20152" s="16">
        <f>232.36/(1+B2)</f>
        <v>232.36</v>
      </c>
      <c r="D20152" s="17" t="s">
        <v>14</v>
      </c>
      <c r="E20152" s="17" t="s">
        <v>106</v>
      </c>
      <c r="F20152" s="18"/>
      <c r="G20152" s="36" t="str">
        <f>IF(ISNUMBER(F20152),C20152*F20152,"")</f>
        <v/>
      </c>
    </row>
    <row r="20153" spans="1:7" ht="12" customHeight="1" outlineLevel="3" x14ac:dyDescent="0.2">
      <c r="A20153" s="14" t="s">
        <v>39667</v>
      </c>
      <c r="B20153" s="15" t="s">
        <v>39668</v>
      </c>
      <c r="C20153" s="16">
        <f>158/(1+B2)</f>
        <v>158</v>
      </c>
      <c r="D20153" s="17" t="s">
        <v>11</v>
      </c>
      <c r="E20153" s="17" t="s">
        <v>11</v>
      </c>
      <c r="F20153" s="18"/>
      <c r="G20153" s="36" t="str">
        <f>IF(ISNUMBER(F20153),C20153*F20153,"")</f>
        <v/>
      </c>
    </row>
    <row r="20154" spans="1:7" ht="12" customHeight="1" outlineLevel="3" x14ac:dyDescent="0.2">
      <c r="A20154" s="14" t="s">
        <v>39669</v>
      </c>
      <c r="B20154" s="15" t="s">
        <v>39670</v>
      </c>
      <c r="C20154" s="16">
        <f>609.38/(1+B2)</f>
        <v>609.38</v>
      </c>
      <c r="D20154" s="17" t="s">
        <v>11</v>
      </c>
      <c r="E20154" s="17"/>
      <c r="F20154" s="18"/>
      <c r="G20154" s="36" t="str">
        <f>IF(ISNUMBER(F20154),C20154*F20154,"")</f>
        <v/>
      </c>
    </row>
    <row r="20155" spans="1:7" ht="12" customHeight="1" outlineLevel="3" x14ac:dyDescent="0.2">
      <c r="A20155" s="14" t="s">
        <v>39671</v>
      </c>
      <c r="B20155" s="15" t="s">
        <v>39672</v>
      </c>
      <c r="C20155" s="16">
        <f>388.64/(1+B2)</f>
        <v>388.64</v>
      </c>
      <c r="D20155" s="17" t="s">
        <v>11</v>
      </c>
      <c r="E20155" s="17"/>
      <c r="F20155" s="18"/>
      <c r="G20155" s="36" t="str">
        <f>IF(ISNUMBER(F20155),C20155*F20155,"")</f>
        <v/>
      </c>
    </row>
    <row r="20156" spans="1:7" ht="12" customHeight="1" outlineLevel="3" x14ac:dyDescent="0.2">
      <c r="A20156" s="14" t="s">
        <v>39673</v>
      </c>
      <c r="B20156" s="15" t="s">
        <v>39674</v>
      </c>
      <c r="C20156" s="16">
        <f>226.77/(1+B2)</f>
        <v>226.77</v>
      </c>
      <c r="D20156" s="17" t="s">
        <v>11</v>
      </c>
      <c r="E20156" s="17"/>
      <c r="F20156" s="18"/>
      <c r="G20156" s="36" t="str">
        <f>IF(ISNUMBER(F20156),C20156*F20156,"")</f>
        <v/>
      </c>
    </row>
    <row r="20157" spans="1:7" ht="12" customHeight="1" outlineLevel="3" x14ac:dyDescent="0.2">
      <c r="A20157" s="14" t="s">
        <v>39675</v>
      </c>
      <c r="B20157" s="15" t="s">
        <v>39676</v>
      </c>
      <c r="C20157" s="16">
        <f>131.25/(1+B2)</f>
        <v>131.25</v>
      </c>
      <c r="D20157" s="17" t="s">
        <v>11</v>
      </c>
      <c r="E20157" s="17" t="s">
        <v>14</v>
      </c>
      <c r="F20157" s="18"/>
      <c r="G20157" s="36" t="str">
        <f>IF(ISNUMBER(F20157),C20157*F20157,"")</f>
        <v/>
      </c>
    </row>
    <row r="20158" spans="1:7" ht="12" customHeight="1" outlineLevel="3" x14ac:dyDescent="0.2">
      <c r="A20158" s="14" t="s">
        <v>39677</v>
      </c>
      <c r="B20158" s="15" t="s">
        <v>39678</v>
      </c>
      <c r="C20158" s="16">
        <f>225.32/(1+B2)</f>
        <v>225.32</v>
      </c>
      <c r="D20158" s="17" t="s">
        <v>11</v>
      </c>
      <c r="E20158" s="17"/>
      <c r="F20158" s="18"/>
      <c r="G20158" s="36" t="str">
        <f>IF(ISNUMBER(F20158),C20158*F20158,"")</f>
        <v/>
      </c>
    </row>
    <row r="20159" spans="1:7" ht="12" customHeight="1" outlineLevel="3" x14ac:dyDescent="0.2">
      <c r="A20159" s="14" t="s">
        <v>39679</v>
      </c>
      <c r="B20159" s="15" t="s">
        <v>39680</v>
      </c>
      <c r="C20159" s="16">
        <f>131.73/(1+B2)</f>
        <v>131.72999999999999</v>
      </c>
      <c r="D20159" s="17" t="s">
        <v>11</v>
      </c>
      <c r="E20159" s="17" t="s">
        <v>11</v>
      </c>
      <c r="F20159" s="18"/>
      <c r="G20159" s="36" t="str">
        <f>IF(ISNUMBER(F20159),C20159*F20159,"")</f>
        <v/>
      </c>
    </row>
    <row r="20160" spans="1:7" s="1" customFormat="1" ht="12.95" customHeight="1" outlineLevel="2" x14ac:dyDescent="0.2">
      <c r="A20160" s="20"/>
      <c r="B20160" s="21" t="s">
        <v>39681</v>
      </c>
      <c r="C20160" s="22"/>
      <c r="D20160" s="22"/>
      <c r="E20160" s="22"/>
      <c r="F20160" s="22"/>
      <c r="G20160" s="37"/>
    </row>
    <row r="20161" spans="1:7" ht="12" customHeight="1" outlineLevel="3" x14ac:dyDescent="0.2">
      <c r="A20161" s="14" t="s">
        <v>39682</v>
      </c>
      <c r="B20161" s="15" t="s">
        <v>39683</v>
      </c>
      <c r="C20161" s="16">
        <f>148.08/(1+B2)</f>
        <v>148.08000000000001</v>
      </c>
      <c r="D20161" s="17" t="s">
        <v>11</v>
      </c>
      <c r="E20161" s="17" t="s">
        <v>106</v>
      </c>
      <c r="F20161" s="18"/>
      <c r="G20161" s="36" t="str">
        <f>IF(ISNUMBER(F20161),C20161*F20161,"")</f>
        <v/>
      </c>
    </row>
    <row r="20162" spans="1:7" ht="12" customHeight="1" outlineLevel="3" x14ac:dyDescent="0.2">
      <c r="A20162" s="14" t="s">
        <v>39684</v>
      </c>
      <c r="B20162" s="15" t="s">
        <v>39685</v>
      </c>
      <c r="C20162" s="16">
        <f>205.33/(1+B2)</f>
        <v>205.33</v>
      </c>
      <c r="D20162" s="17" t="s">
        <v>14</v>
      </c>
      <c r="E20162" s="17"/>
      <c r="F20162" s="18"/>
      <c r="G20162" s="36" t="str">
        <f>IF(ISNUMBER(F20162),C20162*F20162,"")</f>
        <v/>
      </c>
    </row>
    <row r="20163" spans="1:7" ht="12" customHeight="1" outlineLevel="3" x14ac:dyDescent="0.2">
      <c r="A20163" s="14" t="s">
        <v>39686</v>
      </c>
      <c r="B20163" s="15" t="s">
        <v>39687</v>
      </c>
      <c r="C20163" s="16">
        <f>508.9/(1+B2)</f>
        <v>508.9</v>
      </c>
      <c r="D20163" s="17" t="s">
        <v>11</v>
      </c>
      <c r="E20163" s="17" t="s">
        <v>53</v>
      </c>
      <c r="F20163" s="18"/>
      <c r="G20163" s="36" t="str">
        <f>IF(ISNUMBER(F20163),C20163*F20163,"")</f>
        <v/>
      </c>
    </row>
    <row r="20164" spans="1:7" ht="12" customHeight="1" outlineLevel="3" x14ac:dyDescent="0.2">
      <c r="A20164" s="14" t="s">
        <v>39688</v>
      </c>
      <c r="B20164" s="15" t="s">
        <v>39689</v>
      </c>
      <c r="C20164" s="16">
        <f>545.05/(1+B2)</f>
        <v>545.04999999999995</v>
      </c>
      <c r="D20164" s="17" t="s">
        <v>11</v>
      </c>
      <c r="E20164" s="17" t="s">
        <v>106</v>
      </c>
      <c r="F20164" s="18"/>
      <c r="G20164" s="36" t="str">
        <f>IF(ISNUMBER(F20164),C20164*F20164,"")</f>
        <v/>
      </c>
    </row>
    <row r="20165" spans="1:7" ht="12" customHeight="1" outlineLevel="3" x14ac:dyDescent="0.2">
      <c r="A20165" s="14" t="s">
        <v>39690</v>
      </c>
      <c r="B20165" s="15" t="s">
        <v>39691</v>
      </c>
      <c r="C20165" s="19">
        <f>1140/(1+B2)</f>
        <v>1140</v>
      </c>
      <c r="D20165" s="17" t="s">
        <v>11</v>
      </c>
      <c r="E20165" s="17" t="s">
        <v>11</v>
      </c>
      <c r="F20165" s="18"/>
      <c r="G20165" s="36" t="str">
        <f>IF(ISNUMBER(F20165),C20165*F20165,"")</f>
        <v/>
      </c>
    </row>
    <row r="20166" spans="1:7" ht="12" customHeight="1" outlineLevel="3" x14ac:dyDescent="0.2">
      <c r="A20166" s="14" t="s">
        <v>39692</v>
      </c>
      <c r="B20166" s="15" t="s">
        <v>39693</v>
      </c>
      <c r="C20166" s="16">
        <f>174.42/(1+B2)</f>
        <v>174.42</v>
      </c>
      <c r="D20166" s="17" t="s">
        <v>11</v>
      </c>
      <c r="E20166" s="17"/>
      <c r="F20166" s="18"/>
      <c r="G20166" s="36" t="str">
        <f>IF(ISNUMBER(F20166),C20166*F20166,"")</f>
        <v/>
      </c>
    </row>
    <row r="20167" spans="1:7" ht="12" customHeight="1" outlineLevel="3" x14ac:dyDescent="0.2">
      <c r="A20167" s="14" t="s">
        <v>39694</v>
      </c>
      <c r="B20167" s="15" t="s">
        <v>39695</v>
      </c>
      <c r="C20167" s="16">
        <f>139.53/(1+B2)</f>
        <v>139.53</v>
      </c>
      <c r="D20167" s="17" t="s">
        <v>11</v>
      </c>
      <c r="E20167" s="17"/>
      <c r="F20167" s="18"/>
      <c r="G20167" s="36" t="str">
        <f>IF(ISNUMBER(F20167),C20167*F20167,"")</f>
        <v/>
      </c>
    </row>
    <row r="20168" spans="1:7" ht="12" customHeight="1" outlineLevel="3" x14ac:dyDescent="0.2">
      <c r="A20168" s="14" t="s">
        <v>39696</v>
      </c>
      <c r="B20168" s="15" t="s">
        <v>39697</v>
      </c>
      <c r="C20168" s="16">
        <f>233.77/(1+B2)</f>
        <v>233.77</v>
      </c>
      <c r="D20168" s="17" t="s">
        <v>11</v>
      </c>
      <c r="E20168" s="17"/>
      <c r="F20168" s="18"/>
      <c r="G20168" s="36" t="str">
        <f>IF(ISNUMBER(F20168),C20168*F20168,"")</f>
        <v/>
      </c>
    </row>
    <row r="20169" spans="1:7" ht="12" customHeight="1" outlineLevel="3" x14ac:dyDescent="0.2">
      <c r="A20169" s="14" t="s">
        <v>39698</v>
      </c>
      <c r="B20169" s="15" t="s">
        <v>39699</v>
      </c>
      <c r="C20169" s="16">
        <f>68.04/(1+B2)</f>
        <v>68.040000000000006</v>
      </c>
      <c r="D20169" s="17" t="s">
        <v>11</v>
      </c>
      <c r="E20169" s="17"/>
      <c r="F20169" s="18"/>
      <c r="G20169" s="36" t="str">
        <f>IF(ISNUMBER(F20169),C20169*F20169,"")</f>
        <v/>
      </c>
    </row>
    <row r="20170" spans="1:7" ht="12" customHeight="1" outlineLevel="3" x14ac:dyDescent="0.2">
      <c r="A20170" s="14" t="s">
        <v>39700</v>
      </c>
      <c r="B20170" s="15" t="s">
        <v>39701</v>
      </c>
      <c r="C20170" s="16">
        <f>234.56/(1+B2)</f>
        <v>234.56</v>
      </c>
      <c r="D20170" s="17" t="s">
        <v>11</v>
      </c>
      <c r="E20170" s="17" t="s">
        <v>53</v>
      </c>
      <c r="F20170" s="18"/>
      <c r="G20170" s="36" t="str">
        <f>IF(ISNUMBER(F20170),C20170*F20170,"")</f>
        <v/>
      </c>
    </row>
    <row r="20171" spans="1:7" ht="12" customHeight="1" outlineLevel="3" x14ac:dyDescent="0.2">
      <c r="A20171" s="14" t="s">
        <v>39702</v>
      </c>
      <c r="B20171" s="15" t="s">
        <v>39703</v>
      </c>
      <c r="C20171" s="16">
        <f>270.59/(1+B2)</f>
        <v>270.58999999999997</v>
      </c>
      <c r="D20171" s="17" t="s">
        <v>11</v>
      </c>
      <c r="E20171" s="17"/>
      <c r="F20171" s="18"/>
      <c r="G20171" s="36" t="str">
        <f>IF(ISNUMBER(F20171),C20171*F20171,"")</f>
        <v/>
      </c>
    </row>
    <row r="20172" spans="1:7" s="1" customFormat="1" ht="12.95" customHeight="1" outlineLevel="2" x14ac:dyDescent="0.2">
      <c r="A20172" s="20"/>
      <c r="B20172" s="21" t="s">
        <v>39704</v>
      </c>
      <c r="C20172" s="22"/>
      <c r="D20172" s="22"/>
      <c r="E20172" s="22"/>
      <c r="F20172" s="22"/>
      <c r="G20172" s="37"/>
    </row>
    <row r="20173" spans="1:7" ht="12" customHeight="1" outlineLevel="3" x14ac:dyDescent="0.2">
      <c r="A20173" s="14" t="s">
        <v>39705</v>
      </c>
      <c r="B20173" s="15" t="s">
        <v>39706</v>
      </c>
      <c r="C20173" s="16">
        <f>229.86/(1+B2)</f>
        <v>229.86</v>
      </c>
      <c r="D20173" s="17" t="s">
        <v>11</v>
      </c>
      <c r="E20173" s="17" t="s">
        <v>53</v>
      </c>
      <c r="F20173" s="18"/>
      <c r="G20173" s="36" t="str">
        <f>IF(ISNUMBER(F20173),C20173*F20173,"")</f>
        <v/>
      </c>
    </row>
    <row r="20174" spans="1:7" ht="12" customHeight="1" outlineLevel="3" x14ac:dyDescent="0.2">
      <c r="A20174" s="14" t="s">
        <v>39707</v>
      </c>
      <c r="B20174" s="15" t="s">
        <v>39708</v>
      </c>
      <c r="C20174" s="16">
        <f>412.1/(1+B2)</f>
        <v>412.1</v>
      </c>
      <c r="D20174" s="17" t="s">
        <v>14</v>
      </c>
      <c r="E20174" s="17"/>
      <c r="F20174" s="18"/>
      <c r="G20174" s="36" t="str">
        <f>IF(ISNUMBER(F20174),C20174*F20174,"")</f>
        <v/>
      </c>
    </row>
    <row r="20175" spans="1:7" ht="12" customHeight="1" outlineLevel="3" x14ac:dyDescent="0.2">
      <c r="A20175" s="14" t="s">
        <v>39709</v>
      </c>
      <c r="B20175" s="15" t="s">
        <v>39710</v>
      </c>
      <c r="C20175" s="16">
        <f>223.4/(1+B2)</f>
        <v>223.4</v>
      </c>
      <c r="D20175" s="17" t="s">
        <v>53</v>
      </c>
      <c r="E20175" s="17" t="s">
        <v>53</v>
      </c>
      <c r="F20175" s="18"/>
      <c r="G20175" s="36" t="str">
        <f>IF(ISNUMBER(F20175),C20175*F20175,"")</f>
        <v/>
      </c>
    </row>
    <row r="20176" spans="1:7" ht="12" customHeight="1" outlineLevel="3" x14ac:dyDescent="0.2">
      <c r="A20176" s="14" t="s">
        <v>39711</v>
      </c>
      <c r="B20176" s="15" t="s">
        <v>39712</v>
      </c>
      <c r="C20176" s="16">
        <f>254.16/(1+B2)</f>
        <v>254.16</v>
      </c>
      <c r="D20176" s="17" t="s">
        <v>11</v>
      </c>
      <c r="E20176" s="17" t="s">
        <v>106</v>
      </c>
      <c r="F20176" s="18"/>
      <c r="G20176" s="36" t="str">
        <f>IF(ISNUMBER(F20176),C20176*F20176,"")</f>
        <v/>
      </c>
    </row>
    <row r="20177" spans="1:7" ht="12" customHeight="1" outlineLevel="3" x14ac:dyDescent="0.2">
      <c r="A20177" s="14" t="s">
        <v>39713</v>
      </c>
      <c r="B20177" s="15" t="s">
        <v>39714</v>
      </c>
      <c r="C20177" s="16">
        <f>413.78/(1+B2)</f>
        <v>413.78</v>
      </c>
      <c r="D20177" s="17" t="s">
        <v>11</v>
      </c>
      <c r="E20177" s="17" t="s">
        <v>14</v>
      </c>
      <c r="F20177" s="18"/>
      <c r="G20177" s="36" t="str">
        <f>IF(ISNUMBER(F20177),C20177*F20177,"")</f>
        <v/>
      </c>
    </row>
    <row r="20178" spans="1:7" ht="12" customHeight="1" outlineLevel="3" x14ac:dyDescent="0.2">
      <c r="A20178" s="14" t="s">
        <v>39715</v>
      </c>
      <c r="B20178" s="15" t="s">
        <v>39716</v>
      </c>
      <c r="C20178" s="16">
        <f>243.86/(1+B2)</f>
        <v>243.86</v>
      </c>
      <c r="D20178" s="17" t="s">
        <v>11</v>
      </c>
      <c r="E20178" s="17" t="s">
        <v>106</v>
      </c>
      <c r="F20178" s="18"/>
      <c r="G20178" s="36" t="str">
        <f>IF(ISNUMBER(F20178),C20178*F20178,"")</f>
        <v/>
      </c>
    </row>
    <row r="20179" spans="1:7" ht="12" customHeight="1" outlineLevel="3" x14ac:dyDescent="0.2">
      <c r="A20179" s="14" t="s">
        <v>39717</v>
      </c>
      <c r="B20179" s="15" t="s">
        <v>39718</v>
      </c>
      <c r="C20179" s="16">
        <f>355.03/(1+B2)</f>
        <v>355.03</v>
      </c>
      <c r="D20179" s="17" t="s">
        <v>11</v>
      </c>
      <c r="E20179" s="17" t="s">
        <v>14</v>
      </c>
      <c r="F20179" s="18"/>
      <c r="G20179" s="36" t="str">
        <f>IF(ISNUMBER(F20179),C20179*F20179,"")</f>
        <v/>
      </c>
    </row>
    <row r="20180" spans="1:7" ht="12" customHeight="1" outlineLevel="3" x14ac:dyDescent="0.2">
      <c r="A20180" s="14" t="s">
        <v>39719</v>
      </c>
      <c r="B20180" s="15" t="s">
        <v>39720</v>
      </c>
      <c r="C20180" s="16">
        <f>427.4/(1+B2)</f>
        <v>427.4</v>
      </c>
      <c r="D20180" s="17" t="s">
        <v>14</v>
      </c>
      <c r="E20180" s="17"/>
      <c r="F20180" s="18"/>
      <c r="G20180" s="36" t="str">
        <f>IF(ISNUMBER(F20180),C20180*F20180,"")</f>
        <v/>
      </c>
    </row>
    <row r="20181" spans="1:7" ht="12" customHeight="1" outlineLevel="3" x14ac:dyDescent="0.2">
      <c r="A20181" s="14" t="s">
        <v>39721</v>
      </c>
      <c r="B20181" s="15" t="s">
        <v>39722</v>
      </c>
      <c r="C20181" s="16">
        <f>243.86/(1+B2)</f>
        <v>243.86</v>
      </c>
      <c r="D20181" s="17" t="s">
        <v>11</v>
      </c>
      <c r="E20181" s="17" t="s">
        <v>106</v>
      </c>
      <c r="F20181" s="18"/>
      <c r="G20181" s="36" t="str">
        <f>IF(ISNUMBER(F20181),C20181*F20181,"")</f>
        <v/>
      </c>
    </row>
    <row r="20182" spans="1:7" ht="12" customHeight="1" outlineLevel="3" x14ac:dyDescent="0.2">
      <c r="A20182" s="14" t="s">
        <v>39723</v>
      </c>
      <c r="B20182" s="15" t="s">
        <v>39724</v>
      </c>
      <c r="C20182" s="16">
        <f>373.79/(1+B2)</f>
        <v>373.79</v>
      </c>
      <c r="D20182" s="17" t="s">
        <v>14</v>
      </c>
      <c r="E20182" s="17" t="s">
        <v>106</v>
      </c>
      <c r="F20182" s="18"/>
      <c r="G20182" s="36" t="str">
        <f>IF(ISNUMBER(F20182),C20182*F20182,"")</f>
        <v/>
      </c>
    </row>
    <row r="20183" spans="1:7" ht="12" customHeight="1" outlineLevel="3" x14ac:dyDescent="0.2">
      <c r="A20183" s="14" t="s">
        <v>39725</v>
      </c>
      <c r="B20183" s="15" t="s">
        <v>39726</v>
      </c>
      <c r="C20183" s="16">
        <f>254.88/(1+B2)</f>
        <v>254.88</v>
      </c>
      <c r="D20183" s="17" t="s">
        <v>11</v>
      </c>
      <c r="E20183" s="17"/>
      <c r="F20183" s="18"/>
      <c r="G20183" s="36" t="str">
        <f>IF(ISNUMBER(F20183),C20183*F20183,"")</f>
        <v/>
      </c>
    </row>
    <row r="20184" spans="1:7" ht="12" customHeight="1" outlineLevel="3" x14ac:dyDescent="0.2">
      <c r="A20184" s="14" t="s">
        <v>39727</v>
      </c>
      <c r="B20184" s="15" t="s">
        <v>39728</v>
      </c>
      <c r="C20184" s="16">
        <f>254.3/(1+B2)</f>
        <v>254.3</v>
      </c>
      <c r="D20184" s="17" t="s">
        <v>14</v>
      </c>
      <c r="E20184" s="17" t="s">
        <v>11</v>
      </c>
      <c r="F20184" s="18"/>
      <c r="G20184" s="36" t="str">
        <f>IF(ISNUMBER(F20184),C20184*F20184,"")</f>
        <v/>
      </c>
    </row>
    <row r="20185" spans="1:7" ht="12" customHeight="1" outlineLevel="3" x14ac:dyDescent="0.2">
      <c r="A20185" s="14" t="s">
        <v>39729</v>
      </c>
      <c r="B20185" s="15" t="s">
        <v>39730</v>
      </c>
      <c r="C20185" s="16">
        <f>355.64/(1+B2)</f>
        <v>355.64</v>
      </c>
      <c r="D20185" s="17" t="s">
        <v>11</v>
      </c>
      <c r="E20185" s="17" t="s">
        <v>53</v>
      </c>
      <c r="F20185" s="18"/>
      <c r="G20185" s="36" t="str">
        <f>IF(ISNUMBER(F20185),C20185*F20185,"")</f>
        <v/>
      </c>
    </row>
    <row r="20186" spans="1:7" ht="12" customHeight="1" outlineLevel="3" x14ac:dyDescent="0.2">
      <c r="A20186" s="14" t="s">
        <v>39731</v>
      </c>
      <c r="B20186" s="15" t="s">
        <v>39732</v>
      </c>
      <c r="C20186" s="16">
        <f>633.84/(1+B2)</f>
        <v>633.84</v>
      </c>
      <c r="D20186" s="17" t="s">
        <v>14</v>
      </c>
      <c r="E20186" s="17" t="s">
        <v>53</v>
      </c>
      <c r="F20186" s="18"/>
      <c r="G20186" s="36" t="str">
        <f>IF(ISNUMBER(F20186),C20186*F20186,"")</f>
        <v/>
      </c>
    </row>
    <row r="20187" spans="1:7" ht="12" customHeight="1" outlineLevel="3" x14ac:dyDescent="0.2">
      <c r="A20187" s="14" t="s">
        <v>39733</v>
      </c>
      <c r="B20187" s="15" t="s">
        <v>39734</v>
      </c>
      <c r="C20187" s="16">
        <f>303.61/(1+B2)</f>
        <v>303.61</v>
      </c>
      <c r="D20187" s="17" t="s">
        <v>11</v>
      </c>
      <c r="E20187" s="17" t="s">
        <v>53</v>
      </c>
      <c r="F20187" s="18"/>
      <c r="G20187" s="36" t="str">
        <f>IF(ISNUMBER(F20187),C20187*F20187,"")</f>
        <v/>
      </c>
    </row>
    <row r="20188" spans="1:7" ht="12" customHeight="1" outlineLevel="3" x14ac:dyDescent="0.2">
      <c r="A20188" s="14" t="s">
        <v>39735</v>
      </c>
      <c r="B20188" s="15" t="s">
        <v>39736</v>
      </c>
      <c r="C20188" s="16">
        <f>634.13/(1+B2)</f>
        <v>634.13</v>
      </c>
      <c r="D20188" s="17" t="s">
        <v>14</v>
      </c>
      <c r="E20188" s="17" t="s">
        <v>53</v>
      </c>
      <c r="F20188" s="18"/>
      <c r="G20188" s="36" t="str">
        <f>IF(ISNUMBER(F20188),C20188*F20188,"")</f>
        <v/>
      </c>
    </row>
    <row r="20189" spans="1:7" ht="12" customHeight="1" outlineLevel="3" x14ac:dyDescent="0.2">
      <c r="A20189" s="14" t="s">
        <v>39737</v>
      </c>
      <c r="B20189" s="15" t="s">
        <v>39738</v>
      </c>
      <c r="C20189" s="16">
        <f>344.06/(1+B2)</f>
        <v>344.06</v>
      </c>
      <c r="D20189" s="17" t="s">
        <v>11</v>
      </c>
      <c r="E20189" s="17" t="s">
        <v>11</v>
      </c>
      <c r="F20189" s="18"/>
      <c r="G20189" s="36" t="str">
        <f>IF(ISNUMBER(F20189),C20189*F20189,"")</f>
        <v/>
      </c>
    </row>
    <row r="20190" spans="1:7" ht="12" customHeight="1" outlineLevel="3" x14ac:dyDescent="0.2">
      <c r="A20190" s="14" t="s">
        <v>39739</v>
      </c>
      <c r="B20190" s="15" t="s">
        <v>39740</v>
      </c>
      <c r="C20190" s="16">
        <f>459.21/(1+B2)</f>
        <v>459.21</v>
      </c>
      <c r="D20190" s="17" t="s">
        <v>11</v>
      </c>
      <c r="E20190" s="17" t="s">
        <v>53</v>
      </c>
      <c r="F20190" s="18"/>
      <c r="G20190" s="36" t="str">
        <f>IF(ISNUMBER(F20190),C20190*F20190,"")</f>
        <v/>
      </c>
    </row>
    <row r="20191" spans="1:7" ht="12" customHeight="1" outlineLevel="3" x14ac:dyDescent="0.2">
      <c r="A20191" s="14" t="s">
        <v>39741</v>
      </c>
      <c r="B20191" s="15" t="s">
        <v>39742</v>
      </c>
      <c r="C20191" s="16">
        <f>640.46/(1+B2)</f>
        <v>640.46</v>
      </c>
      <c r="D20191" s="17" t="s">
        <v>11</v>
      </c>
      <c r="E20191" s="17" t="s">
        <v>53</v>
      </c>
      <c r="F20191" s="18"/>
      <c r="G20191" s="36" t="str">
        <f>IF(ISNUMBER(F20191),C20191*F20191,"")</f>
        <v/>
      </c>
    </row>
    <row r="20192" spans="1:7" ht="12" customHeight="1" outlineLevel="3" x14ac:dyDescent="0.2">
      <c r="A20192" s="14" t="s">
        <v>39743</v>
      </c>
      <c r="B20192" s="15" t="s">
        <v>39744</v>
      </c>
      <c r="C20192" s="16">
        <f>345.15/(1+B2)</f>
        <v>345.15</v>
      </c>
      <c r="D20192" s="17" t="s">
        <v>11</v>
      </c>
      <c r="E20192" s="17" t="s">
        <v>11</v>
      </c>
      <c r="F20192" s="18"/>
      <c r="G20192" s="36" t="str">
        <f>IF(ISNUMBER(F20192),C20192*F20192,"")</f>
        <v/>
      </c>
    </row>
    <row r="20193" spans="1:7" ht="12" customHeight="1" outlineLevel="3" x14ac:dyDescent="0.2">
      <c r="A20193" s="14" t="s">
        <v>39745</v>
      </c>
      <c r="B20193" s="15" t="s">
        <v>39746</v>
      </c>
      <c r="C20193" s="16">
        <f>560.91/(1+B2)</f>
        <v>560.91</v>
      </c>
      <c r="D20193" s="17" t="s">
        <v>11</v>
      </c>
      <c r="E20193" s="17"/>
      <c r="F20193" s="18"/>
      <c r="G20193" s="36" t="str">
        <f>IF(ISNUMBER(F20193),C20193*F20193,"")</f>
        <v/>
      </c>
    </row>
    <row r="20194" spans="1:7" ht="12" customHeight="1" outlineLevel="3" x14ac:dyDescent="0.2">
      <c r="A20194" s="14" t="s">
        <v>39747</v>
      </c>
      <c r="B20194" s="15" t="s">
        <v>39748</v>
      </c>
      <c r="C20194" s="16">
        <f>367.11/(1+B2)</f>
        <v>367.11</v>
      </c>
      <c r="D20194" s="17" t="s">
        <v>11</v>
      </c>
      <c r="E20194" s="17" t="s">
        <v>106</v>
      </c>
      <c r="F20194" s="18"/>
      <c r="G20194" s="36" t="str">
        <f>IF(ISNUMBER(F20194),C20194*F20194,"")</f>
        <v/>
      </c>
    </row>
    <row r="20195" spans="1:7" ht="12" customHeight="1" outlineLevel="3" x14ac:dyDescent="0.2">
      <c r="A20195" s="14" t="s">
        <v>39749</v>
      </c>
      <c r="B20195" s="15" t="s">
        <v>39750</v>
      </c>
      <c r="C20195" s="16">
        <f>384.25/(1+B2)</f>
        <v>384.25</v>
      </c>
      <c r="D20195" s="17" t="s">
        <v>11</v>
      </c>
      <c r="E20195" s="17" t="s">
        <v>11</v>
      </c>
      <c r="F20195" s="18"/>
      <c r="G20195" s="36" t="str">
        <f>IF(ISNUMBER(F20195),C20195*F20195,"")</f>
        <v/>
      </c>
    </row>
    <row r="20196" spans="1:7" s="1" customFormat="1" ht="12.95" customHeight="1" outlineLevel="2" x14ac:dyDescent="0.2">
      <c r="A20196" s="20"/>
      <c r="B20196" s="21" t="s">
        <v>39751</v>
      </c>
      <c r="C20196" s="22"/>
      <c r="D20196" s="22"/>
      <c r="E20196" s="22"/>
      <c r="F20196" s="22"/>
      <c r="G20196" s="37"/>
    </row>
    <row r="20197" spans="1:7" ht="12" customHeight="1" outlineLevel="3" x14ac:dyDescent="0.2">
      <c r="A20197" s="14" t="s">
        <v>39752</v>
      </c>
      <c r="B20197" s="15" t="s">
        <v>39753</v>
      </c>
      <c r="C20197" s="16">
        <f>179.96/(1+B2)</f>
        <v>179.96</v>
      </c>
      <c r="D20197" s="17" t="s">
        <v>11</v>
      </c>
      <c r="E20197" s="17"/>
      <c r="F20197" s="18"/>
      <c r="G20197" s="36" t="str">
        <f>IF(ISNUMBER(F20197),C20197*F20197,"")</f>
        <v/>
      </c>
    </row>
    <row r="20198" spans="1:7" ht="12" customHeight="1" outlineLevel="3" x14ac:dyDescent="0.2">
      <c r="A20198" s="14" t="s">
        <v>39754</v>
      </c>
      <c r="B20198" s="15" t="s">
        <v>39755</v>
      </c>
      <c r="C20198" s="16">
        <f>238.49/(1+B2)</f>
        <v>238.49</v>
      </c>
      <c r="D20198" s="17" t="s">
        <v>11</v>
      </c>
      <c r="E20198" s="17"/>
      <c r="F20198" s="18"/>
      <c r="G20198" s="36" t="str">
        <f>IF(ISNUMBER(F20198),C20198*F20198,"")</f>
        <v/>
      </c>
    </row>
    <row r="20199" spans="1:7" ht="24" customHeight="1" outlineLevel="3" x14ac:dyDescent="0.2">
      <c r="A20199" s="14" t="s">
        <v>39756</v>
      </c>
      <c r="B20199" s="15" t="s">
        <v>39757</v>
      </c>
      <c r="C20199" s="16">
        <f>167.84/(1+B2)</f>
        <v>167.84</v>
      </c>
      <c r="D20199" s="17" t="s">
        <v>11</v>
      </c>
      <c r="E20199" s="17"/>
      <c r="F20199" s="18"/>
      <c r="G20199" s="36" t="str">
        <f>IF(ISNUMBER(F20199),C20199*F20199,"")</f>
        <v/>
      </c>
    </row>
    <row r="20200" spans="1:7" ht="24" customHeight="1" outlineLevel="3" x14ac:dyDescent="0.2">
      <c r="A20200" s="14" t="s">
        <v>39758</v>
      </c>
      <c r="B20200" s="15" t="s">
        <v>39759</v>
      </c>
      <c r="C20200" s="16">
        <f>184.67/(1+B2)</f>
        <v>184.67</v>
      </c>
      <c r="D20200" s="17" t="s">
        <v>11</v>
      </c>
      <c r="E20200" s="17"/>
      <c r="F20200" s="18"/>
      <c r="G20200" s="36" t="str">
        <f>IF(ISNUMBER(F20200),C20200*F20200,"")</f>
        <v/>
      </c>
    </row>
    <row r="20201" spans="1:7" ht="24" customHeight="1" outlineLevel="3" x14ac:dyDescent="0.2">
      <c r="A20201" s="14" t="s">
        <v>39760</v>
      </c>
      <c r="B20201" s="15" t="s">
        <v>39761</v>
      </c>
      <c r="C20201" s="16">
        <f>226.04/(1+B2)</f>
        <v>226.04</v>
      </c>
      <c r="D20201" s="17" t="s">
        <v>11</v>
      </c>
      <c r="E20201" s="17"/>
      <c r="F20201" s="18"/>
      <c r="G20201" s="36" t="str">
        <f>IF(ISNUMBER(F20201),C20201*F20201,"")</f>
        <v/>
      </c>
    </row>
    <row r="20202" spans="1:7" ht="12" customHeight="1" outlineLevel="3" x14ac:dyDescent="0.2">
      <c r="A20202" s="14" t="s">
        <v>39762</v>
      </c>
      <c r="B20202" s="15" t="s">
        <v>39763</v>
      </c>
      <c r="C20202" s="16">
        <f>709.74/(1+B2)</f>
        <v>709.74</v>
      </c>
      <c r="D20202" s="17" t="s">
        <v>11</v>
      </c>
      <c r="E20202" s="17" t="s">
        <v>14</v>
      </c>
      <c r="F20202" s="18"/>
      <c r="G20202" s="36" t="str">
        <f>IF(ISNUMBER(F20202),C20202*F20202,"")</f>
        <v/>
      </c>
    </row>
    <row r="20203" spans="1:7" ht="12" customHeight="1" outlineLevel="3" x14ac:dyDescent="0.2">
      <c r="A20203" s="14" t="s">
        <v>39764</v>
      </c>
      <c r="B20203" s="15" t="s">
        <v>39765</v>
      </c>
      <c r="C20203" s="16">
        <f>474.07/(1+B2)</f>
        <v>474.07</v>
      </c>
      <c r="D20203" s="17" t="s">
        <v>14</v>
      </c>
      <c r="E20203" s="17"/>
      <c r="F20203" s="18"/>
      <c r="G20203" s="36" t="str">
        <f>IF(ISNUMBER(F20203),C20203*F20203,"")</f>
        <v/>
      </c>
    </row>
    <row r="20204" spans="1:7" ht="12" customHeight="1" outlineLevel="3" x14ac:dyDescent="0.2">
      <c r="A20204" s="14" t="s">
        <v>39766</v>
      </c>
      <c r="B20204" s="15" t="s">
        <v>39767</v>
      </c>
      <c r="C20204" s="16">
        <f>992.99/(1+B2)</f>
        <v>992.99</v>
      </c>
      <c r="D20204" s="17" t="s">
        <v>11</v>
      </c>
      <c r="E20204" s="17"/>
      <c r="F20204" s="18"/>
      <c r="G20204" s="36" t="str">
        <f>IF(ISNUMBER(F20204),C20204*F20204,"")</f>
        <v/>
      </c>
    </row>
    <row r="20205" spans="1:7" ht="12" customHeight="1" outlineLevel="3" x14ac:dyDescent="0.2">
      <c r="A20205" s="14" t="s">
        <v>39768</v>
      </c>
      <c r="B20205" s="15" t="s">
        <v>39769</v>
      </c>
      <c r="C20205" s="16">
        <f>400.4/(1+B2)</f>
        <v>400.4</v>
      </c>
      <c r="D20205" s="17" t="s">
        <v>14</v>
      </c>
      <c r="E20205" s="17"/>
      <c r="F20205" s="18"/>
      <c r="G20205" s="36" t="str">
        <f>IF(ISNUMBER(F20205),C20205*F20205,"")</f>
        <v/>
      </c>
    </row>
    <row r="20206" spans="1:7" ht="12" customHeight="1" outlineLevel="3" x14ac:dyDescent="0.2">
      <c r="A20206" s="14" t="s">
        <v>39770</v>
      </c>
      <c r="B20206" s="15" t="s">
        <v>39771</v>
      </c>
      <c r="C20206" s="16">
        <f>39.92/(1+B2)</f>
        <v>39.92</v>
      </c>
      <c r="D20206" s="17" t="s">
        <v>11</v>
      </c>
      <c r="E20206" s="17" t="s">
        <v>14</v>
      </c>
      <c r="F20206" s="18"/>
      <c r="G20206" s="36" t="str">
        <f>IF(ISNUMBER(F20206),C20206*F20206,"")</f>
        <v/>
      </c>
    </row>
    <row r="20207" spans="1:7" ht="12" customHeight="1" outlineLevel="3" x14ac:dyDescent="0.2">
      <c r="A20207" s="14" t="s">
        <v>39772</v>
      </c>
      <c r="B20207" s="15" t="s">
        <v>39773</v>
      </c>
      <c r="C20207" s="16">
        <f>40.52/(1+B2)</f>
        <v>40.520000000000003</v>
      </c>
      <c r="D20207" s="17" t="s">
        <v>11</v>
      </c>
      <c r="E20207" s="17" t="s">
        <v>11</v>
      </c>
      <c r="F20207" s="18"/>
      <c r="G20207" s="36" t="str">
        <f>IF(ISNUMBER(F20207),C20207*F20207,"")</f>
        <v/>
      </c>
    </row>
    <row r="20208" spans="1:7" ht="12" customHeight="1" outlineLevel="3" x14ac:dyDescent="0.2">
      <c r="A20208" s="14" t="s">
        <v>39774</v>
      </c>
      <c r="B20208" s="15" t="s">
        <v>39775</v>
      </c>
      <c r="C20208" s="16">
        <f>45.44/(1+B2)</f>
        <v>45.44</v>
      </c>
      <c r="D20208" s="17" t="s">
        <v>11</v>
      </c>
      <c r="E20208" s="17" t="s">
        <v>14</v>
      </c>
      <c r="F20208" s="18"/>
      <c r="G20208" s="36" t="str">
        <f>IF(ISNUMBER(F20208),C20208*F20208,"")</f>
        <v/>
      </c>
    </row>
    <row r="20209" spans="1:7" ht="12" customHeight="1" outlineLevel="3" x14ac:dyDescent="0.2">
      <c r="A20209" s="14" t="s">
        <v>39776</v>
      </c>
      <c r="B20209" s="15" t="s">
        <v>39777</v>
      </c>
      <c r="C20209" s="16">
        <f>317.65/(1+B2)</f>
        <v>317.64999999999998</v>
      </c>
      <c r="D20209" s="17" t="s">
        <v>11</v>
      </c>
      <c r="E20209" s="17" t="s">
        <v>14</v>
      </c>
      <c r="F20209" s="18"/>
      <c r="G20209" s="36" t="str">
        <f>IF(ISNUMBER(F20209),C20209*F20209,"")</f>
        <v/>
      </c>
    </row>
    <row r="20210" spans="1:7" ht="12" customHeight="1" outlineLevel="3" x14ac:dyDescent="0.2">
      <c r="A20210" s="14" t="s">
        <v>39778</v>
      </c>
      <c r="B20210" s="15" t="s">
        <v>39779</v>
      </c>
      <c r="C20210" s="16">
        <f>344.66/(1+B2)</f>
        <v>344.66</v>
      </c>
      <c r="D20210" s="17" t="s">
        <v>11</v>
      </c>
      <c r="E20210" s="17" t="s">
        <v>53</v>
      </c>
      <c r="F20210" s="18"/>
      <c r="G20210" s="36" t="str">
        <f>IF(ISNUMBER(F20210),C20210*F20210,"")</f>
        <v/>
      </c>
    </row>
    <row r="20211" spans="1:7" ht="12" customHeight="1" outlineLevel="3" x14ac:dyDescent="0.2">
      <c r="A20211" s="14" t="s">
        <v>39780</v>
      </c>
      <c r="B20211" s="15" t="s">
        <v>39781</v>
      </c>
      <c r="C20211" s="16">
        <f>118.08/(1+B2)</f>
        <v>118.08</v>
      </c>
      <c r="D20211" s="17" t="s">
        <v>14</v>
      </c>
      <c r="E20211" s="17" t="s">
        <v>53</v>
      </c>
      <c r="F20211" s="18"/>
      <c r="G20211" s="36" t="str">
        <f>IF(ISNUMBER(F20211),C20211*F20211,"")</f>
        <v/>
      </c>
    </row>
    <row r="20212" spans="1:7" ht="12" customHeight="1" outlineLevel="3" x14ac:dyDescent="0.2">
      <c r="A20212" s="14" t="s">
        <v>39782</v>
      </c>
      <c r="B20212" s="15" t="s">
        <v>39783</v>
      </c>
      <c r="C20212" s="16">
        <f>437.34/(1+B2)</f>
        <v>437.34</v>
      </c>
      <c r="D20212" s="17" t="s">
        <v>11</v>
      </c>
      <c r="E20212" s="17" t="s">
        <v>11</v>
      </c>
      <c r="F20212" s="18"/>
      <c r="G20212" s="36" t="str">
        <f>IF(ISNUMBER(F20212),C20212*F20212,"")</f>
        <v/>
      </c>
    </row>
    <row r="20213" spans="1:7" ht="12" customHeight="1" outlineLevel="3" x14ac:dyDescent="0.2">
      <c r="A20213" s="14" t="s">
        <v>39784</v>
      </c>
      <c r="B20213" s="15" t="s">
        <v>39785</v>
      </c>
      <c r="C20213" s="16">
        <f>438.23/(1+B2)</f>
        <v>438.23</v>
      </c>
      <c r="D20213" s="17" t="s">
        <v>11</v>
      </c>
      <c r="E20213" s="17" t="s">
        <v>53</v>
      </c>
      <c r="F20213" s="18"/>
      <c r="G20213" s="36" t="str">
        <f>IF(ISNUMBER(F20213),C20213*F20213,"")</f>
        <v/>
      </c>
    </row>
    <row r="20214" spans="1:7" ht="12" customHeight="1" outlineLevel="3" x14ac:dyDescent="0.2">
      <c r="A20214" s="14" t="s">
        <v>39786</v>
      </c>
      <c r="B20214" s="15" t="s">
        <v>39787</v>
      </c>
      <c r="C20214" s="16">
        <f>168.61/(1+B2)</f>
        <v>168.61</v>
      </c>
      <c r="D20214" s="17" t="s">
        <v>11</v>
      </c>
      <c r="E20214" s="17" t="s">
        <v>53</v>
      </c>
      <c r="F20214" s="18"/>
      <c r="G20214" s="36" t="str">
        <f>IF(ISNUMBER(F20214),C20214*F20214,"")</f>
        <v/>
      </c>
    </row>
    <row r="20215" spans="1:7" ht="12" customHeight="1" outlineLevel="3" x14ac:dyDescent="0.2">
      <c r="A20215" s="14" t="s">
        <v>39788</v>
      </c>
      <c r="B20215" s="15" t="s">
        <v>39789</v>
      </c>
      <c r="C20215" s="19">
        <f>2500/(1+B2)</f>
        <v>2500</v>
      </c>
      <c r="D20215" s="17" t="s">
        <v>11</v>
      </c>
      <c r="E20215" s="17"/>
      <c r="F20215" s="18"/>
      <c r="G20215" s="36" t="str">
        <f>IF(ISNUMBER(F20215),C20215*F20215,"")</f>
        <v/>
      </c>
    </row>
    <row r="20216" spans="1:7" s="1" customFormat="1" ht="12.95" customHeight="1" outlineLevel="2" x14ac:dyDescent="0.2">
      <c r="A20216" s="20"/>
      <c r="B20216" s="21" t="s">
        <v>39790</v>
      </c>
      <c r="C20216" s="22"/>
      <c r="D20216" s="22"/>
      <c r="E20216" s="22"/>
      <c r="F20216" s="22"/>
      <c r="G20216" s="37"/>
    </row>
    <row r="20217" spans="1:7" ht="24" customHeight="1" outlineLevel="3" x14ac:dyDescent="0.2">
      <c r="A20217" s="14" t="s">
        <v>39791</v>
      </c>
      <c r="B20217" s="15" t="s">
        <v>39792</v>
      </c>
      <c r="C20217" s="16">
        <f>271.15/(1+B2)</f>
        <v>271.14999999999998</v>
      </c>
      <c r="D20217" s="17" t="s">
        <v>14</v>
      </c>
      <c r="E20217" s="17" t="s">
        <v>53</v>
      </c>
      <c r="F20217" s="18"/>
      <c r="G20217" s="36" t="str">
        <f>IF(ISNUMBER(F20217),C20217*F20217,"")</f>
        <v/>
      </c>
    </row>
    <row r="20218" spans="1:7" ht="24" customHeight="1" outlineLevel="3" x14ac:dyDescent="0.2">
      <c r="A20218" s="14" t="s">
        <v>39793</v>
      </c>
      <c r="B20218" s="15" t="s">
        <v>39794</v>
      </c>
      <c r="C20218" s="16">
        <f>262.24/(1+B2)</f>
        <v>262.24</v>
      </c>
      <c r="D20218" s="17" t="s">
        <v>14</v>
      </c>
      <c r="E20218" s="17" t="s">
        <v>14</v>
      </c>
      <c r="F20218" s="18"/>
      <c r="G20218" s="36" t="str">
        <f>IF(ISNUMBER(F20218),C20218*F20218,"")</f>
        <v/>
      </c>
    </row>
    <row r="20219" spans="1:7" ht="24" customHeight="1" outlineLevel="3" x14ac:dyDescent="0.2">
      <c r="A20219" s="14" t="s">
        <v>39795</v>
      </c>
      <c r="B20219" s="15" t="s">
        <v>39796</v>
      </c>
      <c r="C20219" s="16">
        <f>329.03/(1+B2)</f>
        <v>329.03</v>
      </c>
      <c r="D20219" s="17" t="s">
        <v>14</v>
      </c>
      <c r="E20219" s="17"/>
      <c r="F20219" s="18"/>
      <c r="G20219" s="36" t="str">
        <f>IF(ISNUMBER(F20219),C20219*F20219,"")</f>
        <v/>
      </c>
    </row>
    <row r="20220" spans="1:7" ht="24" customHeight="1" outlineLevel="3" x14ac:dyDescent="0.2">
      <c r="A20220" s="14" t="s">
        <v>39797</v>
      </c>
      <c r="B20220" s="15" t="s">
        <v>39798</v>
      </c>
      <c r="C20220" s="16">
        <f>434.18/(1+B2)</f>
        <v>434.18</v>
      </c>
      <c r="D20220" s="17" t="s">
        <v>11</v>
      </c>
      <c r="E20220" s="17" t="s">
        <v>11</v>
      </c>
      <c r="F20220" s="18"/>
      <c r="G20220" s="36" t="str">
        <f>IF(ISNUMBER(F20220),C20220*F20220,"")</f>
        <v/>
      </c>
    </row>
    <row r="20221" spans="1:7" ht="24" customHeight="1" outlineLevel="3" x14ac:dyDescent="0.2">
      <c r="A20221" s="14" t="s">
        <v>39799</v>
      </c>
      <c r="B20221" s="15" t="s">
        <v>39800</v>
      </c>
      <c r="C20221" s="16">
        <f>370.81/(1+B2)</f>
        <v>370.81</v>
      </c>
      <c r="D20221" s="17" t="s">
        <v>11</v>
      </c>
      <c r="E20221" s="17"/>
      <c r="F20221" s="18"/>
      <c r="G20221" s="36" t="str">
        <f>IF(ISNUMBER(F20221),C20221*F20221,"")</f>
        <v/>
      </c>
    </row>
    <row r="20222" spans="1:7" ht="24" customHeight="1" outlineLevel="3" x14ac:dyDescent="0.2">
      <c r="A20222" s="14" t="s">
        <v>39801</v>
      </c>
      <c r="B20222" s="15" t="s">
        <v>39802</v>
      </c>
      <c r="C20222" s="16">
        <f>379.39/(1+B2)</f>
        <v>379.39</v>
      </c>
      <c r="D20222" s="17" t="s">
        <v>14</v>
      </c>
      <c r="E20222" s="17"/>
      <c r="F20222" s="18"/>
      <c r="G20222" s="36" t="str">
        <f>IF(ISNUMBER(F20222),C20222*F20222,"")</f>
        <v/>
      </c>
    </row>
    <row r="20223" spans="1:7" ht="24" customHeight="1" outlineLevel="3" x14ac:dyDescent="0.2">
      <c r="A20223" s="14" t="s">
        <v>39803</v>
      </c>
      <c r="B20223" s="15" t="s">
        <v>39804</v>
      </c>
      <c r="C20223" s="16">
        <f>406.56/(1+B2)</f>
        <v>406.56</v>
      </c>
      <c r="D20223" s="17" t="s">
        <v>11</v>
      </c>
      <c r="E20223" s="17"/>
      <c r="F20223" s="18"/>
      <c r="G20223" s="36" t="str">
        <f>IF(ISNUMBER(F20223),C20223*F20223,"")</f>
        <v/>
      </c>
    </row>
    <row r="20224" spans="1:7" ht="24" customHeight="1" outlineLevel="3" x14ac:dyDescent="0.2">
      <c r="A20224" s="14" t="s">
        <v>39805</v>
      </c>
      <c r="B20224" s="15" t="s">
        <v>39806</v>
      </c>
      <c r="C20224" s="16">
        <f>296.95/(1+B2)</f>
        <v>296.95</v>
      </c>
      <c r="D20224" s="17" t="s">
        <v>11</v>
      </c>
      <c r="E20224" s="17"/>
      <c r="F20224" s="18"/>
      <c r="G20224" s="36" t="str">
        <f>IF(ISNUMBER(F20224),C20224*F20224,"")</f>
        <v/>
      </c>
    </row>
    <row r="20225" spans="1:7" ht="24" customHeight="1" outlineLevel="3" x14ac:dyDescent="0.2">
      <c r="A20225" s="14" t="s">
        <v>39807</v>
      </c>
      <c r="B20225" s="15" t="s">
        <v>39808</v>
      </c>
      <c r="C20225" s="16">
        <f>357.05/(1+B2)</f>
        <v>357.05</v>
      </c>
      <c r="D20225" s="17" t="s">
        <v>11</v>
      </c>
      <c r="E20225" s="17"/>
      <c r="F20225" s="18"/>
      <c r="G20225" s="36" t="str">
        <f>IF(ISNUMBER(F20225),C20225*F20225,"")</f>
        <v/>
      </c>
    </row>
    <row r="20226" spans="1:7" ht="24" customHeight="1" outlineLevel="3" x14ac:dyDescent="0.2">
      <c r="A20226" s="14" t="s">
        <v>39809</v>
      </c>
      <c r="B20226" s="15" t="s">
        <v>39810</v>
      </c>
      <c r="C20226" s="16">
        <f>376.49/(1+B2)</f>
        <v>376.49</v>
      </c>
      <c r="D20226" s="17" t="s">
        <v>14</v>
      </c>
      <c r="E20226" s="17" t="s">
        <v>14</v>
      </c>
      <c r="F20226" s="18"/>
      <c r="G20226" s="36" t="str">
        <f>IF(ISNUMBER(F20226),C20226*F20226,"")</f>
        <v/>
      </c>
    </row>
    <row r="20227" spans="1:7" ht="24" customHeight="1" outlineLevel="3" x14ac:dyDescent="0.2">
      <c r="A20227" s="14" t="s">
        <v>39811</v>
      </c>
      <c r="B20227" s="15" t="s">
        <v>39812</v>
      </c>
      <c r="C20227" s="16">
        <f>482.25/(1+B2)</f>
        <v>482.25</v>
      </c>
      <c r="D20227" s="17" t="s">
        <v>11</v>
      </c>
      <c r="E20227" s="17" t="s">
        <v>14</v>
      </c>
      <c r="F20227" s="18"/>
      <c r="G20227" s="36" t="str">
        <f>IF(ISNUMBER(F20227),C20227*F20227,"")</f>
        <v/>
      </c>
    </row>
    <row r="20228" spans="1:7" ht="24" customHeight="1" outlineLevel="3" x14ac:dyDescent="0.2">
      <c r="A20228" s="14" t="s">
        <v>39813</v>
      </c>
      <c r="B20228" s="15" t="s">
        <v>39814</v>
      </c>
      <c r="C20228" s="16">
        <f>391.8/(1+B2)</f>
        <v>391.8</v>
      </c>
      <c r="D20228" s="17" t="s">
        <v>11</v>
      </c>
      <c r="E20228" s="17" t="s">
        <v>11</v>
      </c>
      <c r="F20228" s="18"/>
      <c r="G20228" s="36" t="str">
        <f>IF(ISNUMBER(F20228),C20228*F20228,"")</f>
        <v/>
      </c>
    </row>
    <row r="20229" spans="1:7" ht="24" customHeight="1" outlineLevel="3" x14ac:dyDescent="0.2">
      <c r="A20229" s="14" t="s">
        <v>39815</v>
      </c>
      <c r="B20229" s="15" t="s">
        <v>39816</v>
      </c>
      <c r="C20229" s="16">
        <f>499.05/(1+B2)</f>
        <v>499.05</v>
      </c>
      <c r="D20229" s="17" t="s">
        <v>14</v>
      </c>
      <c r="E20229" s="17" t="s">
        <v>106</v>
      </c>
      <c r="F20229" s="18"/>
      <c r="G20229" s="36" t="str">
        <f>IF(ISNUMBER(F20229),C20229*F20229,"")</f>
        <v/>
      </c>
    </row>
    <row r="20230" spans="1:7" ht="24" customHeight="1" outlineLevel="3" x14ac:dyDescent="0.2">
      <c r="A20230" s="14" t="s">
        <v>39817</v>
      </c>
      <c r="B20230" s="15" t="s">
        <v>39818</v>
      </c>
      <c r="C20230" s="16">
        <f>529.09/(1+B2)</f>
        <v>529.09</v>
      </c>
      <c r="D20230" s="17" t="s">
        <v>11</v>
      </c>
      <c r="E20230" s="17"/>
      <c r="F20230" s="18"/>
      <c r="G20230" s="36" t="str">
        <f>IF(ISNUMBER(F20230),C20230*F20230,"")</f>
        <v/>
      </c>
    </row>
    <row r="20231" spans="1:7" ht="12" customHeight="1" outlineLevel="3" x14ac:dyDescent="0.2">
      <c r="A20231" s="14" t="s">
        <v>39819</v>
      </c>
      <c r="B20231" s="15" t="s">
        <v>39820</v>
      </c>
      <c r="C20231" s="16">
        <f>311.65/(1+B2)</f>
        <v>311.64999999999998</v>
      </c>
      <c r="D20231" s="17" t="s">
        <v>11</v>
      </c>
      <c r="E20231" s="17"/>
      <c r="F20231" s="18"/>
      <c r="G20231" s="36" t="str">
        <f>IF(ISNUMBER(F20231),C20231*F20231,"")</f>
        <v/>
      </c>
    </row>
    <row r="20232" spans="1:7" s="1" customFormat="1" ht="12.95" customHeight="1" outlineLevel="2" x14ac:dyDescent="0.2">
      <c r="A20232" s="20"/>
      <c r="B20232" s="21" t="s">
        <v>39821</v>
      </c>
      <c r="C20232" s="22"/>
      <c r="D20232" s="22"/>
      <c r="E20232" s="22"/>
      <c r="F20232" s="22"/>
      <c r="G20232" s="37"/>
    </row>
    <row r="20233" spans="1:7" ht="12" customHeight="1" outlineLevel="3" x14ac:dyDescent="0.2">
      <c r="A20233" s="14" t="s">
        <v>39822</v>
      </c>
      <c r="B20233" s="15" t="s">
        <v>39823</v>
      </c>
      <c r="C20233" s="19">
        <f>1303.2/(1+B2)</f>
        <v>1303.2</v>
      </c>
      <c r="D20233" s="17" t="s">
        <v>11</v>
      </c>
      <c r="E20233" s="17"/>
      <c r="F20233" s="18"/>
      <c r="G20233" s="36" t="str">
        <f>IF(ISNUMBER(F20233),C20233*F20233,"")</f>
        <v/>
      </c>
    </row>
    <row r="20234" spans="1:7" ht="12" customHeight="1" outlineLevel="3" x14ac:dyDescent="0.2">
      <c r="A20234" s="14" t="s">
        <v>39824</v>
      </c>
      <c r="B20234" s="15" t="s">
        <v>39825</v>
      </c>
      <c r="C20234" s="19">
        <f>1438.56/(1+B2)</f>
        <v>1438.56</v>
      </c>
      <c r="D20234" s="17" t="s">
        <v>11</v>
      </c>
      <c r="E20234" s="17"/>
      <c r="F20234" s="18"/>
      <c r="G20234" s="36" t="str">
        <f>IF(ISNUMBER(F20234),C20234*F20234,"")</f>
        <v/>
      </c>
    </row>
    <row r="20235" spans="1:7" ht="12" customHeight="1" outlineLevel="3" x14ac:dyDescent="0.2">
      <c r="A20235" s="14" t="s">
        <v>39826</v>
      </c>
      <c r="B20235" s="15" t="s">
        <v>39827</v>
      </c>
      <c r="C20235" s="16">
        <f>884.88/(1+B2)</f>
        <v>884.88</v>
      </c>
      <c r="D20235" s="17" t="s">
        <v>11</v>
      </c>
      <c r="E20235" s="17"/>
      <c r="F20235" s="18"/>
      <c r="G20235" s="36" t="str">
        <f>IF(ISNUMBER(F20235),C20235*F20235,"")</f>
        <v/>
      </c>
    </row>
    <row r="20236" spans="1:7" ht="12" customHeight="1" outlineLevel="3" x14ac:dyDescent="0.2">
      <c r="A20236" s="14" t="s">
        <v>39828</v>
      </c>
      <c r="B20236" s="15" t="s">
        <v>39829</v>
      </c>
      <c r="C20236" s="16">
        <f>609.84/(1+B2)</f>
        <v>609.84</v>
      </c>
      <c r="D20236" s="17" t="s">
        <v>11</v>
      </c>
      <c r="E20236" s="17"/>
      <c r="F20236" s="18"/>
      <c r="G20236" s="36" t="str">
        <f>IF(ISNUMBER(F20236),C20236*F20236,"")</f>
        <v/>
      </c>
    </row>
    <row r="20237" spans="1:7" ht="12" customHeight="1" outlineLevel="3" x14ac:dyDescent="0.2">
      <c r="A20237" s="14" t="s">
        <v>39830</v>
      </c>
      <c r="B20237" s="15" t="s">
        <v>39831</v>
      </c>
      <c r="C20237" s="16">
        <f>538.89/(1+B2)</f>
        <v>538.89</v>
      </c>
      <c r="D20237" s="17" t="s">
        <v>11</v>
      </c>
      <c r="E20237" s="17"/>
      <c r="F20237" s="18"/>
      <c r="G20237" s="36" t="str">
        <f>IF(ISNUMBER(F20237),C20237*F20237,"")</f>
        <v/>
      </c>
    </row>
    <row r="20238" spans="1:7" ht="12" customHeight="1" outlineLevel="3" x14ac:dyDescent="0.2">
      <c r="A20238" s="14" t="s">
        <v>39832</v>
      </c>
      <c r="B20238" s="15" t="s">
        <v>39833</v>
      </c>
      <c r="C20238" s="19">
        <f>1113.12/(1+B2)</f>
        <v>1113.1199999999999</v>
      </c>
      <c r="D20238" s="17" t="s">
        <v>11</v>
      </c>
      <c r="E20238" s="17"/>
      <c r="F20238" s="18"/>
      <c r="G20238" s="36" t="str">
        <f>IF(ISNUMBER(F20238),C20238*F20238,"")</f>
        <v/>
      </c>
    </row>
    <row r="20239" spans="1:7" ht="12" customHeight="1" outlineLevel="3" x14ac:dyDescent="0.2">
      <c r="A20239" s="14" t="s">
        <v>39834</v>
      </c>
      <c r="B20239" s="15" t="s">
        <v>39835</v>
      </c>
      <c r="C20239" s="16">
        <f>989.54/(1+B2)</f>
        <v>989.54</v>
      </c>
      <c r="D20239" s="17" t="s">
        <v>11</v>
      </c>
      <c r="E20239" s="17"/>
      <c r="F20239" s="18"/>
      <c r="G20239" s="36" t="str">
        <f>IF(ISNUMBER(F20239),C20239*F20239,"")</f>
        <v/>
      </c>
    </row>
    <row r="20240" spans="1:7" ht="12" customHeight="1" outlineLevel="3" x14ac:dyDescent="0.2">
      <c r="A20240" s="14" t="s">
        <v>39836</v>
      </c>
      <c r="B20240" s="15" t="s">
        <v>39837</v>
      </c>
      <c r="C20240" s="19">
        <f>1580.48/(1+B2)</f>
        <v>1580.48</v>
      </c>
      <c r="D20240" s="17" t="s">
        <v>11</v>
      </c>
      <c r="E20240" s="17"/>
      <c r="F20240" s="18"/>
      <c r="G20240" s="36" t="str">
        <f>IF(ISNUMBER(F20240),C20240*F20240,"")</f>
        <v/>
      </c>
    </row>
    <row r="20241" spans="1:7" ht="12" customHeight="1" outlineLevel="3" x14ac:dyDescent="0.2">
      <c r="A20241" s="14" t="s">
        <v>39838</v>
      </c>
      <c r="B20241" s="15" t="s">
        <v>39839</v>
      </c>
      <c r="C20241" s="16">
        <f>830.8/(1+B2)</f>
        <v>830.8</v>
      </c>
      <c r="D20241" s="17" t="s">
        <v>11</v>
      </c>
      <c r="E20241" s="17"/>
      <c r="F20241" s="18"/>
      <c r="G20241" s="36" t="str">
        <f>IF(ISNUMBER(F20241),C20241*F20241,"")</f>
        <v/>
      </c>
    </row>
    <row r="20242" spans="1:7" ht="12" customHeight="1" outlineLevel="3" x14ac:dyDescent="0.2">
      <c r="A20242" s="14" t="s">
        <v>39840</v>
      </c>
      <c r="B20242" s="15" t="s">
        <v>39841</v>
      </c>
      <c r="C20242" s="19">
        <f>1019.02/(1+B2)</f>
        <v>1019.02</v>
      </c>
      <c r="D20242" s="17" t="s">
        <v>53</v>
      </c>
      <c r="E20242" s="17"/>
      <c r="F20242" s="18"/>
      <c r="G20242" s="36" t="str">
        <f>IF(ISNUMBER(F20242),C20242*F20242,"")</f>
        <v/>
      </c>
    </row>
    <row r="20243" spans="1:7" ht="12" customHeight="1" outlineLevel="3" x14ac:dyDescent="0.2">
      <c r="A20243" s="14" t="s">
        <v>39842</v>
      </c>
      <c r="B20243" s="15" t="s">
        <v>39843</v>
      </c>
      <c r="C20243" s="19">
        <f>2094.64/(1+B2)</f>
        <v>2094.64</v>
      </c>
      <c r="D20243" s="17" t="s">
        <v>11</v>
      </c>
      <c r="E20243" s="17"/>
      <c r="F20243" s="18"/>
      <c r="G20243" s="36" t="str">
        <f>IF(ISNUMBER(F20243),C20243*F20243,"")</f>
        <v/>
      </c>
    </row>
    <row r="20244" spans="1:7" s="1" customFormat="1" ht="12.95" customHeight="1" outlineLevel="2" x14ac:dyDescent="0.2">
      <c r="A20244" s="20"/>
      <c r="B20244" s="21" t="s">
        <v>39844</v>
      </c>
      <c r="C20244" s="22"/>
      <c r="D20244" s="22"/>
      <c r="E20244" s="22"/>
      <c r="F20244" s="22"/>
      <c r="G20244" s="37"/>
    </row>
    <row r="20245" spans="1:7" ht="12" customHeight="1" outlineLevel="3" x14ac:dyDescent="0.2">
      <c r="A20245" s="14" t="s">
        <v>39845</v>
      </c>
      <c r="B20245" s="15" t="s">
        <v>39846</v>
      </c>
      <c r="C20245" s="16">
        <f>177.39/(1+B2)</f>
        <v>177.39</v>
      </c>
      <c r="D20245" s="17" t="s">
        <v>11</v>
      </c>
      <c r="E20245" s="17" t="s">
        <v>106</v>
      </c>
      <c r="F20245" s="18"/>
      <c r="G20245" s="36" t="str">
        <f>IF(ISNUMBER(F20245),C20245*F20245,"")</f>
        <v/>
      </c>
    </row>
    <row r="20246" spans="1:7" ht="12" customHeight="1" outlineLevel="3" x14ac:dyDescent="0.2">
      <c r="A20246" s="14" t="s">
        <v>39847</v>
      </c>
      <c r="B20246" s="15" t="s">
        <v>39848</v>
      </c>
      <c r="C20246" s="16">
        <f>185.88/(1+B2)</f>
        <v>185.88</v>
      </c>
      <c r="D20246" s="17" t="s">
        <v>14</v>
      </c>
      <c r="E20246" s="17"/>
      <c r="F20246" s="18"/>
      <c r="G20246" s="36" t="str">
        <f>IF(ISNUMBER(F20246),C20246*F20246,"")</f>
        <v/>
      </c>
    </row>
    <row r="20247" spans="1:7" ht="12" customHeight="1" outlineLevel="3" x14ac:dyDescent="0.2">
      <c r="A20247" s="14" t="s">
        <v>39849</v>
      </c>
      <c r="B20247" s="15" t="s">
        <v>39850</v>
      </c>
      <c r="C20247" s="16">
        <f>196.01/(1+B2)</f>
        <v>196.01</v>
      </c>
      <c r="D20247" s="17" t="s">
        <v>14</v>
      </c>
      <c r="E20247" s="17"/>
      <c r="F20247" s="18"/>
      <c r="G20247" s="36" t="str">
        <f>IF(ISNUMBER(F20247),C20247*F20247,"")</f>
        <v/>
      </c>
    </row>
    <row r="20248" spans="1:7" ht="12" customHeight="1" outlineLevel="3" x14ac:dyDescent="0.2">
      <c r="A20248" s="14" t="s">
        <v>39851</v>
      </c>
      <c r="B20248" s="15" t="s">
        <v>39852</v>
      </c>
      <c r="C20248" s="16">
        <f>186.67/(1+B2)</f>
        <v>186.67</v>
      </c>
      <c r="D20248" s="17" t="s">
        <v>11</v>
      </c>
      <c r="E20248" s="17" t="s">
        <v>106</v>
      </c>
      <c r="F20248" s="18"/>
      <c r="G20248" s="36" t="str">
        <f>IF(ISNUMBER(F20248),C20248*F20248,"")</f>
        <v/>
      </c>
    </row>
    <row r="20249" spans="1:7" s="1" customFormat="1" ht="15.95" customHeight="1" outlineLevel="1" x14ac:dyDescent="0.25">
      <c r="A20249" s="11"/>
      <c r="B20249" s="12" t="s">
        <v>39853</v>
      </c>
      <c r="C20249" s="13"/>
      <c r="D20249" s="13"/>
      <c r="E20249" s="13"/>
      <c r="F20249" s="13"/>
      <c r="G20249" s="35"/>
    </row>
    <row r="20250" spans="1:7" ht="12" customHeight="1" outlineLevel="2" x14ac:dyDescent="0.2">
      <c r="A20250" s="14" t="s">
        <v>39854</v>
      </c>
      <c r="B20250" s="15" t="s">
        <v>39855</v>
      </c>
      <c r="C20250" s="16">
        <f>387.08/(1+B2)</f>
        <v>387.08</v>
      </c>
      <c r="D20250" s="17" t="s">
        <v>11</v>
      </c>
      <c r="E20250" s="17" t="s">
        <v>11</v>
      </c>
      <c r="F20250" s="18"/>
      <c r="G20250" s="36" t="str">
        <f>IF(ISNUMBER(F20250),C20250*F20250,"")</f>
        <v/>
      </c>
    </row>
    <row r="20251" spans="1:7" ht="12" customHeight="1" outlineLevel="2" x14ac:dyDescent="0.2">
      <c r="A20251" s="14" t="s">
        <v>39856</v>
      </c>
      <c r="B20251" s="15" t="s">
        <v>39857</v>
      </c>
      <c r="C20251" s="16">
        <f>377.31/(1+B2)</f>
        <v>377.31</v>
      </c>
      <c r="D20251" s="17" t="s">
        <v>11</v>
      </c>
      <c r="E20251" s="17" t="s">
        <v>11</v>
      </c>
      <c r="F20251" s="18"/>
      <c r="G20251" s="36" t="str">
        <f>IF(ISNUMBER(F20251),C20251*F20251,"")</f>
        <v/>
      </c>
    </row>
    <row r="20252" spans="1:7" ht="12" customHeight="1" outlineLevel="2" x14ac:dyDescent="0.2">
      <c r="A20252" s="14" t="s">
        <v>39858</v>
      </c>
      <c r="B20252" s="15" t="s">
        <v>39859</v>
      </c>
      <c r="C20252" s="16">
        <f>251.84/(1+B2)</f>
        <v>251.84</v>
      </c>
      <c r="D20252" s="17" t="s">
        <v>11</v>
      </c>
      <c r="E20252" s="17"/>
      <c r="F20252" s="18"/>
      <c r="G20252" s="36" t="str">
        <f>IF(ISNUMBER(F20252),C20252*F20252,"")</f>
        <v/>
      </c>
    </row>
    <row r="20253" spans="1:7" ht="12" customHeight="1" outlineLevel="2" x14ac:dyDescent="0.2">
      <c r="A20253" s="14" t="s">
        <v>39860</v>
      </c>
      <c r="B20253" s="15" t="s">
        <v>39861</v>
      </c>
      <c r="C20253" s="16">
        <f>268.64/(1+B2)</f>
        <v>268.64</v>
      </c>
      <c r="D20253" s="17" t="s">
        <v>11</v>
      </c>
      <c r="E20253" s="17"/>
      <c r="F20253" s="18"/>
      <c r="G20253" s="36" t="str">
        <f>IF(ISNUMBER(F20253),C20253*F20253,"")</f>
        <v/>
      </c>
    </row>
    <row r="20254" spans="1:7" ht="12" customHeight="1" outlineLevel="2" x14ac:dyDescent="0.2">
      <c r="A20254" s="14" t="s">
        <v>39862</v>
      </c>
      <c r="B20254" s="15" t="s">
        <v>39863</v>
      </c>
      <c r="C20254" s="16">
        <f>0.65/(1+B2)</f>
        <v>0.65</v>
      </c>
      <c r="D20254" s="17" t="s">
        <v>11</v>
      </c>
      <c r="E20254" s="17"/>
      <c r="F20254" s="18"/>
      <c r="G20254" s="36" t="str">
        <f>IF(ISNUMBER(F20254),C20254*F20254,"")</f>
        <v/>
      </c>
    </row>
    <row r="20255" spans="1:7" ht="12" customHeight="1" outlineLevel="2" x14ac:dyDescent="0.2">
      <c r="A20255" s="14" t="s">
        <v>39864</v>
      </c>
      <c r="B20255" s="15" t="s">
        <v>39865</v>
      </c>
      <c r="C20255" s="16">
        <f>154.16/(1+B2)</f>
        <v>154.16</v>
      </c>
      <c r="D20255" s="17" t="s">
        <v>11</v>
      </c>
      <c r="E20255" s="17" t="s">
        <v>11</v>
      </c>
      <c r="F20255" s="18"/>
      <c r="G20255" s="36" t="str">
        <f>IF(ISNUMBER(F20255),C20255*F20255,"")</f>
        <v/>
      </c>
    </row>
    <row r="20256" spans="1:7" ht="12" customHeight="1" outlineLevel="2" x14ac:dyDescent="0.2">
      <c r="A20256" s="14" t="s">
        <v>39866</v>
      </c>
      <c r="B20256" s="15" t="s">
        <v>39867</v>
      </c>
      <c r="C20256" s="16">
        <f>340.88/(1+B2)</f>
        <v>340.88</v>
      </c>
      <c r="D20256" s="17" t="s">
        <v>11</v>
      </c>
      <c r="E20256" s="17"/>
      <c r="F20256" s="18"/>
      <c r="G20256" s="36" t="str">
        <f>IF(ISNUMBER(F20256),C20256*F20256,"")</f>
        <v/>
      </c>
    </row>
    <row r="20257" spans="1:7" ht="12" customHeight="1" outlineLevel="2" x14ac:dyDescent="0.2">
      <c r="A20257" s="14" t="s">
        <v>39868</v>
      </c>
      <c r="B20257" s="15" t="s">
        <v>39869</v>
      </c>
      <c r="C20257" s="16">
        <f>297.8/(1+B2)</f>
        <v>297.8</v>
      </c>
      <c r="D20257" s="17" t="s">
        <v>11</v>
      </c>
      <c r="E20257" s="17" t="s">
        <v>106</v>
      </c>
      <c r="F20257" s="18"/>
      <c r="G20257" s="36" t="str">
        <f>IF(ISNUMBER(F20257),C20257*F20257,"")</f>
        <v/>
      </c>
    </row>
    <row r="20258" spans="1:7" ht="24" customHeight="1" outlineLevel="2" x14ac:dyDescent="0.2">
      <c r="A20258" s="14" t="s">
        <v>39870</v>
      </c>
      <c r="B20258" s="15" t="s">
        <v>39871</v>
      </c>
      <c r="C20258" s="16">
        <f>271.59/(1+B2)</f>
        <v>271.58999999999997</v>
      </c>
      <c r="D20258" s="17" t="s">
        <v>11</v>
      </c>
      <c r="E20258" s="17" t="s">
        <v>11</v>
      </c>
      <c r="F20258" s="18"/>
      <c r="G20258" s="36" t="str">
        <f>IF(ISNUMBER(F20258),C20258*F20258,"")</f>
        <v/>
      </c>
    </row>
    <row r="20259" spans="1:7" ht="24" customHeight="1" outlineLevel="2" x14ac:dyDescent="0.2">
      <c r="A20259" s="14" t="s">
        <v>39872</v>
      </c>
      <c r="B20259" s="15" t="s">
        <v>39873</v>
      </c>
      <c r="C20259" s="16">
        <f>368.01/(1+B2)</f>
        <v>368.01</v>
      </c>
      <c r="D20259" s="17" t="s">
        <v>11</v>
      </c>
      <c r="E20259" s="17"/>
      <c r="F20259" s="18"/>
      <c r="G20259" s="36" t="str">
        <f>IF(ISNUMBER(F20259),C20259*F20259,"")</f>
        <v/>
      </c>
    </row>
    <row r="20260" spans="1:7" ht="12" customHeight="1" outlineLevel="2" x14ac:dyDescent="0.2">
      <c r="A20260" s="14" t="s">
        <v>39874</v>
      </c>
      <c r="B20260" s="15" t="s">
        <v>39875</v>
      </c>
      <c r="C20260" s="16">
        <f>251.96/(1+B2)</f>
        <v>251.96</v>
      </c>
      <c r="D20260" s="17"/>
      <c r="E20260" s="17" t="s">
        <v>53</v>
      </c>
      <c r="F20260" s="18"/>
      <c r="G20260" s="36" t="str">
        <f>IF(ISNUMBER(F20260),C20260*F20260,"")</f>
        <v/>
      </c>
    </row>
    <row r="20261" spans="1:7" ht="12" customHeight="1" outlineLevel="2" x14ac:dyDescent="0.2">
      <c r="A20261" s="14" t="s">
        <v>39876</v>
      </c>
      <c r="B20261" s="15" t="s">
        <v>39877</v>
      </c>
      <c r="C20261" s="16">
        <f>639.67/(1+B2)</f>
        <v>639.66999999999996</v>
      </c>
      <c r="D20261" s="17" t="s">
        <v>11</v>
      </c>
      <c r="E20261" s="17" t="s">
        <v>11</v>
      </c>
      <c r="F20261" s="18"/>
      <c r="G20261" s="36" t="str">
        <f>IF(ISNUMBER(F20261),C20261*F20261,"")</f>
        <v/>
      </c>
    </row>
    <row r="20262" spans="1:7" ht="12" customHeight="1" outlineLevel="2" x14ac:dyDescent="0.2">
      <c r="A20262" s="14" t="s">
        <v>39878</v>
      </c>
      <c r="B20262" s="15" t="s">
        <v>39879</v>
      </c>
      <c r="C20262" s="16">
        <f>39.1/(1+B2)</f>
        <v>39.1</v>
      </c>
      <c r="D20262" s="17" t="s">
        <v>53</v>
      </c>
      <c r="E20262" s="17" t="s">
        <v>106</v>
      </c>
      <c r="F20262" s="18"/>
      <c r="G20262" s="36" t="str">
        <f>IF(ISNUMBER(F20262),C20262*F20262,"")</f>
        <v/>
      </c>
    </row>
    <row r="20263" spans="1:7" ht="12" customHeight="1" outlineLevel="2" x14ac:dyDescent="0.2">
      <c r="A20263" s="14" t="s">
        <v>39880</v>
      </c>
      <c r="B20263" s="15" t="s">
        <v>39881</v>
      </c>
      <c r="C20263" s="16">
        <f>114.4/(1+B2)</f>
        <v>114.4</v>
      </c>
      <c r="D20263" s="17" t="s">
        <v>11</v>
      </c>
      <c r="E20263" s="17"/>
      <c r="F20263" s="18"/>
      <c r="G20263" s="36" t="str">
        <f>IF(ISNUMBER(F20263),C20263*F20263,"")</f>
        <v/>
      </c>
    </row>
    <row r="20264" spans="1:7" ht="24" customHeight="1" outlineLevel="2" x14ac:dyDescent="0.2">
      <c r="A20264" s="14" t="s">
        <v>39882</v>
      </c>
      <c r="B20264" s="15" t="s">
        <v>39883</v>
      </c>
      <c r="C20264" s="16">
        <f>169.46/(1+B2)</f>
        <v>169.46</v>
      </c>
      <c r="D20264" s="17" t="s">
        <v>11</v>
      </c>
      <c r="E20264" s="17" t="s">
        <v>11</v>
      </c>
      <c r="F20264" s="18"/>
      <c r="G20264" s="36" t="str">
        <f>IF(ISNUMBER(F20264),C20264*F20264,"")</f>
        <v/>
      </c>
    </row>
    <row r="20265" spans="1:7" ht="24" customHeight="1" outlineLevel="2" x14ac:dyDescent="0.2">
      <c r="A20265" s="14" t="s">
        <v>39884</v>
      </c>
      <c r="B20265" s="15" t="s">
        <v>39885</v>
      </c>
      <c r="C20265" s="16">
        <f>72.49/(1+B2)</f>
        <v>72.489999999999995</v>
      </c>
      <c r="D20265" s="17" t="s">
        <v>11</v>
      </c>
      <c r="E20265" s="17"/>
      <c r="F20265" s="18"/>
      <c r="G20265" s="36" t="str">
        <f>IF(ISNUMBER(F20265),C20265*F20265,"")</f>
        <v/>
      </c>
    </row>
    <row r="20266" spans="1:7" ht="12" customHeight="1" outlineLevel="2" x14ac:dyDescent="0.2">
      <c r="A20266" s="14" t="s">
        <v>39886</v>
      </c>
      <c r="B20266" s="15" t="s">
        <v>39887</v>
      </c>
      <c r="C20266" s="16">
        <f>146.86/(1+B2)</f>
        <v>146.86000000000001</v>
      </c>
      <c r="D20266" s="17" t="s">
        <v>11</v>
      </c>
      <c r="E20266" s="17" t="s">
        <v>106</v>
      </c>
      <c r="F20266" s="18"/>
      <c r="G20266" s="36" t="str">
        <f>IF(ISNUMBER(F20266),C20266*F20266,"")</f>
        <v/>
      </c>
    </row>
    <row r="20267" spans="1:7" ht="24" customHeight="1" outlineLevel="2" x14ac:dyDescent="0.2">
      <c r="A20267" s="14" t="s">
        <v>39888</v>
      </c>
      <c r="B20267" s="15" t="s">
        <v>39889</v>
      </c>
      <c r="C20267" s="16">
        <f>176.33/(1+B2)</f>
        <v>176.33</v>
      </c>
      <c r="D20267" s="17" t="s">
        <v>11</v>
      </c>
      <c r="E20267" s="17"/>
      <c r="F20267" s="18"/>
      <c r="G20267" s="36" t="str">
        <f>IF(ISNUMBER(F20267),C20267*F20267,"")</f>
        <v/>
      </c>
    </row>
    <row r="20268" spans="1:7" ht="24" customHeight="1" outlineLevel="2" x14ac:dyDescent="0.2">
      <c r="A20268" s="14" t="s">
        <v>39890</v>
      </c>
      <c r="B20268" s="15" t="s">
        <v>39891</v>
      </c>
      <c r="C20268" s="16">
        <f>218.53/(1+B2)</f>
        <v>218.53</v>
      </c>
      <c r="D20268" s="17" t="s">
        <v>11</v>
      </c>
      <c r="E20268" s="17"/>
      <c r="F20268" s="18"/>
      <c r="G20268" s="36" t="str">
        <f>IF(ISNUMBER(F20268),C20268*F20268,"")</f>
        <v/>
      </c>
    </row>
    <row r="20269" spans="1:7" ht="24" customHeight="1" outlineLevel="2" x14ac:dyDescent="0.2">
      <c r="A20269" s="14" t="s">
        <v>39892</v>
      </c>
      <c r="B20269" s="15" t="s">
        <v>39893</v>
      </c>
      <c r="C20269" s="16">
        <f>218.53/(1+B2)</f>
        <v>218.53</v>
      </c>
      <c r="D20269" s="17" t="s">
        <v>11</v>
      </c>
      <c r="E20269" s="17" t="s">
        <v>11</v>
      </c>
      <c r="F20269" s="18"/>
      <c r="G20269" s="36" t="str">
        <f>IF(ISNUMBER(F20269),C20269*F20269,"")</f>
        <v/>
      </c>
    </row>
    <row r="20270" spans="1:7" ht="24" customHeight="1" outlineLevel="2" x14ac:dyDescent="0.2">
      <c r="A20270" s="14" t="s">
        <v>39894</v>
      </c>
      <c r="B20270" s="15" t="s">
        <v>39895</v>
      </c>
      <c r="C20270" s="16">
        <f>132.28/(1+B2)</f>
        <v>132.28</v>
      </c>
      <c r="D20270" s="17" t="s">
        <v>11</v>
      </c>
      <c r="E20270" s="17" t="s">
        <v>11</v>
      </c>
      <c r="F20270" s="18"/>
      <c r="G20270" s="36" t="str">
        <f>IF(ISNUMBER(F20270),C20270*F20270,"")</f>
        <v/>
      </c>
    </row>
    <row r="20271" spans="1:7" ht="24" customHeight="1" outlineLevel="2" x14ac:dyDescent="0.2">
      <c r="A20271" s="14" t="s">
        <v>39896</v>
      </c>
      <c r="B20271" s="15" t="s">
        <v>39897</v>
      </c>
      <c r="C20271" s="16">
        <f>132.28/(1+B2)</f>
        <v>132.28</v>
      </c>
      <c r="D20271" s="17" t="s">
        <v>11</v>
      </c>
      <c r="E20271" s="17" t="s">
        <v>11</v>
      </c>
      <c r="F20271" s="18"/>
      <c r="G20271" s="36" t="str">
        <f>IF(ISNUMBER(F20271),C20271*F20271,"")</f>
        <v/>
      </c>
    </row>
    <row r="20272" spans="1:7" ht="24" customHeight="1" outlineLevel="2" x14ac:dyDescent="0.2">
      <c r="A20272" s="14" t="s">
        <v>39898</v>
      </c>
      <c r="B20272" s="15" t="s">
        <v>39899</v>
      </c>
      <c r="C20272" s="16">
        <f>129.15/(1+B2)</f>
        <v>129.15</v>
      </c>
      <c r="D20272" s="17" t="s">
        <v>11</v>
      </c>
      <c r="E20272" s="17"/>
      <c r="F20272" s="18"/>
      <c r="G20272" s="36" t="str">
        <f>IF(ISNUMBER(F20272),C20272*F20272,"")</f>
        <v/>
      </c>
    </row>
    <row r="20273" spans="1:7" s="1" customFormat="1" ht="15.95" customHeight="1" outlineLevel="1" x14ac:dyDescent="0.25">
      <c r="A20273" s="11"/>
      <c r="B20273" s="12" t="s">
        <v>39900</v>
      </c>
      <c r="C20273" s="13"/>
      <c r="D20273" s="13"/>
      <c r="E20273" s="13"/>
      <c r="F20273" s="13"/>
      <c r="G20273" s="35"/>
    </row>
    <row r="20274" spans="1:7" s="1" customFormat="1" ht="12.95" customHeight="1" outlineLevel="2" x14ac:dyDescent="0.2">
      <c r="A20274" s="20"/>
      <c r="B20274" s="21" t="s">
        <v>39901</v>
      </c>
      <c r="C20274" s="22"/>
      <c r="D20274" s="22"/>
      <c r="E20274" s="22"/>
      <c r="F20274" s="22"/>
      <c r="G20274" s="37"/>
    </row>
    <row r="20275" spans="1:7" ht="12" customHeight="1" outlineLevel="3" x14ac:dyDescent="0.2">
      <c r="A20275" s="14" t="s">
        <v>39902</v>
      </c>
      <c r="B20275" s="15" t="s">
        <v>39903</v>
      </c>
      <c r="C20275" s="16">
        <f>22.53/(1+B2)</f>
        <v>22.53</v>
      </c>
      <c r="D20275" s="17" t="s">
        <v>11</v>
      </c>
      <c r="E20275" s="17" t="s">
        <v>106</v>
      </c>
      <c r="F20275" s="18"/>
      <c r="G20275" s="36" t="str">
        <f>IF(ISNUMBER(F20275),C20275*F20275,"")</f>
        <v/>
      </c>
    </row>
    <row r="20276" spans="1:7" ht="12" customHeight="1" outlineLevel="3" x14ac:dyDescent="0.2">
      <c r="A20276" s="14" t="s">
        <v>39904</v>
      </c>
      <c r="B20276" s="15" t="s">
        <v>39905</v>
      </c>
      <c r="C20276" s="16">
        <f>223.74/(1+B2)</f>
        <v>223.74</v>
      </c>
      <c r="D20276" s="17" t="s">
        <v>11</v>
      </c>
      <c r="E20276" s="17" t="s">
        <v>14</v>
      </c>
      <c r="F20276" s="18"/>
      <c r="G20276" s="36" t="str">
        <f>IF(ISNUMBER(F20276),C20276*F20276,"")</f>
        <v/>
      </c>
    </row>
    <row r="20277" spans="1:7" ht="12" customHeight="1" outlineLevel="3" x14ac:dyDescent="0.2">
      <c r="A20277" s="14" t="s">
        <v>39906</v>
      </c>
      <c r="B20277" s="15" t="s">
        <v>39907</v>
      </c>
      <c r="C20277" s="16">
        <f>199.31/(1+B2)</f>
        <v>199.31</v>
      </c>
      <c r="D20277" s="17" t="s">
        <v>11</v>
      </c>
      <c r="E20277" s="17" t="s">
        <v>14</v>
      </c>
      <c r="F20277" s="18"/>
      <c r="G20277" s="36" t="str">
        <f>IF(ISNUMBER(F20277),C20277*F20277,"")</f>
        <v/>
      </c>
    </row>
    <row r="20278" spans="1:7" ht="12" customHeight="1" outlineLevel="3" x14ac:dyDescent="0.2">
      <c r="A20278" s="14" t="s">
        <v>39908</v>
      </c>
      <c r="B20278" s="15" t="s">
        <v>39909</v>
      </c>
      <c r="C20278" s="16">
        <f>84.18/(1+B2)</f>
        <v>84.18</v>
      </c>
      <c r="D20278" s="17" t="s">
        <v>11</v>
      </c>
      <c r="E20278" s="17" t="s">
        <v>53</v>
      </c>
      <c r="F20278" s="18"/>
      <c r="G20278" s="36" t="str">
        <f>IF(ISNUMBER(F20278),C20278*F20278,"")</f>
        <v/>
      </c>
    </row>
    <row r="20279" spans="1:7" ht="12" customHeight="1" outlineLevel="3" x14ac:dyDescent="0.2">
      <c r="A20279" s="14" t="s">
        <v>39910</v>
      </c>
      <c r="B20279" s="15" t="s">
        <v>39911</v>
      </c>
      <c r="C20279" s="16">
        <f>69.4/(1+B2)</f>
        <v>69.400000000000006</v>
      </c>
      <c r="D20279" s="17" t="s">
        <v>11</v>
      </c>
      <c r="E20279" s="17" t="s">
        <v>53</v>
      </c>
      <c r="F20279" s="18"/>
      <c r="G20279" s="36" t="str">
        <f>IF(ISNUMBER(F20279),C20279*F20279,"")</f>
        <v/>
      </c>
    </row>
    <row r="20280" spans="1:7" ht="12" customHeight="1" outlineLevel="3" x14ac:dyDescent="0.2">
      <c r="A20280" s="14" t="s">
        <v>39912</v>
      </c>
      <c r="B20280" s="15" t="s">
        <v>39913</v>
      </c>
      <c r="C20280" s="19">
        <f>2000.11/(1+B2)</f>
        <v>2000.11</v>
      </c>
      <c r="D20280" s="17" t="s">
        <v>11</v>
      </c>
      <c r="E20280" s="17"/>
      <c r="F20280" s="18"/>
      <c r="G20280" s="36" t="str">
        <f>IF(ISNUMBER(F20280),C20280*F20280,"")</f>
        <v/>
      </c>
    </row>
    <row r="20281" spans="1:7" ht="12" customHeight="1" outlineLevel="3" x14ac:dyDescent="0.2">
      <c r="A20281" s="14" t="s">
        <v>39914</v>
      </c>
      <c r="B20281" s="15" t="s">
        <v>39915</v>
      </c>
      <c r="C20281" s="16">
        <f>70.35/(1+B2)</f>
        <v>70.349999999999994</v>
      </c>
      <c r="D20281" s="17" t="s">
        <v>11</v>
      </c>
      <c r="E20281" s="17" t="s">
        <v>106</v>
      </c>
      <c r="F20281" s="18"/>
      <c r="G20281" s="36" t="str">
        <f>IF(ISNUMBER(F20281),C20281*F20281,"")</f>
        <v/>
      </c>
    </row>
    <row r="20282" spans="1:7" ht="12" customHeight="1" outlineLevel="3" x14ac:dyDescent="0.2">
      <c r="A20282" s="14" t="s">
        <v>39916</v>
      </c>
      <c r="B20282" s="15" t="s">
        <v>39917</v>
      </c>
      <c r="C20282" s="16">
        <f>70.08/(1+B2)</f>
        <v>70.08</v>
      </c>
      <c r="D20282" s="17" t="s">
        <v>11</v>
      </c>
      <c r="E20282" s="17" t="s">
        <v>53</v>
      </c>
      <c r="F20282" s="18"/>
      <c r="G20282" s="36" t="str">
        <f>IF(ISNUMBER(F20282),C20282*F20282,"")</f>
        <v/>
      </c>
    </row>
    <row r="20283" spans="1:7" ht="12" customHeight="1" outlineLevel="3" x14ac:dyDescent="0.2">
      <c r="A20283" s="14" t="s">
        <v>39918</v>
      </c>
      <c r="B20283" s="15" t="s">
        <v>39919</v>
      </c>
      <c r="C20283" s="16">
        <f>70.89/(1+B2)</f>
        <v>70.89</v>
      </c>
      <c r="D20283" s="17" t="s">
        <v>11</v>
      </c>
      <c r="E20283" s="17" t="s">
        <v>14</v>
      </c>
      <c r="F20283" s="18"/>
      <c r="G20283" s="36" t="str">
        <f>IF(ISNUMBER(F20283),C20283*F20283,"")</f>
        <v/>
      </c>
    </row>
    <row r="20284" spans="1:7" ht="12" customHeight="1" outlineLevel="3" x14ac:dyDescent="0.2">
      <c r="A20284" s="14" t="s">
        <v>39920</v>
      </c>
      <c r="B20284" s="15" t="s">
        <v>39921</v>
      </c>
      <c r="C20284" s="16">
        <f>72.68/(1+B2)</f>
        <v>72.680000000000007</v>
      </c>
      <c r="D20284" s="17" t="s">
        <v>11</v>
      </c>
      <c r="E20284" s="17" t="s">
        <v>53</v>
      </c>
      <c r="F20284" s="18"/>
      <c r="G20284" s="36" t="str">
        <f>IF(ISNUMBER(F20284),C20284*F20284,"")</f>
        <v/>
      </c>
    </row>
    <row r="20285" spans="1:7" ht="12" customHeight="1" outlineLevel="3" x14ac:dyDescent="0.2">
      <c r="A20285" s="14" t="s">
        <v>39922</v>
      </c>
      <c r="B20285" s="15" t="s">
        <v>39923</v>
      </c>
      <c r="C20285" s="16">
        <f>78.63/(1+B2)</f>
        <v>78.63</v>
      </c>
      <c r="D20285" s="17" t="s">
        <v>11</v>
      </c>
      <c r="E20285" s="17" t="s">
        <v>106</v>
      </c>
      <c r="F20285" s="18"/>
      <c r="G20285" s="36" t="str">
        <f>IF(ISNUMBER(F20285),C20285*F20285,"")</f>
        <v/>
      </c>
    </row>
    <row r="20286" spans="1:7" ht="12" customHeight="1" outlineLevel="3" x14ac:dyDescent="0.2">
      <c r="A20286" s="14" t="s">
        <v>39924</v>
      </c>
      <c r="B20286" s="15" t="s">
        <v>39925</v>
      </c>
      <c r="C20286" s="16">
        <f>198.75/(1+B2)</f>
        <v>198.75</v>
      </c>
      <c r="D20286" s="17"/>
      <c r="E20286" s="17" t="s">
        <v>11</v>
      </c>
      <c r="F20286" s="18"/>
      <c r="G20286" s="36" t="str">
        <f>IF(ISNUMBER(F20286),C20286*F20286,"")</f>
        <v/>
      </c>
    </row>
    <row r="20287" spans="1:7" ht="12" customHeight="1" outlineLevel="3" x14ac:dyDescent="0.2">
      <c r="A20287" s="14" t="s">
        <v>39926</v>
      </c>
      <c r="B20287" s="15" t="s">
        <v>39927</v>
      </c>
      <c r="C20287" s="16">
        <f>137.15/(1+B2)</f>
        <v>137.15</v>
      </c>
      <c r="D20287" s="17" t="s">
        <v>11</v>
      </c>
      <c r="E20287" s="17" t="s">
        <v>11</v>
      </c>
      <c r="F20287" s="18"/>
      <c r="G20287" s="36" t="str">
        <f>IF(ISNUMBER(F20287),C20287*F20287,"")</f>
        <v/>
      </c>
    </row>
    <row r="20288" spans="1:7" ht="12" customHeight="1" outlineLevel="3" x14ac:dyDescent="0.2">
      <c r="A20288" s="14" t="s">
        <v>39928</v>
      </c>
      <c r="B20288" s="15" t="s">
        <v>39929</v>
      </c>
      <c r="C20288" s="16">
        <f>128.83/(1+B2)</f>
        <v>128.83000000000001</v>
      </c>
      <c r="D20288" s="17" t="s">
        <v>11</v>
      </c>
      <c r="E20288" s="17" t="s">
        <v>53</v>
      </c>
      <c r="F20288" s="18"/>
      <c r="G20288" s="36" t="str">
        <f>IF(ISNUMBER(F20288),C20288*F20288,"")</f>
        <v/>
      </c>
    </row>
    <row r="20289" spans="1:7" ht="12" customHeight="1" outlineLevel="3" x14ac:dyDescent="0.2">
      <c r="A20289" s="14" t="s">
        <v>39930</v>
      </c>
      <c r="B20289" s="15" t="s">
        <v>39931</v>
      </c>
      <c r="C20289" s="16">
        <f>183.54/(1+B2)</f>
        <v>183.54</v>
      </c>
      <c r="D20289" s="17" t="s">
        <v>11</v>
      </c>
      <c r="E20289" s="17" t="s">
        <v>53</v>
      </c>
      <c r="F20289" s="18"/>
      <c r="G20289" s="36" t="str">
        <f>IF(ISNUMBER(F20289),C20289*F20289,"")</f>
        <v/>
      </c>
    </row>
    <row r="20290" spans="1:7" ht="12" customHeight="1" outlineLevel="3" x14ac:dyDescent="0.2">
      <c r="A20290" s="14" t="s">
        <v>39932</v>
      </c>
      <c r="B20290" s="15" t="s">
        <v>39933</v>
      </c>
      <c r="C20290" s="16">
        <f>320.99/(1+B2)</f>
        <v>320.99</v>
      </c>
      <c r="D20290" s="17" t="s">
        <v>11</v>
      </c>
      <c r="E20290" s="17" t="s">
        <v>53</v>
      </c>
      <c r="F20290" s="18"/>
      <c r="G20290" s="36" t="str">
        <f>IF(ISNUMBER(F20290),C20290*F20290,"")</f>
        <v/>
      </c>
    </row>
    <row r="20291" spans="1:7" ht="12" customHeight="1" outlineLevel="3" x14ac:dyDescent="0.2">
      <c r="A20291" s="14" t="s">
        <v>39934</v>
      </c>
      <c r="B20291" s="15" t="s">
        <v>39935</v>
      </c>
      <c r="C20291" s="16">
        <f>577.53/(1+B2)</f>
        <v>577.53</v>
      </c>
      <c r="D20291" s="17"/>
      <c r="E20291" s="17" t="s">
        <v>14</v>
      </c>
      <c r="F20291" s="18"/>
      <c r="G20291" s="36" t="str">
        <f>IF(ISNUMBER(F20291),C20291*F20291,"")</f>
        <v/>
      </c>
    </row>
    <row r="20292" spans="1:7" ht="12" customHeight="1" outlineLevel="3" x14ac:dyDescent="0.2">
      <c r="A20292" s="14" t="s">
        <v>39936</v>
      </c>
      <c r="B20292" s="15" t="s">
        <v>39937</v>
      </c>
      <c r="C20292" s="16">
        <f>849.3/(1+B2)</f>
        <v>849.3</v>
      </c>
      <c r="D20292" s="17"/>
      <c r="E20292" s="17" t="s">
        <v>11</v>
      </c>
      <c r="F20292" s="18"/>
      <c r="G20292" s="36" t="str">
        <f>IF(ISNUMBER(F20292),C20292*F20292,"")</f>
        <v/>
      </c>
    </row>
    <row r="20293" spans="1:7" ht="12" customHeight="1" outlineLevel="3" x14ac:dyDescent="0.2">
      <c r="A20293" s="14" t="s">
        <v>39938</v>
      </c>
      <c r="B20293" s="15" t="s">
        <v>39939</v>
      </c>
      <c r="C20293" s="19">
        <f>1187.46/(1+B2)</f>
        <v>1187.46</v>
      </c>
      <c r="D20293" s="17"/>
      <c r="E20293" s="17" t="s">
        <v>14</v>
      </c>
      <c r="F20293" s="18"/>
      <c r="G20293" s="36" t="str">
        <f>IF(ISNUMBER(F20293),C20293*F20293,"")</f>
        <v/>
      </c>
    </row>
    <row r="20294" spans="1:7" s="1" customFormat="1" ht="12.95" customHeight="1" outlineLevel="2" x14ac:dyDescent="0.2">
      <c r="A20294" s="20"/>
      <c r="B20294" s="21" t="s">
        <v>39940</v>
      </c>
      <c r="C20294" s="22"/>
      <c r="D20294" s="22"/>
      <c r="E20294" s="22"/>
      <c r="F20294" s="22"/>
      <c r="G20294" s="37"/>
    </row>
    <row r="20295" spans="1:7" ht="12" customHeight="1" outlineLevel="3" x14ac:dyDescent="0.2">
      <c r="A20295" s="14" t="s">
        <v>39941</v>
      </c>
      <c r="B20295" s="15" t="s">
        <v>39942</v>
      </c>
      <c r="C20295" s="16">
        <f>142.94/(1+B2)</f>
        <v>142.94</v>
      </c>
      <c r="D20295" s="17" t="s">
        <v>11</v>
      </c>
      <c r="E20295" s="17" t="s">
        <v>14</v>
      </c>
      <c r="F20295" s="18"/>
      <c r="G20295" s="36" t="str">
        <f>IF(ISNUMBER(F20295),C20295*F20295,"")</f>
        <v/>
      </c>
    </row>
    <row r="20296" spans="1:7" ht="12" customHeight="1" outlineLevel="3" x14ac:dyDescent="0.2">
      <c r="A20296" s="14" t="s">
        <v>39943</v>
      </c>
      <c r="B20296" s="15" t="s">
        <v>39944</v>
      </c>
      <c r="C20296" s="16">
        <f>73.59/(1+B2)</f>
        <v>73.59</v>
      </c>
      <c r="D20296" s="17" t="s">
        <v>11</v>
      </c>
      <c r="E20296" s="17" t="s">
        <v>14</v>
      </c>
      <c r="F20296" s="18"/>
      <c r="G20296" s="36" t="str">
        <f>IF(ISNUMBER(F20296),C20296*F20296,"")</f>
        <v/>
      </c>
    </row>
    <row r="20297" spans="1:7" ht="12" customHeight="1" outlineLevel="3" x14ac:dyDescent="0.2">
      <c r="A20297" s="14" t="s">
        <v>39945</v>
      </c>
      <c r="B20297" s="15" t="s">
        <v>39946</v>
      </c>
      <c r="C20297" s="16">
        <f>22.53/(1+B2)</f>
        <v>22.53</v>
      </c>
      <c r="D20297" s="17" t="s">
        <v>11</v>
      </c>
      <c r="E20297" s="17" t="s">
        <v>106</v>
      </c>
      <c r="F20297" s="18"/>
      <c r="G20297" s="36" t="str">
        <f>IF(ISNUMBER(F20297),C20297*F20297,"")</f>
        <v/>
      </c>
    </row>
    <row r="20298" spans="1:7" ht="12" customHeight="1" outlineLevel="3" x14ac:dyDescent="0.2">
      <c r="A20298" s="14" t="s">
        <v>39947</v>
      </c>
      <c r="B20298" s="15" t="s">
        <v>39948</v>
      </c>
      <c r="C20298" s="16">
        <f>5.48/(1+B2)</f>
        <v>5.48</v>
      </c>
      <c r="D20298" s="17" t="s">
        <v>11</v>
      </c>
      <c r="E20298" s="17" t="s">
        <v>106</v>
      </c>
      <c r="F20298" s="18"/>
      <c r="G20298" s="36" t="str">
        <f>IF(ISNUMBER(F20298),C20298*F20298,"")</f>
        <v/>
      </c>
    </row>
    <row r="20299" spans="1:7" ht="12" customHeight="1" outlineLevel="3" x14ac:dyDescent="0.2">
      <c r="A20299" s="14" t="s">
        <v>39949</v>
      </c>
      <c r="B20299" s="15" t="s">
        <v>39950</v>
      </c>
      <c r="C20299" s="16">
        <f>7.13/(1+B2)</f>
        <v>7.13</v>
      </c>
      <c r="D20299" s="17" t="s">
        <v>14</v>
      </c>
      <c r="E20299" s="17" t="s">
        <v>106</v>
      </c>
      <c r="F20299" s="18"/>
      <c r="G20299" s="36" t="str">
        <f>IF(ISNUMBER(F20299),C20299*F20299,"")</f>
        <v/>
      </c>
    </row>
    <row r="20300" spans="1:7" ht="12" customHeight="1" outlineLevel="3" x14ac:dyDescent="0.2">
      <c r="A20300" s="14" t="s">
        <v>39951</v>
      </c>
      <c r="B20300" s="15" t="s">
        <v>39952</v>
      </c>
      <c r="C20300" s="16">
        <f>9.56/(1+B2)</f>
        <v>9.56</v>
      </c>
      <c r="D20300" s="17" t="s">
        <v>11</v>
      </c>
      <c r="E20300" s="17" t="s">
        <v>106</v>
      </c>
      <c r="F20300" s="18"/>
      <c r="G20300" s="36" t="str">
        <f>IF(ISNUMBER(F20300),C20300*F20300,"")</f>
        <v/>
      </c>
    </row>
    <row r="20301" spans="1:7" ht="12" customHeight="1" outlineLevel="3" x14ac:dyDescent="0.2">
      <c r="A20301" s="14" t="s">
        <v>39953</v>
      </c>
      <c r="B20301" s="15" t="s">
        <v>39954</v>
      </c>
      <c r="C20301" s="16">
        <f>94.1/(1+B2)</f>
        <v>94.1</v>
      </c>
      <c r="D20301" s="17" t="s">
        <v>11</v>
      </c>
      <c r="E20301" s="17" t="s">
        <v>106</v>
      </c>
      <c r="F20301" s="18"/>
      <c r="G20301" s="36" t="str">
        <f>IF(ISNUMBER(F20301),C20301*F20301,"")</f>
        <v/>
      </c>
    </row>
    <row r="20302" spans="1:7" ht="12" customHeight="1" outlineLevel="3" x14ac:dyDescent="0.2">
      <c r="A20302" s="14" t="s">
        <v>39955</v>
      </c>
      <c r="B20302" s="15" t="s">
        <v>39956</v>
      </c>
      <c r="C20302" s="16">
        <f>59.7/(1+B2)</f>
        <v>59.7</v>
      </c>
      <c r="D20302" s="17" t="s">
        <v>53</v>
      </c>
      <c r="E20302" s="17" t="s">
        <v>53</v>
      </c>
      <c r="F20302" s="18"/>
      <c r="G20302" s="36" t="str">
        <f>IF(ISNUMBER(F20302),C20302*F20302,"")</f>
        <v/>
      </c>
    </row>
    <row r="20303" spans="1:7" ht="12" customHeight="1" outlineLevel="3" x14ac:dyDescent="0.2">
      <c r="A20303" s="14" t="s">
        <v>39957</v>
      </c>
      <c r="B20303" s="15" t="s">
        <v>39958</v>
      </c>
      <c r="C20303" s="16">
        <f>20.74/(1+B2)</f>
        <v>20.74</v>
      </c>
      <c r="D20303" s="17" t="s">
        <v>14</v>
      </c>
      <c r="E20303" s="17" t="s">
        <v>106</v>
      </c>
      <c r="F20303" s="18"/>
      <c r="G20303" s="36" t="str">
        <f>IF(ISNUMBER(F20303),C20303*F20303,"")</f>
        <v/>
      </c>
    </row>
    <row r="20304" spans="1:7" ht="12" customHeight="1" outlineLevel="3" x14ac:dyDescent="0.2">
      <c r="A20304" s="14" t="s">
        <v>39959</v>
      </c>
      <c r="B20304" s="15" t="s">
        <v>39960</v>
      </c>
      <c r="C20304" s="16">
        <f>7.69/(1+B2)</f>
        <v>7.69</v>
      </c>
      <c r="D20304" s="17" t="s">
        <v>106</v>
      </c>
      <c r="E20304" s="17" t="s">
        <v>106</v>
      </c>
      <c r="F20304" s="18"/>
      <c r="G20304" s="36" t="str">
        <f>IF(ISNUMBER(F20304),C20304*F20304,"")</f>
        <v/>
      </c>
    </row>
    <row r="20305" spans="1:7" ht="12" customHeight="1" outlineLevel="3" x14ac:dyDescent="0.2">
      <c r="A20305" s="14" t="s">
        <v>39961</v>
      </c>
      <c r="B20305" s="15" t="s">
        <v>39962</v>
      </c>
      <c r="C20305" s="16">
        <f>9.93/(1+B2)</f>
        <v>9.93</v>
      </c>
      <c r="D20305" s="17" t="s">
        <v>11</v>
      </c>
      <c r="E20305" s="17" t="s">
        <v>53</v>
      </c>
      <c r="F20305" s="18"/>
      <c r="G20305" s="36" t="str">
        <f>IF(ISNUMBER(F20305),C20305*F20305,"")</f>
        <v/>
      </c>
    </row>
    <row r="20306" spans="1:7" ht="12" customHeight="1" outlineLevel="3" x14ac:dyDescent="0.2">
      <c r="A20306" s="14" t="s">
        <v>39963</v>
      </c>
      <c r="B20306" s="15" t="s">
        <v>39964</v>
      </c>
      <c r="C20306" s="16">
        <f>89.69/(1+B2)</f>
        <v>89.69</v>
      </c>
      <c r="D20306" s="17" t="s">
        <v>11</v>
      </c>
      <c r="E20306" s="17" t="s">
        <v>53</v>
      </c>
      <c r="F20306" s="18"/>
      <c r="G20306" s="36" t="str">
        <f>IF(ISNUMBER(F20306),C20306*F20306,"")</f>
        <v/>
      </c>
    </row>
    <row r="20307" spans="1:7" ht="12" customHeight="1" outlineLevel="3" x14ac:dyDescent="0.2">
      <c r="A20307" s="14" t="s">
        <v>39965</v>
      </c>
      <c r="B20307" s="15" t="s">
        <v>39966</v>
      </c>
      <c r="C20307" s="16">
        <f>76.99/(1+B2)</f>
        <v>76.989999999999995</v>
      </c>
      <c r="D20307" s="17" t="s">
        <v>14</v>
      </c>
      <c r="E20307" s="17" t="s">
        <v>106</v>
      </c>
      <c r="F20307" s="18"/>
      <c r="G20307" s="36" t="str">
        <f>IF(ISNUMBER(F20307),C20307*F20307,"")</f>
        <v/>
      </c>
    </row>
    <row r="20308" spans="1:7" ht="12" customHeight="1" outlineLevel="3" x14ac:dyDescent="0.2">
      <c r="A20308" s="14" t="s">
        <v>39967</v>
      </c>
      <c r="B20308" s="15" t="s">
        <v>39968</v>
      </c>
      <c r="C20308" s="16">
        <f>218.53/(1+B2)</f>
        <v>218.53</v>
      </c>
      <c r="D20308" s="17" t="s">
        <v>11</v>
      </c>
      <c r="E20308" s="17" t="s">
        <v>11</v>
      </c>
      <c r="F20308" s="18"/>
      <c r="G20308" s="36" t="str">
        <f>IF(ISNUMBER(F20308),C20308*F20308,"")</f>
        <v/>
      </c>
    </row>
    <row r="20309" spans="1:7" ht="12" customHeight="1" outlineLevel="3" x14ac:dyDescent="0.2">
      <c r="A20309" s="14" t="s">
        <v>39969</v>
      </c>
      <c r="B20309" s="15" t="s">
        <v>39970</v>
      </c>
      <c r="C20309" s="16">
        <f>212.81/(1+B2)</f>
        <v>212.81</v>
      </c>
      <c r="D20309" s="17" t="s">
        <v>11</v>
      </c>
      <c r="E20309" s="17"/>
      <c r="F20309" s="18"/>
      <c r="G20309" s="36" t="str">
        <f>IF(ISNUMBER(F20309),C20309*F20309,"")</f>
        <v/>
      </c>
    </row>
    <row r="20310" spans="1:7" ht="12" customHeight="1" outlineLevel="3" x14ac:dyDescent="0.2">
      <c r="A20310" s="14" t="s">
        <v>39971</v>
      </c>
      <c r="B20310" s="15" t="s">
        <v>39972</v>
      </c>
      <c r="C20310" s="16">
        <f>168.79/(1+B2)</f>
        <v>168.79</v>
      </c>
      <c r="D20310" s="17" t="s">
        <v>11</v>
      </c>
      <c r="E20310" s="17" t="s">
        <v>53</v>
      </c>
      <c r="F20310" s="18"/>
      <c r="G20310" s="36" t="str">
        <f>IF(ISNUMBER(F20310),C20310*F20310,"")</f>
        <v/>
      </c>
    </row>
    <row r="20311" spans="1:7" ht="12" customHeight="1" outlineLevel="3" x14ac:dyDescent="0.2">
      <c r="A20311" s="14" t="s">
        <v>39973</v>
      </c>
      <c r="B20311" s="15" t="s">
        <v>39974</v>
      </c>
      <c r="C20311" s="16">
        <f>175.89/(1+B2)</f>
        <v>175.89</v>
      </c>
      <c r="D20311" s="17" t="s">
        <v>11</v>
      </c>
      <c r="E20311" s="17" t="s">
        <v>14</v>
      </c>
      <c r="F20311" s="18"/>
      <c r="G20311" s="36" t="str">
        <f>IF(ISNUMBER(F20311),C20311*F20311,"")</f>
        <v/>
      </c>
    </row>
    <row r="20312" spans="1:7" ht="12" customHeight="1" outlineLevel="3" x14ac:dyDescent="0.2">
      <c r="A20312" s="14" t="s">
        <v>39975</v>
      </c>
      <c r="B20312" s="15" t="s">
        <v>39976</v>
      </c>
      <c r="C20312" s="16">
        <f>157.85/(1+B2)</f>
        <v>157.85</v>
      </c>
      <c r="D20312" s="17" t="s">
        <v>11</v>
      </c>
      <c r="E20312" s="17" t="s">
        <v>106</v>
      </c>
      <c r="F20312" s="18"/>
      <c r="G20312" s="36" t="str">
        <f>IF(ISNUMBER(F20312),C20312*F20312,"")</f>
        <v/>
      </c>
    </row>
    <row r="20313" spans="1:7" ht="12" customHeight="1" outlineLevel="3" x14ac:dyDescent="0.2">
      <c r="A20313" s="14" t="s">
        <v>39977</v>
      </c>
      <c r="B20313" s="15" t="s">
        <v>39978</v>
      </c>
      <c r="C20313" s="16">
        <f>267.95/(1+B2)</f>
        <v>267.95</v>
      </c>
      <c r="D20313" s="17" t="s">
        <v>11</v>
      </c>
      <c r="E20313" s="17" t="s">
        <v>53</v>
      </c>
      <c r="F20313" s="18"/>
      <c r="G20313" s="36" t="str">
        <f>IF(ISNUMBER(F20313),C20313*F20313,"")</f>
        <v/>
      </c>
    </row>
    <row r="20314" spans="1:7" ht="12" customHeight="1" outlineLevel="3" x14ac:dyDescent="0.2">
      <c r="A20314" s="14" t="s">
        <v>39979</v>
      </c>
      <c r="B20314" s="15" t="s">
        <v>39980</v>
      </c>
      <c r="C20314" s="16">
        <f>169.86/(1+B2)</f>
        <v>169.86</v>
      </c>
      <c r="D20314" s="17" t="s">
        <v>11</v>
      </c>
      <c r="E20314" s="17" t="s">
        <v>14</v>
      </c>
      <c r="F20314" s="18"/>
      <c r="G20314" s="36" t="str">
        <f>IF(ISNUMBER(F20314),C20314*F20314,"")</f>
        <v/>
      </c>
    </row>
    <row r="20315" spans="1:7" ht="12" customHeight="1" outlineLevel="3" x14ac:dyDescent="0.2">
      <c r="A20315" s="14" t="s">
        <v>39981</v>
      </c>
      <c r="B20315" s="15" t="s">
        <v>39982</v>
      </c>
      <c r="C20315" s="16">
        <f>169.86/(1+B2)</f>
        <v>169.86</v>
      </c>
      <c r="D20315" s="17" t="s">
        <v>11</v>
      </c>
      <c r="E20315" s="17" t="s">
        <v>53</v>
      </c>
      <c r="F20315" s="18"/>
      <c r="G20315" s="36" t="str">
        <f>IF(ISNUMBER(F20315),C20315*F20315,"")</f>
        <v/>
      </c>
    </row>
    <row r="20316" spans="1:7" ht="12" customHeight="1" outlineLevel="3" x14ac:dyDescent="0.2">
      <c r="A20316" s="14" t="s">
        <v>39983</v>
      </c>
      <c r="B20316" s="15" t="s">
        <v>39984</v>
      </c>
      <c r="C20316" s="16">
        <f>34.9/(1+B2)</f>
        <v>34.9</v>
      </c>
      <c r="D20316" s="17" t="s">
        <v>11</v>
      </c>
      <c r="E20316" s="17" t="s">
        <v>53</v>
      </c>
      <c r="F20316" s="18"/>
      <c r="G20316" s="36" t="str">
        <f>IF(ISNUMBER(F20316),C20316*F20316,"")</f>
        <v/>
      </c>
    </row>
    <row r="20317" spans="1:7" ht="12" customHeight="1" outlineLevel="3" x14ac:dyDescent="0.2">
      <c r="A20317" s="14" t="s">
        <v>39985</v>
      </c>
      <c r="B20317" s="15" t="s">
        <v>39986</v>
      </c>
      <c r="C20317" s="16">
        <f>33.36/(1+B2)</f>
        <v>33.36</v>
      </c>
      <c r="D20317" s="17" t="s">
        <v>14</v>
      </c>
      <c r="E20317" s="17" t="s">
        <v>106</v>
      </c>
      <c r="F20317" s="18"/>
      <c r="G20317" s="36" t="str">
        <f>IF(ISNUMBER(F20317),C20317*F20317,"")</f>
        <v/>
      </c>
    </row>
    <row r="20318" spans="1:7" ht="12" customHeight="1" outlineLevel="3" x14ac:dyDescent="0.2">
      <c r="A20318" s="14" t="s">
        <v>39987</v>
      </c>
      <c r="B20318" s="15" t="s">
        <v>39988</v>
      </c>
      <c r="C20318" s="16">
        <f>105.71/(1+B2)</f>
        <v>105.71</v>
      </c>
      <c r="D20318" s="17" t="s">
        <v>11</v>
      </c>
      <c r="E20318" s="17" t="s">
        <v>53</v>
      </c>
      <c r="F20318" s="18"/>
      <c r="G20318" s="36" t="str">
        <f>IF(ISNUMBER(F20318),C20318*F20318,"")</f>
        <v/>
      </c>
    </row>
    <row r="20319" spans="1:7" ht="12" customHeight="1" outlineLevel="3" x14ac:dyDescent="0.2">
      <c r="A20319" s="14" t="s">
        <v>39989</v>
      </c>
      <c r="B20319" s="15" t="s">
        <v>39990</v>
      </c>
      <c r="C20319" s="16">
        <f>32.48/(1+B2)</f>
        <v>32.479999999999997</v>
      </c>
      <c r="D20319" s="17" t="s">
        <v>53</v>
      </c>
      <c r="E20319" s="17" t="s">
        <v>106</v>
      </c>
      <c r="F20319" s="18"/>
      <c r="G20319" s="36" t="str">
        <f>IF(ISNUMBER(F20319),C20319*F20319,"")</f>
        <v/>
      </c>
    </row>
    <row r="20320" spans="1:7" ht="12" customHeight="1" outlineLevel="3" x14ac:dyDescent="0.2">
      <c r="A20320" s="14" t="s">
        <v>39991</v>
      </c>
      <c r="B20320" s="15" t="s">
        <v>39992</v>
      </c>
      <c r="C20320" s="16">
        <f>32.18/(1+B2)</f>
        <v>32.18</v>
      </c>
      <c r="D20320" s="17" t="s">
        <v>53</v>
      </c>
      <c r="E20320" s="17" t="s">
        <v>106</v>
      </c>
      <c r="F20320" s="18"/>
      <c r="G20320" s="36" t="str">
        <f>IF(ISNUMBER(F20320),C20320*F20320,"")</f>
        <v/>
      </c>
    </row>
    <row r="20321" spans="1:7" ht="12" customHeight="1" outlineLevel="3" x14ac:dyDescent="0.2">
      <c r="A20321" s="14" t="s">
        <v>39993</v>
      </c>
      <c r="B20321" s="15" t="s">
        <v>39994</v>
      </c>
      <c r="C20321" s="16">
        <f>83.59/(1+B2)</f>
        <v>83.59</v>
      </c>
      <c r="D20321" s="17" t="s">
        <v>11</v>
      </c>
      <c r="E20321" s="17" t="s">
        <v>53</v>
      </c>
      <c r="F20321" s="18"/>
      <c r="G20321" s="36" t="str">
        <f>IF(ISNUMBER(F20321),C20321*F20321,"")</f>
        <v/>
      </c>
    </row>
    <row r="20322" spans="1:7" ht="12" customHeight="1" outlineLevel="3" x14ac:dyDescent="0.2">
      <c r="A20322" s="14" t="s">
        <v>39995</v>
      </c>
      <c r="B20322" s="15" t="s">
        <v>39996</v>
      </c>
      <c r="C20322" s="16">
        <f>68.76/(1+B2)</f>
        <v>68.760000000000005</v>
      </c>
      <c r="D20322" s="17" t="s">
        <v>14</v>
      </c>
      <c r="E20322" s="17" t="s">
        <v>106</v>
      </c>
      <c r="F20322" s="18"/>
      <c r="G20322" s="36" t="str">
        <f>IF(ISNUMBER(F20322),C20322*F20322,"")</f>
        <v/>
      </c>
    </row>
    <row r="20323" spans="1:7" ht="12" customHeight="1" outlineLevel="3" x14ac:dyDescent="0.2">
      <c r="A20323" s="14" t="s">
        <v>39997</v>
      </c>
      <c r="B20323" s="15" t="s">
        <v>39998</v>
      </c>
      <c r="C20323" s="19">
        <f>1923.13/(1+B2)</f>
        <v>1923.13</v>
      </c>
      <c r="D20323" s="17" t="s">
        <v>11</v>
      </c>
      <c r="E20323" s="17"/>
      <c r="F20323" s="18"/>
      <c r="G20323" s="36" t="str">
        <f>IF(ISNUMBER(F20323),C20323*F20323,"")</f>
        <v/>
      </c>
    </row>
    <row r="20324" spans="1:7" ht="12" customHeight="1" outlineLevel="3" x14ac:dyDescent="0.2">
      <c r="A20324" s="14" t="s">
        <v>39999</v>
      </c>
      <c r="B20324" s="15" t="s">
        <v>40000</v>
      </c>
      <c r="C20324" s="16">
        <f>23.46/(1+B2)</f>
        <v>23.46</v>
      </c>
      <c r="D20324" s="17" t="s">
        <v>53</v>
      </c>
      <c r="E20324" s="17" t="s">
        <v>106</v>
      </c>
      <c r="F20324" s="18"/>
      <c r="G20324" s="36" t="str">
        <f>IF(ISNUMBER(F20324),C20324*F20324,"")</f>
        <v/>
      </c>
    </row>
    <row r="20325" spans="1:7" ht="12" customHeight="1" outlineLevel="3" x14ac:dyDescent="0.2">
      <c r="A20325" s="14" t="s">
        <v>40001</v>
      </c>
      <c r="B20325" s="15" t="s">
        <v>40002</v>
      </c>
      <c r="C20325" s="16">
        <f>23.99/(1+B2)</f>
        <v>23.99</v>
      </c>
      <c r="D20325" s="17" t="s">
        <v>53</v>
      </c>
      <c r="E20325" s="17" t="s">
        <v>106</v>
      </c>
      <c r="F20325" s="18"/>
      <c r="G20325" s="36" t="str">
        <f>IF(ISNUMBER(F20325),C20325*F20325,"")</f>
        <v/>
      </c>
    </row>
    <row r="20326" spans="1:7" ht="12" customHeight="1" outlineLevel="3" x14ac:dyDescent="0.2">
      <c r="A20326" s="14" t="s">
        <v>40003</v>
      </c>
      <c r="B20326" s="15" t="s">
        <v>40004</v>
      </c>
      <c r="C20326" s="16">
        <f>24.81/(1+B2)</f>
        <v>24.81</v>
      </c>
      <c r="D20326" s="17" t="s">
        <v>11</v>
      </c>
      <c r="E20326" s="17" t="s">
        <v>106</v>
      </c>
      <c r="F20326" s="18"/>
      <c r="G20326" s="36" t="str">
        <f>IF(ISNUMBER(F20326),C20326*F20326,"")</f>
        <v/>
      </c>
    </row>
    <row r="20327" spans="1:7" ht="12" customHeight="1" outlineLevel="3" x14ac:dyDescent="0.2">
      <c r="A20327" s="14" t="s">
        <v>40005</v>
      </c>
      <c r="B20327" s="15" t="s">
        <v>40006</v>
      </c>
      <c r="C20327" s="16">
        <f>23.84/(1+B2)</f>
        <v>23.84</v>
      </c>
      <c r="D20327" s="17" t="s">
        <v>11</v>
      </c>
      <c r="E20327" s="17" t="s">
        <v>106</v>
      </c>
      <c r="F20327" s="18"/>
      <c r="G20327" s="36" t="str">
        <f>IF(ISNUMBER(F20327),C20327*F20327,"")</f>
        <v/>
      </c>
    </row>
    <row r="20328" spans="1:7" ht="12" customHeight="1" outlineLevel="3" x14ac:dyDescent="0.2">
      <c r="A20328" s="14" t="s">
        <v>40007</v>
      </c>
      <c r="B20328" s="15" t="s">
        <v>40008</v>
      </c>
      <c r="C20328" s="16">
        <f>94.24/(1+B2)</f>
        <v>94.24</v>
      </c>
      <c r="D20328" s="17" t="s">
        <v>11</v>
      </c>
      <c r="E20328" s="17" t="s">
        <v>53</v>
      </c>
      <c r="F20328" s="18"/>
      <c r="G20328" s="36" t="str">
        <f>IF(ISNUMBER(F20328),C20328*F20328,"")</f>
        <v/>
      </c>
    </row>
    <row r="20329" spans="1:7" ht="12" customHeight="1" outlineLevel="3" x14ac:dyDescent="0.2">
      <c r="A20329" s="14" t="s">
        <v>40009</v>
      </c>
      <c r="B20329" s="15" t="s">
        <v>40010</v>
      </c>
      <c r="C20329" s="16">
        <f>28.74/(1+B2)</f>
        <v>28.74</v>
      </c>
      <c r="D20329" s="17" t="s">
        <v>11</v>
      </c>
      <c r="E20329" s="17" t="s">
        <v>106</v>
      </c>
      <c r="F20329" s="18"/>
      <c r="G20329" s="36" t="str">
        <f>IF(ISNUMBER(F20329),C20329*F20329,"")</f>
        <v/>
      </c>
    </row>
    <row r="20330" spans="1:7" ht="12" customHeight="1" outlineLevel="3" x14ac:dyDescent="0.2">
      <c r="A20330" s="14" t="s">
        <v>40011</v>
      </c>
      <c r="B20330" s="15" t="s">
        <v>40012</v>
      </c>
      <c r="C20330" s="16">
        <f>25.51/(1+B2)</f>
        <v>25.51</v>
      </c>
      <c r="D20330" s="17" t="s">
        <v>11</v>
      </c>
      <c r="E20330" s="17" t="s">
        <v>106</v>
      </c>
      <c r="F20330" s="18"/>
      <c r="G20330" s="36" t="str">
        <f>IF(ISNUMBER(F20330),C20330*F20330,"")</f>
        <v/>
      </c>
    </row>
    <row r="20331" spans="1:7" ht="12" customHeight="1" outlineLevel="3" x14ac:dyDescent="0.2">
      <c r="A20331" s="14" t="s">
        <v>40013</v>
      </c>
      <c r="B20331" s="15" t="s">
        <v>40014</v>
      </c>
      <c r="C20331" s="16">
        <f>19.11/(1+B2)</f>
        <v>19.11</v>
      </c>
      <c r="D20331" s="17" t="s">
        <v>53</v>
      </c>
      <c r="E20331" s="17" t="s">
        <v>106</v>
      </c>
      <c r="F20331" s="18"/>
      <c r="G20331" s="36" t="str">
        <f>IF(ISNUMBER(F20331),C20331*F20331,"")</f>
        <v/>
      </c>
    </row>
    <row r="20332" spans="1:7" ht="12" customHeight="1" outlineLevel="3" x14ac:dyDescent="0.2">
      <c r="A20332" s="14" t="s">
        <v>40015</v>
      </c>
      <c r="B20332" s="15" t="s">
        <v>40016</v>
      </c>
      <c r="C20332" s="16">
        <f>25/(1+B2)</f>
        <v>25</v>
      </c>
      <c r="D20332" s="17" t="s">
        <v>14</v>
      </c>
      <c r="E20332" s="17" t="s">
        <v>106</v>
      </c>
      <c r="F20332" s="18"/>
      <c r="G20332" s="36" t="str">
        <f>IF(ISNUMBER(F20332),C20332*F20332,"")</f>
        <v/>
      </c>
    </row>
    <row r="20333" spans="1:7" ht="12" customHeight="1" outlineLevel="3" x14ac:dyDescent="0.2">
      <c r="A20333" s="14" t="s">
        <v>40017</v>
      </c>
      <c r="B20333" s="15" t="s">
        <v>40018</v>
      </c>
      <c r="C20333" s="16">
        <f>19.54/(1+B2)</f>
        <v>19.54</v>
      </c>
      <c r="D20333" s="17" t="s">
        <v>14</v>
      </c>
      <c r="E20333" s="17" t="s">
        <v>106</v>
      </c>
      <c r="F20333" s="18"/>
      <c r="G20333" s="36" t="str">
        <f>IF(ISNUMBER(F20333),C20333*F20333,"")</f>
        <v/>
      </c>
    </row>
    <row r="20334" spans="1:7" ht="12" customHeight="1" outlineLevel="3" x14ac:dyDescent="0.2">
      <c r="A20334" s="14" t="s">
        <v>40019</v>
      </c>
      <c r="B20334" s="15" t="s">
        <v>40020</v>
      </c>
      <c r="C20334" s="16">
        <f>142.71/(1+B2)</f>
        <v>142.71</v>
      </c>
      <c r="D20334" s="17" t="s">
        <v>11</v>
      </c>
      <c r="E20334" s="17" t="s">
        <v>14</v>
      </c>
      <c r="F20334" s="18"/>
      <c r="G20334" s="36" t="str">
        <f>IF(ISNUMBER(F20334),C20334*F20334,"")</f>
        <v/>
      </c>
    </row>
    <row r="20335" spans="1:7" ht="12" customHeight="1" outlineLevel="3" x14ac:dyDescent="0.2">
      <c r="A20335" s="14" t="s">
        <v>40021</v>
      </c>
      <c r="B20335" s="15" t="s">
        <v>40022</v>
      </c>
      <c r="C20335" s="16">
        <f>156.23/(1+B2)</f>
        <v>156.22999999999999</v>
      </c>
      <c r="D20335" s="17" t="s">
        <v>11</v>
      </c>
      <c r="E20335" s="17" t="s">
        <v>106</v>
      </c>
      <c r="F20335" s="18"/>
      <c r="G20335" s="36" t="str">
        <f>IF(ISNUMBER(F20335),C20335*F20335,"")</f>
        <v/>
      </c>
    </row>
    <row r="20336" spans="1:7" ht="12" customHeight="1" outlineLevel="3" x14ac:dyDescent="0.2">
      <c r="A20336" s="14" t="s">
        <v>40023</v>
      </c>
      <c r="B20336" s="15" t="s">
        <v>40024</v>
      </c>
      <c r="C20336" s="16">
        <f>148.23/(1+B2)</f>
        <v>148.22999999999999</v>
      </c>
      <c r="D20336" s="17" t="s">
        <v>11</v>
      </c>
      <c r="E20336" s="17" t="s">
        <v>53</v>
      </c>
      <c r="F20336" s="18"/>
      <c r="G20336" s="36" t="str">
        <f>IF(ISNUMBER(F20336),C20336*F20336,"")</f>
        <v/>
      </c>
    </row>
    <row r="20337" spans="1:7" ht="12" customHeight="1" outlineLevel="3" x14ac:dyDescent="0.2">
      <c r="A20337" s="14" t="s">
        <v>40025</v>
      </c>
      <c r="B20337" s="15" t="s">
        <v>40026</v>
      </c>
      <c r="C20337" s="16">
        <f>206.49/(1+B2)</f>
        <v>206.49</v>
      </c>
      <c r="D20337" s="17" t="s">
        <v>11</v>
      </c>
      <c r="E20337" s="17" t="s">
        <v>53</v>
      </c>
      <c r="F20337" s="18"/>
      <c r="G20337" s="36" t="str">
        <f>IF(ISNUMBER(F20337),C20337*F20337,"")</f>
        <v/>
      </c>
    </row>
    <row r="20338" spans="1:7" ht="12" customHeight="1" outlineLevel="3" x14ac:dyDescent="0.2">
      <c r="A20338" s="14" t="s">
        <v>40027</v>
      </c>
      <c r="B20338" s="15" t="s">
        <v>40028</v>
      </c>
      <c r="C20338" s="16">
        <f>138.93/(1+B2)</f>
        <v>138.93</v>
      </c>
      <c r="D20338" s="17" t="s">
        <v>11</v>
      </c>
      <c r="E20338" s="17" t="s">
        <v>53</v>
      </c>
      <c r="F20338" s="18"/>
      <c r="G20338" s="36" t="str">
        <f>IF(ISNUMBER(F20338),C20338*F20338,"")</f>
        <v/>
      </c>
    </row>
    <row r="20339" spans="1:7" ht="12" customHeight="1" outlineLevel="3" x14ac:dyDescent="0.2">
      <c r="A20339" s="14" t="s">
        <v>40029</v>
      </c>
      <c r="B20339" s="15" t="s">
        <v>40030</v>
      </c>
      <c r="C20339" s="16">
        <f>150.51/(1+B2)</f>
        <v>150.51</v>
      </c>
      <c r="D20339" s="17" t="s">
        <v>11</v>
      </c>
      <c r="E20339" s="17" t="s">
        <v>53</v>
      </c>
      <c r="F20339" s="18"/>
      <c r="G20339" s="36" t="str">
        <f>IF(ISNUMBER(F20339),C20339*F20339,"")</f>
        <v/>
      </c>
    </row>
    <row r="20340" spans="1:7" ht="12" customHeight="1" outlineLevel="3" x14ac:dyDescent="0.2">
      <c r="A20340" s="14" t="s">
        <v>40031</v>
      </c>
      <c r="B20340" s="15" t="s">
        <v>40032</v>
      </c>
      <c r="C20340" s="16">
        <f>138.93/(1+B2)</f>
        <v>138.93</v>
      </c>
      <c r="D20340" s="17" t="s">
        <v>11</v>
      </c>
      <c r="E20340" s="17" t="s">
        <v>53</v>
      </c>
      <c r="F20340" s="18"/>
      <c r="G20340" s="36" t="str">
        <f>IF(ISNUMBER(F20340),C20340*F20340,"")</f>
        <v/>
      </c>
    </row>
    <row r="20341" spans="1:7" ht="12" customHeight="1" outlineLevel="3" x14ac:dyDescent="0.2">
      <c r="A20341" s="14" t="s">
        <v>40033</v>
      </c>
      <c r="B20341" s="15" t="s">
        <v>40034</v>
      </c>
      <c r="C20341" s="16">
        <f>136.68/(1+B2)</f>
        <v>136.68</v>
      </c>
      <c r="D20341" s="17" t="s">
        <v>11</v>
      </c>
      <c r="E20341" s="17" t="s">
        <v>53</v>
      </c>
      <c r="F20341" s="18"/>
      <c r="G20341" s="36" t="str">
        <f>IF(ISNUMBER(F20341),C20341*F20341,"")</f>
        <v/>
      </c>
    </row>
    <row r="20342" spans="1:7" ht="12" customHeight="1" outlineLevel="3" x14ac:dyDescent="0.2">
      <c r="A20342" s="14" t="s">
        <v>40035</v>
      </c>
      <c r="B20342" s="15" t="s">
        <v>40036</v>
      </c>
      <c r="C20342" s="16">
        <f>137.1/(1+B2)</f>
        <v>137.1</v>
      </c>
      <c r="D20342" s="17" t="s">
        <v>11</v>
      </c>
      <c r="E20342" s="17" t="s">
        <v>53</v>
      </c>
      <c r="F20342" s="18"/>
      <c r="G20342" s="36" t="str">
        <f>IF(ISNUMBER(F20342),C20342*F20342,"")</f>
        <v/>
      </c>
    </row>
    <row r="20343" spans="1:7" ht="12" customHeight="1" outlineLevel="3" x14ac:dyDescent="0.2">
      <c r="A20343" s="14" t="s">
        <v>40037</v>
      </c>
      <c r="B20343" s="15" t="s">
        <v>40038</v>
      </c>
      <c r="C20343" s="16">
        <f>70.15/(1+B2)</f>
        <v>70.150000000000006</v>
      </c>
      <c r="D20343" s="17" t="s">
        <v>14</v>
      </c>
      <c r="E20343" s="17" t="s">
        <v>106</v>
      </c>
      <c r="F20343" s="18"/>
      <c r="G20343" s="36" t="str">
        <f>IF(ISNUMBER(F20343),C20343*F20343,"")</f>
        <v/>
      </c>
    </row>
    <row r="20344" spans="1:7" ht="12" customHeight="1" outlineLevel="3" x14ac:dyDescent="0.2">
      <c r="A20344" s="14" t="s">
        <v>40039</v>
      </c>
      <c r="B20344" s="15" t="s">
        <v>40040</v>
      </c>
      <c r="C20344" s="16">
        <f>67.38/(1+B2)</f>
        <v>67.38</v>
      </c>
      <c r="D20344" s="17" t="s">
        <v>11</v>
      </c>
      <c r="E20344" s="17" t="s">
        <v>106</v>
      </c>
      <c r="F20344" s="18"/>
      <c r="G20344" s="36" t="str">
        <f>IF(ISNUMBER(F20344),C20344*F20344,"")</f>
        <v/>
      </c>
    </row>
    <row r="20345" spans="1:7" ht="12" customHeight="1" outlineLevel="3" x14ac:dyDescent="0.2">
      <c r="A20345" s="14" t="s">
        <v>40041</v>
      </c>
      <c r="B20345" s="15" t="s">
        <v>40042</v>
      </c>
      <c r="C20345" s="16">
        <f>65.13/(1+B2)</f>
        <v>65.13</v>
      </c>
      <c r="D20345" s="17" t="s">
        <v>14</v>
      </c>
      <c r="E20345" s="17" t="s">
        <v>106</v>
      </c>
      <c r="F20345" s="18"/>
      <c r="G20345" s="36" t="str">
        <f>IF(ISNUMBER(F20345),C20345*F20345,"")</f>
        <v/>
      </c>
    </row>
    <row r="20346" spans="1:7" ht="12" customHeight="1" outlineLevel="3" x14ac:dyDescent="0.2">
      <c r="A20346" s="14" t="s">
        <v>40043</v>
      </c>
      <c r="B20346" s="15" t="s">
        <v>40044</v>
      </c>
      <c r="C20346" s="16">
        <f>74/(1+B2)</f>
        <v>74</v>
      </c>
      <c r="D20346" s="17" t="s">
        <v>11</v>
      </c>
      <c r="E20346" s="17" t="s">
        <v>106</v>
      </c>
      <c r="F20346" s="18"/>
      <c r="G20346" s="36" t="str">
        <f>IF(ISNUMBER(F20346),C20346*F20346,"")</f>
        <v/>
      </c>
    </row>
    <row r="20347" spans="1:7" ht="12" customHeight="1" outlineLevel="3" x14ac:dyDescent="0.2">
      <c r="A20347" s="14" t="s">
        <v>40045</v>
      </c>
      <c r="B20347" s="15" t="s">
        <v>40046</v>
      </c>
      <c r="C20347" s="16">
        <f>76.63/(1+B2)</f>
        <v>76.63</v>
      </c>
      <c r="D20347" s="17" t="s">
        <v>11</v>
      </c>
      <c r="E20347" s="17" t="s">
        <v>106</v>
      </c>
      <c r="F20347" s="18"/>
      <c r="G20347" s="36" t="str">
        <f>IF(ISNUMBER(F20347),C20347*F20347,"")</f>
        <v/>
      </c>
    </row>
    <row r="20348" spans="1:7" ht="12" customHeight="1" outlineLevel="3" x14ac:dyDescent="0.2">
      <c r="A20348" s="14" t="s">
        <v>40047</v>
      </c>
      <c r="B20348" s="15" t="s">
        <v>40048</v>
      </c>
      <c r="C20348" s="16">
        <f>25.28/(1+B2)</f>
        <v>25.28</v>
      </c>
      <c r="D20348" s="17" t="s">
        <v>53</v>
      </c>
      <c r="E20348" s="17" t="s">
        <v>11</v>
      </c>
      <c r="F20348" s="18"/>
      <c r="G20348" s="36" t="str">
        <f>IF(ISNUMBER(F20348),C20348*F20348,"")</f>
        <v/>
      </c>
    </row>
    <row r="20349" spans="1:7" ht="12" customHeight="1" outlineLevel="3" x14ac:dyDescent="0.2">
      <c r="A20349" s="14" t="s">
        <v>40049</v>
      </c>
      <c r="B20349" s="15" t="s">
        <v>40050</v>
      </c>
      <c r="C20349" s="16">
        <f>26.64/(1+B2)</f>
        <v>26.64</v>
      </c>
      <c r="D20349" s="17" t="s">
        <v>11</v>
      </c>
      <c r="E20349" s="17" t="s">
        <v>106</v>
      </c>
      <c r="F20349" s="18"/>
      <c r="G20349" s="36" t="str">
        <f>IF(ISNUMBER(F20349),C20349*F20349,"")</f>
        <v/>
      </c>
    </row>
    <row r="20350" spans="1:7" ht="12" customHeight="1" outlineLevel="3" x14ac:dyDescent="0.2">
      <c r="A20350" s="14" t="s">
        <v>40051</v>
      </c>
      <c r="B20350" s="15" t="s">
        <v>40052</v>
      </c>
      <c r="C20350" s="16">
        <f>134.01/(1+B2)</f>
        <v>134.01</v>
      </c>
      <c r="D20350" s="17" t="s">
        <v>11</v>
      </c>
      <c r="E20350" s="17" t="s">
        <v>53</v>
      </c>
      <c r="F20350" s="18"/>
      <c r="G20350" s="36" t="str">
        <f>IF(ISNUMBER(F20350),C20350*F20350,"")</f>
        <v/>
      </c>
    </row>
    <row r="20351" spans="1:7" ht="12" customHeight="1" outlineLevel="3" x14ac:dyDescent="0.2">
      <c r="A20351" s="14" t="s">
        <v>40053</v>
      </c>
      <c r="B20351" s="15" t="s">
        <v>40054</v>
      </c>
      <c r="C20351" s="16">
        <f>123.16/(1+B2)</f>
        <v>123.16</v>
      </c>
      <c r="D20351" s="17" t="s">
        <v>11</v>
      </c>
      <c r="E20351" s="17" t="s">
        <v>11</v>
      </c>
      <c r="F20351" s="18"/>
      <c r="G20351" s="36" t="str">
        <f>IF(ISNUMBER(F20351),C20351*F20351,"")</f>
        <v/>
      </c>
    </row>
    <row r="20352" spans="1:7" ht="12" customHeight="1" outlineLevel="3" x14ac:dyDescent="0.2">
      <c r="A20352" s="14" t="s">
        <v>40055</v>
      </c>
      <c r="B20352" s="15" t="s">
        <v>40056</v>
      </c>
      <c r="C20352" s="16">
        <f>45.29/(1+B2)</f>
        <v>45.29</v>
      </c>
      <c r="D20352" s="17" t="s">
        <v>11</v>
      </c>
      <c r="E20352" s="17" t="s">
        <v>106</v>
      </c>
      <c r="F20352" s="18"/>
      <c r="G20352" s="36" t="str">
        <f>IF(ISNUMBER(F20352),C20352*F20352,"")</f>
        <v/>
      </c>
    </row>
    <row r="20353" spans="1:7" ht="12" customHeight="1" outlineLevel="3" x14ac:dyDescent="0.2">
      <c r="A20353" s="14" t="s">
        <v>40057</v>
      </c>
      <c r="B20353" s="15" t="s">
        <v>40058</v>
      </c>
      <c r="C20353" s="16">
        <f>27.44/(1+B2)</f>
        <v>27.44</v>
      </c>
      <c r="D20353" s="17" t="s">
        <v>11</v>
      </c>
      <c r="E20353" s="17" t="s">
        <v>106</v>
      </c>
      <c r="F20353" s="18"/>
      <c r="G20353" s="36" t="str">
        <f>IF(ISNUMBER(F20353),C20353*F20353,"")</f>
        <v/>
      </c>
    </row>
    <row r="20354" spans="1:7" ht="12" customHeight="1" outlineLevel="3" x14ac:dyDescent="0.2">
      <c r="A20354" s="14" t="s">
        <v>40059</v>
      </c>
      <c r="B20354" s="15" t="s">
        <v>40060</v>
      </c>
      <c r="C20354" s="16">
        <f>30.51/(1+B2)</f>
        <v>30.51</v>
      </c>
      <c r="D20354" s="17" t="s">
        <v>11</v>
      </c>
      <c r="E20354" s="17" t="s">
        <v>106</v>
      </c>
      <c r="F20354" s="18"/>
      <c r="G20354" s="36" t="str">
        <f>IF(ISNUMBER(F20354),C20354*F20354,"")</f>
        <v/>
      </c>
    </row>
    <row r="20355" spans="1:7" ht="12" customHeight="1" outlineLevel="3" x14ac:dyDescent="0.2">
      <c r="A20355" s="14" t="s">
        <v>40061</v>
      </c>
      <c r="B20355" s="15" t="s">
        <v>40062</v>
      </c>
      <c r="C20355" s="16">
        <f>96.24/(1+B2)</f>
        <v>96.24</v>
      </c>
      <c r="D20355" s="17" t="s">
        <v>11</v>
      </c>
      <c r="E20355" s="17" t="s">
        <v>106</v>
      </c>
      <c r="F20355" s="18"/>
      <c r="G20355" s="36" t="str">
        <f>IF(ISNUMBER(F20355),C20355*F20355,"")</f>
        <v/>
      </c>
    </row>
    <row r="20356" spans="1:7" ht="12" customHeight="1" outlineLevel="3" x14ac:dyDescent="0.2">
      <c r="A20356" s="14" t="s">
        <v>40063</v>
      </c>
      <c r="B20356" s="15" t="s">
        <v>40064</v>
      </c>
      <c r="C20356" s="16">
        <f>54.38/(1+B2)</f>
        <v>54.38</v>
      </c>
      <c r="D20356" s="17" t="s">
        <v>11</v>
      </c>
      <c r="E20356" s="17" t="s">
        <v>106</v>
      </c>
      <c r="F20356" s="18"/>
      <c r="G20356" s="36" t="str">
        <f>IF(ISNUMBER(F20356),C20356*F20356,"")</f>
        <v/>
      </c>
    </row>
    <row r="20357" spans="1:7" ht="12" customHeight="1" outlineLevel="3" x14ac:dyDescent="0.2">
      <c r="A20357" s="14" t="s">
        <v>40065</v>
      </c>
      <c r="B20357" s="15" t="s">
        <v>40066</v>
      </c>
      <c r="C20357" s="16">
        <f>134.36/(1+B2)</f>
        <v>134.36000000000001</v>
      </c>
      <c r="D20357" s="17" t="s">
        <v>11</v>
      </c>
      <c r="E20357" s="17" t="s">
        <v>53</v>
      </c>
      <c r="F20357" s="18"/>
      <c r="G20357" s="36" t="str">
        <f>IF(ISNUMBER(F20357),C20357*F20357,"")</f>
        <v/>
      </c>
    </row>
    <row r="20358" spans="1:7" ht="12" customHeight="1" outlineLevel="3" x14ac:dyDescent="0.2">
      <c r="A20358" s="14" t="s">
        <v>40067</v>
      </c>
      <c r="B20358" s="15" t="s">
        <v>40068</v>
      </c>
      <c r="C20358" s="16">
        <f>122.4/(1+B2)</f>
        <v>122.4</v>
      </c>
      <c r="D20358" s="17" t="s">
        <v>11</v>
      </c>
      <c r="E20358" s="17" t="s">
        <v>53</v>
      </c>
      <c r="F20358" s="18"/>
      <c r="G20358" s="36" t="str">
        <f>IF(ISNUMBER(F20358),C20358*F20358,"")</f>
        <v/>
      </c>
    </row>
    <row r="20359" spans="1:7" ht="12" customHeight="1" outlineLevel="3" x14ac:dyDescent="0.2">
      <c r="A20359" s="14" t="s">
        <v>40069</v>
      </c>
      <c r="B20359" s="15" t="s">
        <v>40070</v>
      </c>
      <c r="C20359" s="16">
        <f>51.08/(1+B2)</f>
        <v>51.08</v>
      </c>
      <c r="D20359" s="17" t="s">
        <v>11</v>
      </c>
      <c r="E20359" s="17" t="s">
        <v>106</v>
      </c>
      <c r="F20359" s="18"/>
      <c r="G20359" s="36" t="str">
        <f>IF(ISNUMBER(F20359),C20359*F20359,"")</f>
        <v/>
      </c>
    </row>
    <row r="20360" spans="1:7" ht="12" customHeight="1" outlineLevel="3" x14ac:dyDescent="0.2">
      <c r="A20360" s="14" t="s">
        <v>40071</v>
      </c>
      <c r="B20360" s="15" t="s">
        <v>40072</v>
      </c>
      <c r="C20360" s="16">
        <f>60.05/(1+B2)</f>
        <v>60.05</v>
      </c>
      <c r="D20360" s="17" t="s">
        <v>11</v>
      </c>
      <c r="E20360" s="17" t="s">
        <v>53</v>
      </c>
      <c r="F20360" s="18"/>
      <c r="G20360" s="36" t="str">
        <f>IF(ISNUMBER(F20360),C20360*F20360,"")</f>
        <v/>
      </c>
    </row>
    <row r="20361" spans="1:7" ht="12" customHeight="1" outlineLevel="3" x14ac:dyDescent="0.2">
      <c r="A20361" s="14" t="s">
        <v>40073</v>
      </c>
      <c r="B20361" s="15" t="s">
        <v>40074</v>
      </c>
      <c r="C20361" s="16">
        <f>34.83/(1+B2)</f>
        <v>34.83</v>
      </c>
      <c r="D20361" s="17" t="s">
        <v>11</v>
      </c>
      <c r="E20361" s="17" t="s">
        <v>53</v>
      </c>
      <c r="F20361" s="18"/>
      <c r="G20361" s="36" t="str">
        <f>IF(ISNUMBER(F20361),C20361*F20361,"")</f>
        <v/>
      </c>
    </row>
    <row r="20362" spans="1:7" ht="12" customHeight="1" outlineLevel="3" x14ac:dyDescent="0.2">
      <c r="A20362" s="14" t="s">
        <v>40075</v>
      </c>
      <c r="B20362" s="15" t="s">
        <v>40076</v>
      </c>
      <c r="C20362" s="16">
        <f>149.81/(1+B2)</f>
        <v>149.81</v>
      </c>
      <c r="D20362" s="17" t="s">
        <v>11</v>
      </c>
      <c r="E20362" s="17" t="s">
        <v>53</v>
      </c>
      <c r="F20362" s="18"/>
      <c r="G20362" s="36" t="str">
        <f>IF(ISNUMBER(F20362),C20362*F20362,"")</f>
        <v/>
      </c>
    </row>
    <row r="20363" spans="1:7" ht="12" customHeight="1" outlineLevel="3" x14ac:dyDescent="0.2">
      <c r="A20363" s="14" t="s">
        <v>40077</v>
      </c>
      <c r="B20363" s="15" t="s">
        <v>40078</v>
      </c>
      <c r="C20363" s="16">
        <f>58.76/(1+B2)</f>
        <v>58.76</v>
      </c>
      <c r="D20363" s="17" t="s">
        <v>11</v>
      </c>
      <c r="E20363" s="17" t="s">
        <v>106</v>
      </c>
      <c r="F20363" s="18"/>
      <c r="G20363" s="36" t="str">
        <f>IF(ISNUMBER(F20363),C20363*F20363,"")</f>
        <v/>
      </c>
    </row>
    <row r="20364" spans="1:7" ht="12" customHeight="1" outlineLevel="3" x14ac:dyDescent="0.2">
      <c r="A20364" s="14" t="s">
        <v>40079</v>
      </c>
      <c r="B20364" s="15" t="s">
        <v>40080</v>
      </c>
      <c r="C20364" s="16">
        <f>379.4/(1+B2)</f>
        <v>379.4</v>
      </c>
      <c r="D20364" s="17" t="s">
        <v>11</v>
      </c>
      <c r="E20364" s="17" t="s">
        <v>11</v>
      </c>
      <c r="F20364" s="18"/>
      <c r="G20364" s="36" t="str">
        <f>IF(ISNUMBER(F20364),C20364*F20364,"")</f>
        <v/>
      </c>
    </row>
    <row r="20365" spans="1:7" ht="12" customHeight="1" outlineLevel="3" x14ac:dyDescent="0.2">
      <c r="A20365" s="14" t="s">
        <v>40081</v>
      </c>
      <c r="B20365" s="15" t="s">
        <v>40082</v>
      </c>
      <c r="C20365" s="16">
        <f>38.39/(1+B2)</f>
        <v>38.39</v>
      </c>
      <c r="D20365" s="17" t="s">
        <v>53</v>
      </c>
      <c r="E20365" s="17" t="s">
        <v>11</v>
      </c>
      <c r="F20365" s="18"/>
      <c r="G20365" s="36" t="str">
        <f>IF(ISNUMBER(F20365),C20365*F20365,"")</f>
        <v/>
      </c>
    </row>
    <row r="20366" spans="1:7" ht="12" customHeight="1" outlineLevel="3" x14ac:dyDescent="0.2">
      <c r="A20366" s="14" t="s">
        <v>40083</v>
      </c>
      <c r="B20366" s="15" t="s">
        <v>40084</v>
      </c>
      <c r="C20366" s="16">
        <f>39.79/(1+B2)</f>
        <v>39.79</v>
      </c>
      <c r="D20366" s="17" t="s">
        <v>14</v>
      </c>
      <c r="E20366" s="17" t="s">
        <v>53</v>
      </c>
      <c r="F20366" s="18"/>
      <c r="G20366" s="36" t="str">
        <f>IF(ISNUMBER(F20366),C20366*F20366,"")</f>
        <v/>
      </c>
    </row>
    <row r="20367" spans="1:7" ht="12" customHeight="1" outlineLevel="3" x14ac:dyDescent="0.2">
      <c r="A20367" s="14" t="s">
        <v>40085</v>
      </c>
      <c r="B20367" s="15" t="s">
        <v>40086</v>
      </c>
      <c r="C20367" s="16">
        <f>39.98/(1+B2)</f>
        <v>39.979999999999997</v>
      </c>
      <c r="D20367" s="17" t="s">
        <v>11</v>
      </c>
      <c r="E20367" s="17" t="s">
        <v>106</v>
      </c>
      <c r="F20367" s="18"/>
      <c r="G20367" s="36" t="str">
        <f>IF(ISNUMBER(F20367),C20367*F20367,"")</f>
        <v/>
      </c>
    </row>
    <row r="20368" spans="1:7" ht="12" customHeight="1" outlineLevel="3" x14ac:dyDescent="0.2">
      <c r="A20368" s="14" t="s">
        <v>40087</v>
      </c>
      <c r="B20368" s="15" t="s">
        <v>40088</v>
      </c>
      <c r="C20368" s="16">
        <f>39.31/(1+B2)</f>
        <v>39.31</v>
      </c>
      <c r="D20368" s="17" t="s">
        <v>11</v>
      </c>
      <c r="E20368" s="17" t="s">
        <v>106</v>
      </c>
      <c r="F20368" s="18"/>
      <c r="G20368" s="36" t="str">
        <f>IF(ISNUMBER(F20368),C20368*F20368,"")</f>
        <v/>
      </c>
    </row>
    <row r="20369" spans="1:7" ht="12" customHeight="1" outlineLevel="3" x14ac:dyDescent="0.2">
      <c r="A20369" s="14" t="s">
        <v>40089</v>
      </c>
      <c r="B20369" s="15" t="s">
        <v>40090</v>
      </c>
      <c r="C20369" s="16">
        <f>43.71/(1+B2)</f>
        <v>43.71</v>
      </c>
      <c r="D20369" s="17" t="s">
        <v>14</v>
      </c>
      <c r="E20369" s="17" t="s">
        <v>106</v>
      </c>
      <c r="F20369" s="18"/>
      <c r="G20369" s="36" t="str">
        <f>IF(ISNUMBER(F20369),C20369*F20369,"")</f>
        <v/>
      </c>
    </row>
    <row r="20370" spans="1:7" ht="12" customHeight="1" outlineLevel="3" x14ac:dyDescent="0.2">
      <c r="A20370" s="14" t="s">
        <v>40091</v>
      </c>
      <c r="B20370" s="15" t="s">
        <v>40092</v>
      </c>
      <c r="C20370" s="16">
        <f>43.81/(1+B2)</f>
        <v>43.81</v>
      </c>
      <c r="D20370" s="17" t="s">
        <v>11</v>
      </c>
      <c r="E20370" s="17" t="s">
        <v>106</v>
      </c>
      <c r="F20370" s="18"/>
      <c r="G20370" s="36" t="str">
        <f>IF(ISNUMBER(F20370),C20370*F20370,"")</f>
        <v/>
      </c>
    </row>
    <row r="20371" spans="1:7" ht="12" customHeight="1" outlineLevel="3" x14ac:dyDescent="0.2">
      <c r="A20371" s="14" t="s">
        <v>40093</v>
      </c>
      <c r="B20371" s="15" t="s">
        <v>40094</v>
      </c>
      <c r="C20371" s="16">
        <f>38.46/(1+B2)</f>
        <v>38.46</v>
      </c>
      <c r="D20371" s="17" t="s">
        <v>14</v>
      </c>
      <c r="E20371" s="17" t="s">
        <v>106</v>
      </c>
      <c r="F20371" s="18"/>
      <c r="G20371" s="36" t="str">
        <f>IF(ISNUMBER(F20371),C20371*F20371,"")</f>
        <v/>
      </c>
    </row>
    <row r="20372" spans="1:7" ht="12" customHeight="1" outlineLevel="3" x14ac:dyDescent="0.2">
      <c r="A20372" s="14" t="s">
        <v>40095</v>
      </c>
      <c r="B20372" s="15" t="s">
        <v>40096</v>
      </c>
      <c r="C20372" s="16">
        <f>37.64/(1+B2)</f>
        <v>37.64</v>
      </c>
      <c r="D20372" s="17" t="s">
        <v>53</v>
      </c>
      <c r="E20372" s="17" t="s">
        <v>106</v>
      </c>
      <c r="F20372" s="18"/>
      <c r="G20372" s="36" t="str">
        <f>IF(ISNUMBER(F20372),C20372*F20372,"")</f>
        <v/>
      </c>
    </row>
    <row r="20373" spans="1:7" ht="12" customHeight="1" outlineLevel="3" x14ac:dyDescent="0.2">
      <c r="A20373" s="14" t="s">
        <v>40097</v>
      </c>
      <c r="B20373" s="15" t="s">
        <v>40098</v>
      </c>
      <c r="C20373" s="16">
        <f>122.88/(1+B2)</f>
        <v>122.88</v>
      </c>
      <c r="D20373" s="17" t="s">
        <v>11</v>
      </c>
      <c r="E20373" s="17" t="s">
        <v>106</v>
      </c>
      <c r="F20373" s="18"/>
      <c r="G20373" s="36" t="str">
        <f>IF(ISNUMBER(F20373),C20373*F20373,"")</f>
        <v/>
      </c>
    </row>
    <row r="20374" spans="1:7" ht="12" customHeight="1" outlineLevel="3" x14ac:dyDescent="0.2">
      <c r="A20374" s="14" t="s">
        <v>40099</v>
      </c>
      <c r="B20374" s="15" t="s">
        <v>40100</v>
      </c>
      <c r="C20374" s="16">
        <f>112.95/(1+B2)</f>
        <v>112.95</v>
      </c>
      <c r="D20374" s="17" t="s">
        <v>11</v>
      </c>
      <c r="E20374" s="17" t="s">
        <v>106</v>
      </c>
      <c r="F20374" s="18"/>
      <c r="G20374" s="36" t="str">
        <f>IF(ISNUMBER(F20374),C20374*F20374,"")</f>
        <v/>
      </c>
    </row>
    <row r="20375" spans="1:7" ht="12" customHeight="1" outlineLevel="3" x14ac:dyDescent="0.2">
      <c r="A20375" s="14" t="s">
        <v>40101</v>
      </c>
      <c r="B20375" s="15" t="s">
        <v>40102</v>
      </c>
      <c r="C20375" s="16">
        <f>81.89/(1+B2)</f>
        <v>81.89</v>
      </c>
      <c r="D20375" s="17" t="s">
        <v>11</v>
      </c>
      <c r="E20375" s="17" t="s">
        <v>106</v>
      </c>
      <c r="F20375" s="18"/>
      <c r="G20375" s="36" t="str">
        <f>IF(ISNUMBER(F20375),C20375*F20375,"")</f>
        <v/>
      </c>
    </row>
    <row r="20376" spans="1:7" ht="12" customHeight="1" outlineLevel="3" x14ac:dyDescent="0.2">
      <c r="A20376" s="14" t="s">
        <v>40103</v>
      </c>
      <c r="B20376" s="15" t="s">
        <v>40104</v>
      </c>
      <c r="C20376" s="16">
        <f>73.46/(1+B2)</f>
        <v>73.459999999999994</v>
      </c>
      <c r="D20376" s="17" t="s">
        <v>11</v>
      </c>
      <c r="E20376" s="17" t="s">
        <v>53</v>
      </c>
      <c r="F20376" s="18"/>
      <c r="G20376" s="36" t="str">
        <f>IF(ISNUMBER(F20376),C20376*F20376,"")</f>
        <v/>
      </c>
    </row>
    <row r="20377" spans="1:7" ht="12" customHeight="1" outlineLevel="3" x14ac:dyDescent="0.2">
      <c r="A20377" s="14" t="s">
        <v>40105</v>
      </c>
      <c r="B20377" s="15" t="s">
        <v>40106</v>
      </c>
      <c r="C20377" s="16">
        <f>577.58/(1+B2)</f>
        <v>577.58000000000004</v>
      </c>
      <c r="D20377" s="17" t="s">
        <v>11</v>
      </c>
      <c r="E20377" s="17" t="s">
        <v>11</v>
      </c>
      <c r="F20377" s="18"/>
      <c r="G20377" s="36" t="str">
        <f>IF(ISNUMBER(F20377),C20377*F20377,"")</f>
        <v/>
      </c>
    </row>
    <row r="20378" spans="1:7" ht="12" customHeight="1" outlineLevel="3" x14ac:dyDescent="0.2">
      <c r="A20378" s="14" t="s">
        <v>40107</v>
      </c>
      <c r="B20378" s="15" t="s">
        <v>40108</v>
      </c>
      <c r="C20378" s="16">
        <f>395.25/(1+B2)</f>
        <v>395.25</v>
      </c>
      <c r="D20378" s="17" t="s">
        <v>11</v>
      </c>
      <c r="E20378" s="17" t="s">
        <v>14</v>
      </c>
      <c r="F20378" s="18"/>
      <c r="G20378" s="36" t="str">
        <f>IF(ISNUMBER(F20378),C20378*F20378,"")</f>
        <v/>
      </c>
    </row>
    <row r="20379" spans="1:7" ht="12" customHeight="1" outlineLevel="3" x14ac:dyDescent="0.2">
      <c r="A20379" s="14" t="s">
        <v>40109</v>
      </c>
      <c r="B20379" s="15" t="s">
        <v>40110</v>
      </c>
      <c r="C20379" s="16">
        <f>232.51/(1+B2)</f>
        <v>232.51</v>
      </c>
      <c r="D20379" s="17" t="s">
        <v>11</v>
      </c>
      <c r="E20379" s="17" t="s">
        <v>11</v>
      </c>
      <c r="F20379" s="18"/>
      <c r="G20379" s="36" t="str">
        <f>IF(ISNUMBER(F20379),C20379*F20379,"")</f>
        <v/>
      </c>
    </row>
    <row r="20380" spans="1:7" s="1" customFormat="1" ht="12.95" customHeight="1" outlineLevel="2" x14ac:dyDescent="0.2">
      <c r="A20380" s="20"/>
      <c r="B20380" s="21" t="s">
        <v>40111</v>
      </c>
      <c r="C20380" s="22"/>
      <c r="D20380" s="22"/>
      <c r="E20380" s="22"/>
      <c r="F20380" s="22"/>
      <c r="G20380" s="37"/>
    </row>
    <row r="20381" spans="1:7" ht="12" customHeight="1" outlineLevel="3" x14ac:dyDescent="0.2">
      <c r="A20381" s="14" t="s">
        <v>40112</v>
      </c>
      <c r="B20381" s="15" t="s">
        <v>40113</v>
      </c>
      <c r="C20381" s="16">
        <f>29.86/(1+B2)</f>
        <v>29.86</v>
      </c>
      <c r="D20381" s="17" t="s">
        <v>53</v>
      </c>
      <c r="E20381" s="17" t="s">
        <v>106</v>
      </c>
      <c r="F20381" s="18"/>
      <c r="G20381" s="36" t="str">
        <f>IF(ISNUMBER(F20381),C20381*F20381,"")</f>
        <v/>
      </c>
    </row>
    <row r="20382" spans="1:7" ht="12" customHeight="1" outlineLevel="3" x14ac:dyDescent="0.2">
      <c r="A20382" s="14" t="s">
        <v>40114</v>
      </c>
      <c r="B20382" s="15" t="s">
        <v>40115</v>
      </c>
      <c r="C20382" s="16">
        <f>33.1/(1+B2)</f>
        <v>33.1</v>
      </c>
      <c r="D20382" s="17" t="s">
        <v>14</v>
      </c>
      <c r="E20382" s="17" t="s">
        <v>106</v>
      </c>
      <c r="F20382" s="18"/>
      <c r="G20382" s="36" t="str">
        <f>IF(ISNUMBER(F20382),C20382*F20382,"")</f>
        <v/>
      </c>
    </row>
    <row r="20383" spans="1:7" ht="12" customHeight="1" outlineLevel="3" x14ac:dyDescent="0.2">
      <c r="A20383" s="14" t="s">
        <v>40116</v>
      </c>
      <c r="B20383" s="15" t="s">
        <v>40117</v>
      </c>
      <c r="C20383" s="16">
        <f>44.58/(1+B2)</f>
        <v>44.58</v>
      </c>
      <c r="D20383" s="17" t="s">
        <v>11</v>
      </c>
      <c r="E20383" s="17" t="s">
        <v>106</v>
      </c>
      <c r="F20383" s="18"/>
      <c r="G20383" s="36" t="str">
        <f>IF(ISNUMBER(F20383),C20383*F20383,"")</f>
        <v/>
      </c>
    </row>
    <row r="20384" spans="1:7" ht="12" customHeight="1" outlineLevel="3" x14ac:dyDescent="0.2">
      <c r="A20384" s="14" t="s">
        <v>40118</v>
      </c>
      <c r="B20384" s="15" t="s">
        <v>40119</v>
      </c>
      <c r="C20384" s="16">
        <f>59.44/(1+B2)</f>
        <v>59.44</v>
      </c>
      <c r="D20384" s="17" t="s">
        <v>11</v>
      </c>
      <c r="E20384" s="17" t="s">
        <v>14</v>
      </c>
      <c r="F20384" s="18"/>
      <c r="G20384" s="36" t="str">
        <f>IF(ISNUMBER(F20384),C20384*F20384,"")</f>
        <v/>
      </c>
    </row>
    <row r="20385" spans="1:7" ht="12" customHeight="1" outlineLevel="3" x14ac:dyDescent="0.2">
      <c r="A20385" s="14" t="s">
        <v>40120</v>
      </c>
      <c r="B20385" s="15" t="s">
        <v>40121</v>
      </c>
      <c r="C20385" s="16">
        <f>67.58/(1+B2)</f>
        <v>67.58</v>
      </c>
      <c r="D20385" s="17" t="s">
        <v>14</v>
      </c>
      <c r="E20385" s="17" t="s">
        <v>53</v>
      </c>
      <c r="F20385" s="18"/>
      <c r="G20385" s="36" t="str">
        <f>IF(ISNUMBER(F20385),C20385*F20385,"")</f>
        <v/>
      </c>
    </row>
    <row r="20386" spans="1:7" ht="12" customHeight="1" outlineLevel="3" x14ac:dyDescent="0.2">
      <c r="A20386" s="14" t="s">
        <v>40122</v>
      </c>
      <c r="B20386" s="15" t="s">
        <v>40123</v>
      </c>
      <c r="C20386" s="16">
        <f>91.04/(1+B2)</f>
        <v>91.04</v>
      </c>
      <c r="D20386" s="17" t="s">
        <v>11</v>
      </c>
      <c r="E20386" s="17" t="s">
        <v>53</v>
      </c>
      <c r="F20386" s="18"/>
      <c r="G20386" s="36" t="str">
        <f>IF(ISNUMBER(F20386),C20386*F20386,"")</f>
        <v/>
      </c>
    </row>
    <row r="20387" spans="1:7" ht="12" customHeight="1" outlineLevel="3" x14ac:dyDescent="0.2">
      <c r="A20387" s="14" t="s">
        <v>40124</v>
      </c>
      <c r="B20387" s="15" t="s">
        <v>40125</v>
      </c>
      <c r="C20387" s="16">
        <f>116.41/(1+B2)</f>
        <v>116.41</v>
      </c>
      <c r="D20387" s="17" t="s">
        <v>11</v>
      </c>
      <c r="E20387" s="17" t="s">
        <v>106</v>
      </c>
      <c r="F20387" s="18"/>
      <c r="G20387" s="36" t="str">
        <f>IF(ISNUMBER(F20387),C20387*F20387,"")</f>
        <v/>
      </c>
    </row>
    <row r="20388" spans="1:7" ht="12" customHeight="1" outlineLevel="3" x14ac:dyDescent="0.2">
      <c r="A20388" s="14" t="s">
        <v>40126</v>
      </c>
      <c r="B20388" s="15" t="s">
        <v>40127</v>
      </c>
      <c r="C20388" s="16">
        <f>164.85/(1+B2)</f>
        <v>164.85</v>
      </c>
      <c r="D20388" s="17" t="s">
        <v>11</v>
      </c>
      <c r="E20388" s="17" t="s">
        <v>53</v>
      </c>
      <c r="F20388" s="18"/>
      <c r="G20388" s="36" t="str">
        <f>IF(ISNUMBER(F20388),C20388*F20388,"")</f>
        <v/>
      </c>
    </row>
    <row r="20389" spans="1:7" ht="12" customHeight="1" outlineLevel="3" x14ac:dyDescent="0.2">
      <c r="A20389" s="14" t="s">
        <v>40128</v>
      </c>
      <c r="B20389" s="15" t="s">
        <v>40129</v>
      </c>
      <c r="C20389" s="16">
        <f>34/(1+B2)</f>
        <v>34</v>
      </c>
      <c r="D20389" s="17" t="s">
        <v>14</v>
      </c>
      <c r="E20389" s="17" t="s">
        <v>106</v>
      </c>
      <c r="F20389" s="18"/>
      <c r="G20389" s="36" t="str">
        <f>IF(ISNUMBER(F20389),C20389*F20389,"")</f>
        <v/>
      </c>
    </row>
    <row r="20390" spans="1:7" ht="12" customHeight="1" outlineLevel="3" x14ac:dyDescent="0.2">
      <c r="A20390" s="14" t="s">
        <v>40130</v>
      </c>
      <c r="B20390" s="15" t="s">
        <v>40131</v>
      </c>
      <c r="C20390" s="16">
        <f>41.84/(1+B2)</f>
        <v>41.84</v>
      </c>
      <c r="D20390" s="17" t="s">
        <v>14</v>
      </c>
      <c r="E20390" s="17" t="s">
        <v>106</v>
      </c>
      <c r="F20390" s="18"/>
      <c r="G20390" s="36" t="str">
        <f>IF(ISNUMBER(F20390),C20390*F20390,"")</f>
        <v/>
      </c>
    </row>
    <row r="20391" spans="1:7" ht="12" customHeight="1" outlineLevel="3" x14ac:dyDescent="0.2">
      <c r="A20391" s="14" t="s">
        <v>40132</v>
      </c>
      <c r="B20391" s="15" t="s">
        <v>40133</v>
      </c>
      <c r="C20391" s="16">
        <f>56.91/(1+B2)</f>
        <v>56.91</v>
      </c>
      <c r="D20391" s="17" t="s">
        <v>11</v>
      </c>
      <c r="E20391" s="17" t="s">
        <v>53</v>
      </c>
      <c r="F20391" s="18"/>
      <c r="G20391" s="36" t="str">
        <f>IF(ISNUMBER(F20391),C20391*F20391,"")</f>
        <v/>
      </c>
    </row>
    <row r="20392" spans="1:7" ht="12" customHeight="1" outlineLevel="3" x14ac:dyDescent="0.2">
      <c r="A20392" s="14" t="s">
        <v>40134</v>
      </c>
      <c r="B20392" s="15" t="s">
        <v>40135</v>
      </c>
      <c r="C20392" s="16">
        <f>67.13/(1+B2)</f>
        <v>67.13</v>
      </c>
      <c r="D20392" s="17" t="s">
        <v>11</v>
      </c>
      <c r="E20392" s="17" t="s">
        <v>53</v>
      </c>
      <c r="F20392" s="18"/>
      <c r="G20392" s="36" t="str">
        <f>IF(ISNUMBER(F20392),C20392*F20392,"")</f>
        <v/>
      </c>
    </row>
    <row r="20393" spans="1:7" ht="12" customHeight="1" outlineLevel="3" x14ac:dyDescent="0.2">
      <c r="A20393" s="14" t="s">
        <v>40136</v>
      </c>
      <c r="B20393" s="15" t="s">
        <v>40137</v>
      </c>
      <c r="C20393" s="16">
        <f>81.83/(1+B2)</f>
        <v>81.83</v>
      </c>
      <c r="D20393" s="17" t="s">
        <v>11</v>
      </c>
      <c r="E20393" s="17" t="s">
        <v>14</v>
      </c>
      <c r="F20393" s="18"/>
      <c r="G20393" s="36" t="str">
        <f>IF(ISNUMBER(F20393),C20393*F20393,"")</f>
        <v/>
      </c>
    </row>
    <row r="20394" spans="1:7" ht="12" customHeight="1" outlineLevel="3" x14ac:dyDescent="0.2">
      <c r="A20394" s="14" t="s">
        <v>40138</v>
      </c>
      <c r="B20394" s="15" t="s">
        <v>40139</v>
      </c>
      <c r="C20394" s="16">
        <f>103.3/(1+B2)</f>
        <v>103.3</v>
      </c>
      <c r="D20394" s="17" t="s">
        <v>11</v>
      </c>
      <c r="E20394" s="17" t="s">
        <v>53</v>
      </c>
      <c r="F20394" s="18"/>
      <c r="G20394" s="36" t="str">
        <f>IF(ISNUMBER(F20394),C20394*F20394,"")</f>
        <v/>
      </c>
    </row>
    <row r="20395" spans="1:7" ht="12" customHeight="1" outlineLevel="3" x14ac:dyDescent="0.2">
      <c r="A20395" s="14" t="s">
        <v>40140</v>
      </c>
      <c r="B20395" s="15" t="s">
        <v>40141</v>
      </c>
      <c r="C20395" s="16">
        <f>136.51/(1+B2)</f>
        <v>136.51</v>
      </c>
      <c r="D20395" s="17" t="s">
        <v>11</v>
      </c>
      <c r="E20395" s="17" t="s">
        <v>53</v>
      </c>
      <c r="F20395" s="18"/>
      <c r="G20395" s="36" t="str">
        <f>IF(ISNUMBER(F20395),C20395*F20395,"")</f>
        <v/>
      </c>
    </row>
    <row r="20396" spans="1:7" ht="12" customHeight="1" outlineLevel="3" x14ac:dyDescent="0.2">
      <c r="A20396" s="14" t="s">
        <v>40142</v>
      </c>
      <c r="B20396" s="15" t="s">
        <v>40143</v>
      </c>
      <c r="C20396" s="16">
        <f>204.41/(1+B2)</f>
        <v>204.41</v>
      </c>
      <c r="D20396" s="17" t="s">
        <v>11</v>
      </c>
      <c r="E20396" s="17" t="s">
        <v>53</v>
      </c>
      <c r="F20396" s="18"/>
      <c r="G20396" s="36" t="str">
        <f>IF(ISNUMBER(F20396),C20396*F20396,"")</f>
        <v/>
      </c>
    </row>
    <row r="20397" spans="1:7" ht="12" customHeight="1" outlineLevel="3" x14ac:dyDescent="0.2">
      <c r="A20397" s="14" t="s">
        <v>40144</v>
      </c>
      <c r="B20397" s="15" t="s">
        <v>40145</v>
      </c>
      <c r="C20397" s="16">
        <f>31/(1+B2)</f>
        <v>31</v>
      </c>
      <c r="D20397" s="17" t="s">
        <v>11</v>
      </c>
      <c r="E20397" s="17" t="s">
        <v>14</v>
      </c>
      <c r="F20397" s="18"/>
      <c r="G20397" s="36" t="str">
        <f>IF(ISNUMBER(F20397),C20397*F20397,"")</f>
        <v/>
      </c>
    </row>
    <row r="20398" spans="1:7" ht="12" customHeight="1" outlineLevel="3" x14ac:dyDescent="0.2">
      <c r="A20398" s="14" t="s">
        <v>40146</v>
      </c>
      <c r="B20398" s="15" t="s">
        <v>40147</v>
      </c>
      <c r="C20398" s="16">
        <f>38.66/(1+B2)</f>
        <v>38.659999999999997</v>
      </c>
      <c r="D20398" s="17" t="s">
        <v>11</v>
      </c>
      <c r="E20398" s="17" t="s">
        <v>106</v>
      </c>
      <c r="F20398" s="18"/>
      <c r="G20398" s="36" t="str">
        <f>IF(ISNUMBER(F20398),C20398*F20398,"")</f>
        <v/>
      </c>
    </row>
    <row r="20399" spans="1:7" ht="12" customHeight="1" outlineLevel="3" x14ac:dyDescent="0.2">
      <c r="A20399" s="14" t="s">
        <v>40148</v>
      </c>
      <c r="B20399" s="15" t="s">
        <v>40149</v>
      </c>
      <c r="C20399" s="16">
        <f>52.19/(1+B2)</f>
        <v>52.19</v>
      </c>
      <c r="D20399" s="17" t="s">
        <v>11</v>
      </c>
      <c r="E20399" s="17" t="s">
        <v>106</v>
      </c>
      <c r="F20399" s="18"/>
      <c r="G20399" s="36" t="str">
        <f>IF(ISNUMBER(F20399),C20399*F20399,"")</f>
        <v/>
      </c>
    </row>
    <row r="20400" spans="1:7" ht="12" customHeight="1" outlineLevel="3" x14ac:dyDescent="0.2">
      <c r="A20400" s="14" t="s">
        <v>40150</v>
      </c>
      <c r="B20400" s="15" t="s">
        <v>40151</v>
      </c>
      <c r="C20400" s="16">
        <f>67.55/(1+B2)</f>
        <v>67.55</v>
      </c>
      <c r="D20400" s="17" t="s">
        <v>11</v>
      </c>
      <c r="E20400" s="17" t="s">
        <v>106</v>
      </c>
      <c r="F20400" s="18"/>
      <c r="G20400" s="36" t="str">
        <f>IF(ISNUMBER(F20400),C20400*F20400,"")</f>
        <v/>
      </c>
    </row>
    <row r="20401" spans="1:7" ht="12" customHeight="1" outlineLevel="3" x14ac:dyDescent="0.2">
      <c r="A20401" s="14" t="s">
        <v>40152</v>
      </c>
      <c r="B20401" s="15" t="s">
        <v>40153</v>
      </c>
      <c r="C20401" s="16">
        <f>119.06/(1+B2)</f>
        <v>119.06</v>
      </c>
      <c r="D20401" s="17" t="s">
        <v>11</v>
      </c>
      <c r="E20401" s="17" t="s">
        <v>53</v>
      </c>
      <c r="F20401" s="18"/>
      <c r="G20401" s="36" t="str">
        <f>IF(ISNUMBER(F20401),C20401*F20401,"")</f>
        <v/>
      </c>
    </row>
    <row r="20402" spans="1:7" ht="12" customHeight="1" outlineLevel="3" x14ac:dyDescent="0.2">
      <c r="A20402" s="14" t="s">
        <v>40154</v>
      </c>
      <c r="B20402" s="15" t="s">
        <v>40155</v>
      </c>
      <c r="C20402" s="16">
        <f>82.16/(1+B2)</f>
        <v>82.16</v>
      </c>
      <c r="D20402" s="17" t="s">
        <v>11</v>
      </c>
      <c r="E20402" s="17" t="s">
        <v>106</v>
      </c>
      <c r="F20402" s="18"/>
      <c r="G20402" s="36" t="str">
        <f>IF(ISNUMBER(F20402),C20402*F20402,"")</f>
        <v/>
      </c>
    </row>
    <row r="20403" spans="1:7" ht="12" customHeight="1" outlineLevel="3" x14ac:dyDescent="0.2">
      <c r="A20403" s="14" t="s">
        <v>40156</v>
      </c>
      <c r="B20403" s="15" t="s">
        <v>40157</v>
      </c>
      <c r="C20403" s="16">
        <f>139.15/(1+B2)</f>
        <v>139.15</v>
      </c>
      <c r="D20403" s="17" t="s">
        <v>11</v>
      </c>
      <c r="E20403" s="17" t="s">
        <v>106</v>
      </c>
      <c r="F20403" s="18"/>
      <c r="G20403" s="36" t="str">
        <f>IF(ISNUMBER(F20403),C20403*F20403,"")</f>
        <v/>
      </c>
    </row>
    <row r="20404" spans="1:7" ht="12" customHeight="1" outlineLevel="3" x14ac:dyDescent="0.2">
      <c r="A20404" s="14" t="s">
        <v>40158</v>
      </c>
      <c r="B20404" s="15" t="s">
        <v>40159</v>
      </c>
      <c r="C20404" s="16">
        <f>216.63/(1+B2)</f>
        <v>216.63</v>
      </c>
      <c r="D20404" s="17" t="s">
        <v>14</v>
      </c>
      <c r="E20404" s="17" t="s">
        <v>106</v>
      </c>
      <c r="F20404" s="18"/>
      <c r="G20404" s="36" t="str">
        <f>IF(ISNUMBER(F20404),C20404*F20404,"")</f>
        <v/>
      </c>
    </row>
    <row r="20405" spans="1:7" ht="12" customHeight="1" outlineLevel="3" x14ac:dyDescent="0.2">
      <c r="A20405" s="14" t="s">
        <v>40160</v>
      </c>
      <c r="B20405" s="15" t="s">
        <v>40161</v>
      </c>
      <c r="C20405" s="16">
        <f>38.19/(1+B2)</f>
        <v>38.19</v>
      </c>
      <c r="D20405" s="17" t="s">
        <v>11</v>
      </c>
      <c r="E20405" s="17" t="s">
        <v>106</v>
      </c>
      <c r="F20405" s="18"/>
      <c r="G20405" s="36" t="str">
        <f>IF(ISNUMBER(F20405),C20405*F20405,"")</f>
        <v/>
      </c>
    </row>
    <row r="20406" spans="1:7" ht="12" customHeight="1" outlineLevel="3" x14ac:dyDescent="0.2">
      <c r="A20406" s="14" t="s">
        <v>40162</v>
      </c>
      <c r="B20406" s="15" t="s">
        <v>40163</v>
      </c>
      <c r="C20406" s="16">
        <f>41.03/(1+B2)</f>
        <v>41.03</v>
      </c>
      <c r="D20406" s="17" t="s">
        <v>14</v>
      </c>
      <c r="E20406" s="17" t="s">
        <v>106</v>
      </c>
      <c r="F20406" s="18"/>
      <c r="G20406" s="36" t="str">
        <f>IF(ISNUMBER(F20406),C20406*F20406,"")</f>
        <v/>
      </c>
    </row>
    <row r="20407" spans="1:7" ht="12" customHeight="1" outlineLevel="3" x14ac:dyDescent="0.2">
      <c r="A20407" s="14" t="s">
        <v>40164</v>
      </c>
      <c r="B20407" s="15" t="s">
        <v>40165</v>
      </c>
      <c r="C20407" s="16">
        <f>53.2/(1+B2)</f>
        <v>53.2</v>
      </c>
      <c r="D20407" s="17" t="s">
        <v>11</v>
      </c>
      <c r="E20407" s="17" t="s">
        <v>106</v>
      </c>
      <c r="F20407" s="18"/>
      <c r="G20407" s="36" t="str">
        <f>IF(ISNUMBER(F20407),C20407*F20407,"")</f>
        <v/>
      </c>
    </row>
    <row r="20408" spans="1:7" ht="12" customHeight="1" outlineLevel="3" x14ac:dyDescent="0.2">
      <c r="A20408" s="14" t="s">
        <v>40166</v>
      </c>
      <c r="B20408" s="15" t="s">
        <v>40167</v>
      </c>
      <c r="C20408" s="16">
        <f>75.24/(1+B2)</f>
        <v>75.239999999999995</v>
      </c>
      <c r="D20408" s="17" t="s">
        <v>11</v>
      </c>
      <c r="E20408" s="17" t="s">
        <v>106</v>
      </c>
      <c r="F20408" s="18"/>
      <c r="G20408" s="36" t="str">
        <f>IF(ISNUMBER(F20408),C20408*F20408,"")</f>
        <v/>
      </c>
    </row>
    <row r="20409" spans="1:7" ht="12" customHeight="1" outlineLevel="3" x14ac:dyDescent="0.2">
      <c r="A20409" s="14" t="s">
        <v>40168</v>
      </c>
      <c r="B20409" s="15" t="s">
        <v>40169</v>
      </c>
      <c r="C20409" s="16">
        <f>94.73/(1+B2)</f>
        <v>94.73</v>
      </c>
      <c r="D20409" s="17" t="s">
        <v>14</v>
      </c>
      <c r="E20409" s="17" t="s">
        <v>106</v>
      </c>
      <c r="F20409" s="18"/>
      <c r="G20409" s="36" t="str">
        <f>IF(ISNUMBER(F20409),C20409*F20409,"")</f>
        <v/>
      </c>
    </row>
    <row r="20410" spans="1:7" ht="12" customHeight="1" outlineLevel="3" x14ac:dyDescent="0.2">
      <c r="A20410" s="14" t="s">
        <v>40170</v>
      </c>
      <c r="B20410" s="15" t="s">
        <v>40171</v>
      </c>
      <c r="C20410" s="16">
        <f>121.43/(1+B2)</f>
        <v>121.43</v>
      </c>
      <c r="D20410" s="17" t="s">
        <v>11</v>
      </c>
      <c r="E20410" s="17" t="s">
        <v>106</v>
      </c>
      <c r="F20410" s="18"/>
      <c r="G20410" s="36" t="str">
        <f>IF(ISNUMBER(F20410),C20410*F20410,"")</f>
        <v/>
      </c>
    </row>
    <row r="20411" spans="1:7" ht="12" customHeight="1" outlineLevel="3" x14ac:dyDescent="0.2">
      <c r="A20411" s="14" t="s">
        <v>40172</v>
      </c>
      <c r="B20411" s="15" t="s">
        <v>40173</v>
      </c>
      <c r="C20411" s="16">
        <f>156.49/(1+B2)</f>
        <v>156.49</v>
      </c>
      <c r="D20411" s="17" t="s">
        <v>11</v>
      </c>
      <c r="E20411" s="17" t="s">
        <v>106</v>
      </c>
      <c r="F20411" s="18"/>
      <c r="G20411" s="36" t="str">
        <f>IF(ISNUMBER(F20411),C20411*F20411,"")</f>
        <v/>
      </c>
    </row>
    <row r="20412" spans="1:7" ht="12" customHeight="1" outlineLevel="3" x14ac:dyDescent="0.2">
      <c r="A20412" s="14" t="s">
        <v>40174</v>
      </c>
      <c r="B20412" s="15" t="s">
        <v>40175</v>
      </c>
      <c r="C20412" s="16">
        <f>223.33/(1+B2)</f>
        <v>223.33</v>
      </c>
      <c r="D20412" s="17" t="s">
        <v>11</v>
      </c>
      <c r="E20412" s="17" t="s">
        <v>106</v>
      </c>
      <c r="F20412" s="18"/>
      <c r="G20412" s="36" t="str">
        <f>IF(ISNUMBER(F20412),C20412*F20412,"")</f>
        <v/>
      </c>
    </row>
    <row r="20413" spans="1:7" ht="12" customHeight="1" outlineLevel="3" x14ac:dyDescent="0.2">
      <c r="A20413" s="14" t="s">
        <v>40176</v>
      </c>
      <c r="B20413" s="15" t="s">
        <v>40177</v>
      </c>
      <c r="C20413" s="16">
        <f>62.5/(1+B2)</f>
        <v>62.5</v>
      </c>
      <c r="D20413" s="17" t="s">
        <v>11</v>
      </c>
      <c r="E20413" s="17" t="s">
        <v>106</v>
      </c>
      <c r="F20413" s="18"/>
      <c r="G20413" s="36" t="str">
        <f>IF(ISNUMBER(F20413),C20413*F20413,"")</f>
        <v/>
      </c>
    </row>
    <row r="20414" spans="1:7" ht="12" customHeight="1" outlineLevel="3" x14ac:dyDescent="0.2">
      <c r="A20414" s="14" t="s">
        <v>40178</v>
      </c>
      <c r="B20414" s="15" t="s">
        <v>40179</v>
      </c>
      <c r="C20414" s="16">
        <f>72.4/(1+B2)</f>
        <v>72.400000000000006</v>
      </c>
      <c r="D20414" s="17" t="s">
        <v>11</v>
      </c>
      <c r="E20414" s="17" t="s">
        <v>106</v>
      </c>
      <c r="F20414" s="18"/>
      <c r="G20414" s="36" t="str">
        <f>IF(ISNUMBER(F20414),C20414*F20414,"")</f>
        <v/>
      </c>
    </row>
    <row r="20415" spans="1:7" ht="12" customHeight="1" outlineLevel="3" x14ac:dyDescent="0.2">
      <c r="A20415" s="14" t="s">
        <v>40180</v>
      </c>
      <c r="B20415" s="15" t="s">
        <v>40181</v>
      </c>
      <c r="C20415" s="16">
        <f>122.69/(1+B2)</f>
        <v>122.69</v>
      </c>
      <c r="D20415" s="17" t="s">
        <v>11</v>
      </c>
      <c r="E20415" s="17" t="s">
        <v>106</v>
      </c>
      <c r="F20415" s="18"/>
      <c r="G20415" s="36" t="str">
        <f>IF(ISNUMBER(F20415),C20415*F20415,"")</f>
        <v/>
      </c>
    </row>
    <row r="20416" spans="1:7" ht="12" customHeight="1" outlineLevel="3" x14ac:dyDescent="0.2">
      <c r="A20416" s="14" t="s">
        <v>40182</v>
      </c>
      <c r="B20416" s="15" t="s">
        <v>40183</v>
      </c>
      <c r="C20416" s="16">
        <f>156.56/(1+B2)</f>
        <v>156.56</v>
      </c>
      <c r="D20416" s="17" t="s">
        <v>11</v>
      </c>
      <c r="E20416" s="17" t="s">
        <v>14</v>
      </c>
      <c r="F20416" s="18"/>
      <c r="G20416" s="36" t="str">
        <f>IF(ISNUMBER(F20416),C20416*F20416,"")</f>
        <v/>
      </c>
    </row>
    <row r="20417" spans="1:7" ht="12" customHeight="1" outlineLevel="3" x14ac:dyDescent="0.2">
      <c r="A20417" s="14" t="s">
        <v>40184</v>
      </c>
      <c r="B20417" s="15" t="s">
        <v>40185</v>
      </c>
      <c r="C20417" s="16">
        <f>214.49/(1+B2)</f>
        <v>214.49</v>
      </c>
      <c r="D20417" s="17" t="s">
        <v>11</v>
      </c>
      <c r="E20417" s="17" t="s">
        <v>106</v>
      </c>
      <c r="F20417" s="18"/>
      <c r="G20417" s="36" t="str">
        <f>IF(ISNUMBER(F20417),C20417*F20417,"")</f>
        <v/>
      </c>
    </row>
    <row r="20418" spans="1:7" ht="12" customHeight="1" outlineLevel="3" x14ac:dyDescent="0.2">
      <c r="A20418" s="14" t="s">
        <v>40186</v>
      </c>
      <c r="B20418" s="15" t="s">
        <v>40187</v>
      </c>
      <c r="C20418" s="16">
        <f>304.5/(1+B2)</f>
        <v>304.5</v>
      </c>
      <c r="D20418" s="17" t="s">
        <v>11</v>
      </c>
      <c r="E20418" s="17" t="s">
        <v>53</v>
      </c>
      <c r="F20418" s="18"/>
      <c r="G20418" s="36" t="str">
        <f>IF(ISNUMBER(F20418),C20418*F20418,"")</f>
        <v/>
      </c>
    </row>
    <row r="20419" spans="1:7" ht="12" customHeight="1" outlineLevel="3" x14ac:dyDescent="0.2">
      <c r="A20419" s="14" t="s">
        <v>40188</v>
      </c>
      <c r="B20419" s="15" t="s">
        <v>40189</v>
      </c>
      <c r="C20419" s="16">
        <f>370.3/(1+B2)</f>
        <v>370.3</v>
      </c>
      <c r="D20419" s="17" t="s">
        <v>11</v>
      </c>
      <c r="E20419" s="17" t="s">
        <v>106</v>
      </c>
      <c r="F20419" s="18"/>
      <c r="G20419" s="36" t="str">
        <f>IF(ISNUMBER(F20419),C20419*F20419,"")</f>
        <v/>
      </c>
    </row>
    <row r="20420" spans="1:7" ht="12" customHeight="1" outlineLevel="3" x14ac:dyDescent="0.2">
      <c r="A20420" s="14" t="s">
        <v>40190</v>
      </c>
      <c r="B20420" s="15" t="s">
        <v>40191</v>
      </c>
      <c r="C20420" s="16">
        <f>557.43/(1+B2)</f>
        <v>557.42999999999995</v>
      </c>
      <c r="D20420" s="17" t="s">
        <v>11</v>
      </c>
      <c r="E20420" s="17" t="s">
        <v>106</v>
      </c>
      <c r="F20420" s="18"/>
      <c r="G20420" s="36" t="str">
        <f>IF(ISNUMBER(F20420),C20420*F20420,"")</f>
        <v/>
      </c>
    </row>
    <row r="20421" spans="1:7" ht="12" customHeight="1" outlineLevel="3" x14ac:dyDescent="0.2">
      <c r="A20421" s="14" t="s">
        <v>40192</v>
      </c>
      <c r="B20421" s="15" t="s">
        <v>40193</v>
      </c>
      <c r="C20421" s="16">
        <f>86.89/(1+B2)</f>
        <v>86.89</v>
      </c>
      <c r="D20421" s="17"/>
      <c r="E20421" s="17" t="s">
        <v>106</v>
      </c>
      <c r="F20421" s="18"/>
      <c r="G20421" s="36" t="str">
        <f>IF(ISNUMBER(F20421),C20421*F20421,"")</f>
        <v/>
      </c>
    </row>
    <row r="20422" spans="1:7" ht="12" customHeight="1" outlineLevel="3" x14ac:dyDescent="0.2">
      <c r="A20422" s="14" t="s">
        <v>40194</v>
      </c>
      <c r="B20422" s="15" t="s">
        <v>40195</v>
      </c>
      <c r="C20422" s="16">
        <f>109.08/(1+B2)</f>
        <v>109.08</v>
      </c>
      <c r="D20422" s="17" t="s">
        <v>11</v>
      </c>
      <c r="E20422" s="17" t="s">
        <v>106</v>
      </c>
      <c r="F20422" s="18"/>
      <c r="G20422" s="36" t="str">
        <f>IF(ISNUMBER(F20422),C20422*F20422,"")</f>
        <v/>
      </c>
    </row>
    <row r="20423" spans="1:7" ht="12" customHeight="1" outlineLevel="3" x14ac:dyDescent="0.2">
      <c r="A20423" s="14" t="s">
        <v>40196</v>
      </c>
      <c r="B20423" s="15" t="s">
        <v>40197</v>
      </c>
      <c r="C20423" s="16">
        <f>164.24/(1+B2)</f>
        <v>164.24</v>
      </c>
      <c r="D20423" s="17" t="s">
        <v>11</v>
      </c>
      <c r="E20423" s="17" t="s">
        <v>106</v>
      </c>
      <c r="F20423" s="18"/>
      <c r="G20423" s="36" t="str">
        <f>IF(ISNUMBER(F20423),C20423*F20423,"")</f>
        <v/>
      </c>
    </row>
    <row r="20424" spans="1:7" ht="12" customHeight="1" outlineLevel="3" x14ac:dyDescent="0.2">
      <c r="A20424" s="14" t="s">
        <v>40198</v>
      </c>
      <c r="B20424" s="15" t="s">
        <v>40199</v>
      </c>
      <c r="C20424" s="16">
        <f>227.69/(1+B2)</f>
        <v>227.69</v>
      </c>
      <c r="D20424" s="17" t="s">
        <v>11</v>
      </c>
      <c r="E20424" s="17" t="s">
        <v>53</v>
      </c>
      <c r="F20424" s="18"/>
      <c r="G20424" s="36" t="str">
        <f>IF(ISNUMBER(F20424),C20424*F20424,"")</f>
        <v/>
      </c>
    </row>
    <row r="20425" spans="1:7" ht="12" customHeight="1" outlineLevel="3" x14ac:dyDescent="0.2">
      <c r="A20425" s="14" t="s">
        <v>40200</v>
      </c>
      <c r="B20425" s="15" t="s">
        <v>40201</v>
      </c>
      <c r="C20425" s="16">
        <f>265.85/(1+B2)</f>
        <v>265.85000000000002</v>
      </c>
      <c r="D20425" s="17" t="s">
        <v>11</v>
      </c>
      <c r="E20425" s="17" t="s">
        <v>106</v>
      </c>
      <c r="F20425" s="18"/>
      <c r="G20425" s="36" t="str">
        <f>IF(ISNUMBER(F20425),C20425*F20425,"")</f>
        <v/>
      </c>
    </row>
    <row r="20426" spans="1:7" ht="12" customHeight="1" outlineLevel="3" x14ac:dyDescent="0.2">
      <c r="A20426" s="14" t="s">
        <v>40202</v>
      </c>
      <c r="B20426" s="15" t="s">
        <v>40203</v>
      </c>
      <c r="C20426" s="16">
        <f>380.8/(1+B2)</f>
        <v>380.8</v>
      </c>
      <c r="D20426" s="17" t="s">
        <v>11</v>
      </c>
      <c r="E20426" s="17" t="s">
        <v>106</v>
      </c>
      <c r="F20426" s="18"/>
      <c r="G20426" s="36" t="str">
        <f>IF(ISNUMBER(F20426),C20426*F20426,"")</f>
        <v/>
      </c>
    </row>
    <row r="20427" spans="1:7" ht="12" customHeight="1" outlineLevel="3" x14ac:dyDescent="0.2">
      <c r="A20427" s="14" t="s">
        <v>40204</v>
      </c>
      <c r="B20427" s="15" t="s">
        <v>40205</v>
      </c>
      <c r="C20427" s="16">
        <f>443.81/(1+B2)</f>
        <v>443.81</v>
      </c>
      <c r="D20427" s="17" t="s">
        <v>11</v>
      </c>
      <c r="E20427" s="17" t="s">
        <v>106</v>
      </c>
      <c r="F20427" s="18"/>
      <c r="G20427" s="36" t="str">
        <f>IF(ISNUMBER(F20427),C20427*F20427,"")</f>
        <v/>
      </c>
    </row>
    <row r="20428" spans="1:7" ht="12" customHeight="1" outlineLevel="3" x14ac:dyDescent="0.2">
      <c r="A20428" s="14" t="s">
        <v>40206</v>
      </c>
      <c r="B20428" s="15" t="s">
        <v>40207</v>
      </c>
      <c r="C20428" s="16">
        <f>681.71/(1+B2)</f>
        <v>681.71</v>
      </c>
      <c r="D20428" s="17"/>
      <c r="E20428" s="17" t="s">
        <v>106</v>
      </c>
      <c r="F20428" s="18"/>
      <c r="G20428" s="36" t="str">
        <f>IF(ISNUMBER(F20428),C20428*F20428,"")</f>
        <v/>
      </c>
    </row>
    <row r="20429" spans="1:7" ht="12" customHeight="1" outlineLevel="3" x14ac:dyDescent="0.2">
      <c r="A20429" s="14" t="s">
        <v>40208</v>
      </c>
      <c r="B20429" s="15" t="s">
        <v>40209</v>
      </c>
      <c r="C20429" s="16">
        <f>95.54/(1+B2)</f>
        <v>95.54</v>
      </c>
      <c r="D20429" s="17" t="s">
        <v>11</v>
      </c>
      <c r="E20429" s="17"/>
      <c r="F20429" s="18"/>
      <c r="G20429" s="36" t="str">
        <f>IF(ISNUMBER(F20429),C20429*F20429,"")</f>
        <v/>
      </c>
    </row>
    <row r="20430" spans="1:7" s="1" customFormat="1" ht="15.95" customHeight="1" outlineLevel="1" x14ac:dyDescent="0.25">
      <c r="A20430" s="11"/>
      <c r="B20430" s="12" t="s">
        <v>40210</v>
      </c>
      <c r="C20430" s="13"/>
      <c r="D20430" s="13"/>
      <c r="E20430" s="13"/>
      <c r="F20430" s="13"/>
      <c r="G20430" s="35"/>
    </row>
    <row r="20431" spans="1:7" ht="12" customHeight="1" outlineLevel="2" x14ac:dyDescent="0.2">
      <c r="A20431" s="14" t="s">
        <v>40211</v>
      </c>
      <c r="B20431" s="15" t="s">
        <v>40212</v>
      </c>
      <c r="C20431" s="16">
        <f>149.78/(1+B2)</f>
        <v>149.78</v>
      </c>
      <c r="D20431" s="17" t="s">
        <v>11</v>
      </c>
      <c r="E20431" s="17"/>
      <c r="F20431" s="18"/>
      <c r="G20431" s="36" t="str">
        <f>IF(ISNUMBER(F20431),C20431*F20431,"")</f>
        <v/>
      </c>
    </row>
    <row r="20432" spans="1:7" ht="12" customHeight="1" outlineLevel="2" x14ac:dyDescent="0.2">
      <c r="A20432" s="14" t="s">
        <v>40213</v>
      </c>
      <c r="B20432" s="15" t="s">
        <v>40214</v>
      </c>
      <c r="C20432" s="16">
        <f>57.74/(1+B2)</f>
        <v>57.74</v>
      </c>
      <c r="D20432" s="17" t="s">
        <v>11</v>
      </c>
      <c r="E20432" s="17" t="s">
        <v>11</v>
      </c>
      <c r="F20432" s="18"/>
      <c r="G20432" s="36" t="str">
        <f>IF(ISNUMBER(F20432),C20432*F20432,"")</f>
        <v/>
      </c>
    </row>
    <row r="20433" spans="1:7" ht="12" customHeight="1" outlineLevel="2" x14ac:dyDescent="0.2">
      <c r="A20433" s="14" t="s">
        <v>40215</v>
      </c>
      <c r="B20433" s="15" t="s">
        <v>40216</v>
      </c>
      <c r="C20433" s="16">
        <f>50.68/(1+B2)</f>
        <v>50.68</v>
      </c>
      <c r="D20433" s="17" t="s">
        <v>11</v>
      </c>
      <c r="E20433" s="17" t="s">
        <v>53</v>
      </c>
      <c r="F20433" s="18"/>
      <c r="G20433" s="36" t="str">
        <f>IF(ISNUMBER(F20433),C20433*F20433,"")</f>
        <v/>
      </c>
    </row>
    <row r="20434" spans="1:7" ht="12" customHeight="1" outlineLevel="2" x14ac:dyDescent="0.2">
      <c r="A20434" s="14" t="s">
        <v>40217</v>
      </c>
      <c r="B20434" s="15" t="s">
        <v>40218</v>
      </c>
      <c r="C20434" s="16">
        <f>149.78/(1+B2)</f>
        <v>149.78</v>
      </c>
      <c r="D20434" s="17" t="s">
        <v>11</v>
      </c>
      <c r="E20434" s="17"/>
      <c r="F20434" s="18"/>
      <c r="G20434" s="36" t="str">
        <f>IF(ISNUMBER(F20434),C20434*F20434,"")</f>
        <v/>
      </c>
    </row>
    <row r="20435" spans="1:7" ht="12" customHeight="1" outlineLevel="2" x14ac:dyDescent="0.2">
      <c r="A20435" s="14" t="s">
        <v>40219</v>
      </c>
      <c r="B20435" s="15" t="s">
        <v>40220</v>
      </c>
      <c r="C20435" s="16">
        <f>61.1/(1+B2)</f>
        <v>61.1</v>
      </c>
      <c r="D20435" s="17" t="s">
        <v>11</v>
      </c>
      <c r="E20435" s="17" t="s">
        <v>11</v>
      </c>
      <c r="F20435" s="18"/>
      <c r="G20435" s="36" t="str">
        <f>IF(ISNUMBER(F20435),C20435*F20435,"")</f>
        <v/>
      </c>
    </row>
    <row r="20436" spans="1:7" ht="12" customHeight="1" outlineLevel="2" x14ac:dyDescent="0.2">
      <c r="A20436" s="14" t="s">
        <v>40221</v>
      </c>
      <c r="B20436" s="15" t="s">
        <v>40222</v>
      </c>
      <c r="C20436" s="16">
        <f>169.94/(1+B2)</f>
        <v>169.94</v>
      </c>
      <c r="D20436" s="17" t="s">
        <v>14</v>
      </c>
      <c r="E20436" s="17"/>
      <c r="F20436" s="18"/>
      <c r="G20436" s="36" t="str">
        <f>IF(ISNUMBER(F20436),C20436*F20436,"")</f>
        <v/>
      </c>
    </row>
    <row r="20437" spans="1:7" ht="12" customHeight="1" outlineLevel="2" x14ac:dyDescent="0.2">
      <c r="A20437" s="14" t="s">
        <v>40223</v>
      </c>
      <c r="B20437" s="15" t="s">
        <v>40224</v>
      </c>
      <c r="C20437" s="16">
        <f>39.14/(1+B2)</f>
        <v>39.14</v>
      </c>
      <c r="D20437" s="17" t="s">
        <v>11</v>
      </c>
      <c r="E20437" s="17" t="s">
        <v>11</v>
      </c>
      <c r="F20437" s="18"/>
      <c r="G20437" s="36" t="str">
        <f>IF(ISNUMBER(F20437),C20437*F20437,"")</f>
        <v/>
      </c>
    </row>
    <row r="20438" spans="1:7" ht="12" customHeight="1" outlineLevel="2" x14ac:dyDescent="0.2">
      <c r="A20438" s="14" t="s">
        <v>40225</v>
      </c>
      <c r="B20438" s="15" t="s">
        <v>40226</v>
      </c>
      <c r="C20438" s="16">
        <f>91.26/(1+B2)</f>
        <v>91.26</v>
      </c>
      <c r="D20438" s="17" t="s">
        <v>11</v>
      </c>
      <c r="E20438" s="17"/>
      <c r="F20438" s="18"/>
      <c r="G20438" s="36" t="str">
        <f>IF(ISNUMBER(F20438),C20438*F20438,"")</f>
        <v/>
      </c>
    </row>
    <row r="20439" spans="1:7" ht="12" customHeight="1" outlineLevel="2" x14ac:dyDescent="0.2">
      <c r="A20439" s="14" t="s">
        <v>40227</v>
      </c>
      <c r="B20439" s="15" t="s">
        <v>40228</v>
      </c>
      <c r="C20439" s="16">
        <f>90.39/(1+B2)</f>
        <v>90.39</v>
      </c>
      <c r="D20439" s="17" t="s">
        <v>11</v>
      </c>
      <c r="E20439" s="17"/>
      <c r="F20439" s="18"/>
      <c r="G20439" s="36" t="str">
        <f>IF(ISNUMBER(F20439),C20439*F20439,"")</f>
        <v/>
      </c>
    </row>
    <row r="20440" spans="1:7" ht="12" customHeight="1" outlineLevel="2" x14ac:dyDescent="0.2">
      <c r="A20440" s="14" t="s">
        <v>40229</v>
      </c>
      <c r="B20440" s="15" t="s">
        <v>40230</v>
      </c>
      <c r="C20440" s="16">
        <f>169.94/(1+B2)</f>
        <v>169.94</v>
      </c>
      <c r="D20440" s="17" t="s">
        <v>11</v>
      </c>
      <c r="E20440" s="17"/>
      <c r="F20440" s="18"/>
      <c r="G20440" s="36" t="str">
        <f>IF(ISNUMBER(F20440),C20440*F20440,"")</f>
        <v/>
      </c>
    </row>
    <row r="20441" spans="1:7" ht="12" customHeight="1" outlineLevel="2" x14ac:dyDescent="0.2">
      <c r="A20441" s="14" t="s">
        <v>40231</v>
      </c>
      <c r="B20441" s="15" t="s">
        <v>40232</v>
      </c>
      <c r="C20441" s="16">
        <f>109.41/(1+B2)</f>
        <v>109.41</v>
      </c>
      <c r="D20441" s="17" t="s">
        <v>11</v>
      </c>
      <c r="E20441" s="17" t="s">
        <v>11</v>
      </c>
      <c r="F20441" s="18"/>
      <c r="G20441" s="36" t="str">
        <f>IF(ISNUMBER(F20441),C20441*F20441,"")</f>
        <v/>
      </c>
    </row>
    <row r="20442" spans="1:7" ht="12" customHeight="1" outlineLevel="2" x14ac:dyDescent="0.2">
      <c r="A20442" s="14" t="s">
        <v>40233</v>
      </c>
      <c r="B20442" s="15" t="s">
        <v>40234</v>
      </c>
      <c r="C20442" s="16">
        <f>77/(1+B2)</f>
        <v>77</v>
      </c>
      <c r="D20442" s="17" t="s">
        <v>11</v>
      </c>
      <c r="E20442" s="17"/>
      <c r="F20442" s="18"/>
      <c r="G20442" s="36" t="str">
        <f>IF(ISNUMBER(F20442),C20442*F20442,"")</f>
        <v/>
      </c>
    </row>
    <row r="20443" spans="1:7" ht="12" customHeight="1" outlineLevel="2" x14ac:dyDescent="0.2">
      <c r="A20443" s="14" t="s">
        <v>40235</v>
      </c>
      <c r="B20443" s="15" t="s">
        <v>40236</v>
      </c>
      <c r="C20443" s="16">
        <f>55.91/(1+B2)</f>
        <v>55.91</v>
      </c>
      <c r="D20443" s="17" t="s">
        <v>11</v>
      </c>
      <c r="E20443" s="17"/>
      <c r="F20443" s="18"/>
      <c r="G20443" s="36" t="str">
        <f>IF(ISNUMBER(F20443),C20443*F20443,"")</f>
        <v/>
      </c>
    </row>
    <row r="20444" spans="1:7" ht="12" customHeight="1" outlineLevel="2" x14ac:dyDescent="0.2">
      <c r="A20444" s="14" t="s">
        <v>40237</v>
      </c>
      <c r="B20444" s="15" t="s">
        <v>40238</v>
      </c>
      <c r="C20444" s="16">
        <f>72.02/(1+B2)</f>
        <v>72.02</v>
      </c>
      <c r="D20444" s="17" t="s">
        <v>11</v>
      </c>
      <c r="E20444" s="17" t="s">
        <v>14</v>
      </c>
      <c r="F20444" s="18"/>
      <c r="G20444" s="36" t="str">
        <f>IF(ISNUMBER(F20444),C20444*F20444,"")</f>
        <v/>
      </c>
    </row>
    <row r="20445" spans="1:7" ht="12" customHeight="1" outlineLevel="2" x14ac:dyDescent="0.2">
      <c r="A20445" s="14" t="s">
        <v>40239</v>
      </c>
      <c r="B20445" s="15" t="s">
        <v>40240</v>
      </c>
      <c r="C20445" s="16">
        <f>82.98/(1+B2)</f>
        <v>82.98</v>
      </c>
      <c r="D20445" s="17" t="s">
        <v>11</v>
      </c>
      <c r="E20445" s="17" t="s">
        <v>14</v>
      </c>
      <c r="F20445" s="18"/>
      <c r="G20445" s="36" t="str">
        <f>IF(ISNUMBER(F20445),C20445*F20445,"")</f>
        <v/>
      </c>
    </row>
    <row r="20446" spans="1:7" ht="12" customHeight="1" outlineLevel="2" x14ac:dyDescent="0.2">
      <c r="A20446" s="14" t="s">
        <v>40241</v>
      </c>
      <c r="B20446" s="15" t="s">
        <v>40242</v>
      </c>
      <c r="C20446" s="16">
        <f>93.73/(1+B2)</f>
        <v>93.73</v>
      </c>
      <c r="D20446" s="17" t="s">
        <v>11</v>
      </c>
      <c r="E20446" s="17" t="s">
        <v>14</v>
      </c>
      <c r="F20446" s="18"/>
      <c r="G20446" s="36" t="str">
        <f>IF(ISNUMBER(F20446),C20446*F20446,"")</f>
        <v/>
      </c>
    </row>
    <row r="20447" spans="1:7" ht="12" customHeight="1" outlineLevel="2" x14ac:dyDescent="0.2">
      <c r="A20447" s="14" t="s">
        <v>40243</v>
      </c>
      <c r="B20447" s="15" t="s">
        <v>40244</v>
      </c>
      <c r="C20447" s="16">
        <f>76.14/(1+B2)</f>
        <v>76.14</v>
      </c>
      <c r="D20447" s="17" t="s">
        <v>11</v>
      </c>
      <c r="E20447" s="17"/>
      <c r="F20447" s="18"/>
      <c r="G20447" s="36" t="str">
        <f>IF(ISNUMBER(F20447),C20447*F20447,"")</f>
        <v/>
      </c>
    </row>
    <row r="20448" spans="1:7" ht="12" customHeight="1" outlineLevel="2" x14ac:dyDescent="0.2">
      <c r="A20448" s="14" t="s">
        <v>40245</v>
      </c>
      <c r="B20448" s="15" t="s">
        <v>40246</v>
      </c>
      <c r="C20448" s="16">
        <f>31.39/(1+B2)</f>
        <v>31.39</v>
      </c>
      <c r="D20448" s="17" t="s">
        <v>11</v>
      </c>
      <c r="E20448" s="17"/>
      <c r="F20448" s="18"/>
      <c r="G20448" s="36" t="str">
        <f>IF(ISNUMBER(F20448),C20448*F20448,"")</f>
        <v/>
      </c>
    </row>
    <row r="20449" spans="1:7" ht="12" customHeight="1" outlineLevel="2" x14ac:dyDescent="0.2">
      <c r="A20449" s="14" t="s">
        <v>40247</v>
      </c>
      <c r="B20449" s="15" t="s">
        <v>40248</v>
      </c>
      <c r="C20449" s="16">
        <f>43.56/(1+B2)</f>
        <v>43.56</v>
      </c>
      <c r="D20449" s="17" t="s">
        <v>53</v>
      </c>
      <c r="E20449" s="17"/>
      <c r="F20449" s="18"/>
      <c r="G20449" s="36" t="str">
        <f>IF(ISNUMBER(F20449),C20449*F20449,"")</f>
        <v/>
      </c>
    </row>
    <row r="20450" spans="1:7" ht="12" customHeight="1" outlineLevel="2" x14ac:dyDescent="0.2">
      <c r="A20450" s="14" t="s">
        <v>40249</v>
      </c>
      <c r="B20450" s="15" t="s">
        <v>40250</v>
      </c>
      <c r="C20450" s="16">
        <f>71.91/(1+B2)</f>
        <v>71.91</v>
      </c>
      <c r="D20450" s="17" t="s">
        <v>53</v>
      </c>
      <c r="E20450" s="17"/>
      <c r="F20450" s="18"/>
      <c r="G20450" s="36" t="str">
        <f>IF(ISNUMBER(F20450),C20450*F20450,"")</f>
        <v/>
      </c>
    </row>
    <row r="20451" spans="1:7" ht="12" customHeight="1" outlineLevel="2" x14ac:dyDescent="0.2">
      <c r="A20451" s="14" t="s">
        <v>40251</v>
      </c>
      <c r="B20451" s="15" t="s">
        <v>40252</v>
      </c>
      <c r="C20451" s="16">
        <f>52.64/(1+B2)</f>
        <v>52.64</v>
      </c>
      <c r="D20451" s="17" t="s">
        <v>14</v>
      </c>
      <c r="E20451" s="17"/>
      <c r="F20451" s="18"/>
      <c r="G20451" s="36" t="str">
        <f>IF(ISNUMBER(F20451),C20451*F20451,"")</f>
        <v/>
      </c>
    </row>
    <row r="20452" spans="1:7" s="1" customFormat="1" ht="15.95" customHeight="1" outlineLevel="1" x14ac:dyDescent="0.25">
      <c r="A20452" s="11"/>
      <c r="B20452" s="12" t="s">
        <v>40253</v>
      </c>
      <c r="C20452" s="13"/>
      <c r="D20452" s="13"/>
      <c r="E20452" s="13"/>
      <c r="F20452" s="13"/>
      <c r="G20452" s="35"/>
    </row>
    <row r="20453" spans="1:7" ht="12" customHeight="1" outlineLevel="2" x14ac:dyDescent="0.2">
      <c r="A20453" s="14" t="s">
        <v>40254</v>
      </c>
      <c r="B20453" s="15" t="s">
        <v>40255</v>
      </c>
      <c r="C20453" s="16">
        <f>74.75/(1+B2)</f>
        <v>74.75</v>
      </c>
      <c r="D20453" s="17" t="s">
        <v>11</v>
      </c>
      <c r="E20453" s="17" t="s">
        <v>53</v>
      </c>
      <c r="F20453" s="18"/>
      <c r="G20453" s="36" t="str">
        <f>IF(ISNUMBER(F20453),C20453*F20453,"")</f>
        <v/>
      </c>
    </row>
    <row r="20454" spans="1:7" ht="12" customHeight="1" outlineLevel="2" x14ac:dyDescent="0.2">
      <c r="A20454" s="14" t="s">
        <v>40256</v>
      </c>
      <c r="B20454" s="15" t="s">
        <v>40257</v>
      </c>
      <c r="C20454" s="16">
        <f>67.28/(1+B2)</f>
        <v>67.28</v>
      </c>
      <c r="D20454" s="17" t="s">
        <v>11</v>
      </c>
      <c r="E20454" s="17" t="s">
        <v>14</v>
      </c>
      <c r="F20454" s="18"/>
      <c r="G20454" s="36" t="str">
        <f>IF(ISNUMBER(F20454),C20454*F20454,"")</f>
        <v/>
      </c>
    </row>
    <row r="20455" spans="1:7" ht="12" customHeight="1" outlineLevel="2" x14ac:dyDescent="0.2">
      <c r="A20455" s="14" t="s">
        <v>40258</v>
      </c>
      <c r="B20455" s="15" t="s">
        <v>40259</v>
      </c>
      <c r="C20455" s="16">
        <f>19.31/(1+B2)</f>
        <v>19.309999999999999</v>
      </c>
      <c r="D20455" s="17" t="s">
        <v>11</v>
      </c>
      <c r="E20455" s="17"/>
      <c r="F20455" s="18"/>
      <c r="G20455" s="36" t="str">
        <f>IF(ISNUMBER(F20455),C20455*F20455,"")</f>
        <v/>
      </c>
    </row>
    <row r="20456" spans="1:7" ht="12" customHeight="1" outlineLevel="2" x14ac:dyDescent="0.2">
      <c r="A20456" s="14" t="s">
        <v>40260</v>
      </c>
      <c r="B20456" s="15" t="s">
        <v>40261</v>
      </c>
      <c r="C20456" s="16">
        <f>62.31/(1+B2)</f>
        <v>62.31</v>
      </c>
      <c r="D20456" s="17" t="s">
        <v>11</v>
      </c>
      <c r="E20456" s="17" t="s">
        <v>11</v>
      </c>
      <c r="F20456" s="18"/>
      <c r="G20456" s="36" t="str">
        <f>IF(ISNUMBER(F20456),C20456*F20456,"")</f>
        <v/>
      </c>
    </row>
    <row r="20457" spans="1:7" ht="12" customHeight="1" outlineLevel="2" x14ac:dyDescent="0.2">
      <c r="A20457" s="14" t="s">
        <v>40262</v>
      </c>
      <c r="B20457" s="15" t="s">
        <v>40263</v>
      </c>
      <c r="C20457" s="16">
        <f>86.63/(1+B2)</f>
        <v>86.63</v>
      </c>
      <c r="D20457" s="17" t="s">
        <v>14</v>
      </c>
      <c r="E20457" s="17"/>
      <c r="F20457" s="18"/>
      <c r="G20457" s="36" t="str">
        <f>IF(ISNUMBER(F20457),C20457*F20457,"")</f>
        <v/>
      </c>
    </row>
    <row r="20458" spans="1:7" ht="12" customHeight="1" outlineLevel="2" x14ac:dyDescent="0.2">
      <c r="A20458" s="14" t="s">
        <v>40264</v>
      </c>
      <c r="B20458" s="15" t="s">
        <v>40265</v>
      </c>
      <c r="C20458" s="16">
        <f>46.39/(1+B2)</f>
        <v>46.39</v>
      </c>
      <c r="D20458" s="17" t="s">
        <v>11</v>
      </c>
      <c r="E20458" s="17"/>
      <c r="F20458" s="18"/>
      <c r="G20458" s="36" t="str">
        <f>IF(ISNUMBER(F20458),C20458*F20458,"")</f>
        <v/>
      </c>
    </row>
    <row r="20459" spans="1:7" ht="12" customHeight="1" outlineLevel="2" x14ac:dyDescent="0.2">
      <c r="A20459" s="14" t="s">
        <v>40266</v>
      </c>
      <c r="B20459" s="15" t="s">
        <v>40267</v>
      </c>
      <c r="C20459" s="16">
        <f>53.01/(1+B2)</f>
        <v>53.01</v>
      </c>
      <c r="D20459" s="17" t="s">
        <v>11</v>
      </c>
      <c r="E20459" s="17"/>
      <c r="F20459" s="18"/>
      <c r="G20459" s="36" t="str">
        <f>IF(ISNUMBER(F20459),C20459*F20459,"")</f>
        <v/>
      </c>
    </row>
    <row r="20460" spans="1:7" ht="12" customHeight="1" outlineLevel="2" x14ac:dyDescent="0.2">
      <c r="A20460" s="14" t="s">
        <v>40268</v>
      </c>
      <c r="B20460" s="15" t="s">
        <v>40269</v>
      </c>
      <c r="C20460" s="16">
        <f>27.83/(1+B2)</f>
        <v>27.83</v>
      </c>
      <c r="D20460" s="17"/>
      <c r="E20460" s="17" t="s">
        <v>53</v>
      </c>
      <c r="F20460" s="18"/>
      <c r="G20460" s="36" t="str">
        <f>IF(ISNUMBER(F20460),C20460*F20460,"")</f>
        <v/>
      </c>
    </row>
    <row r="20461" spans="1:7" ht="12" customHeight="1" outlineLevel="2" x14ac:dyDescent="0.2">
      <c r="A20461" s="14" t="s">
        <v>40270</v>
      </c>
      <c r="B20461" s="15" t="s">
        <v>40271</v>
      </c>
      <c r="C20461" s="16">
        <f>52.33/(1+B2)</f>
        <v>52.33</v>
      </c>
      <c r="D20461" s="17" t="s">
        <v>53</v>
      </c>
      <c r="E20461" s="17" t="s">
        <v>106</v>
      </c>
      <c r="F20461" s="18"/>
      <c r="G20461" s="36" t="str">
        <f>IF(ISNUMBER(F20461),C20461*F20461,"")</f>
        <v/>
      </c>
    </row>
    <row r="20462" spans="1:7" ht="12" customHeight="1" outlineLevel="2" x14ac:dyDescent="0.2">
      <c r="A20462" s="14" t="s">
        <v>40272</v>
      </c>
      <c r="B20462" s="15" t="s">
        <v>40273</v>
      </c>
      <c r="C20462" s="16">
        <f>40.4/(1+B2)</f>
        <v>40.4</v>
      </c>
      <c r="D20462" s="17" t="s">
        <v>53</v>
      </c>
      <c r="E20462" s="17" t="s">
        <v>14</v>
      </c>
      <c r="F20462" s="18"/>
      <c r="G20462" s="36" t="str">
        <f>IF(ISNUMBER(F20462),C20462*F20462,"")</f>
        <v/>
      </c>
    </row>
    <row r="20463" spans="1:7" ht="12" customHeight="1" outlineLevel="2" x14ac:dyDescent="0.2">
      <c r="A20463" s="14" t="s">
        <v>40274</v>
      </c>
      <c r="B20463" s="15" t="s">
        <v>40275</v>
      </c>
      <c r="C20463" s="16">
        <f>38.13/(1+B2)</f>
        <v>38.130000000000003</v>
      </c>
      <c r="D20463" s="17" t="s">
        <v>14</v>
      </c>
      <c r="E20463" s="17"/>
      <c r="F20463" s="18"/>
      <c r="G20463" s="36" t="str">
        <f>IF(ISNUMBER(F20463),C20463*F20463,"")</f>
        <v/>
      </c>
    </row>
    <row r="20464" spans="1:7" ht="12" customHeight="1" outlineLevel="2" x14ac:dyDescent="0.2">
      <c r="A20464" s="14" t="s">
        <v>40276</v>
      </c>
      <c r="B20464" s="15" t="s">
        <v>40277</v>
      </c>
      <c r="C20464" s="16">
        <f>40.38/(1+B2)</f>
        <v>40.380000000000003</v>
      </c>
      <c r="D20464" s="17" t="s">
        <v>53</v>
      </c>
      <c r="E20464" s="17" t="s">
        <v>14</v>
      </c>
      <c r="F20464" s="18"/>
      <c r="G20464" s="36" t="str">
        <f>IF(ISNUMBER(F20464),C20464*F20464,"")</f>
        <v/>
      </c>
    </row>
    <row r="20465" spans="1:7" ht="12" customHeight="1" outlineLevel="2" x14ac:dyDescent="0.2">
      <c r="A20465" s="14" t="s">
        <v>40278</v>
      </c>
      <c r="B20465" s="15" t="s">
        <v>40279</v>
      </c>
      <c r="C20465" s="16">
        <f>14.21/(1+B2)</f>
        <v>14.21</v>
      </c>
      <c r="D20465" s="17" t="s">
        <v>53</v>
      </c>
      <c r="E20465" s="17" t="s">
        <v>106</v>
      </c>
      <c r="F20465" s="18"/>
      <c r="G20465" s="36" t="str">
        <f>IF(ISNUMBER(F20465),C20465*F20465,"")</f>
        <v/>
      </c>
    </row>
    <row r="20466" spans="1:7" ht="12" customHeight="1" outlineLevel="2" x14ac:dyDescent="0.2">
      <c r="A20466" s="14" t="s">
        <v>40280</v>
      </c>
      <c r="B20466" s="15" t="s">
        <v>40281</v>
      </c>
      <c r="C20466" s="16">
        <f>41.11/(1+B2)</f>
        <v>41.11</v>
      </c>
      <c r="D20466" s="17" t="s">
        <v>14</v>
      </c>
      <c r="E20466" s="17" t="s">
        <v>106</v>
      </c>
      <c r="F20466" s="18"/>
      <c r="G20466" s="36" t="str">
        <f>IF(ISNUMBER(F20466),C20466*F20466,"")</f>
        <v/>
      </c>
    </row>
    <row r="20467" spans="1:7" ht="12" customHeight="1" outlineLevel="2" x14ac:dyDescent="0.2">
      <c r="A20467" s="14" t="s">
        <v>40282</v>
      </c>
      <c r="B20467" s="15" t="s">
        <v>40283</v>
      </c>
      <c r="C20467" s="16">
        <f>10/(1+B2)</f>
        <v>10</v>
      </c>
      <c r="D20467" s="17" t="s">
        <v>14</v>
      </c>
      <c r="E20467" s="17" t="s">
        <v>14</v>
      </c>
      <c r="F20467" s="18"/>
      <c r="G20467" s="36" t="str">
        <f>IF(ISNUMBER(F20467),C20467*F20467,"")</f>
        <v/>
      </c>
    </row>
    <row r="20468" spans="1:7" ht="12" customHeight="1" outlineLevel="2" x14ac:dyDescent="0.2">
      <c r="A20468" s="14" t="s">
        <v>40284</v>
      </c>
      <c r="B20468" s="15" t="s">
        <v>40285</v>
      </c>
      <c r="C20468" s="16">
        <f>115.71/(1+B2)</f>
        <v>115.71</v>
      </c>
      <c r="D20468" s="17" t="s">
        <v>11</v>
      </c>
      <c r="E20468" s="17" t="s">
        <v>11</v>
      </c>
      <c r="F20468" s="18"/>
      <c r="G20468" s="36" t="str">
        <f>IF(ISNUMBER(F20468),C20468*F20468,"")</f>
        <v/>
      </c>
    </row>
    <row r="20469" spans="1:7" ht="12" customHeight="1" outlineLevel="2" x14ac:dyDescent="0.2">
      <c r="A20469" s="14" t="s">
        <v>40286</v>
      </c>
      <c r="B20469" s="15" t="s">
        <v>40287</v>
      </c>
      <c r="C20469" s="16">
        <f>25.23/(1+B2)</f>
        <v>25.23</v>
      </c>
      <c r="D20469" s="17" t="s">
        <v>14</v>
      </c>
      <c r="E20469" s="17"/>
      <c r="F20469" s="18"/>
      <c r="G20469" s="36" t="str">
        <f>IF(ISNUMBER(F20469),C20469*F20469,"")</f>
        <v/>
      </c>
    </row>
    <row r="20470" spans="1:7" ht="12" customHeight="1" outlineLevel="2" x14ac:dyDescent="0.2">
      <c r="A20470" s="14" t="s">
        <v>40288</v>
      </c>
      <c r="B20470" s="15" t="s">
        <v>40289</v>
      </c>
      <c r="C20470" s="16">
        <f>3.79/(1+B2)</f>
        <v>3.79</v>
      </c>
      <c r="D20470" s="17" t="s">
        <v>11</v>
      </c>
      <c r="E20470" s="17" t="s">
        <v>106</v>
      </c>
      <c r="F20470" s="18"/>
      <c r="G20470" s="36" t="str">
        <f>IF(ISNUMBER(F20470),C20470*F20470,"")</f>
        <v/>
      </c>
    </row>
    <row r="20471" spans="1:7" ht="12" customHeight="1" outlineLevel="2" x14ac:dyDescent="0.2">
      <c r="A20471" s="14" t="s">
        <v>40290</v>
      </c>
      <c r="B20471" s="15" t="s">
        <v>40291</v>
      </c>
      <c r="C20471" s="16">
        <f>15.04/(1+B2)</f>
        <v>15.04</v>
      </c>
      <c r="D20471" s="17" t="s">
        <v>11</v>
      </c>
      <c r="E20471" s="17"/>
      <c r="F20471" s="18"/>
      <c r="G20471" s="36" t="str">
        <f>IF(ISNUMBER(F20471),C20471*F20471,"")</f>
        <v/>
      </c>
    </row>
    <row r="20472" spans="1:7" ht="12" customHeight="1" outlineLevel="2" x14ac:dyDescent="0.2">
      <c r="A20472" s="14" t="s">
        <v>40292</v>
      </c>
      <c r="B20472" s="15" t="s">
        <v>40293</v>
      </c>
      <c r="C20472" s="16">
        <f>68.93/(1+B2)</f>
        <v>68.930000000000007</v>
      </c>
      <c r="D20472" s="17" t="s">
        <v>14</v>
      </c>
      <c r="E20472" s="17"/>
      <c r="F20472" s="18"/>
      <c r="G20472" s="36" t="str">
        <f>IF(ISNUMBER(F20472),C20472*F20472,"")</f>
        <v/>
      </c>
    </row>
    <row r="20473" spans="1:7" ht="12" customHeight="1" outlineLevel="2" x14ac:dyDescent="0.2">
      <c r="A20473" s="14" t="s">
        <v>40294</v>
      </c>
      <c r="B20473" s="15" t="s">
        <v>40295</v>
      </c>
      <c r="C20473" s="16">
        <f>16.8/(1+B2)</f>
        <v>16.8</v>
      </c>
      <c r="D20473" s="17" t="s">
        <v>11</v>
      </c>
      <c r="E20473" s="17" t="s">
        <v>53</v>
      </c>
      <c r="F20473" s="18"/>
      <c r="G20473" s="36" t="str">
        <f>IF(ISNUMBER(F20473),C20473*F20473,"")</f>
        <v/>
      </c>
    </row>
    <row r="20474" spans="1:7" ht="12" customHeight="1" outlineLevel="2" x14ac:dyDescent="0.2">
      <c r="A20474" s="14" t="s">
        <v>40296</v>
      </c>
      <c r="B20474" s="15" t="s">
        <v>40297</v>
      </c>
      <c r="C20474" s="16">
        <f>63.83/(1+B2)</f>
        <v>63.83</v>
      </c>
      <c r="D20474" s="17" t="s">
        <v>11</v>
      </c>
      <c r="E20474" s="17" t="s">
        <v>11</v>
      </c>
      <c r="F20474" s="18"/>
      <c r="G20474" s="36" t="str">
        <f>IF(ISNUMBER(F20474),C20474*F20474,"")</f>
        <v/>
      </c>
    </row>
    <row r="20475" spans="1:7" ht="12" customHeight="1" outlineLevel="2" x14ac:dyDescent="0.2">
      <c r="A20475" s="14" t="s">
        <v>40298</v>
      </c>
      <c r="B20475" s="15" t="s">
        <v>40299</v>
      </c>
      <c r="C20475" s="16">
        <f>102.9/(1+B2)</f>
        <v>102.9</v>
      </c>
      <c r="D20475" s="17" t="s">
        <v>11</v>
      </c>
      <c r="E20475" s="17"/>
      <c r="F20475" s="18"/>
      <c r="G20475" s="36" t="str">
        <f>IF(ISNUMBER(F20475),C20475*F20475,"")</f>
        <v/>
      </c>
    </row>
    <row r="20476" spans="1:7" ht="12" customHeight="1" outlineLevel="2" x14ac:dyDescent="0.2">
      <c r="A20476" s="14" t="s">
        <v>40300</v>
      </c>
      <c r="B20476" s="15" t="s">
        <v>40301</v>
      </c>
      <c r="C20476" s="16">
        <f>118.51/(1+B2)</f>
        <v>118.51</v>
      </c>
      <c r="D20476" s="17" t="s">
        <v>11</v>
      </c>
      <c r="E20476" s="17"/>
      <c r="F20476" s="18"/>
      <c r="G20476" s="36" t="str">
        <f>IF(ISNUMBER(F20476),C20476*F20476,"")</f>
        <v/>
      </c>
    </row>
    <row r="20477" spans="1:7" ht="12" customHeight="1" outlineLevel="2" x14ac:dyDescent="0.2">
      <c r="A20477" s="14" t="s">
        <v>40302</v>
      </c>
      <c r="B20477" s="15" t="s">
        <v>40303</v>
      </c>
      <c r="C20477" s="16">
        <f>16.5/(1+B2)</f>
        <v>16.5</v>
      </c>
      <c r="D20477" s="17" t="s">
        <v>53</v>
      </c>
      <c r="E20477" s="17"/>
      <c r="F20477" s="18"/>
      <c r="G20477" s="36" t="str">
        <f>IF(ISNUMBER(F20477),C20477*F20477,"")</f>
        <v/>
      </c>
    </row>
    <row r="20478" spans="1:7" ht="12" customHeight="1" outlineLevel="2" x14ac:dyDescent="0.2">
      <c r="A20478" s="14" t="s">
        <v>40304</v>
      </c>
      <c r="B20478" s="15" t="s">
        <v>40305</v>
      </c>
      <c r="C20478" s="16">
        <f>12.92/(1+B2)</f>
        <v>12.92</v>
      </c>
      <c r="D20478" s="17" t="s">
        <v>53</v>
      </c>
      <c r="E20478" s="17" t="s">
        <v>106</v>
      </c>
      <c r="F20478" s="18"/>
      <c r="G20478" s="36" t="str">
        <f>IF(ISNUMBER(F20478),C20478*F20478,"")</f>
        <v/>
      </c>
    </row>
    <row r="20479" spans="1:7" ht="12" customHeight="1" outlineLevel="2" x14ac:dyDescent="0.2">
      <c r="A20479" s="14" t="s">
        <v>40306</v>
      </c>
      <c r="B20479" s="15" t="s">
        <v>40307</v>
      </c>
      <c r="C20479" s="16">
        <f>181.03/(1+B2)</f>
        <v>181.03</v>
      </c>
      <c r="D20479" s="17" t="s">
        <v>14</v>
      </c>
      <c r="E20479" s="17"/>
      <c r="F20479" s="18"/>
      <c r="G20479" s="36" t="str">
        <f>IF(ISNUMBER(F20479),C20479*F20479,"")</f>
        <v/>
      </c>
    </row>
    <row r="20480" spans="1:7" ht="12" customHeight="1" outlineLevel="2" x14ac:dyDescent="0.2">
      <c r="A20480" s="14" t="s">
        <v>40308</v>
      </c>
      <c r="B20480" s="15" t="s">
        <v>40309</v>
      </c>
      <c r="C20480" s="16">
        <f>22.11/(1+B2)</f>
        <v>22.11</v>
      </c>
      <c r="D20480" s="17" t="s">
        <v>11</v>
      </c>
      <c r="E20480" s="17" t="s">
        <v>11</v>
      </c>
      <c r="F20480" s="18"/>
      <c r="G20480" s="36" t="str">
        <f>IF(ISNUMBER(F20480),C20480*F20480,"")</f>
        <v/>
      </c>
    </row>
    <row r="20481" spans="1:7" ht="12" customHeight="1" outlineLevel="2" x14ac:dyDescent="0.2">
      <c r="A20481" s="14" t="s">
        <v>40310</v>
      </c>
      <c r="B20481" s="15" t="s">
        <v>40311</v>
      </c>
      <c r="C20481" s="16">
        <f>76.34/(1+B2)</f>
        <v>76.34</v>
      </c>
      <c r="D20481" s="17" t="s">
        <v>11</v>
      </c>
      <c r="E20481" s="17"/>
      <c r="F20481" s="18"/>
      <c r="G20481" s="36" t="str">
        <f>IF(ISNUMBER(F20481),C20481*F20481,"")</f>
        <v/>
      </c>
    </row>
    <row r="20482" spans="1:7" ht="12" customHeight="1" outlineLevel="2" x14ac:dyDescent="0.2">
      <c r="A20482" s="14" t="s">
        <v>40312</v>
      </c>
      <c r="B20482" s="15" t="s">
        <v>40313</v>
      </c>
      <c r="C20482" s="16">
        <f>87.28/(1+B2)</f>
        <v>87.28</v>
      </c>
      <c r="D20482" s="17" t="s">
        <v>11</v>
      </c>
      <c r="E20482" s="17"/>
      <c r="F20482" s="18"/>
      <c r="G20482" s="36" t="str">
        <f>IF(ISNUMBER(F20482),C20482*F20482,"")</f>
        <v/>
      </c>
    </row>
    <row r="20483" spans="1:7" ht="12" customHeight="1" outlineLevel="2" x14ac:dyDescent="0.2">
      <c r="A20483" s="14" t="s">
        <v>40314</v>
      </c>
      <c r="B20483" s="15" t="s">
        <v>40315</v>
      </c>
      <c r="C20483" s="16">
        <f>88.85/(1+B2)</f>
        <v>88.85</v>
      </c>
      <c r="D20483" s="17" t="s">
        <v>14</v>
      </c>
      <c r="E20483" s="17" t="s">
        <v>11</v>
      </c>
      <c r="F20483" s="18"/>
      <c r="G20483" s="36" t="str">
        <f>IF(ISNUMBER(F20483),C20483*F20483,"")</f>
        <v/>
      </c>
    </row>
    <row r="20484" spans="1:7" ht="12" customHeight="1" outlineLevel="2" x14ac:dyDescent="0.2">
      <c r="A20484" s="14" t="s">
        <v>40316</v>
      </c>
      <c r="B20484" s="15" t="s">
        <v>40317</v>
      </c>
      <c r="C20484" s="16">
        <f>54.84/(1+B2)</f>
        <v>54.84</v>
      </c>
      <c r="D20484" s="17" t="s">
        <v>11</v>
      </c>
      <c r="E20484" s="17" t="s">
        <v>14</v>
      </c>
      <c r="F20484" s="18"/>
      <c r="G20484" s="36" t="str">
        <f>IF(ISNUMBER(F20484),C20484*F20484,"")</f>
        <v/>
      </c>
    </row>
    <row r="20485" spans="1:7" ht="12" customHeight="1" outlineLevel="2" x14ac:dyDescent="0.2">
      <c r="A20485" s="14" t="s">
        <v>40318</v>
      </c>
      <c r="B20485" s="15" t="s">
        <v>40319</v>
      </c>
      <c r="C20485" s="16">
        <f>44.53/(1+B2)</f>
        <v>44.53</v>
      </c>
      <c r="D20485" s="17" t="s">
        <v>11</v>
      </c>
      <c r="E20485" s="17" t="s">
        <v>11</v>
      </c>
      <c r="F20485" s="18"/>
      <c r="G20485" s="36" t="str">
        <f>IF(ISNUMBER(F20485),C20485*F20485,"")</f>
        <v/>
      </c>
    </row>
    <row r="20486" spans="1:7" ht="12" customHeight="1" outlineLevel="2" x14ac:dyDescent="0.2">
      <c r="A20486" s="14" t="s">
        <v>40320</v>
      </c>
      <c r="B20486" s="15" t="s">
        <v>40321</v>
      </c>
      <c r="C20486" s="16">
        <f>51.41/(1+B2)</f>
        <v>51.41</v>
      </c>
      <c r="D20486" s="17" t="s">
        <v>14</v>
      </c>
      <c r="E20486" s="17"/>
      <c r="F20486" s="18"/>
      <c r="G20486" s="36" t="str">
        <f>IF(ISNUMBER(F20486),C20486*F20486,"")</f>
        <v/>
      </c>
    </row>
    <row r="20487" spans="1:7" ht="12" customHeight="1" outlineLevel="2" x14ac:dyDescent="0.2">
      <c r="A20487" s="14" t="s">
        <v>40322</v>
      </c>
      <c r="B20487" s="15" t="s">
        <v>40323</v>
      </c>
      <c r="C20487" s="16">
        <f>8.1/(1+B2)</f>
        <v>8.1</v>
      </c>
      <c r="D20487" s="17" t="s">
        <v>53</v>
      </c>
      <c r="E20487" s="17" t="s">
        <v>106</v>
      </c>
      <c r="F20487" s="18"/>
      <c r="G20487" s="36" t="str">
        <f>IF(ISNUMBER(F20487),C20487*F20487,"")</f>
        <v/>
      </c>
    </row>
    <row r="20488" spans="1:7" ht="12" customHeight="1" outlineLevel="2" x14ac:dyDescent="0.2">
      <c r="A20488" s="14" t="s">
        <v>40324</v>
      </c>
      <c r="B20488" s="15" t="s">
        <v>40325</v>
      </c>
      <c r="C20488" s="16">
        <f>49.88/(1+B2)</f>
        <v>49.88</v>
      </c>
      <c r="D20488" s="17" t="s">
        <v>11</v>
      </c>
      <c r="E20488" s="17"/>
      <c r="F20488" s="18"/>
      <c r="G20488" s="36" t="str">
        <f>IF(ISNUMBER(F20488),C20488*F20488,"")</f>
        <v/>
      </c>
    </row>
    <row r="20489" spans="1:7" ht="12" customHeight="1" outlineLevel="2" x14ac:dyDescent="0.2">
      <c r="A20489" s="14" t="s">
        <v>40326</v>
      </c>
      <c r="B20489" s="15" t="s">
        <v>40327</v>
      </c>
      <c r="C20489" s="16">
        <f>6.96/(1+B2)</f>
        <v>6.96</v>
      </c>
      <c r="D20489" s="17" t="s">
        <v>11</v>
      </c>
      <c r="E20489" s="17"/>
      <c r="F20489" s="18"/>
      <c r="G20489" s="36" t="str">
        <f>IF(ISNUMBER(F20489),C20489*F20489,"")</f>
        <v/>
      </c>
    </row>
    <row r="20490" spans="1:7" s="1" customFormat="1" ht="15.95" customHeight="1" outlineLevel="1" x14ac:dyDescent="0.25">
      <c r="A20490" s="11"/>
      <c r="B20490" s="12" t="s">
        <v>40328</v>
      </c>
      <c r="C20490" s="13"/>
      <c r="D20490" s="13"/>
      <c r="E20490" s="13"/>
      <c r="F20490" s="13"/>
      <c r="G20490" s="35"/>
    </row>
    <row r="20491" spans="1:7" ht="12" customHeight="1" outlineLevel="2" x14ac:dyDescent="0.2">
      <c r="A20491" s="14" t="s">
        <v>40329</v>
      </c>
      <c r="B20491" s="15" t="s">
        <v>40330</v>
      </c>
      <c r="C20491" s="16">
        <f>30.63/(1+B2)</f>
        <v>30.63</v>
      </c>
      <c r="D20491" s="17" t="s">
        <v>106</v>
      </c>
      <c r="E20491" s="17" t="s">
        <v>106</v>
      </c>
      <c r="F20491" s="18"/>
      <c r="G20491" s="36" t="str">
        <f>IF(ISNUMBER(F20491),C20491*F20491,"")</f>
        <v/>
      </c>
    </row>
    <row r="20492" spans="1:7" ht="12" customHeight="1" outlineLevel="2" x14ac:dyDescent="0.2">
      <c r="A20492" s="14" t="s">
        <v>40331</v>
      </c>
      <c r="B20492" s="15" t="s">
        <v>40332</v>
      </c>
      <c r="C20492" s="16">
        <f>36.91/(1+B2)</f>
        <v>36.909999999999997</v>
      </c>
      <c r="D20492" s="17" t="s">
        <v>53</v>
      </c>
      <c r="E20492" s="17" t="s">
        <v>14</v>
      </c>
      <c r="F20492" s="18"/>
      <c r="G20492" s="36" t="str">
        <f>IF(ISNUMBER(F20492),C20492*F20492,"")</f>
        <v/>
      </c>
    </row>
    <row r="20493" spans="1:7" ht="12" customHeight="1" outlineLevel="2" x14ac:dyDescent="0.2">
      <c r="A20493" s="14" t="s">
        <v>40333</v>
      </c>
      <c r="B20493" s="15" t="s">
        <v>40334</v>
      </c>
      <c r="C20493" s="16">
        <f>14.91/(1+B2)</f>
        <v>14.91</v>
      </c>
      <c r="D20493" s="17" t="s">
        <v>106</v>
      </c>
      <c r="E20493" s="17" t="s">
        <v>106</v>
      </c>
      <c r="F20493" s="18"/>
      <c r="G20493" s="36" t="str">
        <f>IF(ISNUMBER(F20493),C20493*F20493,"")</f>
        <v/>
      </c>
    </row>
    <row r="20494" spans="1:7" ht="12" customHeight="1" outlineLevel="2" x14ac:dyDescent="0.2">
      <c r="A20494" s="14" t="s">
        <v>40335</v>
      </c>
      <c r="B20494" s="15" t="s">
        <v>40336</v>
      </c>
      <c r="C20494" s="16">
        <f>15.3/(1+B2)</f>
        <v>15.3</v>
      </c>
      <c r="D20494" s="17" t="s">
        <v>106</v>
      </c>
      <c r="E20494" s="17"/>
      <c r="F20494" s="18"/>
      <c r="G20494" s="36" t="str">
        <f>IF(ISNUMBER(F20494),C20494*F20494,"")</f>
        <v/>
      </c>
    </row>
    <row r="20495" spans="1:7" ht="12" customHeight="1" outlineLevel="2" x14ac:dyDescent="0.2">
      <c r="A20495" s="14" t="s">
        <v>40337</v>
      </c>
      <c r="B20495" s="15" t="s">
        <v>40338</v>
      </c>
      <c r="C20495" s="16">
        <f>36.86/(1+B2)</f>
        <v>36.86</v>
      </c>
      <c r="D20495" s="17" t="s">
        <v>11</v>
      </c>
      <c r="E20495" s="17"/>
      <c r="F20495" s="18"/>
      <c r="G20495" s="36" t="str">
        <f>IF(ISNUMBER(F20495),C20495*F20495,"")</f>
        <v/>
      </c>
    </row>
    <row r="20496" spans="1:7" ht="12" customHeight="1" outlineLevel="2" x14ac:dyDescent="0.2">
      <c r="A20496" s="14" t="s">
        <v>40339</v>
      </c>
      <c r="B20496" s="15" t="s">
        <v>40340</v>
      </c>
      <c r="C20496" s="16">
        <f>21.11/(1+B2)</f>
        <v>21.11</v>
      </c>
      <c r="D20496" s="17" t="s">
        <v>53</v>
      </c>
      <c r="E20496" s="17" t="s">
        <v>106</v>
      </c>
      <c r="F20496" s="18"/>
      <c r="G20496" s="36" t="str">
        <f>IF(ISNUMBER(F20496),C20496*F20496,"")</f>
        <v/>
      </c>
    </row>
    <row r="20497" spans="1:7" ht="12" customHeight="1" outlineLevel="2" x14ac:dyDescent="0.2">
      <c r="A20497" s="14" t="s">
        <v>40341</v>
      </c>
      <c r="B20497" s="15" t="s">
        <v>40342</v>
      </c>
      <c r="C20497" s="16">
        <f>23.41/(1+B2)</f>
        <v>23.41</v>
      </c>
      <c r="D20497" s="17" t="s">
        <v>14</v>
      </c>
      <c r="E20497" s="17" t="s">
        <v>106</v>
      </c>
      <c r="F20497" s="18"/>
      <c r="G20497" s="36" t="str">
        <f>IF(ISNUMBER(F20497),C20497*F20497,"")</f>
        <v/>
      </c>
    </row>
    <row r="20498" spans="1:7" ht="12" customHeight="1" outlineLevel="2" x14ac:dyDescent="0.2">
      <c r="A20498" s="14" t="s">
        <v>40343</v>
      </c>
      <c r="B20498" s="15" t="s">
        <v>40344</v>
      </c>
      <c r="C20498" s="16">
        <f>24.35/(1+B2)</f>
        <v>24.35</v>
      </c>
      <c r="D20498" s="17" t="s">
        <v>14</v>
      </c>
      <c r="E20498" s="17" t="s">
        <v>106</v>
      </c>
      <c r="F20498" s="18"/>
      <c r="G20498" s="36" t="str">
        <f>IF(ISNUMBER(F20498),C20498*F20498,"")</f>
        <v/>
      </c>
    </row>
    <row r="20499" spans="1:7" ht="12" customHeight="1" outlineLevel="2" x14ac:dyDescent="0.2">
      <c r="A20499" s="14" t="s">
        <v>40345</v>
      </c>
      <c r="B20499" s="15" t="s">
        <v>40346</v>
      </c>
      <c r="C20499" s="16">
        <f>25.86/(1+B2)</f>
        <v>25.86</v>
      </c>
      <c r="D20499" s="17" t="s">
        <v>53</v>
      </c>
      <c r="E20499" s="17" t="s">
        <v>106</v>
      </c>
      <c r="F20499" s="18"/>
      <c r="G20499" s="36" t="str">
        <f>IF(ISNUMBER(F20499),C20499*F20499,"")</f>
        <v/>
      </c>
    </row>
    <row r="20500" spans="1:7" ht="12" customHeight="1" outlineLevel="2" x14ac:dyDescent="0.2">
      <c r="A20500" s="14" t="s">
        <v>40347</v>
      </c>
      <c r="B20500" s="15" t="s">
        <v>40348</v>
      </c>
      <c r="C20500" s="16">
        <f>24.02/(1+B2)</f>
        <v>24.02</v>
      </c>
      <c r="D20500" s="17" t="s">
        <v>106</v>
      </c>
      <c r="E20500" s="17" t="s">
        <v>106</v>
      </c>
      <c r="F20500" s="18"/>
      <c r="G20500" s="36" t="str">
        <f>IF(ISNUMBER(F20500),C20500*F20500,"")</f>
        <v/>
      </c>
    </row>
    <row r="20501" spans="1:7" ht="12" customHeight="1" outlineLevel="2" x14ac:dyDescent="0.2">
      <c r="A20501" s="14" t="s">
        <v>40349</v>
      </c>
      <c r="B20501" s="15" t="s">
        <v>40350</v>
      </c>
      <c r="C20501" s="16">
        <f>25/(1+B2)</f>
        <v>25</v>
      </c>
      <c r="D20501" s="17" t="s">
        <v>11</v>
      </c>
      <c r="E20501" s="17" t="s">
        <v>11</v>
      </c>
      <c r="F20501" s="18"/>
      <c r="G20501" s="36" t="str">
        <f>IF(ISNUMBER(F20501),C20501*F20501,"")</f>
        <v/>
      </c>
    </row>
    <row r="20502" spans="1:7" ht="12" customHeight="1" outlineLevel="2" x14ac:dyDescent="0.2">
      <c r="A20502" s="14" t="s">
        <v>40351</v>
      </c>
      <c r="B20502" s="15" t="s">
        <v>40352</v>
      </c>
      <c r="C20502" s="16">
        <f>23.16/(1+B2)</f>
        <v>23.16</v>
      </c>
      <c r="D20502" s="17" t="s">
        <v>53</v>
      </c>
      <c r="E20502" s="17" t="s">
        <v>106</v>
      </c>
      <c r="F20502" s="18"/>
      <c r="G20502" s="36" t="str">
        <f>IF(ISNUMBER(F20502),C20502*F20502,"")</f>
        <v/>
      </c>
    </row>
    <row r="20503" spans="1:7" ht="12" customHeight="1" outlineLevel="2" x14ac:dyDescent="0.2">
      <c r="A20503" s="14" t="s">
        <v>40353</v>
      </c>
      <c r="B20503" s="15" t="s">
        <v>40354</v>
      </c>
      <c r="C20503" s="16">
        <f>27.89/(1+B2)</f>
        <v>27.89</v>
      </c>
      <c r="D20503" s="17" t="s">
        <v>14</v>
      </c>
      <c r="E20503" s="17" t="s">
        <v>53</v>
      </c>
      <c r="F20503" s="18"/>
      <c r="G20503" s="36" t="str">
        <f>IF(ISNUMBER(F20503),C20503*F20503,"")</f>
        <v/>
      </c>
    </row>
    <row r="20504" spans="1:7" ht="12" customHeight="1" outlineLevel="2" x14ac:dyDescent="0.2">
      <c r="A20504" s="14" t="s">
        <v>40355</v>
      </c>
      <c r="B20504" s="15" t="s">
        <v>40356</v>
      </c>
      <c r="C20504" s="16">
        <f>20.18/(1+B2)</f>
        <v>20.18</v>
      </c>
      <c r="D20504" s="17" t="s">
        <v>14</v>
      </c>
      <c r="E20504" s="17" t="s">
        <v>53</v>
      </c>
      <c r="F20504" s="18"/>
      <c r="G20504" s="36" t="str">
        <f>IF(ISNUMBER(F20504),C20504*F20504,"")</f>
        <v/>
      </c>
    </row>
    <row r="20505" spans="1:7" ht="12" customHeight="1" outlineLevel="2" x14ac:dyDescent="0.2">
      <c r="A20505" s="14" t="s">
        <v>40357</v>
      </c>
      <c r="B20505" s="15" t="s">
        <v>40358</v>
      </c>
      <c r="C20505" s="16">
        <f>46.63/(1+B2)</f>
        <v>46.63</v>
      </c>
      <c r="D20505" s="17" t="s">
        <v>53</v>
      </c>
      <c r="E20505" s="17" t="s">
        <v>53</v>
      </c>
      <c r="F20505" s="18"/>
      <c r="G20505" s="36" t="str">
        <f>IF(ISNUMBER(F20505),C20505*F20505,"")</f>
        <v/>
      </c>
    </row>
    <row r="20506" spans="1:7" ht="12" customHeight="1" outlineLevel="2" x14ac:dyDescent="0.2">
      <c r="A20506" s="14" t="s">
        <v>40359</v>
      </c>
      <c r="B20506" s="15" t="s">
        <v>40360</v>
      </c>
      <c r="C20506" s="16">
        <f>26.85/(1+B2)</f>
        <v>26.85</v>
      </c>
      <c r="D20506" s="17" t="s">
        <v>11</v>
      </c>
      <c r="E20506" s="17" t="s">
        <v>53</v>
      </c>
      <c r="F20506" s="18"/>
      <c r="G20506" s="36" t="str">
        <f>IF(ISNUMBER(F20506),C20506*F20506,"")</f>
        <v/>
      </c>
    </row>
    <row r="20507" spans="1:7" ht="12" customHeight="1" outlineLevel="2" x14ac:dyDescent="0.2">
      <c r="A20507" s="14" t="s">
        <v>40361</v>
      </c>
      <c r="B20507" s="15" t="s">
        <v>40362</v>
      </c>
      <c r="C20507" s="16">
        <f>42.49/(1+B2)</f>
        <v>42.49</v>
      </c>
      <c r="D20507" s="17" t="s">
        <v>14</v>
      </c>
      <c r="E20507" s="17" t="s">
        <v>106</v>
      </c>
      <c r="F20507" s="18"/>
      <c r="G20507" s="36" t="str">
        <f>IF(ISNUMBER(F20507),C20507*F20507,"")</f>
        <v/>
      </c>
    </row>
    <row r="20508" spans="1:7" ht="12" customHeight="1" outlineLevel="2" x14ac:dyDescent="0.2">
      <c r="A20508" s="14" t="s">
        <v>40363</v>
      </c>
      <c r="B20508" s="15" t="s">
        <v>40364</v>
      </c>
      <c r="C20508" s="16">
        <f>57.74/(1+B2)</f>
        <v>57.74</v>
      </c>
      <c r="D20508" s="17" t="s">
        <v>11</v>
      </c>
      <c r="E20508" s="17"/>
      <c r="F20508" s="18"/>
      <c r="G20508" s="36" t="str">
        <f>IF(ISNUMBER(F20508),C20508*F20508,"")</f>
        <v/>
      </c>
    </row>
    <row r="20509" spans="1:7" ht="12" customHeight="1" outlineLevel="2" x14ac:dyDescent="0.2">
      <c r="A20509" s="14" t="s">
        <v>40365</v>
      </c>
      <c r="B20509" s="15" t="s">
        <v>40366</v>
      </c>
      <c r="C20509" s="16">
        <f>25.73/(1+B2)</f>
        <v>25.73</v>
      </c>
      <c r="D20509" s="17" t="s">
        <v>11</v>
      </c>
      <c r="E20509" s="17" t="s">
        <v>106</v>
      </c>
      <c r="F20509" s="18"/>
      <c r="G20509" s="36" t="str">
        <f>IF(ISNUMBER(F20509),C20509*F20509,"")</f>
        <v/>
      </c>
    </row>
    <row r="20510" spans="1:7" ht="12" customHeight="1" outlineLevel="2" x14ac:dyDescent="0.2">
      <c r="A20510" s="14" t="s">
        <v>40367</v>
      </c>
      <c r="B20510" s="15" t="s">
        <v>40368</v>
      </c>
      <c r="C20510" s="16">
        <f>47/(1+B2)</f>
        <v>47</v>
      </c>
      <c r="D20510" s="17" t="s">
        <v>53</v>
      </c>
      <c r="E20510" s="17" t="s">
        <v>106</v>
      </c>
      <c r="F20510" s="18"/>
      <c r="G20510" s="36" t="str">
        <f>IF(ISNUMBER(F20510),C20510*F20510,"")</f>
        <v/>
      </c>
    </row>
    <row r="20511" spans="1:7" ht="12" customHeight="1" outlineLevel="2" x14ac:dyDescent="0.2">
      <c r="A20511" s="14" t="s">
        <v>40369</v>
      </c>
      <c r="B20511" s="15" t="s">
        <v>40370</v>
      </c>
      <c r="C20511" s="16">
        <f>39.76/(1+B2)</f>
        <v>39.76</v>
      </c>
      <c r="D20511" s="17" t="s">
        <v>14</v>
      </c>
      <c r="E20511" s="17" t="s">
        <v>11</v>
      </c>
      <c r="F20511" s="18"/>
      <c r="G20511" s="36" t="str">
        <f>IF(ISNUMBER(F20511),C20511*F20511,"")</f>
        <v/>
      </c>
    </row>
    <row r="20512" spans="1:7" ht="12" customHeight="1" outlineLevel="2" x14ac:dyDescent="0.2">
      <c r="A20512" s="14" t="s">
        <v>40371</v>
      </c>
      <c r="B20512" s="15" t="s">
        <v>40372</v>
      </c>
      <c r="C20512" s="16">
        <f>39.76/(1+B2)</f>
        <v>39.76</v>
      </c>
      <c r="D20512" s="17"/>
      <c r="E20512" s="17" t="s">
        <v>11</v>
      </c>
      <c r="F20512" s="18"/>
      <c r="G20512" s="36" t="str">
        <f>IF(ISNUMBER(F20512),C20512*F20512,"")</f>
        <v/>
      </c>
    </row>
    <row r="20513" spans="1:7" ht="12" customHeight="1" outlineLevel="2" x14ac:dyDescent="0.2">
      <c r="A20513" s="14" t="s">
        <v>40373</v>
      </c>
      <c r="B20513" s="15" t="s">
        <v>40374</v>
      </c>
      <c r="C20513" s="16">
        <f>535/(1+B2)</f>
        <v>535</v>
      </c>
      <c r="D20513" s="17" t="s">
        <v>11</v>
      </c>
      <c r="E20513" s="17"/>
      <c r="F20513" s="18"/>
      <c r="G20513" s="36" t="str">
        <f>IF(ISNUMBER(F20513),C20513*F20513,"")</f>
        <v/>
      </c>
    </row>
    <row r="20514" spans="1:7" s="1" customFormat="1" ht="15.95" customHeight="1" outlineLevel="1" x14ac:dyDescent="0.25">
      <c r="A20514" s="11"/>
      <c r="B20514" s="12" t="s">
        <v>40375</v>
      </c>
      <c r="C20514" s="13"/>
      <c r="D20514" s="13"/>
      <c r="E20514" s="13"/>
      <c r="F20514" s="13"/>
      <c r="G20514" s="35"/>
    </row>
    <row r="20515" spans="1:7" ht="12" customHeight="1" outlineLevel="2" x14ac:dyDescent="0.2">
      <c r="A20515" s="14" t="s">
        <v>40376</v>
      </c>
      <c r="B20515" s="15" t="s">
        <v>40377</v>
      </c>
      <c r="C20515" s="16">
        <f>178.08/(1+B2)</f>
        <v>178.08</v>
      </c>
      <c r="D20515" s="17" t="s">
        <v>11</v>
      </c>
      <c r="E20515" s="17"/>
      <c r="F20515" s="18"/>
      <c r="G20515" s="36" t="str">
        <f>IF(ISNUMBER(F20515),C20515*F20515,"")</f>
        <v/>
      </c>
    </row>
    <row r="20516" spans="1:7" ht="12" customHeight="1" outlineLevel="2" x14ac:dyDescent="0.2">
      <c r="A20516" s="14" t="s">
        <v>40378</v>
      </c>
      <c r="B20516" s="15" t="s">
        <v>40379</v>
      </c>
      <c r="C20516" s="16">
        <f>267.12/(1+B2)</f>
        <v>267.12</v>
      </c>
      <c r="D20516" s="17" t="s">
        <v>11</v>
      </c>
      <c r="E20516" s="17"/>
      <c r="F20516" s="18"/>
      <c r="G20516" s="36" t="str">
        <f>IF(ISNUMBER(F20516),C20516*F20516,"")</f>
        <v/>
      </c>
    </row>
    <row r="20517" spans="1:7" ht="12" customHeight="1" outlineLevel="2" x14ac:dyDescent="0.2">
      <c r="A20517" s="14" t="s">
        <v>40380</v>
      </c>
      <c r="B20517" s="15" t="s">
        <v>40381</v>
      </c>
      <c r="C20517" s="16">
        <f>143.1/(1+B2)</f>
        <v>143.1</v>
      </c>
      <c r="D20517" s="17" t="s">
        <v>53</v>
      </c>
      <c r="E20517" s="17" t="s">
        <v>14</v>
      </c>
      <c r="F20517" s="18"/>
      <c r="G20517" s="36" t="str">
        <f>IF(ISNUMBER(F20517),C20517*F20517,"")</f>
        <v/>
      </c>
    </row>
    <row r="20518" spans="1:7" ht="12" customHeight="1" outlineLevel="2" x14ac:dyDescent="0.2">
      <c r="A20518" s="14" t="s">
        <v>40382</v>
      </c>
      <c r="B20518" s="15" t="s">
        <v>40383</v>
      </c>
      <c r="C20518" s="16">
        <f>98.4/(1+B2)</f>
        <v>98.4</v>
      </c>
      <c r="D20518" s="17" t="s">
        <v>11</v>
      </c>
      <c r="E20518" s="17"/>
      <c r="F20518" s="18"/>
      <c r="G20518" s="36" t="str">
        <f>IF(ISNUMBER(F20518),C20518*F20518,"")</f>
        <v/>
      </c>
    </row>
    <row r="20519" spans="1:7" ht="12" customHeight="1" outlineLevel="2" x14ac:dyDescent="0.2">
      <c r="A20519" s="14" t="s">
        <v>40384</v>
      </c>
      <c r="B20519" s="15" t="s">
        <v>40385</v>
      </c>
      <c r="C20519" s="16">
        <f>46/(1+B2)</f>
        <v>46</v>
      </c>
      <c r="D20519" s="17" t="s">
        <v>11</v>
      </c>
      <c r="E20519" s="17"/>
      <c r="F20519" s="18"/>
      <c r="G20519" s="36" t="str">
        <f>IF(ISNUMBER(F20519),C20519*F20519,"")</f>
        <v/>
      </c>
    </row>
    <row r="20520" spans="1:7" ht="12" customHeight="1" outlineLevel="2" x14ac:dyDescent="0.2">
      <c r="A20520" s="14" t="s">
        <v>40386</v>
      </c>
      <c r="B20520" s="15" t="s">
        <v>40387</v>
      </c>
      <c r="C20520" s="16">
        <f>59.4/(1+B2)</f>
        <v>59.4</v>
      </c>
      <c r="D20520" s="17" t="s">
        <v>11</v>
      </c>
      <c r="E20520" s="17" t="s">
        <v>11</v>
      </c>
      <c r="F20520" s="18"/>
      <c r="G20520" s="36" t="str">
        <f>IF(ISNUMBER(F20520),C20520*F20520,"")</f>
        <v/>
      </c>
    </row>
    <row r="20521" spans="1:7" ht="12" customHeight="1" outlineLevel="2" x14ac:dyDescent="0.2">
      <c r="A20521" s="14" t="s">
        <v>40388</v>
      </c>
      <c r="B20521" s="15" t="s">
        <v>40389</v>
      </c>
      <c r="C20521" s="16">
        <f>74.3/(1+B2)</f>
        <v>74.3</v>
      </c>
      <c r="D20521" s="17" t="s">
        <v>11</v>
      </c>
      <c r="E20521" s="17" t="s">
        <v>53</v>
      </c>
      <c r="F20521" s="18"/>
      <c r="G20521" s="36" t="str">
        <f>IF(ISNUMBER(F20521),C20521*F20521,"")</f>
        <v/>
      </c>
    </row>
    <row r="20522" spans="1:7" ht="12" customHeight="1" outlineLevel="2" x14ac:dyDescent="0.2">
      <c r="A20522" s="14" t="s">
        <v>40390</v>
      </c>
      <c r="B20522" s="15" t="s">
        <v>40391</v>
      </c>
      <c r="C20522" s="16">
        <f>192.8/(1+B2)</f>
        <v>192.8</v>
      </c>
      <c r="D20522" s="17" t="s">
        <v>11</v>
      </c>
      <c r="E20522" s="17" t="s">
        <v>11</v>
      </c>
      <c r="F20522" s="18"/>
      <c r="G20522" s="36" t="str">
        <f>IF(ISNUMBER(F20522),C20522*F20522,"")</f>
        <v/>
      </c>
    </row>
    <row r="20523" spans="1:7" ht="12" customHeight="1" outlineLevel="2" x14ac:dyDescent="0.2">
      <c r="A20523" s="14" t="s">
        <v>40392</v>
      </c>
      <c r="B20523" s="15" t="s">
        <v>40393</v>
      </c>
      <c r="C20523" s="16">
        <f>239.48/(1+B2)</f>
        <v>239.48</v>
      </c>
      <c r="D20523" s="17" t="s">
        <v>11</v>
      </c>
      <c r="E20523" s="17"/>
      <c r="F20523" s="18"/>
      <c r="G20523" s="36" t="str">
        <f>IF(ISNUMBER(F20523),C20523*F20523,"")</f>
        <v/>
      </c>
    </row>
    <row r="20524" spans="1:7" ht="12" customHeight="1" outlineLevel="2" x14ac:dyDescent="0.2">
      <c r="A20524" s="14" t="s">
        <v>40394</v>
      </c>
      <c r="B20524" s="15" t="s">
        <v>40395</v>
      </c>
      <c r="C20524" s="16">
        <f>121.2/(1+B2)</f>
        <v>121.2</v>
      </c>
      <c r="D20524" s="17" t="s">
        <v>11</v>
      </c>
      <c r="E20524" s="17" t="s">
        <v>14</v>
      </c>
      <c r="F20524" s="18"/>
      <c r="G20524" s="36" t="str">
        <f>IF(ISNUMBER(F20524),C20524*F20524,"")</f>
        <v/>
      </c>
    </row>
    <row r="20525" spans="1:7" ht="12" customHeight="1" outlineLevel="2" x14ac:dyDescent="0.2">
      <c r="A20525" s="14" t="s">
        <v>40396</v>
      </c>
      <c r="B20525" s="15" t="s">
        <v>40397</v>
      </c>
      <c r="C20525" s="16">
        <f>128.6/(1+B2)</f>
        <v>128.6</v>
      </c>
      <c r="D20525" s="17" t="s">
        <v>11</v>
      </c>
      <c r="E20525" s="17" t="s">
        <v>11</v>
      </c>
      <c r="F20525" s="18"/>
      <c r="G20525" s="36" t="str">
        <f>IF(ISNUMBER(F20525),C20525*F20525,"")</f>
        <v/>
      </c>
    </row>
    <row r="20526" spans="1:7" ht="12" customHeight="1" outlineLevel="2" x14ac:dyDescent="0.2">
      <c r="A20526" s="14" t="s">
        <v>40398</v>
      </c>
      <c r="B20526" s="15" t="s">
        <v>40399</v>
      </c>
      <c r="C20526" s="16">
        <f>35.82/(1+B2)</f>
        <v>35.82</v>
      </c>
      <c r="D20526" s="17" t="s">
        <v>11</v>
      </c>
      <c r="E20526" s="17" t="s">
        <v>53</v>
      </c>
      <c r="F20526" s="18"/>
      <c r="G20526" s="36" t="str">
        <f>IF(ISNUMBER(F20526),C20526*F20526,"")</f>
        <v/>
      </c>
    </row>
    <row r="20527" spans="1:7" ht="12" customHeight="1" outlineLevel="2" x14ac:dyDescent="0.2">
      <c r="A20527" s="14" t="s">
        <v>40400</v>
      </c>
      <c r="B20527" s="15" t="s">
        <v>40401</v>
      </c>
      <c r="C20527" s="16">
        <f>33/(1+B2)</f>
        <v>33</v>
      </c>
      <c r="D20527" s="17" t="s">
        <v>11</v>
      </c>
      <c r="E20527" s="17" t="s">
        <v>106</v>
      </c>
      <c r="F20527" s="18"/>
      <c r="G20527" s="36" t="str">
        <f>IF(ISNUMBER(F20527),C20527*F20527,"")</f>
        <v/>
      </c>
    </row>
    <row r="20528" spans="1:7" ht="12" customHeight="1" outlineLevel="2" x14ac:dyDescent="0.2">
      <c r="A20528" s="14" t="s">
        <v>40402</v>
      </c>
      <c r="B20528" s="15" t="s">
        <v>40403</v>
      </c>
      <c r="C20528" s="16">
        <f>131.45/(1+B2)</f>
        <v>131.44999999999999</v>
      </c>
      <c r="D20528" s="17" t="s">
        <v>11</v>
      </c>
      <c r="E20528" s="17" t="s">
        <v>11</v>
      </c>
      <c r="F20528" s="18"/>
      <c r="G20528" s="36" t="str">
        <f>IF(ISNUMBER(F20528),C20528*F20528,"")</f>
        <v/>
      </c>
    </row>
    <row r="20529" spans="1:7" ht="12" customHeight="1" outlineLevel="2" x14ac:dyDescent="0.2">
      <c r="A20529" s="14" t="s">
        <v>40404</v>
      </c>
      <c r="B20529" s="15" t="s">
        <v>40405</v>
      </c>
      <c r="C20529" s="16">
        <f>131.45/(1+B2)</f>
        <v>131.44999999999999</v>
      </c>
      <c r="D20529" s="17" t="s">
        <v>11</v>
      </c>
      <c r="E20529" s="17"/>
      <c r="F20529" s="18"/>
      <c r="G20529" s="36" t="str">
        <f>IF(ISNUMBER(F20529),C20529*F20529,"")</f>
        <v/>
      </c>
    </row>
    <row r="20530" spans="1:7" ht="12" customHeight="1" outlineLevel="2" x14ac:dyDescent="0.2">
      <c r="A20530" s="14" t="s">
        <v>40406</v>
      </c>
      <c r="B20530" s="15" t="s">
        <v>40407</v>
      </c>
      <c r="C20530" s="16">
        <f>65.73/(1+B2)</f>
        <v>65.73</v>
      </c>
      <c r="D20530" s="17" t="s">
        <v>11</v>
      </c>
      <c r="E20530" s="17"/>
      <c r="F20530" s="18"/>
      <c r="G20530" s="36" t="str">
        <f>IF(ISNUMBER(F20530),C20530*F20530,"")</f>
        <v/>
      </c>
    </row>
    <row r="20531" spans="1:7" ht="12" customHeight="1" outlineLevel="2" x14ac:dyDescent="0.2">
      <c r="A20531" s="14" t="s">
        <v>40408</v>
      </c>
      <c r="B20531" s="15" t="s">
        <v>40409</v>
      </c>
      <c r="C20531" s="16">
        <f>172.35/(1+B2)</f>
        <v>172.35</v>
      </c>
      <c r="D20531" s="17" t="s">
        <v>11</v>
      </c>
      <c r="E20531" s="17"/>
      <c r="F20531" s="18"/>
      <c r="G20531" s="36" t="str">
        <f>IF(ISNUMBER(F20531),C20531*F20531,"")</f>
        <v/>
      </c>
    </row>
    <row r="20532" spans="1:7" ht="12" customHeight="1" outlineLevel="2" x14ac:dyDescent="0.2">
      <c r="A20532" s="14" t="s">
        <v>40410</v>
      </c>
      <c r="B20532" s="15" t="s">
        <v>40411</v>
      </c>
      <c r="C20532" s="16">
        <f>165.04/(1+B2)</f>
        <v>165.04</v>
      </c>
      <c r="D20532" s="17" t="s">
        <v>11</v>
      </c>
      <c r="E20532" s="17" t="s">
        <v>11</v>
      </c>
      <c r="F20532" s="18"/>
      <c r="G20532" s="36" t="str">
        <f>IF(ISNUMBER(F20532),C20532*F20532,"")</f>
        <v/>
      </c>
    </row>
    <row r="20533" spans="1:7" ht="12" customHeight="1" outlineLevel="2" x14ac:dyDescent="0.2">
      <c r="A20533" s="14" t="s">
        <v>40412</v>
      </c>
      <c r="B20533" s="15" t="s">
        <v>40413</v>
      </c>
      <c r="C20533" s="16">
        <f>387.04/(1+B2)</f>
        <v>387.04</v>
      </c>
      <c r="D20533" s="17" t="s">
        <v>11</v>
      </c>
      <c r="E20533" s="17"/>
      <c r="F20533" s="18"/>
      <c r="G20533" s="36" t="str">
        <f>IF(ISNUMBER(F20533),C20533*F20533,"")</f>
        <v/>
      </c>
    </row>
    <row r="20534" spans="1:7" ht="12" customHeight="1" outlineLevel="2" x14ac:dyDescent="0.2">
      <c r="A20534" s="14" t="s">
        <v>40414</v>
      </c>
      <c r="B20534" s="15" t="s">
        <v>40415</v>
      </c>
      <c r="C20534" s="16">
        <f>325.7/(1+B2)</f>
        <v>325.7</v>
      </c>
      <c r="D20534" s="17" t="s">
        <v>11</v>
      </c>
      <c r="E20534" s="17"/>
      <c r="F20534" s="18"/>
      <c r="G20534" s="36" t="str">
        <f>IF(ISNUMBER(F20534),C20534*F20534,"")</f>
        <v/>
      </c>
    </row>
    <row r="20535" spans="1:7" ht="12" customHeight="1" outlineLevel="2" x14ac:dyDescent="0.2">
      <c r="A20535" s="14" t="s">
        <v>40416</v>
      </c>
      <c r="B20535" s="15" t="s">
        <v>40417</v>
      </c>
      <c r="C20535" s="16">
        <f>233.69/(1+B2)</f>
        <v>233.69</v>
      </c>
      <c r="D20535" s="17" t="s">
        <v>11</v>
      </c>
      <c r="E20535" s="17" t="s">
        <v>11</v>
      </c>
      <c r="F20535" s="18"/>
      <c r="G20535" s="36" t="str">
        <f>IF(ISNUMBER(F20535),C20535*F20535,"")</f>
        <v/>
      </c>
    </row>
    <row r="20536" spans="1:7" ht="12" customHeight="1" outlineLevel="2" x14ac:dyDescent="0.2">
      <c r="A20536" s="14" t="s">
        <v>40418</v>
      </c>
      <c r="B20536" s="15" t="s">
        <v>40419</v>
      </c>
      <c r="C20536" s="16">
        <f>70.11/(1+B2)</f>
        <v>70.11</v>
      </c>
      <c r="D20536" s="17" t="s">
        <v>11</v>
      </c>
      <c r="E20536" s="17"/>
      <c r="F20536" s="18"/>
      <c r="G20536" s="36" t="str">
        <f>IF(ISNUMBER(F20536),C20536*F20536,"")</f>
        <v/>
      </c>
    </row>
    <row r="20537" spans="1:7" ht="12" customHeight="1" outlineLevel="2" x14ac:dyDescent="0.2">
      <c r="A20537" s="14" t="s">
        <v>40420</v>
      </c>
      <c r="B20537" s="15" t="s">
        <v>40421</v>
      </c>
      <c r="C20537" s="16">
        <f>157.74/(1+B2)</f>
        <v>157.74</v>
      </c>
      <c r="D20537" s="17" t="s">
        <v>11</v>
      </c>
      <c r="E20537" s="17" t="s">
        <v>11</v>
      </c>
      <c r="F20537" s="18"/>
      <c r="G20537" s="36" t="str">
        <f>IF(ISNUMBER(F20537),C20537*F20537,"")</f>
        <v/>
      </c>
    </row>
    <row r="20538" spans="1:7" ht="12" customHeight="1" outlineLevel="2" x14ac:dyDescent="0.2">
      <c r="A20538" s="14" t="s">
        <v>40422</v>
      </c>
      <c r="B20538" s="15" t="s">
        <v>40423</v>
      </c>
      <c r="C20538" s="16">
        <f>411.86/(1+B2)</f>
        <v>411.86</v>
      </c>
      <c r="D20538" s="17" t="s">
        <v>11</v>
      </c>
      <c r="E20538" s="17"/>
      <c r="F20538" s="18"/>
      <c r="G20538" s="36" t="str">
        <f>IF(ISNUMBER(F20538),C20538*F20538,"")</f>
        <v/>
      </c>
    </row>
    <row r="20539" spans="1:7" ht="12" customHeight="1" outlineLevel="2" x14ac:dyDescent="0.2">
      <c r="A20539" s="14" t="s">
        <v>40424</v>
      </c>
      <c r="B20539" s="15" t="s">
        <v>40425</v>
      </c>
      <c r="C20539" s="16">
        <f>303.79/(1+B2)</f>
        <v>303.79000000000002</v>
      </c>
      <c r="D20539" s="17" t="s">
        <v>11</v>
      </c>
      <c r="E20539" s="17" t="s">
        <v>11</v>
      </c>
      <c r="F20539" s="18"/>
      <c r="G20539" s="36" t="str">
        <f>IF(ISNUMBER(F20539),C20539*F20539,"")</f>
        <v/>
      </c>
    </row>
    <row r="20540" spans="1:7" ht="12" customHeight="1" outlineLevel="2" x14ac:dyDescent="0.2">
      <c r="A20540" s="14" t="s">
        <v>40426</v>
      </c>
      <c r="B20540" s="15" t="s">
        <v>40427</v>
      </c>
      <c r="C20540" s="16">
        <f>228.9/(1+B2)</f>
        <v>228.9</v>
      </c>
      <c r="D20540" s="17" t="s">
        <v>11</v>
      </c>
      <c r="E20540" s="17" t="s">
        <v>11</v>
      </c>
      <c r="F20540" s="18"/>
      <c r="G20540" s="36" t="str">
        <f>IF(ISNUMBER(F20540),C20540*F20540,"")</f>
        <v/>
      </c>
    </row>
    <row r="20541" spans="1:7" ht="12" customHeight="1" outlineLevel="2" x14ac:dyDescent="0.2">
      <c r="A20541" s="14" t="s">
        <v>40428</v>
      </c>
      <c r="B20541" s="15" t="s">
        <v>40429</v>
      </c>
      <c r="C20541" s="16">
        <f>112.46/(1+B2)</f>
        <v>112.46</v>
      </c>
      <c r="D20541" s="17" t="s">
        <v>11</v>
      </c>
      <c r="E20541" s="17" t="s">
        <v>53</v>
      </c>
      <c r="F20541" s="18"/>
      <c r="G20541" s="36" t="str">
        <f>IF(ISNUMBER(F20541),C20541*F20541,"")</f>
        <v/>
      </c>
    </row>
    <row r="20542" spans="1:7" ht="12" customHeight="1" outlineLevel="2" x14ac:dyDescent="0.2">
      <c r="A20542" s="14" t="s">
        <v>40430</v>
      </c>
      <c r="B20542" s="15" t="s">
        <v>40431</v>
      </c>
      <c r="C20542" s="16">
        <f>904.88/(1+B2)</f>
        <v>904.88</v>
      </c>
      <c r="D20542" s="17" t="s">
        <v>11</v>
      </c>
      <c r="E20542" s="17"/>
      <c r="F20542" s="18"/>
      <c r="G20542" s="36" t="str">
        <f>IF(ISNUMBER(F20542),C20542*F20542,"")</f>
        <v/>
      </c>
    </row>
    <row r="20543" spans="1:7" ht="12" customHeight="1" outlineLevel="2" x14ac:dyDescent="0.2">
      <c r="A20543" s="14" t="s">
        <v>40432</v>
      </c>
      <c r="B20543" s="15" t="s">
        <v>40433</v>
      </c>
      <c r="C20543" s="16">
        <f>255.91/(1+B2)</f>
        <v>255.91</v>
      </c>
      <c r="D20543" s="17" t="s">
        <v>11</v>
      </c>
      <c r="E20543" s="17" t="s">
        <v>14</v>
      </c>
      <c r="F20543" s="18"/>
      <c r="G20543" s="36" t="str">
        <f>IF(ISNUMBER(F20543),C20543*F20543,"")</f>
        <v/>
      </c>
    </row>
    <row r="20544" spans="1:7" ht="12" customHeight="1" outlineLevel="2" x14ac:dyDescent="0.2">
      <c r="A20544" s="14" t="s">
        <v>40434</v>
      </c>
      <c r="B20544" s="15" t="s">
        <v>40435</v>
      </c>
      <c r="C20544" s="19">
        <f>1139.2/(1+B2)</f>
        <v>1139.2</v>
      </c>
      <c r="D20544" s="17" t="s">
        <v>11</v>
      </c>
      <c r="E20544" s="17"/>
      <c r="F20544" s="18"/>
      <c r="G20544" s="36" t="str">
        <f>IF(ISNUMBER(F20544),C20544*F20544,"")</f>
        <v/>
      </c>
    </row>
    <row r="20545" spans="1:7" ht="12" customHeight="1" outlineLevel="2" x14ac:dyDescent="0.2">
      <c r="A20545" s="14" t="s">
        <v>40436</v>
      </c>
      <c r="B20545" s="15" t="s">
        <v>40437</v>
      </c>
      <c r="C20545" s="16">
        <f>103.7/(1+B2)</f>
        <v>103.7</v>
      </c>
      <c r="D20545" s="17" t="s">
        <v>11</v>
      </c>
      <c r="E20545" s="17"/>
      <c r="F20545" s="18"/>
      <c r="G20545" s="36" t="str">
        <f>IF(ISNUMBER(F20545),C20545*F20545,"")</f>
        <v/>
      </c>
    </row>
    <row r="20546" spans="1:7" ht="12" customHeight="1" outlineLevel="2" x14ac:dyDescent="0.2">
      <c r="A20546" s="14" t="s">
        <v>40438</v>
      </c>
      <c r="B20546" s="15" t="s">
        <v>40439</v>
      </c>
      <c r="C20546" s="16">
        <f>264.36/(1+B2)</f>
        <v>264.36</v>
      </c>
      <c r="D20546" s="17" t="s">
        <v>11</v>
      </c>
      <c r="E20546" s="17" t="s">
        <v>11</v>
      </c>
      <c r="F20546" s="18"/>
      <c r="G20546" s="36" t="str">
        <f>IF(ISNUMBER(F20546),C20546*F20546,"")</f>
        <v/>
      </c>
    </row>
    <row r="20547" spans="1:7" ht="12" customHeight="1" outlineLevel="2" x14ac:dyDescent="0.2">
      <c r="A20547" s="14" t="s">
        <v>40440</v>
      </c>
      <c r="B20547" s="15" t="s">
        <v>40441</v>
      </c>
      <c r="C20547" s="16">
        <f>812.05/(1+B2)</f>
        <v>812.05</v>
      </c>
      <c r="D20547" s="17" t="s">
        <v>11</v>
      </c>
      <c r="E20547" s="17"/>
      <c r="F20547" s="18"/>
      <c r="G20547" s="36" t="str">
        <f>IF(ISNUMBER(F20547),C20547*F20547,"")</f>
        <v/>
      </c>
    </row>
    <row r="20548" spans="1:7" ht="12" customHeight="1" outlineLevel="2" x14ac:dyDescent="0.2">
      <c r="A20548" s="14" t="s">
        <v>40442</v>
      </c>
      <c r="B20548" s="15" t="s">
        <v>40443</v>
      </c>
      <c r="C20548" s="16">
        <f>181.11/(1+B2)</f>
        <v>181.11</v>
      </c>
      <c r="D20548" s="17" t="s">
        <v>11</v>
      </c>
      <c r="E20548" s="17" t="s">
        <v>14</v>
      </c>
      <c r="F20548" s="18"/>
      <c r="G20548" s="36" t="str">
        <f>IF(ISNUMBER(F20548),C20548*F20548,"")</f>
        <v/>
      </c>
    </row>
    <row r="20549" spans="1:7" ht="12" customHeight="1" outlineLevel="2" x14ac:dyDescent="0.2">
      <c r="A20549" s="14" t="s">
        <v>40444</v>
      </c>
      <c r="B20549" s="15" t="s">
        <v>40445</v>
      </c>
      <c r="C20549" s="16">
        <f>198.64/(1+B2)</f>
        <v>198.64</v>
      </c>
      <c r="D20549" s="17" t="s">
        <v>11</v>
      </c>
      <c r="E20549" s="17" t="s">
        <v>14</v>
      </c>
      <c r="F20549" s="18"/>
      <c r="G20549" s="36" t="str">
        <f>IF(ISNUMBER(F20549),C20549*F20549,"")</f>
        <v/>
      </c>
    </row>
    <row r="20550" spans="1:7" ht="12" customHeight="1" outlineLevel="2" x14ac:dyDescent="0.2">
      <c r="A20550" s="14" t="s">
        <v>40446</v>
      </c>
      <c r="B20550" s="15" t="s">
        <v>40447</v>
      </c>
      <c r="C20550" s="19">
        <f>1238.51/(1+B2)</f>
        <v>1238.51</v>
      </c>
      <c r="D20550" s="17" t="s">
        <v>11</v>
      </c>
      <c r="E20550" s="17"/>
      <c r="F20550" s="18"/>
      <c r="G20550" s="36" t="str">
        <f>IF(ISNUMBER(F20550),C20550*F20550,"")</f>
        <v/>
      </c>
    </row>
    <row r="20551" spans="1:7" ht="12" customHeight="1" outlineLevel="2" x14ac:dyDescent="0.2">
      <c r="A20551" s="14" t="s">
        <v>40448</v>
      </c>
      <c r="B20551" s="15" t="s">
        <v>40449</v>
      </c>
      <c r="C20551" s="16">
        <f>606.11/(1+B2)</f>
        <v>606.11</v>
      </c>
      <c r="D20551" s="17" t="s">
        <v>11</v>
      </c>
      <c r="E20551" s="17"/>
      <c r="F20551" s="18"/>
      <c r="G20551" s="36" t="str">
        <f>IF(ISNUMBER(F20551),C20551*F20551,"")</f>
        <v/>
      </c>
    </row>
    <row r="20552" spans="1:7" ht="12" customHeight="1" outlineLevel="2" x14ac:dyDescent="0.2">
      <c r="A20552" s="14" t="s">
        <v>40450</v>
      </c>
      <c r="B20552" s="15" t="s">
        <v>40451</v>
      </c>
      <c r="C20552" s="16">
        <f>971.24/(1+B2)</f>
        <v>971.24</v>
      </c>
      <c r="D20552" s="17" t="s">
        <v>11</v>
      </c>
      <c r="E20552" s="17"/>
      <c r="F20552" s="18"/>
      <c r="G20552" s="36" t="str">
        <f>IF(ISNUMBER(F20552),C20552*F20552,"")</f>
        <v/>
      </c>
    </row>
    <row r="20553" spans="1:7" ht="12" customHeight="1" outlineLevel="2" x14ac:dyDescent="0.2">
      <c r="A20553" s="14" t="s">
        <v>40452</v>
      </c>
      <c r="B20553" s="15" t="s">
        <v>40453</v>
      </c>
      <c r="C20553" s="16">
        <f>127.46/(1+B2)</f>
        <v>127.46</v>
      </c>
      <c r="D20553" s="17" t="s">
        <v>11</v>
      </c>
      <c r="E20553" s="17" t="s">
        <v>11</v>
      </c>
      <c r="F20553" s="18"/>
      <c r="G20553" s="36" t="str">
        <f>IF(ISNUMBER(F20553),C20553*F20553,"")</f>
        <v/>
      </c>
    </row>
    <row r="20554" spans="1:7" ht="12" customHeight="1" outlineLevel="2" x14ac:dyDescent="0.2">
      <c r="A20554" s="14" t="s">
        <v>40454</v>
      </c>
      <c r="B20554" s="15" t="s">
        <v>40455</v>
      </c>
      <c r="C20554" s="16">
        <f>91.04/(1+B2)</f>
        <v>91.04</v>
      </c>
      <c r="D20554" s="17" t="s">
        <v>11</v>
      </c>
      <c r="E20554" s="17" t="s">
        <v>11</v>
      </c>
      <c r="F20554" s="18"/>
      <c r="G20554" s="36" t="str">
        <f>IF(ISNUMBER(F20554),C20554*F20554,"")</f>
        <v/>
      </c>
    </row>
    <row r="20555" spans="1:7" ht="12" customHeight="1" outlineLevel="2" x14ac:dyDescent="0.2">
      <c r="A20555" s="14" t="s">
        <v>40456</v>
      </c>
      <c r="B20555" s="15" t="s">
        <v>40457</v>
      </c>
      <c r="C20555" s="16">
        <f>66.46/(1+B2)</f>
        <v>66.459999999999994</v>
      </c>
      <c r="D20555" s="17" t="s">
        <v>11</v>
      </c>
      <c r="E20555" s="17" t="s">
        <v>11</v>
      </c>
      <c r="F20555" s="18"/>
      <c r="G20555" s="36" t="str">
        <f>IF(ISNUMBER(F20555),C20555*F20555,"")</f>
        <v/>
      </c>
    </row>
    <row r="20556" spans="1:7" ht="12" customHeight="1" outlineLevel="2" x14ac:dyDescent="0.2">
      <c r="A20556" s="14" t="s">
        <v>40458</v>
      </c>
      <c r="B20556" s="15" t="s">
        <v>40459</v>
      </c>
      <c r="C20556" s="16">
        <f>132.91/(1+B2)</f>
        <v>132.91</v>
      </c>
      <c r="D20556" s="17" t="s">
        <v>11</v>
      </c>
      <c r="E20556" s="17"/>
      <c r="F20556" s="18"/>
      <c r="G20556" s="36" t="str">
        <f>IF(ISNUMBER(F20556),C20556*F20556,"")</f>
        <v/>
      </c>
    </row>
    <row r="20557" spans="1:7" ht="12" customHeight="1" outlineLevel="2" x14ac:dyDescent="0.2">
      <c r="A20557" s="14" t="s">
        <v>40460</v>
      </c>
      <c r="B20557" s="15" t="s">
        <v>40461</v>
      </c>
      <c r="C20557" s="16">
        <f>66.46/(1+B2)</f>
        <v>66.459999999999994</v>
      </c>
      <c r="D20557" s="17" t="s">
        <v>11</v>
      </c>
      <c r="E20557" s="17" t="s">
        <v>14</v>
      </c>
      <c r="F20557" s="18"/>
      <c r="G20557" s="36" t="str">
        <f>IF(ISNUMBER(F20557),C20557*F20557,"")</f>
        <v/>
      </c>
    </row>
    <row r="20558" spans="1:7" ht="12" customHeight="1" outlineLevel="2" x14ac:dyDescent="0.2">
      <c r="A20558" s="14" t="s">
        <v>40462</v>
      </c>
      <c r="B20558" s="15" t="s">
        <v>40463</v>
      </c>
      <c r="C20558" s="16">
        <f>119.76/(1+B2)</f>
        <v>119.76</v>
      </c>
      <c r="D20558" s="17" t="s">
        <v>11</v>
      </c>
      <c r="E20558" s="17"/>
      <c r="F20558" s="18"/>
      <c r="G20558" s="36" t="str">
        <f>IF(ISNUMBER(F20558),C20558*F20558,"")</f>
        <v/>
      </c>
    </row>
    <row r="20559" spans="1:7" s="1" customFormat="1" ht="15.95" customHeight="1" outlineLevel="1" x14ac:dyDescent="0.25">
      <c r="A20559" s="11"/>
      <c r="B20559" s="12" t="s">
        <v>40464</v>
      </c>
      <c r="C20559" s="13"/>
      <c r="D20559" s="13"/>
      <c r="E20559" s="13"/>
      <c r="F20559" s="13"/>
      <c r="G20559" s="35"/>
    </row>
    <row r="20560" spans="1:7" ht="12" customHeight="1" outlineLevel="2" x14ac:dyDescent="0.2">
      <c r="A20560" s="14" t="s">
        <v>40465</v>
      </c>
      <c r="B20560" s="15" t="s">
        <v>40466</v>
      </c>
      <c r="C20560" s="16">
        <f>825/(1+B2)</f>
        <v>825</v>
      </c>
      <c r="D20560" s="17" t="s">
        <v>11</v>
      </c>
      <c r="E20560" s="17" t="s">
        <v>11</v>
      </c>
      <c r="F20560" s="18"/>
      <c r="G20560" s="36" t="str">
        <f>IF(ISNUMBER(F20560),C20560*F20560,"")</f>
        <v/>
      </c>
    </row>
    <row r="20561" spans="1:7" ht="12" customHeight="1" outlineLevel="2" x14ac:dyDescent="0.2">
      <c r="A20561" s="14" t="s">
        <v>40467</v>
      </c>
      <c r="B20561" s="15" t="s">
        <v>40468</v>
      </c>
      <c r="C20561" s="19">
        <f>1229.06/(1+B2)</f>
        <v>1229.06</v>
      </c>
      <c r="D20561" s="17" t="s">
        <v>11</v>
      </c>
      <c r="E20561" s="17" t="s">
        <v>14</v>
      </c>
      <c r="F20561" s="18"/>
      <c r="G20561" s="36" t="str">
        <f>IF(ISNUMBER(F20561),C20561*F20561,"")</f>
        <v/>
      </c>
    </row>
    <row r="20562" spans="1:7" ht="12" customHeight="1" outlineLevel="2" x14ac:dyDescent="0.2">
      <c r="A20562" s="14" t="s">
        <v>40469</v>
      </c>
      <c r="B20562" s="15" t="s">
        <v>40470</v>
      </c>
      <c r="C20562" s="19">
        <f>1293.75/(1+B2)</f>
        <v>1293.75</v>
      </c>
      <c r="D20562" s="17" t="s">
        <v>11</v>
      </c>
      <c r="E20562" s="17" t="s">
        <v>11</v>
      </c>
      <c r="F20562" s="18"/>
      <c r="G20562" s="36" t="str">
        <f>IF(ISNUMBER(F20562),C20562*F20562,"")</f>
        <v/>
      </c>
    </row>
    <row r="20563" spans="1:7" ht="12" customHeight="1" outlineLevel="2" x14ac:dyDescent="0.2">
      <c r="A20563" s="14" t="s">
        <v>40471</v>
      </c>
      <c r="B20563" s="15" t="s">
        <v>40472</v>
      </c>
      <c r="C20563" s="19">
        <f>1293.75/(1+B2)</f>
        <v>1293.75</v>
      </c>
      <c r="D20563" s="17" t="s">
        <v>11</v>
      </c>
      <c r="E20563" s="17" t="s">
        <v>11</v>
      </c>
      <c r="F20563" s="18"/>
      <c r="G20563" s="36" t="str">
        <f>IF(ISNUMBER(F20563),C20563*F20563,"")</f>
        <v/>
      </c>
    </row>
    <row r="20564" spans="1:7" ht="12" customHeight="1" outlineLevel="2" x14ac:dyDescent="0.2">
      <c r="A20564" s="14" t="s">
        <v>40473</v>
      </c>
      <c r="B20564" s="15" t="s">
        <v>40474</v>
      </c>
      <c r="C20564" s="19">
        <f>1293.75/(1+B2)</f>
        <v>1293.75</v>
      </c>
      <c r="D20564" s="17" t="s">
        <v>11</v>
      </c>
      <c r="E20564" s="17" t="s">
        <v>11</v>
      </c>
      <c r="F20564" s="18"/>
      <c r="G20564" s="36" t="str">
        <f>IF(ISNUMBER(F20564),C20564*F20564,"")</f>
        <v/>
      </c>
    </row>
    <row r="20565" spans="1:7" ht="12" customHeight="1" outlineLevel="2" x14ac:dyDescent="0.2">
      <c r="A20565" s="14" t="s">
        <v>40475</v>
      </c>
      <c r="B20565" s="15" t="s">
        <v>40476</v>
      </c>
      <c r="C20565" s="19">
        <f>1225/(1+B2)</f>
        <v>1225</v>
      </c>
      <c r="D20565" s="17" t="s">
        <v>11</v>
      </c>
      <c r="E20565" s="17"/>
      <c r="F20565" s="18"/>
      <c r="G20565" s="36" t="str">
        <f>IF(ISNUMBER(F20565),C20565*F20565,"")</f>
        <v/>
      </c>
    </row>
    <row r="20566" spans="1:7" ht="12" customHeight="1" outlineLevel="2" x14ac:dyDescent="0.2">
      <c r="A20566" s="14" t="s">
        <v>40477</v>
      </c>
      <c r="B20566" s="15" t="s">
        <v>40478</v>
      </c>
      <c r="C20566" s="19">
        <f>1035.35/(1+B2)</f>
        <v>1035.3499999999999</v>
      </c>
      <c r="D20566" s="17" t="s">
        <v>11</v>
      </c>
      <c r="E20566" s="17" t="s">
        <v>11</v>
      </c>
      <c r="F20566" s="18"/>
      <c r="G20566" s="36" t="str">
        <f>IF(ISNUMBER(F20566),C20566*F20566,"")</f>
        <v/>
      </c>
    </row>
    <row r="20567" spans="1:7" ht="12" customHeight="1" outlineLevel="2" x14ac:dyDescent="0.2">
      <c r="A20567" s="14" t="s">
        <v>40479</v>
      </c>
      <c r="B20567" s="15" t="s">
        <v>40480</v>
      </c>
      <c r="C20567" s="19">
        <f>1514.7/(1+B2)</f>
        <v>1514.7</v>
      </c>
      <c r="D20567" s="17" t="s">
        <v>11</v>
      </c>
      <c r="E20567" s="17" t="s">
        <v>11</v>
      </c>
      <c r="F20567" s="18"/>
      <c r="G20567" s="36" t="str">
        <f>IF(ISNUMBER(F20567),C20567*F20567,"")</f>
        <v/>
      </c>
    </row>
    <row r="20568" spans="1:7" ht="12" customHeight="1" outlineLevel="2" x14ac:dyDescent="0.2">
      <c r="A20568" s="14" t="s">
        <v>40481</v>
      </c>
      <c r="B20568" s="15" t="s">
        <v>40482</v>
      </c>
      <c r="C20568" s="19">
        <f>1514.7/(1+B2)</f>
        <v>1514.7</v>
      </c>
      <c r="D20568" s="17" t="s">
        <v>11</v>
      </c>
      <c r="E20568" s="17" t="s">
        <v>11</v>
      </c>
      <c r="F20568" s="18"/>
      <c r="G20568" s="36" t="str">
        <f>IF(ISNUMBER(F20568),C20568*F20568,"")</f>
        <v/>
      </c>
    </row>
    <row r="20569" spans="1:7" ht="12" customHeight="1" outlineLevel="2" x14ac:dyDescent="0.2">
      <c r="A20569" s="14" t="s">
        <v>40483</v>
      </c>
      <c r="B20569" s="15" t="s">
        <v>40484</v>
      </c>
      <c r="C20569" s="19">
        <f>1760.94/(1+B2)</f>
        <v>1760.94</v>
      </c>
      <c r="D20569" s="17" t="s">
        <v>11</v>
      </c>
      <c r="E20569" s="17" t="s">
        <v>11</v>
      </c>
      <c r="F20569" s="18"/>
      <c r="G20569" s="36" t="str">
        <f>IF(ISNUMBER(F20569),C20569*F20569,"")</f>
        <v/>
      </c>
    </row>
    <row r="20570" spans="1:7" ht="12" customHeight="1" outlineLevel="2" x14ac:dyDescent="0.2">
      <c r="A20570" s="14" t="s">
        <v>40485</v>
      </c>
      <c r="B20570" s="15" t="s">
        <v>40486</v>
      </c>
      <c r="C20570" s="19">
        <f>1549.63/(1+B2)</f>
        <v>1549.63</v>
      </c>
      <c r="D20570" s="17" t="s">
        <v>11</v>
      </c>
      <c r="E20570" s="17" t="s">
        <v>11</v>
      </c>
      <c r="F20570" s="18"/>
      <c r="G20570" s="36" t="str">
        <f>IF(ISNUMBER(F20570),C20570*F20570,"")</f>
        <v/>
      </c>
    </row>
    <row r="20571" spans="1:7" ht="12" customHeight="1" outlineLevel="2" x14ac:dyDescent="0.2">
      <c r="A20571" s="14" t="s">
        <v>40487</v>
      </c>
      <c r="B20571" s="15" t="s">
        <v>40488</v>
      </c>
      <c r="C20571" s="16">
        <f>294.69/(1+B2)</f>
        <v>294.69</v>
      </c>
      <c r="D20571" s="17" t="s">
        <v>11</v>
      </c>
      <c r="E20571" s="17" t="s">
        <v>11</v>
      </c>
      <c r="F20571" s="18"/>
      <c r="G20571" s="36" t="str">
        <f>IF(ISNUMBER(F20571),C20571*F20571,"")</f>
        <v/>
      </c>
    </row>
    <row r="20572" spans="1:7" s="1" customFormat="1" ht="15.95" customHeight="1" outlineLevel="1" x14ac:dyDescent="0.25">
      <c r="A20572" s="11"/>
      <c r="B20572" s="12" t="s">
        <v>40489</v>
      </c>
      <c r="C20572" s="13"/>
      <c r="D20572" s="13"/>
      <c r="E20572" s="13"/>
      <c r="F20572" s="13"/>
      <c r="G20572" s="35"/>
    </row>
    <row r="20573" spans="1:7" ht="12" customHeight="1" outlineLevel="2" x14ac:dyDescent="0.2">
      <c r="A20573" s="14" t="s">
        <v>40490</v>
      </c>
      <c r="B20573" s="15" t="s">
        <v>40491</v>
      </c>
      <c r="C20573" s="16">
        <f>957.36/(1+B2)</f>
        <v>957.36</v>
      </c>
      <c r="D20573" s="17" t="s">
        <v>11</v>
      </c>
      <c r="E20573" s="17" t="s">
        <v>14</v>
      </c>
      <c r="F20573" s="18"/>
      <c r="G20573" s="36" t="str">
        <f>IF(ISNUMBER(F20573),C20573*F20573,"")</f>
        <v/>
      </c>
    </row>
    <row r="20574" spans="1:7" ht="12" customHeight="1" outlineLevel="2" x14ac:dyDescent="0.2">
      <c r="A20574" s="14" t="s">
        <v>40492</v>
      </c>
      <c r="B20574" s="15" t="s">
        <v>40493</v>
      </c>
      <c r="C20574" s="19">
        <f>1289.16/(1+B2)</f>
        <v>1289.1600000000001</v>
      </c>
      <c r="D20574" s="17" t="s">
        <v>11</v>
      </c>
      <c r="E20574" s="17" t="s">
        <v>11</v>
      </c>
      <c r="F20574" s="18"/>
      <c r="G20574" s="36" t="str">
        <f>IF(ISNUMBER(F20574),C20574*F20574,"")</f>
        <v/>
      </c>
    </row>
    <row r="20575" spans="1:7" ht="12" customHeight="1" outlineLevel="2" x14ac:dyDescent="0.2">
      <c r="A20575" s="14" t="s">
        <v>40494</v>
      </c>
      <c r="B20575" s="15" t="s">
        <v>40495</v>
      </c>
      <c r="C20575" s="16">
        <f>917.69/(1+B2)</f>
        <v>917.69</v>
      </c>
      <c r="D20575" s="17" t="s">
        <v>11</v>
      </c>
      <c r="E20575" s="17" t="s">
        <v>11</v>
      </c>
      <c r="F20575" s="18"/>
      <c r="G20575" s="36" t="str">
        <f>IF(ISNUMBER(F20575),C20575*F20575,"")</f>
        <v/>
      </c>
    </row>
    <row r="20576" spans="1:7" ht="24" customHeight="1" outlineLevel="2" x14ac:dyDescent="0.2">
      <c r="A20576" s="14" t="s">
        <v>40496</v>
      </c>
      <c r="B20576" s="15" t="s">
        <v>40497</v>
      </c>
      <c r="C20576" s="19">
        <f>3202.14/(1+B2)</f>
        <v>3202.14</v>
      </c>
      <c r="D20576" s="17" t="s">
        <v>11</v>
      </c>
      <c r="E20576" s="17" t="s">
        <v>11</v>
      </c>
      <c r="F20576" s="18"/>
      <c r="G20576" s="36" t="str">
        <f>IF(ISNUMBER(F20576),C20576*F20576,"")</f>
        <v/>
      </c>
    </row>
    <row r="20577" spans="1:7" ht="12" customHeight="1" outlineLevel="2" x14ac:dyDescent="0.2">
      <c r="A20577" s="14" t="s">
        <v>40498</v>
      </c>
      <c r="B20577" s="15" t="s">
        <v>40499</v>
      </c>
      <c r="C20577" s="19">
        <f>3905.51/(1+B2)</f>
        <v>3905.51</v>
      </c>
      <c r="D20577" s="17" t="s">
        <v>11</v>
      </c>
      <c r="E20577" s="17"/>
      <c r="F20577" s="18"/>
      <c r="G20577" s="36" t="str">
        <f>IF(ISNUMBER(F20577),C20577*F20577,"")</f>
        <v/>
      </c>
    </row>
    <row r="20578" spans="1:7" ht="12" customHeight="1" outlineLevel="2" x14ac:dyDescent="0.2">
      <c r="A20578" s="14" t="s">
        <v>40500</v>
      </c>
      <c r="B20578" s="15" t="s">
        <v>40501</v>
      </c>
      <c r="C20578" s="19">
        <f>6078.69/(1+B2)</f>
        <v>6078.69</v>
      </c>
      <c r="D20578" s="17" t="s">
        <v>11</v>
      </c>
      <c r="E20578" s="17" t="s">
        <v>11</v>
      </c>
      <c r="F20578" s="18"/>
      <c r="G20578" s="36" t="str">
        <f>IF(ISNUMBER(F20578),C20578*F20578,"")</f>
        <v/>
      </c>
    </row>
    <row r="20579" spans="1:7" ht="12" customHeight="1" outlineLevel="2" x14ac:dyDescent="0.2">
      <c r="A20579" s="14" t="s">
        <v>40502</v>
      </c>
      <c r="B20579" s="15" t="s">
        <v>40503</v>
      </c>
      <c r="C20579" s="19">
        <f>2534.4/(1+B2)</f>
        <v>2534.4</v>
      </c>
      <c r="D20579" s="17" t="s">
        <v>11</v>
      </c>
      <c r="E20579" s="17" t="s">
        <v>11</v>
      </c>
      <c r="F20579" s="18"/>
      <c r="G20579" s="36" t="str">
        <f>IF(ISNUMBER(F20579),C20579*F20579,"")</f>
        <v/>
      </c>
    </row>
    <row r="20580" spans="1:7" s="1" customFormat="1" ht="15.95" customHeight="1" outlineLevel="1" x14ac:dyDescent="0.25">
      <c r="A20580" s="11"/>
      <c r="B20580" s="12" t="s">
        <v>40504</v>
      </c>
      <c r="C20580" s="13"/>
      <c r="D20580" s="13"/>
      <c r="E20580" s="13"/>
      <c r="F20580" s="13"/>
      <c r="G20580" s="35"/>
    </row>
    <row r="20581" spans="1:7" s="1" customFormat="1" ht="12.95" customHeight="1" outlineLevel="2" x14ac:dyDescent="0.2">
      <c r="A20581" s="20"/>
      <c r="B20581" s="21" t="s">
        <v>40505</v>
      </c>
      <c r="C20581" s="22"/>
      <c r="D20581" s="22"/>
      <c r="E20581" s="22"/>
      <c r="F20581" s="22"/>
      <c r="G20581" s="37"/>
    </row>
    <row r="20582" spans="1:7" ht="12" customHeight="1" outlineLevel="3" x14ac:dyDescent="0.2">
      <c r="A20582" s="14" t="s">
        <v>40506</v>
      </c>
      <c r="B20582" s="15" t="s">
        <v>40507</v>
      </c>
      <c r="C20582" s="19">
        <f>2105.08/(1+B2)</f>
        <v>2105.08</v>
      </c>
      <c r="D20582" s="17" t="s">
        <v>11</v>
      </c>
      <c r="E20582" s="17"/>
      <c r="F20582" s="18"/>
      <c r="G20582" s="36" t="str">
        <f>IF(ISNUMBER(F20582),C20582*F20582,"")</f>
        <v/>
      </c>
    </row>
    <row r="20583" spans="1:7" ht="12" customHeight="1" outlineLevel="3" x14ac:dyDescent="0.2">
      <c r="A20583" s="14" t="s">
        <v>40508</v>
      </c>
      <c r="B20583" s="15" t="s">
        <v>40509</v>
      </c>
      <c r="C20583" s="19">
        <f>2315.26/(1+B2)</f>
        <v>2315.2600000000002</v>
      </c>
      <c r="D20583" s="17" t="s">
        <v>11</v>
      </c>
      <c r="E20583" s="17"/>
      <c r="F20583" s="18"/>
      <c r="G20583" s="36" t="str">
        <f>IF(ISNUMBER(F20583),C20583*F20583,"")</f>
        <v/>
      </c>
    </row>
    <row r="20584" spans="1:7" ht="24" customHeight="1" outlineLevel="3" x14ac:dyDescent="0.2">
      <c r="A20584" s="14" t="s">
        <v>40510</v>
      </c>
      <c r="B20584" s="15" t="s">
        <v>40511</v>
      </c>
      <c r="C20584" s="19">
        <f>3608.15/(1+B2)</f>
        <v>3608.15</v>
      </c>
      <c r="D20584" s="17" t="s">
        <v>11</v>
      </c>
      <c r="E20584" s="17"/>
      <c r="F20584" s="18"/>
      <c r="G20584" s="36" t="str">
        <f>IF(ISNUMBER(F20584),C20584*F20584,"")</f>
        <v/>
      </c>
    </row>
    <row r="20585" spans="1:7" ht="12" customHeight="1" outlineLevel="3" x14ac:dyDescent="0.2">
      <c r="A20585" s="14" t="s">
        <v>40512</v>
      </c>
      <c r="B20585" s="15" t="s">
        <v>40513</v>
      </c>
      <c r="C20585" s="19">
        <f>1292.55/(1+B2)</f>
        <v>1292.55</v>
      </c>
      <c r="D20585" s="17" t="s">
        <v>11</v>
      </c>
      <c r="E20585" s="17" t="s">
        <v>14</v>
      </c>
      <c r="F20585" s="18"/>
      <c r="G20585" s="36" t="str">
        <f>IF(ISNUMBER(F20585),C20585*F20585,"")</f>
        <v/>
      </c>
    </row>
    <row r="20586" spans="1:7" ht="24" customHeight="1" outlineLevel="3" x14ac:dyDescent="0.2">
      <c r="A20586" s="14" t="s">
        <v>40514</v>
      </c>
      <c r="B20586" s="15" t="s">
        <v>40515</v>
      </c>
      <c r="C20586" s="16">
        <f>715.69/(1+B2)</f>
        <v>715.69</v>
      </c>
      <c r="D20586" s="17" t="s">
        <v>11</v>
      </c>
      <c r="E20586" s="17" t="s">
        <v>11</v>
      </c>
      <c r="F20586" s="18"/>
      <c r="G20586" s="36" t="str">
        <f>IF(ISNUMBER(F20586),C20586*F20586,"")</f>
        <v/>
      </c>
    </row>
    <row r="20587" spans="1:7" ht="24" customHeight="1" outlineLevel="3" x14ac:dyDescent="0.2">
      <c r="A20587" s="14" t="s">
        <v>40516</v>
      </c>
      <c r="B20587" s="15" t="s">
        <v>40517</v>
      </c>
      <c r="C20587" s="19">
        <f>1005.21/(1+B2)</f>
        <v>1005.21</v>
      </c>
      <c r="D20587" s="17" t="s">
        <v>11</v>
      </c>
      <c r="E20587" s="17" t="s">
        <v>11</v>
      </c>
      <c r="F20587" s="18"/>
      <c r="G20587" s="36" t="str">
        <f>IF(ISNUMBER(F20587),C20587*F20587,"")</f>
        <v/>
      </c>
    </row>
    <row r="20588" spans="1:7" ht="12" customHeight="1" outlineLevel="3" x14ac:dyDescent="0.2">
      <c r="A20588" s="14" t="s">
        <v>40518</v>
      </c>
      <c r="B20588" s="15" t="s">
        <v>40519</v>
      </c>
      <c r="C20588" s="19">
        <f>1628.42/(1+B2)</f>
        <v>1628.42</v>
      </c>
      <c r="D20588" s="17" t="s">
        <v>11</v>
      </c>
      <c r="E20588" s="17"/>
      <c r="F20588" s="18"/>
      <c r="G20588" s="36" t="str">
        <f>IF(ISNUMBER(F20588),C20588*F20588,"")</f>
        <v/>
      </c>
    </row>
    <row r="20589" spans="1:7" ht="12" customHeight="1" outlineLevel="3" x14ac:dyDescent="0.2">
      <c r="A20589" s="14" t="s">
        <v>40520</v>
      </c>
      <c r="B20589" s="15" t="s">
        <v>40521</v>
      </c>
      <c r="C20589" s="19">
        <f>2538.87/(1+B2)</f>
        <v>2538.87</v>
      </c>
      <c r="D20589" s="17" t="s">
        <v>11</v>
      </c>
      <c r="E20589" s="17"/>
      <c r="F20589" s="18"/>
      <c r="G20589" s="36" t="str">
        <f>IF(ISNUMBER(F20589),C20589*F20589,"")</f>
        <v/>
      </c>
    </row>
    <row r="20590" spans="1:7" ht="12" customHeight="1" outlineLevel="3" x14ac:dyDescent="0.2">
      <c r="A20590" s="14" t="s">
        <v>40522</v>
      </c>
      <c r="B20590" s="15" t="s">
        <v>40523</v>
      </c>
      <c r="C20590" s="19">
        <f>3706.17/(1+B2)</f>
        <v>3706.17</v>
      </c>
      <c r="D20590" s="17" t="s">
        <v>11</v>
      </c>
      <c r="E20590" s="17"/>
      <c r="F20590" s="18"/>
      <c r="G20590" s="36" t="str">
        <f>IF(ISNUMBER(F20590),C20590*F20590,"")</f>
        <v/>
      </c>
    </row>
    <row r="20591" spans="1:7" ht="24" customHeight="1" outlineLevel="3" x14ac:dyDescent="0.2">
      <c r="A20591" s="14" t="s">
        <v>40524</v>
      </c>
      <c r="B20591" s="15" t="s">
        <v>40525</v>
      </c>
      <c r="C20591" s="19">
        <f>2778.75/(1+B2)</f>
        <v>2778.75</v>
      </c>
      <c r="D20591" s="17" t="s">
        <v>11</v>
      </c>
      <c r="E20591" s="17"/>
      <c r="F20591" s="18"/>
      <c r="G20591" s="36" t="str">
        <f>IF(ISNUMBER(F20591),C20591*F20591,"")</f>
        <v/>
      </c>
    </row>
    <row r="20592" spans="1:7" ht="12" customHeight="1" outlineLevel="3" x14ac:dyDescent="0.2">
      <c r="A20592" s="14" t="s">
        <v>40526</v>
      </c>
      <c r="B20592" s="15" t="s">
        <v>40527</v>
      </c>
      <c r="C20592" s="19">
        <f>2698.48/(1+B2)</f>
        <v>2698.48</v>
      </c>
      <c r="D20592" s="17" t="s">
        <v>11</v>
      </c>
      <c r="E20592" s="17"/>
      <c r="F20592" s="18"/>
      <c r="G20592" s="36" t="str">
        <f>IF(ISNUMBER(F20592),C20592*F20592,"")</f>
        <v/>
      </c>
    </row>
    <row r="20593" spans="1:7" ht="24" customHeight="1" outlineLevel="3" x14ac:dyDescent="0.2">
      <c r="A20593" s="14" t="s">
        <v>40528</v>
      </c>
      <c r="B20593" s="15" t="s">
        <v>40529</v>
      </c>
      <c r="C20593" s="19">
        <f>2122.9/(1+B2)</f>
        <v>2122.9</v>
      </c>
      <c r="D20593" s="17" t="s">
        <v>11</v>
      </c>
      <c r="E20593" s="17"/>
      <c r="F20593" s="18"/>
      <c r="G20593" s="36" t="str">
        <f>IF(ISNUMBER(F20593),C20593*F20593,"")</f>
        <v/>
      </c>
    </row>
    <row r="20594" spans="1:7" ht="12" customHeight="1" outlineLevel="3" x14ac:dyDescent="0.2">
      <c r="A20594" s="14" t="s">
        <v>40530</v>
      </c>
      <c r="B20594" s="15" t="s">
        <v>40531</v>
      </c>
      <c r="C20594" s="19">
        <f>3027.5/(1+B2)</f>
        <v>3027.5</v>
      </c>
      <c r="D20594" s="17" t="s">
        <v>11</v>
      </c>
      <c r="E20594" s="17"/>
      <c r="F20594" s="18"/>
      <c r="G20594" s="36" t="str">
        <f>IF(ISNUMBER(F20594),C20594*F20594,"")</f>
        <v/>
      </c>
    </row>
    <row r="20595" spans="1:7" ht="12" customHeight="1" outlineLevel="3" x14ac:dyDescent="0.2">
      <c r="A20595" s="14" t="s">
        <v>40532</v>
      </c>
      <c r="B20595" s="15" t="s">
        <v>40533</v>
      </c>
      <c r="C20595" s="19">
        <f>1273.18/(1+B2)</f>
        <v>1273.18</v>
      </c>
      <c r="D20595" s="17" t="s">
        <v>11</v>
      </c>
      <c r="E20595" s="17"/>
      <c r="F20595" s="18"/>
      <c r="G20595" s="36" t="str">
        <f>IF(ISNUMBER(F20595),C20595*F20595,"")</f>
        <v/>
      </c>
    </row>
    <row r="20596" spans="1:7" ht="12" customHeight="1" outlineLevel="3" x14ac:dyDescent="0.2">
      <c r="A20596" s="14" t="s">
        <v>40534</v>
      </c>
      <c r="B20596" s="15" t="s">
        <v>40535</v>
      </c>
      <c r="C20596" s="19">
        <f>1273.18/(1+B2)</f>
        <v>1273.18</v>
      </c>
      <c r="D20596" s="17" t="s">
        <v>11</v>
      </c>
      <c r="E20596" s="17"/>
      <c r="F20596" s="18"/>
      <c r="G20596" s="36" t="str">
        <f>IF(ISNUMBER(F20596),C20596*F20596,"")</f>
        <v/>
      </c>
    </row>
    <row r="20597" spans="1:7" ht="24" customHeight="1" outlineLevel="3" x14ac:dyDescent="0.2">
      <c r="A20597" s="14" t="s">
        <v>40536</v>
      </c>
      <c r="B20597" s="15" t="s">
        <v>40537</v>
      </c>
      <c r="C20597" s="19">
        <f>1209.88/(1+B2)</f>
        <v>1209.8800000000001</v>
      </c>
      <c r="D20597" s="17" t="s">
        <v>11</v>
      </c>
      <c r="E20597" s="17" t="s">
        <v>11</v>
      </c>
      <c r="F20597" s="18"/>
      <c r="G20597" s="36" t="str">
        <f>IF(ISNUMBER(F20597),C20597*F20597,"")</f>
        <v/>
      </c>
    </row>
    <row r="20598" spans="1:7" ht="24" customHeight="1" outlineLevel="3" x14ac:dyDescent="0.2">
      <c r="A20598" s="14" t="s">
        <v>40538</v>
      </c>
      <c r="B20598" s="15" t="s">
        <v>40539</v>
      </c>
      <c r="C20598" s="16">
        <f>188.76/(1+B2)</f>
        <v>188.76</v>
      </c>
      <c r="D20598" s="17" t="s">
        <v>11</v>
      </c>
      <c r="E20598" s="17" t="s">
        <v>11</v>
      </c>
      <c r="F20598" s="18"/>
      <c r="G20598" s="36" t="str">
        <f>IF(ISNUMBER(F20598),C20598*F20598,"")</f>
        <v/>
      </c>
    </row>
    <row r="20599" spans="1:7" ht="24" customHeight="1" outlineLevel="3" x14ac:dyDescent="0.2">
      <c r="A20599" s="14" t="s">
        <v>40540</v>
      </c>
      <c r="B20599" s="15" t="s">
        <v>40541</v>
      </c>
      <c r="C20599" s="16">
        <f>828.36/(1+B2)</f>
        <v>828.36</v>
      </c>
      <c r="D20599" s="17" t="s">
        <v>11</v>
      </c>
      <c r="E20599" s="17" t="s">
        <v>53</v>
      </c>
      <c r="F20599" s="18"/>
      <c r="G20599" s="36" t="str">
        <f>IF(ISNUMBER(F20599),C20599*F20599,"")</f>
        <v/>
      </c>
    </row>
    <row r="20600" spans="1:7" ht="24" customHeight="1" outlineLevel="3" x14ac:dyDescent="0.2">
      <c r="A20600" s="14" t="s">
        <v>40542</v>
      </c>
      <c r="B20600" s="15" t="s">
        <v>40543</v>
      </c>
      <c r="C20600" s="16">
        <f>585/(1+B2)</f>
        <v>585</v>
      </c>
      <c r="D20600" s="17" t="s">
        <v>11</v>
      </c>
      <c r="E20600" s="17" t="s">
        <v>11</v>
      </c>
      <c r="F20600" s="18"/>
      <c r="G20600" s="36" t="str">
        <f>IF(ISNUMBER(F20600),C20600*F20600,"")</f>
        <v/>
      </c>
    </row>
    <row r="20601" spans="1:7" ht="12" customHeight="1" outlineLevel="3" x14ac:dyDescent="0.2">
      <c r="A20601" s="14" t="s">
        <v>40544</v>
      </c>
      <c r="B20601" s="15" t="s">
        <v>40545</v>
      </c>
      <c r="C20601" s="19">
        <f>2075.7/(1+B2)</f>
        <v>2075.6999999999998</v>
      </c>
      <c r="D20601" s="17" t="s">
        <v>11</v>
      </c>
      <c r="E20601" s="17"/>
      <c r="F20601" s="18"/>
      <c r="G20601" s="36" t="str">
        <f>IF(ISNUMBER(F20601),C20601*F20601,"")</f>
        <v/>
      </c>
    </row>
    <row r="20602" spans="1:7" ht="12" customHeight="1" outlineLevel="3" x14ac:dyDescent="0.2">
      <c r="A20602" s="14" t="s">
        <v>40546</v>
      </c>
      <c r="B20602" s="15" t="s">
        <v>40547</v>
      </c>
      <c r="C20602" s="19">
        <f>1347.47/(1+B2)</f>
        <v>1347.47</v>
      </c>
      <c r="D20602" s="17" t="s">
        <v>11</v>
      </c>
      <c r="E20602" s="17" t="s">
        <v>11</v>
      </c>
      <c r="F20602" s="18"/>
      <c r="G20602" s="36" t="str">
        <f>IF(ISNUMBER(F20602),C20602*F20602,"")</f>
        <v/>
      </c>
    </row>
    <row r="20603" spans="1:7" ht="12" customHeight="1" outlineLevel="3" x14ac:dyDescent="0.2">
      <c r="A20603" s="14" t="s">
        <v>40548</v>
      </c>
      <c r="B20603" s="15" t="s">
        <v>40549</v>
      </c>
      <c r="C20603" s="19">
        <f>1558.72/(1+B2)</f>
        <v>1558.72</v>
      </c>
      <c r="D20603" s="17" t="s">
        <v>11</v>
      </c>
      <c r="E20603" s="17" t="s">
        <v>11</v>
      </c>
      <c r="F20603" s="18"/>
      <c r="G20603" s="36" t="str">
        <f>IF(ISNUMBER(F20603),C20603*F20603,"")</f>
        <v/>
      </c>
    </row>
    <row r="20604" spans="1:7" ht="12" customHeight="1" outlineLevel="3" x14ac:dyDescent="0.2">
      <c r="A20604" s="14" t="s">
        <v>40550</v>
      </c>
      <c r="B20604" s="15" t="s">
        <v>40551</v>
      </c>
      <c r="C20604" s="19">
        <f>1700.89/(1+B2)</f>
        <v>1700.89</v>
      </c>
      <c r="D20604" s="17" t="s">
        <v>11</v>
      </c>
      <c r="E20604" s="17" t="s">
        <v>11</v>
      </c>
      <c r="F20604" s="18"/>
      <c r="G20604" s="36" t="str">
        <f>IF(ISNUMBER(F20604),C20604*F20604,"")</f>
        <v/>
      </c>
    </row>
    <row r="20605" spans="1:7" ht="12" customHeight="1" outlineLevel="3" x14ac:dyDescent="0.2">
      <c r="A20605" s="14" t="s">
        <v>40552</v>
      </c>
      <c r="B20605" s="15" t="s">
        <v>40553</v>
      </c>
      <c r="C20605" s="19">
        <f>2052.49/(1+B2)</f>
        <v>2052.4899999999998</v>
      </c>
      <c r="D20605" s="17" t="s">
        <v>11</v>
      </c>
      <c r="E20605" s="17" t="s">
        <v>11</v>
      </c>
      <c r="F20605" s="18"/>
      <c r="G20605" s="36" t="str">
        <f>IF(ISNUMBER(F20605),C20605*F20605,"")</f>
        <v/>
      </c>
    </row>
    <row r="20606" spans="1:7" ht="12" customHeight="1" outlineLevel="3" x14ac:dyDescent="0.2">
      <c r="A20606" s="14" t="s">
        <v>40554</v>
      </c>
      <c r="B20606" s="15" t="s">
        <v>40555</v>
      </c>
      <c r="C20606" s="19">
        <f>2069.16/(1+B2)</f>
        <v>2069.16</v>
      </c>
      <c r="D20606" s="17" t="s">
        <v>11</v>
      </c>
      <c r="E20606" s="17" t="s">
        <v>11</v>
      </c>
      <c r="F20606" s="18"/>
      <c r="G20606" s="36" t="str">
        <f>IF(ISNUMBER(F20606),C20606*F20606,"")</f>
        <v/>
      </c>
    </row>
    <row r="20607" spans="1:7" ht="12" customHeight="1" outlineLevel="3" x14ac:dyDescent="0.2">
      <c r="A20607" s="14" t="s">
        <v>40556</v>
      </c>
      <c r="B20607" s="15" t="s">
        <v>40557</v>
      </c>
      <c r="C20607" s="19">
        <f>1975.36/(1+B2)</f>
        <v>1975.36</v>
      </c>
      <c r="D20607" s="17" t="s">
        <v>11</v>
      </c>
      <c r="E20607" s="17" t="s">
        <v>11</v>
      </c>
      <c r="F20607" s="18"/>
      <c r="G20607" s="36" t="str">
        <f>IF(ISNUMBER(F20607),C20607*F20607,"")</f>
        <v/>
      </c>
    </row>
    <row r="20608" spans="1:7" ht="12" customHeight="1" outlineLevel="3" x14ac:dyDescent="0.2">
      <c r="A20608" s="14" t="s">
        <v>40558</v>
      </c>
      <c r="B20608" s="15" t="s">
        <v>40559</v>
      </c>
      <c r="C20608" s="19">
        <f>1832.17/(1+B2)</f>
        <v>1832.17</v>
      </c>
      <c r="D20608" s="17" t="s">
        <v>11</v>
      </c>
      <c r="E20608" s="17"/>
      <c r="F20608" s="18"/>
      <c r="G20608" s="36" t="str">
        <f>IF(ISNUMBER(F20608),C20608*F20608,"")</f>
        <v/>
      </c>
    </row>
    <row r="20609" spans="1:7" ht="24" customHeight="1" outlineLevel="3" x14ac:dyDescent="0.2">
      <c r="A20609" s="14" t="s">
        <v>40560</v>
      </c>
      <c r="B20609" s="15" t="s">
        <v>40561</v>
      </c>
      <c r="C20609" s="19">
        <f>2386.61/(1+B2)</f>
        <v>2386.61</v>
      </c>
      <c r="D20609" s="17" t="s">
        <v>11</v>
      </c>
      <c r="E20609" s="17" t="s">
        <v>11</v>
      </c>
      <c r="F20609" s="18"/>
      <c r="G20609" s="36" t="str">
        <f>IF(ISNUMBER(F20609),C20609*F20609,"")</f>
        <v/>
      </c>
    </row>
    <row r="20610" spans="1:7" ht="24" customHeight="1" outlineLevel="3" x14ac:dyDescent="0.2">
      <c r="A20610" s="14" t="s">
        <v>40562</v>
      </c>
      <c r="B20610" s="15" t="s">
        <v>40563</v>
      </c>
      <c r="C20610" s="19">
        <f>2482.31/(1+B2)</f>
        <v>2482.31</v>
      </c>
      <c r="D20610" s="17" t="s">
        <v>11</v>
      </c>
      <c r="E20610" s="17" t="s">
        <v>11</v>
      </c>
      <c r="F20610" s="18"/>
      <c r="G20610" s="36" t="str">
        <f>IF(ISNUMBER(F20610),C20610*F20610,"")</f>
        <v/>
      </c>
    </row>
    <row r="20611" spans="1:7" ht="24" customHeight="1" outlineLevel="3" x14ac:dyDescent="0.2">
      <c r="A20611" s="14" t="s">
        <v>40564</v>
      </c>
      <c r="B20611" s="15" t="s">
        <v>40565</v>
      </c>
      <c r="C20611" s="19">
        <f>2151.59/(1+B2)</f>
        <v>2151.59</v>
      </c>
      <c r="D20611" s="17" t="s">
        <v>11</v>
      </c>
      <c r="E20611" s="17" t="s">
        <v>11</v>
      </c>
      <c r="F20611" s="18"/>
      <c r="G20611" s="36" t="str">
        <f>IF(ISNUMBER(F20611),C20611*F20611,"")</f>
        <v/>
      </c>
    </row>
    <row r="20612" spans="1:7" ht="12" customHeight="1" outlineLevel="3" x14ac:dyDescent="0.2">
      <c r="A20612" s="14" t="s">
        <v>40566</v>
      </c>
      <c r="B20612" s="15" t="s">
        <v>40567</v>
      </c>
      <c r="C20612" s="19">
        <f>2259.68/(1+B2)</f>
        <v>2259.6799999999998</v>
      </c>
      <c r="D20612" s="17" t="s">
        <v>11</v>
      </c>
      <c r="E20612" s="17" t="s">
        <v>11</v>
      </c>
      <c r="F20612" s="18"/>
      <c r="G20612" s="36" t="str">
        <f>IF(ISNUMBER(F20612),C20612*F20612,"")</f>
        <v/>
      </c>
    </row>
    <row r="20613" spans="1:7" ht="12" customHeight="1" outlineLevel="3" x14ac:dyDescent="0.2">
      <c r="A20613" s="14" t="s">
        <v>40568</v>
      </c>
      <c r="B20613" s="15" t="s">
        <v>40569</v>
      </c>
      <c r="C20613" s="19">
        <f>1944.35/(1+B2)</f>
        <v>1944.35</v>
      </c>
      <c r="D20613" s="17" t="s">
        <v>11</v>
      </c>
      <c r="E20613" s="17" t="s">
        <v>11</v>
      </c>
      <c r="F20613" s="18"/>
      <c r="G20613" s="36" t="str">
        <f>IF(ISNUMBER(F20613),C20613*F20613,"")</f>
        <v/>
      </c>
    </row>
    <row r="20614" spans="1:7" ht="12" customHeight="1" outlineLevel="3" x14ac:dyDescent="0.2">
      <c r="A20614" s="14" t="s">
        <v>40570</v>
      </c>
      <c r="B20614" s="15" t="s">
        <v>40571</v>
      </c>
      <c r="C20614" s="19">
        <f>1867.04/(1+B2)</f>
        <v>1867.04</v>
      </c>
      <c r="D20614" s="17" t="s">
        <v>11</v>
      </c>
      <c r="E20614" s="17" t="s">
        <v>11</v>
      </c>
      <c r="F20614" s="18"/>
      <c r="G20614" s="36" t="str">
        <f>IF(ISNUMBER(F20614),C20614*F20614,"")</f>
        <v/>
      </c>
    </row>
    <row r="20615" spans="1:7" ht="24" customHeight="1" outlineLevel="3" x14ac:dyDescent="0.2">
      <c r="A20615" s="14" t="s">
        <v>40572</v>
      </c>
      <c r="B20615" s="15" t="s">
        <v>40573</v>
      </c>
      <c r="C20615" s="19">
        <f>1965.23/(1+B2)</f>
        <v>1965.23</v>
      </c>
      <c r="D20615" s="17" t="s">
        <v>11</v>
      </c>
      <c r="E20615" s="17" t="s">
        <v>11</v>
      </c>
      <c r="F20615" s="18"/>
      <c r="G20615" s="36" t="str">
        <f>IF(ISNUMBER(F20615),C20615*F20615,"")</f>
        <v/>
      </c>
    </row>
    <row r="20616" spans="1:7" ht="12" customHeight="1" outlineLevel="3" x14ac:dyDescent="0.2">
      <c r="A20616" s="14" t="s">
        <v>40574</v>
      </c>
      <c r="B20616" s="15" t="s">
        <v>40575</v>
      </c>
      <c r="C20616" s="19">
        <f>1411.42/(1+B2)</f>
        <v>1411.42</v>
      </c>
      <c r="D20616" s="17" t="s">
        <v>11</v>
      </c>
      <c r="E20616" s="17" t="s">
        <v>11</v>
      </c>
      <c r="F20616" s="18"/>
      <c r="G20616" s="36" t="str">
        <f>IF(ISNUMBER(F20616),C20616*F20616,"")</f>
        <v/>
      </c>
    </row>
    <row r="20617" spans="1:7" ht="12" customHeight="1" outlineLevel="3" x14ac:dyDescent="0.2">
      <c r="A20617" s="14" t="s">
        <v>40576</v>
      </c>
      <c r="B20617" s="15" t="s">
        <v>40577</v>
      </c>
      <c r="C20617" s="19">
        <f>1755.24/(1+B2)</f>
        <v>1755.24</v>
      </c>
      <c r="D20617" s="17" t="s">
        <v>11</v>
      </c>
      <c r="E20617" s="17" t="s">
        <v>11</v>
      </c>
      <c r="F20617" s="18"/>
      <c r="G20617" s="36" t="str">
        <f>IF(ISNUMBER(F20617),C20617*F20617,"")</f>
        <v/>
      </c>
    </row>
    <row r="20618" spans="1:7" ht="12" customHeight="1" outlineLevel="3" x14ac:dyDescent="0.2">
      <c r="A20618" s="14" t="s">
        <v>40578</v>
      </c>
      <c r="B20618" s="15" t="s">
        <v>40579</v>
      </c>
      <c r="C20618" s="19">
        <f>1769.98/(1+B2)</f>
        <v>1769.98</v>
      </c>
      <c r="D20618" s="17" t="s">
        <v>11</v>
      </c>
      <c r="E20618" s="17" t="s">
        <v>11</v>
      </c>
      <c r="F20618" s="18"/>
      <c r="G20618" s="36" t="str">
        <f>IF(ISNUMBER(F20618),C20618*F20618,"")</f>
        <v/>
      </c>
    </row>
    <row r="20619" spans="1:7" ht="12" customHeight="1" outlineLevel="3" x14ac:dyDescent="0.2">
      <c r="A20619" s="14" t="s">
        <v>40580</v>
      </c>
      <c r="B20619" s="15" t="s">
        <v>40581</v>
      </c>
      <c r="C20619" s="19">
        <f>1559.63/(1+B2)</f>
        <v>1559.63</v>
      </c>
      <c r="D20619" s="17" t="s">
        <v>11</v>
      </c>
      <c r="E20619" s="17" t="s">
        <v>11</v>
      </c>
      <c r="F20619" s="18"/>
      <c r="G20619" s="36" t="str">
        <f>IF(ISNUMBER(F20619),C20619*F20619,"")</f>
        <v/>
      </c>
    </row>
    <row r="20620" spans="1:7" ht="12" customHeight="1" outlineLevel="3" x14ac:dyDescent="0.2">
      <c r="A20620" s="14" t="s">
        <v>40582</v>
      </c>
      <c r="B20620" s="15" t="s">
        <v>40583</v>
      </c>
      <c r="C20620" s="19">
        <f>3254.47/(1+B2)</f>
        <v>3254.47</v>
      </c>
      <c r="D20620" s="17" t="s">
        <v>11</v>
      </c>
      <c r="E20620" s="17" t="s">
        <v>11</v>
      </c>
      <c r="F20620" s="18"/>
      <c r="G20620" s="36" t="str">
        <f>IF(ISNUMBER(F20620),C20620*F20620,"")</f>
        <v/>
      </c>
    </row>
    <row r="20621" spans="1:7" ht="12" customHeight="1" outlineLevel="3" x14ac:dyDescent="0.2">
      <c r="A20621" s="14" t="s">
        <v>40584</v>
      </c>
      <c r="B20621" s="15" t="s">
        <v>40585</v>
      </c>
      <c r="C20621" s="19">
        <f>1931.56/(1+B2)</f>
        <v>1931.56</v>
      </c>
      <c r="D20621" s="17" t="s">
        <v>11</v>
      </c>
      <c r="E20621" s="17" t="s">
        <v>11</v>
      </c>
      <c r="F20621" s="18"/>
      <c r="G20621" s="36" t="str">
        <f>IF(ISNUMBER(F20621),C20621*F20621,"")</f>
        <v/>
      </c>
    </row>
    <row r="20622" spans="1:7" ht="24" customHeight="1" outlineLevel="3" x14ac:dyDescent="0.2">
      <c r="A20622" s="14" t="s">
        <v>40586</v>
      </c>
      <c r="B20622" s="15" t="s">
        <v>40587</v>
      </c>
      <c r="C20622" s="19">
        <f>1306.93/(1+B2)</f>
        <v>1306.93</v>
      </c>
      <c r="D20622" s="17" t="s">
        <v>11</v>
      </c>
      <c r="E20622" s="17" t="s">
        <v>14</v>
      </c>
      <c r="F20622" s="18"/>
      <c r="G20622" s="36" t="str">
        <f>IF(ISNUMBER(F20622),C20622*F20622,"")</f>
        <v/>
      </c>
    </row>
    <row r="20623" spans="1:7" ht="24" customHeight="1" outlineLevel="3" x14ac:dyDescent="0.2">
      <c r="A20623" s="14" t="s">
        <v>40588</v>
      </c>
      <c r="B20623" s="15" t="s">
        <v>40589</v>
      </c>
      <c r="C20623" s="19">
        <f>1416.78/(1+B2)</f>
        <v>1416.78</v>
      </c>
      <c r="D20623" s="17" t="s">
        <v>11</v>
      </c>
      <c r="E20623" s="17" t="s">
        <v>11</v>
      </c>
      <c r="F20623" s="18"/>
      <c r="G20623" s="36" t="str">
        <f>IF(ISNUMBER(F20623),C20623*F20623,"")</f>
        <v/>
      </c>
    </row>
    <row r="20624" spans="1:7" ht="24" customHeight="1" outlineLevel="3" x14ac:dyDescent="0.2">
      <c r="A20624" s="14" t="s">
        <v>40590</v>
      </c>
      <c r="B20624" s="15" t="s">
        <v>40591</v>
      </c>
      <c r="C20624" s="19">
        <f>1244.69/(1+B2)</f>
        <v>1244.69</v>
      </c>
      <c r="D20624" s="17" t="s">
        <v>11</v>
      </c>
      <c r="E20624" s="17" t="s">
        <v>11</v>
      </c>
      <c r="F20624" s="18"/>
      <c r="G20624" s="36" t="str">
        <f>IF(ISNUMBER(F20624),C20624*F20624,"")</f>
        <v/>
      </c>
    </row>
    <row r="20625" spans="1:7" ht="24" customHeight="1" outlineLevel="3" x14ac:dyDescent="0.2">
      <c r="A20625" s="14" t="s">
        <v>40592</v>
      </c>
      <c r="B20625" s="15" t="s">
        <v>40593</v>
      </c>
      <c r="C20625" s="19">
        <f>1234.99/(1+B2)</f>
        <v>1234.99</v>
      </c>
      <c r="D20625" s="17" t="s">
        <v>11</v>
      </c>
      <c r="E20625" s="17" t="s">
        <v>11</v>
      </c>
      <c r="F20625" s="18"/>
      <c r="G20625" s="36" t="str">
        <f>IF(ISNUMBER(F20625),C20625*F20625,"")</f>
        <v/>
      </c>
    </row>
    <row r="20626" spans="1:7" ht="24" customHeight="1" outlineLevel="3" x14ac:dyDescent="0.2">
      <c r="A20626" s="14" t="s">
        <v>40594</v>
      </c>
      <c r="B20626" s="15" t="s">
        <v>40595</v>
      </c>
      <c r="C20626" s="19">
        <f>1317.78/(1+B2)</f>
        <v>1317.78</v>
      </c>
      <c r="D20626" s="17" t="s">
        <v>11</v>
      </c>
      <c r="E20626" s="17" t="s">
        <v>11</v>
      </c>
      <c r="F20626" s="18"/>
      <c r="G20626" s="36" t="str">
        <f>IF(ISNUMBER(F20626),C20626*F20626,"")</f>
        <v/>
      </c>
    </row>
    <row r="20627" spans="1:7" ht="24" customHeight="1" outlineLevel="3" x14ac:dyDescent="0.2">
      <c r="A20627" s="14" t="s">
        <v>40596</v>
      </c>
      <c r="B20627" s="15" t="s">
        <v>40597</v>
      </c>
      <c r="C20627" s="19">
        <f>3026.09/(1+B2)</f>
        <v>3026.09</v>
      </c>
      <c r="D20627" s="17" t="s">
        <v>11</v>
      </c>
      <c r="E20627" s="17" t="s">
        <v>11</v>
      </c>
      <c r="F20627" s="18"/>
      <c r="G20627" s="36" t="str">
        <f>IF(ISNUMBER(F20627),C20627*F20627,"")</f>
        <v/>
      </c>
    </row>
    <row r="20628" spans="1:7" ht="24" customHeight="1" outlineLevel="3" x14ac:dyDescent="0.2">
      <c r="A20628" s="14" t="s">
        <v>40598</v>
      </c>
      <c r="B20628" s="15" t="s">
        <v>40599</v>
      </c>
      <c r="C20628" s="19">
        <f>1804.24/(1+B2)</f>
        <v>1804.24</v>
      </c>
      <c r="D20628" s="17" t="s">
        <v>11</v>
      </c>
      <c r="E20628" s="17" t="s">
        <v>11</v>
      </c>
      <c r="F20628" s="18"/>
      <c r="G20628" s="36" t="str">
        <f>IF(ISNUMBER(F20628),C20628*F20628,"")</f>
        <v/>
      </c>
    </row>
    <row r="20629" spans="1:7" ht="24" customHeight="1" outlineLevel="3" x14ac:dyDescent="0.2">
      <c r="A20629" s="14" t="s">
        <v>40600</v>
      </c>
      <c r="B20629" s="15" t="s">
        <v>40601</v>
      </c>
      <c r="C20629" s="19">
        <f>1428.72/(1+B2)</f>
        <v>1428.72</v>
      </c>
      <c r="D20629" s="17" t="s">
        <v>11</v>
      </c>
      <c r="E20629" s="17" t="s">
        <v>11</v>
      </c>
      <c r="F20629" s="18"/>
      <c r="G20629" s="36" t="str">
        <f>IF(ISNUMBER(F20629),C20629*F20629,"")</f>
        <v/>
      </c>
    </row>
    <row r="20630" spans="1:7" ht="24" customHeight="1" outlineLevel="3" x14ac:dyDescent="0.2">
      <c r="A20630" s="14" t="s">
        <v>40602</v>
      </c>
      <c r="B20630" s="15" t="s">
        <v>40603</v>
      </c>
      <c r="C20630" s="19">
        <f>1217.51/(1+B2)</f>
        <v>1217.51</v>
      </c>
      <c r="D20630" s="17" t="s">
        <v>11</v>
      </c>
      <c r="E20630" s="17" t="s">
        <v>11</v>
      </c>
      <c r="F20630" s="18"/>
      <c r="G20630" s="36" t="str">
        <f>IF(ISNUMBER(F20630),C20630*F20630,"")</f>
        <v/>
      </c>
    </row>
    <row r="20631" spans="1:7" ht="24" customHeight="1" outlineLevel="3" x14ac:dyDescent="0.2">
      <c r="A20631" s="14" t="s">
        <v>40604</v>
      </c>
      <c r="B20631" s="15" t="s">
        <v>40605</v>
      </c>
      <c r="C20631" s="19">
        <f>1154.62/(1+B2)</f>
        <v>1154.6199999999999</v>
      </c>
      <c r="D20631" s="17" t="s">
        <v>11</v>
      </c>
      <c r="E20631" s="17"/>
      <c r="F20631" s="18"/>
      <c r="G20631" s="36" t="str">
        <f>IF(ISNUMBER(F20631),C20631*F20631,"")</f>
        <v/>
      </c>
    </row>
    <row r="20632" spans="1:7" ht="24" customHeight="1" outlineLevel="3" x14ac:dyDescent="0.2">
      <c r="A20632" s="14" t="s">
        <v>40606</v>
      </c>
      <c r="B20632" s="15" t="s">
        <v>40607</v>
      </c>
      <c r="C20632" s="19">
        <f>1135.07/(1+B2)</f>
        <v>1135.07</v>
      </c>
      <c r="D20632" s="17" t="s">
        <v>11</v>
      </c>
      <c r="E20632" s="17" t="s">
        <v>11</v>
      </c>
      <c r="F20632" s="18"/>
      <c r="G20632" s="36" t="str">
        <f>IF(ISNUMBER(F20632),C20632*F20632,"")</f>
        <v/>
      </c>
    </row>
    <row r="20633" spans="1:7" ht="24" customHeight="1" outlineLevel="3" x14ac:dyDescent="0.2">
      <c r="A20633" s="14" t="s">
        <v>40608</v>
      </c>
      <c r="B20633" s="15" t="s">
        <v>40609</v>
      </c>
      <c r="C20633" s="19">
        <f>1541.26/(1+B2)</f>
        <v>1541.26</v>
      </c>
      <c r="D20633" s="17" t="s">
        <v>11</v>
      </c>
      <c r="E20633" s="17" t="s">
        <v>11</v>
      </c>
      <c r="F20633" s="18"/>
      <c r="G20633" s="36" t="str">
        <f>IF(ISNUMBER(F20633),C20633*F20633,"")</f>
        <v/>
      </c>
    </row>
    <row r="20634" spans="1:7" ht="24" customHeight="1" outlineLevel="3" x14ac:dyDescent="0.2">
      <c r="A20634" s="14" t="s">
        <v>40610</v>
      </c>
      <c r="B20634" s="15" t="s">
        <v>40611</v>
      </c>
      <c r="C20634" s="19">
        <f>1699.28/(1+B2)</f>
        <v>1699.28</v>
      </c>
      <c r="D20634" s="17" t="s">
        <v>11</v>
      </c>
      <c r="E20634" s="17" t="s">
        <v>11</v>
      </c>
      <c r="F20634" s="18"/>
      <c r="G20634" s="36" t="str">
        <f>IF(ISNUMBER(F20634),C20634*F20634,"")</f>
        <v/>
      </c>
    </row>
    <row r="20635" spans="1:7" ht="24" customHeight="1" outlineLevel="3" x14ac:dyDescent="0.2">
      <c r="A20635" s="14" t="s">
        <v>40612</v>
      </c>
      <c r="B20635" s="15" t="s">
        <v>40613</v>
      </c>
      <c r="C20635" s="19">
        <f>1232.96/(1+B2)</f>
        <v>1232.96</v>
      </c>
      <c r="D20635" s="17" t="s">
        <v>11</v>
      </c>
      <c r="E20635" s="17" t="s">
        <v>11</v>
      </c>
      <c r="F20635" s="18"/>
      <c r="G20635" s="36" t="str">
        <f>IF(ISNUMBER(F20635),C20635*F20635,"")</f>
        <v/>
      </c>
    </row>
    <row r="20636" spans="1:7" ht="24" customHeight="1" outlineLevel="3" x14ac:dyDescent="0.2">
      <c r="A20636" s="14" t="s">
        <v>40614</v>
      </c>
      <c r="B20636" s="15" t="s">
        <v>40615</v>
      </c>
      <c r="C20636" s="19">
        <f>1341.76/(1+B2)</f>
        <v>1341.76</v>
      </c>
      <c r="D20636" s="17" t="s">
        <v>11</v>
      </c>
      <c r="E20636" s="17" t="s">
        <v>11</v>
      </c>
      <c r="F20636" s="18"/>
      <c r="G20636" s="36" t="str">
        <f>IF(ISNUMBER(F20636),C20636*F20636,"")</f>
        <v/>
      </c>
    </row>
    <row r="20637" spans="1:7" ht="24" customHeight="1" outlineLevel="3" x14ac:dyDescent="0.2">
      <c r="A20637" s="14" t="s">
        <v>40616</v>
      </c>
      <c r="B20637" s="15" t="s">
        <v>40617</v>
      </c>
      <c r="C20637" s="19">
        <f>1315.16/(1+B2)</f>
        <v>1315.16</v>
      </c>
      <c r="D20637" s="17" t="s">
        <v>11</v>
      </c>
      <c r="E20637" s="17" t="s">
        <v>11</v>
      </c>
      <c r="F20637" s="18"/>
      <c r="G20637" s="36" t="str">
        <f>IF(ISNUMBER(F20637),C20637*F20637,"")</f>
        <v/>
      </c>
    </row>
    <row r="20638" spans="1:7" ht="24" customHeight="1" outlineLevel="3" x14ac:dyDescent="0.2">
      <c r="A20638" s="14" t="s">
        <v>40618</v>
      </c>
      <c r="B20638" s="15" t="s">
        <v>40619</v>
      </c>
      <c r="C20638" s="19">
        <f>1511.7/(1+B2)</f>
        <v>1511.7</v>
      </c>
      <c r="D20638" s="17" t="s">
        <v>11</v>
      </c>
      <c r="E20638" s="17" t="s">
        <v>11</v>
      </c>
      <c r="F20638" s="18"/>
      <c r="G20638" s="36" t="str">
        <f>IF(ISNUMBER(F20638),C20638*F20638,"")</f>
        <v/>
      </c>
    </row>
    <row r="20639" spans="1:7" ht="24" customHeight="1" outlineLevel="3" x14ac:dyDescent="0.2">
      <c r="A20639" s="14" t="s">
        <v>40620</v>
      </c>
      <c r="B20639" s="15" t="s">
        <v>40621</v>
      </c>
      <c r="C20639" s="19">
        <f>1971.66/(1+B2)</f>
        <v>1971.66</v>
      </c>
      <c r="D20639" s="17" t="s">
        <v>11</v>
      </c>
      <c r="E20639" s="17" t="s">
        <v>11</v>
      </c>
      <c r="F20639" s="18"/>
      <c r="G20639" s="36" t="str">
        <f>IF(ISNUMBER(F20639),C20639*F20639,"")</f>
        <v/>
      </c>
    </row>
    <row r="20640" spans="1:7" ht="24" customHeight="1" outlineLevel="3" x14ac:dyDescent="0.2">
      <c r="A20640" s="14" t="s">
        <v>40622</v>
      </c>
      <c r="B20640" s="15" t="s">
        <v>40623</v>
      </c>
      <c r="C20640" s="19">
        <f>1209.11/(1+B2)</f>
        <v>1209.1099999999999</v>
      </c>
      <c r="D20640" s="17" t="s">
        <v>11</v>
      </c>
      <c r="E20640" s="17" t="s">
        <v>11</v>
      </c>
      <c r="F20640" s="18"/>
      <c r="G20640" s="36" t="str">
        <f>IF(ISNUMBER(F20640),C20640*F20640,"")</f>
        <v/>
      </c>
    </row>
    <row r="20641" spans="1:7" ht="24" customHeight="1" outlineLevel="3" x14ac:dyDescent="0.2">
      <c r="A20641" s="14" t="s">
        <v>40624</v>
      </c>
      <c r="B20641" s="15" t="s">
        <v>40625</v>
      </c>
      <c r="C20641" s="19">
        <f>1198.1/(1+B2)</f>
        <v>1198.0999999999999</v>
      </c>
      <c r="D20641" s="17" t="s">
        <v>11</v>
      </c>
      <c r="E20641" s="17" t="s">
        <v>11</v>
      </c>
      <c r="F20641" s="18"/>
      <c r="G20641" s="36" t="str">
        <f>IF(ISNUMBER(F20641),C20641*F20641,"")</f>
        <v/>
      </c>
    </row>
    <row r="20642" spans="1:7" ht="24" customHeight="1" outlineLevel="3" x14ac:dyDescent="0.2">
      <c r="A20642" s="14" t="s">
        <v>40626</v>
      </c>
      <c r="B20642" s="15" t="s">
        <v>40627</v>
      </c>
      <c r="C20642" s="19">
        <f>1130.5/(1+B2)</f>
        <v>1130.5</v>
      </c>
      <c r="D20642" s="17" t="s">
        <v>11</v>
      </c>
      <c r="E20642" s="17" t="s">
        <v>11</v>
      </c>
      <c r="F20642" s="18"/>
      <c r="G20642" s="36" t="str">
        <f>IF(ISNUMBER(F20642),C20642*F20642,"")</f>
        <v/>
      </c>
    </row>
    <row r="20643" spans="1:7" ht="24" customHeight="1" outlineLevel="3" x14ac:dyDescent="0.2">
      <c r="A20643" s="14" t="s">
        <v>40628</v>
      </c>
      <c r="B20643" s="15" t="s">
        <v>40629</v>
      </c>
      <c r="C20643" s="19">
        <f>3039.26/(1+B2)</f>
        <v>3039.26</v>
      </c>
      <c r="D20643" s="17" t="s">
        <v>11</v>
      </c>
      <c r="E20643" s="17" t="s">
        <v>11</v>
      </c>
      <c r="F20643" s="18"/>
      <c r="G20643" s="36" t="str">
        <f>IF(ISNUMBER(F20643),C20643*F20643,"")</f>
        <v/>
      </c>
    </row>
    <row r="20644" spans="1:7" ht="24" customHeight="1" outlineLevel="3" x14ac:dyDescent="0.2">
      <c r="A20644" s="14" t="s">
        <v>40630</v>
      </c>
      <c r="B20644" s="15" t="s">
        <v>40631</v>
      </c>
      <c r="C20644" s="16">
        <f>708.16/(1+B2)</f>
        <v>708.16</v>
      </c>
      <c r="D20644" s="17" t="s">
        <v>11</v>
      </c>
      <c r="E20644" s="17" t="s">
        <v>11</v>
      </c>
      <c r="F20644" s="18"/>
      <c r="G20644" s="36" t="str">
        <f>IF(ISNUMBER(F20644),C20644*F20644,"")</f>
        <v/>
      </c>
    </row>
    <row r="20645" spans="1:7" ht="24" customHeight="1" outlineLevel="3" x14ac:dyDescent="0.2">
      <c r="A20645" s="14" t="s">
        <v>40632</v>
      </c>
      <c r="B20645" s="15" t="s">
        <v>40633</v>
      </c>
      <c r="C20645" s="16">
        <f>683.44/(1+B2)</f>
        <v>683.44</v>
      </c>
      <c r="D20645" s="17" t="s">
        <v>11</v>
      </c>
      <c r="E20645" s="17" t="s">
        <v>11</v>
      </c>
      <c r="F20645" s="18"/>
      <c r="G20645" s="36" t="str">
        <f>IF(ISNUMBER(F20645),C20645*F20645,"")</f>
        <v/>
      </c>
    </row>
    <row r="20646" spans="1:7" ht="24" customHeight="1" outlineLevel="3" x14ac:dyDescent="0.2">
      <c r="A20646" s="14" t="s">
        <v>40634</v>
      </c>
      <c r="B20646" s="15" t="s">
        <v>40635</v>
      </c>
      <c r="C20646" s="19">
        <f>1045.87/(1+B2)</f>
        <v>1045.8699999999999</v>
      </c>
      <c r="D20646" s="17" t="s">
        <v>11</v>
      </c>
      <c r="E20646" s="17" t="s">
        <v>11</v>
      </c>
      <c r="F20646" s="18"/>
      <c r="G20646" s="36" t="str">
        <f>IF(ISNUMBER(F20646),C20646*F20646,"")</f>
        <v/>
      </c>
    </row>
    <row r="20647" spans="1:7" ht="24" customHeight="1" outlineLevel="3" x14ac:dyDescent="0.2">
      <c r="A20647" s="14" t="s">
        <v>40636</v>
      </c>
      <c r="B20647" s="15" t="s">
        <v>40637</v>
      </c>
      <c r="C20647" s="16">
        <f>562.62/(1+B2)</f>
        <v>562.62</v>
      </c>
      <c r="D20647" s="17" t="s">
        <v>11</v>
      </c>
      <c r="E20647" s="17"/>
      <c r="F20647" s="18"/>
      <c r="G20647" s="36" t="str">
        <f>IF(ISNUMBER(F20647),C20647*F20647,"")</f>
        <v/>
      </c>
    </row>
    <row r="20648" spans="1:7" ht="24" customHeight="1" outlineLevel="3" x14ac:dyDescent="0.2">
      <c r="A20648" s="14" t="s">
        <v>40638</v>
      </c>
      <c r="B20648" s="15" t="s">
        <v>40639</v>
      </c>
      <c r="C20648" s="16">
        <f>641.76/(1+B2)</f>
        <v>641.76</v>
      </c>
      <c r="D20648" s="17" t="s">
        <v>11</v>
      </c>
      <c r="E20648" s="17" t="s">
        <v>14</v>
      </c>
      <c r="F20648" s="18"/>
      <c r="G20648" s="36" t="str">
        <f>IF(ISNUMBER(F20648),C20648*F20648,"")</f>
        <v/>
      </c>
    </row>
    <row r="20649" spans="1:7" ht="24" customHeight="1" outlineLevel="3" x14ac:dyDescent="0.2">
      <c r="A20649" s="14" t="s">
        <v>40640</v>
      </c>
      <c r="B20649" s="15" t="s">
        <v>40641</v>
      </c>
      <c r="C20649" s="16">
        <f>856.44/(1+B2)</f>
        <v>856.44</v>
      </c>
      <c r="D20649" s="17" t="s">
        <v>11</v>
      </c>
      <c r="E20649" s="17" t="s">
        <v>11</v>
      </c>
      <c r="F20649" s="18"/>
      <c r="G20649" s="36" t="str">
        <f>IF(ISNUMBER(F20649),C20649*F20649,"")</f>
        <v/>
      </c>
    </row>
    <row r="20650" spans="1:7" ht="24" customHeight="1" outlineLevel="3" x14ac:dyDescent="0.2">
      <c r="A20650" s="14" t="s">
        <v>40642</v>
      </c>
      <c r="B20650" s="15" t="s">
        <v>40643</v>
      </c>
      <c r="C20650" s="16">
        <f>708.16/(1+B2)</f>
        <v>708.16</v>
      </c>
      <c r="D20650" s="17" t="s">
        <v>11</v>
      </c>
      <c r="E20650" s="17" t="s">
        <v>14</v>
      </c>
      <c r="F20650" s="18"/>
      <c r="G20650" s="36" t="str">
        <f>IF(ISNUMBER(F20650),C20650*F20650,"")</f>
        <v/>
      </c>
    </row>
    <row r="20651" spans="1:7" ht="24" customHeight="1" outlineLevel="3" x14ac:dyDescent="0.2">
      <c r="A20651" s="14" t="s">
        <v>40644</v>
      </c>
      <c r="B20651" s="15" t="s">
        <v>40645</v>
      </c>
      <c r="C20651" s="19">
        <f>1021.61/(1+B2)</f>
        <v>1021.61</v>
      </c>
      <c r="D20651" s="17" t="s">
        <v>11</v>
      </c>
      <c r="E20651" s="17" t="s">
        <v>11</v>
      </c>
      <c r="F20651" s="18"/>
      <c r="G20651" s="36" t="str">
        <f>IF(ISNUMBER(F20651),C20651*F20651,"")</f>
        <v/>
      </c>
    </row>
    <row r="20652" spans="1:7" ht="24" customHeight="1" outlineLevel="3" x14ac:dyDescent="0.2">
      <c r="A20652" s="14" t="s">
        <v>40646</v>
      </c>
      <c r="B20652" s="15" t="s">
        <v>40647</v>
      </c>
      <c r="C20652" s="16">
        <f>953.51/(1+B2)</f>
        <v>953.51</v>
      </c>
      <c r="D20652" s="17" t="s">
        <v>11</v>
      </c>
      <c r="E20652" s="17" t="s">
        <v>11</v>
      </c>
      <c r="F20652" s="18"/>
      <c r="G20652" s="36" t="str">
        <f>IF(ISNUMBER(F20652),C20652*F20652,"")</f>
        <v/>
      </c>
    </row>
    <row r="20653" spans="1:7" ht="24" customHeight="1" outlineLevel="3" x14ac:dyDescent="0.2">
      <c r="A20653" s="14" t="s">
        <v>40648</v>
      </c>
      <c r="B20653" s="15" t="s">
        <v>40649</v>
      </c>
      <c r="C20653" s="16">
        <f>879.93/(1+B2)</f>
        <v>879.93</v>
      </c>
      <c r="D20653" s="17" t="s">
        <v>11</v>
      </c>
      <c r="E20653" s="17" t="s">
        <v>11</v>
      </c>
      <c r="F20653" s="18"/>
      <c r="G20653" s="36" t="str">
        <f>IF(ISNUMBER(F20653),C20653*F20653,"")</f>
        <v/>
      </c>
    </row>
    <row r="20654" spans="1:7" ht="12" customHeight="1" outlineLevel="3" x14ac:dyDescent="0.2">
      <c r="A20654" s="14" t="s">
        <v>40650</v>
      </c>
      <c r="B20654" s="15" t="s">
        <v>40651</v>
      </c>
      <c r="C20654" s="16">
        <f>805.31/(1+B2)</f>
        <v>805.31</v>
      </c>
      <c r="D20654" s="17" t="s">
        <v>11</v>
      </c>
      <c r="E20654" s="17" t="s">
        <v>11</v>
      </c>
      <c r="F20654" s="18"/>
      <c r="G20654" s="36" t="str">
        <f>IF(ISNUMBER(F20654),C20654*F20654,"")</f>
        <v/>
      </c>
    </row>
    <row r="20655" spans="1:7" ht="24" customHeight="1" outlineLevel="3" x14ac:dyDescent="0.2">
      <c r="A20655" s="14" t="s">
        <v>40652</v>
      </c>
      <c r="B20655" s="15" t="s">
        <v>40653</v>
      </c>
      <c r="C20655" s="19">
        <f>1080.14/(1+B2)</f>
        <v>1080.1400000000001</v>
      </c>
      <c r="D20655" s="17" t="s">
        <v>11</v>
      </c>
      <c r="E20655" s="17" t="s">
        <v>11</v>
      </c>
      <c r="F20655" s="18"/>
      <c r="G20655" s="36" t="str">
        <f>IF(ISNUMBER(F20655),C20655*F20655,"")</f>
        <v/>
      </c>
    </row>
    <row r="20656" spans="1:7" ht="24" customHeight="1" outlineLevel="3" x14ac:dyDescent="0.2">
      <c r="A20656" s="14" t="s">
        <v>40654</v>
      </c>
      <c r="B20656" s="15" t="s">
        <v>40655</v>
      </c>
      <c r="C20656" s="16">
        <f>942.08/(1+B2)</f>
        <v>942.08</v>
      </c>
      <c r="D20656" s="17" t="s">
        <v>11</v>
      </c>
      <c r="E20656" s="17" t="s">
        <v>11</v>
      </c>
      <c r="F20656" s="18"/>
      <c r="G20656" s="36" t="str">
        <f>IF(ISNUMBER(F20656),C20656*F20656,"")</f>
        <v/>
      </c>
    </row>
    <row r="20657" spans="1:7" ht="24" customHeight="1" outlineLevel="3" x14ac:dyDescent="0.2">
      <c r="A20657" s="14" t="s">
        <v>40656</v>
      </c>
      <c r="B20657" s="15" t="s">
        <v>40657</v>
      </c>
      <c r="C20657" s="19">
        <f>1085.96/(1+B2)</f>
        <v>1085.96</v>
      </c>
      <c r="D20657" s="17" t="s">
        <v>11</v>
      </c>
      <c r="E20657" s="17" t="s">
        <v>11</v>
      </c>
      <c r="F20657" s="18"/>
      <c r="G20657" s="36" t="str">
        <f>IF(ISNUMBER(F20657),C20657*F20657,"")</f>
        <v/>
      </c>
    </row>
    <row r="20658" spans="1:7" ht="24" customHeight="1" outlineLevel="3" x14ac:dyDescent="0.2">
      <c r="A20658" s="14" t="s">
        <v>40658</v>
      </c>
      <c r="B20658" s="15" t="s">
        <v>40659</v>
      </c>
      <c r="C20658" s="16">
        <f>867.87/(1+B2)</f>
        <v>867.87</v>
      </c>
      <c r="D20658" s="17" t="s">
        <v>11</v>
      </c>
      <c r="E20658" s="17"/>
      <c r="F20658" s="18"/>
      <c r="G20658" s="36" t="str">
        <f>IF(ISNUMBER(F20658),C20658*F20658,"")</f>
        <v/>
      </c>
    </row>
    <row r="20659" spans="1:7" ht="24" customHeight="1" outlineLevel="3" x14ac:dyDescent="0.2">
      <c r="A20659" s="14" t="s">
        <v>40660</v>
      </c>
      <c r="B20659" s="15" t="s">
        <v>40661</v>
      </c>
      <c r="C20659" s="19">
        <f>1079.11/(1+B2)</f>
        <v>1079.1099999999999</v>
      </c>
      <c r="D20659" s="17" t="s">
        <v>11</v>
      </c>
      <c r="E20659" s="17" t="s">
        <v>11</v>
      </c>
      <c r="F20659" s="18"/>
      <c r="G20659" s="36" t="str">
        <f>IF(ISNUMBER(F20659),C20659*F20659,"")</f>
        <v/>
      </c>
    </row>
    <row r="20660" spans="1:7" ht="24" customHeight="1" outlineLevel="3" x14ac:dyDescent="0.2">
      <c r="A20660" s="14" t="s">
        <v>40662</v>
      </c>
      <c r="B20660" s="15" t="s">
        <v>40663</v>
      </c>
      <c r="C20660" s="19">
        <f>1290.96/(1+B2)</f>
        <v>1290.96</v>
      </c>
      <c r="D20660" s="17" t="s">
        <v>11</v>
      </c>
      <c r="E20660" s="17" t="s">
        <v>11</v>
      </c>
      <c r="F20660" s="18"/>
      <c r="G20660" s="36" t="str">
        <f>IF(ISNUMBER(F20660),C20660*F20660,"")</f>
        <v/>
      </c>
    </row>
    <row r="20661" spans="1:7" ht="24" customHeight="1" outlineLevel="3" x14ac:dyDescent="0.2">
      <c r="A20661" s="14" t="s">
        <v>40664</v>
      </c>
      <c r="B20661" s="15" t="s">
        <v>40665</v>
      </c>
      <c r="C20661" s="16">
        <f>608.76/(1+B2)</f>
        <v>608.76</v>
      </c>
      <c r="D20661" s="17" t="s">
        <v>11</v>
      </c>
      <c r="E20661" s="17"/>
      <c r="F20661" s="18"/>
      <c r="G20661" s="36" t="str">
        <f>IF(ISNUMBER(F20661),C20661*F20661,"")</f>
        <v/>
      </c>
    </row>
    <row r="20662" spans="1:7" ht="24" customHeight="1" outlineLevel="3" x14ac:dyDescent="0.2">
      <c r="A20662" s="14" t="s">
        <v>40666</v>
      </c>
      <c r="B20662" s="15" t="s">
        <v>40667</v>
      </c>
      <c r="C20662" s="16">
        <f>670.07/(1+B2)</f>
        <v>670.07</v>
      </c>
      <c r="D20662" s="17" t="s">
        <v>11</v>
      </c>
      <c r="E20662" s="17"/>
      <c r="F20662" s="18"/>
      <c r="G20662" s="36" t="str">
        <f>IF(ISNUMBER(F20662),C20662*F20662,"")</f>
        <v/>
      </c>
    </row>
    <row r="20663" spans="1:7" ht="24" customHeight="1" outlineLevel="3" x14ac:dyDescent="0.2">
      <c r="A20663" s="14" t="s">
        <v>40668</v>
      </c>
      <c r="B20663" s="15" t="s">
        <v>40669</v>
      </c>
      <c r="C20663" s="16">
        <f>723.23/(1+B2)</f>
        <v>723.23</v>
      </c>
      <c r="D20663" s="17" t="s">
        <v>11</v>
      </c>
      <c r="E20663" s="17" t="s">
        <v>11</v>
      </c>
      <c r="F20663" s="18"/>
      <c r="G20663" s="36" t="str">
        <f>IF(ISNUMBER(F20663),C20663*F20663,"")</f>
        <v/>
      </c>
    </row>
    <row r="20664" spans="1:7" ht="24" customHeight="1" outlineLevel="3" x14ac:dyDescent="0.2">
      <c r="A20664" s="14" t="s">
        <v>40670</v>
      </c>
      <c r="B20664" s="15" t="s">
        <v>40671</v>
      </c>
      <c r="C20664" s="16">
        <f>638.85/(1+B2)</f>
        <v>638.85</v>
      </c>
      <c r="D20664" s="17" t="s">
        <v>11</v>
      </c>
      <c r="E20664" s="17" t="s">
        <v>14</v>
      </c>
      <c r="F20664" s="18"/>
      <c r="G20664" s="36" t="str">
        <f>IF(ISNUMBER(F20664),C20664*F20664,"")</f>
        <v/>
      </c>
    </row>
    <row r="20665" spans="1:7" ht="12" customHeight="1" outlineLevel="3" x14ac:dyDescent="0.2">
      <c r="A20665" s="14" t="s">
        <v>40672</v>
      </c>
      <c r="B20665" s="15" t="s">
        <v>40673</v>
      </c>
      <c r="C20665" s="16">
        <f>948.51/(1+B2)</f>
        <v>948.51</v>
      </c>
      <c r="D20665" s="17" t="s">
        <v>11</v>
      </c>
      <c r="E20665" s="17" t="s">
        <v>11</v>
      </c>
      <c r="F20665" s="18"/>
      <c r="G20665" s="36" t="str">
        <f>IF(ISNUMBER(F20665),C20665*F20665,"")</f>
        <v/>
      </c>
    </row>
    <row r="20666" spans="1:7" ht="24" customHeight="1" outlineLevel="3" x14ac:dyDescent="0.2">
      <c r="A20666" s="14" t="s">
        <v>40674</v>
      </c>
      <c r="B20666" s="15" t="s">
        <v>40675</v>
      </c>
      <c r="C20666" s="16">
        <f>882.08/(1+B2)</f>
        <v>882.08</v>
      </c>
      <c r="D20666" s="17" t="s">
        <v>11</v>
      </c>
      <c r="E20666" s="17" t="s">
        <v>14</v>
      </c>
      <c r="F20666" s="18"/>
      <c r="G20666" s="36" t="str">
        <f>IF(ISNUMBER(F20666),C20666*F20666,"")</f>
        <v/>
      </c>
    </row>
    <row r="20667" spans="1:7" ht="24" customHeight="1" outlineLevel="3" x14ac:dyDescent="0.2">
      <c r="A20667" s="14" t="s">
        <v>40676</v>
      </c>
      <c r="B20667" s="15" t="s">
        <v>40677</v>
      </c>
      <c r="C20667" s="19">
        <f>1079.11/(1+B2)</f>
        <v>1079.1099999999999</v>
      </c>
      <c r="D20667" s="17" t="s">
        <v>11</v>
      </c>
      <c r="E20667" s="17" t="s">
        <v>11</v>
      </c>
      <c r="F20667" s="18"/>
      <c r="G20667" s="36" t="str">
        <f>IF(ISNUMBER(F20667),C20667*F20667,"")</f>
        <v/>
      </c>
    </row>
    <row r="20668" spans="1:7" ht="24" customHeight="1" outlineLevel="3" x14ac:dyDescent="0.2">
      <c r="A20668" s="14" t="s">
        <v>40678</v>
      </c>
      <c r="B20668" s="15" t="s">
        <v>40679</v>
      </c>
      <c r="C20668" s="19">
        <f>1800.22/(1+B2)</f>
        <v>1800.22</v>
      </c>
      <c r="D20668" s="17" t="s">
        <v>11</v>
      </c>
      <c r="E20668" s="17" t="s">
        <v>11</v>
      </c>
      <c r="F20668" s="18"/>
      <c r="G20668" s="36" t="str">
        <f>IF(ISNUMBER(F20668),C20668*F20668,"")</f>
        <v/>
      </c>
    </row>
    <row r="20669" spans="1:7" ht="24" customHeight="1" outlineLevel="3" x14ac:dyDescent="0.2">
      <c r="A20669" s="14" t="s">
        <v>40680</v>
      </c>
      <c r="B20669" s="15" t="s">
        <v>40681</v>
      </c>
      <c r="C20669" s="16">
        <f>676.21/(1+B2)</f>
        <v>676.21</v>
      </c>
      <c r="D20669" s="17" t="s">
        <v>11</v>
      </c>
      <c r="E20669" s="17" t="s">
        <v>14</v>
      </c>
      <c r="F20669" s="18"/>
      <c r="G20669" s="36" t="str">
        <f>IF(ISNUMBER(F20669),C20669*F20669,"")</f>
        <v/>
      </c>
    </row>
    <row r="20670" spans="1:7" ht="24" customHeight="1" outlineLevel="3" x14ac:dyDescent="0.2">
      <c r="A20670" s="14" t="s">
        <v>40682</v>
      </c>
      <c r="B20670" s="15" t="s">
        <v>40683</v>
      </c>
      <c r="C20670" s="16">
        <f>466.81/(1+B2)</f>
        <v>466.81</v>
      </c>
      <c r="D20670" s="17" t="s">
        <v>11</v>
      </c>
      <c r="E20670" s="17" t="s">
        <v>11</v>
      </c>
      <c r="F20670" s="18"/>
      <c r="G20670" s="36" t="str">
        <f>IF(ISNUMBER(F20670),C20670*F20670,"")</f>
        <v/>
      </c>
    </row>
    <row r="20671" spans="1:7" ht="24" customHeight="1" outlineLevel="3" x14ac:dyDescent="0.2">
      <c r="A20671" s="14" t="s">
        <v>40684</v>
      </c>
      <c r="B20671" s="15" t="s">
        <v>40685</v>
      </c>
      <c r="C20671" s="16">
        <f>841.49/(1+B2)</f>
        <v>841.49</v>
      </c>
      <c r="D20671" s="17" t="s">
        <v>11</v>
      </c>
      <c r="E20671" s="17" t="s">
        <v>11</v>
      </c>
      <c r="F20671" s="18"/>
      <c r="G20671" s="36" t="str">
        <f>IF(ISNUMBER(F20671),C20671*F20671,"")</f>
        <v/>
      </c>
    </row>
    <row r="20672" spans="1:7" ht="24" customHeight="1" outlineLevel="3" x14ac:dyDescent="0.2">
      <c r="A20672" s="14" t="s">
        <v>40686</v>
      </c>
      <c r="B20672" s="15" t="s">
        <v>40687</v>
      </c>
      <c r="C20672" s="16">
        <f>506.33/(1+B2)</f>
        <v>506.33</v>
      </c>
      <c r="D20672" s="17" t="s">
        <v>11</v>
      </c>
      <c r="E20672" s="17" t="s">
        <v>11</v>
      </c>
      <c r="F20672" s="18"/>
      <c r="G20672" s="36" t="str">
        <f>IF(ISNUMBER(F20672),C20672*F20672,"")</f>
        <v/>
      </c>
    </row>
    <row r="20673" spans="1:7" ht="24" customHeight="1" outlineLevel="3" x14ac:dyDescent="0.2">
      <c r="A20673" s="14" t="s">
        <v>40688</v>
      </c>
      <c r="B20673" s="15" t="s">
        <v>40689</v>
      </c>
      <c r="C20673" s="16">
        <f>988.41/(1+B2)</f>
        <v>988.41</v>
      </c>
      <c r="D20673" s="17" t="s">
        <v>11</v>
      </c>
      <c r="E20673" s="17" t="s">
        <v>11</v>
      </c>
      <c r="F20673" s="18"/>
      <c r="G20673" s="36" t="str">
        <f>IF(ISNUMBER(F20673),C20673*F20673,"")</f>
        <v/>
      </c>
    </row>
    <row r="20674" spans="1:7" ht="24" customHeight="1" outlineLevel="3" x14ac:dyDescent="0.2">
      <c r="A20674" s="14" t="s">
        <v>40690</v>
      </c>
      <c r="B20674" s="15" t="s">
        <v>40691</v>
      </c>
      <c r="C20674" s="16">
        <f>547.66/(1+B2)</f>
        <v>547.66</v>
      </c>
      <c r="D20674" s="17" t="s">
        <v>11</v>
      </c>
      <c r="E20674" s="17" t="s">
        <v>11</v>
      </c>
      <c r="F20674" s="18"/>
      <c r="G20674" s="36" t="str">
        <f>IF(ISNUMBER(F20674),C20674*F20674,"")</f>
        <v/>
      </c>
    </row>
    <row r="20675" spans="1:7" ht="24" customHeight="1" outlineLevel="3" x14ac:dyDescent="0.2">
      <c r="A20675" s="14" t="s">
        <v>40692</v>
      </c>
      <c r="B20675" s="15" t="s">
        <v>40693</v>
      </c>
      <c r="C20675" s="16">
        <f>500.22/(1+B2)</f>
        <v>500.22</v>
      </c>
      <c r="D20675" s="17" t="s">
        <v>11</v>
      </c>
      <c r="E20675" s="17" t="s">
        <v>11</v>
      </c>
      <c r="F20675" s="18"/>
      <c r="G20675" s="36" t="str">
        <f>IF(ISNUMBER(F20675),C20675*F20675,"")</f>
        <v/>
      </c>
    </row>
    <row r="20676" spans="1:7" ht="24" customHeight="1" outlineLevel="3" x14ac:dyDescent="0.2">
      <c r="A20676" s="14" t="s">
        <v>40694</v>
      </c>
      <c r="B20676" s="15" t="s">
        <v>40695</v>
      </c>
      <c r="C20676" s="16">
        <f>795.12/(1+B2)</f>
        <v>795.12</v>
      </c>
      <c r="D20676" s="17" t="s">
        <v>11</v>
      </c>
      <c r="E20676" s="17" t="s">
        <v>14</v>
      </c>
      <c r="F20676" s="18"/>
      <c r="G20676" s="36" t="str">
        <f>IF(ISNUMBER(F20676),C20676*F20676,"")</f>
        <v/>
      </c>
    </row>
    <row r="20677" spans="1:7" ht="24" customHeight="1" outlineLevel="3" x14ac:dyDescent="0.2">
      <c r="A20677" s="14" t="s">
        <v>40696</v>
      </c>
      <c r="B20677" s="15" t="s">
        <v>40697</v>
      </c>
      <c r="C20677" s="16">
        <f>516.14/(1+B2)</f>
        <v>516.14</v>
      </c>
      <c r="D20677" s="17" t="s">
        <v>11</v>
      </c>
      <c r="E20677" s="17" t="s">
        <v>11</v>
      </c>
      <c r="F20677" s="18"/>
      <c r="G20677" s="36" t="str">
        <f>IF(ISNUMBER(F20677),C20677*F20677,"")</f>
        <v/>
      </c>
    </row>
    <row r="20678" spans="1:7" ht="24" customHeight="1" outlineLevel="3" x14ac:dyDescent="0.2">
      <c r="A20678" s="14" t="s">
        <v>40698</v>
      </c>
      <c r="B20678" s="15" t="s">
        <v>40699</v>
      </c>
      <c r="C20678" s="16">
        <f>941.54/(1+B2)</f>
        <v>941.54</v>
      </c>
      <c r="D20678" s="17" t="s">
        <v>11</v>
      </c>
      <c r="E20678" s="17" t="s">
        <v>11</v>
      </c>
      <c r="F20678" s="18"/>
      <c r="G20678" s="36" t="str">
        <f>IF(ISNUMBER(F20678),C20678*F20678,"")</f>
        <v/>
      </c>
    </row>
    <row r="20679" spans="1:7" ht="24" customHeight="1" outlineLevel="3" x14ac:dyDescent="0.2">
      <c r="A20679" s="14" t="s">
        <v>40700</v>
      </c>
      <c r="B20679" s="15" t="s">
        <v>40701</v>
      </c>
      <c r="C20679" s="16">
        <f>331.15/(1+B2)</f>
        <v>331.15</v>
      </c>
      <c r="D20679" s="17" t="s">
        <v>11</v>
      </c>
      <c r="E20679" s="17" t="s">
        <v>11</v>
      </c>
      <c r="F20679" s="18"/>
      <c r="G20679" s="36" t="str">
        <f>IF(ISNUMBER(F20679),C20679*F20679,"")</f>
        <v/>
      </c>
    </row>
    <row r="20680" spans="1:7" ht="24" customHeight="1" outlineLevel="3" x14ac:dyDescent="0.2">
      <c r="A20680" s="14" t="s">
        <v>40702</v>
      </c>
      <c r="B20680" s="15" t="s">
        <v>40703</v>
      </c>
      <c r="C20680" s="16">
        <f>962.17/(1+B2)</f>
        <v>962.17</v>
      </c>
      <c r="D20680" s="17" t="s">
        <v>11</v>
      </c>
      <c r="E20680" s="17" t="s">
        <v>11</v>
      </c>
      <c r="F20680" s="18"/>
      <c r="G20680" s="36" t="str">
        <f>IF(ISNUMBER(F20680),C20680*F20680,"")</f>
        <v/>
      </c>
    </row>
    <row r="20681" spans="1:7" ht="24" customHeight="1" outlineLevel="3" x14ac:dyDescent="0.2">
      <c r="A20681" s="14" t="s">
        <v>40704</v>
      </c>
      <c r="B20681" s="15" t="s">
        <v>40705</v>
      </c>
      <c r="C20681" s="19">
        <f>1462.69/(1+B2)</f>
        <v>1462.69</v>
      </c>
      <c r="D20681" s="17" t="s">
        <v>11</v>
      </c>
      <c r="E20681" s="17" t="s">
        <v>11</v>
      </c>
      <c r="F20681" s="18"/>
      <c r="G20681" s="36" t="str">
        <f>IF(ISNUMBER(F20681),C20681*F20681,"")</f>
        <v/>
      </c>
    </row>
    <row r="20682" spans="1:7" ht="24" customHeight="1" outlineLevel="3" x14ac:dyDescent="0.2">
      <c r="A20682" s="14" t="s">
        <v>40706</v>
      </c>
      <c r="B20682" s="15" t="s">
        <v>40707</v>
      </c>
      <c r="C20682" s="16">
        <f>596.33/(1+B2)</f>
        <v>596.33000000000004</v>
      </c>
      <c r="D20682" s="17" t="s">
        <v>11</v>
      </c>
      <c r="E20682" s="17" t="s">
        <v>11</v>
      </c>
      <c r="F20682" s="18"/>
      <c r="G20682" s="36" t="str">
        <f>IF(ISNUMBER(F20682),C20682*F20682,"")</f>
        <v/>
      </c>
    </row>
    <row r="20683" spans="1:7" ht="24" customHeight="1" outlineLevel="3" x14ac:dyDescent="0.2">
      <c r="A20683" s="14" t="s">
        <v>40708</v>
      </c>
      <c r="B20683" s="15" t="s">
        <v>40709</v>
      </c>
      <c r="C20683" s="19">
        <f>1192.59/(1+B2)</f>
        <v>1192.5899999999999</v>
      </c>
      <c r="D20683" s="17" t="s">
        <v>11</v>
      </c>
      <c r="E20683" s="17" t="s">
        <v>11</v>
      </c>
      <c r="F20683" s="18"/>
      <c r="G20683" s="36" t="str">
        <f>IF(ISNUMBER(F20683),C20683*F20683,"")</f>
        <v/>
      </c>
    </row>
    <row r="20684" spans="1:7" ht="24" customHeight="1" outlineLevel="3" x14ac:dyDescent="0.2">
      <c r="A20684" s="14" t="s">
        <v>40710</v>
      </c>
      <c r="B20684" s="15" t="s">
        <v>40711</v>
      </c>
      <c r="C20684" s="19">
        <f>1217.19/(1+B2)</f>
        <v>1217.19</v>
      </c>
      <c r="D20684" s="17" t="s">
        <v>11</v>
      </c>
      <c r="E20684" s="17" t="s">
        <v>11</v>
      </c>
      <c r="F20684" s="18"/>
      <c r="G20684" s="36" t="str">
        <f>IF(ISNUMBER(F20684),C20684*F20684,"")</f>
        <v/>
      </c>
    </row>
    <row r="20685" spans="1:7" ht="24" customHeight="1" outlineLevel="3" x14ac:dyDescent="0.2">
      <c r="A20685" s="14" t="s">
        <v>40712</v>
      </c>
      <c r="B20685" s="15" t="s">
        <v>40713</v>
      </c>
      <c r="C20685" s="16">
        <f>702.05/(1+B2)</f>
        <v>702.05</v>
      </c>
      <c r="D20685" s="17" t="s">
        <v>11</v>
      </c>
      <c r="E20685" s="17" t="s">
        <v>11</v>
      </c>
      <c r="F20685" s="18"/>
      <c r="G20685" s="36" t="str">
        <f>IF(ISNUMBER(F20685),C20685*F20685,"")</f>
        <v/>
      </c>
    </row>
    <row r="20686" spans="1:7" ht="24" customHeight="1" outlineLevel="3" x14ac:dyDescent="0.2">
      <c r="A20686" s="14" t="s">
        <v>40714</v>
      </c>
      <c r="B20686" s="15" t="s">
        <v>40715</v>
      </c>
      <c r="C20686" s="16">
        <f>627.04/(1+B2)</f>
        <v>627.04</v>
      </c>
      <c r="D20686" s="17" t="s">
        <v>11</v>
      </c>
      <c r="E20686" s="17" t="s">
        <v>11</v>
      </c>
      <c r="F20686" s="18"/>
      <c r="G20686" s="36" t="str">
        <f>IF(ISNUMBER(F20686),C20686*F20686,"")</f>
        <v/>
      </c>
    </row>
    <row r="20687" spans="1:7" ht="24" customHeight="1" outlineLevel="3" x14ac:dyDescent="0.2">
      <c r="A20687" s="14" t="s">
        <v>40716</v>
      </c>
      <c r="B20687" s="15" t="s">
        <v>40717</v>
      </c>
      <c r="C20687" s="19">
        <f>1229.13/(1+B2)</f>
        <v>1229.1300000000001</v>
      </c>
      <c r="D20687" s="17" t="s">
        <v>11</v>
      </c>
      <c r="E20687" s="17" t="s">
        <v>11</v>
      </c>
      <c r="F20687" s="18"/>
      <c r="G20687" s="36" t="str">
        <f>IF(ISNUMBER(F20687),C20687*F20687,"")</f>
        <v/>
      </c>
    </row>
    <row r="20688" spans="1:7" ht="12" customHeight="1" outlineLevel="3" x14ac:dyDescent="0.2">
      <c r="A20688" s="14" t="s">
        <v>40718</v>
      </c>
      <c r="B20688" s="15" t="s">
        <v>40719</v>
      </c>
      <c r="C20688" s="16">
        <f>925.41/(1+B2)</f>
        <v>925.41</v>
      </c>
      <c r="D20688" s="17" t="s">
        <v>11</v>
      </c>
      <c r="E20688" s="17"/>
      <c r="F20688" s="18"/>
      <c r="G20688" s="36" t="str">
        <f>IF(ISNUMBER(F20688),C20688*F20688,"")</f>
        <v/>
      </c>
    </row>
    <row r="20689" spans="1:7" s="1" customFormat="1" ht="12.95" customHeight="1" outlineLevel="2" x14ac:dyDescent="0.2">
      <c r="A20689" s="20"/>
      <c r="B20689" s="21" t="s">
        <v>40720</v>
      </c>
      <c r="C20689" s="22"/>
      <c r="D20689" s="22"/>
      <c r="E20689" s="22"/>
      <c r="F20689" s="22"/>
      <c r="G20689" s="37"/>
    </row>
    <row r="20690" spans="1:7" ht="12" customHeight="1" outlineLevel="3" x14ac:dyDescent="0.2">
      <c r="A20690" s="14" t="s">
        <v>40721</v>
      </c>
      <c r="B20690" s="15" t="s">
        <v>40722</v>
      </c>
      <c r="C20690" s="19">
        <f>2963.96/(1+B2)</f>
        <v>2963.96</v>
      </c>
      <c r="D20690" s="17" t="s">
        <v>11</v>
      </c>
      <c r="E20690" s="17" t="s">
        <v>11</v>
      </c>
      <c r="F20690" s="18"/>
      <c r="G20690" s="36" t="str">
        <f>IF(ISNUMBER(F20690),C20690*F20690,"")</f>
        <v/>
      </c>
    </row>
    <row r="20691" spans="1:7" ht="24" customHeight="1" outlineLevel="3" x14ac:dyDescent="0.2">
      <c r="A20691" s="14" t="s">
        <v>40723</v>
      </c>
      <c r="B20691" s="15" t="s">
        <v>40724</v>
      </c>
      <c r="C20691" s="19">
        <f>4529.62/(1+B2)</f>
        <v>4529.62</v>
      </c>
      <c r="D20691" s="17" t="s">
        <v>11</v>
      </c>
      <c r="E20691" s="17"/>
      <c r="F20691" s="18"/>
      <c r="G20691" s="36" t="str">
        <f>IF(ISNUMBER(F20691),C20691*F20691,"")</f>
        <v/>
      </c>
    </row>
    <row r="20692" spans="1:7" ht="24" customHeight="1" outlineLevel="3" x14ac:dyDescent="0.2">
      <c r="A20692" s="14" t="s">
        <v>40725</v>
      </c>
      <c r="B20692" s="15" t="s">
        <v>40726</v>
      </c>
      <c r="C20692" s="19">
        <f>4904.22/(1+B2)</f>
        <v>4904.22</v>
      </c>
      <c r="D20692" s="17" t="s">
        <v>11</v>
      </c>
      <c r="E20692" s="17"/>
      <c r="F20692" s="18"/>
      <c r="G20692" s="36" t="str">
        <f>IF(ISNUMBER(F20692),C20692*F20692,"")</f>
        <v/>
      </c>
    </row>
    <row r="20693" spans="1:7" ht="24" customHeight="1" outlineLevel="3" x14ac:dyDescent="0.2">
      <c r="A20693" s="14" t="s">
        <v>40727</v>
      </c>
      <c r="B20693" s="15" t="s">
        <v>40728</v>
      </c>
      <c r="C20693" s="19">
        <f>4490.86/(1+B2)</f>
        <v>4490.8599999999997</v>
      </c>
      <c r="D20693" s="17" t="s">
        <v>11</v>
      </c>
      <c r="E20693" s="17"/>
      <c r="F20693" s="18"/>
      <c r="G20693" s="36" t="str">
        <f>IF(ISNUMBER(F20693),C20693*F20693,"")</f>
        <v/>
      </c>
    </row>
    <row r="20694" spans="1:7" ht="24" customHeight="1" outlineLevel="3" x14ac:dyDescent="0.2">
      <c r="A20694" s="14" t="s">
        <v>40729</v>
      </c>
      <c r="B20694" s="15" t="s">
        <v>40730</v>
      </c>
      <c r="C20694" s="19">
        <f>3838.53/(1+B2)</f>
        <v>3838.53</v>
      </c>
      <c r="D20694" s="17" t="s">
        <v>11</v>
      </c>
      <c r="E20694" s="17"/>
      <c r="F20694" s="18"/>
      <c r="G20694" s="36" t="str">
        <f>IF(ISNUMBER(F20694),C20694*F20694,"")</f>
        <v/>
      </c>
    </row>
    <row r="20695" spans="1:7" ht="24" customHeight="1" outlineLevel="3" x14ac:dyDescent="0.2">
      <c r="A20695" s="14" t="s">
        <v>40731</v>
      </c>
      <c r="B20695" s="15" t="s">
        <v>40732</v>
      </c>
      <c r="C20695" s="19">
        <f>5082.75/(1+B2)</f>
        <v>5082.75</v>
      </c>
      <c r="D20695" s="17" t="s">
        <v>11</v>
      </c>
      <c r="E20695" s="17"/>
      <c r="F20695" s="18"/>
      <c r="G20695" s="36" t="str">
        <f>IF(ISNUMBER(F20695),C20695*F20695,"")</f>
        <v/>
      </c>
    </row>
    <row r="20696" spans="1:7" ht="24" customHeight="1" outlineLevel="3" x14ac:dyDescent="0.2">
      <c r="A20696" s="14" t="s">
        <v>40733</v>
      </c>
      <c r="B20696" s="15" t="s">
        <v>40734</v>
      </c>
      <c r="C20696" s="19">
        <f>2582.87/(1+B2)</f>
        <v>2582.87</v>
      </c>
      <c r="D20696" s="17" t="s">
        <v>11</v>
      </c>
      <c r="E20696" s="17" t="s">
        <v>11</v>
      </c>
      <c r="F20696" s="18"/>
      <c r="G20696" s="36" t="str">
        <f>IF(ISNUMBER(F20696),C20696*F20696,"")</f>
        <v/>
      </c>
    </row>
    <row r="20697" spans="1:7" ht="12" customHeight="1" outlineLevel="3" x14ac:dyDescent="0.2">
      <c r="A20697" s="14" t="s">
        <v>40735</v>
      </c>
      <c r="B20697" s="15" t="s">
        <v>40736</v>
      </c>
      <c r="C20697" s="19">
        <f>4327.52/(1+B2)</f>
        <v>4327.5200000000004</v>
      </c>
      <c r="D20697" s="17" t="s">
        <v>11</v>
      </c>
      <c r="E20697" s="17" t="s">
        <v>14</v>
      </c>
      <c r="F20697" s="18"/>
      <c r="G20697" s="36" t="str">
        <f>IF(ISNUMBER(F20697),C20697*F20697,"")</f>
        <v/>
      </c>
    </row>
    <row r="20698" spans="1:7" ht="12" customHeight="1" outlineLevel="3" x14ac:dyDescent="0.2">
      <c r="A20698" s="14" t="s">
        <v>40737</v>
      </c>
      <c r="B20698" s="15" t="s">
        <v>40738</v>
      </c>
      <c r="C20698" s="19">
        <f>4327.38/(1+B2)</f>
        <v>4327.38</v>
      </c>
      <c r="D20698" s="17" t="s">
        <v>11</v>
      </c>
      <c r="E20698" s="17" t="s">
        <v>11</v>
      </c>
      <c r="F20698" s="18"/>
      <c r="G20698" s="36" t="str">
        <f>IF(ISNUMBER(F20698),C20698*F20698,"")</f>
        <v/>
      </c>
    </row>
    <row r="20699" spans="1:7" ht="24" customHeight="1" outlineLevel="3" x14ac:dyDescent="0.2">
      <c r="A20699" s="14" t="s">
        <v>40739</v>
      </c>
      <c r="B20699" s="15" t="s">
        <v>40740</v>
      </c>
      <c r="C20699" s="19">
        <f>3104.52/(1+B2)</f>
        <v>3104.52</v>
      </c>
      <c r="D20699" s="17" t="s">
        <v>11</v>
      </c>
      <c r="E20699" s="17" t="s">
        <v>14</v>
      </c>
      <c r="F20699" s="18"/>
      <c r="G20699" s="36" t="str">
        <f>IF(ISNUMBER(F20699),C20699*F20699,"")</f>
        <v/>
      </c>
    </row>
    <row r="20700" spans="1:7" ht="24" customHeight="1" outlineLevel="3" x14ac:dyDescent="0.2">
      <c r="A20700" s="14" t="s">
        <v>40741</v>
      </c>
      <c r="B20700" s="15" t="s">
        <v>40742</v>
      </c>
      <c r="C20700" s="19">
        <f>1899.56/(1+B2)</f>
        <v>1899.56</v>
      </c>
      <c r="D20700" s="17" t="s">
        <v>11</v>
      </c>
      <c r="E20700" s="17" t="s">
        <v>11</v>
      </c>
      <c r="F20700" s="18"/>
      <c r="G20700" s="36" t="str">
        <f>IF(ISNUMBER(F20700),C20700*F20700,"")</f>
        <v/>
      </c>
    </row>
    <row r="20701" spans="1:7" ht="24" customHeight="1" outlineLevel="3" x14ac:dyDescent="0.2">
      <c r="A20701" s="14" t="s">
        <v>40743</v>
      </c>
      <c r="B20701" s="15" t="s">
        <v>40744</v>
      </c>
      <c r="C20701" s="19">
        <f>2180.19/(1+B2)</f>
        <v>2180.19</v>
      </c>
      <c r="D20701" s="17" t="s">
        <v>11</v>
      </c>
      <c r="E20701" s="17" t="s">
        <v>11</v>
      </c>
      <c r="F20701" s="18"/>
      <c r="G20701" s="36" t="str">
        <f>IF(ISNUMBER(F20701),C20701*F20701,"")</f>
        <v/>
      </c>
    </row>
    <row r="20702" spans="1:7" ht="24" customHeight="1" outlineLevel="3" x14ac:dyDescent="0.2">
      <c r="A20702" s="14" t="s">
        <v>40745</v>
      </c>
      <c r="B20702" s="15" t="s">
        <v>40746</v>
      </c>
      <c r="C20702" s="19">
        <f>2178/(1+B2)</f>
        <v>2178</v>
      </c>
      <c r="D20702" s="17" t="s">
        <v>11</v>
      </c>
      <c r="E20702" s="17" t="s">
        <v>11</v>
      </c>
      <c r="F20702" s="18"/>
      <c r="G20702" s="36" t="str">
        <f>IF(ISNUMBER(F20702),C20702*F20702,"")</f>
        <v/>
      </c>
    </row>
    <row r="20703" spans="1:7" ht="24" customHeight="1" outlineLevel="3" x14ac:dyDescent="0.2">
      <c r="A20703" s="14" t="s">
        <v>40747</v>
      </c>
      <c r="B20703" s="15" t="s">
        <v>40748</v>
      </c>
      <c r="C20703" s="19">
        <f>3305.73/(1+B2)</f>
        <v>3305.73</v>
      </c>
      <c r="D20703" s="17" t="s">
        <v>11</v>
      </c>
      <c r="E20703" s="17" t="s">
        <v>11</v>
      </c>
      <c r="F20703" s="18"/>
      <c r="G20703" s="36" t="str">
        <f>IF(ISNUMBER(F20703),C20703*F20703,"")</f>
        <v/>
      </c>
    </row>
    <row r="20704" spans="1:7" ht="12" customHeight="1" outlineLevel="3" x14ac:dyDescent="0.2">
      <c r="A20704" s="14" t="s">
        <v>40749</v>
      </c>
      <c r="B20704" s="15" t="s">
        <v>40750</v>
      </c>
      <c r="C20704" s="19">
        <f>2607.68/(1+B2)</f>
        <v>2607.6799999999998</v>
      </c>
      <c r="D20704" s="17" t="s">
        <v>11</v>
      </c>
      <c r="E20704" s="17" t="s">
        <v>14</v>
      </c>
      <c r="F20704" s="18"/>
      <c r="G20704" s="36" t="str">
        <f>IF(ISNUMBER(F20704),C20704*F20704,"")</f>
        <v/>
      </c>
    </row>
    <row r="20705" spans="1:7" ht="24" customHeight="1" outlineLevel="3" x14ac:dyDescent="0.2">
      <c r="A20705" s="14" t="s">
        <v>40751</v>
      </c>
      <c r="B20705" s="15" t="s">
        <v>40752</v>
      </c>
      <c r="C20705" s="19">
        <f>1710.42/(1+B2)</f>
        <v>1710.42</v>
      </c>
      <c r="D20705" s="17" t="s">
        <v>11</v>
      </c>
      <c r="E20705" s="17" t="s">
        <v>11</v>
      </c>
      <c r="F20705" s="18"/>
      <c r="G20705" s="36" t="str">
        <f>IF(ISNUMBER(F20705),C20705*F20705,"")</f>
        <v/>
      </c>
    </row>
    <row r="20706" spans="1:7" ht="24" customHeight="1" outlineLevel="3" x14ac:dyDescent="0.2">
      <c r="A20706" s="14" t="s">
        <v>40753</v>
      </c>
      <c r="B20706" s="15" t="s">
        <v>40754</v>
      </c>
      <c r="C20706" s="19">
        <f>1978.38/(1+B2)</f>
        <v>1978.38</v>
      </c>
      <c r="D20706" s="17" t="s">
        <v>11</v>
      </c>
      <c r="E20706" s="17" t="s">
        <v>11</v>
      </c>
      <c r="F20706" s="18"/>
      <c r="G20706" s="36" t="str">
        <f>IF(ISNUMBER(F20706),C20706*F20706,"")</f>
        <v/>
      </c>
    </row>
    <row r="20707" spans="1:7" ht="24" customHeight="1" outlineLevel="3" x14ac:dyDescent="0.2">
      <c r="A20707" s="14" t="s">
        <v>40755</v>
      </c>
      <c r="B20707" s="15" t="s">
        <v>40756</v>
      </c>
      <c r="C20707" s="19">
        <f>2500.8/(1+B2)</f>
        <v>2500.8000000000002</v>
      </c>
      <c r="D20707" s="17" t="s">
        <v>11</v>
      </c>
      <c r="E20707" s="17" t="s">
        <v>14</v>
      </c>
      <c r="F20707" s="18"/>
      <c r="G20707" s="36" t="str">
        <f>IF(ISNUMBER(F20707),C20707*F20707,"")</f>
        <v/>
      </c>
    </row>
    <row r="20708" spans="1:7" ht="24" customHeight="1" outlineLevel="3" x14ac:dyDescent="0.2">
      <c r="A20708" s="14" t="s">
        <v>40757</v>
      </c>
      <c r="B20708" s="15" t="s">
        <v>40758</v>
      </c>
      <c r="C20708" s="19">
        <f>1541.59/(1+B2)</f>
        <v>1541.59</v>
      </c>
      <c r="D20708" s="17" t="s">
        <v>11</v>
      </c>
      <c r="E20708" s="17" t="s">
        <v>14</v>
      </c>
      <c r="F20708" s="18"/>
      <c r="G20708" s="36" t="str">
        <f>IF(ISNUMBER(F20708),C20708*F20708,"")</f>
        <v/>
      </c>
    </row>
    <row r="20709" spans="1:7" ht="24" customHeight="1" outlineLevel="3" x14ac:dyDescent="0.2">
      <c r="A20709" s="14" t="s">
        <v>40759</v>
      </c>
      <c r="B20709" s="15" t="s">
        <v>40760</v>
      </c>
      <c r="C20709" s="19">
        <f>1458.5/(1+B2)</f>
        <v>1458.5</v>
      </c>
      <c r="D20709" s="17" t="s">
        <v>11</v>
      </c>
      <c r="E20709" s="17" t="s">
        <v>11</v>
      </c>
      <c r="F20709" s="18"/>
      <c r="G20709" s="36" t="str">
        <f>IF(ISNUMBER(F20709),C20709*F20709,"")</f>
        <v/>
      </c>
    </row>
    <row r="20710" spans="1:7" ht="24" customHeight="1" outlineLevel="3" x14ac:dyDescent="0.2">
      <c r="A20710" s="14" t="s">
        <v>40761</v>
      </c>
      <c r="B20710" s="15" t="s">
        <v>40762</v>
      </c>
      <c r="C20710" s="19">
        <f>1458.5/(1+B2)</f>
        <v>1458.5</v>
      </c>
      <c r="D20710" s="17" t="s">
        <v>11</v>
      </c>
      <c r="E20710" s="17" t="s">
        <v>11</v>
      </c>
      <c r="F20710" s="18"/>
      <c r="G20710" s="36" t="str">
        <f>IF(ISNUMBER(F20710),C20710*F20710,"")</f>
        <v/>
      </c>
    </row>
    <row r="20711" spans="1:7" ht="12" customHeight="1" outlineLevel="3" x14ac:dyDescent="0.2">
      <c r="A20711" s="14" t="s">
        <v>40763</v>
      </c>
      <c r="B20711" s="15" t="s">
        <v>40764</v>
      </c>
      <c r="C20711" s="19">
        <f>3537.14/(1+B2)</f>
        <v>3537.14</v>
      </c>
      <c r="D20711" s="17" t="s">
        <v>11</v>
      </c>
      <c r="E20711" s="17"/>
      <c r="F20711" s="18"/>
      <c r="G20711" s="36" t="str">
        <f>IF(ISNUMBER(F20711),C20711*F20711,"")</f>
        <v/>
      </c>
    </row>
    <row r="20712" spans="1:7" ht="12" customHeight="1" outlineLevel="3" x14ac:dyDescent="0.2">
      <c r="A20712" s="14" t="s">
        <v>40765</v>
      </c>
      <c r="B20712" s="15" t="s">
        <v>40766</v>
      </c>
      <c r="C20712" s="19">
        <f>3028.37/(1+B2)</f>
        <v>3028.37</v>
      </c>
      <c r="D20712" s="17" t="s">
        <v>11</v>
      </c>
      <c r="E20712" s="17" t="s">
        <v>11</v>
      </c>
      <c r="F20712" s="18"/>
      <c r="G20712" s="36" t="str">
        <f>IF(ISNUMBER(F20712),C20712*F20712,"")</f>
        <v/>
      </c>
    </row>
    <row r="20713" spans="1:7" ht="12" customHeight="1" outlineLevel="3" x14ac:dyDescent="0.2">
      <c r="A20713" s="14" t="s">
        <v>40767</v>
      </c>
      <c r="B20713" s="15" t="s">
        <v>40768</v>
      </c>
      <c r="C20713" s="19">
        <f>2936.23/(1+B2)</f>
        <v>2936.23</v>
      </c>
      <c r="D20713" s="17" t="s">
        <v>11</v>
      </c>
      <c r="E20713" s="17" t="s">
        <v>11</v>
      </c>
      <c r="F20713" s="18"/>
      <c r="G20713" s="36" t="str">
        <f>IF(ISNUMBER(F20713),C20713*F20713,"")</f>
        <v/>
      </c>
    </row>
    <row r="20714" spans="1:7" ht="24" customHeight="1" outlineLevel="3" x14ac:dyDescent="0.2">
      <c r="A20714" s="14" t="s">
        <v>40769</v>
      </c>
      <c r="B20714" s="15" t="s">
        <v>40770</v>
      </c>
      <c r="C20714" s="19">
        <f>2231.5/(1+B2)</f>
        <v>2231.5</v>
      </c>
      <c r="D20714" s="17" t="s">
        <v>11</v>
      </c>
      <c r="E20714" s="17"/>
      <c r="F20714" s="18"/>
      <c r="G20714" s="36" t="str">
        <f>IF(ISNUMBER(F20714),C20714*F20714,"")</f>
        <v/>
      </c>
    </row>
    <row r="20715" spans="1:7" ht="24" customHeight="1" outlineLevel="3" x14ac:dyDescent="0.2">
      <c r="A20715" s="14" t="s">
        <v>40771</v>
      </c>
      <c r="B20715" s="15" t="s">
        <v>40772</v>
      </c>
      <c r="C20715" s="19">
        <f>1370.3/(1+B2)</f>
        <v>1370.3</v>
      </c>
      <c r="D20715" s="17" t="s">
        <v>11</v>
      </c>
      <c r="E20715" s="17" t="s">
        <v>11</v>
      </c>
      <c r="F20715" s="18"/>
      <c r="G20715" s="36" t="str">
        <f>IF(ISNUMBER(F20715),C20715*F20715,"")</f>
        <v/>
      </c>
    </row>
    <row r="20716" spans="1:7" ht="24" customHeight="1" outlineLevel="3" x14ac:dyDescent="0.2">
      <c r="A20716" s="14" t="s">
        <v>40773</v>
      </c>
      <c r="B20716" s="15" t="s">
        <v>40774</v>
      </c>
      <c r="C20716" s="19">
        <f>2044.03/(1+B2)</f>
        <v>2044.03</v>
      </c>
      <c r="D20716" s="17" t="s">
        <v>11</v>
      </c>
      <c r="E20716" s="17" t="s">
        <v>11</v>
      </c>
      <c r="F20716" s="18"/>
      <c r="G20716" s="36" t="str">
        <f>IF(ISNUMBER(F20716),C20716*F20716,"")</f>
        <v/>
      </c>
    </row>
    <row r="20717" spans="1:7" ht="24" customHeight="1" outlineLevel="3" x14ac:dyDescent="0.2">
      <c r="A20717" s="14" t="s">
        <v>40775</v>
      </c>
      <c r="B20717" s="15" t="s">
        <v>40776</v>
      </c>
      <c r="C20717" s="19">
        <f>1420.06/(1+B2)</f>
        <v>1420.06</v>
      </c>
      <c r="D20717" s="17" t="s">
        <v>11</v>
      </c>
      <c r="E20717" s="17" t="s">
        <v>11</v>
      </c>
      <c r="F20717" s="18"/>
      <c r="G20717" s="36" t="str">
        <f>IF(ISNUMBER(F20717),C20717*F20717,"")</f>
        <v/>
      </c>
    </row>
    <row r="20718" spans="1:7" ht="12" customHeight="1" outlineLevel="3" x14ac:dyDescent="0.2">
      <c r="A20718" s="14" t="s">
        <v>40777</v>
      </c>
      <c r="B20718" s="15" t="s">
        <v>40778</v>
      </c>
      <c r="C20718" s="19">
        <f>3547.89/(1+B2)</f>
        <v>3547.89</v>
      </c>
      <c r="D20718" s="17" t="s">
        <v>11</v>
      </c>
      <c r="E20718" s="17" t="s">
        <v>11</v>
      </c>
      <c r="F20718" s="18"/>
      <c r="G20718" s="36" t="str">
        <f>IF(ISNUMBER(F20718),C20718*F20718,"")</f>
        <v/>
      </c>
    </row>
    <row r="20719" spans="1:7" ht="12" customHeight="1" outlineLevel="3" x14ac:dyDescent="0.2">
      <c r="A20719" s="14" t="s">
        <v>40779</v>
      </c>
      <c r="B20719" s="15" t="s">
        <v>40780</v>
      </c>
      <c r="C20719" s="19">
        <f>3672.57/(1+B2)</f>
        <v>3672.57</v>
      </c>
      <c r="D20719" s="17" t="s">
        <v>11</v>
      </c>
      <c r="E20719" s="17" t="s">
        <v>11</v>
      </c>
      <c r="F20719" s="18"/>
      <c r="G20719" s="36" t="str">
        <f>IF(ISNUMBER(F20719),C20719*F20719,"")</f>
        <v/>
      </c>
    </row>
    <row r="20720" spans="1:7" ht="12" customHeight="1" outlineLevel="3" x14ac:dyDescent="0.2">
      <c r="A20720" s="14" t="s">
        <v>40781</v>
      </c>
      <c r="B20720" s="15" t="s">
        <v>40782</v>
      </c>
      <c r="C20720" s="19">
        <f>3601.92/(1+B2)</f>
        <v>3601.92</v>
      </c>
      <c r="D20720" s="17" t="s">
        <v>11</v>
      </c>
      <c r="E20720" s="17" t="s">
        <v>11</v>
      </c>
      <c r="F20720" s="18"/>
      <c r="G20720" s="36" t="str">
        <f>IF(ISNUMBER(F20720),C20720*F20720,"")</f>
        <v/>
      </c>
    </row>
    <row r="20721" spans="1:7" ht="12" customHeight="1" outlineLevel="3" x14ac:dyDescent="0.2">
      <c r="A20721" s="14" t="s">
        <v>40783</v>
      </c>
      <c r="B20721" s="15" t="s">
        <v>40784</v>
      </c>
      <c r="C20721" s="19">
        <f>1932.78/(1+B2)</f>
        <v>1932.78</v>
      </c>
      <c r="D20721" s="17" t="s">
        <v>11</v>
      </c>
      <c r="E20721" s="17"/>
      <c r="F20721" s="18"/>
      <c r="G20721" s="36" t="str">
        <f>IF(ISNUMBER(F20721),C20721*F20721,"")</f>
        <v/>
      </c>
    </row>
    <row r="20722" spans="1:7" ht="24" customHeight="1" outlineLevel="3" x14ac:dyDescent="0.2">
      <c r="A20722" s="14" t="s">
        <v>40785</v>
      </c>
      <c r="B20722" s="15" t="s">
        <v>40786</v>
      </c>
      <c r="C20722" s="19">
        <f>2272.42/(1+B2)</f>
        <v>2272.42</v>
      </c>
      <c r="D20722" s="17" t="s">
        <v>11</v>
      </c>
      <c r="E20722" s="17" t="s">
        <v>11</v>
      </c>
      <c r="F20722" s="18"/>
      <c r="G20722" s="36" t="str">
        <f>IF(ISNUMBER(F20722),C20722*F20722,"")</f>
        <v/>
      </c>
    </row>
    <row r="20723" spans="1:7" ht="24" customHeight="1" outlineLevel="3" x14ac:dyDescent="0.2">
      <c r="A20723" s="14" t="s">
        <v>40787</v>
      </c>
      <c r="B20723" s="15" t="s">
        <v>40788</v>
      </c>
      <c r="C20723" s="19">
        <f>1497.38/(1+B2)</f>
        <v>1497.38</v>
      </c>
      <c r="D20723" s="17" t="s">
        <v>11</v>
      </c>
      <c r="E20723" s="17" t="s">
        <v>11</v>
      </c>
      <c r="F20723" s="18"/>
      <c r="G20723" s="36" t="str">
        <f>IF(ISNUMBER(F20723),C20723*F20723,"")</f>
        <v/>
      </c>
    </row>
    <row r="20724" spans="1:7" ht="24" customHeight="1" outlineLevel="3" x14ac:dyDescent="0.2">
      <c r="A20724" s="14" t="s">
        <v>40789</v>
      </c>
      <c r="B20724" s="15" t="s">
        <v>40790</v>
      </c>
      <c r="C20724" s="19">
        <f>1497.38/(1+B2)</f>
        <v>1497.38</v>
      </c>
      <c r="D20724" s="17" t="s">
        <v>11</v>
      </c>
      <c r="E20724" s="17"/>
      <c r="F20724" s="18"/>
      <c r="G20724" s="36" t="str">
        <f>IF(ISNUMBER(F20724),C20724*F20724,"")</f>
        <v/>
      </c>
    </row>
    <row r="20725" spans="1:7" ht="12" customHeight="1" outlineLevel="3" x14ac:dyDescent="0.2">
      <c r="A20725" s="14" t="s">
        <v>40791</v>
      </c>
      <c r="B20725" s="15" t="s">
        <v>40792</v>
      </c>
      <c r="C20725" s="19">
        <f>2854.8/(1+B2)</f>
        <v>2854.8</v>
      </c>
      <c r="D20725" s="17" t="s">
        <v>11</v>
      </c>
      <c r="E20725" s="17" t="s">
        <v>11</v>
      </c>
      <c r="F20725" s="18"/>
      <c r="G20725" s="36" t="str">
        <f>IF(ISNUMBER(F20725),C20725*F20725,"")</f>
        <v/>
      </c>
    </row>
    <row r="20726" spans="1:7" ht="12" customHeight="1" outlineLevel="3" x14ac:dyDescent="0.2">
      <c r="A20726" s="14" t="s">
        <v>40793</v>
      </c>
      <c r="B20726" s="15" t="s">
        <v>40794</v>
      </c>
      <c r="C20726" s="19">
        <f>3598.42/(1+B2)</f>
        <v>3598.42</v>
      </c>
      <c r="D20726" s="17" t="s">
        <v>11</v>
      </c>
      <c r="E20726" s="17" t="s">
        <v>11</v>
      </c>
      <c r="F20726" s="18"/>
      <c r="G20726" s="36" t="str">
        <f>IF(ISNUMBER(F20726),C20726*F20726,"")</f>
        <v/>
      </c>
    </row>
    <row r="20727" spans="1:7" ht="12" customHeight="1" outlineLevel="3" x14ac:dyDescent="0.2">
      <c r="A20727" s="14" t="s">
        <v>40795</v>
      </c>
      <c r="B20727" s="15" t="s">
        <v>40796</v>
      </c>
      <c r="C20727" s="19">
        <f>3583.93/(1+B2)</f>
        <v>3583.93</v>
      </c>
      <c r="D20727" s="17" t="s">
        <v>11</v>
      </c>
      <c r="E20727" s="17" t="s">
        <v>11</v>
      </c>
      <c r="F20727" s="18"/>
      <c r="G20727" s="36" t="str">
        <f>IF(ISNUMBER(F20727),C20727*F20727,"")</f>
        <v/>
      </c>
    </row>
    <row r="20728" spans="1:7" ht="24" customHeight="1" outlineLevel="3" x14ac:dyDescent="0.2">
      <c r="A20728" s="14" t="s">
        <v>40797</v>
      </c>
      <c r="B20728" s="15" t="s">
        <v>40798</v>
      </c>
      <c r="C20728" s="19">
        <f>2638.56/(1+B2)</f>
        <v>2638.56</v>
      </c>
      <c r="D20728" s="17" t="s">
        <v>11</v>
      </c>
      <c r="E20728" s="17" t="s">
        <v>11</v>
      </c>
      <c r="F20728" s="18"/>
      <c r="G20728" s="36" t="str">
        <f>IF(ISNUMBER(F20728),C20728*F20728,"")</f>
        <v/>
      </c>
    </row>
    <row r="20729" spans="1:7" ht="12" customHeight="1" outlineLevel="3" x14ac:dyDescent="0.2">
      <c r="A20729" s="14" t="s">
        <v>40799</v>
      </c>
      <c r="B20729" s="15" t="s">
        <v>40800</v>
      </c>
      <c r="C20729" s="19">
        <f>4965.16/(1+B2)</f>
        <v>4965.16</v>
      </c>
      <c r="D20729" s="17" t="s">
        <v>11</v>
      </c>
      <c r="E20729" s="17" t="s">
        <v>11</v>
      </c>
      <c r="F20729" s="18"/>
      <c r="G20729" s="36" t="str">
        <f>IF(ISNUMBER(F20729),C20729*F20729,"")</f>
        <v/>
      </c>
    </row>
    <row r="20730" spans="1:7" ht="24" customHeight="1" outlineLevel="3" x14ac:dyDescent="0.2">
      <c r="A20730" s="14" t="s">
        <v>40801</v>
      </c>
      <c r="B20730" s="15" t="s">
        <v>40802</v>
      </c>
      <c r="C20730" s="19">
        <f>4460.63/(1+B2)</f>
        <v>4460.63</v>
      </c>
      <c r="D20730" s="17" t="s">
        <v>11</v>
      </c>
      <c r="E20730" s="17" t="s">
        <v>11</v>
      </c>
      <c r="F20730" s="18"/>
      <c r="G20730" s="36" t="str">
        <f>IF(ISNUMBER(F20730),C20730*F20730,"")</f>
        <v/>
      </c>
    </row>
    <row r="20731" spans="1:7" ht="12" customHeight="1" outlineLevel="3" x14ac:dyDescent="0.2">
      <c r="A20731" s="14" t="s">
        <v>40803</v>
      </c>
      <c r="B20731" s="15" t="s">
        <v>40804</v>
      </c>
      <c r="C20731" s="19">
        <f>2869.86/(1+B2)</f>
        <v>2869.86</v>
      </c>
      <c r="D20731" s="17" t="s">
        <v>11</v>
      </c>
      <c r="E20731" s="17" t="s">
        <v>11</v>
      </c>
      <c r="F20731" s="18"/>
      <c r="G20731" s="36" t="str">
        <f>IF(ISNUMBER(F20731),C20731*F20731,"")</f>
        <v/>
      </c>
    </row>
    <row r="20732" spans="1:7" ht="12" customHeight="1" outlineLevel="3" x14ac:dyDescent="0.2">
      <c r="A20732" s="14" t="s">
        <v>40805</v>
      </c>
      <c r="B20732" s="15" t="s">
        <v>40806</v>
      </c>
      <c r="C20732" s="19">
        <f>2740.65/(1+B2)</f>
        <v>2740.65</v>
      </c>
      <c r="D20732" s="17" t="s">
        <v>11</v>
      </c>
      <c r="E20732" s="17" t="s">
        <v>11</v>
      </c>
      <c r="F20732" s="18"/>
      <c r="G20732" s="36" t="str">
        <f>IF(ISNUMBER(F20732),C20732*F20732,"")</f>
        <v/>
      </c>
    </row>
    <row r="20733" spans="1:7" ht="24" customHeight="1" outlineLevel="3" x14ac:dyDescent="0.2">
      <c r="A20733" s="14" t="s">
        <v>40807</v>
      </c>
      <c r="B20733" s="15" t="s">
        <v>40808</v>
      </c>
      <c r="C20733" s="19">
        <f>1312.64/(1+B2)</f>
        <v>1312.64</v>
      </c>
      <c r="D20733" s="17" t="s">
        <v>11</v>
      </c>
      <c r="E20733" s="17"/>
      <c r="F20733" s="18"/>
      <c r="G20733" s="36" t="str">
        <f>IF(ISNUMBER(F20733),C20733*F20733,"")</f>
        <v/>
      </c>
    </row>
    <row r="20734" spans="1:7" ht="24" customHeight="1" outlineLevel="3" x14ac:dyDescent="0.2">
      <c r="A20734" s="14" t="s">
        <v>40809</v>
      </c>
      <c r="B20734" s="15" t="s">
        <v>40810</v>
      </c>
      <c r="C20734" s="19">
        <f>2524.32/(1+B2)</f>
        <v>2524.3200000000002</v>
      </c>
      <c r="D20734" s="17" t="s">
        <v>11</v>
      </c>
      <c r="E20734" s="17" t="s">
        <v>14</v>
      </c>
      <c r="F20734" s="18"/>
      <c r="G20734" s="36" t="str">
        <f>IF(ISNUMBER(F20734),C20734*F20734,"")</f>
        <v/>
      </c>
    </row>
    <row r="20735" spans="1:7" ht="24" customHeight="1" outlineLevel="3" x14ac:dyDescent="0.2">
      <c r="A20735" s="14" t="s">
        <v>40811</v>
      </c>
      <c r="B20735" s="15" t="s">
        <v>40812</v>
      </c>
      <c r="C20735" s="19">
        <f>2957.57/(1+B2)</f>
        <v>2957.57</v>
      </c>
      <c r="D20735" s="17" t="s">
        <v>11</v>
      </c>
      <c r="E20735" s="17" t="s">
        <v>11</v>
      </c>
      <c r="F20735" s="18"/>
      <c r="G20735" s="36" t="str">
        <f>IF(ISNUMBER(F20735),C20735*F20735,"")</f>
        <v/>
      </c>
    </row>
    <row r="20736" spans="1:7" ht="24" customHeight="1" outlineLevel="3" x14ac:dyDescent="0.2">
      <c r="A20736" s="14" t="s">
        <v>40813</v>
      </c>
      <c r="B20736" s="15" t="s">
        <v>40814</v>
      </c>
      <c r="C20736" s="19">
        <f>1621.52/(1+B2)</f>
        <v>1621.52</v>
      </c>
      <c r="D20736" s="17" t="s">
        <v>11</v>
      </c>
      <c r="E20736" s="17" t="s">
        <v>11</v>
      </c>
      <c r="F20736" s="18"/>
      <c r="G20736" s="36" t="str">
        <f>IF(ISNUMBER(F20736),C20736*F20736,"")</f>
        <v/>
      </c>
    </row>
    <row r="20737" spans="1:7" ht="24" customHeight="1" outlineLevel="3" x14ac:dyDescent="0.2">
      <c r="A20737" s="14" t="s">
        <v>40815</v>
      </c>
      <c r="B20737" s="15" t="s">
        <v>40816</v>
      </c>
      <c r="C20737" s="19">
        <f>1541.59/(1+B2)</f>
        <v>1541.59</v>
      </c>
      <c r="D20737" s="17" t="s">
        <v>11</v>
      </c>
      <c r="E20737" s="17" t="s">
        <v>11</v>
      </c>
      <c r="F20737" s="18"/>
      <c r="G20737" s="36" t="str">
        <f>IF(ISNUMBER(F20737),C20737*F20737,"")</f>
        <v/>
      </c>
    </row>
    <row r="20738" spans="1:7" ht="24" customHeight="1" outlineLevel="3" x14ac:dyDescent="0.2">
      <c r="A20738" s="14" t="s">
        <v>40817</v>
      </c>
      <c r="B20738" s="15" t="s">
        <v>40818</v>
      </c>
      <c r="C20738" s="19">
        <f>1902.69/(1+B2)</f>
        <v>1902.69</v>
      </c>
      <c r="D20738" s="17" t="s">
        <v>11</v>
      </c>
      <c r="E20738" s="17"/>
      <c r="F20738" s="18"/>
      <c r="G20738" s="36" t="str">
        <f>IF(ISNUMBER(F20738),C20738*F20738,"")</f>
        <v/>
      </c>
    </row>
    <row r="20739" spans="1:7" ht="24" customHeight="1" outlineLevel="3" x14ac:dyDescent="0.2">
      <c r="A20739" s="14" t="s">
        <v>40819</v>
      </c>
      <c r="B20739" s="15" t="s">
        <v>40820</v>
      </c>
      <c r="C20739" s="19">
        <f>1939.58/(1+B2)</f>
        <v>1939.58</v>
      </c>
      <c r="D20739" s="17" t="s">
        <v>11</v>
      </c>
      <c r="E20739" s="17"/>
      <c r="F20739" s="18"/>
      <c r="G20739" s="36" t="str">
        <f>IF(ISNUMBER(F20739),C20739*F20739,"")</f>
        <v/>
      </c>
    </row>
    <row r="20740" spans="1:7" ht="24" customHeight="1" outlineLevel="3" x14ac:dyDescent="0.2">
      <c r="A20740" s="14" t="s">
        <v>40821</v>
      </c>
      <c r="B20740" s="15" t="s">
        <v>40822</v>
      </c>
      <c r="C20740" s="19">
        <f>1856.28/(1+B2)</f>
        <v>1856.28</v>
      </c>
      <c r="D20740" s="17" t="s">
        <v>11</v>
      </c>
      <c r="E20740" s="17"/>
      <c r="F20740" s="18"/>
      <c r="G20740" s="36" t="str">
        <f>IF(ISNUMBER(F20740),C20740*F20740,"")</f>
        <v/>
      </c>
    </row>
    <row r="20741" spans="1:7" ht="24" customHeight="1" outlineLevel="3" x14ac:dyDescent="0.2">
      <c r="A20741" s="14" t="s">
        <v>40823</v>
      </c>
      <c r="B20741" s="15" t="s">
        <v>40824</v>
      </c>
      <c r="C20741" s="19">
        <f>1840.78/(1+B2)</f>
        <v>1840.78</v>
      </c>
      <c r="D20741" s="17" t="s">
        <v>11</v>
      </c>
      <c r="E20741" s="17" t="s">
        <v>11</v>
      </c>
      <c r="F20741" s="18"/>
      <c r="G20741" s="36" t="str">
        <f>IF(ISNUMBER(F20741),C20741*F20741,"")</f>
        <v/>
      </c>
    </row>
    <row r="20742" spans="1:7" ht="12" customHeight="1" outlineLevel="3" x14ac:dyDescent="0.2">
      <c r="A20742" s="14" t="s">
        <v>40825</v>
      </c>
      <c r="B20742" s="15" t="s">
        <v>40826</v>
      </c>
      <c r="C20742" s="19">
        <f>2957.57/(1+B2)</f>
        <v>2957.57</v>
      </c>
      <c r="D20742" s="17" t="s">
        <v>11</v>
      </c>
      <c r="E20742" s="17" t="s">
        <v>11</v>
      </c>
      <c r="F20742" s="18"/>
      <c r="G20742" s="36" t="str">
        <f>IF(ISNUMBER(F20742),C20742*F20742,"")</f>
        <v/>
      </c>
    </row>
    <row r="20743" spans="1:7" ht="24" customHeight="1" outlineLevel="3" x14ac:dyDescent="0.2">
      <c r="A20743" s="14" t="s">
        <v>40827</v>
      </c>
      <c r="B20743" s="15" t="s">
        <v>40828</v>
      </c>
      <c r="C20743" s="19">
        <f>2358.35/(1+B2)</f>
        <v>2358.35</v>
      </c>
      <c r="D20743" s="17" t="s">
        <v>11</v>
      </c>
      <c r="E20743" s="17" t="s">
        <v>11</v>
      </c>
      <c r="F20743" s="18"/>
      <c r="G20743" s="36" t="str">
        <f>IF(ISNUMBER(F20743),C20743*F20743,"")</f>
        <v/>
      </c>
    </row>
    <row r="20744" spans="1:7" ht="24" customHeight="1" outlineLevel="3" x14ac:dyDescent="0.2">
      <c r="A20744" s="14" t="s">
        <v>40829</v>
      </c>
      <c r="B20744" s="15" t="s">
        <v>40830</v>
      </c>
      <c r="C20744" s="19">
        <f>1635.47/(1+B2)</f>
        <v>1635.47</v>
      </c>
      <c r="D20744" s="17" t="s">
        <v>11</v>
      </c>
      <c r="E20744" s="17"/>
      <c r="F20744" s="18"/>
      <c r="G20744" s="36" t="str">
        <f>IF(ISNUMBER(F20744),C20744*F20744,"")</f>
        <v/>
      </c>
    </row>
    <row r="20745" spans="1:7" ht="24" customHeight="1" outlineLevel="3" x14ac:dyDescent="0.2">
      <c r="A20745" s="14" t="s">
        <v>40831</v>
      </c>
      <c r="B20745" s="15" t="s">
        <v>40832</v>
      </c>
      <c r="C20745" s="19">
        <f>3038.02/(1+B2)</f>
        <v>3038.02</v>
      </c>
      <c r="D20745" s="17" t="s">
        <v>11</v>
      </c>
      <c r="E20745" s="17" t="s">
        <v>11</v>
      </c>
      <c r="F20745" s="18"/>
      <c r="G20745" s="36" t="str">
        <f>IF(ISNUMBER(F20745),C20745*F20745,"")</f>
        <v/>
      </c>
    </row>
    <row r="20746" spans="1:7" ht="12" customHeight="1" outlineLevel="3" x14ac:dyDescent="0.2">
      <c r="A20746" s="14" t="s">
        <v>40833</v>
      </c>
      <c r="B20746" s="15" t="s">
        <v>40834</v>
      </c>
      <c r="C20746" s="19">
        <f>3076.33/(1+B2)</f>
        <v>3076.33</v>
      </c>
      <c r="D20746" s="17" t="s">
        <v>11</v>
      </c>
      <c r="E20746" s="17" t="s">
        <v>11</v>
      </c>
      <c r="F20746" s="18"/>
      <c r="G20746" s="36" t="str">
        <f>IF(ISNUMBER(F20746),C20746*F20746,"")</f>
        <v/>
      </c>
    </row>
    <row r="20747" spans="1:7" ht="24" customHeight="1" outlineLevel="3" x14ac:dyDescent="0.2">
      <c r="A20747" s="14" t="s">
        <v>40835</v>
      </c>
      <c r="B20747" s="15" t="s">
        <v>40836</v>
      </c>
      <c r="C20747" s="19">
        <f>2963.68/(1+B2)</f>
        <v>2963.68</v>
      </c>
      <c r="D20747" s="17" t="s">
        <v>11</v>
      </c>
      <c r="E20747" s="17" t="s">
        <v>11</v>
      </c>
      <c r="F20747" s="18"/>
      <c r="G20747" s="36" t="str">
        <f>IF(ISNUMBER(F20747),C20747*F20747,"")</f>
        <v/>
      </c>
    </row>
    <row r="20748" spans="1:7" ht="24" customHeight="1" outlineLevel="3" x14ac:dyDescent="0.2">
      <c r="A20748" s="14" t="s">
        <v>40837</v>
      </c>
      <c r="B20748" s="15" t="s">
        <v>40838</v>
      </c>
      <c r="C20748" s="19">
        <f>1553.02/(1+B2)</f>
        <v>1553.02</v>
      </c>
      <c r="D20748" s="17" t="s">
        <v>11</v>
      </c>
      <c r="E20748" s="17" t="s">
        <v>11</v>
      </c>
      <c r="F20748" s="18"/>
      <c r="G20748" s="36" t="str">
        <f>IF(ISNUMBER(F20748),C20748*F20748,"")</f>
        <v/>
      </c>
    </row>
    <row r="20749" spans="1:7" ht="12" customHeight="1" outlineLevel="3" x14ac:dyDescent="0.2">
      <c r="A20749" s="14" t="s">
        <v>40839</v>
      </c>
      <c r="B20749" s="15" t="s">
        <v>40840</v>
      </c>
      <c r="C20749" s="19">
        <f>4762.64/(1+B2)</f>
        <v>4762.6400000000003</v>
      </c>
      <c r="D20749" s="17" t="s">
        <v>11</v>
      </c>
      <c r="E20749" s="17"/>
      <c r="F20749" s="18"/>
      <c r="G20749" s="36" t="str">
        <f>IF(ISNUMBER(F20749),C20749*F20749,"")</f>
        <v/>
      </c>
    </row>
    <row r="20750" spans="1:7" ht="24" customHeight="1" outlineLevel="3" x14ac:dyDescent="0.2">
      <c r="A20750" s="14" t="s">
        <v>40841</v>
      </c>
      <c r="B20750" s="15" t="s">
        <v>40842</v>
      </c>
      <c r="C20750" s="19">
        <f>1975.61/(1+B2)</f>
        <v>1975.61</v>
      </c>
      <c r="D20750" s="17" t="s">
        <v>11</v>
      </c>
      <c r="E20750" s="17"/>
      <c r="F20750" s="18"/>
      <c r="G20750" s="36" t="str">
        <f>IF(ISNUMBER(F20750),C20750*F20750,"")</f>
        <v/>
      </c>
    </row>
    <row r="20751" spans="1:7" ht="24" customHeight="1" outlineLevel="3" x14ac:dyDescent="0.2">
      <c r="A20751" s="14" t="s">
        <v>40843</v>
      </c>
      <c r="B20751" s="15" t="s">
        <v>40844</v>
      </c>
      <c r="C20751" s="19">
        <f>1698.58/(1+B2)</f>
        <v>1698.58</v>
      </c>
      <c r="D20751" s="17" t="s">
        <v>11</v>
      </c>
      <c r="E20751" s="17" t="s">
        <v>11</v>
      </c>
      <c r="F20751" s="18"/>
      <c r="G20751" s="36" t="str">
        <f>IF(ISNUMBER(F20751),C20751*F20751,"")</f>
        <v/>
      </c>
    </row>
    <row r="20752" spans="1:7" ht="24" customHeight="1" outlineLevel="3" x14ac:dyDescent="0.2">
      <c r="A20752" s="14" t="s">
        <v>40845</v>
      </c>
      <c r="B20752" s="15" t="s">
        <v>40846</v>
      </c>
      <c r="C20752" s="19">
        <f>2052.94/(1+B2)</f>
        <v>2052.94</v>
      </c>
      <c r="D20752" s="17" t="s">
        <v>11</v>
      </c>
      <c r="E20752" s="17" t="s">
        <v>11</v>
      </c>
      <c r="F20752" s="18"/>
      <c r="G20752" s="36" t="str">
        <f>IF(ISNUMBER(F20752),C20752*F20752,"")</f>
        <v/>
      </c>
    </row>
    <row r="20753" spans="1:7" ht="12" customHeight="1" outlineLevel="3" x14ac:dyDescent="0.2">
      <c r="A20753" s="14" t="s">
        <v>40847</v>
      </c>
      <c r="B20753" s="15" t="s">
        <v>40848</v>
      </c>
      <c r="C20753" s="19">
        <f>2934.95/(1+B2)</f>
        <v>2934.95</v>
      </c>
      <c r="D20753" s="17" t="s">
        <v>11</v>
      </c>
      <c r="E20753" s="17"/>
      <c r="F20753" s="18"/>
      <c r="G20753" s="36" t="str">
        <f>IF(ISNUMBER(F20753),C20753*F20753,"")</f>
        <v/>
      </c>
    </row>
    <row r="20754" spans="1:7" ht="24" customHeight="1" outlineLevel="3" x14ac:dyDescent="0.2">
      <c r="A20754" s="14" t="s">
        <v>40849</v>
      </c>
      <c r="B20754" s="15" t="s">
        <v>40850</v>
      </c>
      <c r="C20754" s="19">
        <f>1893.4/(1+B2)</f>
        <v>1893.4</v>
      </c>
      <c r="D20754" s="17" t="s">
        <v>11</v>
      </c>
      <c r="E20754" s="17" t="s">
        <v>11</v>
      </c>
      <c r="F20754" s="18"/>
      <c r="G20754" s="36" t="str">
        <f>IF(ISNUMBER(F20754),C20754*F20754,"")</f>
        <v/>
      </c>
    </row>
    <row r="20755" spans="1:7" ht="24" customHeight="1" outlineLevel="3" x14ac:dyDescent="0.2">
      <c r="A20755" s="14" t="s">
        <v>40851</v>
      </c>
      <c r="B20755" s="15" t="s">
        <v>40852</v>
      </c>
      <c r="C20755" s="19">
        <f>2840.1/(1+B2)</f>
        <v>2840.1</v>
      </c>
      <c r="D20755" s="17" t="s">
        <v>11</v>
      </c>
      <c r="E20755" s="17"/>
      <c r="F20755" s="18"/>
      <c r="G20755" s="36" t="str">
        <f>IF(ISNUMBER(F20755),C20755*F20755,"")</f>
        <v/>
      </c>
    </row>
    <row r="20756" spans="1:7" ht="24" customHeight="1" outlineLevel="3" x14ac:dyDescent="0.2">
      <c r="A20756" s="14" t="s">
        <v>40853</v>
      </c>
      <c r="B20756" s="15" t="s">
        <v>40854</v>
      </c>
      <c r="C20756" s="19">
        <f>3220.21/(1+B2)</f>
        <v>3220.21</v>
      </c>
      <c r="D20756" s="17" t="s">
        <v>11</v>
      </c>
      <c r="E20756" s="17" t="s">
        <v>11</v>
      </c>
      <c r="F20756" s="18"/>
      <c r="G20756" s="36" t="str">
        <f>IF(ISNUMBER(F20756),C20756*F20756,"")</f>
        <v/>
      </c>
    </row>
    <row r="20757" spans="1:7" ht="24" customHeight="1" outlineLevel="3" x14ac:dyDescent="0.2">
      <c r="A20757" s="14" t="s">
        <v>40855</v>
      </c>
      <c r="B20757" s="15" t="s">
        <v>40856</v>
      </c>
      <c r="C20757" s="19">
        <f>3550.66/(1+B2)</f>
        <v>3550.66</v>
      </c>
      <c r="D20757" s="17" t="s">
        <v>11</v>
      </c>
      <c r="E20757" s="17"/>
      <c r="F20757" s="18"/>
      <c r="G20757" s="36" t="str">
        <f>IF(ISNUMBER(F20757),C20757*F20757,"")</f>
        <v/>
      </c>
    </row>
    <row r="20758" spans="1:7" ht="24" customHeight="1" outlineLevel="3" x14ac:dyDescent="0.2">
      <c r="A20758" s="14" t="s">
        <v>40857</v>
      </c>
      <c r="B20758" s="15" t="s">
        <v>40858</v>
      </c>
      <c r="C20758" s="19">
        <f>1541.59/(1+B2)</f>
        <v>1541.59</v>
      </c>
      <c r="D20758" s="17" t="s">
        <v>11</v>
      </c>
      <c r="E20758" s="17" t="s">
        <v>11</v>
      </c>
      <c r="F20758" s="18"/>
      <c r="G20758" s="36" t="str">
        <f>IF(ISNUMBER(F20758),C20758*F20758,"")</f>
        <v/>
      </c>
    </row>
    <row r="20759" spans="1:7" ht="24" customHeight="1" outlineLevel="3" x14ac:dyDescent="0.2">
      <c r="A20759" s="14" t="s">
        <v>40859</v>
      </c>
      <c r="B20759" s="15" t="s">
        <v>40860</v>
      </c>
      <c r="C20759" s="19">
        <f>3593.21/(1+B2)</f>
        <v>3593.21</v>
      </c>
      <c r="D20759" s="17" t="s">
        <v>11</v>
      </c>
      <c r="E20759" s="17" t="s">
        <v>11</v>
      </c>
      <c r="F20759" s="18"/>
      <c r="G20759" s="36" t="str">
        <f>IF(ISNUMBER(F20759),C20759*F20759,"")</f>
        <v/>
      </c>
    </row>
    <row r="20760" spans="1:7" s="1" customFormat="1" ht="12.95" customHeight="1" outlineLevel="2" x14ac:dyDescent="0.2">
      <c r="A20760" s="20"/>
      <c r="B20760" s="21" t="s">
        <v>40861</v>
      </c>
      <c r="C20760" s="22"/>
      <c r="D20760" s="22"/>
      <c r="E20760" s="22"/>
      <c r="F20760" s="22"/>
      <c r="G20760" s="37"/>
    </row>
    <row r="20761" spans="1:7" ht="12" customHeight="1" outlineLevel="3" x14ac:dyDescent="0.2">
      <c r="A20761" s="14" t="s">
        <v>40862</v>
      </c>
      <c r="B20761" s="15" t="s">
        <v>40863</v>
      </c>
      <c r="C20761" s="19">
        <f>1570.8/(1+B2)</f>
        <v>1570.8</v>
      </c>
      <c r="D20761" s="17" t="s">
        <v>11</v>
      </c>
      <c r="E20761" s="17" t="s">
        <v>11</v>
      </c>
      <c r="F20761" s="18"/>
      <c r="G20761" s="36" t="str">
        <f>IF(ISNUMBER(F20761),C20761*F20761,"")</f>
        <v/>
      </c>
    </row>
    <row r="20762" spans="1:7" ht="12" customHeight="1" outlineLevel="3" x14ac:dyDescent="0.2">
      <c r="A20762" s="14" t="s">
        <v>40864</v>
      </c>
      <c r="B20762" s="15" t="s">
        <v>40865</v>
      </c>
      <c r="C20762" s="19">
        <f>1595/(1+B2)</f>
        <v>1595</v>
      </c>
      <c r="D20762" s="17" t="s">
        <v>11</v>
      </c>
      <c r="E20762" s="17" t="s">
        <v>11</v>
      </c>
      <c r="F20762" s="18"/>
      <c r="G20762" s="36" t="str">
        <f>IF(ISNUMBER(F20762),C20762*F20762,"")</f>
        <v/>
      </c>
    </row>
    <row r="20763" spans="1:7" ht="24" customHeight="1" outlineLevel="3" x14ac:dyDescent="0.2">
      <c r="A20763" s="14" t="s">
        <v>40866</v>
      </c>
      <c r="B20763" s="15" t="s">
        <v>40867</v>
      </c>
      <c r="C20763" s="19">
        <f>1959.14/(1+B2)</f>
        <v>1959.14</v>
      </c>
      <c r="D20763" s="17" t="s">
        <v>11</v>
      </c>
      <c r="E20763" s="17" t="s">
        <v>11</v>
      </c>
      <c r="F20763" s="18"/>
      <c r="G20763" s="36" t="str">
        <f>IF(ISNUMBER(F20763),C20763*F20763,"")</f>
        <v/>
      </c>
    </row>
    <row r="20764" spans="1:7" ht="24" customHeight="1" outlineLevel="3" x14ac:dyDescent="0.2">
      <c r="A20764" s="14" t="s">
        <v>40868</v>
      </c>
      <c r="B20764" s="15" t="s">
        <v>40869</v>
      </c>
      <c r="C20764" s="19">
        <f>1959.14/(1+B2)</f>
        <v>1959.14</v>
      </c>
      <c r="D20764" s="17" t="s">
        <v>11</v>
      </c>
      <c r="E20764" s="17" t="s">
        <v>11</v>
      </c>
      <c r="F20764" s="18"/>
      <c r="G20764" s="36" t="str">
        <f>IF(ISNUMBER(F20764),C20764*F20764,"")</f>
        <v/>
      </c>
    </row>
    <row r="20765" spans="1:7" ht="12" customHeight="1" outlineLevel="3" x14ac:dyDescent="0.2">
      <c r="A20765" s="14" t="s">
        <v>40870</v>
      </c>
      <c r="B20765" s="15" t="s">
        <v>40871</v>
      </c>
      <c r="C20765" s="19">
        <f>1247.5/(1+B2)</f>
        <v>1247.5</v>
      </c>
      <c r="D20765" s="17" t="s">
        <v>11</v>
      </c>
      <c r="E20765" s="17" t="s">
        <v>11</v>
      </c>
      <c r="F20765" s="18"/>
      <c r="G20765" s="36" t="str">
        <f>IF(ISNUMBER(F20765),C20765*F20765,"")</f>
        <v/>
      </c>
    </row>
    <row r="20766" spans="1:7" ht="12" customHeight="1" outlineLevel="3" x14ac:dyDescent="0.2">
      <c r="A20766" s="14" t="s">
        <v>40872</v>
      </c>
      <c r="B20766" s="15" t="s">
        <v>40873</v>
      </c>
      <c r="C20766" s="19">
        <f>1062.5/(1+B2)</f>
        <v>1062.5</v>
      </c>
      <c r="D20766" s="17" t="s">
        <v>11</v>
      </c>
      <c r="E20766" s="17" t="s">
        <v>11</v>
      </c>
      <c r="F20766" s="18"/>
      <c r="G20766" s="36" t="str">
        <f>IF(ISNUMBER(F20766),C20766*F20766,"")</f>
        <v/>
      </c>
    </row>
    <row r="20767" spans="1:7" ht="12" customHeight="1" outlineLevel="3" x14ac:dyDescent="0.2">
      <c r="A20767" s="14" t="s">
        <v>40874</v>
      </c>
      <c r="B20767" s="15" t="s">
        <v>40875</v>
      </c>
      <c r="C20767" s="19">
        <f>1620/(1+B2)</f>
        <v>1620</v>
      </c>
      <c r="D20767" s="17" t="s">
        <v>11</v>
      </c>
      <c r="E20767" s="17" t="s">
        <v>11</v>
      </c>
      <c r="F20767" s="18"/>
      <c r="G20767" s="36" t="str">
        <f>IF(ISNUMBER(F20767),C20767*F20767,"")</f>
        <v/>
      </c>
    </row>
    <row r="20768" spans="1:7" ht="12" customHeight="1" outlineLevel="3" x14ac:dyDescent="0.2">
      <c r="A20768" s="14" t="s">
        <v>40876</v>
      </c>
      <c r="B20768" s="15" t="s">
        <v>40877</v>
      </c>
      <c r="C20768" s="19">
        <f>1856.25/(1+B2)</f>
        <v>1856.25</v>
      </c>
      <c r="D20768" s="17" t="s">
        <v>11</v>
      </c>
      <c r="E20768" s="17"/>
      <c r="F20768" s="18"/>
      <c r="G20768" s="36" t="str">
        <f>IF(ISNUMBER(F20768),C20768*F20768,"")</f>
        <v/>
      </c>
    </row>
    <row r="20769" spans="1:7" ht="12" customHeight="1" outlineLevel="3" x14ac:dyDescent="0.2">
      <c r="A20769" s="14" t="s">
        <v>40878</v>
      </c>
      <c r="B20769" s="15" t="s">
        <v>40879</v>
      </c>
      <c r="C20769" s="19">
        <f>1620/(1+B2)</f>
        <v>1620</v>
      </c>
      <c r="D20769" s="17" t="s">
        <v>11</v>
      </c>
      <c r="E20769" s="17"/>
      <c r="F20769" s="18"/>
      <c r="G20769" s="36" t="str">
        <f>IF(ISNUMBER(F20769),C20769*F20769,"")</f>
        <v/>
      </c>
    </row>
    <row r="20770" spans="1:7" ht="12" customHeight="1" outlineLevel="3" x14ac:dyDescent="0.2">
      <c r="A20770" s="14" t="s">
        <v>40880</v>
      </c>
      <c r="B20770" s="15" t="s">
        <v>40881</v>
      </c>
      <c r="C20770" s="19">
        <f>1302.5/(1+B2)</f>
        <v>1302.5</v>
      </c>
      <c r="D20770" s="17" t="s">
        <v>11</v>
      </c>
      <c r="E20770" s="17" t="s">
        <v>11</v>
      </c>
      <c r="F20770" s="18"/>
      <c r="G20770" s="36" t="str">
        <f>IF(ISNUMBER(F20770),C20770*F20770,"")</f>
        <v/>
      </c>
    </row>
    <row r="20771" spans="1:7" ht="12" customHeight="1" outlineLevel="3" x14ac:dyDescent="0.2">
      <c r="A20771" s="14" t="s">
        <v>40882</v>
      </c>
      <c r="B20771" s="15" t="s">
        <v>40883</v>
      </c>
      <c r="C20771" s="19">
        <f>2100/(1+B2)</f>
        <v>2100</v>
      </c>
      <c r="D20771" s="17" t="s">
        <v>11</v>
      </c>
      <c r="E20771" s="17" t="s">
        <v>11</v>
      </c>
      <c r="F20771" s="18"/>
      <c r="G20771" s="36" t="str">
        <f>IF(ISNUMBER(F20771),C20771*F20771,"")</f>
        <v/>
      </c>
    </row>
    <row r="20772" spans="1:7" ht="12" customHeight="1" outlineLevel="3" x14ac:dyDescent="0.2">
      <c r="A20772" s="14" t="s">
        <v>40884</v>
      </c>
      <c r="B20772" s="15" t="s">
        <v>40885</v>
      </c>
      <c r="C20772" s="19">
        <f>2014.06/(1+B2)</f>
        <v>2014.06</v>
      </c>
      <c r="D20772" s="17" t="s">
        <v>11</v>
      </c>
      <c r="E20772" s="17" t="s">
        <v>11</v>
      </c>
      <c r="F20772" s="18"/>
      <c r="G20772" s="36" t="str">
        <f>IF(ISNUMBER(F20772),C20772*F20772,"")</f>
        <v/>
      </c>
    </row>
    <row r="20773" spans="1:7" ht="12" customHeight="1" outlineLevel="3" x14ac:dyDescent="0.2">
      <c r="A20773" s="14" t="s">
        <v>40886</v>
      </c>
      <c r="B20773" s="15" t="s">
        <v>40887</v>
      </c>
      <c r="C20773" s="19">
        <f>2100/(1+B2)</f>
        <v>2100</v>
      </c>
      <c r="D20773" s="17" t="s">
        <v>11</v>
      </c>
      <c r="E20773" s="17" t="s">
        <v>11</v>
      </c>
      <c r="F20773" s="18"/>
      <c r="G20773" s="36" t="str">
        <f>IF(ISNUMBER(F20773),C20773*F20773,"")</f>
        <v/>
      </c>
    </row>
    <row r="20774" spans="1:7" ht="12" customHeight="1" outlineLevel="3" x14ac:dyDescent="0.2">
      <c r="A20774" s="14" t="s">
        <v>40888</v>
      </c>
      <c r="B20774" s="15" t="s">
        <v>40889</v>
      </c>
      <c r="C20774" s="19">
        <f>2050/(1+B2)</f>
        <v>2050</v>
      </c>
      <c r="D20774" s="17" t="s">
        <v>11</v>
      </c>
      <c r="E20774" s="17" t="s">
        <v>11</v>
      </c>
      <c r="F20774" s="18"/>
      <c r="G20774" s="36" t="str">
        <f>IF(ISNUMBER(F20774),C20774*F20774,"")</f>
        <v/>
      </c>
    </row>
    <row r="20775" spans="1:7" ht="12" customHeight="1" outlineLevel="3" x14ac:dyDescent="0.2">
      <c r="A20775" s="14" t="s">
        <v>40890</v>
      </c>
      <c r="B20775" s="15" t="s">
        <v>40891</v>
      </c>
      <c r="C20775" s="19">
        <f>2050/(1+B2)</f>
        <v>2050</v>
      </c>
      <c r="D20775" s="17" t="s">
        <v>11</v>
      </c>
      <c r="E20775" s="17" t="s">
        <v>11</v>
      </c>
      <c r="F20775" s="18"/>
      <c r="G20775" s="36" t="str">
        <f>IF(ISNUMBER(F20775),C20775*F20775,"")</f>
        <v/>
      </c>
    </row>
    <row r="20776" spans="1:7" ht="24" customHeight="1" outlineLevel="3" x14ac:dyDescent="0.2">
      <c r="A20776" s="14" t="s">
        <v>40892</v>
      </c>
      <c r="B20776" s="15" t="s">
        <v>40893</v>
      </c>
      <c r="C20776" s="19">
        <f>1662.18/(1+B2)</f>
        <v>1662.18</v>
      </c>
      <c r="D20776" s="17" t="s">
        <v>11</v>
      </c>
      <c r="E20776" s="17" t="s">
        <v>11</v>
      </c>
      <c r="F20776" s="18"/>
      <c r="G20776" s="36" t="str">
        <f>IF(ISNUMBER(F20776),C20776*F20776,"")</f>
        <v/>
      </c>
    </row>
    <row r="20777" spans="1:7" ht="12" customHeight="1" outlineLevel="3" x14ac:dyDescent="0.2">
      <c r="A20777" s="14" t="s">
        <v>40894</v>
      </c>
      <c r="B20777" s="15" t="s">
        <v>40895</v>
      </c>
      <c r="C20777" s="19">
        <f>2323.75/(1+B2)</f>
        <v>2323.75</v>
      </c>
      <c r="D20777" s="17" t="s">
        <v>11</v>
      </c>
      <c r="E20777" s="17"/>
      <c r="F20777" s="18"/>
      <c r="G20777" s="36" t="str">
        <f>IF(ISNUMBER(F20777),C20777*F20777,"")</f>
        <v/>
      </c>
    </row>
    <row r="20778" spans="1:7" ht="12" customHeight="1" outlineLevel="3" x14ac:dyDescent="0.2">
      <c r="A20778" s="14" t="s">
        <v>40896</v>
      </c>
      <c r="B20778" s="15" t="s">
        <v>40897</v>
      </c>
      <c r="C20778" s="16">
        <f>452.93/(1+B2)</f>
        <v>452.93</v>
      </c>
      <c r="D20778" s="17" t="s">
        <v>11</v>
      </c>
      <c r="E20778" s="17" t="s">
        <v>11</v>
      </c>
      <c r="F20778" s="18"/>
      <c r="G20778" s="36" t="str">
        <f>IF(ISNUMBER(F20778),C20778*F20778,"")</f>
        <v/>
      </c>
    </row>
    <row r="20779" spans="1:7" ht="12" customHeight="1" outlineLevel="3" x14ac:dyDescent="0.2">
      <c r="A20779" s="14" t="s">
        <v>40898</v>
      </c>
      <c r="B20779" s="15" t="s">
        <v>40899</v>
      </c>
      <c r="C20779" s="19">
        <f>1003.2/(1+B2)</f>
        <v>1003.2</v>
      </c>
      <c r="D20779" s="17" t="s">
        <v>11</v>
      </c>
      <c r="E20779" s="17" t="s">
        <v>53</v>
      </c>
      <c r="F20779" s="18"/>
      <c r="G20779" s="36" t="str">
        <f>IF(ISNUMBER(F20779),C20779*F20779,"")</f>
        <v/>
      </c>
    </row>
    <row r="20780" spans="1:7" ht="12" customHeight="1" outlineLevel="3" x14ac:dyDescent="0.2">
      <c r="A20780" s="14" t="s">
        <v>40900</v>
      </c>
      <c r="B20780" s="15" t="s">
        <v>40901</v>
      </c>
      <c r="C20780" s="16">
        <f>996.88/(1+B2)</f>
        <v>996.88</v>
      </c>
      <c r="D20780" s="17" t="s">
        <v>11</v>
      </c>
      <c r="E20780" s="17"/>
      <c r="F20780" s="18"/>
      <c r="G20780" s="36" t="str">
        <f>IF(ISNUMBER(F20780),C20780*F20780,"")</f>
        <v/>
      </c>
    </row>
    <row r="20781" spans="1:7" ht="12" customHeight="1" outlineLevel="3" x14ac:dyDescent="0.2">
      <c r="A20781" s="14" t="s">
        <v>40902</v>
      </c>
      <c r="B20781" s="15" t="s">
        <v>40903</v>
      </c>
      <c r="C20781" s="19">
        <f>1107.5/(1+B2)</f>
        <v>1107.5</v>
      </c>
      <c r="D20781" s="17" t="s">
        <v>11</v>
      </c>
      <c r="E20781" s="17" t="s">
        <v>11</v>
      </c>
      <c r="F20781" s="18"/>
      <c r="G20781" s="36" t="str">
        <f>IF(ISNUMBER(F20781),C20781*F20781,"")</f>
        <v/>
      </c>
    </row>
    <row r="20782" spans="1:7" ht="12" customHeight="1" outlineLevel="3" x14ac:dyDescent="0.2">
      <c r="A20782" s="14" t="s">
        <v>40904</v>
      </c>
      <c r="B20782" s="15" t="s">
        <v>40905</v>
      </c>
      <c r="C20782" s="16">
        <f>957.6/(1+B2)</f>
        <v>957.6</v>
      </c>
      <c r="D20782" s="17" t="s">
        <v>11</v>
      </c>
      <c r="E20782" s="17" t="s">
        <v>11</v>
      </c>
      <c r="F20782" s="18"/>
      <c r="G20782" s="36" t="str">
        <f>IF(ISNUMBER(F20782),C20782*F20782,"")</f>
        <v/>
      </c>
    </row>
    <row r="20783" spans="1:7" ht="12" customHeight="1" outlineLevel="3" x14ac:dyDescent="0.2">
      <c r="A20783" s="14" t="s">
        <v>40906</v>
      </c>
      <c r="B20783" s="15" t="s">
        <v>40907</v>
      </c>
      <c r="C20783" s="16">
        <f>957.6/(1+B2)</f>
        <v>957.6</v>
      </c>
      <c r="D20783" s="17" t="s">
        <v>11</v>
      </c>
      <c r="E20783" s="17"/>
      <c r="F20783" s="18"/>
      <c r="G20783" s="36" t="str">
        <f>IF(ISNUMBER(F20783),C20783*F20783,"")</f>
        <v/>
      </c>
    </row>
    <row r="20784" spans="1:7" ht="12" customHeight="1" outlineLevel="3" x14ac:dyDescent="0.2">
      <c r="A20784" s="14" t="s">
        <v>40908</v>
      </c>
      <c r="B20784" s="15" t="s">
        <v>40909</v>
      </c>
      <c r="C20784" s="19">
        <f>1457.75/(1+B2)</f>
        <v>1457.75</v>
      </c>
      <c r="D20784" s="17" t="s">
        <v>11</v>
      </c>
      <c r="E20784" s="17" t="s">
        <v>11</v>
      </c>
      <c r="F20784" s="18"/>
      <c r="G20784" s="36" t="str">
        <f>IF(ISNUMBER(F20784),C20784*F20784,"")</f>
        <v/>
      </c>
    </row>
    <row r="20785" spans="1:7" ht="12" customHeight="1" outlineLevel="3" x14ac:dyDescent="0.2">
      <c r="A20785" s="14" t="s">
        <v>40910</v>
      </c>
      <c r="B20785" s="15" t="s">
        <v>40911</v>
      </c>
      <c r="C20785" s="16">
        <f>835.4/(1+B2)</f>
        <v>835.4</v>
      </c>
      <c r="D20785" s="17" t="s">
        <v>11</v>
      </c>
      <c r="E20785" s="17" t="s">
        <v>11</v>
      </c>
      <c r="F20785" s="18"/>
      <c r="G20785" s="36" t="str">
        <f>IF(ISNUMBER(F20785),C20785*F20785,"")</f>
        <v/>
      </c>
    </row>
    <row r="20786" spans="1:7" ht="12" customHeight="1" outlineLevel="3" x14ac:dyDescent="0.2">
      <c r="A20786" s="14" t="s">
        <v>40912</v>
      </c>
      <c r="B20786" s="15" t="s">
        <v>40913</v>
      </c>
      <c r="C20786" s="16">
        <f>687.5/(1+B2)</f>
        <v>687.5</v>
      </c>
      <c r="D20786" s="17" t="s">
        <v>11</v>
      </c>
      <c r="E20786" s="17" t="s">
        <v>11</v>
      </c>
      <c r="F20786" s="18"/>
      <c r="G20786" s="36" t="str">
        <f>IF(ISNUMBER(F20786),C20786*F20786,"")</f>
        <v/>
      </c>
    </row>
    <row r="20787" spans="1:7" ht="12" customHeight="1" outlineLevel="3" x14ac:dyDescent="0.2">
      <c r="A20787" s="14" t="s">
        <v>40914</v>
      </c>
      <c r="B20787" s="15" t="s">
        <v>40915</v>
      </c>
      <c r="C20787" s="16">
        <f>677.5/(1+B2)</f>
        <v>677.5</v>
      </c>
      <c r="D20787" s="17" t="s">
        <v>11</v>
      </c>
      <c r="E20787" s="17" t="s">
        <v>11</v>
      </c>
      <c r="F20787" s="18"/>
      <c r="G20787" s="36" t="str">
        <f>IF(ISNUMBER(F20787),C20787*F20787,"")</f>
        <v/>
      </c>
    </row>
    <row r="20788" spans="1:7" ht="12" customHeight="1" outlineLevel="3" x14ac:dyDescent="0.2">
      <c r="A20788" s="14" t="s">
        <v>40916</v>
      </c>
      <c r="B20788" s="15" t="s">
        <v>40917</v>
      </c>
      <c r="C20788" s="16">
        <f>832.76/(1+B2)</f>
        <v>832.76</v>
      </c>
      <c r="D20788" s="17" t="s">
        <v>11</v>
      </c>
      <c r="E20788" s="17" t="s">
        <v>11</v>
      </c>
      <c r="F20788" s="18"/>
      <c r="G20788" s="36" t="str">
        <f>IF(ISNUMBER(F20788),C20788*F20788,"")</f>
        <v/>
      </c>
    </row>
    <row r="20789" spans="1:7" ht="12" customHeight="1" outlineLevel="3" x14ac:dyDescent="0.2">
      <c r="A20789" s="14" t="s">
        <v>40918</v>
      </c>
      <c r="B20789" s="15" t="s">
        <v>40919</v>
      </c>
      <c r="C20789" s="16">
        <f>816/(1+B2)</f>
        <v>816</v>
      </c>
      <c r="D20789" s="17" t="s">
        <v>11</v>
      </c>
      <c r="E20789" s="17" t="s">
        <v>11</v>
      </c>
      <c r="F20789" s="18"/>
      <c r="G20789" s="36" t="str">
        <f>IF(ISNUMBER(F20789),C20789*F20789,"")</f>
        <v/>
      </c>
    </row>
    <row r="20790" spans="1:7" ht="12" customHeight="1" outlineLevel="3" x14ac:dyDescent="0.2">
      <c r="A20790" s="14" t="s">
        <v>40920</v>
      </c>
      <c r="B20790" s="15" t="s">
        <v>40921</v>
      </c>
      <c r="C20790" s="19">
        <f>1291.68/(1+B2)</f>
        <v>1291.68</v>
      </c>
      <c r="D20790" s="17" t="s">
        <v>11</v>
      </c>
      <c r="E20790" s="17"/>
      <c r="F20790" s="18"/>
      <c r="G20790" s="36" t="str">
        <f>IF(ISNUMBER(F20790),C20790*F20790,"")</f>
        <v/>
      </c>
    </row>
    <row r="20791" spans="1:7" ht="12" customHeight="1" outlineLevel="3" x14ac:dyDescent="0.2">
      <c r="A20791" s="14" t="s">
        <v>40922</v>
      </c>
      <c r="B20791" s="15" t="s">
        <v>40923</v>
      </c>
      <c r="C20791" s="19">
        <f>2071.72/(1+B2)</f>
        <v>2071.7199999999998</v>
      </c>
      <c r="D20791" s="17" t="s">
        <v>11</v>
      </c>
      <c r="E20791" s="17" t="s">
        <v>11</v>
      </c>
      <c r="F20791" s="18"/>
      <c r="G20791" s="36" t="str">
        <f>IF(ISNUMBER(F20791),C20791*F20791,"")</f>
        <v/>
      </c>
    </row>
    <row r="20792" spans="1:7" ht="12" customHeight="1" outlineLevel="3" x14ac:dyDescent="0.2">
      <c r="A20792" s="14" t="s">
        <v>40924</v>
      </c>
      <c r="B20792" s="15" t="s">
        <v>40925</v>
      </c>
      <c r="C20792" s="19">
        <f>1428/(1+B2)</f>
        <v>1428</v>
      </c>
      <c r="D20792" s="17" t="s">
        <v>11</v>
      </c>
      <c r="E20792" s="17" t="s">
        <v>11</v>
      </c>
      <c r="F20792" s="18"/>
      <c r="G20792" s="36" t="str">
        <f>IF(ISNUMBER(F20792),C20792*F20792,"")</f>
        <v/>
      </c>
    </row>
    <row r="20793" spans="1:7" ht="12" customHeight="1" outlineLevel="3" x14ac:dyDescent="0.2">
      <c r="A20793" s="14" t="s">
        <v>40926</v>
      </c>
      <c r="B20793" s="15" t="s">
        <v>40927</v>
      </c>
      <c r="C20793" s="19">
        <f>1010.63/(1+B2)</f>
        <v>1010.63</v>
      </c>
      <c r="D20793" s="17" t="s">
        <v>11</v>
      </c>
      <c r="E20793" s="17"/>
      <c r="F20793" s="18"/>
      <c r="G20793" s="36" t="str">
        <f>IF(ISNUMBER(F20793),C20793*F20793,"")</f>
        <v/>
      </c>
    </row>
    <row r="20794" spans="1:7" ht="12" customHeight="1" outlineLevel="3" x14ac:dyDescent="0.2">
      <c r="A20794" s="14" t="s">
        <v>40928</v>
      </c>
      <c r="B20794" s="15" t="s">
        <v>40929</v>
      </c>
      <c r="C20794" s="19">
        <f>1010.63/(1+B2)</f>
        <v>1010.63</v>
      </c>
      <c r="D20794" s="17" t="s">
        <v>11</v>
      </c>
      <c r="E20794" s="17" t="s">
        <v>11</v>
      </c>
      <c r="F20794" s="18"/>
      <c r="G20794" s="36" t="str">
        <f>IF(ISNUMBER(F20794),C20794*F20794,"")</f>
        <v/>
      </c>
    </row>
    <row r="20795" spans="1:7" ht="12" customHeight="1" outlineLevel="3" x14ac:dyDescent="0.2">
      <c r="A20795" s="14" t="s">
        <v>40930</v>
      </c>
      <c r="B20795" s="15" t="s">
        <v>40931</v>
      </c>
      <c r="C20795" s="16">
        <f>945/(1+B2)</f>
        <v>945</v>
      </c>
      <c r="D20795" s="17" t="s">
        <v>11</v>
      </c>
      <c r="E20795" s="17" t="s">
        <v>11</v>
      </c>
      <c r="F20795" s="18"/>
      <c r="G20795" s="36" t="str">
        <f>IF(ISNUMBER(F20795),C20795*F20795,"")</f>
        <v/>
      </c>
    </row>
    <row r="20796" spans="1:7" ht="12" customHeight="1" outlineLevel="3" x14ac:dyDescent="0.2">
      <c r="A20796" s="14" t="s">
        <v>40932</v>
      </c>
      <c r="B20796" s="15" t="s">
        <v>40933</v>
      </c>
      <c r="C20796" s="16">
        <f>906.25/(1+B2)</f>
        <v>906.25</v>
      </c>
      <c r="D20796" s="17" t="s">
        <v>11</v>
      </c>
      <c r="E20796" s="17" t="s">
        <v>11</v>
      </c>
      <c r="F20796" s="18"/>
      <c r="G20796" s="36" t="str">
        <f>IF(ISNUMBER(F20796),C20796*F20796,"")</f>
        <v/>
      </c>
    </row>
    <row r="20797" spans="1:7" ht="12" customHeight="1" outlineLevel="3" x14ac:dyDescent="0.2">
      <c r="A20797" s="14" t="s">
        <v>40934</v>
      </c>
      <c r="B20797" s="15" t="s">
        <v>40935</v>
      </c>
      <c r="C20797" s="19">
        <f>1078.75/(1+B2)</f>
        <v>1078.75</v>
      </c>
      <c r="D20797" s="17" t="s">
        <v>11</v>
      </c>
      <c r="E20797" s="17"/>
      <c r="F20797" s="18"/>
      <c r="G20797" s="36" t="str">
        <f>IF(ISNUMBER(F20797),C20797*F20797,"")</f>
        <v/>
      </c>
    </row>
    <row r="20798" spans="1:7" ht="12" customHeight="1" outlineLevel="3" x14ac:dyDescent="0.2">
      <c r="A20798" s="14" t="s">
        <v>40936</v>
      </c>
      <c r="B20798" s="15" t="s">
        <v>40937</v>
      </c>
      <c r="C20798" s="19">
        <f>1078.75/(1+B2)</f>
        <v>1078.75</v>
      </c>
      <c r="D20798" s="17" t="s">
        <v>11</v>
      </c>
      <c r="E20798" s="17" t="s">
        <v>11</v>
      </c>
      <c r="F20798" s="18"/>
      <c r="G20798" s="36" t="str">
        <f>IF(ISNUMBER(F20798),C20798*F20798,"")</f>
        <v/>
      </c>
    </row>
    <row r="20799" spans="1:7" ht="12" customHeight="1" outlineLevel="3" x14ac:dyDescent="0.2">
      <c r="A20799" s="14" t="s">
        <v>40938</v>
      </c>
      <c r="B20799" s="15" t="s">
        <v>40939</v>
      </c>
      <c r="C20799" s="19">
        <f>1078.75/(1+B2)</f>
        <v>1078.75</v>
      </c>
      <c r="D20799" s="17" t="s">
        <v>11</v>
      </c>
      <c r="E20799" s="17" t="s">
        <v>11</v>
      </c>
      <c r="F20799" s="18"/>
      <c r="G20799" s="36" t="str">
        <f>IF(ISNUMBER(F20799),C20799*F20799,"")</f>
        <v/>
      </c>
    </row>
    <row r="20800" spans="1:7" ht="24" customHeight="1" outlineLevel="3" x14ac:dyDescent="0.2">
      <c r="A20800" s="14" t="s">
        <v>40940</v>
      </c>
      <c r="B20800" s="15" t="s">
        <v>40941</v>
      </c>
      <c r="C20800" s="19">
        <f>1040/(1+B2)</f>
        <v>1040</v>
      </c>
      <c r="D20800" s="17" t="s">
        <v>11</v>
      </c>
      <c r="E20800" s="17" t="s">
        <v>11</v>
      </c>
      <c r="F20800" s="18"/>
      <c r="G20800" s="36" t="str">
        <f>IF(ISNUMBER(F20800),C20800*F20800,"")</f>
        <v/>
      </c>
    </row>
    <row r="20801" spans="1:7" ht="24" customHeight="1" outlineLevel="3" x14ac:dyDescent="0.2">
      <c r="A20801" s="14" t="s">
        <v>40942</v>
      </c>
      <c r="B20801" s="15" t="s">
        <v>40943</v>
      </c>
      <c r="C20801" s="19">
        <f>1040/(1+B2)</f>
        <v>1040</v>
      </c>
      <c r="D20801" s="17" t="s">
        <v>11</v>
      </c>
      <c r="E20801" s="17" t="s">
        <v>11</v>
      </c>
      <c r="F20801" s="18"/>
      <c r="G20801" s="36" t="str">
        <f>IF(ISNUMBER(F20801),C20801*F20801,"")</f>
        <v/>
      </c>
    </row>
    <row r="20802" spans="1:7" ht="24" customHeight="1" outlineLevel="3" x14ac:dyDescent="0.2">
      <c r="A20802" s="14" t="s">
        <v>40944</v>
      </c>
      <c r="B20802" s="15" t="s">
        <v>40945</v>
      </c>
      <c r="C20802" s="19">
        <f>1040/(1+B2)</f>
        <v>1040</v>
      </c>
      <c r="D20802" s="17" t="s">
        <v>11</v>
      </c>
      <c r="E20802" s="17" t="s">
        <v>11</v>
      </c>
      <c r="F20802" s="18"/>
      <c r="G20802" s="36" t="str">
        <f>IF(ISNUMBER(F20802),C20802*F20802,"")</f>
        <v/>
      </c>
    </row>
    <row r="20803" spans="1:7" ht="24" customHeight="1" outlineLevel="3" x14ac:dyDescent="0.2">
      <c r="A20803" s="14" t="s">
        <v>40946</v>
      </c>
      <c r="B20803" s="15" t="s">
        <v>40947</v>
      </c>
      <c r="C20803" s="19">
        <f>1040/(1+B2)</f>
        <v>1040</v>
      </c>
      <c r="D20803" s="17" t="s">
        <v>11</v>
      </c>
      <c r="E20803" s="17" t="s">
        <v>11</v>
      </c>
      <c r="F20803" s="18"/>
      <c r="G20803" s="36" t="str">
        <f>IF(ISNUMBER(F20803),C20803*F20803,"")</f>
        <v/>
      </c>
    </row>
    <row r="20804" spans="1:7" ht="12" customHeight="1" outlineLevel="3" x14ac:dyDescent="0.2">
      <c r="A20804" s="14" t="s">
        <v>40948</v>
      </c>
      <c r="B20804" s="15" t="s">
        <v>40949</v>
      </c>
      <c r="C20804" s="19">
        <f>1680/(1+B2)</f>
        <v>1680</v>
      </c>
      <c r="D20804" s="17" t="s">
        <v>11</v>
      </c>
      <c r="E20804" s="17" t="s">
        <v>11</v>
      </c>
      <c r="F20804" s="18"/>
      <c r="G20804" s="36" t="str">
        <f>IF(ISNUMBER(F20804),C20804*F20804,"")</f>
        <v/>
      </c>
    </row>
    <row r="20805" spans="1:7" ht="12" customHeight="1" outlineLevel="3" x14ac:dyDescent="0.2">
      <c r="A20805" s="14" t="s">
        <v>40950</v>
      </c>
      <c r="B20805" s="15" t="s">
        <v>40951</v>
      </c>
      <c r="C20805" s="16">
        <f>925/(1+B2)</f>
        <v>925</v>
      </c>
      <c r="D20805" s="17" t="s">
        <v>11</v>
      </c>
      <c r="E20805" s="17" t="s">
        <v>11</v>
      </c>
      <c r="F20805" s="18"/>
      <c r="G20805" s="36" t="str">
        <f>IF(ISNUMBER(F20805),C20805*F20805,"")</f>
        <v/>
      </c>
    </row>
    <row r="20806" spans="1:7" ht="12" customHeight="1" outlineLevel="3" x14ac:dyDescent="0.2">
      <c r="A20806" s="14" t="s">
        <v>40952</v>
      </c>
      <c r="B20806" s="15" t="s">
        <v>40953</v>
      </c>
      <c r="C20806" s="19">
        <f>1540/(1+B2)</f>
        <v>1540</v>
      </c>
      <c r="D20806" s="17" t="s">
        <v>11</v>
      </c>
      <c r="E20806" s="17"/>
      <c r="F20806" s="18"/>
      <c r="G20806" s="36" t="str">
        <f>IF(ISNUMBER(F20806),C20806*F20806,"")</f>
        <v/>
      </c>
    </row>
    <row r="20807" spans="1:7" ht="12" customHeight="1" outlineLevel="3" x14ac:dyDescent="0.2">
      <c r="A20807" s="14" t="s">
        <v>40954</v>
      </c>
      <c r="B20807" s="15" t="s">
        <v>40955</v>
      </c>
      <c r="C20807" s="19">
        <f>1336.73/(1+B2)</f>
        <v>1336.73</v>
      </c>
      <c r="D20807" s="17" t="s">
        <v>11</v>
      </c>
      <c r="E20807" s="17" t="s">
        <v>11</v>
      </c>
      <c r="F20807" s="18"/>
      <c r="G20807" s="36" t="str">
        <f>IF(ISNUMBER(F20807),C20807*F20807,"")</f>
        <v/>
      </c>
    </row>
    <row r="20808" spans="1:7" ht="12" customHeight="1" outlineLevel="3" x14ac:dyDescent="0.2">
      <c r="A20808" s="14" t="s">
        <v>40956</v>
      </c>
      <c r="B20808" s="15" t="s">
        <v>40957</v>
      </c>
      <c r="C20808" s="19">
        <f>1336.73/(1+B2)</f>
        <v>1336.73</v>
      </c>
      <c r="D20808" s="17" t="s">
        <v>11</v>
      </c>
      <c r="E20808" s="17" t="s">
        <v>11</v>
      </c>
      <c r="F20808" s="18"/>
      <c r="G20808" s="36" t="str">
        <f>IF(ISNUMBER(F20808),C20808*F20808,"")</f>
        <v/>
      </c>
    </row>
    <row r="20809" spans="1:7" ht="12" customHeight="1" outlineLevel="3" x14ac:dyDescent="0.2">
      <c r="A20809" s="14" t="s">
        <v>40958</v>
      </c>
      <c r="B20809" s="15" t="s">
        <v>40959</v>
      </c>
      <c r="C20809" s="16">
        <f>990/(1+B2)</f>
        <v>990</v>
      </c>
      <c r="D20809" s="17" t="s">
        <v>11</v>
      </c>
      <c r="E20809" s="17" t="s">
        <v>11</v>
      </c>
      <c r="F20809" s="18"/>
      <c r="G20809" s="36" t="str">
        <f>IF(ISNUMBER(F20809),C20809*F20809,"")</f>
        <v/>
      </c>
    </row>
    <row r="20810" spans="1:7" ht="12" customHeight="1" outlineLevel="3" x14ac:dyDescent="0.2">
      <c r="A20810" s="14" t="s">
        <v>40960</v>
      </c>
      <c r="B20810" s="15" t="s">
        <v>40961</v>
      </c>
      <c r="C20810" s="16">
        <f>393.75/(1+B2)</f>
        <v>393.75</v>
      </c>
      <c r="D20810" s="17" t="s">
        <v>11</v>
      </c>
      <c r="E20810" s="17"/>
      <c r="F20810" s="18"/>
      <c r="G20810" s="36" t="str">
        <f>IF(ISNUMBER(F20810),C20810*F20810,"")</f>
        <v/>
      </c>
    </row>
    <row r="20811" spans="1:7" s="1" customFormat="1" ht="12.95" customHeight="1" outlineLevel="2" x14ac:dyDescent="0.2">
      <c r="A20811" s="20"/>
      <c r="B20811" s="21" t="s">
        <v>40962</v>
      </c>
      <c r="C20811" s="22"/>
      <c r="D20811" s="22"/>
      <c r="E20811" s="22"/>
      <c r="F20811" s="22"/>
      <c r="G20811" s="37"/>
    </row>
    <row r="20812" spans="1:7" ht="12" customHeight="1" outlineLevel="3" x14ac:dyDescent="0.2">
      <c r="A20812" s="14" t="s">
        <v>40963</v>
      </c>
      <c r="B20812" s="15" t="s">
        <v>40964</v>
      </c>
      <c r="C20812" s="19">
        <f>2128.3/(1+B2)</f>
        <v>2128.3000000000002</v>
      </c>
      <c r="D20812" s="17" t="s">
        <v>11</v>
      </c>
      <c r="E20812" s="17" t="s">
        <v>11</v>
      </c>
      <c r="F20812" s="18"/>
      <c r="G20812" s="36" t="str">
        <f>IF(ISNUMBER(F20812),C20812*F20812,"")</f>
        <v/>
      </c>
    </row>
    <row r="20813" spans="1:7" ht="12" customHeight="1" outlineLevel="3" x14ac:dyDescent="0.2">
      <c r="A20813" s="14" t="s">
        <v>40965</v>
      </c>
      <c r="B20813" s="15" t="s">
        <v>40966</v>
      </c>
      <c r="C20813" s="19">
        <f>2087.42/(1+B2)</f>
        <v>2087.42</v>
      </c>
      <c r="D20813" s="17" t="s">
        <v>11</v>
      </c>
      <c r="E20813" s="17" t="s">
        <v>11</v>
      </c>
      <c r="F20813" s="18"/>
      <c r="G20813" s="36" t="str">
        <f>IF(ISNUMBER(F20813),C20813*F20813,"")</f>
        <v/>
      </c>
    </row>
    <row r="20814" spans="1:7" ht="12" customHeight="1" outlineLevel="3" x14ac:dyDescent="0.2">
      <c r="A20814" s="14" t="s">
        <v>40967</v>
      </c>
      <c r="B20814" s="15" t="s">
        <v>40968</v>
      </c>
      <c r="C20814" s="19">
        <f>2087.42/(1+B2)</f>
        <v>2087.42</v>
      </c>
      <c r="D20814" s="17" t="s">
        <v>11</v>
      </c>
      <c r="E20814" s="17"/>
      <c r="F20814" s="18"/>
      <c r="G20814" s="36" t="str">
        <f>IF(ISNUMBER(F20814),C20814*F20814,"")</f>
        <v/>
      </c>
    </row>
    <row r="20815" spans="1:7" ht="12" customHeight="1" outlineLevel="3" x14ac:dyDescent="0.2">
      <c r="A20815" s="14" t="s">
        <v>40969</v>
      </c>
      <c r="B20815" s="15" t="s">
        <v>40970</v>
      </c>
      <c r="C20815" s="19">
        <f>2087.42/(1+B2)</f>
        <v>2087.42</v>
      </c>
      <c r="D20815" s="17" t="s">
        <v>11</v>
      </c>
      <c r="E20815" s="17" t="s">
        <v>11</v>
      </c>
      <c r="F20815" s="18"/>
      <c r="G20815" s="36" t="str">
        <f>IF(ISNUMBER(F20815),C20815*F20815,"")</f>
        <v/>
      </c>
    </row>
    <row r="20816" spans="1:7" ht="12" customHeight="1" outlineLevel="3" x14ac:dyDescent="0.2">
      <c r="A20816" s="14" t="s">
        <v>40971</v>
      </c>
      <c r="B20816" s="15" t="s">
        <v>40972</v>
      </c>
      <c r="C20816" s="19">
        <f>2107.06/(1+B2)</f>
        <v>2107.06</v>
      </c>
      <c r="D20816" s="17" t="s">
        <v>11</v>
      </c>
      <c r="E20816" s="17" t="s">
        <v>11</v>
      </c>
      <c r="F20816" s="18"/>
      <c r="G20816" s="36" t="str">
        <f>IF(ISNUMBER(F20816),C20816*F20816,"")</f>
        <v/>
      </c>
    </row>
    <row r="20817" spans="1:7" ht="24" customHeight="1" outlineLevel="3" x14ac:dyDescent="0.2">
      <c r="A20817" s="14" t="s">
        <v>40973</v>
      </c>
      <c r="B20817" s="15" t="s">
        <v>40974</v>
      </c>
      <c r="C20817" s="19">
        <f>2434.92/(1+B2)</f>
        <v>2434.92</v>
      </c>
      <c r="D20817" s="17" t="s">
        <v>11</v>
      </c>
      <c r="E20817" s="17" t="s">
        <v>11</v>
      </c>
      <c r="F20817" s="18"/>
      <c r="G20817" s="36" t="str">
        <f>IF(ISNUMBER(F20817),C20817*F20817,"")</f>
        <v/>
      </c>
    </row>
    <row r="20818" spans="1:7" ht="24" customHeight="1" outlineLevel="3" x14ac:dyDescent="0.2">
      <c r="A20818" s="14" t="s">
        <v>40975</v>
      </c>
      <c r="B20818" s="15" t="s">
        <v>40976</v>
      </c>
      <c r="C20818" s="19">
        <f>2494.8/(1+B2)</f>
        <v>2494.8000000000002</v>
      </c>
      <c r="D20818" s="17" t="s">
        <v>11</v>
      </c>
      <c r="E20818" s="17" t="s">
        <v>11</v>
      </c>
      <c r="F20818" s="18"/>
      <c r="G20818" s="36" t="str">
        <f>IF(ISNUMBER(F20818),C20818*F20818,"")</f>
        <v/>
      </c>
    </row>
    <row r="20819" spans="1:7" ht="24" customHeight="1" outlineLevel="3" x14ac:dyDescent="0.2">
      <c r="A20819" s="14" t="s">
        <v>40977</v>
      </c>
      <c r="B20819" s="15" t="s">
        <v>40978</v>
      </c>
      <c r="C20819" s="19">
        <f>2657.11/(1+B2)</f>
        <v>2657.11</v>
      </c>
      <c r="D20819" s="17" t="s">
        <v>11</v>
      </c>
      <c r="E20819" s="17" t="s">
        <v>11</v>
      </c>
      <c r="F20819" s="18"/>
      <c r="G20819" s="36" t="str">
        <f>IF(ISNUMBER(F20819),C20819*F20819,"")</f>
        <v/>
      </c>
    </row>
    <row r="20820" spans="1:7" ht="24" customHeight="1" outlineLevel="3" x14ac:dyDescent="0.2">
      <c r="A20820" s="14" t="s">
        <v>40979</v>
      </c>
      <c r="B20820" s="15" t="s">
        <v>40980</v>
      </c>
      <c r="C20820" s="19">
        <f>2585.23/(1+B2)</f>
        <v>2585.23</v>
      </c>
      <c r="D20820" s="17" t="s">
        <v>11</v>
      </c>
      <c r="E20820" s="17" t="s">
        <v>11</v>
      </c>
      <c r="F20820" s="18"/>
      <c r="G20820" s="36" t="str">
        <f>IF(ISNUMBER(F20820),C20820*F20820,"")</f>
        <v/>
      </c>
    </row>
    <row r="20821" spans="1:7" ht="24" customHeight="1" outlineLevel="3" x14ac:dyDescent="0.2">
      <c r="A20821" s="14" t="s">
        <v>40981</v>
      </c>
      <c r="B20821" s="15" t="s">
        <v>40982</v>
      </c>
      <c r="C20821" s="19">
        <f>2585.23/(1+B2)</f>
        <v>2585.23</v>
      </c>
      <c r="D20821" s="17" t="s">
        <v>11</v>
      </c>
      <c r="E20821" s="17" t="s">
        <v>11</v>
      </c>
      <c r="F20821" s="18"/>
      <c r="G20821" s="36" t="str">
        <f>IF(ISNUMBER(F20821),C20821*F20821,"")</f>
        <v/>
      </c>
    </row>
    <row r="20822" spans="1:7" ht="24" customHeight="1" outlineLevel="3" x14ac:dyDescent="0.2">
      <c r="A20822" s="14" t="s">
        <v>40983</v>
      </c>
      <c r="B20822" s="15" t="s">
        <v>40984</v>
      </c>
      <c r="C20822" s="19">
        <f>2585.23/(1+B2)</f>
        <v>2585.23</v>
      </c>
      <c r="D20822" s="17" t="s">
        <v>11</v>
      </c>
      <c r="E20822" s="17" t="s">
        <v>11</v>
      </c>
      <c r="F20822" s="18"/>
      <c r="G20822" s="36" t="str">
        <f>IF(ISNUMBER(F20822),C20822*F20822,"")</f>
        <v/>
      </c>
    </row>
    <row r="20823" spans="1:7" ht="24" customHeight="1" outlineLevel="3" x14ac:dyDescent="0.2">
      <c r="A20823" s="14" t="s">
        <v>40985</v>
      </c>
      <c r="B20823" s="15" t="s">
        <v>40986</v>
      </c>
      <c r="C20823" s="19">
        <f>2381.63/(1+B2)</f>
        <v>2381.63</v>
      </c>
      <c r="D20823" s="17" t="s">
        <v>11</v>
      </c>
      <c r="E20823" s="17" t="s">
        <v>11</v>
      </c>
      <c r="F20823" s="18"/>
      <c r="G20823" s="36" t="str">
        <f>IF(ISNUMBER(F20823),C20823*F20823,"")</f>
        <v/>
      </c>
    </row>
    <row r="20824" spans="1:7" ht="24" customHeight="1" outlineLevel="3" x14ac:dyDescent="0.2">
      <c r="A20824" s="14" t="s">
        <v>40987</v>
      </c>
      <c r="B20824" s="15" t="s">
        <v>40988</v>
      </c>
      <c r="C20824" s="19">
        <f>2434.92/(1+B2)</f>
        <v>2434.92</v>
      </c>
      <c r="D20824" s="17" t="s">
        <v>11</v>
      </c>
      <c r="E20824" s="17" t="s">
        <v>11</v>
      </c>
      <c r="F20824" s="18"/>
      <c r="G20824" s="36" t="str">
        <f>IF(ISNUMBER(F20824),C20824*F20824,"")</f>
        <v/>
      </c>
    </row>
    <row r="20825" spans="1:7" ht="12" customHeight="1" outlineLevel="3" x14ac:dyDescent="0.2">
      <c r="A20825" s="14" t="s">
        <v>40989</v>
      </c>
      <c r="B20825" s="15" t="s">
        <v>40990</v>
      </c>
      <c r="C20825" s="19">
        <f>1509.4/(1+B2)</f>
        <v>1509.4</v>
      </c>
      <c r="D20825" s="17" t="s">
        <v>11</v>
      </c>
      <c r="E20825" s="17" t="s">
        <v>11</v>
      </c>
      <c r="F20825" s="18"/>
      <c r="G20825" s="36" t="str">
        <f>IF(ISNUMBER(F20825),C20825*F20825,"")</f>
        <v/>
      </c>
    </row>
    <row r="20826" spans="1:7" ht="12" customHeight="1" outlineLevel="3" x14ac:dyDescent="0.2">
      <c r="A20826" s="14" t="s">
        <v>40991</v>
      </c>
      <c r="B20826" s="15" t="s">
        <v>40992</v>
      </c>
      <c r="C20826" s="19">
        <f>1716.34/(1+B2)</f>
        <v>1716.34</v>
      </c>
      <c r="D20826" s="17" t="s">
        <v>11</v>
      </c>
      <c r="E20826" s="17" t="s">
        <v>11</v>
      </c>
      <c r="F20826" s="18"/>
      <c r="G20826" s="36" t="str">
        <f>IF(ISNUMBER(F20826),C20826*F20826,"")</f>
        <v/>
      </c>
    </row>
    <row r="20827" spans="1:7" ht="12" customHeight="1" outlineLevel="3" x14ac:dyDescent="0.2">
      <c r="A20827" s="14" t="s">
        <v>40993</v>
      </c>
      <c r="B20827" s="15" t="s">
        <v>40994</v>
      </c>
      <c r="C20827" s="19">
        <f>1923.89/(1+B2)</f>
        <v>1923.89</v>
      </c>
      <c r="D20827" s="17" t="s">
        <v>11</v>
      </c>
      <c r="E20827" s="17"/>
      <c r="F20827" s="18"/>
      <c r="G20827" s="36" t="str">
        <f>IF(ISNUMBER(F20827),C20827*F20827,"")</f>
        <v/>
      </c>
    </row>
    <row r="20828" spans="1:7" ht="12" customHeight="1" outlineLevel="3" x14ac:dyDescent="0.2">
      <c r="A20828" s="14" t="s">
        <v>40995</v>
      </c>
      <c r="B20828" s="15" t="s">
        <v>40996</v>
      </c>
      <c r="C20828" s="19">
        <f>1577.58/(1+B2)</f>
        <v>1577.58</v>
      </c>
      <c r="D20828" s="17" t="s">
        <v>11</v>
      </c>
      <c r="E20828" s="17" t="s">
        <v>11</v>
      </c>
      <c r="F20828" s="18"/>
      <c r="G20828" s="36" t="str">
        <f>IF(ISNUMBER(F20828),C20828*F20828,"")</f>
        <v/>
      </c>
    </row>
    <row r="20829" spans="1:7" ht="12" customHeight="1" outlineLevel="3" x14ac:dyDescent="0.2">
      <c r="A20829" s="14" t="s">
        <v>40997</v>
      </c>
      <c r="B20829" s="15" t="s">
        <v>40998</v>
      </c>
      <c r="C20829" s="19">
        <f>1947.61/(1+B2)</f>
        <v>1947.61</v>
      </c>
      <c r="D20829" s="17" t="s">
        <v>11</v>
      </c>
      <c r="E20829" s="17" t="s">
        <v>11</v>
      </c>
      <c r="F20829" s="18"/>
      <c r="G20829" s="36" t="str">
        <f>IF(ISNUMBER(F20829),C20829*F20829,"")</f>
        <v/>
      </c>
    </row>
    <row r="20830" spans="1:7" ht="12" customHeight="1" outlineLevel="3" x14ac:dyDescent="0.2">
      <c r="A20830" s="14" t="s">
        <v>40999</v>
      </c>
      <c r="B20830" s="15" t="s">
        <v>41000</v>
      </c>
      <c r="C20830" s="19">
        <f>1907.26/(1+B2)</f>
        <v>1907.26</v>
      </c>
      <c r="D20830" s="17" t="s">
        <v>11</v>
      </c>
      <c r="E20830" s="17"/>
      <c r="F20830" s="18"/>
      <c r="G20830" s="36" t="str">
        <f>IF(ISNUMBER(F20830),C20830*F20830,"")</f>
        <v/>
      </c>
    </row>
    <row r="20831" spans="1:7" ht="24" customHeight="1" outlineLevel="3" x14ac:dyDescent="0.2">
      <c r="A20831" s="14" t="s">
        <v>41001</v>
      </c>
      <c r="B20831" s="15" t="s">
        <v>41002</v>
      </c>
      <c r="C20831" s="19">
        <f>1984.14/(1+B2)</f>
        <v>1984.14</v>
      </c>
      <c r="D20831" s="17" t="s">
        <v>11</v>
      </c>
      <c r="E20831" s="17"/>
      <c r="F20831" s="18"/>
      <c r="G20831" s="36" t="str">
        <f>IF(ISNUMBER(F20831),C20831*F20831,"")</f>
        <v/>
      </c>
    </row>
    <row r="20832" spans="1:7" ht="24" customHeight="1" outlineLevel="3" x14ac:dyDescent="0.2">
      <c r="A20832" s="14" t="s">
        <v>41003</v>
      </c>
      <c r="B20832" s="15" t="s">
        <v>41004</v>
      </c>
      <c r="C20832" s="19">
        <f>1923.89/(1+B2)</f>
        <v>1923.89</v>
      </c>
      <c r="D20832" s="17" t="s">
        <v>11</v>
      </c>
      <c r="E20832" s="17"/>
      <c r="F20832" s="18"/>
      <c r="G20832" s="36" t="str">
        <f>IF(ISNUMBER(F20832),C20832*F20832,"")</f>
        <v/>
      </c>
    </row>
    <row r="20833" spans="1:7" ht="24" customHeight="1" outlineLevel="3" x14ac:dyDescent="0.2">
      <c r="A20833" s="14" t="s">
        <v>41005</v>
      </c>
      <c r="B20833" s="15" t="s">
        <v>41006</v>
      </c>
      <c r="C20833" s="19">
        <f>1947.61/(1+B2)</f>
        <v>1947.61</v>
      </c>
      <c r="D20833" s="17" t="s">
        <v>11</v>
      </c>
      <c r="E20833" s="17"/>
      <c r="F20833" s="18"/>
      <c r="G20833" s="36" t="str">
        <f>IF(ISNUMBER(F20833),C20833*F20833,"")</f>
        <v/>
      </c>
    </row>
    <row r="20834" spans="1:7" ht="24" customHeight="1" outlineLevel="3" x14ac:dyDescent="0.2">
      <c r="A20834" s="14" t="s">
        <v>41007</v>
      </c>
      <c r="B20834" s="15" t="s">
        <v>41008</v>
      </c>
      <c r="C20834" s="19">
        <f>1923.89/(1+B2)</f>
        <v>1923.89</v>
      </c>
      <c r="D20834" s="17" t="s">
        <v>11</v>
      </c>
      <c r="E20834" s="17" t="s">
        <v>11</v>
      </c>
      <c r="F20834" s="18"/>
      <c r="G20834" s="36" t="str">
        <f>IF(ISNUMBER(F20834),C20834*F20834,"")</f>
        <v/>
      </c>
    </row>
    <row r="20835" spans="1:7" ht="12" customHeight="1" outlineLevel="3" x14ac:dyDescent="0.2">
      <c r="A20835" s="14" t="s">
        <v>41009</v>
      </c>
      <c r="B20835" s="15" t="s">
        <v>41010</v>
      </c>
      <c r="C20835" s="19">
        <f>1947.61/(1+B2)</f>
        <v>1947.61</v>
      </c>
      <c r="D20835" s="17" t="s">
        <v>11</v>
      </c>
      <c r="E20835" s="17" t="s">
        <v>11</v>
      </c>
      <c r="F20835" s="18"/>
      <c r="G20835" s="36" t="str">
        <f>IF(ISNUMBER(F20835),C20835*F20835,"")</f>
        <v/>
      </c>
    </row>
    <row r="20836" spans="1:7" ht="24" customHeight="1" outlineLevel="3" x14ac:dyDescent="0.2">
      <c r="A20836" s="14" t="s">
        <v>41011</v>
      </c>
      <c r="B20836" s="15" t="s">
        <v>41012</v>
      </c>
      <c r="C20836" s="19">
        <f>1947.61/(1+B2)</f>
        <v>1947.61</v>
      </c>
      <c r="D20836" s="17" t="s">
        <v>11</v>
      </c>
      <c r="E20836" s="17" t="s">
        <v>11</v>
      </c>
      <c r="F20836" s="18"/>
      <c r="G20836" s="36" t="str">
        <f>IF(ISNUMBER(F20836),C20836*F20836,"")</f>
        <v/>
      </c>
    </row>
    <row r="20837" spans="1:7" ht="12" customHeight="1" outlineLevel="3" x14ac:dyDescent="0.2">
      <c r="A20837" s="14" t="s">
        <v>41013</v>
      </c>
      <c r="B20837" s="15" t="s">
        <v>41014</v>
      </c>
      <c r="C20837" s="19">
        <f>1923.89/(1+B2)</f>
        <v>1923.89</v>
      </c>
      <c r="D20837" s="17" t="s">
        <v>11</v>
      </c>
      <c r="E20837" s="17"/>
      <c r="F20837" s="18"/>
      <c r="G20837" s="36" t="str">
        <f>IF(ISNUMBER(F20837),C20837*F20837,"")</f>
        <v/>
      </c>
    </row>
    <row r="20838" spans="1:7" ht="24" customHeight="1" outlineLevel="3" x14ac:dyDescent="0.2">
      <c r="A20838" s="14" t="s">
        <v>41015</v>
      </c>
      <c r="B20838" s="15" t="s">
        <v>41016</v>
      </c>
      <c r="C20838" s="19">
        <f>1923.89/(1+B2)</f>
        <v>1923.89</v>
      </c>
      <c r="D20838" s="17" t="s">
        <v>11</v>
      </c>
      <c r="E20838" s="17" t="s">
        <v>11</v>
      </c>
      <c r="F20838" s="18"/>
      <c r="G20838" s="36" t="str">
        <f>IF(ISNUMBER(F20838),C20838*F20838,"")</f>
        <v/>
      </c>
    </row>
    <row r="20839" spans="1:7" ht="12" customHeight="1" outlineLevel="3" x14ac:dyDescent="0.2">
      <c r="A20839" s="14" t="s">
        <v>41017</v>
      </c>
      <c r="B20839" s="15" t="s">
        <v>41018</v>
      </c>
      <c r="C20839" s="19">
        <f>2597.26/(1+B2)</f>
        <v>2597.2600000000002</v>
      </c>
      <c r="D20839" s="17" t="s">
        <v>11</v>
      </c>
      <c r="E20839" s="17"/>
      <c r="F20839" s="18"/>
      <c r="G20839" s="36" t="str">
        <f>IF(ISNUMBER(F20839),C20839*F20839,"")</f>
        <v/>
      </c>
    </row>
    <row r="20840" spans="1:7" ht="24" customHeight="1" outlineLevel="3" x14ac:dyDescent="0.2">
      <c r="A20840" s="14" t="s">
        <v>41019</v>
      </c>
      <c r="B20840" s="15" t="s">
        <v>41020</v>
      </c>
      <c r="C20840" s="19">
        <f>2571.73/(1+B2)</f>
        <v>2571.73</v>
      </c>
      <c r="D20840" s="17" t="s">
        <v>11</v>
      </c>
      <c r="E20840" s="17"/>
      <c r="F20840" s="18"/>
      <c r="G20840" s="36" t="str">
        <f>IF(ISNUMBER(F20840),C20840*F20840,"")</f>
        <v/>
      </c>
    </row>
    <row r="20841" spans="1:7" ht="24" customHeight="1" outlineLevel="3" x14ac:dyDescent="0.2">
      <c r="A20841" s="14" t="s">
        <v>41021</v>
      </c>
      <c r="B20841" s="15" t="s">
        <v>41022</v>
      </c>
      <c r="C20841" s="19">
        <f>2306.59/(1+B2)</f>
        <v>2306.59</v>
      </c>
      <c r="D20841" s="17" t="s">
        <v>11</v>
      </c>
      <c r="E20841" s="17"/>
      <c r="F20841" s="18"/>
      <c r="G20841" s="36" t="str">
        <f>IF(ISNUMBER(F20841),C20841*F20841,"")</f>
        <v/>
      </c>
    </row>
    <row r="20842" spans="1:7" ht="24" customHeight="1" outlineLevel="3" x14ac:dyDescent="0.2">
      <c r="A20842" s="14" t="s">
        <v>41023</v>
      </c>
      <c r="B20842" s="15" t="s">
        <v>41024</v>
      </c>
      <c r="C20842" s="19">
        <f>2597.26/(1+B2)</f>
        <v>2597.2600000000002</v>
      </c>
      <c r="D20842" s="17" t="s">
        <v>11</v>
      </c>
      <c r="E20842" s="17" t="s">
        <v>14</v>
      </c>
      <c r="F20842" s="18"/>
      <c r="G20842" s="36" t="str">
        <f>IF(ISNUMBER(F20842),C20842*F20842,"")</f>
        <v/>
      </c>
    </row>
    <row r="20843" spans="1:7" ht="24" customHeight="1" outlineLevel="3" x14ac:dyDescent="0.2">
      <c r="A20843" s="14" t="s">
        <v>41025</v>
      </c>
      <c r="B20843" s="15" t="s">
        <v>41026</v>
      </c>
      <c r="C20843" s="19">
        <f>2597.26/(1+B2)</f>
        <v>2597.2600000000002</v>
      </c>
      <c r="D20843" s="17" t="s">
        <v>11</v>
      </c>
      <c r="E20843" s="17" t="s">
        <v>11</v>
      </c>
      <c r="F20843" s="18"/>
      <c r="G20843" s="36" t="str">
        <f>IF(ISNUMBER(F20843),C20843*F20843,"")</f>
        <v/>
      </c>
    </row>
    <row r="20844" spans="1:7" ht="24" customHeight="1" outlineLevel="3" x14ac:dyDescent="0.2">
      <c r="A20844" s="14" t="s">
        <v>41027</v>
      </c>
      <c r="B20844" s="15" t="s">
        <v>41028</v>
      </c>
      <c r="C20844" s="19">
        <f>2253.58/(1+B2)</f>
        <v>2253.58</v>
      </c>
      <c r="D20844" s="17" t="s">
        <v>11</v>
      </c>
      <c r="E20844" s="17"/>
      <c r="F20844" s="18"/>
      <c r="G20844" s="36" t="str">
        <f>IF(ISNUMBER(F20844),C20844*F20844,"")</f>
        <v/>
      </c>
    </row>
    <row r="20845" spans="1:7" ht="24" customHeight="1" outlineLevel="3" x14ac:dyDescent="0.2">
      <c r="A20845" s="14" t="s">
        <v>41029</v>
      </c>
      <c r="B20845" s="15" t="s">
        <v>41030</v>
      </c>
      <c r="C20845" s="19">
        <f>2597.26/(1+B2)</f>
        <v>2597.2600000000002</v>
      </c>
      <c r="D20845" s="17" t="s">
        <v>11</v>
      </c>
      <c r="E20845" s="17"/>
      <c r="F20845" s="18"/>
      <c r="G20845" s="36" t="str">
        <f>IF(ISNUMBER(F20845),C20845*F20845,"")</f>
        <v/>
      </c>
    </row>
    <row r="20846" spans="1:7" ht="24" customHeight="1" outlineLevel="3" x14ac:dyDescent="0.2">
      <c r="A20846" s="14" t="s">
        <v>41031</v>
      </c>
      <c r="B20846" s="15" t="s">
        <v>41032</v>
      </c>
      <c r="C20846" s="19">
        <f>2613.51/(1+B2)</f>
        <v>2613.5100000000002</v>
      </c>
      <c r="D20846" s="17" t="s">
        <v>11</v>
      </c>
      <c r="E20846" s="17"/>
      <c r="F20846" s="18"/>
      <c r="G20846" s="36" t="str">
        <f>IF(ISNUMBER(F20846),C20846*F20846,"")</f>
        <v/>
      </c>
    </row>
    <row r="20847" spans="1:7" ht="24" customHeight="1" outlineLevel="3" x14ac:dyDescent="0.2">
      <c r="A20847" s="14" t="s">
        <v>41033</v>
      </c>
      <c r="B20847" s="15" t="s">
        <v>41034</v>
      </c>
      <c r="C20847" s="19">
        <f>2613.51/(1+B2)</f>
        <v>2613.5100000000002</v>
      </c>
      <c r="D20847" s="17" t="s">
        <v>11</v>
      </c>
      <c r="E20847" s="17" t="s">
        <v>11</v>
      </c>
      <c r="F20847" s="18"/>
      <c r="G20847" s="36" t="str">
        <f>IF(ISNUMBER(F20847),C20847*F20847,"")</f>
        <v/>
      </c>
    </row>
    <row r="20848" spans="1:7" ht="24" customHeight="1" outlineLevel="3" x14ac:dyDescent="0.2">
      <c r="A20848" s="14" t="s">
        <v>41035</v>
      </c>
      <c r="B20848" s="15" t="s">
        <v>41036</v>
      </c>
      <c r="C20848" s="19">
        <f>2432.36/(1+B2)</f>
        <v>2432.36</v>
      </c>
      <c r="D20848" s="17" t="s">
        <v>11</v>
      </c>
      <c r="E20848" s="17" t="s">
        <v>11</v>
      </c>
      <c r="F20848" s="18"/>
      <c r="G20848" s="36" t="str">
        <f>IF(ISNUMBER(F20848),C20848*F20848,"")</f>
        <v/>
      </c>
    </row>
    <row r="20849" spans="1:7" ht="12" customHeight="1" outlineLevel="3" x14ac:dyDescent="0.2">
      <c r="A20849" s="14" t="s">
        <v>41037</v>
      </c>
      <c r="B20849" s="15" t="s">
        <v>41038</v>
      </c>
      <c r="C20849" s="19">
        <f>2164.38/(1+B2)</f>
        <v>2164.38</v>
      </c>
      <c r="D20849" s="17" t="s">
        <v>11</v>
      </c>
      <c r="E20849" s="17"/>
      <c r="F20849" s="18"/>
      <c r="G20849" s="36" t="str">
        <f>IF(ISNUMBER(F20849),C20849*F20849,"")</f>
        <v/>
      </c>
    </row>
    <row r="20850" spans="1:7" ht="24" customHeight="1" outlineLevel="3" x14ac:dyDescent="0.2">
      <c r="A20850" s="14" t="s">
        <v>41039</v>
      </c>
      <c r="B20850" s="15" t="s">
        <v>41040</v>
      </c>
      <c r="C20850" s="19">
        <f>1599.24/(1+B2)</f>
        <v>1599.24</v>
      </c>
      <c r="D20850" s="17" t="s">
        <v>11</v>
      </c>
      <c r="E20850" s="17"/>
      <c r="F20850" s="18"/>
      <c r="G20850" s="36" t="str">
        <f>IF(ISNUMBER(F20850),C20850*F20850,"")</f>
        <v/>
      </c>
    </row>
    <row r="20851" spans="1:7" ht="24" customHeight="1" outlineLevel="3" x14ac:dyDescent="0.2">
      <c r="A20851" s="14" t="s">
        <v>41041</v>
      </c>
      <c r="B20851" s="15" t="s">
        <v>41042</v>
      </c>
      <c r="C20851" s="19">
        <f>1863.77/(1+B2)</f>
        <v>1863.77</v>
      </c>
      <c r="D20851" s="17" t="s">
        <v>11</v>
      </c>
      <c r="E20851" s="17" t="s">
        <v>11</v>
      </c>
      <c r="F20851" s="18"/>
      <c r="G20851" s="36" t="str">
        <f>IF(ISNUMBER(F20851),C20851*F20851,"")</f>
        <v/>
      </c>
    </row>
    <row r="20852" spans="1:7" ht="12" customHeight="1" outlineLevel="3" x14ac:dyDescent="0.2">
      <c r="A20852" s="14" t="s">
        <v>41043</v>
      </c>
      <c r="B20852" s="15" t="s">
        <v>41044</v>
      </c>
      <c r="C20852" s="19">
        <f>1618.95/(1+B2)</f>
        <v>1618.95</v>
      </c>
      <c r="D20852" s="17" t="s">
        <v>11</v>
      </c>
      <c r="E20852" s="17" t="s">
        <v>11</v>
      </c>
      <c r="F20852" s="18"/>
      <c r="G20852" s="36" t="str">
        <f>IF(ISNUMBER(F20852),C20852*F20852,"")</f>
        <v/>
      </c>
    </row>
    <row r="20853" spans="1:7" ht="24" customHeight="1" outlineLevel="3" x14ac:dyDescent="0.2">
      <c r="A20853" s="14" t="s">
        <v>41045</v>
      </c>
      <c r="B20853" s="15" t="s">
        <v>41046</v>
      </c>
      <c r="C20853" s="19">
        <f>1618.95/(1+B2)</f>
        <v>1618.95</v>
      </c>
      <c r="D20853" s="17" t="s">
        <v>11</v>
      </c>
      <c r="E20853" s="17" t="s">
        <v>11</v>
      </c>
      <c r="F20853" s="18"/>
      <c r="G20853" s="36" t="str">
        <f>IF(ISNUMBER(F20853),C20853*F20853,"")</f>
        <v/>
      </c>
    </row>
    <row r="20854" spans="1:7" ht="12" customHeight="1" outlineLevel="3" x14ac:dyDescent="0.2">
      <c r="A20854" s="14" t="s">
        <v>41047</v>
      </c>
      <c r="B20854" s="15" t="s">
        <v>41048</v>
      </c>
      <c r="C20854" s="19">
        <f>1899.85/(1+B2)</f>
        <v>1899.85</v>
      </c>
      <c r="D20854" s="17" t="s">
        <v>11</v>
      </c>
      <c r="E20854" s="17"/>
      <c r="F20854" s="18"/>
      <c r="G20854" s="36" t="str">
        <f>IF(ISNUMBER(F20854),C20854*F20854,"")</f>
        <v/>
      </c>
    </row>
    <row r="20855" spans="1:7" ht="24" customHeight="1" outlineLevel="3" x14ac:dyDescent="0.2">
      <c r="A20855" s="14" t="s">
        <v>41049</v>
      </c>
      <c r="B20855" s="15" t="s">
        <v>41050</v>
      </c>
      <c r="C20855" s="19">
        <f>1803.65/(1+B2)</f>
        <v>1803.65</v>
      </c>
      <c r="D20855" s="17" t="s">
        <v>11</v>
      </c>
      <c r="E20855" s="17" t="s">
        <v>11</v>
      </c>
      <c r="F20855" s="18"/>
      <c r="G20855" s="36" t="str">
        <f>IF(ISNUMBER(F20855),C20855*F20855,"")</f>
        <v/>
      </c>
    </row>
    <row r="20856" spans="1:7" ht="24" customHeight="1" outlineLevel="3" x14ac:dyDescent="0.2">
      <c r="A20856" s="14" t="s">
        <v>41051</v>
      </c>
      <c r="B20856" s="15" t="s">
        <v>41052</v>
      </c>
      <c r="C20856" s="19">
        <f>1741.16/(1+B2)</f>
        <v>1741.16</v>
      </c>
      <c r="D20856" s="17" t="s">
        <v>11</v>
      </c>
      <c r="E20856" s="17" t="s">
        <v>11</v>
      </c>
      <c r="F20856" s="18"/>
      <c r="G20856" s="36" t="str">
        <f>IF(ISNUMBER(F20856),C20856*F20856,"")</f>
        <v/>
      </c>
    </row>
    <row r="20857" spans="1:7" ht="24" customHeight="1" outlineLevel="3" x14ac:dyDescent="0.2">
      <c r="A20857" s="14" t="s">
        <v>41053</v>
      </c>
      <c r="B20857" s="15" t="s">
        <v>41054</v>
      </c>
      <c r="C20857" s="19">
        <f>1825.89/(1+B2)</f>
        <v>1825.89</v>
      </c>
      <c r="D20857" s="17" t="s">
        <v>11</v>
      </c>
      <c r="E20857" s="17" t="s">
        <v>11</v>
      </c>
      <c r="F20857" s="18"/>
      <c r="G20857" s="36" t="str">
        <f>IF(ISNUMBER(F20857),C20857*F20857,"")</f>
        <v/>
      </c>
    </row>
    <row r="20858" spans="1:7" ht="24" customHeight="1" outlineLevel="3" x14ac:dyDescent="0.2">
      <c r="A20858" s="14" t="s">
        <v>41055</v>
      </c>
      <c r="B20858" s="15" t="s">
        <v>41056</v>
      </c>
      <c r="C20858" s="19">
        <f>1803.65/(1+B2)</f>
        <v>1803.65</v>
      </c>
      <c r="D20858" s="17" t="s">
        <v>11</v>
      </c>
      <c r="E20858" s="17"/>
      <c r="F20858" s="18"/>
      <c r="G20858" s="36" t="str">
        <f>IF(ISNUMBER(F20858),C20858*F20858,"")</f>
        <v/>
      </c>
    </row>
    <row r="20859" spans="1:7" ht="24" customHeight="1" outlineLevel="3" x14ac:dyDescent="0.2">
      <c r="A20859" s="14" t="s">
        <v>41057</v>
      </c>
      <c r="B20859" s="15" t="s">
        <v>41058</v>
      </c>
      <c r="C20859" s="19">
        <f>1923.89/(1+B2)</f>
        <v>1923.89</v>
      </c>
      <c r="D20859" s="17" t="s">
        <v>11</v>
      </c>
      <c r="E20859" s="17"/>
      <c r="F20859" s="18"/>
      <c r="G20859" s="36" t="str">
        <f>IF(ISNUMBER(F20859),C20859*F20859,"")</f>
        <v/>
      </c>
    </row>
    <row r="20860" spans="1:7" ht="24" customHeight="1" outlineLevel="3" x14ac:dyDescent="0.2">
      <c r="A20860" s="14" t="s">
        <v>41059</v>
      </c>
      <c r="B20860" s="15" t="s">
        <v>41060</v>
      </c>
      <c r="C20860" s="19">
        <f>1947.61/(1+B2)</f>
        <v>1947.61</v>
      </c>
      <c r="D20860" s="17" t="s">
        <v>11</v>
      </c>
      <c r="E20860" s="17"/>
      <c r="F20860" s="18"/>
      <c r="G20860" s="36" t="str">
        <f>IF(ISNUMBER(F20860),C20860*F20860,"")</f>
        <v/>
      </c>
    </row>
    <row r="20861" spans="1:7" ht="24" customHeight="1" outlineLevel="3" x14ac:dyDescent="0.2">
      <c r="A20861" s="14" t="s">
        <v>41061</v>
      </c>
      <c r="B20861" s="15" t="s">
        <v>41062</v>
      </c>
      <c r="C20861" s="19">
        <f>1497.23/(1+B2)</f>
        <v>1497.23</v>
      </c>
      <c r="D20861" s="17" t="s">
        <v>11</v>
      </c>
      <c r="E20861" s="17" t="s">
        <v>11</v>
      </c>
      <c r="F20861" s="18"/>
      <c r="G20861" s="36" t="str">
        <f>IF(ISNUMBER(F20861),C20861*F20861,"")</f>
        <v/>
      </c>
    </row>
    <row r="20862" spans="1:7" ht="24" customHeight="1" outlineLevel="3" x14ac:dyDescent="0.2">
      <c r="A20862" s="14" t="s">
        <v>41063</v>
      </c>
      <c r="B20862" s="15" t="s">
        <v>41064</v>
      </c>
      <c r="C20862" s="19">
        <f>1923.89/(1+B2)</f>
        <v>1923.89</v>
      </c>
      <c r="D20862" s="17" t="s">
        <v>11</v>
      </c>
      <c r="E20862" s="17" t="s">
        <v>11</v>
      </c>
      <c r="F20862" s="18"/>
      <c r="G20862" s="36" t="str">
        <f>IF(ISNUMBER(F20862),C20862*F20862,"")</f>
        <v/>
      </c>
    </row>
    <row r="20863" spans="1:7" ht="24" customHeight="1" outlineLevel="3" x14ac:dyDescent="0.2">
      <c r="A20863" s="14" t="s">
        <v>41065</v>
      </c>
      <c r="B20863" s="15" t="s">
        <v>41066</v>
      </c>
      <c r="C20863" s="19">
        <f>1923.89/(1+B2)</f>
        <v>1923.89</v>
      </c>
      <c r="D20863" s="17" t="s">
        <v>11</v>
      </c>
      <c r="E20863" s="17" t="s">
        <v>11</v>
      </c>
      <c r="F20863" s="18"/>
      <c r="G20863" s="36" t="str">
        <f>IF(ISNUMBER(F20863),C20863*F20863,"")</f>
        <v/>
      </c>
    </row>
    <row r="20864" spans="1:7" ht="24" customHeight="1" outlineLevel="3" x14ac:dyDescent="0.2">
      <c r="A20864" s="14" t="s">
        <v>41067</v>
      </c>
      <c r="B20864" s="15" t="s">
        <v>41068</v>
      </c>
      <c r="C20864" s="19">
        <f>1947.61/(1+B2)</f>
        <v>1947.61</v>
      </c>
      <c r="D20864" s="17" t="s">
        <v>11</v>
      </c>
      <c r="E20864" s="17" t="s">
        <v>11</v>
      </c>
      <c r="F20864" s="18"/>
      <c r="G20864" s="36" t="str">
        <f>IF(ISNUMBER(F20864),C20864*F20864,"")</f>
        <v/>
      </c>
    </row>
    <row r="20865" spans="1:7" ht="24" customHeight="1" outlineLevel="3" x14ac:dyDescent="0.2">
      <c r="A20865" s="14" t="s">
        <v>41069</v>
      </c>
      <c r="B20865" s="15" t="s">
        <v>41070</v>
      </c>
      <c r="C20865" s="19">
        <f>1923.89/(1+B2)</f>
        <v>1923.89</v>
      </c>
      <c r="D20865" s="17" t="s">
        <v>11</v>
      </c>
      <c r="E20865" s="17" t="s">
        <v>11</v>
      </c>
      <c r="F20865" s="18"/>
      <c r="G20865" s="36" t="str">
        <f>IF(ISNUMBER(F20865),C20865*F20865,"")</f>
        <v/>
      </c>
    </row>
    <row r="20866" spans="1:7" ht="24" customHeight="1" outlineLevel="3" x14ac:dyDescent="0.2">
      <c r="A20866" s="14" t="s">
        <v>41071</v>
      </c>
      <c r="B20866" s="15" t="s">
        <v>41072</v>
      </c>
      <c r="C20866" s="19">
        <f>1923.89/(1+B2)</f>
        <v>1923.89</v>
      </c>
      <c r="D20866" s="17" t="s">
        <v>11</v>
      </c>
      <c r="E20866" s="17"/>
      <c r="F20866" s="18"/>
      <c r="G20866" s="36" t="str">
        <f>IF(ISNUMBER(F20866),C20866*F20866,"")</f>
        <v/>
      </c>
    </row>
    <row r="20867" spans="1:7" ht="24" customHeight="1" outlineLevel="3" x14ac:dyDescent="0.2">
      <c r="A20867" s="14" t="s">
        <v>41073</v>
      </c>
      <c r="B20867" s="15" t="s">
        <v>41074</v>
      </c>
      <c r="C20867" s="19">
        <f>1561.95/(1+B2)</f>
        <v>1561.95</v>
      </c>
      <c r="D20867" s="17" t="s">
        <v>11</v>
      </c>
      <c r="E20867" s="17"/>
      <c r="F20867" s="18"/>
      <c r="G20867" s="36" t="str">
        <f>IF(ISNUMBER(F20867),C20867*F20867,"")</f>
        <v/>
      </c>
    </row>
    <row r="20868" spans="1:7" ht="24" customHeight="1" outlineLevel="3" x14ac:dyDescent="0.2">
      <c r="A20868" s="14" t="s">
        <v>41075</v>
      </c>
      <c r="B20868" s="15" t="s">
        <v>41076</v>
      </c>
      <c r="C20868" s="19">
        <f>1561.95/(1+B2)</f>
        <v>1561.95</v>
      </c>
      <c r="D20868" s="17" t="s">
        <v>11</v>
      </c>
      <c r="E20868" s="17" t="s">
        <v>11</v>
      </c>
      <c r="F20868" s="18"/>
      <c r="G20868" s="36" t="str">
        <f>IF(ISNUMBER(F20868),C20868*F20868,"")</f>
        <v/>
      </c>
    </row>
    <row r="20869" spans="1:7" ht="24" customHeight="1" outlineLevel="3" x14ac:dyDescent="0.2">
      <c r="A20869" s="14" t="s">
        <v>41077</v>
      </c>
      <c r="B20869" s="15" t="s">
        <v>41078</v>
      </c>
      <c r="C20869" s="19">
        <f>1581.23/(1+B2)</f>
        <v>1581.23</v>
      </c>
      <c r="D20869" s="17" t="s">
        <v>11</v>
      </c>
      <c r="E20869" s="17" t="s">
        <v>11</v>
      </c>
      <c r="F20869" s="18"/>
      <c r="G20869" s="36" t="str">
        <f>IF(ISNUMBER(F20869),C20869*F20869,"")</f>
        <v/>
      </c>
    </row>
    <row r="20870" spans="1:7" ht="24" customHeight="1" outlineLevel="3" x14ac:dyDescent="0.2">
      <c r="A20870" s="14" t="s">
        <v>41079</v>
      </c>
      <c r="B20870" s="15" t="s">
        <v>41080</v>
      </c>
      <c r="C20870" s="19">
        <f>2272.59/(1+B2)</f>
        <v>2272.59</v>
      </c>
      <c r="D20870" s="17" t="s">
        <v>11</v>
      </c>
      <c r="E20870" s="17" t="s">
        <v>11</v>
      </c>
      <c r="F20870" s="18"/>
      <c r="G20870" s="36" t="str">
        <f>IF(ISNUMBER(F20870),C20870*F20870,"")</f>
        <v/>
      </c>
    </row>
    <row r="20871" spans="1:7" s="1" customFormat="1" ht="12.95" customHeight="1" outlineLevel="2" x14ac:dyDescent="0.2">
      <c r="A20871" s="20"/>
      <c r="B20871" s="21" t="s">
        <v>41081</v>
      </c>
      <c r="C20871" s="22"/>
      <c r="D20871" s="22"/>
      <c r="E20871" s="22"/>
      <c r="F20871" s="22"/>
      <c r="G20871" s="37"/>
    </row>
    <row r="20872" spans="1:7" ht="12" customHeight="1" outlineLevel="3" x14ac:dyDescent="0.2">
      <c r="A20872" s="14" t="s">
        <v>41082</v>
      </c>
      <c r="B20872" s="15" t="s">
        <v>41083</v>
      </c>
      <c r="C20872" s="19">
        <f>3221.18/(1+B2)</f>
        <v>3221.18</v>
      </c>
      <c r="D20872" s="17" t="s">
        <v>11</v>
      </c>
      <c r="E20872" s="17"/>
      <c r="F20872" s="18"/>
      <c r="G20872" s="36" t="str">
        <f>IF(ISNUMBER(F20872),C20872*F20872,"")</f>
        <v/>
      </c>
    </row>
    <row r="20873" spans="1:7" ht="12" customHeight="1" outlineLevel="3" x14ac:dyDescent="0.2">
      <c r="A20873" s="14" t="s">
        <v>41084</v>
      </c>
      <c r="B20873" s="15" t="s">
        <v>41085</v>
      </c>
      <c r="C20873" s="19">
        <f>3409.85/(1+B2)</f>
        <v>3409.85</v>
      </c>
      <c r="D20873" s="17" t="s">
        <v>11</v>
      </c>
      <c r="E20873" s="17" t="s">
        <v>11</v>
      </c>
      <c r="F20873" s="18"/>
      <c r="G20873" s="36" t="str">
        <f>IF(ISNUMBER(F20873),C20873*F20873,"")</f>
        <v/>
      </c>
    </row>
    <row r="20874" spans="1:7" ht="12" customHeight="1" outlineLevel="3" x14ac:dyDescent="0.2">
      <c r="A20874" s="14" t="s">
        <v>41086</v>
      </c>
      <c r="B20874" s="15" t="s">
        <v>41087</v>
      </c>
      <c r="C20874" s="19">
        <f>2280.59/(1+B2)</f>
        <v>2280.59</v>
      </c>
      <c r="D20874" s="17" t="s">
        <v>11</v>
      </c>
      <c r="E20874" s="17"/>
      <c r="F20874" s="18"/>
      <c r="G20874" s="36" t="str">
        <f>IF(ISNUMBER(F20874),C20874*F20874,"")</f>
        <v/>
      </c>
    </row>
    <row r="20875" spans="1:7" ht="12" customHeight="1" outlineLevel="3" x14ac:dyDescent="0.2">
      <c r="A20875" s="14" t="s">
        <v>41088</v>
      </c>
      <c r="B20875" s="15" t="s">
        <v>41089</v>
      </c>
      <c r="C20875" s="19">
        <f>5110.42/(1+B2)</f>
        <v>5110.42</v>
      </c>
      <c r="D20875" s="17" t="s">
        <v>11</v>
      </c>
      <c r="E20875" s="17"/>
      <c r="F20875" s="18"/>
      <c r="G20875" s="36" t="str">
        <f>IF(ISNUMBER(F20875),C20875*F20875,"")</f>
        <v/>
      </c>
    </row>
    <row r="20876" spans="1:7" ht="12" customHeight="1" outlineLevel="3" x14ac:dyDescent="0.2">
      <c r="A20876" s="14" t="s">
        <v>41090</v>
      </c>
      <c r="B20876" s="15" t="s">
        <v>41091</v>
      </c>
      <c r="C20876" s="19">
        <f>5177.5/(1+B2)</f>
        <v>5177.5</v>
      </c>
      <c r="D20876" s="17" t="s">
        <v>11</v>
      </c>
      <c r="E20876" s="17"/>
      <c r="F20876" s="18"/>
      <c r="G20876" s="36" t="str">
        <f>IF(ISNUMBER(F20876),C20876*F20876,"")</f>
        <v/>
      </c>
    </row>
    <row r="20877" spans="1:7" ht="12" customHeight="1" outlineLevel="3" x14ac:dyDescent="0.2">
      <c r="A20877" s="14" t="s">
        <v>41092</v>
      </c>
      <c r="B20877" s="15" t="s">
        <v>41093</v>
      </c>
      <c r="C20877" s="19">
        <f>2186.59/(1+B2)</f>
        <v>2186.59</v>
      </c>
      <c r="D20877" s="17" t="s">
        <v>11</v>
      </c>
      <c r="E20877" s="17" t="s">
        <v>11</v>
      </c>
      <c r="F20877" s="18"/>
      <c r="G20877" s="36" t="str">
        <f>IF(ISNUMBER(F20877),C20877*F20877,"")</f>
        <v/>
      </c>
    </row>
    <row r="20878" spans="1:7" ht="12" customHeight="1" outlineLevel="3" x14ac:dyDescent="0.2">
      <c r="A20878" s="14" t="s">
        <v>41094</v>
      </c>
      <c r="B20878" s="15" t="s">
        <v>41095</v>
      </c>
      <c r="C20878" s="19">
        <f>2485.87/(1+B2)</f>
        <v>2485.87</v>
      </c>
      <c r="D20878" s="17" t="s">
        <v>11</v>
      </c>
      <c r="E20878" s="17"/>
      <c r="F20878" s="18"/>
      <c r="G20878" s="36" t="str">
        <f>IF(ISNUMBER(F20878),C20878*F20878,"")</f>
        <v/>
      </c>
    </row>
    <row r="20879" spans="1:7" ht="24" customHeight="1" outlineLevel="3" x14ac:dyDescent="0.2">
      <c r="A20879" s="14" t="s">
        <v>41096</v>
      </c>
      <c r="B20879" s="15" t="s">
        <v>41097</v>
      </c>
      <c r="C20879" s="19">
        <f>2485.87/(1+B2)</f>
        <v>2485.87</v>
      </c>
      <c r="D20879" s="17" t="s">
        <v>11</v>
      </c>
      <c r="E20879" s="17" t="s">
        <v>11</v>
      </c>
      <c r="F20879" s="18"/>
      <c r="G20879" s="36" t="str">
        <f>IF(ISNUMBER(F20879),C20879*F20879,"")</f>
        <v/>
      </c>
    </row>
    <row r="20880" spans="1:7" ht="24" customHeight="1" outlineLevel="3" x14ac:dyDescent="0.2">
      <c r="A20880" s="14" t="s">
        <v>41098</v>
      </c>
      <c r="B20880" s="15" t="s">
        <v>41099</v>
      </c>
      <c r="C20880" s="19">
        <f>2675.88/(1+B2)</f>
        <v>2675.88</v>
      </c>
      <c r="D20880" s="17" t="s">
        <v>11</v>
      </c>
      <c r="E20880" s="17" t="s">
        <v>11</v>
      </c>
      <c r="F20880" s="18"/>
      <c r="G20880" s="36" t="str">
        <f>IF(ISNUMBER(F20880),C20880*F20880,"")</f>
        <v/>
      </c>
    </row>
    <row r="20881" spans="1:7" ht="24" customHeight="1" outlineLevel="3" x14ac:dyDescent="0.2">
      <c r="A20881" s="14" t="s">
        <v>41100</v>
      </c>
      <c r="B20881" s="15" t="s">
        <v>41101</v>
      </c>
      <c r="C20881" s="19">
        <f>2675.88/(1+B2)</f>
        <v>2675.88</v>
      </c>
      <c r="D20881" s="17" t="s">
        <v>11</v>
      </c>
      <c r="E20881" s="17" t="s">
        <v>11</v>
      </c>
      <c r="F20881" s="18"/>
      <c r="G20881" s="36" t="str">
        <f>IF(ISNUMBER(F20881),C20881*F20881,"")</f>
        <v/>
      </c>
    </row>
    <row r="20882" spans="1:7" ht="24" customHeight="1" outlineLevel="3" x14ac:dyDescent="0.2">
      <c r="A20882" s="14" t="s">
        <v>41102</v>
      </c>
      <c r="B20882" s="15" t="s">
        <v>41103</v>
      </c>
      <c r="C20882" s="19">
        <f>2675.88/(1+B2)</f>
        <v>2675.88</v>
      </c>
      <c r="D20882" s="17" t="s">
        <v>11</v>
      </c>
      <c r="E20882" s="17" t="s">
        <v>11</v>
      </c>
      <c r="F20882" s="18"/>
      <c r="G20882" s="36" t="str">
        <f>IF(ISNUMBER(F20882),C20882*F20882,"")</f>
        <v/>
      </c>
    </row>
    <row r="20883" spans="1:7" ht="24" customHeight="1" outlineLevel="3" x14ac:dyDescent="0.2">
      <c r="A20883" s="14" t="s">
        <v>41104</v>
      </c>
      <c r="B20883" s="15" t="s">
        <v>41105</v>
      </c>
      <c r="C20883" s="19">
        <f>2675.88/(1+B2)</f>
        <v>2675.88</v>
      </c>
      <c r="D20883" s="17" t="s">
        <v>11</v>
      </c>
      <c r="E20883" s="17" t="s">
        <v>11</v>
      </c>
      <c r="F20883" s="18"/>
      <c r="G20883" s="36" t="str">
        <f>IF(ISNUMBER(F20883),C20883*F20883,"")</f>
        <v/>
      </c>
    </row>
    <row r="20884" spans="1:7" ht="24" customHeight="1" outlineLevel="3" x14ac:dyDescent="0.2">
      <c r="A20884" s="14" t="s">
        <v>41106</v>
      </c>
      <c r="B20884" s="15" t="s">
        <v>41107</v>
      </c>
      <c r="C20884" s="19">
        <f>2675.88/(1+B2)</f>
        <v>2675.88</v>
      </c>
      <c r="D20884" s="17" t="s">
        <v>11</v>
      </c>
      <c r="E20884" s="17" t="s">
        <v>11</v>
      </c>
      <c r="F20884" s="18"/>
      <c r="G20884" s="36" t="str">
        <f>IF(ISNUMBER(F20884),C20884*F20884,"")</f>
        <v/>
      </c>
    </row>
    <row r="20885" spans="1:7" ht="24" customHeight="1" outlineLevel="3" x14ac:dyDescent="0.2">
      <c r="A20885" s="14" t="s">
        <v>41108</v>
      </c>
      <c r="B20885" s="15" t="s">
        <v>41109</v>
      </c>
      <c r="C20885" s="19">
        <f>2675.88/(1+B2)</f>
        <v>2675.88</v>
      </c>
      <c r="D20885" s="17" t="s">
        <v>11</v>
      </c>
      <c r="E20885" s="17" t="s">
        <v>11</v>
      </c>
      <c r="F20885" s="18"/>
      <c r="G20885" s="36" t="str">
        <f>IF(ISNUMBER(F20885),C20885*F20885,"")</f>
        <v/>
      </c>
    </row>
    <row r="20886" spans="1:7" ht="24" customHeight="1" outlineLevel="3" x14ac:dyDescent="0.2">
      <c r="A20886" s="14" t="s">
        <v>41110</v>
      </c>
      <c r="B20886" s="15" t="s">
        <v>41111</v>
      </c>
      <c r="C20886" s="19">
        <f>2675.88/(1+B2)</f>
        <v>2675.88</v>
      </c>
      <c r="D20886" s="17" t="s">
        <v>11</v>
      </c>
      <c r="E20886" s="17" t="s">
        <v>11</v>
      </c>
      <c r="F20886" s="18"/>
      <c r="G20886" s="36" t="str">
        <f>IF(ISNUMBER(F20886),C20886*F20886,"")</f>
        <v/>
      </c>
    </row>
    <row r="20887" spans="1:7" ht="12" customHeight="1" outlineLevel="3" x14ac:dyDescent="0.2">
      <c r="A20887" s="14" t="s">
        <v>41112</v>
      </c>
      <c r="B20887" s="15" t="s">
        <v>41113</v>
      </c>
      <c r="C20887" s="19">
        <f>2186.59/(1+B2)</f>
        <v>2186.59</v>
      </c>
      <c r="D20887" s="17" t="s">
        <v>11</v>
      </c>
      <c r="E20887" s="17" t="s">
        <v>11</v>
      </c>
      <c r="F20887" s="18"/>
      <c r="G20887" s="36" t="str">
        <f>IF(ISNUMBER(F20887),C20887*F20887,"")</f>
        <v/>
      </c>
    </row>
    <row r="20888" spans="1:7" ht="12" customHeight="1" outlineLevel="3" x14ac:dyDescent="0.2">
      <c r="A20888" s="14" t="s">
        <v>41114</v>
      </c>
      <c r="B20888" s="15" t="s">
        <v>41115</v>
      </c>
      <c r="C20888" s="19">
        <f>3929.51/(1+B2)</f>
        <v>3929.51</v>
      </c>
      <c r="D20888" s="17" t="s">
        <v>11</v>
      </c>
      <c r="E20888" s="17"/>
      <c r="F20888" s="18"/>
      <c r="G20888" s="36" t="str">
        <f>IF(ISNUMBER(F20888),C20888*F20888,"")</f>
        <v/>
      </c>
    </row>
    <row r="20889" spans="1:7" ht="12" customHeight="1" outlineLevel="3" x14ac:dyDescent="0.2">
      <c r="A20889" s="14" t="s">
        <v>41116</v>
      </c>
      <c r="B20889" s="15" t="s">
        <v>41117</v>
      </c>
      <c r="C20889" s="19">
        <f>2377.93/(1+B2)</f>
        <v>2377.9299999999998</v>
      </c>
      <c r="D20889" s="17" t="s">
        <v>11</v>
      </c>
      <c r="E20889" s="17"/>
      <c r="F20889" s="18"/>
      <c r="G20889" s="36" t="str">
        <f>IF(ISNUMBER(F20889),C20889*F20889,"")</f>
        <v/>
      </c>
    </row>
    <row r="20890" spans="1:7" ht="24" customHeight="1" outlineLevel="3" x14ac:dyDescent="0.2">
      <c r="A20890" s="14" t="s">
        <v>41118</v>
      </c>
      <c r="B20890" s="15" t="s">
        <v>41119</v>
      </c>
      <c r="C20890" s="19">
        <f>6682.08/(1+B2)</f>
        <v>6682.08</v>
      </c>
      <c r="D20890" s="17" t="s">
        <v>11</v>
      </c>
      <c r="E20890" s="17"/>
      <c r="F20890" s="18"/>
      <c r="G20890" s="36" t="str">
        <f>IF(ISNUMBER(F20890),C20890*F20890,"")</f>
        <v/>
      </c>
    </row>
    <row r="20891" spans="1:7" ht="24" customHeight="1" outlineLevel="3" x14ac:dyDescent="0.2">
      <c r="A20891" s="14" t="s">
        <v>41120</v>
      </c>
      <c r="B20891" s="15" t="s">
        <v>41121</v>
      </c>
      <c r="C20891" s="19">
        <f>7446.61/(1+B2)</f>
        <v>7446.61</v>
      </c>
      <c r="D20891" s="17" t="s">
        <v>11</v>
      </c>
      <c r="E20891" s="17"/>
      <c r="F20891" s="18"/>
      <c r="G20891" s="36" t="str">
        <f>IF(ISNUMBER(F20891),C20891*F20891,"")</f>
        <v/>
      </c>
    </row>
    <row r="20892" spans="1:7" ht="12" customHeight="1" outlineLevel="3" x14ac:dyDescent="0.2">
      <c r="A20892" s="14" t="s">
        <v>41122</v>
      </c>
      <c r="B20892" s="15" t="s">
        <v>41123</v>
      </c>
      <c r="C20892" s="19">
        <f>2799.56/(1+B2)</f>
        <v>2799.56</v>
      </c>
      <c r="D20892" s="17" t="s">
        <v>11</v>
      </c>
      <c r="E20892" s="17"/>
      <c r="F20892" s="18"/>
      <c r="G20892" s="36" t="str">
        <f>IF(ISNUMBER(F20892),C20892*F20892,"")</f>
        <v/>
      </c>
    </row>
    <row r="20893" spans="1:7" ht="12" customHeight="1" outlineLevel="3" x14ac:dyDescent="0.2">
      <c r="A20893" s="14" t="s">
        <v>41124</v>
      </c>
      <c r="B20893" s="15" t="s">
        <v>41125</v>
      </c>
      <c r="C20893" s="19">
        <f>1340.86/(1+B2)</f>
        <v>1340.86</v>
      </c>
      <c r="D20893" s="17" t="s">
        <v>11</v>
      </c>
      <c r="E20893" s="17" t="s">
        <v>11</v>
      </c>
      <c r="F20893" s="18"/>
      <c r="G20893" s="36" t="str">
        <f>IF(ISNUMBER(F20893),C20893*F20893,"")</f>
        <v/>
      </c>
    </row>
    <row r="20894" spans="1:7" ht="12" customHeight="1" outlineLevel="3" x14ac:dyDescent="0.2">
      <c r="A20894" s="14" t="s">
        <v>41126</v>
      </c>
      <c r="B20894" s="15" t="s">
        <v>41127</v>
      </c>
      <c r="C20894" s="19">
        <f>1325.79/(1+B2)</f>
        <v>1325.79</v>
      </c>
      <c r="D20894" s="17" t="s">
        <v>11</v>
      </c>
      <c r="E20894" s="17" t="s">
        <v>11</v>
      </c>
      <c r="F20894" s="18"/>
      <c r="G20894" s="36" t="str">
        <f>IF(ISNUMBER(F20894),C20894*F20894,"")</f>
        <v/>
      </c>
    </row>
    <row r="20895" spans="1:7" ht="12" customHeight="1" outlineLevel="3" x14ac:dyDescent="0.2">
      <c r="A20895" s="14" t="s">
        <v>41128</v>
      </c>
      <c r="B20895" s="15" t="s">
        <v>41129</v>
      </c>
      <c r="C20895" s="19">
        <f>1360.89/(1+B2)</f>
        <v>1360.89</v>
      </c>
      <c r="D20895" s="17" t="s">
        <v>11</v>
      </c>
      <c r="E20895" s="17" t="s">
        <v>14</v>
      </c>
      <c r="F20895" s="18"/>
      <c r="G20895" s="36" t="str">
        <f>IF(ISNUMBER(F20895),C20895*F20895,"")</f>
        <v/>
      </c>
    </row>
    <row r="20896" spans="1:7" ht="12" customHeight="1" outlineLevel="3" x14ac:dyDescent="0.2">
      <c r="A20896" s="14" t="s">
        <v>41130</v>
      </c>
      <c r="B20896" s="15" t="s">
        <v>41131</v>
      </c>
      <c r="C20896" s="19">
        <f>1345.58/(1+B2)</f>
        <v>1345.58</v>
      </c>
      <c r="D20896" s="17" t="s">
        <v>11</v>
      </c>
      <c r="E20896" s="17"/>
      <c r="F20896" s="18"/>
      <c r="G20896" s="36" t="str">
        <f>IF(ISNUMBER(F20896),C20896*F20896,"")</f>
        <v/>
      </c>
    </row>
    <row r="20897" spans="1:7" ht="12" customHeight="1" outlineLevel="3" x14ac:dyDescent="0.2">
      <c r="A20897" s="14" t="s">
        <v>41132</v>
      </c>
      <c r="B20897" s="15" t="s">
        <v>41133</v>
      </c>
      <c r="C20897" s="19">
        <f>1491.54/(1+B2)</f>
        <v>1491.54</v>
      </c>
      <c r="D20897" s="17" t="s">
        <v>11</v>
      </c>
      <c r="E20897" s="17"/>
      <c r="F20897" s="18"/>
      <c r="G20897" s="36" t="str">
        <f>IF(ISNUMBER(F20897),C20897*F20897,"")</f>
        <v/>
      </c>
    </row>
    <row r="20898" spans="1:7" ht="12" customHeight="1" outlineLevel="3" x14ac:dyDescent="0.2">
      <c r="A20898" s="14" t="s">
        <v>41134</v>
      </c>
      <c r="B20898" s="15" t="s">
        <v>41135</v>
      </c>
      <c r="C20898" s="19">
        <f>1205.09/(1+B2)</f>
        <v>1205.0899999999999</v>
      </c>
      <c r="D20898" s="17" t="s">
        <v>11</v>
      </c>
      <c r="E20898" s="17" t="s">
        <v>11</v>
      </c>
      <c r="F20898" s="18"/>
      <c r="G20898" s="36" t="str">
        <f>IF(ISNUMBER(F20898),C20898*F20898,"")</f>
        <v/>
      </c>
    </row>
    <row r="20899" spans="1:7" ht="12" customHeight="1" outlineLevel="3" x14ac:dyDescent="0.2">
      <c r="A20899" s="14" t="s">
        <v>41136</v>
      </c>
      <c r="B20899" s="15" t="s">
        <v>41137</v>
      </c>
      <c r="C20899" s="19">
        <f>1880.78/(1+B2)</f>
        <v>1880.78</v>
      </c>
      <c r="D20899" s="17" t="s">
        <v>11</v>
      </c>
      <c r="E20899" s="17" t="s">
        <v>11</v>
      </c>
      <c r="F20899" s="18"/>
      <c r="G20899" s="36" t="str">
        <f>IF(ISNUMBER(F20899),C20899*F20899,"")</f>
        <v/>
      </c>
    </row>
    <row r="20900" spans="1:7" ht="12" customHeight="1" outlineLevel="3" x14ac:dyDescent="0.2">
      <c r="A20900" s="14" t="s">
        <v>41138</v>
      </c>
      <c r="B20900" s="15" t="s">
        <v>41139</v>
      </c>
      <c r="C20900" s="19">
        <f>1880.78/(1+B2)</f>
        <v>1880.78</v>
      </c>
      <c r="D20900" s="17" t="s">
        <v>11</v>
      </c>
      <c r="E20900" s="17"/>
      <c r="F20900" s="18"/>
      <c r="G20900" s="36" t="str">
        <f>IF(ISNUMBER(F20900),C20900*F20900,"")</f>
        <v/>
      </c>
    </row>
    <row r="20901" spans="1:7" ht="12" customHeight="1" outlineLevel="3" x14ac:dyDescent="0.2">
      <c r="A20901" s="14" t="s">
        <v>41140</v>
      </c>
      <c r="B20901" s="15" t="s">
        <v>41141</v>
      </c>
      <c r="C20901" s="19">
        <f>1880.78/(1+B2)</f>
        <v>1880.78</v>
      </c>
      <c r="D20901" s="17" t="s">
        <v>11</v>
      </c>
      <c r="E20901" s="17"/>
      <c r="F20901" s="18"/>
      <c r="G20901" s="36" t="str">
        <f>IF(ISNUMBER(F20901),C20901*F20901,"")</f>
        <v/>
      </c>
    </row>
    <row r="20902" spans="1:7" ht="12" customHeight="1" outlineLevel="3" x14ac:dyDescent="0.2">
      <c r="A20902" s="14" t="s">
        <v>41142</v>
      </c>
      <c r="B20902" s="15" t="s">
        <v>41143</v>
      </c>
      <c r="C20902" s="19">
        <f>1926.64/(1+B2)</f>
        <v>1926.64</v>
      </c>
      <c r="D20902" s="17" t="s">
        <v>11</v>
      </c>
      <c r="E20902" s="17" t="s">
        <v>11</v>
      </c>
      <c r="F20902" s="18"/>
      <c r="G20902" s="36" t="str">
        <f>IF(ISNUMBER(F20902),C20902*F20902,"")</f>
        <v/>
      </c>
    </row>
    <row r="20903" spans="1:7" ht="12" customHeight="1" outlineLevel="3" x14ac:dyDescent="0.2">
      <c r="A20903" s="14" t="s">
        <v>41144</v>
      </c>
      <c r="B20903" s="15" t="s">
        <v>41145</v>
      </c>
      <c r="C20903" s="19">
        <f>1926.64/(1+B2)</f>
        <v>1926.64</v>
      </c>
      <c r="D20903" s="17" t="s">
        <v>11</v>
      </c>
      <c r="E20903" s="17" t="s">
        <v>11</v>
      </c>
      <c r="F20903" s="18"/>
      <c r="G20903" s="36" t="str">
        <f>IF(ISNUMBER(F20903),C20903*F20903,"")</f>
        <v/>
      </c>
    </row>
    <row r="20904" spans="1:7" ht="12" customHeight="1" outlineLevel="3" x14ac:dyDescent="0.2">
      <c r="A20904" s="14" t="s">
        <v>41146</v>
      </c>
      <c r="B20904" s="15" t="s">
        <v>41147</v>
      </c>
      <c r="C20904" s="19">
        <f>1533.75/(1+B2)</f>
        <v>1533.75</v>
      </c>
      <c r="D20904" s="17" t="s">
        <v>11</v>
      </c>
      <c r="E20904" s="17" t="s">
        <v>11</v>
      </c>
      <c r="F20904" s="18"/>
      <c r="G20904" s="36" t="str">
        <f>IF(ISNUMBER(F20904),C20904*F20904,"")</f>
        <v/>
      </c>
    </row>
    <row r="20905" spans="1:7" ht="12" customHeight="1" outlineLevel="3" x14ac:dyDescent="0.2">
      <c r="A20905" s="14" t="s">
        <v>41148</v>
      </c>
      <c r="B20905" s="15" t="s">
        <v>41149</v>
      </c>
      <c r="C20905" s="19">
        <f>1459.43/(1+B2)</f>
        <v>1459.43</v>
      </c>
      <c r="D20905" s="17" t="s">
        <v>11</v>
      </c>
      <c r="E20905" s="17" t="s">
        <v>11</v>
      </c>
      <c r="F20905" s="18"/>
      <c r="G20905" s="36" t="str">
        <f>IF(ISNUMBER(F20905),C20905*F20905,"")</f>
        <v/>
      </c>
    </row>
    <row r="20906" spans="1:7" ht="24" customHeight="1" outlineLevel="3" x14ac:dyDescent="0.2">
      <c r="A20906" s="14" t="s">
        <v>41150</v>
      </c>
      <c r="B20906" s="15" t="s">
        <v>41151</v>
      </c>
      <c r="C20906" s="19">
        <f>3457.3/(1+B2)</f>
        <v>3457.3</v>
      </c>
      <c r="D20906" s="17" t="s">
        <v>11</v>
      </c>
      <c r="E20906" s="17"/>
      <c r="F20906" s="18"/>
      <c r="G20906" s="36" t="str">
        <f>IF(ISNUMBER(F20906),C20906*F20906,"")</f>
        <v/>
      </c>
    </row>
    <row r="20907" spans="1:7" ht="12" customHeight="1" outlineLevel="3" x14ac:dyDescent="0.2">
      <c r="A20907" s="14" t="s">
        <v>41152</v>
      </c>
      <c r="B20907" s="15" t="s">
        <v>41153</v>
      </c>
      <c r="C20907" s="19">
        <f>1116.95/(1+B2)</f>
        <v>1116.95</v>
      </c>
      <c r="D20907" s="17" t="s">
        <v>11</v>
      </c>
      <c r="E20907" s="17" t="s">
        <v>11</v>
      </c>
      <c r="F20907" s="18"/>
      <c r="G20907" s="36" t="str">
        <f>IF(ISNUMBER(F20907),C20907*F20907,"")</f>
        <v/>
      </c>
    </row>
    <row r="20908" spans="1:7" ht="12" customHeight="1" outlineLevel="3" x14ac:dyDescent="0.2">
      <c r="A20908" s="14" t="s">
        <v>41154</v>
      </c>
      <c r="B20908" s="15" t="s">
        <v>41155</v>
      </c>
      <c r="C20908" s="19">
        <f>1116.95/(1+B2)</f>
        <v>1116.95</v>
      </c>
      <c r="D20908" s="17" t="s">
        <v>11</v>
      </c>
      <c r="E20908" s="17"/>
      <c r="F20908" s="18"/>
      <c r="G20908" s="36" t="str">
        <f>IF(ISNUMBER(F20908),C20908*F20908,"")</f>
        <v/>
      </c>
    </row>
    <row r="20909" spans="1:7" ht="12" customHeight="1" outlineLevel="3" x14ac:dyDescent="0.2">
      <c r="A20909" s="14" t="s">
        <v>41156</v>
      </c>
      <c r="B20909" s="15" t="s">
        <v>41157</v>
      </c>
      <c r="C20909" s="19">
        <f>1328.47/(1+B2)</f>
        <v>1328.47</v>
      </c>
      <c r="D20909" s="17" t="s">
        <v>11</v>
      </c>
      <c r="E20909" s="17" t="s">
        <v>11</v>
      </c>
      <c r="F20909" s="18"/>
      <c r="G20909" s="36" t="str">
        <f>IF(ISNUMBER(F20909),C20909*F20909,"")</f>
        <v/>
      </c>
    </row>
    <row r="20910" spans="1:7" ht="12" customHeight="1" outlineLevel="3" x14ac:dyDescent="0.2">
      <c r="A20910" s="14" t="s">
        <v>41158</v>
      </c>
      <c r="B20910" s="15" t="s">
        <v>41159</v>
      </c>
      <c r="C20910" s="19">
        <f>1116.95/(1+B2)</f>
        <v>1116.95</v>
      </c>
      <c r="D20910" s="17" t="s">
        <v>11</v>
      </c>
      <c r="E20910" s="17" t="s">
        <v>11</v>
      </c>
      <c r="F20910" s="18"/>
      <c r="G20910" s="36" t="str">
        <f>IF(ISNUMBER(F20910),C20910*F20910,"")</f>
        <v/>
      </c>
    </row>
    <row r="20911" spans="1:7" ht="12" customHeight="1" outlineLevel="3" x14ac:dyDescent="0.2">
      <c r="A20911" s="14" t="s">
        <v>41160</v>
      </c>
      <c r="B20911" s="15" t="s">
        <v>41161</v>
      </c>
      <c r="C20911" s="19">
        <f>2500.93/(1+B2)</f>
        <v>2500.9299999999998</v>
      </c>
      <c r="D20911" s="17" t="s">
        <v>11</v>
      </c>
      <c r="E20911" s="17"/>
      <c r="F20911" s="18"/>
      <c r="G20911" s="36" t="str">
        <f>IF(ISNUMBER(F20911),C20911*F20911,"")</f>
        <v/>
      </c>
    </row>
    <row r="20912" spans="1:7" ht="12" customHeight="1" outlineLevel="3" x14ac:dyDescent="0.2">
      <c r="A20912" s="14" t="s">
        <v>41162</v>
      </c>
      <c r="B20912" s="15" t="s">
        <v>41163</v>
      </c>
      <c r="C20912" s="19">
        <f>3419.98/(1+B2)</f>
        <v>3419.98</v>
      </c>
      <c r="D20912" s="17" t="s">
        <v>11</v>
      </c>
      <c r="E20912" s="17"/>
      <c r="F20912" s="18"/>
      <c r="G20912" s="36" t="str">
        <f>IF(ISNUMBER(F20912),C20912*F20912,"")</f>
        <v/>
      </c>
    </row>
    <row r="20913" spans="1:7" ht="12" customHeight="1" outlineLevel="3" x14ac:dyDescent="0.2">
      <c r="A20913" s="14" t="s">
        <v>41164</v>
      </c>
      <c r="B20913" s="15" t="s">
        <v>41165</v>
      </c>
      <c r="C20913" s="19">
        <f>1251.38/(1+B2)</f>
        <v>1251.3800000000001</v>
      </c>
      <c r="D20913" s="17" t="s">
        <v>11</v>
      </c>
      <c r="E20913" s="17"/>
      <c r="F20913" s="18"/>
      <c r="G20913" s="36" t="str">
        <f>IF(ISNUMBER(F20913),C20913*F20913,"")</f>
        <v/>
      </c>
    </row>
    <row r="20914" spans="1:7" ht="12" customHeight="1" outlineLevel="3" x14ac:dyDescent="0.2">
      <c r="A20914" s="14" t="s">
        <v>41166</v>
      </c>
      <c r="B20914" s="15" t="s">
        <v>41167</v>
      </c>
      <c r="C20914" s="19">
        <f>1438.8/(1+B2)</f>
        <v>1438.8</v>
      </c>
      <c r="D20914" s="17" t="s">
        <v>11</v>
      </c>
      <c r="E20914" s="17"/>
      <c r="F20914" s="18"/>
      <c r="G20914" s="36" t="str">
        <f>IF(ISNUMBER(F20914),C20914*F20914,"")</f>
        <v/>
      </c>
    </row>
    <row r="20915" spans="1:7" ht="12" customHeight="1" outlineLevel="3" x14ac:dyDescent="0.2">
      <c r="A20915" s="14" t="s">
        <v>41168</v>
      </c>
      <c r="B20915" s="15" t="s">
        <v>41169</v>
      </c>
      <c r="C20915" s="19">
        <f>1231.15/(1+B2)</f>
        <v>1231.1500000000001</v>
      </c>
      <c r="D20915" s="17" t="s">
        <v>11</v>
      </c>
      <c r="E20915" s="17" t="s">
        <v>11</v>
      </c>
      <c r="F20915" s="18"/>
      <c r="G20915" s="36" t="str">
        <f>IF(ISNUMBER(F20915),C20915*F20915,"")</f>
        <v/>
      </c>
    </row>
    <row r="20916" spans="1:7" ht="12" customHeight="1" outlineLevel="3" x14ac:dyDescent="0.2">
      <c r="A20916" s="14" t="s">
        <v>41170</v>
      </c>
      <c r="B20916" s="15" t="s">
        <v>41171</v>
      </c>
      <c r="C20916" s="19">
        <f>1366.05/(1+B2)</f>
        <v>1366.05</v>
      </c>
      <c r="D20916" s="17" t="s">
        <v>11</v>
      </c>
      <c r="E20916" s="17" t="s">
        <v>11</v>
      </c>
      <c r="F20916" s="18"/>
      <c r="G20916" s="36" t="str">
        <f>IF(ISNUMBER(F20916),C20916*F20916,"")</f>
        <v/>
      </c>
    </row>
    <row r="20917" spans="1:7" ht="12" customHeight="1" outlineLevel="3" x14ac:dyDescent="0.2">
      <c r="A20917" s="14" t="s">
        <v>41172</v>
      </c>
      <c r="B20917" s="15" t="s">
        <v>41173</v>
      </c>
      <c r="C20917" s="19">
        <f>1099.83/(1+B2)</f>
        <v>1099.83</v>
      </c>
      <c r="D20917" s="17" t="s">
        <v>11</v>
      </c>
      <c r="E20917" s="17"/>
      <c r="F20917" s="18"/>
      <c r="G20917" s="36" t="str">
        <f>IF(ISNUMBER(F20917),C20917*F20917,"")</f>
        <v/>
      </c>
    </row>
    <row r="20918" spans="1:7" s="1" customFormat="1" ht="12.95" customHeight="1" outlineLevel="2" x14ac:dyDescent="0.2">
      <c r="A20918" s="20"/>
      <c r="B20918" s="21" t="s">
        <v>41174</v>
      </c>
      <c r="C20918" s="22"/>
      <c r="D20918" s="22"/>
      <c r="E20918" s="22"/>
      <c r="F20918" s="22"/>
      <c r="G20918" s="37"/>
    </row>
    <row r="20919" spans="1:7" ht="12" customHeight="1" outlineLevel="3" x14ac:dyDescent="0.2">
      <c r="A20919" s="14" t="s">
        <v>41175</v>
      </c>
      <c r="B20919" s="15" t="s">
        <v>41176</v>
      </c>
      <c r="C20919" s="19">
        <f>1631.02/(1+B2)</f>
        <v>1631.02</v>
      </c>
      <c r="D20919" s="17" t="s">
        <v>11</v>
      </c>
      <c r="E20919" s="17"/>
      <c r="F20919" s="18"/>
      <c r="G20919" s="36" t="str">
        <f>IF(ISNUMBER(F20919),C20919*F20919,"")</f>
        <v/>
      </c>
    </row>
    <row r="20920" spans="1:7" ht="12" customHeight="1" outlineLevel="3" x14ac:dyDescent="0.2">
      <c r="A20920" s="14" t="s">
        <v>41177</v>
      </c>
      <c r="B20920" s="15" t="s">
        <v>41178</v>
      </c>
      <c r="C20920" s="19">
        <f>1619.7/(1+B2)</f>
        <v>1619.7</v>
      </c>
      <c r="D20920" s="17" t="s">
        <v>11</v>
      </c>
      <c r="E20920" s="17" t="s">
        <v>11</v>
      </c>
      <c r="F20920" s="18"/>
      <c r="G20920" s="36" t="str">
        <f>IF(ISNUMBER(F20920),C20920*F20920,"")</f>
        <v/>
      </c>
    </row>
    <row r="20921" spans="1:7" ht="12" customHeight="1" outlineLevel="3" x14ac:dyDescent="0.2">
      <c r="A20921" s="14" t="s">
        <v>41179</v>
      </c>
      <c r="B20921" s="15" t="s">
        <v>41180</v>
      </c>
      <c r="C20921" s="19">
        <f>2343.59/(1+B2)</f>
        <v>2343.59</v>
      </c>
      <c r="D20921" s="17" t="s">
        <v>11</v>
      </c>
      <c r="E20921" s="17"/>
      <c r="F20921" s="18"/>
      <c r="G20921" s="36" t="str">
        <f>IF(ISNUMBER(F20921),C20921*F20921,"")</f>
        <v/>
      </c>
    </row>
    <row r="20922" spans="1:7" ht="12" customHeight="1" outlineLevel="3" x14ac:dyDescent="0.2">
      <c r="A20922" s="14" t="s">
        <v>41181</v>
      </c>
      <c r="B20922" s="15" t="s">
        <v>41182</v>
      </c>
      <c r="C20922" s="19">
        <f>2477.5/(1+B2)</f>
        <v>2477.5</v>
      </c>
      <c r="D20922" s="17" t="s">
        <v>11</v>
      </c>
      <c r="E20922" s="17" t="s">
        <v>11</v>
      </c>
      <c r="F20922" s="18"/>
      <c r="G20922" s="36" t="str">
        <f>IF(ISNUMBER(F20922),C20922*F20922,"")</f>
        <v/>
      </c>
    </row>
    <row r="20923" spans="1:7" ht="12" customHeight="1" outlineLevel="3" x14ac:dyDescent="0.2">
      <c r="A20923" s="14" t="s">
        <v>41183</v>
      </c>
      <c r="B20923" s="15" t="s">
        <v>41184</v>
      </c>
      <c r="C20923" s="19">
        <f>2008.79/(1+B2)</f>
        <v>2008.79</v>
      </c>
      <c r="D20923" s="17" t="s">
        <v>11</v>
      </c>
      <c r="E20923" s="17"/>
      <c r="F20923" s="18"/>
      <c r="G20923" s="36" t="str">
        <f>IF(ISNUMBER(F20923),C20923*F20923,"")</f>
        <v/>
      </c>
    </row>
    <row r="20924" spans="1:7" ht="12" customHeight="1" outlineLevel="3" x14ac:dyDescent="0.2">
      <c r="A20924" s="14" t="s">
        <v>41185</v>
      </c>
      <c r="B20924" s="15" t="s">
        <v>41186</v>
      </c>
      <c r="C20924" s="19">
        <f>1657.85/(1+B2)</f>
        <v>1657.85</v>
      </c>
      <c r="D20924" s="17" t="s">
        <v>11</v>
      </c>
      <c r="E20924" s="17" t="s">
        <v>11</v>
      </c>
      <c r="F20924" s="18"/>
      <c r="G20924" s="36" t="str">
        <f>IF(ISNUMBER(F20924),C20924*F20924,"")</f>
        <v/>
      </c>
    </row>
    <row r="20925" spans="1:7" ht="12" customHeight="1" outlineLevel="3" x14ac:dyDescent="0.2">
      <c r="A20925" s="14" t="s">
        <v>41187</v>
      </c>
      <c r="B20925" s="15" t="s">
        <v>41188</v>
      </c>
      <c r="C20925" s="16">
        <f>737.36/(1+B2)</f>
        <v>737.36</v>
      </c>
      <c r="D20925" s="17" t="s">
        <v>11</v>
      </c>
      <c r="E20925" s="17"/>
      <c r="F20925" s="18"/>
      <c r="G20925" s="36" t="str">
        <f>IF(ISNUMBER(F20925),C20925*F20925,"")</f>
        <v/>
      </c>
    </row>
    <row r="20926" spans="1:7" ht="12" customHeight="1" outlineLevel="3" x14ac:dyDescent="0.2">
      <c r="A20926" s="14" t="s">
        <v>41189</v>
      </c>
      <c r="B20926" s="15" t="s">
        <v>41190</v>
      </c>
      <c r="C20926" s="16">
        <f>792.44/(1+B2)</f>
        <v>792.44</v>
      </c>
      <c r="D20926" s="17" t="s">
        <v>11</v>
      </c>
      <c r="E20926" s="17" t="s">
        <v>11</v>
      </c>
      <c r="F20926" s="18"/>
      <c r="G20926" s="36" t="str">
        <f>IF(ISNUMBER(F20926),C20926*F20926,"")</f>
        <v/>
      </c>
    </row>
    <row r="20927" spans="1:7" ht="12" customHeight="1" outlineLevel="3" x14ac:dyDescent="0.2">
      <c r="A20927" s="14" t="s">
        <v>41191</v>
      </c>
      <c r="B20927" s="15" t="s">
        <v>41192</v>
      </c>
      <c r="C20927" s="16">
        <f>852.09/(1+B2)</f>
        <v>852.09</v>
      </c>
      <c r="D20927" s="17" t="s">
        <v>11</v>
      </c>
      <c r="E20927" s="17" t="s">
        <v>11</v>
      </c>
      <c r="F20927" s="18"/>
      <c r="G20927" s="36" t="str">
        <f>IF(ISNUMBER(F20927),C20927*F20927,"")</f>
        <v/>
      </c>
    </row>
    <row r="20928" spans="1:7" ht="24" customHeight="1" outlineLevel="3" x14ac:dyDescent="0.2">
      <c r="A20928" s="14" t="s">
        <v>41193</v>
      </c>
      <c r="B20928" s="15" t="s">
        <v>41194</v>
      </c>
      <c r="C20928" s="16">
        <f>990.69/(1+B2)</f>
        <v>990.69</v>
      </c>
      <c r="D20928" s="17" t="s">
        <v>11</v>
      </c>
      <c r="E20928" s="17"/>
      <c r="F20928" s="18"/>
      <c r="G20928" s="36" t="str">
        <f>IF(ISNUMBER(F20928),C20928*F20928,"")</f>
        <v/>
      </c>
    </row>
    <row r="20929" spans="1:7" ht="12" customHeight="1" outlineLevel="3" x14ac:dyDescent="0.2">
      <c r="A20929" s="14" t="s">
        <v>41195</v>
      </c>
      <c r="B20929" s="15" t="s">
        <v>41196</v>
      </c>
      <c r="C20929" s="16">
        <f>777.98/(1+B2)</f>
        <v>777.98</v>
      </c>
      <c r="D20929" s="17" t="s">
        <v>11</v>
      </c>
      <c r="E20929" s="17"/>
      <c r="F20929" s="18"/>
      <c r="G20929" s="36" t="str">
        <f>IF(ISNUMBER(F20929),C20929*F20929,"")</f>
        <v/>
      </c>
    </row>
    <row r="20930" spans="1:7" ht="12" customHeight="1" outlineLevel="3" x14ac:dyDescent="0.2">
      <c r="A20930" s="14" t="s">
        <v>41197</v>
      </c>
      <c r="B20930" s="15" t="s">
        <v>41198</v>
      </c>
      <c r="C20930" s="16">
        <f>927.64/(1+B2)</f>
        <v>927.64</v>
      </c>
      <c r="D20930" s="17" t="s">
        <v>11</v>
      </c>
      <c r="E20930" s="17"/>
      <c r="F20930" s="18"/>
      <c r="G20930" s="36" t="str">
        <f>IF(ISNUMBER(F20930),C20930*F20930,"")</f>
        <v/>
      </c>
    </row>
    <row r="20931" spans="1:7" ht="12" customHeight="1" outlineLevel="3" x14ac:dyDescent="0.2">
      <c r="A20931" s="14" t="s">
        <v>41199</v>
      </c>
      <c r="B20931" s="15" t="s">
        <v>41200</v>
      </c>
      <c r="C20931" s="16">
        <f>736.71/(1+B2)</f>
        <v>736.71</v>
      </c>
      <c r="D20931" s="17" t="s">
        <v>11</v>
      </c>
      <c r="E20931" s="17" t="s">
        <v>11</v>
      </c>
      <c r="F20931" s="18"/>
      <c r="G20931" s="36" t="str">
        <f>IF(ISNUMBER(F20931),C20931*F20931,"")</f>
        <v/>
      </c>
    </row>
    <row r="20932" spans="1:7" ht="12" customHeight="1" outlineLevel="3" x14ac:dyDescent="0.2">
      <c r="A20932" s="14" t="s">
        <v>41201</v>
      </c>
      <c r="B20932" s="15" t="s">
        <v>41202</v>
      </c>
      <c r="C20932" s="16">
        <f>996.94/(1+B2)</f>
        <v>996.94</v>
      </c>
      <c r="D20932" s="17" t="s">
        <v>11</v>
      </c>
      <c r="E20932" s="17" t="s">
        <v>11</v>
      </c>
      <c r="F20932" s="18"/>
      <c r="G20932" s="36" t="str">
        <f>IF(ISNUMBER(F20932),C20932*F20932,"")</f>
        <v/>
      </c>
    </row>
    <row r="20933" spans="1:7" ht="12" customHeight="1" outlineLevel="3" x14ac:dyDescent="0.2">
      <c r="A20933" s="14" t="s">
        <v>41203</v>
      </c>
      <c r="B20933" s="15" t="s">
        <v>41204</v>
      </c>
      <c r="C20933" s="16">
        <f>926.93/(1+B2)</f>
        <v>926.93</v>
      </c>
      <c r="D20933" s="17" t="s">
        <v>11</v>
      </c>
      <c r="E20933" s="17" t="s">
        <v>11</v>
      </c>
      <c r="F20933" s="18"/>
      <c r="G20933" s="36" t="str">
        <f>IF(ISNUMBER(F20933),C20933*F20933,"")</f>
        <v/>
      </c>
    </row>
    <row r="20934" spans="1:7" ht="12" customHeight="1" outlineLevel="3" x14ac:dyDescent="0.2">
      <c r="A20934" s="14" t="s">
        <v>41205</v>
      </c>
      <c r="B20934" s="15" t="s">
        <v>41206</v>
      </c>
      <c r="C20934" s="16">
        <f>726.52/(1+B2)</f>
        <v>726.52</v>
      </c>
      <c r="D20934" s="17" t="s">
        <v>11</v>
      </c>
      <c r="E20934" s="17"/>
      <c r="F20934" s="18"/>
      <c r="G20934" s="36" t="str">
        <f>IF(ISNUMBER(F20934),C20934*F20934,"")</f>
        <v/>
      </c>
    </row>
    <row r="20935" spans="1:7" ht="12" customHeight="1" outlineLevel="3" x14ac:dyDescent="0.2">
      <c r="A20935" s="14" t="s">
        <v>41207</v>
      </c>
      <c r="B20935" s="15" t="s">
        <v>41208</v>
      </c>
      <c r="C20935" s="19">
        <f>1399.85/(1+B2)</f>
        <v>1399.85</v>
      </c>
      <c r="D20935" s="17" t="s">
        <v>11</v>
      </c>
      <c r="E20935" s="17" t="s">
        <v>11</v>
      </c>
      <c r="F20935" s="18"/>
      <c r="G20935" s="36" t="str">
        <f>IF(ISNUMBER(F20935),C20935*F20935,"")</f>
        <v/>
      </c>
    </row>
    <row r="20936" spans="1:7" ht="12" customHeight="1" outlineLevel="3" x14ac:dyDescent="0.2">
      <c r="A20936" s="14" t="s">
        <v>41209</v>
      </c>
      <c r="B20936" s="15" t="s">
        <v>41210</v>
      </c>
      <c r="C20936" s="19">
        <f>1399.85/(1+B2)</f>
        <v>1399.85</v>
      </c>
      <c r="D20936" s="17" t="s">
        <v>11</v>
      </c>
      <c r="E20936" s="17" t="s">
        <v>11</v>
      </c>
      <c r="F20936" s="18"/>
      <c r="G20936" s="36" t="str">
        <f>IF(ISNUMBER(F20936),C20936*F20936,"")</f>
        <v/>
      </c>
    </row>
    <row r="20937" spans="1:7" ht="12" customHeight="1" outlineLevel="3" x14ac:dyDescent="0.2">
      <c r="A20937" s="14" t="s">
        <v>41211</v>
      </c>
      <c r="B20937" s="15" t="s">
        <v>41212</v>
      </c>
      <c r="C20937" s="19">
        <f>1302.55/(1+B2)</f>
        <v>1302.55</v>
      </c>
      <c r="D20937" s="17" t="s">
        <v>11</v>
      </c>
      <c r="E20937" s="17" t="s">
        <v>11</v>
      </c>
      <c r="F20937" s="18"/>
      <c r="G20937" s="36" t="str">
        <f>IF(ISNUMBER(F20937),C20937*F20937,"")</f>
        <v/>
      </c>
    </row>
    <row r="20938" spans="1:7" ht="12" customHeight="1" outlineLevel="3" x14ac:dyDescent="0.2">
      <c r="A20938" s="14" t="s">
        <v>41213</v>
      </c>
      <c r="B20938" s="15" t="s">
        <v>41214</v>
      </c>
      <c r="C20938" s="16">
        <f>726.52/(1+B2)</f>
        <v>726.52</v>
      </c>
      <c r="D20938" s="17" t="s">
        <v>11</v>
      </c>
      <c r="E20938" s="17"/>
      <c r="F20938" s="18"/>
      <c r="G20938" s="36" t="str">
        <f>IF(ISNUMBER(F20938),C20938*F20938,"")</f>
        <v/>
      </c>
    </row>
    <row r="20939" spans="1:7" ht="12" customHeight="1" outlineLevel="3" x14ac:dyDescent="0.2">
      <c r="A20939" s="14" t="s">
        <v>41215</v>
      </c>
      <c r="B20939" s="15" t="s">
        <v>41216</v>
      </c>
      <c r="C20939" s="16">
        <f>777.98/(1+B2)</f>
        <v>777.98</v>
      </c>
      <c r="D20939" s="17" t="s">
        <v>11</v>
      </c>
      <c r="E20939" s="17"/>
      <c r="F20939" s="18"/>
      <c r="G20939" s="36" t="str">
        <f>IF(ISNUMBER(F20939),C20939*F20939,"")</f>
        <v/>
      </c>
    </row>
    <row r="20940" spans="1:7" ht="12" customHeight="1" outlineLevel="3" x14ac:dyDescent="0.2">
      <c r="A20940" s="14" t="s">
        <v>41217</v>
      </c>
      <c r="B20940" s="15" t="s">
        <v>41218</v>
      </c>
      <c r="C20940" s="16">
        <f>737.36/(1+B2)</f>
        <v>737.36</v>
      </c>
      <c r="D20940" s="17" t="s">
        <v>11</v>
      </c>
      <c r="E20940" s="17" t="s">
        <v>14</v>
      </c>
      <c r="F20940" s="18"/>
      <c r="G20940" s="36" t="str">
        <f>IF(ISNUMBER(F20940),C20940*F20940,"")</f>
        <v/>
      </c>
    </row>
    <row r="20941" spans="1:7" ht="24" customHeight="1" outlineLevel="3" x14ac:dyDescent="0.2">
      <c r="A20941" s="14" t="s">
        <v>41219</v>
      </c>
      <c r="B20941" s="15" t="s">
        <v>41220</v>
      </c>
      <c r="C20941" s="19">
        <f>1432.85/(1+B2)</f>
        <v>1432.85</v>
      </c>
      <c r="D20941" s="17" t="s">
        <v>11</v>
      </c>
      <c r="E20941" s="17" t="s">
        <v>11</v>
      </c>
      <c r="F20941" s="18"/>
      <c r="G20941" s="36" t="str">
        <f>IF(ISNUMBER(F20941),C20941*F20941,"")</f>
        <v/>
      </c>
    </row>
    <row r="20942" spans="1:7" ht="24" customHeight="1" outlineLevel="3" x14ac:dyDescent="0.2">
      <c r="A20942" s="14" t="s">
        <v>41221</v>
      </c>
      <c r="B20942" s="15" t="s">
        <v>41222</v>
      </c>
      <c r="C20942" s="19">
        <f>1432.85/(1+B2)</f>
        <v>1432.85</v>
      </c>
      <c r="D20942" s="17" t="s">
        <v>11</v>
      </c>
      <c r="E20942" s="17"/>
      <c r="F20942" s="18"/>
      <c r="G20942" s="36" t="str">
        <f>IF(ISNUMBER(F20942),C20942*F20942,"")</f>
        <v/>
      </c>
    </row>
    <row r="20943" spans="1:7" ht="24" customHeight="1" outlineLevel="3" x14ac:dyDescent="0.2">
      <c r="A20943" s="14" t="s">
        <v>41223</v>
      </c>
      <c r="B20943" s="15" t="s">
        <v>41224</v>
      </c>
      <c r="C20943" s="19">
        <f>1432.85/(1+B2)</f>
        <v>1432.85</v>
      </c>
      <c r="D20943" s="17" t="s">
        <v>11</v>
      </c>
      <c r="E20943" s="17" t="s">
        <v>11</v>
      </c>
      <c r="F20943" s="18"/>
      <c r="G20943" s="36" t="str">
        <f>IF(ISNUMBER(F20943),C20943*F20943,"")</f>
        <v/>
      </c>
    </row>
    <row r="20944" spans="1:7" ht="24" customHeight="1" outlineLevel="3" x14ac:dyDescent="0.2">
      <c r="A20944" s="14" t="s">
        <v>41225</v>
      </c>
      <c r="B20944" s="15" t="s">
        <v>41226</v>
      </c>
      <c r="C20944" s="19">
        <f>1432.85/(1+B2)</f>
        <v>1432.85</v>
      </c>
      <c r="D20944" s="17" t="s">
        <v>11</v>
      </c>
      <c r="E20944" s="17"/>
      <c r="F20944" s="18"/>
      <c r="G20944" s="36" t="str">
        <f>IF(ISNUMBER(F20944),C20944*F20944,"")</f>
        <v/>
      </c>
    </row>
    <row r="20945" spans="1:7" ht="24" customHeight="1" outlineLevel="3" x14ac:dyDescent="0.2">
      <c r="A20945" s="14" t="s">
        <v>41227</v>
      </c>
      <c r="B20945" s="15" t="s">
        <v>41228</v>
      </c>
      <c r="C20945" s="19">
        <f>1432.85/(1+B2)</f>
        <v>1432.85</v>
      </c>
      <c r="D20945" s="17" t="s">
        <v>11</v>
      </c>
      <c r="E20945" s="17" t="s">
        <v>11</v>
      </c>
      <c r="F20945" s="18"/>
      <c r="G20945" s="36" t="str">
        <f>IF(ISNUMBER(F20945),C20945*F20945,"")</f>
        <v/>
      </c>
    </row>
    <row r="20946" spans="1:7" ht="12" customHeight="1" outlineLevel="3" x14ac:dyDescent="0.2">
      <c r="A20946" s="14" t="s">
        <v>41229</v>
      </c>
      <c r="B20946" s="15" t="s">
        <v>41230</v>
      </c>
      <c r="C20946" s="19">
        <f>1704.16/(1+B2)</f>
        <v>1704.16</v>
      </c>
      <c r="D20946" s="17" t="s">
        <v>11</v>
      </c>
      <c r="E20946" s="17" t="s">
        <v>11</v>
      </c>
      <c r="F20946" s="18"/>
      <c r="G20946" s="36" t="str">
        <f>IF(ISNUMBER(F20946),C20946*F20946,"")</f>
        <v/>
      </c>
    </row>
    <row r="20947" spans="1:7" ht="12" customHeight="1" outlineLevel="3" x14ac:dyDescent="0.2">
      <c r="A20947" s="14" t="s">
        <v>41231</v>
      </c>
      <c r="B20947" s="15" t="s">
        <v>41232</v>
      </c>
      <c r="C20947" s="19">
        <f>1680.25/(1+B2)</f>
        <v>1680.25</v>
      </c>
      <c r="D20947" s="17" t="s">
        <v>11</v>
      </c>
      <c r="E20947" s="17"/>
      <c r="F20947" s="18"/>
      <c r="G20947" s="36" t="str">
        <f>IF(ISNUMBER(F20947),C20947*F20947,"")</f>
        <v/>
      </c>
    </row>
    <row r="20948" spans="1:7" ht="12" customHeight="1" outlineLevel="3" x14ac:dyDescent="0.2">
      <c r="A20948" s="14" t="s">
        <v>41233</v>
      </c>
      <c r="B20948" s="15" t="s">
        <v>41234</v>
      </c>
      <c r="C20948" s="19">
        <f>1692.26/(1+B2)</f>
        <v>1692.26</v>
      </c>
      <c r="D20948" s="17" t="s">
        <v>11</v>
      </c>
      <c r="E20948" s="17" t="s">
        <v>11</v>
      </c>
      <c r="F20948" s="18"/>
      <c r="G20948" s="36" t="str">
        <f>IF(ISNUMBER(F20948),C20948*F20948,"")</f>
        <v/>
      </c>
    </row>
    <row r="20949" spans="1:7" ht="24" customHeight="1" outlineLevel="3" x14ac:dyDescent="0.2">
      <c r="A20949" s="14" t="s">
        <v>41235</v>
      </c>
      <c r="B20949" s="15" t="s">
        <v>41236</v>
      </c>
      <c r="C20949" s="19">
        <f>1772.33/(1+B2)</f>
        <v>1772.33</v>
      </c>
      <c r="D20949" s="17" t="s">
        <v>11</v>
      </c>
      <c r="E20949" s="17" t="s">
        <v>11</v>
      </c>
      <c r="F20949" s="18"/>
      <c r="G20949" s="36" t="str">
        <f>IF(ISNUMBER(F20949),C20949*F20949,"")</f>
        <v/>
      </c>
    </row>
    <row r="20950" spans="1:7" ht="24" customHeight="1" outlineLevel="3" x14ac:dyDescent="0.2">
      <c r="A20950" s="14" t="s">
        <v>41237</v>
      </c>
      <c r="B20950" s="15" t="s">
        <v>41238</v>
      </c>
      <c r="C20950" s="19">
        <f>1649.14/(1+B2)</f>
        <v>1649.14</v>
      </c>
      <c r="D20950" s="17" t="s">
        <v>11</v>
      </c>
      <c r="E20950" s="17"/>
      <c r="F20950" s="18"/>
      <c r="G20950" s="36" t="str">
        <f>IF(ISNUMBER(F20950),C20950*F20950,"")</f>
        <v/>
      </c>
    </row>
    <row r="20951" spans="1:7" ht="24" customHeight="1" outlineLevel="3" x14ac:dyDescent="0.2">
      <c r="A20951" s="14" t="s">
        <v>41239</v>
      </c>
      <c r="B20951" s="15" t="s">
        <v>41240</v>
      </c>
      <c r="C20951" s="19">
        <f>1739.98/(1+B2)</f>
        <v>1739.98</v>
      </c>
      <c r="D20951" s="17" t="s">
        <v>11</v>
      </c>
      <c r="E20951" s="17"/>
      <c r="F20951" s="18"/>
      <c r="G20951" s="36" t="str">
        <f>IF(ISNUMBER(F20951),C20951*F20951,"")</f>
        <v/>
      </c>
    </row>
    <row r="20952" spans="1:7" ht="12" customHeight="1" outlineLevel="3" x14ac:dyDescent="0.2">
      <c r="A20952" s="14" t="s">
        <v>41241</v>
      </c>
      <c r="B20952" s="15" t="s">
        <v>41242</v>
      </c>
      <c r="C20952" s="19">
        <f>1338.08/(1+B2)</f>
        <v>1338.08</v>
      </c>
      <c r="D20952" s="17" t="s">
        <v>11</v>
      </c>
      <c r="E20952" s="17"/>
      <c r="F20952" s="18"/>
      <c r="G20952" s="36" t="str">
        <f>IF(ISNUMBER(F20952),C20952*F20952,"")</f>
        <v/>
      </c>
    </row>
    <row r="20953" spans="1:7" ht="12" customHeight="1" outlineLevel="3" x14ac:dyDescent="0.2">
      <c r="A20953" s="14" t="s">
        <v>41243</v>
      </c>
      <c r="B20953" s="15" t="s">
        <v>41244</v>
      </c>
      <c r="C20953" s="19">
        <f>1338.08/(1+B2)</f>
        <v>1338.08</v>
      </c>
      <c r="D20953" s="17" t="s">
        <v>11</v>
      </c>
      <c r="E20953" s="17" t="s">
        <v>11</v>
      </c>
      <c r="F20953" s="18"/>
      <c r="G20953" s="36" t="str">
        <f>IF(ISNUMBER(F20953),C20953*F20953,"")</f>
        <v/>
      </c>
    </row>
    <row r="20954" spans="1:7" ht="12" customHeight="1" outlineLevel="3" x14ac:dyDescent="0.2">
      <c r="A20954" s="14" t="s">
        <v>41245</v>
      </c>
      <c r="B20954" s="15" t="s">
        <v>41246</v>
      </c>
      <c r="C20954" s="19">
        <f>1338.08/(1+B2)</f>
        <v>1338.08</v>
      </c>
      <c r="D20954" s="17" t="s">
        <v>11</v>
      </c>
      <c r="E20954" s="17" t="s">
        <v>11</v>
      </c>
      <c r="F20954" s="18"/>
      <c r="G20954" s="36" t="str">
        <f>IF(ISNUMBER(F20954),C20954*F20954,"")</f>
        <v/>
      </c>
    </row>
    <row r="20955" spans="1:7" ht="12" customHeight="1" outlineLevel="3" x14ac:dyDescent="0.2">
      <c r="A20955" s="14" t="s">
        <v>41247</v>
      </c>
      <c r="B20955" s="15" t="s">
        <v>41248</v>
      </c>
      <c r="C20955" s="19">
        <f>1358.05/(1+B2)</f>
        <v>1358.05</v>
      </c>
      <c r="D20955" s="17" t="s">
        <v>11</v>
      </c>
      <c r="E20955" s="17" t="s">
        <v>11</v>
      </c>
      <c r="F20955" s="18"/>
      <c r="G20955" s="36" t="str">
        <f>IF(ISNUMBER(F20955),C20955*F20955,"")</f>
        <v/>
      </c>
    </row>
    <row r="20956" spans="1:7" ht="12" customHeight="1" outlineLevel="3" x14ac:dyDescent="0.2">
      <c r="A20956" s="14" t="s">
        <v>41249</v>
      </c>
      <c r="B20956" s="15" t="s">
        <v>41250</v>
      </c>
      <c r="C20956" s="19">
        <f>1342.64/(1+B2)</f>
        <v>1342.64</v>
      </c>
      <c r="D20956" s="17" t="s">
        <v>11</v>
      </c>
      <c r="E20956" s="17"/>
      <c r="F20956" s="18"/>
      <c r="G20956" s="36" t="str">
        <f>IF(ISNUMBER(F20956),C20956*F20956,"")</f>
        <v/>
      </c>
    </row>
    <row r="20957" spans="1:7" ht="12" customHeight="1" outlineLevel="3" x14ac:dyDescent="0.2">
      <c r="A20957" s="14" t="s">
        <v>41251</v>
      </c>
      <c r="B20957" s="15" t="s">
        <v>41252</v>
      </c>
      <c r="C20957" s="19">
        <f>1342.64/(1+B2)</f>
        <v>1342.64</v>
      </c>
      <c r="D20957" s="17"/>
      <c r="E20957" s="17" t="s">
        <v>11</v>
      </c>
      <c r="F20957" s="18"/>
      <c r="G20957" s="36" t="str">
        <f>IF(ISNUMBER(F20957),C20957*F20957,"")</f>
        <v/>
      </c>
    </row>
    <row r="20958" spans="1:7" ht="12" customHeight="1" outlineLevel="3" x14ac:dyDescent="0.2">
      <c r="A20958" s="14" t="s">
        <v>41253</v>
      </c>
      <c r="B20958" s="15" t="s">
        <v>41254</v>
      </c>
      <c r="C20958" s="19">
        <f>1594.61/(1+B2)</f>
        <v>1594.61</v>
      </c>
      <c r="D20958" s="17" t="s">
        <v>11</v>
      </c>
      <c r="E20958" s="17" t="s">
        <v>11</v>
      </c>
      <c r="F20958" s="18"/>
      <c r="G20958" s="36" t="str">
        <f>IF(ISNUMBER(F20958),C20958*F20958,"")</f>
        <v/>
      </c>
    </row>
    <row r="20959" spans="1:7" ht="12" customHeight="1" outlineLevel="3" x14ac:dyDescent="0.2">
      <c r="A20959" s="14" t="s">
        <v>41255</v>
      </c>
      <c r="B20959" s="15" t="s">
        <v>41256</v>
      </c>
      <c r="C20959" s="19">
        <f>1641.21/(1+B2)</f>
        <v>1641.21</v>
      </c>
      <c r="D20959" s="17" t="s">
        <v>11</v>
      </c>
      <c r="E20959" s="17"/>
      <c r="F20959" s="18"/>
      <c r="G20959" s="36" t="str">
        <f>IF(ISNUMBER(F20959),C20959*F20959,"")</f>
        <v/>
      </c>
    </row>
    <row r="20960" spans="1:7" ht="24" customHeight="1" outlineLevel="3" x14ac:dyDescent="0.2">
      <c r="A20960" s="14" t="s">
        <v>41257</v>
      </c>
      <c r="B20960" s="15" t="s">
        <v>41258</v>
      </c>
      <c r="C20960" s="19">
        <f>1905.01/(1+B2)</f>
        <v>1905.01</v>
      </c>
      <c r="D20960" s="17" t="s">
        <v>11</v>
      </c>
      <c r="E20960" s="17" t="s">
        <v>11</v>
      </c>
      <c r="F20960" s="18"/>
      <c r="G20960" s="36" t="str">
        <f>IF(ISNUMBER(F20960),C20960*F20960,"")</f>
        <v/>
      </c>
    </row>
    <row r="20961" spans="1:7" ht="24" customHeight="1" outlineLevel="3" x14ac:dyDescent="0.2">
      <c r="A20961" s="14" t="s">
        <v>41259</v>
      </c>
      <c r="B20961" s="15" t="s">
        <v>41260</v>
      </c>
      <c r="C20961" s="19">
        <f>3387.96/(1+B2)</f>
        <v>3387.96</v>
      </c>
      <c r="D20961" s="17" t="s">
        <v>11</v>
      </c>
      <c r="E20961" s="17"/>
      <c r="F20961" s="18"/>
      <c r="G20961" s="36" t="str">
        <f>IF(ISNUMBER(F20961),C20961*F20961,"")</f>
        <v/>
      </c>
    </row>
    <row r="20962" spans="1:7" ht="24" customHeight="1" outlineLevel="3" x14ac:dyDescent="0.2">
      <c r="A20962" s="14" t="s">
        <v>41261</v>
      </c>
      <c r="B20962" s="15" t="s">
        <v>41262</v>
      </c>
      <c r="C20962" s="19">
        <f>2046.27/(1+B2)</f>
        <v>2046.27</v>
      </c>
      <c r="D20962" s="17" t="s">
        <v>11</v>
      </c>
      <c r="E20962" s="17"/>
      <c r="F20962" s="18"/>
      <c r="G20962" s="36" t="str">
        <f>IF(ISNUMBER(F20962),C20962*F20962,"")</f>
        <v/>
      </c>
    </row>
    <row r="20963" spans="1:7" ht="24" customHeight="1" outlineLevel="3" x14ac:dyDescent="0.2">
      <c r="A20963" s="14" t="s">
        <v>41263</v>
      </c>
      <c r="B20963" s="15" t="s">
        <v>41264</v>
      </c>
      <c r="C20963" s="19">
        <f>2140.71/(1+B2)</f>
        <v>2140.71</v>
      </c>
      <c r="D20963" s="17" t="s">
        <v>11</v>
      </c>
      <c r="E20963" s="17" t="s">
        <v>11</v>
      </c>
      <c r="F20963" s="18"/>
      <c r="G20963" s="36" t="str">
        <f>IF(ISNUMBER(F20963),C20963*F20963,"")</f>
        <v/>
      </c>
    </row>
    <row r="20964" spans="1:7" ht="12" customHeight="1" outlineLevel="3" x14ac:dyDescent="0.2">
      <c r="A20964" s="14" t="s">
        <v>41265</v>
      </c>
      <c r="B20964" s="15" t="s">
        <v>41266</v>
      </c>
      <c r="C20964" s="19">
        <f>2361.09/(1+B2)</f>
        <v>2361.09</v>
      </c>
      <c r="D20964" s="17" t="s">
        <v>11</v>
      </c>
      <c r="E20964" s="17" t="s">
        <v>11</v>
      </c>
      <c r="F20964" s="18"/>
      <c r="G20964" s="36" t="str">
        <f>IF(ISNUMBER(F20964),C20964*F20964,"")</f>
        <v/>
      </c>
    </row>
    <row r="20965" spans="1:7" s="1" customFormat="1" ht="12.95" customHeight="1" outlineLevel="2" x14ac:dyDescent="0.2">
      <c r="A20965" s="20"/>
      <c r="B20965" s="21" t="s">
        <v>41267</v>
      </c>
      <c r="C20965" s="22"/>
      <c r="D20965" s="22"/>
      <c r="E20965" s="22"/>
      <c r="F20965" s="22"/>
      <c r="G20965" s="37"/>
    </row>
    <row r="20966" spans="1:7" ht="12" customHeight="1" outlineLevel="3" x14ac:dyDescent="0.2">
      <c r="A20966" s="14" t="s">
        <v>41268</v>
      </c>
      <c r="B20966" s="15" t="s">
        <v>41269</v>
      </c>
      <c r="C20966" s="19">
        <f>3145.55/(1+B2)</f>
        <v>3145.55</v>
      </c>
      <c r="D20966" s="17" t="s">
        <v>11</v>
      </c>
      <c r="E20966" s="17" t="s">
        <v>11</v>
      </c>
      <c r="F20966" s="18"/>
      <c r="G20966" s="36" t="str">
        <f>IF(ISNUMBER(F20966),C20966*F20966,"")</f>
        <v/>
      </c>
    </row>
    <row r="20967" spans="1:7" ht="12" customHeight="1" outlineLevel="3" x14ac:dyDescent="0.2">
      <c r="A20967" s="14" t="s">
        <v>41270</v>
      </c>
      <c r="B20967" s="15" t="s">
        <v>41271</v>
      </c>
      <c r="C20967" s="19">
        <f>2813.69/(1+B2)</f>
        <v>2813.69</v>
      </c>
      <c r="D20967" s="17" t="s">
        <v>11</v>
      </c>
      <c r="E20967" s="17"/>
      <c r="F20967" s="18"/>
      <c r="G20967" s="36" t="str">
        <f>IF(ISNUMBER(F20967),C20967*F20967,"")</f>
        <v/>
      </c>
    </row>
    <row r="20968" spans="1:7" ht="12" customHeight="1" outlineLevel="3" x14ac:dyDescent="0.2">
      <c r="A20968" s="14" t="s">
        <v>41272</v>
      </c>
      <c r="B20968" s="15" t="s">
        <v>41273</v>
      </c>
      <c r="C20968" s="19">
        <f>2408.81/(1+B2)</f>
        <v>2408.81</v>
      </c>
      <c r="D20968" s="17" t="s">
        <v>11</v>
      </c>
      <c r="E20968" s="17"/>
      <c r="F20968" s="18"/>
      <c r="G20968" s="36" t="str">
        <f>IF(ISNUMBER(F20968),C20968*F20968,"")</f>
        <v/>
      </c>
    </row>
    <row r="20969" spans="1:7" ht="12" customHeight="1" outlineLevel="3" x14ac:dyDescent="0.2">
      <c r="A20969" s="14" t="s">
        <v>41274</v>
      </c>
      <c r="B20969" s="15" t="s">
        <v>41275</v>
      </c>
      <c r="C20969" s="16">
        <f>939.12/(1+B2)</f>
        <v>939.12</v>
      </c>
      <c r="D20969" s="17" t="s">
        <v>11</v>
      </c>
      <c r="E20969" s="17" t="s">
        <v>11</v>
      </c>
      <c r="F20969" s="18"/>
      <c r="G20969" s="36" t="str">
        <f>IF(ISNUMBER(F20969),C20969*F20969,"")</f>
        <v/>
      </c>
    </row>
    <row r="20970" spans="1:7" ht="12" customHeight="1" outlineLevel="3" x14ac:dyDescent="0.2">
      <c r="A20970" s="14" t="s">
        <v>41276</v>
      </c>
      <c r="B20970" s="15" t="s">
        <v>41277</v>
      </c>
      <c r="C20970" s="19">
        <f>2037.23/(1+B2)</f>
        <v>2037.23</v>
      </c>
      <c r="D20970" s="17" t="s">
        <v>11</v>
      </c>
      <c r="E20970" s="17" t="s">
        <v>11</v>
      </c>
      <c r="F20970" s="18"/>
      <c r="G20970" s="36" t="str">
        <f>IF(ISNUMBER(F20970),C20970*F20970,"")</f>
        <v/>
      </c>
    </row>
    <row r="20971" spans="1:7" ht="12" customHeight="1" outlineLevel="3" x14ac:dyDescent="0.2">
      <c r="A20971" s="14" t="s">
        <v>41278</v>
      </c>
      <c r="B20971" s="15" t="s">
        <v>41279</v>
      </c>
      <c r="C20971" s="19">
        <f>1467.06/(1+B2)</f>
        <v>1467.06</v>
      </c>
      <c r="D20971" s="17" t="s">
        <v>11</v>
      </c>
      <c r="E20971" s="17" t="s">
        <v>11</v>
      </c>
      <c r="F20971" s="18"/>
      <c r="G20971" s="36" t="str">
        <f>IF(ISNUMBER(F20971),C20971*F20971,"")</f>
        <v/>
      </c>
    </row>
    <row r="20972" spans="1:7" ht="12" customHeight="1" outlineLevel="3" x14ac:dyDescent="0.2">
      <c r="A20972" s="14" t="s">
        <v>41280</v>
      </c>
      <c r="B20972" s="15" t="s">
        <v>41281</v>
      </c>
      <c r="C20972" s="19">
        <f>1669.4/(1+B2)</f>
        <v>1669.4</v>
      </c>
      <c r="D20972" s="17" t="s">
        <v>11</v>
      </c>
      <c r="E20972" s="17" t="s">
        <v>11</v>
      </c>
      <c r="F20972" s="18"/>
      <c r="G20972" s="36" t="str">
        <f>IF(ISNUMBER(F20972),C20972*F20972,"")</f>
        <v/>
      </c>
    </row>
    <row r="20973" spans="1:7" ht="12" customHeight="1" outlineLevel="3" x14ac:dyDescent="0.2">
      <c r="A20973" s="14" t="s">
        <v>41282</v>
      </c>
      <c r="B20973" s="15" t="s">
        <v>41283</v>
      </c>
      <c r="C20973" s="19">
        <f>1050.65/(1+B2)</f>
        <v>1050.6500000000001</v>
      </c>
      <c r="D20973" s="17" t="s">
        <v>11</v>
      </c>
      <c r="E20973" s="17" t="s">
        <v>11</v>
      </c>
      <c r="F20973" s="18"/>
      <c r="G20973" s="36" t="str">
        <f>IF(ISNUMBER(F20973),C20973*F20973,"")</f>
        <v/>
      </c>
    </row>
    <row r="20974" spans="1:7" ht="12" customHeight="1" outlineLevel="3" x14ac:dyDescent="0.2">
      <c r="A20974" s="14" t="s">
        <v>41284</v>
      </c>
      <c r="B20974" s="15" t="s">
        <v>41285</v>
      </c>
      <c r="C20974" s="19">
        <f>3933.53/(1+B2)</f>
        <v>3933.53</v>
      </c>
      <c r="D20974" s="17" t="s">
        <v>11</v>
      </c>
      <c r="E20974" s="17"/>
      <c r="F20974" s="18"/>
      <c r="G20974" s="36" t="str">
        <f>IF(ISNUMBER(F20974),C20974*F20974,"")</f>
        <v/>
      </c>
    </row>
    <row r="20975" spans="1:7" ht="12" customHeight="1" outlineLevel="3" x14ac:dyDescent="0.2">
      <c r="A20975" s="14" t="s">
        <v>41286</v>
      </c>
      <c r="B20975" s="15" t="s">
        <v>41287</v>
      </c>
      <c r="C20975" s="19">
        <f>4253.85/(1+B2)</f>
        <v>4253.8500000000004</v>
      </c>
      <c r="D20975" s="17" t="s">
        <v>11</v>
      </c>
      <c r="E20975" s="17" t="s">
        <v>14</v>
      </c>
      <c r="F20975" s="18"/>
      <c r="G20975" s="36" t="str">
        <f>IF(ISNUMBER(F20975),C20975*F20975,"")</f>
        <v/>
      </c>
    </row>
    <row r="20976" spans="1:7" ht="12" customHeight="1" outlineLevel="3" x14ac:dyDescent="0.2">
      <c r="A20976" s="14" t="s">
        <v>41288</v>
      </c>
      <c r="B20976" s="15" t="s">
        <v>41289</v>
      </c>
      <c r="C20976" s="19">
        <f>3395.39/(1+B2)</f>
        <v>3395.39</v>
      </c>
      <c r="D20976" s="17" t="s">
        <v>11</v>
      </c>
      <c r="E20976" s="17"/>
      <c r="F20976" s="18"/>
      <c r="G20976" s="36" t="str">
        <f>IF(ISNUMBER(F20976),C20976*F20976,"")</f>
        <v/>
      </c>
    </row>
    <row r="20977" spans="1:7" ht="12" customHeight="1" outlineLevel="3" x14ac:dyDescent="0.2">
      <c r="A20977" s="14" t="s">
        <v>41290</v>
      </c>
      <c r="B20977" s="15" t="s">
        <v>41291</v>
      </c>
      <c r="C20977" s="19">
        <f>4100.1/(1+B2)</f>
        <v>4100.1000000000004</v>
      </c>
      <c r="D20977" s="17" t="s">
        <v>11</v>
      </c>
      <c r="E20977" s="17"/>
      <c r="F20977" s="18"/>
      <c r="G20977" s="36" t="str">
        <f>IF(ISNUMBER(F20977),C20977*F20977,"")</f>
        <v/>
      </c>
    </row>
    <row r="20978" spans="1:7" ht="12" customHeight="1" outlineLevel="3" x14ac:dyDescent="0.2">
      <c r="A20978" s="14" t="s">
        <v>41292</v>
      </c>
      <c r="B20978" s="15" t="s">
        <v>41293</v>
      </c>
      <c r="C20978" s="16">
        <f>803.39/(1+B2)</f>
        <v>803.39</v>
      </c>
      <c r="D20978" s="17" t="s">
        <v>11</v>
      </c>
      <c r="E20978" s="17" t="s">
        <v>11</v>
      </c>
      <c r="F20978" s="18"/>
      <c r="G20978" s="36" t="str">
        <f>IF(ISNUMBER(F20978),C20978*F20978,"")</f>
        <v/>
      </c>
    </row>
    <row r="20979" spans="1:7" ht="12" customHeight="1" outlineLevel="3" x14ac:dyDescent="0.2">
      <c r="A20979" s="14" t="s">
        <v>41294</v>
      </c>
      <c r="B20979" s="15" t="s">
        <v>41295</v>
      </c>
      <c r="C20979" s="19">
        <f>1012.21/(1+B2)</f>
        <v>1012.21</v>
      </c>
      <c r="D20979" s="17" t="s">
        <v>11</v>
      </c>
      <c r="E20979" s="17"/>
      <c r="F20979" s="18"/>
      <c r="G20979" s="36" t="str">
        <f>IF(ISNUMBER(F20979),C20979*F20979,"")</f>
        <v/>
      </c>
    </row>
    <row r="20980" spans="1:7" ht="12" customHeight="1" outlineLevel="3" x14ac:dyDescent="0.2">
      <c r="A20980" s="14" t="s">
        <v>41296</v>
      </c>
      <c r="B20980" s="15" t="s">
        <v>41297</v>
      </c>
      <c r="C20980" s="16">
        <f>407.45/(1+B2)</f>
        <v>407.45</v>
      </c>
      <c r="D20980" s="17" t="s">
        <v>11</v>
      </c>
      <c r="E20980" s="17" t="s">
        <v>11</v>
      </c>
      <c r="F20980" s="18"/>
      <c r="G20980" s="36" t="str">
        <f>IF(ISNUMBER(F20980),C20980*F20980,"")</f>
        <v/>
      </c>
    </row>
    <row r="20981" spans="1:7" ht="12" customHeight="1" outlineLevel="3" x14ac:dyDescent="0.2">
      <c r="A20981" s="14" t="s">
        <v>41298</v>
      </c>
      <c r="B20981" s="15" t="s">
        <v>41299</v>
      </c>
      <c r="C20981" s="19">
        <f>1393.76/(1+B2)</f>
        <v>1393.76</v>
      </c>
      <c r="D20981" s="17" t="s">
        <v>11</v>
      </c>
      <c r="E20981" s="17"/>
      <c r="F20981" s="18"/>
      <c r="G20981" s="36" t="str">
        <f>IF(ISNUMBER(F20981),C20981*F20981,"")</f>
        <v/>
      </c>
    </row>
    <row r="20982" spans="1:7" ht="12" customHeight="1" outlineLevel="3" x14ac:dyDescent="0.2">
      <c r="A20982" s="14" t="s">
        <v>41300</v>
      </c>
      <c r="B20982" s="15" t="s">
        <v>41301</v>
      </c>
      <c r="C20982" s="19">
        <f>1467.06/(1+B2)</f>
        <v>1467.06</v>
      </c>
      <c r="D20982" s="17" t="s">
        <v>11</v>
      </c>
      <c r="E20982" s="17"/>
      <c r="F20982" s="18"/>
      <c r="G20982" s="36" t="str">
        <f>IF(ISNUMBER(F20982),C20982*F20982,"")</f>
        <v/>
      </c>
    </row>
    <row r="20983" spans="1:7" ht="12" customHeight="1" outlineLevel="3" x14ac:dyDescent="0.2">
      <c r="A20983" s="14" t="s">
        <v>41302</v>
      </c>
      <c r="B20983" s="15" t="s">
        <v>41303</v>
      </c>
      <c r="C20983" s="19">
        <f>1165.97/(1+B2)</f>
        <v>1165.97</v>
      </c>
      <c r="D20983" s="17" t="s">
        <v>11</v>
      </c>
      <c r="E20983" s="17" t="s">
        <v>11</v>
      </c>
      <c r="F20983" s="18"/>
      <c r="G20983" s="36" t="str">
        <f>IF(ISNUMBER(F20983),C20983*F20983,"")</f>
        <v/>
      </c>
    </row>
    <row r="20984" spans="1:7" ht="12" customHeight="1" outlineLevel="3" x14ac:dyDescent="0.2">
      <c r="A20984" s="14" t="s">
        <v>41304</v>
      </c>
      <c r="B20984" s="15" t="s">
        <v>41305</v>
      </c>
      <c r="C20984" s="19">
        <f>2242.24/(1+B2)</f>
        <v>2242.2399999999998</v>
      </c>
      <c r="D20984" s="17" t="s">
        <v>11</v>
      </c>
      <c r="E20984" s="17" t="s">
        <v>11</v>
      </c>
      <c r="F20984" s="18"/>
      <c r="G20984" s="36" t="str">
        <f>IF(ISNUMBER(F20984),C20984*F20984,"")</f>
        <v/>
      </c>
    </row>
    <row r="20985" spans="1:7" ht="12" customHeight="1" outlineLevel="3" x14ac:dyDescent="0.2">
      <c r="A20985" s="14" t="s">
        <v>41306</v>
      </c>
      <c r="B20985" s="15" t="s">
        <v>41307</v>
      </c>
      <c r="C20985" s="16">
        <f>800.8/(1+B2)</f>
        <v>800.8</v>
      </c>
      <c r="D20985" s="17" t="s">
        <v>11</v>
      </c>
      <c r="E20985" s="17" t="s">
        <v>11</v>
      </c>
      <c r="F20985" s="18"/>
      <c r="G20985" s="36" t="str">
        <f>IF(ISNUMBER(F20985),C20985*F20985,"")</f>
        <v/>
      </c>
    </row>
    <row r="20986" spans="1:7" ht="12" customHeight="1" outlineLevel="3" x14ac:dyDescent="0.2">
      <c r="A20986" s="14" t="s">
        <v>41308</v>
      </c>
      <c r="B20986" s="15" t="s">
        <v>41309</v>
      </c>
      <c r="C20986" s="19">
        <f>2857.26/(1+B2)</f>
        <v>2857.26</v>
      </c>
      <c r="D20986" s="17" t="s">
        <v>11</v>
      </c>
      <c r="E20986" s="17" t="s">
        <v>11</v>
      </c>
      <c r="F20986" s="18"/>
      <c r="G20986" s="36" t="str">
        <f>IF(ISNUMBER(F20986),C20986*F20986,"")</f>
        <v/>
      </c>
    </row>
    <row r="20987" spans="1:7" ht="12" customHeight="1" outlineLevel="3" x14ac:dyDescent="0.2">
      <c r="A20987" s="14" t="s">
        <v>41310</v>
      </c>
      <c r="B20987" s="15" t="s">
        <v>41311</v>
      </c>
      <c r="C20987" s="19">
        <f>2857.26/(1+B2)</f>
        <v>2857.26</v>
      </c>
      <c r="D20987" s="17" t="s">
        <v>11</v>
      </c>
      <c r="E20987" s="17" t="s">
        <v>11</v>
      </c>
      <c r="F20987" s="18"/>
      <c r="G20987" s="36" t="str">
        <f>IF(ISNUMBER(F20987),C20987*F20987,"")</f>
        <v/>
      </c>
    </row>
    <row r="20988" spans="1:7" ht="12" customHeight="1" outlineLevel="3" x14ac:dyDescent="0.2">
      <c r="A20988" s="14" t="s">
        <v>41312</v>
      </c>
      <c r="B20988" s="15" t="s">
        <v>41313</v>
      </c>
      <c r="C20988" s="19">
        <f>2857.26/(1+B2)</f>
        <v>2857.26</v>
      </c>
      <c r="D20988" s="17" t="s">
        <v>11</v>
      </c>
      <c r="E20988" s="17" t="s">
        <v>11</v>
      </c>
      <c r="F20988" s="18"/>
      <c r="G20988" s="36" t="str">
        <f>IF(ISNUMBER(F20988),C20988*F20988,"")</f>
        <v/>
      </c>
    </row>
    <row r="20989" spans="1:7" ht="12" customHeight="1" outlineLevel="3" x14ac:dyDescent="0.2">
      <c r="A20989" s="14" t="s">
        <v>41314</v>
      </c>
      <c r="B20989" s="15" t="s">
        <v>41315</v>
      </c>
      <c r="C20989" s="19">
        <f>2370.37/(1+B2)</f>
        <v>2370.37</v>
      </c>
      <c r="D20989" s="17" t="s">
        <v>11</v>
      </c>
      <c r="E20989" s="17" t="s">
        <v>11</v>
      </c>
      <c r="F20989" s="18"/>
      <c r="G20989" s="36" t="str">
        <f>IF(ISNUMBER(F20989),C20989*F20989,"")</f>
        <v/>
      </c>
    </row>
    <row r="20990" spans="1:7" ht="12" customHeight="1" outlineLevel="3" x14ac:dyDescent="0.2">
      <c r="A20990" s="14" t="s">
        <v>41316</v>
      </c>
      <c r="B20990" s="15" t="s">
        <v>41317</v>
      </c>
      <c r="C20990" s="19">
        <f>1185.55/(1+B2)</f>
        <v>1185.55</v>
      </c>
      <c r="D20990" s="17" t="s">
        <v>11</v>
      </c>
      <c r="E20990" s="17" t="s">
        <v>11</v>
      </c>
      <c r="F20990" s="18"/>
      <c r="G20990" s="36" t="str">
        <f>IF(ISNUMBER(F20990),C20990*F20990,"")</f>
        <v/>
      </c>
    </row>
    <row r="20991" spans="1:7" ht="12" customHeight="1" outlineLevel="3" x14ac:dyDescent="0.2">
      <c r="A20991" s="14" t="s">
        <v>41318</v>
      </c>
      <c r="B20991" s="15" t="s">
        <v>41319</v>
      </c>
      <c r="C20991" s="19">
        <f>2152.55/(1+B2)</f>
        <v>2152.5500000000002</v>
      </c>
      <c r="D20991" s="17" t="s">
        <v>11</v>
      </c>
      <c r="E20991" s="17"/>
      <c r="F20991" s="18"/>
      <c r="G20991" s="36" t="str">
        <f>IF(ISNUMBER(F20991),C20991*F20991,"")</f>
        <v/>
      </c>
    </row>
    <row r="20992" spans="1:7" ht="12" customHeight="1" outlineLevel="3" x14ac:dyDescent="0.2">
      <c r="A20992" s="14" t="s">
        <v>41320</v>
      </c>
      <c r="B20992" s="15" t="s">
        <v>41321</v>
      </c>
      <c r="C20992" s="19">
        <f>1691.29/(1+B2)</f>
        <v>1691.29</v>
      </c>
      <c r="D20992" s="17" t="s">
        <v>11</v>
      </c>
      <c r="E20992" s="17" t="s">
        <v>11</v>
      </c>
      <c r="F20992" s="18"/>
      <c r="G20992" s="36" t="str">
        <f>IF(ISNUMBER(F20992),C20992*F20992,"")</f>
        <v/>
      </c>
    </row>
    <row r="20993" spans="1:7" ht="12" customHeight="1" outlineLevel="3" x14ac:dyDescent="0.2">
      <c r="A20993" s="14" t="s">
        <v>41322</v>
      </c>
      <c r="B20993" s="15" t="s">
        <v>41323</v>
      </c>
      <c r="C20993" s="19">
        <f>1780.97/(1+B2)</f>
        <v>1780.97</v>
      </c>
      <c r="D20993" s="17" t="s">
        <v>11</v>
      </c>
      <c r="E20993" s="17"/>
      <c r="F20993" s="18"/>
      <c r="G20993" s="36" t="str">
        <f>IF(ISNUMBER(F20993),C20993*F20993,"")</f>
        <v/>
      </c>
    </row>
    <row r="20994" spans="1:7" ht="12" customHeight="1" outlineLevel="3" x14ac:dyDescent="0.2">
      <c r="A20994" s="14" t="s">
        <v>41324</v>
      </c>
      <c r="B20994" s="15" t="s">
        <v>41325</v>
      </c>
      <c r="C20994" s="19">
        <f>3559.71/(1+B2)</f>
        <v>3559.71</v>
      </c>
      <c r="D20994" s="17" t="s">
        <v>11</v>
      </c>
      <c r="E20994" s="17"/>
      <c r="F20994" s="18"/>
      <c r="G20994" s="36" t="str">
        <f>IF(ISNUMBER(F20994),C20994*F20994,"")</f>
        <v/>
      </c>
    </row>
    <row r="20995" spans="1:7" ht="12" customHeight="1" outlineLevel="3" x14ac:dyDescent="0.2">
      <c r="A20995" s="14" t="s">
        <v>41326</v>
      </c>
      <c r="B20995" s="15" t="s">
        <v>41327</v>
      </c>
      <c r="C20995" s="19">
        <f>2296.06/(1+B2)</f>
        <v>2296.06</v>
      </c>
      <c r="D20995" s="17" t="s">
        <v>11</v>
      </c>
      <c r="E20995" s="17"/>
      <c r="F20995" s="18"/>
      <c r="G20995" s="36" t="str">
        <f>IF(ISNUMBER(F20995),C20995*F20995,"")</f>
        <v/>
      </c>
    </row>
    <row r="20996" spans="1:7" ht="12" customHeight="1" outlineLevel="3" x14ac:dyDescent="0.2">
      <c r="A20996" s="14" t="s">
        <v>41328</v>
      </c>
      <c r="B20996" s="15" t="s">
        <v>41329</v>
      </c>
      <c r="C20996" s="19">
        <f>1606.33/(1+B2)</f>
        <v>1606.33</v>
      </c>
      <c r="D20996" s="17" t="s">
        <v>11</v>
      </c>
      <c r="E20996" s="17"/>
      <c r="F20996" s="18"/>
      <c r="G20996" s="36" t="str">
        <f>IF(ISNUMBER(F20996),C20996*F20996,"")</f>
        <v/>
      </c>
    </row>
    <row r="20997" spans="1:7" ht="12" customHeight="1" outlineLevel="3" x14ac:dyDescent="0.2">
      <c r="A20997" s="14" t="s">
        <v>41330</v>
      </c>
      <c r="B20997" s="15" t="s">
        <v>41331</v>
      </c>
      <c r="C20997" s="19">
        <f>1435.03/(1+B2)</f>
        <v>1435.03</v>
      </c>
      <c r="D20997" s="17" t="s">
        <v>11</v>
      </c>
      <c r="E20997" s="17"/>
      <c r="F20997" s="18"/>
      <c r="G20997" s="36" t="str">
        <f>IF(ISNUMBER(F20997),C20997*F20997,"")</f>
        <v/>
      </c>
    </row>
    <row r="20998" spans="1:7" ht="12" customHeight="1" outlineLevel="3" x14ac:dyDescent="0.2">
      <c r="A20998" s="14" t="s">
        <v>41332</v>
      </c>
      <c r="B20998" s="15" t="s">
        <v>41333</v>
      </c>
      <c r="C20998" s="19">
        <f>1435.03/(1+B2)</f>
        <v>1435.03</v>
      </c>
      <c r="D20998" s="17" t="s">
        <v>11</v>
      </c>
      <c r="E20998" s="17"/>
      <c r="F20998" s="18"/>
      <c r="G20998" s="36" t="str">
        <f>IF(ISNUMBER(F20998),C20998*F20998,"")</f>
        <v/>
      </c>
    </row>
    <row r="20999" spans="1:7" ht="12" customHeight="1" outlineLevel="3" x14ac:dyDescent="0.2">
      <c r="A20999" s="14" t="s">
        <v>41334</v>
      </c>
      <c r="B20999" s="15" t="s">
        <v>41335</v>
      </c>
      <c r="C20999" s="19">
        <f>1435.03/(1+B2)</f>
        <v>1435.03</v>
      </c>
      <c r="D20999" s="17" t="s">
        <v>11</v>
      </c>
      <c r="E20999" s="17" t="s">
        <v>11</v>
      </c>
      <c r="F20999" s="18"/>
      <c r="G20999" s="36" t="str">
        <f>IF(ISNUMBER(F20999),C20999*F20999,"")</f>
        <v/>
      </c>
    </row>
    <row r="21000" spans="1:7" ht="12" customHeight="1" outlineLevel="3" x14ac:dyDescent="0.2">
      <c r="A21000" s="14" t="s">
        <v>41336</v>
      </c>
      <c r="B21000" s="15" t="s">
        <v>41337</v>
      </c>
      <c r="C21000" s="19">
        <f>2401.78/(1+B2)</f>
        <v>2401.7800000000002</v>
      </c>
      <c r="D21000" s="17" t="s">
        <v>11</v>
      </c>
      <c r="E21000" s="17"/>
      <c r="F21000" s="18"/>
      <c r="G21000" s="36" t="str">
        <f>IF(ISNUMBER(F21000),C21000*F21000,"")</f>
        <v/>
      </c>
    </row>
    <row r="21001" spans="1:7" ht="12" customHeight="1" outlineLevel="3" x14ac:dyDescent="0.2">
      <c r="A21001" s="14" t="s">
        <v>41338</v>
      </c>
      <c r="B21001" s="15" t="s">
        <v>41339</v>
      </c>
      <c r="C21001" s="19">
        <f>1857.86/(1+B2)</f>
        <v>1857.86</v>
      </c>
      <c r="D21001" s="17" t="s">
        <v>11</v>
      </c>
      <c r="E21001" s="17"/>
      <c r="F21001" s="18"/>
      <c r="G21001" s="36" t="str">
        <f>IF(ISNUMBER(F21001),C21001*F21001,"")</f>
        <v/>
      </c>
    </row>
    <row r="21002" spans="1:7" ht="12" customHeight="1" outlineLevel="3" x14ac:dyDescent="0.2">
      <c r="A21002" s="14" t="s">
        <v>41340</v>
      </c>
      <c r="B21002" s="15" t="s">
        <v>41341</v>
      </c>
      <c r="C21002" s="19">
        <f>1953.79/(1+B2)</f>
        <v>1953.79</v>
      </c>
      <c r="D21002" s="17" t="s">
        <v>11</v>
      </c>
      <c r="E21002" s="17" t="s">
        <v>11</v>
      </c>
      <c r="F21002" s="18"/>
      <c r="G21002" s="36" t="str">
        <f>IF(ISNUMBER(F21002),C21002*F21002,"")</f>
        <v/>
      </c>
    </row>
    <row r="21003" spans="1:7" ht="12" customHeight="1" outlineLevel="3" x14ac:dyDescent="0.2">
      <c r="A21003" s="14" t="s">
        <v>41342</v>
      </c>
      <c r="B21003" s="15" t="s">
        <v>41343</v>
      </c>
      <c r="C21003" s="19">
        <f>2152.55/(1+B2)</f>
        <v>2152.5500000000002</v>
      </c>
      <c r="D21003" s="17" t="s">
        <v>11</v>
      </c>
      <c r="E21003" s="17"/>
      <c r="F21003" s="18"/>
      <c r="G21003" s="36" t="str">
        <f>IF(ISNUMBER(F21003),C21003*F21003,"")</f>
        <v/>
      </c>
    </row>
    <row r="21004" spans="1:7" ht="12" customHeight="1" outlineLevel="3" x14ac:dyDescent="0.2">
      <c r="A21004" s="14" t="s">
        <v>41344</v>
      </c>
      <c r="B21004" s="15" t="s">
        <v>41345</v>
      </c>
      <c r="C21004" s="19">
        <f>2152.55/(1+B2)</f>
        <v>2152.5500000000002</v>
      </c>
      <c r="D21004" s="17" t="s">
        <v>11</v>
      </c>
      <c r="E21004" s="17" t="s">
        <v>11</v>
      </c>
      <c r="F21004" s="18"/>
      <c r="G21004" s="36" t="str">
        <f>IF(ISNUMBER(F21004),C21004*F21004,"")</f>
        <v/>
      </c>
    </row>
    <row r="21005" spans="1:7" ht="12" customHeight="1" outlineLevel="3" x14ac:dyDescent="0.2">
      <c r="A21005" s="14" t="s">
        <v>41346</v>
      </c>
      <c r="B21005" s="15" t="s">
        <v>41347</v>
      </c>
      <c r="C21005" s="19">
        <f>1857.86/(1+B2)</f>
        <v>1857.86</v>
      </c>
      <c r="D21005" s="17" t="s">
        <v>11</v>
      </c>
      <c r="E21005" s="17" t="s">
        <v>11</v>
      </c>
      <c r="F21005" s="18"/>
      <c r="G21005" s="36" t="str">
        <f>IF(ISNUMBER(F21005),C21005*F21005,"")</f>
        <v/>
      </c>
    </row>
    <row r="21006" spans="1:7" ht="12" customHeight="1" outlineLevel="3" x14ac:dyDescent="0.2">
      <c r="A21006" s="14" t="s">
        <v>41348</v>
      </c>
      <c r="B21006" s="15" t="s">
        <v>41349</v>
      </c>
      <c r="C21006" s="19">
        <f>1857.86/(1+B2)</f>
        <v>1857.86</v>
      </c>
      <c r="D21006" s="17" t="s">
        <v>11</v>
      </c>
      <c r="E21006" s="17" t="s">
        <v>11</v>
      </c>
      <c r="F21006" s="18"/>
      <c r="G21006" s="36" t="str">
        <f>IF(ISNUMBER(F21006),C21006*F21006,"")</f>
        <v/>
      </c>
    </row>
    <row r="21007" spans="1:7" ht="12" customHeight="1" outlineLevel="3" x14ac:dyDescent="0.2">
      <c r="A21007" s="14" t="s">
        <v>41350</v>
      </c>
      <c r="B21007" s="15" t="s">
        <v>41351</v>
      </c>
      <c r="C21007" s="19">
        <f>1482.44/(1+B2)</f>
        <v>1482.44</v>
      </c>
      <c r="D21007" s="17" t="s">
        <v>11</v>
      </c>
      <c r="E21007" s="17" t="s">
        <v>11</v>
      </c>
      <c r="F21007" s="18"/>
      <c r="G21007" s="36" t="str">
        <f>IF(ISNUMBER(F21007),C21007*F21007,"")</f>
        <v/>
      </c>
    </row>
    <row r="21008" spans="1:7" ht="12" customHeight="1" outlineLevel="3" x14ac:dyDescent="0.2">
      <c r="A21008" s="14" t="s">
        <v>41352</v>
      </c>
      <c r="B21008" s="15" t="s">
        <v>41353</v>
      </c>
      <c r="C21008" s="19">
        <f>1960.36/(1+B2)</f>
        <v>1960.36</v>
      </c>
      <c r="D21008" s="17" t="s">
        <v>11</v>
      </c>
      <c r="E21008" s="17" t="s">
        <v>11</v>
      </c>
      <c r="F21008" s="18"/>
      <c r="G21008" s="36" t="str">
        <f>IF(ISNUMBER(F21008),C21008*F21008,"")</f>
        <v/>
      </c>
    </row>
    <row r="21009" spans="1:7" ht="12" customHeight="1" outlineLevel="3" x14ac:dyDescent="0.2">
      <c r="A21009" s="14" t="s">
        <v>41354</v>
      </c>
      <c r="B21009" s="15" t="s">
        <v>41355</v>
      </c>
      <c r="C21009" s="19">
        <f>1793.79/(1+B2)</f>
        <v>1793.79</v>
      </c>
      <c r="D21009" s="17" t="s">
        <v>11</v>
      </c>
      <c r="E21009" s="17" t="s">
        <v>11</v>
      </c>
      <c r="F21009" s="18"/>
      <c r="G21009" s="36" t="str">
        <f>IF(ISNUMBER(F21009),C21009*F21009,"")</f>
        <v/>
      </c>
    </row>
    <row r="21010" spans="1:7" ht="24" customHeight="1" outlineLevel="3" x14ac:dyDescent="0.2">
      <c r="A21010" s="14" t="s">
        <v>41356</v>
      </c>
      <c r="B21010" s="15" t="s">
        <v>41357</v>
      </c>
      <c r="C21010" s="19">
        <f>1896.3/(1+B2)</f>
        <v>1896.3</v>
      </c>
      <c r="D21010" s="17" t="s">
        <v>11</v>
      </c>
      <c r="E21010" s="17" t="s">
        <v>11</v>
      </c>
      <c r="F21010" s="18"/>
      <c r="G21010" s="36" t="str">
        <f>IF(ISNUMBER(F21010),C21010*F21010,"")</f>
        <v/>
      </c>
    </row>
    <row r="21011" spans="1:7" ht="12" customHeight="1" outlineLevel="3" x14ac:dyDescent="0.2">
      <c r="A21011" s="14" t="s">
        <v>41358</v>
      </c>
      <c r="B21011" s="15" t="s">
        <v>41359</v>
      </c>
      <c r="C21011" s="19">
        <f>1849.45/(1+B2)</f>
        <v>1849.45</v>
      </c>
      <c r="D21011" s="17" t="s">
        <v>11</v>
      </c>
      <c r="E21011" s="17"/>
      <c r="F21011" s="18"/>
      <c r="G21011" s="36" t="str">
        <f>IF(ISNUMBER(F21011),C21011*F21011,"")</f>
        <v/>
      </c>
    </row>
    <row r="21012" spans="1:7" ht="12" customHeight="1" outlineLevel="3" x14ac:dyDescent="0.2">
      <c r="A21012" s="14" t="s">
        <v>41360</v>
      </c>
      <c r="B21012" s="15" t="s">
        <v>41361</v>
      </c>
      <c r="C21012" s="19">
        <f>1896.3/(1+B2)</f>
        <v>1896.3</v>
      </c>
      <c r="D21012" s="17" t="s">
        <v>11</v>
      </c>
      <c r="E21012" s="17" t="s">
        <v>11</v>
      </c>
      <c r="F21012" s="18"/>
      <c r="G21012" s="36" t="str">
        <f>IF(ISNUMBER(F21012),C21012*F21012,"")</f>
        <v/>
      </c>
    </row>
    <row r="21013" spans="1:7" ht="24" customHeight="1" outlineLevel="3" x14ac:dyDescent="0.2">
      <c r="A21013" s="14" t="s">
        <v>41362</v>
      </c>
      <c r="B21013" s="15" t="s">
        <v>41363</v>
      </c>
      <c r="C21013" s="19">
        <f>2181.01/(1+B2)</f>
        <v>2181.0100000000002</v>
      </c>
      <c r="D21013" s="17" t="s">
        <v>11</v>
      </c>
      <c r="E21013" s="17" t="s">
        <v>11</v>
      </c>
      <c r="F21013" s="18"/>
      <c r="G21013" s="36" t="str">
        <f>IF(ISNUMBER(F21013),C21013*F21013,"")</f>
        <v/>
      </c>
    </row>
    <row r="21014" spans="1:7" ht="24" customHeight="1" outlineLevel="3" x14ac:dyDescent="0.2">
      <c r="A21014" s="14" t="s">
        <v>41364</v>
      </c>
      <c r="B21014" s="15" t="s">
        <v>41365</v>
      </c>
      <c r="C21014" s="19">
        <f>2319.12/(1+B2)</f>
        <v>2319.12</v>
      </c>
      <c r="D21014" s="17" t="s">
        <v>11</v>
      </c>
      <c r="E21014" s="17"/>
      <c r="F21014" s="18"/>
      <c r="G21014" s="36" t="str">
        <f>IF(ISNUMBER(F21014),C21014*F21014,"")</f>
        <v/>
      </c>
    </row>
    <row r="21015" spans="1:7" ht="12" customHeight="1" outlineLevel="3" x14ac:dyDescent="0.2">
      <c r="A21015" s="14" t="s">
        <v>41366</v>
      </c>
      <c r="B21015" s="15" t="s">
        <v>41367</v>
      </c>
      <c r="C21015" s="19">
        <f>2524.12/(1+B2)</f>
        <v>2524.12</v>
      </c>
      <c r="D21015" s="17" t="s">
        <v>11</v>
      </c>
      <c r="E21015" s="17" t="s">
        <v>11</v>
      </c>
      <c r="F21015" s="18"/>
      <c r="G21015" s="36" t="str">
        <f>IF(ISNUMBER(F21015),C21015*F21015,"")</f>
        <v/>
      </c>
    </row>
    <row r="21016" spans="1:7" ht="12" customHeight="1" outlineLevel="3" x14ac:dyDescent="0.2">
      <c r="A21016" s="14" t="s">
        <v>41368</v>
      </c>
      <c r="B21016" s="15" t="s">
        <v>41369</v>
      </c>
      <c r="C21016" s="19">
        <f>1857.86/(1+B2)</f>
        <v>1857.86</v>
      </c>
      <c r="D21016" s="17" t="s">
        <v>11</v>
      </c>
      <c r="E21016" s="17"/>
      <c r="F21016" s="18"/>
      <c r="G21016" s="36" t="str">
        <f>IF(ISNUMBER(F21016),C21016*F21016,"")</f>
        <v/>
      </c>
    </row>
    <row r="21017" spans="1:7" ht="12" customHeight="1" outlineLevel="3" x14ac:dyDescent="0.2">
      <c r="A21017" s="14" t="s">
        <v>41370</v>
      </c>
      <c r="B21017" s="15" t="s">
        <v>41371</v>
      </c>
      <c r="C21017" s="19">
        <f>2019.63/(1+B2)</f>
        <v>2019.63</v>
      </c>
      <c r="D21017" s="17" t="s">
        <v>11</v>
      </c>
      <c r="E21017" s="17"/>
      <c r="F21017" s="18"/>
      <c r="G21017" s="36" t="str">
        <f>IF(ISNUMBER(F21017),C21017*F21017,"")</f>
        <v/>
      </c>
    </row>
    <row r="21018" spans="1:7" ht="12" customHeight="1" outlineLevel="3" x14ac:dyDescent="0.2">
      <c r="A21018" s="14" t="s">
        <v>41372</v>
      </c>
      <c r="B21018" s="15" t="s">
        <v>41373</v>
      </c>
      <c r="C21018" s="19">
        <f>3387.71/(1+B2)</f>
        <v>3387.71</v>
      </c>
      <c r="D21018" s="17" t="s">
        <v>11</v>
      </c>
      <c r="E21018" s="17" t="s">
        <v>14</v>
      </c>
      <c r="F21018" s="18"/>
      <c r="G21018" s="36" t="str">
        <f>IF(ISNUMBER(F21018),C21018*F21018,"")</f>
        <v/>
      </c>
    </row>
    <row r="21019" spans="1:7" ht="12" customHeight="1" outlineLevel="3" x14ac:dyDescent="0.2">
      <c r="A21019" s="14" t="s">
        <v>41374</v>
      </c>
      <c r="B21019" s="15" t="s">
        <v>41375</v>
      </c>
      <c r="C21019" s="19">
        <f>2183.95/(1+B2)</f>
        <v>2183.9499999999998</v>
      </c>
      <c r="D21019" s="17" t="s">
        <v>11</v>
      </c>
      <c r="E21019" s="17" t="s">
        <v>53</v>
      </c>
      <c r="F21019" s="18"/>
      <c r="G21019" s="36" t="str">
        <f>IF(ISNUMBER(F21019),C21019*F21019,"")</f>
        <v/>
      </c>
    </row>
    <row r="21020" spans="1:7" ht="12" customHeight="1" outlineLevel="3" x14ac:dyDescent="0.2">
      <c r="A21020" s="14" t="s">
        <v>41376</v>
      </c>
      <c r="B21020" s="15" t="s">
        <v>41377</v>
      </c>
      <c r="C21020" s="19">
        <f>1306.9/(1+B2)</f>
        <v>1306.9000000000001</v>
      </c>
      <c r="D21020" s="17" t="s">
        <v>11</v>
      </c>
      <c r="E21020" s="17"/>
      <c r="F21020" s="18"/>
      <c r="G21020" s="36" t="str">
        <f>IF(ISNUMBER(F21020),C21020*F21020,"")</f>
        <v/>
      </c>
    </row>
    <row r="21021" spans="1:7" ht="12" customHeight="1" outlineLevel="3" x14ac:dyDescent="0.2">
      <c r="A21021" s="14" t="s">
        <v>41378</v>
      </c>
      <c r="B21021" s="15" t="s">
        <v>41379</v>
      </c>
      <c r="C21021" s="19">
        <f>1306.9/(1+B2)</f>
        <v>1306.9000000000001</v>
      </c>
      <c r="D21021" s="17" t="s">
        <v>11</v>
      </c>
      <c r="E21021" s="17"/>
      <c r="F21021" s="18"/>
      <c r="G21021" s="36" t="str">
        <f>IF(ISNUMBER(F21021),C21021*F21021,"")</f>
        <v/>
      </c>
    </row>
    <row r="21022" spans="1:7" ht="12" customHeight="1" outlineLevel="3" x14ac:dyDescent="0.2">
      <c r="A21022" s="14" t="s">
        <v>41380</v>
      </c>
      <c r="B21022" s="15" t="s">
        <v>41381</v>
      </c>
      <c r="C21022" s="19">
        <f>2011.61/(1+B2)</f>
        <v>2011.61</v>
      </c>
      <c r="D21022" s="17" t="s">
        <v>11</v>
      </c>
      <c r="E21022" s="17" t="s">
        <v>11</v>
      </c>
      <c r="F21022" s="18"/>
      <c r="G21022" s="36" t="str">
        <f>IF(ISNUMBER(F21022),C21022*F21022,"")</f>
        <v/>
      </c>
    </row>
    <row r="21023" spans="1:7" ht="12" customHeight="1" outlineLevel="3" x14ac:dyDescent="0.2">
      <c r="A21023" s="14" t="s">
        <v>41382</v>
      </c>
      <c r="B21023" s="15" t="s">
        <v>41383</v>
      </c>
      <c r="C21023" s="19">
        <f>2011.61/(1+B2)</f>
        <v>2011.61</v>
      </c>
      <c r="D21023" s="17" t="s">
        <v>11</v>
      </c>
      <c r="E21023" s="17" t="s">
        <v>11</v>
      </c>
      <c r="F21023" s="18"/>
      <c r="G21023" s="36" t="str">
        <f>IF(ISNUMBER(F21023),C21023*F21023,"")</f>
        <v/>
      </c>
    </row>
    <row r="21024" spans="1:7" ht="12" customHeight="1" outlineLevel="3" x14ac:dyDescent="0.2">
      <c r="A21024" s="14" t="s">
        <v>41384</v>
      </c>
      <c r="B21024" s="15" t="s">
        <v>41385</v>
      </c>
      <c r="C21024" s="19">
        <f>1144.18/(1+B2)</f>
        <v>1144.18</v>
      </c>
      <c r="D21024" s="17" t="s">
        <v>11</v>
      </c>
      <c r="E21024" s="17"/>
      <c r="F21024" s="18"/>
      <c r="G21024" s="36" t="str">
        <f>IF(ISNUMBER(F21024),C21024*F21024,"")</f>
        <v/>
      </c>
    </row>
    <row r="21025" spans="1:7" ht="12" customHeight="1" outlineLevel="3" x14ac:dyDescent="0.2">
      <c r="A21025" s="14" t="s">
        <v>41386</v>
      </c>
      <c r="B21025" s="15" t="s">
        <v>41387</v>
      </c>
      <c r="C21025" s="16">
        <f>986.58/(1+B2)</f>
        <v>986.58</v>
      </c>
      <c r="D21025" s="17" t="s">
        <v>11</v>
      </c>
      <c r="E21025" s="17" t="s">
        <v>11</v>
      </c>
      <c r="F21025" s="18"/>
      <c r="G21025" s="36" t="str">
        <f>IF(ISNUMBER(F21025),C21025*F21025,"")</f>
        <v/>
      </c>
    </row>
    <row r="21026" spans="1:7" ht="12" customHeight="1" outlineLevel="3" x14ac:dyDescent="0.2">
      <c r="A21026" s="14" t="s">
        <v>41388</v>
      </c>
      <c r="B21026" s="15" t="s">
        <v>41389</v>
      </c>
      <c r="C21026" s="16">
        <f>781.59/(1+B2)</f>
        <v>781.59</v>
      </c>
      <c r="D21026" s="17" t="s">
        <v>11</v>
      </c>
      <c r="E21026" s="17" t="s">
        <v>11</v>
      </c>
      <c r="F21026" s="18"/>
      <c r="G21026" s="36" t="str">
        <f>IF(ISNUMBER(F21026),C21026*F21026,"")</f>
        <v/>
      </c>
    </row>
    <row r="21027" spans="1:7" s="1" customFormat="1" ht="12.95" customHeight="1" outlineLevel="2" x14ac:dyDescent="0.2">
      <c r="A21027" s="20"/>
      <c r="B21027" s="21" t="s">
        <v>41390</v>
      </c>
      <c r="C21027" s="22"/>
      <c r="D21027" s="22"/>
      <c r="E21027" s="22"/>
      <c r="F21027" s="22"/>
      <c r="G21027" s="37"/>
    </row>
    <row r="21028" spans="1:7" ht="24" customHeight="1" outlineLevel="3" x14ac:dyDescent="0.2">
      <c r="A21028" s="14" t="s">
        <v>41391</v>
      </c>
      <c r="B21028" s="15" t="s">
        <v>41392</v>
      </c>
      <c r="C21028" s="19">
        <f>4344.27/(1+B2)</f>
        <v>4344.2700000000004</v>
      </c>
      <c r="D21028" s="17" t="s">
        <v>11</v>
      </c>
      <c r="E21028" s="17" t="s">
        <v>11</v>
      </c>
      <c r="F21028" s="18"/>
      <c r="G21028" s="36" t="str">
        <f>IF(ISNUMBER(F21028),C21028*F21028,"")</f>
        <v/>
      </c>
    </row>
    <row r="21029" spans="1:7" ht="24" customHeight="1" outlineLevel="3" x14ac:dyDescent="0.2">
      <c r="A21029" s="14" t="s">
        <v>41393</v>
      </c>
      <c r="B21029" s="15" t="s">
        <v>41394</v>
      </c>
      <c r="C21029" s="19">
        <f>2676.89/(1+B2)</f>
        <v>2676.89</v>
      </c>
      <c r="D21029" s="17" t="s">
        <v>11</v>
      </c>
      <c r="E21029" s="17"/>
      <c r="F21029" s="18"/>
      <c r="G21029" s="36" t="str">
        <f>IF(ISNUMBER(F21029),C21029*F21029,"")</f>
        <v/>
      </c>
    </row>
    <row r="21030" spans="1:7" ht="24" customHeight="1" outlineLevel="3" x14ac:dyDescent="0.2">
      <c r="A21030" s="14" t="s">
        <v>41395</v>
      </c>
      <c r="B21030" s="15" t="s">
        <v>41396</v>
      </c>
      <c r="C21030" s="19">
        <f>2617.11/(1+B2)</f>
        <v>2617.11</v>
      </c>
      <c r="D21030" s="17" t="s">
        <v>11</v>
      </c>
      <c r="E21030" s="17" t="s">
        <v>11</v>
      </c>
      <c r="F21030" s="18"/>
      <c r="G21030" s="36" t="str">
        <f>IF(ISNUMBER(F21030),C21030*F21030,"")</f>
        <v/>
      </c>
    </row>
    <row r="21031" spans="1:7" ht="24" customHeight="1" outlineLevel="3" x14ac:dyDescent="0.2">
      <c r="A21031" s="14" t="s">
        <v>41397</v>
      </c>
      <c r="B21031" s="15" t="s">
        <v>41398</v>
      </c>
      <c r="C21031" s="19">
        <f>2726.66/(1+B2)</f>
        <v>2726.66</v>
      </c>
      <c r="D21031" s="17" t="s">
        <v>11</v>
      </c>
      <c r="E21031" s="17" t="s">
        <v>11</v>
      </c>
      <c r="F21031" s="18"/>
      <c r="G21031" s="36" t="str">
        <f>IF(ISNUMBER(F21031),C21031*F21031,"")</f>
        <v/>
      </c>
    </row>
    <row r="21032" spans="1:7" ht="12" customHeight="1" outlineLevel="3" x14ac:dyDescent="0.2">
      <c r="A21032" s="14" t="s">
        <v>41399</v>
      </c>
      <c r="B21032" s="15" t="s">
        <v>41400</v>
      </c>
      <c r="C21032" s="19">
        <f>2519.73/(1+B2)</f>
        <v>2519.73</v>
      </c>
      <c r="D21032" s="17" t="s">
        <v>11</v>
      </c>
      <c r="E21032" s="17" t="s">
        <v>11</v>
      </c>
      <c r="F21032" s="18"/>
      <c r="G21032" s="36" t="str">
        <f>IF(ISNUMBER(F21032),C21032*F21032,"")</f>
        <v/>
      </c>
    </row>
    <row r="21033" spans="1:7" ht="12" customHeight="1" outlineLevel="3" x14ac:dyDescent="0.2">
      <c r="A21033" s="14" t="s">
        <v>41401</v>
      </c>
      <c r="B21033" s="15" t="s">
        <v>41402</v>
      </c>
      <c r="C21033" s="19">
        <f>2446.69/(1+B2)</f>
        <v>2446.69</v>
      </c>
      <c r="D21033" s="17" t="s">
        <v>11</v>
      </c>
      <c r="E21033" s="17" t="s">
        <v>11</v>
      </c>
      <c r="F21033" s="18"/>
      <c r="G21033" s="36" t="str">
        <f>IF(ISNUMBER(F21033),C21033*F21033,"")</f>
        <v/>
      </c>
    </row>
    <row r="21034" spans="1:7" ht="12" customHeight="1" outlineLevel="3" x14ac:dyDescent="0.2">
      <c r="A21034" s="14" t="s">
        <v>41403</v>
      </c>
      <c r="B21034" s="15" t="s">
        <v>41404</v>
      </c>
      <c r="C21034" s="19">
        <f>2428.27/(1+B2)</f>
        <v>2428.27</v>
      </c>
      <c r="D21034" s="17" t="s">
        <v>11</v>
      </c>
      <c r="E21034" s="17"/>
      <c r="F21034" s="18"/>
      <c r="G21034" s="36" t="str">
        <f>IF(ISNUMBER(F21034),C21034*F21034,"")</f>
        <v/>
      </c>
    </row>
    <row r="21035" spans="1:7" ht="24" customHeight="1" outlineLevel="3" x14ac:dyDescent="0.2">
      <c r="A21035" s="14" t="s">
        <v>41405</v>
      </c>
      <c r="B21035" s="15" t="s">
        <v>41406</v>
      </c>
      <c r="C21035" s="19">
        <f>2366.18/(1+B2)</f>
        <v>2366.1799999999998</v>
      </c>
      <c r="D21035" s="17" t="s">
        <v>11</v>
      </c>
      <c r="E21035" s="17"/>
      <c r="F21035" s="18"/>
      <c r="G21035" s="36" t="str">
        <f>IF(ISNUMBER(F21035),C21035*F21035,"")</f>
        <v/>
      </c>
    </row>
    <row r="21036" spans="1:7" ht="24" customHeight="1" outlineLevel="3" x14ac:dyDescent="0.2">
      <c r="A21036" s="14" t="s">
        <v>41407</v>
      </c>
      <c r="B21036" s="15" t="s">
        <v>41408</v>
      </c>
      <c r="C21036" s="19">
        <f>2531.9/(1+B2)</f>
        <v>2531.9</v>
      </c>
      <c r="D21036" s="17" t="s">
        <v>11</v>
      </c>
      <c r="E21036" s="17" t="s">
        <v>11</v>
      </c>
      <c r="F21036" s="18"/>
      <c r="G21036" s="36" t="str">
        <f>IF(ISNUMBER(F21036),C21036*F21036,"")</f>
        <v/>
      </c>
    </row>
    <row r="21037" spans="1:7" ht="24" customHeight="1" outlineLevel="3" x14ac:dyDescent="0.2">
      <c r="A21037" s="14" t="s">
        <v>41409</v>
      </c>
      <c r="B21037" s="15" t="s">
        <v>41410</v>
      </c>
      <c r="C21037" s="19">
        <f>2531.9/(1+B2)</f>
        <v>2531.9</v>
      </c>
      <c r="D21037" s="17" t="s">
        <v>11</v>
      </c>
      <c r="E21037" s="17" t="s">
        <v>11</v>
      </c>
      <c r="F21037" s="18"/>
      <c r="G21037" s="36" t="str">
        <f>IF(ISNUMBER(F21037),C21037*F21037,"")</f>
        <v/>
      </c>
    </row>
    <row r="21038" spans="1:7" ht="24" customHeight="1" outlineLevel="3" x14ac:dyDescent="0.2">
      <c r="A21038" s="14" t="s">
        <v>41411</v>
      </c>
      <c r="B21038" s="15" t="s">
        <v>41412</v>
      </c>
      <c r="C21038" s="19">
        <f>2478.35/(1+B2)</f>
        <v>2478.35</v>
      </c>
      <c r="D21038" s="17" t="s">
        <v>11</v>
      </c>
      <c r="E21038" s="17" t="s">
        <v>11</v>
      </c>
      <c r="F21038" s="18"/>
      <c r="G21038" s="36" t="str">
        <f>IF(ISNUMBER(F21038),C21038*F21038,"")</f>
        <v/>
      </c>
    </row>
    <row r="21039" spans="1:7" ht="24" customHeight="1" outlineLevel="3" x14ac:dyDescent="0.2">
      <c r="A21039" s="14" t="s">
        <v>41413</v>
      </c>
      <c r="B21039" s="15" t="s">
        <v>41414</v>
      </c>
      <c r="C21039" s="19">
        <f>2478.35/(1+B2)</f>
        <v>2478.35</v>
      </c>
      <c r="D21039" s="17" t="s">
        <v>11</v>
      </c>
      <c r="E21039" s="17"/>
      <c r="F21039" s="18"/>
      <c r="G21039" s="36" t="str">
        <f>IF(ISNUMBER(F21039),C21039*F21039,"")</f>
        <v/>
      </c>
    </row>
    <row r="21040" spans="1:7" ht="24" customHeight="1" outlineLevel="3" x14ac:dyDescent="0.2">
      <c r="A21040" s="14" t="s">
        <v>41415</v>
      </c>
      <c r="B21040" s="15" t="s">
        <v>41416</v>
      </c>
      <c r="C21040" s="19">
        <f>2485.69/(1+B2)</f>
        <v>2485.69</v>
      </c>
      <c r="D21040" s="17" t="s">
        <v>11</v>
      </c>
      <c r="E21040" s="17"/>
      <c r="F21040" s="18"/>
      <c r="G21040" s="36" t="str">
        <f>IF(ISNUMBER(F21040),C21040*F21040,"")</f>
        <v/>
      </c>
    </row>
    <row r="21041" spans="1:7" ht="24" customHeight="1" outlineLevel="3" x14ac:dyDescent="0.2">
      <c r="A21041" s="14" t="s">
        <v>41417</v>
      </c>
      <c r="B21041" s="15" t="s">
        <v>41418</v>
      </c>
      <c r="C21041" s="19">
        <f>2732.75/(1+B2)</f>
        <v>2732.75</v>
      </c>
      <c r="D21041" s="17" t="s">
        <v>11</v>
      </c>
      <c r="E21041" s="17" t="s">
        <v>11</v>
      </c>
      <c r="F21041" s="18"/>
      <c r="G21041" s="36" t="str">
        <f>IF(ISNUMBER(F21041),C21041*F21041,"")</f>
        <v/>
      </c>
    </row>
    <row r="21042" spans="1:7" ht="12" customHeight="1" outlineLevel="3" x14ac:dyDescent="0.2">
      <c r="A21042" s="14" t="s">
        <v>41419</v>
      </c>
      <c r="B21042" s="15" t="s">
        <v>41420</v>
      </c>
      <c r="C21042" s="19">
        <f>2541.38/(1+B2)</f>
        <v>2541.38</v>
      </c>
      <c r="D21042" s="17" t="s">
        <v>11</v>
      </c>
      <c r="E21042" s="17"/>
      <c r="F21042" s="18"/>
      <c r="G21042" s="36" t="str">
        <f>IF(ISNUMBER(F21042),C21042*F21042,"")</f>
        <v/>
      </c>
    </row>
    <row r="21043" spans="1:7" ht="12" customHeight="1" outlineLevel="3" x14ac:dyDescent="0.2">
      <c r="A21043" s="14" t="s">
        <v>41421</v>
      </c>
      <c r="B21043" s="15" t="s">
        <v>41422</v>
      </c>
      <c r="C21043" s="19">
        <f>4361.58/(1+B2)</f>
        <v>4361.58</v>
      </c>
      <c r="D21043" s="17" t="s">
        <v>11</v>
      </c>
      <c r="E21043" s="17"/>
      <c r="F21043" s="18"/>
      <c r="G21043" s="36" t="str">
        <f>IF(ISNUMBER(F21043),C21043*F21043,"")</f>
        <v/>
      </c>
    </row>
    <row r="21044" spans="1:7" ht="12" customHeight="1" outlineLevel="3" x14ac:dyDescent="0.2">
      <c r="A21044" s="14" t="s">
        <v>41423</v>
      </c>
      <c r="B21044" s="15" t="s">
        <v>41424</v>
      </c>
      <c r="C21044" s="19">
        <f>4361.58/(1+B2)</f>
        <v>4361.58</v>
      </c>
      <c r="D21044" s="17" t="s">
        <v>11</v>
      </c>
      <c r="E21044" s="17" t="s">
        <v>11</v>
      </c>
      <c r="F21044" s="18"/>
      <c r="G21044" s="36" t="str">
        <f>IF(ISNUMBER(F21044),C21044*F21044,"")</f>
        <v/>
      </c>
    </row>
    <row r="21045" spans="1:7" ht="12" customHeight="1" outlineLevel="3" x14ac:dyDescent="0.2">
      <c r="A21045" s="14" t="s">
        <v>41425</v>
      </c>
      <c r="B21045" s="15" t="s">
        <v>41426</v>
      </c>
      <c r="C21045" s="19">
        <f>3917.34/(1+B2)</f>
        <v>3917.34</v>
      </c>
      <c r="D21045" s="17" t="s">
        <v>11</v>
      </c>
      <c r="E21045" s="17" t="s">
        <v>11</v>
      </c>
      <c r="F21045" s="18"/>
      <c r="G21045" s="36" t="str">
        <f>IF(ISNUMBER(F21045),C21045*F21045,"")</f>
        <v/>
      </c>
    </row>
    <row r="21046" spans="1:7" ht="12" customHeight="1" outlineLevel="3" x14ac:dyDescent="0.2">
      <c r="A21046" s="14" t="s">
        <v>41427</v>
      </c>
      <c r="B21046" s="15" t="s">
        <v>41428</v>
      </c>
      <c r="C21046" s="19">
        <f>4059.54/(1+B2)</f>
        <v>4059.54</v>
      </c>
      <c r="D21046" s="17" t="s">
        <v>11</v>
      </c>
      <c r="E21046" s="17"/>
      <c r="F21046" s="18"/>
      <c r="G21046" s="36" t="str">
        <f>IF(ISNUMBER(F21046),C21046*F21046,"")</f>
        <v/>
      </c>
    </row>
    <row r="21047" spans="1:7" ht="12" customHeight="1" outlineLevel="3" x14ac:dyDescent="0.2">
      <c r="A21047" s="14" t="s">
        <v>41429</v>
      </c>
      <c r="B21047" s="15" t="s">
        <v>41430</v>
      </c>
      <c r="C21047" s="19">
        <f>3619.12/(1+B2)</f>
        <v>3619.12</v>
      </c>
      <c r="D21047" s="17" t="s">
        <v>11</v>
      </c>
      <c r="E21047" s="17" t="s">
        <v>11</v>
      </c>
      <c r="F21047" s="18"/>
      <c r="G21047" s="36" t="str">
        <f>IF(ISNUMBER(F21047),C21047*F21047,"")</f>
        <v/>
      </c>
    </row>
    <row r="21048" spans="1:7" ht="24" customHeight="1" outlineLevel="3" x14ac:dyDescent="0.2">
      <c r="A21048" s="14" t="s">
        <v>41431</v>
      </c>
      <c r="B21048" s="15" t="s">
        <v>41432</v>
      </c>
      <c r="C21048" s="19">
        <f>4244.48/(1+B2)</f>
        <v>4244.4799999999996</v>
      </c>
      <c r="D21048" s="17" t="s">
        <v>11</v>
      </c>
      <c r="E21048" s="17" t="s">
        <v>11</v>
      </c>
      <c r="F21048" s="18"/>
      <c r="G21048" s="36" t="str">
        <f>IF(ISNUMBER(F21048),C21048*F21048,"")</f>
        <v/>
      </c>
    </row>
    <row r="21049" spans="1:7" ht="12" customHeight="1" outlineLevel="3" x14ac:dyDescent="0.2">
      <c r="A21049" s="14" t="s">
        <v>41433</v>
      </c>
      <c r="B21049" s="15" t="s">
        <v>41434</v>
      </c>
      <c r="C21049" s="19">
        <f>2130.2/(1+B2)</f>
        <v>2130.1999999999998</v>
      </c>
      <c r="D21049" s="17" t="s">
        <v>11</v>
      </c>
      <c r="E21049" s="17" t="s">
        <v>11</v>
      </c>
      <c r="F21049" s="18"/>
      <c r="G21049" s="36" t="str">
        <f>IF(ISNUMBER(F21049),C21049*F21049,"")</f>
        <v/>
      </c>
    </row>
    <row r="21050" spans="1:7" ht="12" customHeight="1" outlineLevel="3" x14ac:dyDescent="0.2">
      <c r="A21050" s="14" t="s">
        <v>41435</v>
      </c>
      <c r="B21050" s="15" t="s">
        <v>41436</v>
      </c>
      <c r="C21050" s="19">
        <f>2130.2/(1+B2)</f>
        <v>2130.1999999999998</v>
      </c>
      <c r="D21050" s="17" t="s">
        <v>11</v>
      </c>
      <c r="E21050" s="17"/>
      <c r="F21050" s="18"/>
      <c r="G21050" s="36" t="str">
        <f>IF(ISNUMBER(F21050),C21050*F21050,"")</f>
        <v/>
      </c>
    </row>
    <row r="21051" spans="1:7" ht="12" customHeight="1" outlineLevel="3" x14ac:dyDescent="0.2">
      <c r="A21051" s="14" t="s">
        <v>41437</v>
      </c>
      <c r="B21051" s="15" t="s">
        <v>41438</v>
      </c>
      <c r="C21051" s="19">
        <f>2130.2/(1+B2)</f>
        <v>2130.1999999999998</v>
      </c>
      <c r="D21051" s="17" t="s">
        <v>11</v>
      </c>
      <c r="E21051" s="17" t="s">
        <v>11</v>
      </c>
      <c r="F21051" s="18"/>
      <c r="G21051" s="36" t="str">
        <f>IF(ISNUMBER(F21051),C21051*F21051,"")</f>
        <v/>
      </c>
    </row>
    <row r="21052" spans="1:7" ht="24" customHeight="1" outlineLevel="3" x14ac:dyDescent="0.2">
      <c r="A21052" s="14" t="s">
        <v>41439</v>
      </c>
      <c r="B21052" s="15" t="s">
        <v>41440</v>
      </c>
      <c r="C21052" s="19">
        <f>3006.64/(1+B2)</f>
        <v>3006.64</v>
      </c>
      <c r="D21052" s="17" t="s">
        <v>11</v>
      </c>
      <c r="E21052" s="17" t="s">
        <v>11</v>
      </c>
      <c r="F21052" s="18"/>
      <c r="G21052" s="36" t="str">
        <f>IF(ISNUMBER(F21052),C21052*F21052,"")</f>
        <v/>
      </c>
    </row>
    <row r="21053" spans="1:7" ht="24" customHeight="1" outlineLevel="3" x14ac:dyDescent="0.2">
      <c r="A21053" s="14" t="s">
        <v>41441</v>
      </c>
      <c r="B21053" s="15" t="s">
        <v>41442</v>
      </c>
      <c r="C21053" s="19">
        <f>2887.31/(1+B2)</f>
        <v>2887.31</v>
      </c>
      <c r="D21053" s="17" t="s">
        <v>11</v>
      </c>
      <c r="E21053" s="17" t="s">
        <v>11</v>
      </c>
      <c r="F21053" s="18"/>
      <c r="G21053" s="36" t="str">
        <f>IF(ISNUMBER(F21053),C21053*F21053,"")</f>
        <v/>
      </c>
    </row>
    <row r="21054" spans="1:7" ht="24" customHeight="1" outlineLevel="3" x14ac:dyDescent="0.2">
      <c r="A21054" s="14" t="s">
        <v>41443</v>
      </c>
      <c r="B21054" s="15" t="s">
        <v>41444</v>
      </c>
      <c r="C21054" s="19">
        <f>2988.09/(1+B2)</f>
        <v>2988.09</v>
      </c>
      <c r="D21054" s="17" t="s">
        <v>11</v>
      </c>
      <c r="E21054" s="17"/>
      <c r="F21054" s="18"/>
      <c r="G21054" s="36" t="str">
        <f>IF(ISNUMBER(F21054),C21054*F21054,"")</f>
        <v/>
      </c>
    </row>
    <row r="21055" spans="1:7" ht="12" customHeight="1" outlineLevel="3" x14ac:dyDescent="0.2">
      <c r="A21055" s="14" t="s">
        <v>41445</v>
      </c>
      <c r="B21055" s="15" t="s">
        <v>41446</v>
      </c>
      <c r="C21055" s="19">
        <f>3261.21/(1+B2)</f>
        <v>3261.21</v>
      </c>
      <c r="D21055" s="17" t="s">
        <v>11</v>
      </c>
      <c r="E21055" s="17"/>
      <c r="F21055" s="18"/>
      <c r="G21055" s="36" t="str">
        <f>IF(ISNUMBER(F21055),C21055*F21055,"")</f>
        <v/>
      </c>
    </row>
    <row r="21056" spans="1:7" ht="24" customHeight="1" outlineLevel="3" x14ac:dyDescent="0.2">
      <c r="A21056" s="14" t="s">
        <v>41447</v>
      </c>
      <c r="B21056" s="15" t="s">
        <v>41448</v>
      </c>
      <c r="C21056" s="19">
        <f>2793.61/(1+B2)</f>
        <v>2793.61</v>
      </c>
      <c r="D21056" s="17" t="s">
        <v>11</v>
      </c>
      <c r="E21056" s="17"/>
      <c r="F21056" s="18"/>
      <c r="G21056" s="36" t="str">
        <f>IF(ISNUMBER(F21056),C21056*F21056,"")</f>
        <v/>
      </c>
    </row>
    <row r="21057" spans="1:7" ht="12" customHeight="1" outlineLevel="3" x14ac:dyDescent="0.2">
      <c r="A21057" s="14" t="s">
        <v>41449</v>
      </c>
      <c r="B21057" s="15" t="s">
        <v>41450</v>
      </c>
      <c r="C21057" s="19">
        <f>2093.69/(1+B2)</f>
        <v>2093.69</v>
      </c>
      <c r="D21057" s="17" t="s">
        <v>11</v>
      </c>
      <c r="E21057" s="17" t="s">
        <v>11</v>
      </c>
      <c r="F21057" s="18"/>
      <c r="G21057" s="36" t="str">
        <f>IF(ISNUMBER(F21057),C21057*F21057,"")</f>
        <v/>
      </c>
    </row>
    <row r="21058" spans="1:7" ht="24" customHeight="1" outlineLevel="3" x14ac:dyDescent="0.2">
      <c r="A21058" s="14" t="s">
        <v>41451</v>
      </c>
      <c r="B21058" s="15" t="s">
        <v>41452</v>
      </c>
      <c r="C21058" s="19">
        <f>3186.69/(1+B2)</f>
        <v>3186.69</v>
      </c>
      <c r="D21058" s="17" t="s">
        <v>11</v>
      </c>
      <c r="E21058" s="17"/>
      <c r="F21058" s="18"/>
      <c r="G21058" s="36" t="str">
        <f>IF(ISNUMBER(F21058),C21058*F21058,"")</f>
        <v/>
      </c>
    </row>
    <row r="21059" spans="1:7" ht="12" customHeight="1" outlineLevel="3" x14ac:dyDescent="0.2">
      <c r="A21059" s="14" t="s">
        <v>41453</v>
      </c>
      <c r="B21059" s="15" t="s">
        <v>41454</v>
      </c>
      <c r="C21059" s="19">
        <f>2634.51/(1+B2)</f>
        <v>2634.51</v>
      </c>
      <c r="D21059" s="17" t="s">
        <v>11</v>
      </c>
      <c r="E21059" s="17" t="s">
        <v>11</v>
      </c>
      <c r="F21059" s="18"/>
      <c r="G21059" s="36" t="str">
        <f>IF(ISNUMBER(F21059),C21059*F21059,"")</f>
        <v/>
      </c>
    </row>
    <row r="21060" spans="1:7" ht="12" customHeight="1" outlineLevel="3" x14ac:dyDescent="0.2">
      <c r="A21060" s="14" t="s">
        <v>41455</v>
      </c>
      <c r="B21060" s="15" t="s">
        <v>41456</v>
      </c>
      <c r="C21060" s="19">
        <f>2634.51/(1+B2)</f>
        <v>2634.51</v>
      </c>
      <c r="D21060" s="17" t="s">
        <v>11</v>
      </c>
      <c r="E21060" s="17"/>
      <c r="F21060" s="18"/>
      <c r="G21060" s="36" t="str">
        <f>IF(ISNUMBER(F21060),C21060*F21060,"")</f>
        <v/>
      </c>
    </row>
    <row r="21061" spans="1:7" ht="12" customHeight="1" outlineLevel="3" x14ac:dyDescent="0.2">
      <c r="A21061" s="14" t="s">
        <v>41457</v>
      </c>
      <c r="B21061" s="15" t="s">
        <v>41458</v>
      </c>
      <c r="C21061" s="19">
        <f>2634.51/(1+B2)</f>
        <v>2634.51</v>
      </c>
      <c r="D21061" s="17" t="s">
        <v>11</v>
      </c>
      <c r="E21061" s="17" t="s">
        <v>11</v>
      </c>
      <c r="F21061" s="18"/>
      <c r="G21061" s="36" t="str">
        <f>IF(ISNUMBER(F21061),C21061*F21061,"")</f>
        <v/>
      </c>
    </row>
    <row r="21062" spans="1:7" s="1" customFormat="1" ht="12.95" customHeight="1" outlineLevel="2" x14ac:dyDescent="0.2">
      <c r="A21062" s="20"/>
      <c r="B21062" s="21" t="s">
        <v>41459</v>
      </c>
      <c r="C21062" s="22"/>
      <c r="D21062" s="22"/>
      <c r="E21062" s="22"/>
      <c r="F21062" s="22"/>
      <c r="G21062" s="37"/>
    </row>
    <row r="21063" spans="1:7" ht="12" customHeight="1" outlineLevel="3" x14ac:dyDescent="0.2">
      <c r="A21063" s="14" t="s">
        <v>41460</v>
      </c>
      <c r="B21063" s="15" t="s">
        <v>41461</v>
      </c>
      <c r="C21063" s="19">
        <f>2565.12/(1+B2)</f>
        <v>2565.12</v>
      </c>
      <c r="D21063" s="17" t="s">
        <v>11</v>
      </c>
      <c r="E21063" s="17" t="s">
        <v>11</v>
      </c>
      <c r="F21063" s="18"/>
      <c r="G21063" s="36" t="str">
        <f>IF(ISNUMBER(F21063),C21063*F21063,"")</f>
        <v/>
      </c>
    </row>
    <row r="21064" spans="1:7" ht="12" customHeight="1" outlineLevel="3" x14ac:dyDescent="0.2">
      <c r="A21064" s="14" t="s">
        <v>41462</v>
      </c>
      <c r="B21064" s="15" t="s">
        <v>41463</v>
      </c>
      <c r="C21064" s="19">
        <f>2565.12/(1+B2)</f>
        <v>2565.12</v>
      </c>
      <c r="D21064" s="17" t="s">
        <v>11</v>
      </c>
      <c r="E21064" s="17"/>
      <c r="F21064" s="18"/>
      <c r="G21064" s="36" t="str">
        <f>IF(ISNUMBER(F21064),C21064*F21064,"")</f>
        <v/>
      </c>
    </row>
    <row r="21065" spans="1:7" ht="12" customHeight="1" outlineLevel="3" x14ac:dyDescent="0.2">
      <c r="A21065" s="14" t="s">
        <v>41464</v>
      </c>
      <c r="B21065" s="15" t="s">
        <v>41465</v>
      </c>
      <c r="C21065" s="19">
        <f>2565.12/(1+B2)</f>
        <v>2565.12</v>
      </c>
      <c r="D21065" s="17" t="s">
        <v>11</v>
      </c>
      <c r="E21065" s="17" t="s">
        <v>11</v>
      </c>
      <c r="F21065" s="18"/>
      <c r="G21065" s="36" t="str">
        <f>IF(ISNUMBER(F21065),C21065*F21065,"")</f>
        <v/>
      </c>
    </row>
    <row r="21066" spans="1:7" ht="24" customHeight="1" outlineLevel="3" x14ac:dyDescent="0.2">
      <c r="A21066" s="14" t="s">
        <v>41466</v>
      </c>
      <c r="B21066" s="15" t="s">
        <v>41467</v>
      </c>
      <c r="C21066" s="19">
        <f>1537.54/(1+B2)</f>
        <v>1537.54</v>
      </c>
      <c r="D21066" s="17" t="s">
        <v>11</v>
      </c>
      <c r="E21066" s="17" t="s">
        <v>11</v>
      </c>
      <c r="F21066" s="18"/>
      <c r="G21066" s="36" t="str">
        <f>IF(ISNUMBER(F21066),C21066*F21066,"")</f>
        <v/>
      </c>
    </row>
    <row r="21067" spans="1:7" ht="12" customHeight="1" outlineLevel="3" x14ac:dyDescent="0.2">
      <c r="A21067" s="14" t="s">
        <v>41468</v>
      </c>
      <c r="B21067" s="15" t="s">
        <v>41469</v>
      </c>
      <c r="C21067" s="19">
        <f>1537.54/(1+B2)</f>
        <v>1537.54</v>
      </c>
      <c r="D21067" s="17" t="s">
        <v>11</v>
      </c>
      <c r="E21067" s="17" t="s">
        <v>11</v>
      </c>
      <c r="F21067" s="18"/>
      <c r="G21067" s="36" t="str">
        <f>IF(ISNUMBER(F21067),C21067*F21067,"")</f>
        <v/>
      </c>
    </row>
    <row r="21068" spans="1:7" ht="12" customHeight="1" outlineLevel="3" x14ac:dyDescent="0.2">
      <c r="A21068" s="14" t="s">
        <v>41470</v>
      </c>
      <c r="B21068" s="15" t="s">
        <v>41471</v>
      </c>
      <c r="C21068" s="19">
        <f>1265.95/(1+B2)</f>
        <v>1265.95</v>
      </c>
      <c r="D21068" s="17" t="s">
        <v>11</v>
      </c>
      <c r="E21068" s="17"/>
      <c r="F21068" s="18"/>
      <c r="G21068" s="36" t="str">
        <f>IF(ISNUMBER(F21068),C21068*F21068,"")</f>
        <v/>
      </c>
    </row>
    <row r="21069" spans="1:7" ht="12" customHeight="1" outlineLevel="3" x14ac:dyDescent="0.2">
      <c r="A21069" s="14" t="s">
        <v>41472</v>
      </c>
      <c r="B21069" s="15" t="s">
        <v>41473</v>
      </c>
      <c r="C21069" s="19">
        <f>1396.59/(1+B2)</f>
        <v>1396.59</v>
      </c>
      <c r="D21069" s="17" t="s">
        <v>11</v>
      </c>
      <c r="E21069" s="17"/>
      <c r="F21069" s="18"/>
      <c r="G21069" s="36" t="str">
        <f>IF(ISNUMBER(F21069),C21069*F21069,"")</f>
        <v/>
      </c>
    </row>
    <row r="21070" spans="1:7" ht="12" customHeight="1" outlineLevel="3" x14ac:dyDescent="0.2">
      <c r="A21070" s="14" t="s">
        <v>41474</v>
      </c>
      <c r="B21070" s="15" t="s">
        <v>41475</v>
      </c>
      <c r="C21070" s="19">
        <f>1314.64/(1+B2)</f>
        <v>1314.64</v>
      </c>
      <c r="D21070" s="17" t="s">
        <v>11</v>
      </c>
      <c r="E21070" s="17" t="s">
        <v>11</v>
      </c>
      <c r="F21070" s="18"/>
      <c r="G21070" s="36" t="str">
        <f>IF(ISNUMBER(F21070),C21070*F21070,"")</f>
        <v/>
      </c>
    </row>
    <row r="21071" spans="1:7" ht="12" customHeight="1" outlineLevel="3" x14ac:dyDescent="0.2">
      <c r="A21071" s="14" t="s">
        <v>41476</v>
      </c>
      <c r="B21071" s="15" t="s">
        <v>41477</v>
      </c>
      <c r="C21071" s="19">
        <f>1314.64/(1+B2)</f>
        <v>1314.64</v>
      </c>
      <c r="D21071" s="17" t="s">
        <v>11</v>
      </c>
      <c r="E21071" s="17" t="s">
        <v>11</v>
      </c>
      <c r="F21071" s="18"/>
      <c r="G21071" s="36" t="str">
        <f>IF(ISNUMBER(F21071),C21071*F21071,"")</f>
        <v/>
      </c>
    </row>
    <row r="21072" spans="1:7" ht="12" customHeight="1" outlineLevel="3" x14ac:dyDescent="0.2">
      <c r="A21072" s="14" t="s">
        <v>41478</v>
      </c>
      <c r="B21072" s="15" t="s">
        <v>41479</v>
      </c>
      <c r="C21072" s="19">
        <f>1326.81/(1+B2)</f>
        <v>1326.81</v>
      </c>
      <c r="D21072" s="17" t="s">
        <v>11</v>
      </c>
      <c r="E21072" s="17" t="s">
        <v>11</v>
      </c>
      <c r="F21072" s="18"/>
      <c r="G21072" s="36" t="str">
        <f>IF(ISNUMBER(F21072),C21072*F21072,"")</f>
        <v/>
      </c>
    </row>
    <row r="21073" spans="1:7" ht="12" customHeight="1" outlineLevel="3" x14ac:dyDescent="0.2">
      <c r="A21073" s="14" t="s">
        <v>41480</v>
      </c>
      <c r="B21073" s="15" t="s">
        <v>41481</v>
      </c>
      <c r="C21073" s="19">
        <f>1314.64/(1+B2)</f>
        <v>1314.64</v>
      </c>
      <c r="D21073" s="17" t="s">
        <v>11</v>
      </c>
      <c r="E21073" s="17" t="s">
        <v>11</v>
      </c>
      <c r="F21073" s="18"/>
      <c r="G21073" s="36" t="str">
        <f>IF(ISNUMBER(F21073),C21073*F21073,"")</f>
        <v/>
      </c>
    </row>
    <row r="21074" spans="1:7" ht="12" customHeight="1" outlineLevel="3" x14ac:dyDescent="0.2">
      <c r="A21074" s="14" t="s">
        <v>41482</v>
      </c>
      <c r="B21074" s="15" t="s">
        <v>41483</v>
      </c>
      <c r="C21074" s="19">
        <f>1537.54/(1+B2)</f>
        <v>1537.54</v>
      </c>
      <c r="D21074" s="17" t="s">
        <v>11</v>
      </c>
      <c r="E21074" s="17" t="s">
        <v>11</v>
      </c>
      <c r="F21074" s="18"/>
      <c r="G21074" s="36" t="str">
        <f>IF(ISNUMBER(F21074),C21074*F21074,"")</f>
        <v/>
      </c>
    </row>
    <row r="21075" spans="1:7" ht="12" customHeight="1" outlineLevel="3" x14ac:dyDescent="0.2">
      <c r="A21075" s="14" t="s">
        <v>41484</v>
      </c>
      <c r="B21075" s="15" t="s">
        <v>41485</v>
      </c>
      <c r="C21075" s="19">
        <f>1537.54/(1+B2)</f>
        <v>1537.54</v>
      </c>
      <c r="D21075" s="17" t="s">
        <v>11</v>
      </c>
      <c r="E21075" s="17" t="s">
        <v>11</v>
      </c>
      <c r="F21075" s="18"/>
      <c r="G21075" s="36" t="str">
        <f>IF(ISNUMBER(F21075),C21075*F21075,"")</f>
        <v/>
      </c>
    </row>
    <row r="21076" spans="1:7" ht="12" customHeight="1" outlineLevel="3" x14ac:dyDescent="0.2">
      <c r="A21076" s="14" t="s">
        <v>41486</v>
      </c>
      <c r="B21076" s="15" t="s">
        <v>41487</v>
      </c>
      <c r="C21076" s="19">
        <f>1195.04/(1+B2)</f>
        <v>1195.04</v>
      </c>
      <c r="D21076" s="17" t="s">
        <v>11</v>
      </c>
      <c r="E21076" s="17"/>
      <c r="F21076" s="18"/>
      <c r="G21076" s="36" t="str">
        <f>IF(ISNUMBER(F21076),C21076*F21076,"")</f>
        <v/>
      </c>
    </row>
    <row r="21077" spans="1:7" ht="12" customHeight="1" outlineLevel="3" x14ac:dyDescent="0.2">
      <c r="A21077" s="14" t="s">
        <v>41488</v>
      </c>
      <c r="B21077" s="15" t="s">
        <v>41489</v>
      </c>
      <c r="C21077" s="19">
        <f>1205.09/(1+B2)</f>
        <v>1205.0899999999999</v>
      </c>
      <c r="D21077" s="17" t="s">
        <v>11</v>
      </c>
      <c r="E21077" s="17" t="s">
        <v>11</v>
      </c>
      <c r="F21077" s="18"/>
      <c r="G21077" s="36" t="str">
        <f>IF(ISNUMBER(F21077),C21077*F21077,"")</f>
        <v/>
      </c>
    </row>
    <row r="21078" spans="1:7" ht="12" customHeight="1" outlineLevel="3" x14ac:dyDescent="0.2">
      <c r="A21078" s="14" t="s">
        <v>41490</v>
      </c>
      <c r="B21078" s="15" t="s">
        <v>41491</v>
      </c>
      <c r="C21078" s="19">
        <f>1281.28/(1+B2)</f>
        <v>1281.28</v>
      </c>
      <c r="D21078" s="17" t="s">
        <v>11</v>
      </c>
      <c r="E21078" s="17"/>
      <c r="F21078" s="18"/>
      <c r="G21078" s="36" t="str">
        <f>IF(ISNUMBER(F21078),C21078*F21078,"")</f>
        <v/>
      </c>
    </row>
    <row r="21079" spans="1:7" ht="12" customHeight="1" outlineLevel="3" x14ac:dyDescent="0.2">
      <c r="A21079" s="14" t="s">
        <v>41492</v>
      </c>
      <c r="B21079" s="15" t="s">
        <v>41493</v>
      </c>
      <c r="C21079" s="19">
        <f>1205.09/(1+B2)</f>
        <v>1205.0899999999999</v>
      </c>
      <c r="D21079" s="17" t="s">
        <v>11</v>
      </c>
      <c r="E21079" s="17" t="s">
        <v>11</v>
      </c>
      <c r="F21079" s="18"/>
      <c r="G21079" s="36" t="str">
        <f>IF(ISNUMBER(F21079),C21079*F21079,"")</f>
        <v/>
      </c>
    </row>
    <row r="21080" spans="1:7" ht="12" customHeight="1" outlineLevel="3" x14ac:dyDescent="0.2">
      <c r="A21080" s="14" t="s">
        <v>41494</v>
      </c>
      <c r="B21080" s="15" t="s">
        <v>41495</v>
      </c>
      <c r="C21080" s="19">
        <f>1153.15/(1+B2)</f>
        <v>1153.1500000000001</v>
      </c>
      <c r="D21080" s="17" t="s">
        <v>11</v>
      </c>
      <c r="E21080" s="17" t="s">
        <v>11</v>
      </c>
      <c r="F21080" s="18"/>
      <c r="G21080" s="36" t="str">
        <f>IF(ISNUMBER(F21080),C21080*F21080,"")</f>
        <v/>
      </c>
    </row>
    <row r="21081" spans="1:7" ht="12" customHeight="1" outlineLevel="3" x14ac:dyDescent="0.2">
      <c r="A21081" s="14" t="s">
        <v>41496</v>
      </c>
      <c r="B21081" s="15" t="s">
        <v>41497</v>
      </c>
      <c r="C21081" s="19">
        <f>2216.62/(1+B2)</f>
        <v>2216.62</v>
      </c>
      <c r="D21081" s="17" t="s">
        <v>11</v>
      </c>
      <c r="E21081" s="17"/>
      <c r="F21081" s="18"/>
      <c r="G21081" s="36" t="str">
        <f>IF(ISNUMBER(F21081),C21081*F21081,"")</f>
        <v/>
      </c>
    </row>
    <row r="21082" spans="1:7" ht="12" customHeight="1" outlineLevel="3" x14ac:dyDescent="0.2">
      <c r="A21082" s="14" t="s">
        <v>41498</v>
      </c>
      <c r="B21082" s="15" t="s">
        <v>41499</v>
      </c>
      <c r="C21082" s="19">
        <f>2216.62/(1+B2)</f>
        <v>2216.62</v>
      </c>
      <c r="D21082" s="17" t="s">
        <v>11</v>
      </c>
      <c r="E21082" s="17"/>
      <c r="F21082" s="18"/>
      <c r="G21082" s="36" t="str">
        <f>IF(ISNUMBER(F21082),C21082*F21082,"")</f>
        <v/>
      </c>
    </row>
    <row r="21083" spans="1:7" ht="12" customHeight="1" outlineLevel="3" x14ac:dyDescent="0.2">
      <c r="A21083" s="14" t="s">
        <v>41500</v>
      </c>
      <c r="B21083" s="15" t="s">
        <v>41501</v>
      </c>
      <c r="C21083" s="19">
        <f>2216.62/(1+B2)</f>
        <v>2216.62</v>
      </c>
      <c r="D21083" s="17" t="s">
        <v>11</v>
      </c>
      <c r="E21083" s="17"/>
      <c r="F21083" s="18"/>
      <c r="G21083" s="36" t="str">
        <f>IF(ISNUMBER(F21083),C21083*F21083,"")</f>
        <v/>
      </c>
    </row>
    <row r="21084" spans="1:7" ht="12" customHeight="1" outlineLevel="3" x14ac:dyDescent="0.2">
      <c r="A21084" s="14" t="s">
        <v>41502</v>
      </c>
      <c r="B21084" s="15" t="s">
        <v>41503</v>
      </c>
      <c r="C21084" s="19">
        <f>1896.3/(1+B2)</f>
        <v>1896.3</v>
      </c>
      <c r="D21084" s="17" t="s">
        <v>11</v>
      </c>
      <c r="E21084" s="17" t="s">
        <v>11</v>
      </c>
      <c r="F21084" s="18"/>
      <c r="G21084" s="36" t="str">
        <f>IF(ISNUMBER(F21084),C21084*F21084,"")</f>
        <v/>
      </c>
    </row>
    <row r="21085" spans="1:7" ht="24" customHeight="1" outlineLevel="3" x14ac:dyDescent="0.2">
      <c r="A21085" s="14" t="s">
        <v>41504</v>
      </c>
      <c r="B21085" s="15" t="s">
        <v>41505</v>
      </c>
      <c r="C21085" s="19">
        <f>2105.86/(1+B2)</f>
        <v>2105.86</v>
      </c>
      <c r="D21085" s="17" t="s">
        <v>11</v>
      </c>
      <c r="E21085" s="17" t="s">
        <v>11</v>
      </c>
      <c r="F21085" s="18"/>
      <c r="G21085" s="36" t="str">
        <f>IF(ISNUMBER(F21085),C21085*F21085,"")</f>
        <v/>
      </c>
    </row>
    <row r="21086" spans="1:7" ht="24" customHeight="1" outlineLevel="3" x14ac:dyDescent="0.2">
      <c r="A21086" s="14" t="s">
        <v>41506</v>
      </c>
      <c r="B21086" s="15" t="s">
        <v>41507</v>
      </c>
      <c r="C21086" s="19">
        <f>2216.62/(1+B2)</f>
        <v>2216.62</v>
      </c>
      <c r="D21086" s="17" t="s">
        <v>11</v>
      </c>
      <c r="E21086" s="17"/>
      <c r="F21086" s="18"/>
      <c r="G21086" s="36" t="str">
        <f>IF(ISNUMBER(F21086),C21086*F21086,"")</f>
        <v/>
      </c>
    </row>
    <row r="21087" spans="1:7" ht="24" customHeight="1" outlineLevel="3" x14ac:dyDescent="0.2">
      <c r="A21087" s="14" t="s">
        <v>41508</v>
      </c>
      <c r="B21087" s="15" t="s">
        <v>41509</v>
      </c>
      <c r="C21087" s="19">
        <f>2216.62/(1+B2)</f>
        <v>2216.62</v>
      </c>
      <c r="D21087" s="17" t="s">
        <v>11</v>
      </c>
      <c r="E21087" s="17" t="s">
        <v>11</v>
      </c>
      <c r="F21087" s="18"/>
      <c r="G21087" s="36" t="str">
        <f>IF(ISNUMBER(F21087),C21087*F21087,"")</f>
        <v/>
      </c>
    </row>
    <row r="21088" spans="1:7" ht="24" customHeight="1" outlineLevel="3" x14ac:dyDescent="0.2">
      <c r="A21088" s="14" t="s">
        <v>41510</v>
      </c>
      <c r="B21088" s="15" t="s">
        <v>41511</v>
      </c>
      <c r="C21088" s="19">
        <f>2216.62/(1+B2)</f>
        <v>2216.62</v>
      </c>
      <c r="D21088" s="17" t="s">
        <v>11</v>
      </c>
      <c r="E21088" s="17"/>
      <c r="F21088" s="18"/>
      <c r="G21088" s="36" t="str">
        <f>IF(ISNUMBER(F21088),C21088*F21088,"")</f>
        <v/>
      </c>
    </row>
    <row r="21089" spans="1:7" ht="12" customHeight="1" outlineLevel="3" x14ac:dyDescent="0.2">
      <c r="A21089" s="14" t="s">
        <v>41512</v>
      </c>
      <c r="B21089" s="15" t="s">
        <v>41513</v>
      </c>
      <c r="C21089" s="19">
        <f>1434.05/(1+B2)</f>
        <v>1434.05</v>
      </c>
      <c r="D21089" s="17" t="s">
        <v>11</v>
      </c>
      <c r="E21089" s="17"/>
      <c r="F21089" s="18"/>
      <c r="G21089" s="36" t="str">
        <f>IF(ISNUMBER(F21089),C21089*F21089,"")</f>
        <v/>
      </c>
    </row>
    <row r="21090" spans="1:7" ht="12" customHeight="1" outlineLevel="3" x14ac:dyDescent="0.2">
      <c r="A21090" s="14" t="s">
        <v>41514</v>
      </c>
      <c r="B21090" s="15" t="s">
        <v>41515</v>
      </c>
      <c r="C21090" s="19">
        <f>1999.07/(1+B2)</f>
        <v>1999.07</v>
      </c>
      <c r="D21090" s="17" t="s">
        <v>11</v>
      </c>
      <c r="E21090" s="17"/>
      <c r="F21090" s="18"/>
      <c r="G21090" s="36" t="str">
        <f>IF(ISNUMBER(F21090),C21090*F21090,"")</f>
        <v/>
      </c>
    </row>
    <row r="21091" spans="1:7" ht="12" customHeight="1" outlineLevel="3" x14ac:dyDescent="0.2">
      <c r="A21091" s="14" t="s">
        <v>41516</v>
      </c>
      <c r="B21091" s="15" t="s">
        <v>41517</v>
      </c>
      <c r="C21091" s="19">
        <f>1806.61/(1+B2)</f>
        <v>1806.61</v>
      </c>
      <c r="D21091" s="17" t="s">
        <v>11</v>
      </c>
      <c r="E21091" s="17" t="s">
        <v>11</v>
      </c>
      <c r="F21091" s="18"/>
      <c r="G21091" s="36" t="str">
        <f>IF(ISNUMBER(F21091),C21091*F21091,"")</f>
        <v/>
      </c>
    </row>
    <row r="21092" spans="1:7" ht="12" customHeight="1" outlineLevel="3" x14ac:dyDescent="0.2">
      <c r="A21092" s="14" t="s">
        <v>41518</v>
      </c>
      <c r="B21092" s="15" t="s">
        <v>41519</v>
      </c>
      <c r="C21092" s="19">
        <f>1407.73/(1+B2)</f>
        <v>1407.73</v>
      </c>
      <c r="D21092" s="17" t="s">
        <v>11</v>
      </c>
      <c r="E21092" s="17" t="s">
        <v>11</v>
      </c>
      <c r="F21092" s="18"/>
      <c r="G21092" s="36" t="str">
        <f>IF(ISNUMBER(F21092),C21092*F21092,"")</f>
        <v/>
      </c>
    </row>
    <row r="21093" spans="1:7" ht="12" customHeight="1" outlineLevel="3" x14ac:dyDescent="0.2">
      <c r="A21093" s="14" t="s">
        <v>41520</v>
      </c>
      <c r="B21093" s="15" t="s">
        <v>41521</v>
      </c>
      <c r="C21093" s="19">
        <f>1806.61/(1+B2)</f>
        <v>1806.61</v>
      </c>
      <c r="D21093" s="17" t="s">
        <v>11</v>
      </c>
      <c r="E21093" s="17" t="s">
        <v>11</v>
      </c>
      <c r="F21093" s="18"/>
      <c r="G21093" s="36" t="str">
        <f>IF(ISNUMBER(F21093),C21093*F21093,"")</f>
        <v/>
      </c>
    </row>
    <row r="21094" spans="1:7" ht="12" customHeight="1" outlineLevel="3" x14ac:dyDescent="0.2">
      <c r="A21094" s="14" t="s">
        <v>41522</v>
      </c>
      <c r="B21094" s="15" t="s">
        <v>41523</v>
      </c>
      <c r="C21094" s="19">
        <f>1716.34/(1+B2)</f>
        <v>1716.34</v>
      </c>
      <c r="D21094" s="17" t="s">
        <v>11</v>
      </c>
      <c r="E21094" s="17" t="s">
        <v>11</v>
      </c>
      <c r="F21094" s="18"/>
      <c r="G21094" s="36" t="str">
        <f>IF(ISNUMBER(F21094),C21094*F21094,"")</f>
        <v/>
      </c>
    </row>
    <row r="21095" spans="1:7" ht="12" customHeight="1" outlineLevel="3" x14ac:dyDescent="0.2">
      <c r="A21095" s="14" t="s">
        <v>41524</v>
      </c>
      <c r="B21095" s="15" t="s">
        <v>41525</v>
      </c>
      <c r="C21095" s="19">
        <f>1434.05/(1+B2)</f>
        <v>1434.05</v>
      </c>
      <c r="D21095" s="17" t="s">
        <v>11</v>
      </c>
      <c r="E21095" s="17" t="s">
        <v>11</v>
      </c>
      <c r="F21095" s="18"/>
      <c r="G21095" s="36" t="str">
        <f>IF(ISNUMBER(F21095),C21095*F21095,"")</f>
        <v/>
      </c>
    </row>
    <row r="21096" spans="1:7" ht="12" customHeight="1" outlineLevel="3" x14ac:dyDescent="0.2">
      <c r="A21096" s="14" t="s">
        <v>41526</v>
      </c>
      <c r="B21096" s="15" t="s">
        <v>41527</v>
      </c>
      <c r="C21096" s="19">
        <f>1801.55/(1+B2)</f>
        <v>1801.55</v>
      </c>
      <c r="D21096" s="17" t="s">
        <v>11</v>
      </c>
      <c r="E21096" s="17" t="s">
        <v>11</v>
      </c>
      <c r="F21096" s="18"/>
      <c r="G21096" s="36" t="str">
        <f>IF(ISNUMBER(F21096),C21096*F21096,"")</f>
        <v/>
      </c>
    </row>
    <row r="21097" spans="1:7" ht="12" customHeight="1" outlineLevel="3" x14ac:dyDescent="0.2">
      <c r="A21097" s="14" t="s">
        <v>41528</v>
      </c>
      <c r="B21097" s="15" t="s">
        <v>41529</v>
      </c>
      <c r="C21097" s="19">
        <f>1387.68/(1+B2)</f>
        <v>1387.68</v>
      </c>
      <c r="D21097" s="17" t="s">
        <v>11</v>
      </c>
      <c r="E21097" s="17" t="s">
        <v>11</v>
      </c>
      <c r="F21097" s="18"/>
      <c r="G21097" s="36" t="str">
        <f>IF(ISNUMBER(F21097),C21097*F21097,"")</f>
        <v/>
      </c>
    </row>
    <row r="21098" spans="1:7" ht="12" customHeight="1" outlineLevel="3" x14ac:dyDescent="0.2">
      <c r="A21098" s="14" t="s">
        <v>41530</v>
      </c>
      <c r="B21098" s="15" t="s">
        <v>41531</v>
      </c>
      <c r="C21098" s="19">
        <f>1660.54/(1+B2)</f>
        <v>1660.54</v>
      </c>
      <c r="D21098" s="17" t="s">
        <v>11</v>
      </c>
      <c r="E21098" s="17" t="s">
        <v>11</v>
      </c>
      <c r="F21098" s="18"/>
      <c r="G21098" s="36" t="str">
        <f>IF(ISNUMBER(F21098),C21098*F21098,"")</f>
        <v/>
      </c>
    </row>
    <row r="21099" spans="1:7" ht="12" customHeight="1" outlineLevel="3" x14ac:dyDescent="0.2">
      <c r="A21099" s="14" t="s">
        <v>41532</v>
      </c>
      <c r="B21099" s="15" t="s">
        <v>41533</v>
      </c>
      <c r="C21099" s="19">
        <f>1737.21/(1+B2)</f>
        <v>1737.21</v>
      </c>
      <c r="D21099" s="17" t="s">
        <v>11</v>
      </c>
      <c r="E21099" s="17" t="s">
        <v>11</v>
      </c>
      <c r="F21099" s="18"/>
      <c r="G21099" s="36" t="str">
        <f>IF(ISNUMBER(F21099),C21099*F21099,"")</f>
        <v/>
      </c>
    </row>
    <row r="21100" spans="1:7" ht="12" customHeight="1" outlineLevel="3" x14ac:dyDescent="0.2">
      <c r="A21100" s="14" t="s">
        <v>41534</v>
      </c>
      <c r="B21100" s="15" t="s">
        <v>41535</v>
      </c>
      <c r="C21100" s="19">
        <f>1806.61/(1+B2)</f>
        <v>1806.61</v>
      </c>
      <c r="D21100" s="17" t="s">
        <v>11</v>
      </c>
      <c r="E21100" s="17"/>
      <c r="F21100" s="18"/>
      <c r="G21100" s="36" t="str">
        <f>IF(ISNUMBER(F21100),C21100*F21100,"")</f>
        <v/>
      </c>
    </row>
    <row r="21101" spans="1:7" ht="24" customHeight="1" outlineLevel="3" x14ac:dyDescent="0.2">
      <c r="A21101" s="14" t="s">
        <v>41536</v>
      </c>
      <c r="B21101" s="15" t="s">
        <v>41537</v>
      </c>
      <c r="C21101" s="19">
        <f>1960.36/(1+B2)</f>
        <v>1960.36</v>
      </c>
      <c r="D21101" s="17" t="s">
        <v>11</v>
      </c>
      <c r="E21101" s="17"/>
      <c r="F21101" s="18"/>
      <c r="G21101" s="36" t="str">
        <f>IF(ISNUMBER(F21101),C21101*F21101,"")</f>
        <v/>
      </c>
    </row>
    <row r="21102" spans="1:7" ht="24" customHeight="1" outlineLevel="3" x14ac:dyDescent="0.2">
      <c r="A21102" s="14" t="s">
        <v>41538</v>
      </c>
      <c r="B21102" s="15" t="s">
        <v>41539</v>
      </c>
      <c r="C21102" s="19">
        <f>1862.41/(1+B2)</f>
        <v>1862.41</v>
      </c>
      <c r="D21102" s="17" t="s">
        <v>11</v>
      </c>
      <c r="E21102" s="17" t="s">
        <v>11</v>
      </c>
      <c r="F21102" s="18"/>
      <c r="G21102" s="36" t="str">
        <f>IF(ISNUMBER(F21102),C21102*F21102,"")</f>
        <v/>
      </c>
    </row>
    <row r="21103" spans="1:7" ht="24" customHeight="1" outlineLevel="3" x14ac:dyDescent="0.2">
      <c r="A21103" s="14" t="s">
        <v>41540</v>
      </c>
      <c r="B21103" s="15" t="s">
        <v>41541</v>
      </c>
      <c r="C21103" s="19">
        <f>1862.41/(1+B2)</f>
        <v>1862.41</v>
      </c>
      <c r="D21103" s="17" t="s">
        <v>11</v>
      </c>
      <c r="E21103" s="17" t="s">
        <v>11</v>
      </c>
      <c r="F21103" s="18"/>
      <c r="G21103" s="36" t="str">
        <f>IF(ISNUMBER(F21103),C21103*F21103,"")</f>
        <v/>
      </c>
    </row>
    <row r="21104" spans="1:7" ht="12" customHeight="1" outlineLevel="3" x14ac:dyDescent="0.2">
      <c r="A21104" s="14" t="s">
        <v>41542</v>
      </c>
      <c r="B21104" s="15" t="s">
        <v>41543</v>
      </c>
      <c r="C21104" s="19">
        <f>1806.61/(1+B2)</f>
        <v>1806.61</v>
      </c>
      <c r="D21104" s="17" t="s">
        <v>11</v>
      </c>
      <c r="E21104" s="17" t="s">
        <v>11</v>
      </c>
      <c r="F21104" s="18"/>
      <c r="G21104" s="36" t="str">
        <f>IF(ISNUMBER(F21104),C21104*F21104,"")</f>
        <v/>
      </c>
    </row>
    <row r="21105" spans="1:7" ht="12" customHeight="1" outlineLevel="3" x14ac:dyDescent="0.2">
      <c r="A21105" s="14" t="s">
        <v>41544</v>
      </c>
      <c r="B21105" s="15" t="s">
        <v>41545</v>
      </c>
      <c r="C21105" s="19">
        <f>1806.61/(1+B2)</f>
        <v>1806.61</v>
      </c>
      <c r="D21105" s="17" t="s">
        <v>11</v>
      </c>
      <c r="E21105" s="17"/>
      <c r="F21105" s="18"/>
      <c r="G21105" s="36" t="str">
        <f>IF(ISNUMBER(F21105),C21105*F21105,"")</f>
        <v/>
      </c>
    </row>
    <row r="21106" spans="1:7" ht="12" customHeight="1" outlineLevel="3" x14ac:dyDescent="0.2">
      <c r="A21106" s="14" t="s">
        <v>41546</v>
      </c>
      <c r="B21106" s="15" t="s">
        <v>41547</v>
      </c>
      <c r="C21106" s="19">
        <f>1960.36/(1+B2)</f>
        <v>1960.36</v>
      </c>
      <c r="D21106" s="17" t="s">
        <v>11</v>
      </c>
      <c r="E21106" s="17" t="s">
        <v>11</v>
      </c>
      <c r="F21106" s="18"/>
      <c r="G21106" s="36" t="str">
        <f>IF(ISNUMBER(F21106),C21106*F21106,"")</f>
        <v/>
      </c>
    </row>
    <row r="21107" spans="1:7" ht="12" customHeight="1" outlineLevel="3" x14ac:dyDescent="0.2">
      <c r="A21107" s="14" t="s">
        <v>41548</v>
      </c>
      <c r="B21107" s="15" t="s">
        <v>41549</v>
      </c>
      <c r="C21107" s="19">
        <f>1960.36/(1+B2)</f>
        <v>1960.36</v>
      </c>
      <c r="D21107" s="17" t="s">
        <v>11</v>
      </c>
      <c r="E21107" s="17"/>
      <c r="F21107" s="18"/>
      <c r="G21107" s="36" t="str">
        <f>IF(ISNUMBER(F21107),C21107*F21107,"")</f>
        <v/>
      </c>
    </row>
    <row r="21108" spans="1:7" ht="12" customHeight="1" outlineLevel="3" x14ac:dyDescent="0.2">
      <c r="A21108" s="14" t="s">
        <v>41550</v>
      </c>
      <c r="B21108" s="15" t="s">
        <v>41551</v>
      </c>
      <c r="C21108" s="19">
        <f>1960.36/(1+B2)</f>
        <v>1960.36</v>
      </c>
      <c r="D21108" s="17" t="s">
        <v>11</v>
      </c>
      <c r="E21108" s="17" t="s">
        <v>11</v>
      </c>
      <c r="F21108" s="18"/>
      <c r="G21108" s="36" t="str">
        <f>IF(ISNUMBER(F21108),C21108*F21108,"")</f>
        <v/>
      </c>
    </row>
    <row r="21109" spans="1:7" ht="12" customHeight="1" outlineLevel="3" x14ac:dyDescent="0.2">
      <c r="A21109" s="14" t="s">
        <v>41552</v>
      </c>
      <c r="B21109" s="15" t="s">
        <v>41553</v>
      </c>
      <c r="C21109" s="19">
        <f>1780.97/(1+B2)</f>
        <v>1780.97</v>
      </c>
      <c r="D21109" s="17" t="s">
        <v>11</v>
      </c>
      <c r="E21109" s="17" t="s">
        <v>11</v>
      </c>
      <c r="F21109" s="18"/>
      <c r="G21109" s="36" t="str">
        <f>IF(ISNUMBER(F21109),C21109*F21109,"")</f>
        <v/>
      </c>
    </row>
    <row r="21110" spans="1:7" ht="12" customHeight="1" outlineLevel="3" x14ac:dyDescent="0.2">
      <c r="A21110" s="14" t="s">
        <v>41554</v>
      </c>
      <c r="B21110" s="15" t="s">
        <v>41555</v>
      </c>
      <c r="C21110" s="19">
        <f>1731.77/(1+B2)</f>
        <v>1731.77</v>
      </c>
      <c r="D21110" s="17" t="s">
        <v>11</v>
      </c>
      <c r="E21110" s="17" t="s">
        <v>11</v>
      </c>
      <c r="F21110" s="18"/>
      <c r="G21110" s="36" t="str">
        <f>IF(ISNUMBER(F21110),C21110*F21110,"")</f>
        <v/>
      </c>
    </row>
    <row r="21111" spans="1:7" ht="12" customHeight="1" outlineLevel="3" x14ac:dyDescent="0.2">
      <c r="A21111" s="14" t="s">
        <v>41556</v>
      </c>
      <c r="B21111" s="15" t="s">
        <v>41557</v>
      </c>
      <c r="C21111" s="19">
        <f>1806.61/(1+B2)</f>
        <v>1806.61</v>
      </c>
      <c r="D21111" s="17" t="s">
        <v>11</v>
      </c>
      <c r="E21111" s="17" t="s">
        <v>11</v>
      </c>
      <c r="F21111" s="18"/>
      <c r="G21111" s="36" t="str">
        <f>IF(ISNUMBER(F21111),C21111*F21111,"")</f>
        <v/>
      </c>
    </row>
    <row r="21112" spans="1:7" ht="12" customHeight="1" outlineLevel="3" x14ac:dyDescent="0.2">
      <c r="A21112" s="14" t="s">
        <v>41558</v>
      </c>
      <c r="B21112" s="15" t="s">
        <v>41559</v>
      </c>
      <c r="C21112" s="19">
        <f>1552.43/(1+B2)</f>
        <v>1552.43</v>
      </c>
      <c r="D21112" s="17" t="s">
        <v>11</v>
      </c>
      <c r="E21112" s="17"/>
      <c r="F21112" s="18"/>
      <c r="G21112" s="36" t="str">
        <f>IF(ISNUMBER(F21112),C21112*F21112,"")</f>
        <v/>
      </c>
    </row>
    <row r="21113" spans="1:7" ht="12" customHeight="1" outlineLevel="3" x14ac:dyDescent="0.2">
      <c r="A21113" s="14" t="s">
        <v>41560</v>
      </c>
      <c r="B21113" s="15" t="s">
        <v>41561</v>
      </c>
      <c r="C21113" s="19">
        <f>1819.42/(1+B2)</f>
        <v>1819.42</v>
      </c>
      <c r="D21113" s="17" t="s">
        <v>11</v>
      </c>
      <c r="E21113" s="17" t="s">
        <v>11</v>
      </c>
      <c r="F21113" s="18"/>
      <c r="G21113" s="36" t="str">
        <f>IF(ISNUMBER(F21113),C21113*F21113,"")</f>
        <v/>
      </c>
    </row>
    <row r="21114" spans="1:7" ht="12" customHeight="1" outlineLevel="3" x14ac:dyDescent="0.2">
      <c r="A21114" s="14" t="s">
        <v>41562</v>
      </c>
      <c r="B21114" s="15" t="s">
        <v>41563</v>
      </c>
      <c r="C21114" s="19">
        <f>1806.61/(1+B2)</f>
        <v>1806.61</v>
      </c>
      <c r="D21114" s="17" t="s">
        <v>11</v>
      </c>
      <c r="E21114" s="17" t="s">
        <v>11</v>
      </c>
      <c r="F21114" s="18"/>
      <c r="G21114" s="36" t="str">
        <f>IF(ISNUMBER(F21114),C21114*F21114,"")</f>
        <v/>
      </c>
    </row>
    <row r="21115" spans="1:7" ht="12" customHeight="1" outlineLevel="3" x14ac:dyDescent="0.2">
      <c r="A21115" s="14" t="s">
        <v>41564</v>
      </c>
      <c r="B21115" s="15" t="s">
        <v>41565</v>
      </c>
      <c r="C21115" s="19">
        <f>1819.42/(1+B2)</f>
        <v>1819.42</v>
      </c>
      <c r="D21115" s="17" t="s">
        <v>11</v>
      </c>
      <c r="E21115" s="17" t="s">
        <v>11</v>
      </c>
      <c r="F21115" s="18"/>
      <c r="G21115" s="36" t="str">
        <f>IF(ISNUMBER(F21115),C21115*F21115,"")</f>
        <v/>
      </c>
    </row>
    <row r="21116" spans="1:7" ht="12" customHeight="1" outlineLevel="3" x14ac:dyDescent="0.2">
      <c r="A21116" s="14" t="s">
        <v>41566</v>
      </c>
      <c r="B21116" s="15" t="s">
        <v>41567</v>
      </c>
      <c r="C21116" s="19">
        <f>1806.61/(1+B2)</f>
        <v>1806.61</v>
      </c>
      <c r="D21116" s="17" t="s">
        <v>11</v>
      </c>
      <c r="E21116" s="17" t="s">
        <v>11</v>
      </c>
      <c r="F21116" s="18"/>
      <c r="G21116" s="36" t="str">
        <f>IF(ISNUMBER(F21116),C21116*F21116,"")</f>
        <v/>
      </c>
    </row>
    <row r="21117" spans="1:7" ht="12" customHeight="1" outlineLevel="3" x14ac:dyDescent="0.2">
      <c r="A21117" s="14" t="s">
        <v>41568</v>
      </c>
      <c r="B21117" s="15" t="s">
        <v>41569</v>
      </c>
      <c r="C21117" s="19">
        <f>1819.42/(1+B2)</f>
        <v>1819.42</v>
      </c>
      <c r="D21117" s="17" t="s">
        <v>11</v>
      </c>
      <c r="E21117" s="17" t="s">
        <v>11</v>
      </c>
      <c r="F21117" s="18"/>
      <c r="G21117" s="36" t="str">
        <f>IF(ISNUMBER(F21117),C21117*F21117,"")</f>
        <v/>
      </c>
    </row>
    <row r="21118" spans="1:7" ht="12" customHeight="1" outlineLevel="3" x14ac:dyDescent="0.2">
      <c r="A21118" s="14" t="s">
        <v>41570</v>
      </c>
      <c r="B21118" s="15" t="s">
        <v>41571</v>
      </c>
      <c r="C21118" s="19">
        <f>1716.34/(1+B2)</f>
        <v>1716.34</v>
      </c>
      <c r="D21118" s="17" t="s">
        <v>11</v>
      </c>
      <c r="E21118" s="17" t="s">
        <v>11</v>
      </c>
      <c r="F21118" s="18"/>
      <c r="G21118" s="36" t="str">
        <f>IF(ISNUMBER(F21118),C21118*F21118,"")</f>
        <v/>
      </c>
    </row>
    <row r="21119" spans="1:7" ht="12" customHeight="1" outlineLevel="3" x14ac:dyDescent="0.2">
      <c r="A21119" s="14" t="s">
        <v>41572</v>
      </c>
      <c r="B21119" s="15" t="s">
        <v>41573</v>
      </c>
      <c r="C21119" s="19">
        <f>1819.42/(1+B2)</f>
        <v>1819.42</v>
      </c>
      <c r="D21119" s="17" t="s">
        <v>11</v>
      </c>
      <c r="E21119" s="17"/>
      <c r="F21119" s="18"/>
      <c r="G21119" s="36" t="str">
        <f>IF(ISNUMBER(F21119),C21119*F21119,"")</f>
        <v/>
      </c>
    </row>
    <row r="21120" spans="1:7" ht="12" customHeight="1" outlineLevel="3" x14ac:dyDescent="0.2">
      <c r="A21120" s="14" t="s">
        <v>41574</v>
      </c>
      <c r="B21120" s="15" t="s">
        <v>41575</v>
      </c>
      <c r="C21120" s="19">
        <f>1319.43/(1+B2)</f>
        <v>1319.43</v>
      </c>
      <c r="D21120" s="17" t="s">
        <v>11</v>
      </c>
      <c r="E21120" s="17"/>
      <c r="F21120" s="18"/>
      <c r="G21120" s="36" t="str">
        <f>IF(ISNUMBER(F21120),C21120*F21120,"")</f>
        <v/>
      </c>
    </row>
    <row r="21121" spans="1:7" ht="12" customHeight="1" outlineLevel="3" x14ac:dyDescent="0.2">
      <c r="A21121" s="14" t="s">
        <v>41576</v>
      </c>
      <c r="B21121" s="15" t="s">
        <v>41577</v>
      </c>
      <c r="C21121" s="19">
        <f>1537.54/(1+B2)</f>
        <v>1537.54</v>
      </c>
      <c r="D21121" s="17" t="s">
        <v>11</v>
      </c>
      <c r="E21121" s="17"/>
      <c r="F21121" s="18"/>
      <c r="G21121" s="36" t="str">
        <f>IF(ISNUMBER(F21121),C21121*F21121,"")</f>
        <v/>
      </c>
    </row>
    <row r="21122" spans="1:7" ht="12" customHeight="1" outlineLevel="3" x14ac:dyDescent="0.2">
      <c r="A21122" s="14" t="s">
        <v>41578</v>
      </c>
      <c r="B21122" s="15" t="s">
        <v>41579</v>
      </c>
      <c r="C21122" s="19">
        <f>1550.35/(1+B2)</f>
        <v>1550.35</v>
      </c>
      <c r="D21122" s="17" t="s">
        <v>11</v>
      </c>
      <c r="E21122" s="17" t="s">
        <v>11</v>
      </c>
      <c r="F21122" s="18"/>
      <c r="G21122" s="36" t="str">
        <f>IF(ISNUMBER(F21122),C21122*F21122,"")</f>
        <v/>
      </c>
    </row>
    <row r="21123" spans="1:7" ht="12" customHeight="1" outlineLevel="3" x14ac:dyDescent="0.2">
      <c r="A21123" s="14" t="s">
        <v>41580</v>
      </c>
      <c r="B21123" s="15" t="s">
        <v>41581</v>
      </c>
      <c r="C21123" s="19">
        <f>1550.35/(1+B2)</f>
        <v>1550.35</v>
      </c>
      <c r="D21123" s="17" t="s">
        <v>11</v>
      </c>
      <c r="E21123" s="17"/>
      <c r="F21123" s="18"/>
      <c r="G21123" s="36" t="str">
        <f>IF(ISNUMBER(F21123),C21123*F21123,"")</f>
        <v/>
      </c>
    </row>
    <row r="21124" spans="1:7" ht="12" customHeight="1" outlineLevel="3" x14ac:dyDescent="0.2">
      <c r="A21124" s="14" t="s">
        <v>41582</v>
      </c>
      <c r="B21124" s="15" t="s">
        <v>41583</v>
      </c>
      <c r="C21124" s="19">
        <f>1550.35/(1+B2)</f>
        <v>1550.35</v>
      </c>
      <c r="D21124" s="17" t="s">
        <v>11</v>
      </c>
      <c r="E21124" s="17"/>
      <c r="F21124" s="18"/>
      <c r="G21124" s="36" t="str">
        <f>IF(ISNUMBER(F21124),C21124*F21124,"")</f>
        <v/>
      </c>
    </row>
    <row r="21125" spans="1:7" ht="12" customHeight="1" outlineLevel="3" x14ac:dyDescent="0.2">
      <c r="A21125" s="14" t="s">
        <v>41584</v>
      </c>
      <c r="B21125" s="15" t="s">
        <v>41585</v>
      </c>
      <c r="C21125" s="19">
        <f>1537.54/(1+B2)</f>
        <v>1537.54</v>
      </c>
      <c r="D21125" s="17" t="s">
        <v>11</v>
      </c>
      <c r="E21125" s="17" t="s">
        <v>11</v>
      </c>
      <c r="F21125" s="18"/>
      <c r="G21125" s="36" t="str">
        <f>IF(ISNUMBER(F21125),C21125*F21125,"")</f>
        <v/>
      </c>
    </row>
    <row r="21126" spans="1:7" ht="12" customHeight="1" outlineLevel="3" x14ac:dyDescent="0.2">
      <c r="A21126" s="14" t="s">
        <v>41586</v>
      </c>
      <c r="B21126" s="15" t="s">
        <v>41587</v>
      </c>
      <c r="C21126" s="19">
        <f>2472.87/(1+B2)</f>
        <v>2472.87</v>
      </c>
      <c r="D21126" s="17" t="s">
        <v>11</v>
      </c>
      <c r="E21126" s="17" t="s">
        <v>11</v>
      </c>
      <c r="F21126" s="18"/>
      <c r="G21126" s="36" t="str">
        <f>IF(ISNUMBER(F21126),C21126*F21126,"")</f>
        <v/>
      </c>
    </row>
    <row r="21127" spans="1:7" ht="24" customHeight="1" outlineLevel="3" x14ac:dyDescent="0.2">
      <c r="A21127" s="14" t="s">
        <v>41588</v>
      </c>
      <c r="B21127" s="15" t="s">
        <v>41589</v>
      </c>
      <c r="C21127" s="19">
        <f>2825.23/(1+B2)</f>
        <v>2825.23</v>
      </c>
      <c r="D21127" s="17" t="s">
        <v>11</v>
      </c>
      <c r="E21127" s="17"/>
      <c r="F21127" s="18"/>
      <c r="G21127" s="36" t="str">
        <f>IF(ISNUMBER(F21127),C21127*F21127,"")</f>
        <v/>
      </c>
    </row>
    <row r="21128" spans="1:7" ht="12" customHeight="1" outlineLevel="3" x14ac:dyDescent="0.2">
      <c r="A21128" s="14" t="s">
        <v>41590</v>
      </c>
      <c r="B21128" s="15" t="s">
        <v>41591</v>
      </c>
      <c r="C21128" s="19">
        <f>2639.44/(1+B2)</f>
        <v>2639.44</v>
      </c>
      <c r="D21128" s="17" t="s">
        <v>11</v>
      </c>
      <c r="E21128" s="17" t="s">
        <v>11</v>
      </c>
      <c r="F21128" s="18"/>
      <c r="G21128" s="36" t="str">
        <f>IF(ISNUMBER(F21128),C21128*F21128,"")</f>
        <v/>
      </c>
    </row>
    <row r="21129" spans="1:7" ht="12" customHeight="1" outlineLevel="3" x14ac:dyDescent="0.2">
      <c r="A21129" s="14" t="s">
        <v>41592</v>
      </c>
      <c r="B21129" s="15" t="s">
        <v>41593</v>
      </c>
      <c r="C21129" s="19">
        <f>1730.85/(1+B2)</f>
        <v>1730.85</v>
      </c>
      <c r="D21129" s="17" t="s">
        <v>11</v>
      </c>
      <c r="E21129" s="17" t="s">
        <v>11</v>
      </c>
      <c r="F21129" s="18"/>
      <c r="G21129" s="36" t="str">
        <f>IF(ISNUMBER(F21129),C21129*F21129,"")</f>
        <v/>
      </c>
    </row>
    <row r="21130" spans="1:7" ht="12" customHeight="1" outlineLevel="3" x14ac:dyDescent="0.2">
      <c r="A21130" s="14" t="s">
        <v>41594</v>
      </c>
      <c r="B21130" s="15" t="s">
        <v>41595</v>
      </c>
      <c r="C21130" s="19">
        <f>2255.06/(1+B2)</f>
        <v>2255.06</v>
      </c>
      <c r="D21130" s="17" t="s">
        <v>11</v>
      </c>
      <c r="E21130" s="17" t="s">
        <v>14</v>
      </c>
      <c r="F21130" s="18"/>
      <c r="G21130" s="36" t="str">
        <f>IF(ISNUMBER(F21130),C21130*F21130,"")</f>
        <v/>
      </c>
    </row>
    <row r="21131" spans="1:7" ht="12" customHeight="1" outlineLevel="3" x14ac:dyDescent="0.2">
      <c r="A21131" s="14" t="s">
        <v>41596</v>
      </c>
      <c r="B21131" s="15" t="s">
        <v>41597</v>
      </c>
      <c r="C21131" s="19">
        <f>2255.06/(1+B2)</f>
        <v>2255.06</v>
      </c>
      <c r="D21131" s="17" t="s">
        <v>11</v>
      </c>
      <c r="E21131" s="17" t="s">
        <v>11</v>
      </c>
      <c r="F21131" s="18"/>
      <c r="G21131" s="36" t="str">
        <f>IF(ISNUMBER(F21131),C21131*F21131,"")</f>
        <v/>
      </c>
    </row>
    <row r="21132" spans="1:7" ht="12" customHeight="1" outlineLevel="3" x14ac:dyDescent="0.2">
      <c r="A21132" s="14" t="s">
        <v>41598</v>
      </c>
      <c r="B21132" s="15" t="s">
        <v>41599</v>
      </c>
      <c r="C21132" s="19">
        <f>1829.45/(1+B2)</f>
        <v>1829.45</v>
      </c>
      <c r="D21132" s="17" t="s">
        <v>11</v>
      </c>
      <c r="E21132" s="17" t="s">
        <v>11</v>
      </c>
      <c r="F21132" s="18"/>
      <c r="G21132" s="36" t="str">
        <f>IF(ISNUMBER(F21132),C21132*F21132,"")</f>
        <v/>
      </c>
    </row>
    <row r="21133" spans="1:7" ht="12" customHeight="1" outlineLevel="3" x14ac:dyDescent="0.2">
      <c r="A21133" s="14" t="s">
        <v>41600</v>
      </c>
      <c r="B21133" s="15" t="s">
        <v>41601</v>
      </c>
      <c r="C21133" s="19">
        <f>2255.06/(1+B2)</f>
        <v>2255.06</v>
      </c>
      <c r="D21133" s="17" t="s">
        <v>11</v>
      </c>
      <c r="E21133" s="17"/>
      <c r="F21133" s="18"/>
      <c r="G21133" s="36" t="str">
        <f>IF(ISNUMBER(F21133),C21133*F21133,"")</f>
        <v/>
      </c>
    </row>
    <row r="21134" spans="1:7" ht="12" customHeight="1" outlineLevel="3" x14ac:dyDescent="0.2">
      <c r="A21134" s="14" t="s">
        <v>41602</v>
      </c>
      <c r="B21134" s="15" t="s">
        <v>41603</v>
      </c>
      <c r="C21134" s="19">
        <f>2255.06/(1+B2)</f>
        <v>2255.06</v>
      </c>
      <c r="D21134" s="17" t="s">
        <v>11</v>
      </c>
      <c r="E21134" s="17" t="s">
        <v>11</v>
      </c>
      <c r="F21134" s="18"/>
      <c r="G21134" s="36" t="str">
        <f>IF(ISNUMBER(F21134),C21134*F21134,"")</f>
        <v/>
      </c>
    </row>
    <row r="21135" spans="1:7" s="1" customFormat="1" ht="12.95" customHeight="1" outlineLevel="2" x14ac:dyDescent="0.2">
      <c r="A21135" s="20"/>
      <c r="B21135" s="21" t="s">
        <v>41604</v>
      </c>
      <c r="C21135" s="22"/>
      <c r="D21135" s="22"/>
      <c r="E21135" s="22"/>
      <c r="F21135" s="22"/>
      <c r="G21135" s="37"/>
    </row>
    <row r="21136" spans="1:7" ht="24" customHeight="1" outlineLevel="3" x14ac:dyDescent="0.2">
      <c r="A21136" s="14" t="s">
        <v>41605</v>
      </c>
      <c r="B21136" s="15" t="s">
        <v>41606</v>
      </c>
      <c r="C21136" s="19">
        <f>5022.62/(1+B2)</f>
        <v>5022.62</v>
      </c>
      <c r="D21136" s="17" t="s">
        <v>11</v>
      </c>
      <c r="E21136" s="17" t="s">
        <v>11</v>
      </c>
      <c r="F21136" s="18"/>
      <c r="G21136" s="36" t="str">
        <f>IF(ISNUMBER(F21136),C21136*F21136,"")</f>
        <v/>
      </c>
    </row>
    <row r="21137" spans="1:7" ht="24" customHeight="1" outlineLevel="3" x14ac:dyDescent="0.2">
      <c r="A21137" s="14" t="s">
        <v>41607</v>
      </c>
      <c r="B21137" s="15" t="s">
        <v>41608</v>
      </c>
      <c r="C21137" s="19">
        <f>4638.23/(1+B2)</f>
        <v>4638.2299999999996</v>
      </c>
      <c r="D21137" s="17" t="s">
        <v>11</v>
      </c>
      <c r="E21137" s="17"/>
      <c r="F21137" s="18"/>
      <c r="G21137" s="36" t="str">
        <f>IF(ISNUMBER(F21137),C21137*F21137,"")</f>
        <v/>
      </c>
    </row>
    <row r="21138" spans="1:7" ht="24" customHeight="1" outlineLevel="3" x14ac:dyDescent="0.2">
      <c r="A21138" s="14" t="s">
        <v>41609</v>
      </c>
      <c r="B21138" s="15" t="s">
        <v>41610</v>
      </c>
      <c r="C21138" s="19">
        <f>2318.38/(1+B2)</f>
        <v>2318.38</v>
      </c>
      <c r="D21138" s="17" t="s">
        <v>11</v>
      </c>
      <c r="E21138" s="17"/>
      <c r="F21138" s="18"/>
      <c r="G21138" s="36" t="str">
        <f>IF(ISNUMBER(F21138),C21138*F21138,"")</f>
        <v/>
      </c>
    </row>
    <row r="21139" spans="1:7" ht="24" customHeight="1" outlineLevel="3" x14ac:dyDescent="0.2">
      <c r="A21139" s="14" t="s">
        <v>41611</v>
      </c>
      <c r="B21139" s="15" t="s">
        <v>41612</v>
      </c>
      <c r="C21139" s="19">
        <f>2361.49/(1+B2)</f>
        <v>2361.4899999999998</v>
      </c>
      <c r="D21139" s="17"/>
      <c r="E21139" s="17" t="s">
        <v>11</v>
      </c>
      <c r="F21139" s="18"/>
      <c r="G21139" s="36" t="str">
        <f>IF(ISNUMBER(F21139),C21139*F21139,"")</f>
        <v/>
      </c>
    </row>
    <row r="21140" spans="1:7" ht="24" customHeight="1" outlineLevel="3" x14ac:dyDescent="0.2">
      <c r="A21140" s="14" t="s">
        <v>41613</v>
      </c>
      <c r="B21140" s="15" t="s">
        <v>41614</v>
      </c>
      <c r="C21140" s="19">
        <f>2361.49/(1+B2)</f>
        <v>2361.4899999999998</v>
      </c>
      <c r="D21140" s="17" t="s">
        <v>11</v>
      </c>
      <c r="E21140" s="17" t="s">
        <v>11</v>
      </c>
      <c r="F21140" s="18"/>
      <c r="G21140" s="36" t="str">
        <f>IF(ISNUMBER(F21140),C21140*F21140,"")</f>
        <v/>
      </c>
    </row>
    <row r="21141" spans="1:7" ht="24" customHeight="1" outlineLevel="3" x14ac:dyDescent="0.2">
      <c r="A21141" s="14" t="s">
        <v>41615</v>
      </c>
      <c r="B21141" s="15" t="s">
        <v>41616</v>
      </c>
      <c r="C21141" s="19">
        <f>2390.7/(1+B2)</f>
        <v>2390.6999999999998</v>
      </c>
      <c r="D21141" s="17" t="s">
        <v>11</v>
      </c>
      <c r="E21141" s="17" t="s">
        <v>11</v>
      </c>
      <c r="F21141" s="18"/>
      <c r="G21141" s="36" t="str">
        <f>IF(ISNUMBER(F21141),C21141*F21141,"")</f>
        <v/>
      </c>
    </row>
    <row r="21142" spans="1:7" ht="24" customHeight="1" outlineLevel="3" x14ac:dyDescent="0.2">
      <c r="A21142" s="14" t="s">
        <v>41617</v>
      </c>
      <c r="B21142" s="15" t="s">
        <v>41618</v>
      </c>
      <c r="C21142" s="19">
        <f>2620.76/(1+B2)</f>
        <v>2620.7600000000002</v>
      </c>
      <c r="D21142" s="17" t="s">
        <v>11</v>
      </c>
      <c r="E21142" s="17" t="s">
        <v>11</v>
      </c>
      <c r="F21142" s="18"/>
      <c r="G21142" s="36" t="str">
        <f>IF(ISNUMBER(F21142),C21142*F21142,"")</f>
        <v/>
      </c>
    </row>
    <row r="21143" spans="1:7" ht="24" customHeight="1" outlineLevel="3" x14ac:dyDescent="0.2">
      <c r="A21143" s="14" t="s">
        <v>41619</v>
      </c>
      <c r="B21143" s="15" t="s">
        <v>41620</v>
      </c>
      <c r="C21143" s="19">
        <f>2758.6/(1+B2)</f>
        <v>2758.6</v>
      </c>
      <c r="D21143" s="17" t="s">
        <v>11</v>
      </c>
      <c r="E21143" s="17"/>
      <c r="F21143" s="18"/>
      <c r="G21143" s="36" t="str">
        <f>IF(ISNUMBER(F21143),C21143*F21143,"")</f>
        <v/>
      </c>
    </row>
    <row r="21144" spans="1:7" ht="24" customHeight="1" outlineLevel="3" x14ac:dyDescent="0.2">
      <c r="A21144" s="14" t="s">
        <v>41621</v>
      </c>
      <c r="B21144" s="15" t="s">
        <v>41622</v>
      </c>
      <c r="C21144" s="19">
        <f>2390.7/(1+B2)</f>
        <v>2390.6999999999998</v>
      </c>
      <c r="D21144" s="17" t="s">
        <v>11</v>
      </c>
      <c r="E21144" s="17" t="s">
        <v>11</v>
      </c>
      <c r="F21144" s="18"/>
      <c r="G21144" s="36" t="str">
        <f>IF(ISNUMBER(F21144),C21144*F21144,"")</f>
        <v/>
      </c>
    </row>
    <row r="21145" spans="1:7" ht="24" customHeight="1" outlineLevel="3" x14ac:dyDescent="0.2">
      <c r="A21145" s="14" t="s">
        <v>41623</v>
      </c>
      <c r="B21145" s="15" t="s">
        <v>41624</v>
      </c>
      <c r="C21145" s="19">
        <f>2808.23/(1+B2)</f>
        <v>2808.23</v>
      </c>
      <c r="D21145" s="17" t="s">
        <v>11</v>
      </c>
      <c r="E21145" s="17"/>
      <c r="F21145" s="18"/>
      <c r="G21145" s="36" t="str">
        <f>IF(ISNUMBER(F21145),C21145*F21145,"")</f>
        <v/>
      </c>
    </row>
    <row r="21146" spans="1:7" ht="24" customHeight="1" outlineLevel="3" x14ac:dyDescent="0.2">
      <c r="A21146" s="14" t="s">
        <v>41625</v>
      </c>
      <c r="B21146" s="15" t="s">
        <v>41626</v>
      </c>
      <c r="C21146" s="19">
        <f>2808.23/(1+B2)</f>
        <v>2808.23</v>
      </c>
      <c r="D21146" s="17" t="s">
        <v>11</v>
      </c>
      <c r="E21146" s="17" t="s">
        <v>11</v>
      </c>
      <c r="F21146" s="18"/>
      <c r="G21146" s="36" t="str">
        <f>IF(ISNUMBER(F21146),C21146*F21146,"")</f>
        <v/>
      </c>
    </row>
    <row r="21147" spans="1:7" ht="24" customHeight="1" outlineLevel="3" x14ac:dyDescent="0.2">
      <c r="A21147" s="14" t="s">
        <v>41627</v>
      </c>
      <c r="B21147" s="15" t="s">
        <v>41628</v>
      </c>
      <c r="C21147" s="19">
        <f>2808.23/(1+B2)</f>
        <v>2808.23</v>
      </c>
      <c r="D21147" s="17" t="s">
        <v>11</v>
      </c>
      <c r="E21147" s="17" t="s">
        <v>11</v>
      </c>
      <c r="F21147" s="18"/>
      <c r="G21147" s="36" t="str">
        <f>IF(ISNUMBER(F21147),C21147*F21147,"")</f>
        <v/>
      </c>
    </row>
    <row r="21148" spans="1:7" ht="24" customHeight="1" outlineLevel="3" x14ac:dyDescent="0.2">
      <c r="A21148" s="14" t="s">
        <v>41629</v>
      </c>
      <c r="B21148" s="15" t="s">
        <v>41630</v>
      </c>
      <c r="C21148" s="19">
        <f>2057.18/(1+B2)</f>
        <v>2057.1799999999998</v>
      </c>
      <c r="D21148" s="17" t="s">
        <v>11</v>
      </c>
      <c r="E21148" s="17" t="s">
        <v>11</v>
      </c>
      <c r="F21148" s="18"/>
      <c r="G21148" s="36" t="str">
        <f>IF(ISNUMBER(F21148),C21148*F21148,"")</f>
        <v/>
      </c>
    </row>
    <row r="21149" spans="1:7" ht="24" customHeight="1" outlineLevel="3" x14ac:dyDescent="0.2">
      <c r="A21149" s="14" t="s">
        <v>41631</v>
      </c>
      <c r="B21149" s="15" t="s">
        <v>41632</v>
      </c>
      <c r="C21149" s="19">
        <f>2057.18/(1+B2)</f>
        <v>2057.1799999999998</v>
      </c>
      <c r="D21149" s="17" t="s">
        <v>11</v>
      </c>
      <c r="E21149" s="17" t="s">
        <v>11</v>
      </c>
      <c r="F21149" s="18"/>
      <c r="G21149" s="36" t="str">
        <f>IF(ISNUMBER(F21149),C21149*F21149,"")</f>
        <v/>
      </c>
    </row>
    <row r="21150" spans="1:7" ht="24" customHeight="1" outlineLevel="3" x14ac:dyDescent="0.2">
      <c r="A21150" s="14" t="s">
        <v>41633</v>
      </c>
      <c r="B21150" s="15" t="s">
        <v>41634</v>
      </c>
      <c r="C21150" s="19">
        <f>2057.18/(1+B2)</f>
        <v>2057.1799999999998</v>
      </c>
      <c r="D21150" s="17" t="s">
        <v>11</v>
      </c>
      <c r="E21150" s="17"/>
      <c r="F21150" s="18"/>
      <c r="G21150" s="36" t="str">
        <f>IF(ISNUMBER(F21150),C21150*F21150,"")</f>
        <v/>
      </c>
    </row>
    <row r="21151" spans="1:7" ht="24" customHeight="1" outlineLevel="3" x14ac:dyDescent="0.2">
      <c r="A21151" s="14" t="s">
        <v>41635</v>
      </c>
      <c r="B21151" s="15" t="s">
        <v>41636</v>
      </c>
      <c r="C21151" s="19">
        <f>2378.13/(1+B2)</f>
        <v>2378.13</v>
      </c>
      <c r="D21151" s="17" t="s">
        <v>11</v>
      </c>
      <c r="E21151" s="17"/>
      <c r="F21151" s="18"/>
      <c r="G21151" s="36" t="str">
        <f>IF(ISNUMBER(F21151),C21151*F21151,"")</f>
        <v/>
      </c>
    </row>
    <row r="21152" spans="1:7" ht="24" customHeight="1" outlineLevel="3" x14ac:dyDescent="0.2">
      <c r="A21152" s="14" t="s">
        <v>41637</v>
      </c>
      <c r="B21152" s="15" t="s">
        <v>41638</v>
      </c>
      <c r="C21152" s="19">
        <f>2378.13/(1+B2)</f>
        <v>2378.13</v>
      </c>
      <c r="D21152" s="17" t="s">
        <v>11</v>
      </c>
      <c r="E21152" s="17"/>
      <c r="F21152" s="18"/>
      <c r="G21152" s="36" t="str">
        <f>IF(ISNUMBER(F21152),C21152*F21152,"")</f>
        <v/>
      </c>
    </row>
    <row r="21153" spans="1:7" ht="24" customHeight="1" outlineLevel="3" x14ac:dyDescent="0.2">
      <c r="A21153" s="14" t="s">
        <v>41639</v>
      </c>
      <c r="B21153" s="15" t="s">
        <v>41640</v>
      </c>
      <c r="C21153" s="19">
        <f>2160.64/(1+B2)</f>
        <v>2160.64</v>
      </c>
      <c r="D21153" s="17" t="s">
        <v>11</v>
      </c>
      <c r="E21153" s="17"/>
      <c r="F21153" s="18"/>
      <c r="G21153" s="36" t="str">
        <f>IF(ISNUMBER(F21153),C21153*F21153,"")</f>
        <v/>
      </c>
    </row>
    <row r="21154" spans="1:7" ht="24" customHeight="1" outlineLevel="3" x14ac:dyDescent="0.2">
      <c r="A21154" s="14" t="s">
        <v>41641</v>
      </c>
      <c r="B21154" s="15" t="s">
        <v>41642</v>
      </c>
      <c r="C21154" s="19">
        <f>2274.27/(1+B2)</f>
        <v>2274.27</v>
      </c>
      <c r="D21154" s="17" t="s">
        <v>11</v>
      </c>
      <c r="E21154" s="17" t="s">
        <v>11</v>
      </c>
      <c r="F21154" s="18"/>
      <c r="G21154" s="36" t="str">
        <f>IF(ISNUMBER(F21154),C21154*F21154,"")</f>
        <v/>
      </c>
    </row>
    <row r="21155" spans="1:7" ht="24" customHeight="1" outlineLevel="3" x14ac:dyDescent="0.2">
      <c r="A21155" s="14" t="s">
        <v>41643</v>
      </c>
      <c r="B21155" s="15" t="s">
        <v>41644</v>
      </c>
      <c r="C21155" s="19">
        <f>2408.95/(1+B2)</f>
        <v>2408.9499999999998</v>
      </c>
      <c r="D21155" s="17" t="s">
        <v>11</v>
      </c>
      <c r="E21155" s="17"/>
      <c r="F21155" s="18"/>
      <c r="G21155" s="36" t="str">
        <f>IF(ISNUMBER(F21155),C21155*F21155,"")</f>
        <v/>
      </c>
    </row>
    <row r="21156" spans="1:7" ht="24" customHeight="1" outlineLevel="3" x14ac:dyDescent="0.2">
      <c r="A21156" s="14" t="s">
        <v>41645</v>
      </c>
      <c r="B21156" s="15" t="s">
        <v>41646</v>
      </c>
      <c r="C21156" s="19">
        <f>2408.95/(1+B2)</f>
        <v>2408.9499999999998</v>
      </c>
      <c r="D21156" s="17" t="s">
        <v>11</v>
      </c>
      <c r="E21156" s="17" t="s">
        <v>11</v>
      </c>
      <c r="F21156" s="18"/>
      <c r="G21156" s="36" t="str">
        <f>IF(ISNUMBER(F21156),C21156*F21156,"")</f>
        <v/>
      </c>
    </row>
    <row r="21157" spans="1:7" ht="24" customHeight="1" outlineLevel="3" x14ac:dyDescent="0.2">
      <c r="A21157" s="14" t="s">
        <v>41647</v>
      </c>
      <c r="B21157" s="15" t="s">
        <v>41648</v>
      </c>
      <c r="C21157" s="19">
        <f>2378.13/(1+B2)</f>
        <v>2378.13</v>
      </c>
      <c r="D21157" s="17" t="s">
        <v>11</v>
      </c>
      <c r="E21157" s="17"/>
      <c r="F21157" s="18"/>
      <c r="G21157" s="36" t="str">
        <f>IF(ISNUMBER(F21157),C21157*F21157,"")</f>
        <v/>
      </c>
    </row>
    <row r="21158" spans="1:7" ht="24" customHeight="1" outlineLevel="3" x14ac:dyDescent="0.2">
      <c r="A21158" s="14" t="s">
        <v>41649</v>
      </c>
      <c r="B21158" s="15" t="s">
        <v>41650</v>
      </c>
      <c r="C21158" s="19">
        <f>2408.95/(1+B2)</f>
        <v>2408.9499999999998</v>
      </c>
      <c r="D21158" s="17" t="s">
        <v>11</v>
      </c>
      <c r="E21158" s="17" t="s">
        <v>11</v>
      </c>
      <c r="F21158" s="18"/>
      <c r="G21158" s="36" t="str">
        <f>IF(ISNUMBER(F21158),C21158*F21158,"")</f>
        <v/>
      </c>
    </row>
    <row r="21159" spans="1:7" ht="24" customHeight="1" outlineLevel="3" x14ac:dyDescent="0.2">
      <c r="A21159" s="14" t="s">
        <v>41651</v>
      </c>
      <c r="B21159" s="15" t="s">
        <v>41652</v>
      </c>
      <c r="C21159" s="19">
        <f>2422.35/(1+B2)</f>
        <v>2422.35</v>
      </c>
      <c r="D21159" s="17" t="s">
        <v>11</v>
      </c>
      <c r="E21159" s="17" t="s">
        <v>11</v>
      </c>
      <c r="F21159" s="18"/>
      <c r="G21159" s="36" t="str">
        <f>IF(ISNUMBER(F21159),C21159*F21159,"")</f>
        <v/>
      </c>
    </row>
    <row r="21160" spans="1:7" ht="24" customHeight="1" outlineLevel="3" x14ac:dyDescent="0.2">
      <c r="A21160" s="14" t="s">
        <v>41653</v>
      </c>
      <c r="B21160" s="15" t="s">
        <v>41654</v>
      </c>
      <c r="C21160" s="19">
        <f>2378.13/(1+B2)</f>
        <v>2378.13</v>
      </c>
      <c r="D21160" s="17" t="s">
        <v>11</v>
      </c>
      <c r="E21160" s="17"/>
      <c r="F21160" s="18"/>
      <c r="G21160" s="36" t="str">
        <f>IF(ISNUMBER(F21160),C21160*F21160,"")</f>
        <v/>
      </c>
    </row>
    <row r="21161" spans="1:7" ht="24" customHeight="1" outlineLevel="3" x14ac:dyDescent="0.2">
      <c r="A21161" s="14" t="s">
        <v>41655</v>
      </c>
      <c r="B21161" s="15" t="s">
        <v>41656</v>
      </c>
      <c r="C21161" s="19">
        <f>2049.2/(1+B2)</f>
        <v>2049.1999999999998</v>
      </c>
      <c r="D21161" s="17" t="s">
        <v>11</v>
      </c>
      <c r="E21161" s="17" t="s">
        <v>11</v>
      </c>
      <c r="F21161" s="18"/>
      <c r="G21161" s="36" t="str">
        <f>IF(ISNUMBER(F21161),C21161*F21161,"")</f>
        <v/>
      </c>
    </row>
    <row r="21162" spans="1:7" ht="24" customHeight="1" outlineLevel="3" x14ac:dyDescent="0.2">
      <c r="A21162" s="14" t="s">
        <v>41657</v>
      </c>
      <c r="B21162" s="15" t="s">
        <v>41658</v>
      </c>
      <c r="C21162" s="19">
        <f>3390.27/(1+B2)</f>
        <v>3390.27</v>
      </c>
      <c r="D21162" s="17" t="s">
        <v>11</v>
      </c>
      <c r="E21162" s="17"/>
      <c r="F21162" s="18"/>
      <c r="G21162" s="36" t="str">
        <f>IF(ISNUMBER(F21162),C21162*F21162,"")</f>
        <v/>
      </c>
    </row>
    <row r="21163" spans="1:7" ht="24" customHeight="1" outlineLevel="3" x14ac:dyDescent="0.2">
      <c r="A21163" s="14" t="s">
        <v>41659</v>
      </c>
      <c r="B21163" s="15" t="s">
        <v>41660</v>
      </c>
      <c r="C21163" s="19">
        <f>3390.27/(1+B2)</f>
        <v>3390.27</v>
      </c>
      <c r="D21163" s="17" t="s">
        <v>11</v>
      </c>
      <c r="E21163" s="17" t="s">
        <v>11</v>
      </c>
      <c r="F21163" s="18"/>
      <c r="G21163" s="36" t="str">
        <f>IF(ISNUMBER(F21163),C21163*F21163,"")</f>
        <v/>
      </c>
    </row>
    <row r="21164" spans="1:7" ht="24" customHeight="1" outlineLevel="3" x14ac:dyDescent="0.2">
      <c r="A21164" s="14" t="s">
        <v>41661</v>
      </c>
      <c r="B21164" s="15" t="s">
        <v>41662</v>
      </c>
      <c r="C21164" s="19">
        <f>3310.26/(1+B2)</f>
        <v>3310.26</v>
      </c>
      <c r="D21164" s="17" t="s">
        <v>11</v>
      </c>
      <c r="E21164" s="17"/>
      <c r="F21164" s="18"/>
      <c r="G21164" s="36" t="str">
        <f>IF(ISNUMBER(F21164),C21164*F21164,"")</f>
        <v/>
      </c>
    </row>
    <row r="21165" spans="1:7" ht="24" customHeight="1" outlineLevel="3" x14ac:dyDescent="0.2">
      <c r="A21165" s="14" t="s">
        <v>41663</v>
      </c>
      <c r="B21165" s="15" t="s">
        <v>41664</v>
      </c>
      <c r="C21165" s="19">
        <f>3590.91/(1+B2)</f>
        <v>3590.91</v>
      </c>
      <c r="D21165" s="17" t="s">
        <v>11</v>
      </c>
      <c r="E21165" s="17"/>
      <c r="F21165" s="18"/>
      <c r="G21165" s="36" t="str">
        <f>IF(ISNUMBER(F21165),C21165*F21165,"")</f>
        <v/>
      </c>
    </row>
    <row r="21166" spans="1:7" ht="24" customHeight="1" outlineLevel="3" x14ac:dyDescent="0.2">
      <c r="A21166" s="14" t="s">
        <v>41665</v>
      </c>
      <c r="B21166" s="15" t="s">
        <v>41666</v>
      </c>
      <c r="C21166" s="19">
        <f>3549.14/(1+B2)</f>
        <v>3549.14</v>
      </c>
      <c r="D21166" s="17" t="s">
        <v>11</v>
      </c>
      <c r="E21166" s="17"/>
      <c r="F21166" s="18"/>
      <c r="G21166" s="36" t="str">
        <f>IF(ISNUMBER(F21166),C21166*F21166,"")</f>
        <v/>
      </c>
    </row>
    <row r="21167" spans="1:7" ht="24" customHeight="1" outlineLevel="3" x14ac:dyDescent="0.2">
      <c r="A21167" s="14" t="s">
        <v>41667</v>
      </c>
      <c r="B21167" s="15" t="s">
        <v>41668</v>
      </c>
      <c r="C21167" s="19">
        <f>3549.14/(1+B2)</f>
        <v>3549.14</v>
      </c>
      <c r="D21167" s="17" t="s">
        <v>11</v>
      </c>
      <c r="E21167" s="17"/>
      <c r="F21167" s="18"/>
      <c r="G21167" s="36" t="str">
        <f>IF(ISNUMBER(F21167),C21167*F21167,"")</f>
        <v/>
      </c>
    </row>
    <row r="21168" spans="1:7" ht="24" customHeight="1" outlineLevel="3" x14ac:dyDescent="0.2">
      <c r="A21168" s="14" t="s">
        <v>41669</v>
      </c>
      <c r="B21168" s="15" t="s">
        <v>41670</v>
      </c>
      <c r="C21168" s="19">
        <f>5727.32/(1+B2)</f>
        <v>5727.32</v>
      </c>
      <c r="D21168" s="17" t="s">
        <v>11</v>
      </c>
      <c r="E21168" s="17"/>
      <c r="F21168" s="18"/>
      <c r="G21168" s="36" t="str">
        <f>IF(ISNUMBER(F21168),C21168*F21168,"")</f>
        <v/>
      </c>
    </row>
    <row r="21169" spans="1:7" s="1" customFormat="1" ht="15.95" customHeight="1" outlineLevel="1" x14ac:dyDescent="0.25">
      <c r="A21169" s="11"/>
      <c r="B21169" s="12" t="s">
        <v>41671</v>
      </c>
      <c r="C21169" s="13"/>
      <c r="D21169" s="13"/>
      <c r="E21169" s="13"/>
      <c r="F21169" s="13"/>
      <c r="G21169" s="35"/>
    </row>
    <row r="21170" spans="1:7" s="1" customFormat="1" ht="12.95" customHeight="1" outlineLevel="2" x14ac:dyDescent="0.2">
      <c r="A21170" s="20"/>
      <c r="B21170" s="21" t="s">
        <v>41672</v>
      </c>
      <c r="C21170" s="22"/>
      <c r="D21170" s="22"/>
      <c r="E21170" s="22"/>
      <c r="F21170" s="22"/>
      <c r="G21170" s="37"/>
    </row>
    <row r="21171" spans="1:7" ht="12" customHeight="1" outlineLevel="3" x14ac:dyDescent="0.2">
      <c r="A21171" s="14" t="s">
        <v>41673</v>
      </c>
      <c r="B21171" s="15" t="s">
        <v>41674</v>
      </c>
      <c r="C21171" s="16">
        <f>310.59/(1+B2)</f>
        <v>310.58999999999997</v>
      </c>
      <c r="D21171" s="17" t="s">
        <v>11</v>
      </c>
      <c r="E21171" s="17"/>
      <c r="F21171" s="18"/>
      <c r="G21171" s="36" t="str">
        <f>IF(ISNUMBER(F21171),C21171*F21171,"")</f>
        <v/>
      </c>
    </row>
    <row r="21172" spans="1:7" ht="12" customHeight="1" outlineLevel="3" x14ac:dyDescent="0.2">
      <c r="A21172" s="14" t="s">
        <v>41675</v>
      </c>
      <c r="B21172" s="15" t="s">
        <v>41676</v>
      </c>
      <c r="C21172" s="16">
        <f>119.91/(1+B2)</f>
        <v>119.91</v>
      </c>
      <c r="D21172" s="17" t="s">
        <v>11</v>
      </c>
      <c r="E21172" s="17" t="s">
        <v>11</v>
      </c>
      <c r="F21172" s="18"/>
      <c r="G21172" s="36" t="str">
        <f>IF(ISNUMBER(F21172),C21172*F21172,"")</f>
        <v/>
      </c>
    </row>
    <row r="21173" spans="1:7" ht="12" customHeight="1" outlineLevel="3" x14ac:dyDescent="0.2">
      <c r="A21173" s="14" t="s">
        <v>41677</v>
      </c>
      <c r="B21173" s="15" t="s">
        <v>41678</v>
      </c>
      <c r="C21173" s="16">
        <f>376.41/(1+B2)</f>
        <v>376.41</v>
      </c>
      <c r="D21173" s="17" t="s">
        <v>11</v>
      </c>
      <c r="E21173" s="17"/>
      <c r="F21173" s="18"/>
      <c r="G21173" s="36" t="str">
        <f>IF(ISNUMBER(F21173),C21173*F21173,"")</f>
        <v/>
      </c>
    </row>
    <row r="21174" spans="1:7" ht="12" customHeight="1" outlineLevel="3" x14ac:dyDescent="0.2">
      <c r="A21174" s="14" t="s">
        <v>41679</v>
      </c>
      <c r="B21174" s="15" t="s">
        <v>41680</v>
      </c>
      <c r="C21174" s="16">
        <f>150.8/(1+B2)</f>
        <v>150.80000000000001</v>
      </c>
      <c r="D21174" s="17" t="s">
        <v>11</v>
      </c>
      <c r="E21174" s="17"/>
      <c r="F21174" s="18"/>
      <c r="G21174" s="36" t="str">
        <f>IF(ISNUMBER(F21174),C21174*F21174,"")</f>
        <v/>
      </c>
    </row>
    <row r="21175" spans="1:7" ht="12" customHeight="1" outlineLevel="3" x14ac:dyDescent="0.2">
      <c r="A21175" s="14" t="s">
        <v>41681</v>
      </c>
      <c r="B21175" s="15" t="s">
        <v>41682</v>
      </c>
      <c r="C21175" s="16">
        <f>250.95/(1+B2)</f>
        <v>250.95</v>
      </c>
      <c r="D21175" s="17" t="s">
        <v>11</v>
      </c>
      <c r="E21175" s="17"/>
      <c r="F21175" s="18"/>
      <c r="G21175" s="36" t="str">
        <f>IF(ISNUMBER(F21175),C21175*F21175,"")</f>
        <v/>
      </c>
    </row>
    <row r="21176" spans="1:7" ht="12" customHeight="1" outlineLevel="3" x14ac:dyDescent="0.2">
      <c r="A21176" s="14" t="s">
        <v>41683</v>
      </c>
      <c r="B21176" s="15" t="s">
        <v>41684</v>
      </c>
      <c r="C21176" s="16">
        <f>112.48/(1+B2)</f>
        <v>112.48</v>
      </c>
      <c r="D21176" s="17" t="s">
        <v>11</v>
      </c>
      <c r="E21176" s="17" t="s">
        <v>11</v>
      </c>
      <c r="F21176" s="18"/>
      <c r="G21176" s="36" t="str">
        <f>IF(ISNUMBER(F21176),C21176*F21176,"")</f>
        <v/>
      </c>
    </row>
    <row r="21177" spans="1:7" ht="12" customHeight="1" outlineLevel="3" x14ac:dyDescent="0.2">
      <c r="A21177" s="14" t="s">
        <v>41685</v>
      </c>
      <c r="B21177" s="15" t="s">
        <v>41686</v>
      </c>
      <c r="C21177" s="16">
        <f>196.31/(1+B2)</f>
        <v>196.31</v>
      </c>
      <c r="D21177" s="17" t="s">
        <v>11</v>
      </c>
      <c r="E21177" s="17"/>
      <c r="F21177" s="18"/>
      <c r="G21177" s="36" t="str">
        <f>IF(ISNUMBER(F21177),C21177*F21177,"")</f>
        <v/>
      </c>
    </row>
    <row r="21178" spans="1:7" ht="12" customHeight="1" outlineLevel="3" x14ac:dyDescent="0.2">
      <c r="A21178" s="14" t="s">
        <v>41687</v>
      </c>
      <c r="B21178" s="15" t="s">
        <v>41688</v>
      </c>
      <c r="C21178" s="16">
        <f>71.2/(1+B2)</f>
        <v>71.2</v>
      </c>
      <c r="D21178" s="17" t="s">
        <v>11</v>
      </c>
      <c r="E21178" s="17"/>
      <c r="F21178" s="18"/>
      <c r="G21178" s="36" t="str">
        <f>IF(ISNUMBER(F21178),C21178*F21178,"")</f>
        <v/>
      </c>
    </row>
    <row r="21179" spans="1:7" ht="12" customHeight="1" outlineLevel="3" x14ac:dyDescent="0.2">
      <c r="A21179" s="14" t="s">
        <v>41689</v>
      </c>
      <c r="B21179" s="15" t="s">
        <v>41690</v>
      </c>
      <c r="C21179" s="16">
        <f>90.51/(1+B2)</f>
        <v>90.51</v>
      </c>
      <c r="D21179" s="17" t="s">
        <v>11</v>
      </c>
      <c r="E21179" s="17"/>
      <c r="F21179" s="18"/>
      <c r="G21179" s="36" t="str">
        <f>IF(ISNUMBER(F21179),C21179*F21179,"")</f>
        <v/>
      </c>
    </row>
    <row r="21180" spans="1:7" ht="12" customHeight="1" outlineLevel="3" x14ac:dyDescent="0.2">
      <c r="A21180" s="14" t="s">
        <v>41691</v>
      </c>
      <c r="B21180" s="15" t="s">
        <v>41692</v>
      </c>
      <c r="C21180" s="16">
        <f>41.42/(1+B2)</f>
        <v>41.42</v>
      </c>
      <c r="D21180" s="17" t="s">
        <v>11</v>
      </c>
      <c r="E21180" s="17"/>
      <c r="F21180" s="18"/>
      <c r="G21180" s="36" t="str">
        <f>IF(ISNUMBER(F21180),C21180*F21180,"")</f>
        <v/>
      </c>
    </row>
    <row r="21181" spans="1:7" ht="12" customHeight="1" outlineLevel="3" x14ac:dyDescent="0.2">
      <c r="A21181" s="14" t="s">
        <v>41693</v>
      </c>
      <c r="B21181" s="15" t="s">
        <v>41694</v>
      </c>
      <c r="C21181" s="16">
        <f>32.24/(1+B2)</f>
        <v>32.24</v>
      </c>
      <c r="D21181" s="17" t="s">
        <v>11</v>
      </c>
      <c r="E21181" s="17" t="s">
        <v>106</v>
      </c>
      <c r="F21181" s="18"/>
      <c r="G21181" s="36" t="str">
        <f>IF(ISNUMBER(F21181),C21181*F21181,"")</f>
        <v/>
      </c>
    </row>
    <row r="21182" spans="1:7" ht="12" customHeight="1" outlineLevel="3" x14ac:dyDescent="0.2">
      <c r="A21182" s="14" t="s">
        <v>41695</v>
      </c>
      <c r="B21182" s="15" t="s">
        <v>41696</v>
      </c>
      <c r="C21182" s="16">
        <f>74.06/(1+B2)</f>
        <v>74.06</v>
      </c>
      <c r="D21182" s="17" t="s">
        <v>11</v>
      </c>
      <c r="E21182" s="17"/>
      <c r="F21182" s="18"/>
      <c r="G21182" s="36" t="str">
        <f>IF(ISNUMBER(F21182),C21182*F21182,"")</f>
        <v/>
      </c>
    </row>
    <row r="21183" spans="1:7" ht="12" customHeight="1" outlineLevel="3" x14ac:dyDescent="0.2">
      <c r="A21183" s="14" t="s">
        <v>41697</v>
      </c>
      <c r="B21183" s="15" t="s">
        <v>41698</v>
      </c>
      <c r="C21183" s="16">
        <f>37.44/(1+B2)</f>
        <v>37.44</v>
      </c>
      <c r="D21183" s="17" t="s">
        <v>11</v>
      </c>
      <c r="E21183" s="17" t="s">
        <v>53</v>
      </c>
      <c r="F21183" s="18"/>
      <c r="G21183" s="36" t="str">
        <f>IF(ISNUMBER(F21183),C21183*F21183,"")</f>
        <v/>
      </c>
    </row>
    <row r="21184" spans="1:7" ht="12" customHeight="1" outlineLevel="3" x14ac:dyDescent="0.2">
      <c r="A21184" s="14" t="s">
        <v>41699</v>
      </c>
      <c r="B21184" s="15" t="s">
        <v>41700</v>
      </c>
      <c r="C21184" s="16">
        <f>52.13/(1+B2)</f>
        <v>52.13</v>
      </c>
      <c r="D21184" s="17" t="s">
        <v>53</v>
      </c>
      <c r="E21184" s="17" t="s">
        <v>14</v>
      </c>
      <c r="F21184" s="18"/>
      <c r="G21184" s="36" t="str">
        <f>IF(ISNUMBER(F21184),C21184*F21184,"")</f>
        <v/>
      </c>
    </row>
    <row r="21185" spans="1:7" ht="12" customHeight="1" outlineLevel="3" x14ac:dyDescent="0.2">
      <c r="A21185" s="14" t="s">
        <v>41701</v>
      </c>
      <c r="B21185" s="15" t="s">
        <v>41702</v>
      </c>
      <c r="C21185" s="16">
        <f>50.4/(1+B2)</f>
        <v>50.4</v>
      </c>
      <c r="D21185" s="17" t="s">
        <v>11</v>
      </c>
      <c r="E21185" s="17"/>
      <c r="F21185" s="18"/>
      <c r="G21185" s="36" t="str">
        <f>IF(ISNUMBER(F21185),C21185*F21185,"")</f>
        <v/>
      </c>
    </row>
    <row r="21186" spans="1:7" ht="12" customHeight="1" outlineLevel="3" x14ac:dyDescent="0.2">
      <c r="A21186" s="14" t="s">
        <v>41703</v>
      </c>
      <c r="B21186" s="15" t="s">
        <v>41704</v>
      </c>
      <c r="C21186" s="16">
        <f>39.2/(1+B2)</f>
        <v>39.200000000000003</v>
      </c>
      <c r="D21186" s="17" t="s">
        <v>106</v>
      </c>
      <c r="E21186" s="17"/>
      <c r="F21186" s="18"/>
      <c r="G21186" s="36" t="str">
        <f>IF(ISNUMBER(F21186),C21186*F21186,"")</f>
        <v/>
      </c>
    </row>
    <row r="21187" spans="1:7" ht="12" customHeight="1" outlineLevel="3" x14ac:dyDescent="0.2">
      <c r="A21187" s="14" t="s">
        <v>41705</v>
      </c>
      <c r="B21187" s="15" t="s">
        <v>41706</v>
      </c>
      <c r="C21187" s="16">
        <f>57.72/(1+B2)</f>
        <v>57.72</v>
      </c>
      <c r="D21187" s="17" t="s">
        <v>53</v>
      </c>
      <c r="E21187" s="17" t="s">
        <v>14</v>
      </c>
      <c r="F21187" s="18"/>
      <c r="G21187" s="36" t="str">
        <f>IF(ISNUMBER(F21187),C21187*F21187,"")</f>
        <v/>
      </c>
    </row>
    <row r="21188" spans="1:7" ht="12" customHeight="1" outlineLevel="3" x14ac:dyDescent="0.2">
      <c r="A21188" s="14" t="s">
        <v>41707</v>
      </c>
      <c r="B21188" s="15" t="s">
        <v>41708</v>
      </c>
      <c r="C21188" s="16">
        <f>64.65/(1+B2)</f>
        <v>64.650000000000006</v>
      </c>
      <c r="D21188" s="17" t="s">
        <v>53</v>
      </c>
      <c r="E21188" s="17"/>
      <c r="F21188" s="18"/>
      <c r="G21188" s="36" t="str">
        <f>IF(ISNUMBER(F21188),C21188*F21188,"")</f>
        <v/>
      </c>
    </row>
    <row r="21189" spans="1:7" ht="12" customHeight="1" outlineLevel="3" x14ac:dyDescent="0.2">
      <c r="A21189" s="14" t="s">
        <v>41709</v>
      </c>
      <c r="B21189" s="15" t="s">
        <v>41710</v>
      </c>
      <c r="C21189" s="16">
        <f>203.16/(1+B2)</f>
        <v>203.16</v>
      </c>
      <c r="D21189" s="17" t="s">
        <v>14</v>
      </c>
      <c r="E21189" s="17"/>
      <c r="F21189" s="18"/>
      <c r="G21189" s="36" t="str">
        <f>IF(ISNUMBER(F21189),C21189*F21189,"")</f>
        <v/>
      </c>
    </row>
    <row r="21190" spans="1:7" ht="12" customHeight="1" outlineLevel="3" x14ac:dyDescent="0.2">
      <c r="A21190" s="14" t="s">
        <v>41711</v>
      </c>
      <c r="B21190" s="15" t="s">
        <v>41712</v>
      </c>
      <c r="C21190" s="16">
        <f>203.16/(1+B2)</f>
        <v>203.16</v>
      </c>
      <c r="D21190" s="17" t="s">
        <v>11</v>
      </c>
      <c r="E21190" s="17"/>
      <c r="F21190" s="18"/>
      <c r="G21190" s="36" t="str">
        <f>IF(ISNUMBER(F21190),C21190*F21190,"")</f>
        <v/>
      </c>
    </row>
    <row r="21191" spans="1:7" ht="12" customHeight="1" outlineLevel="3" x14ac:dyDescent="0.2">
      <c r="A21191" s="14" t="s">
        <v>41713</v>
      </c>
      <c r="B21191" s="15" t="s">
        <v>41714</v>
      </c>
      <c r="C21191" s="16">
        <f>133.06/(1+B2)</f>
        <v>133.06</v>
      </c>
      <c r="D21191" s="17" t="s">
        <v>11</v>
      </c>
      <c r="E21191" s="17"/>
      <c r="F21191" s="18"/>
      <c r="G21191" s="36" t="str">
        <f>IF(ISNUMBER(F21191),C21191*F21191,"")</f>
        <v/>
      </c>
    </row>
    <row r="21192" spans="1:7" ht="12" customHeight="1" outlineLevel="3" x14ac:dyDescent="0.2">
      <c r="A21192" s="14" t="s">
        <v>41715</v>
      </c>
      <c r="B21192" s="15" t="s">
        <v>41716</v>
      </c>
      <c r="C21192" s="16">
        <f>216.16/(1+B2)</f>
        <v>216.16</v>
      </c>
      <c r="D21192" s="17" t="s">
        <v>11</v>
      </c>
      <c r="E21192" s="17"/>
      <c r="F21192" s="18"/>
      <c r="G21192" s="36" t="str">
        <f>IF(ISNUMBER(F21192),C21192*F21192,"")</f>
        <v/>
      </c>
    </row>
    <row r="21193" spans="1:7" ht="12" customHeight="1" outlineLevel="3" x14ac:dyDescent="0.2">
      <c r="A21193" s="14" t="s">
        <v>41717</v>
      </c>
      <c r="B21193" s="15" t="s">
        <v>41718</v>
      </c>
      <c r="C21193" s="16">
        <f>282.33/(1+B2)</f>
        <v>282.33</v>
      </c>
      <c r="D21193" s="17" t="s">
        <v>11</v>
      </c>
      <c r="E21193" s="17"/>
      <c r="F21193" s="18"/>
      <c r="G21193" s="36" t="str">
        <f>IF(ISNUMBER(F21193),C21193*F21193,"")</f>
        <v/>
      </c>
    </row>
    <row r="21194" spans="1:7" ht="12" customHeight="1" outlineLevel="3" x14ac:dyDescent="0.2">
      <c r="A21194" s="14" t="s">
        <v>41719</v>
      </c>
      <c r="B21194" s="15" t="s">
        <v>41720</v>
      </c>
      <c r="C21194" s="16">
        <f>101.15/(1+B2)</f>
        <v>101.15</v>
      </c>
      <c r="D21194" s="17" t="s">
        <v>53</v>
      </c>
      <c r="E21194" s="17" t="s">
        <v>106</v>
      </c>
      <c r="F21194" s="18"/>
      <c r="G21194" s="36" t="str">
        <f>IF(ISNUMBER(F21194),C21194*F21194,"")</f>
        <v/>
      </c>
    </row>
    <row r="21195" spans="1:7" ht="12" customHeight="1" outlineLevel="3" x14ac:dyDescent="0.2">
      <c r="A21195" s="14" t="s">
        <v>41721</v>
      </c>
      <c r="B21195" s="15" t="s">
        <v>41722</v>
      </c>
      <c r="C21195" s="16">
        <f>144.36/(1+B2)</f>
        <v>144.36000000000001</v>
      </c>
      <c r="D21195" s="17" t="s">
        <v>53</v>
      </c>
      <c r="E21195" s="17"/>
      <c r="F21195" s="18"/>
      <c r="G21195" s="36" t="str">
        <f>IF(ISNUMBER(F21195),C21195*F21195,"")</f>
        <v/>
      </c>
    </row>
    <row r="21196" spans="1:7" ht="12" customHeight="1" outlineLevel="3" x14ac:dyDescent="0.2">
      <c r="A21196" s="14" t="s">
        <v>41723</v>
      </c>
      <c r="B21196" s="15" t="s">
        <v>41724</v>
      </c>
      <c r="C21196" s="16">
        <f>258.08/(1+B2)</f>
        <v>258.08</v>
      </c>
      <c r="D21196" s="17" t="s">
        <v>11</v>
      </c>
      <c r="E21196" s="17"/>
      <c r="F21196" s="18"/>
      <c r="G21196" s="36" t="str">
        <f>IF(ISNUMBER(F21196),C21196*F21196,"")</f>
        <v/>
      </c>
    </row>
    <row r="21197" spans="1:7" ht="12" customHeight="1" outlineLevel="3" x14ac:dyDescent="0.2">
      <c r="A21197" s="14" t="s">
        <v>41725</v>
      </c>
      <c r="B21197" s="15" t="s">
        <v>41726</v>
      </c>
      <c r="C21197" s="16">
        <f>165.72/(1+B2)</f>
        <v>165.72</v>
      </c>
      <c r="D21197" s="17" t="s">
        <v>11</v>
      </c>
      <c r="E21197" s="17"/>
      <c r="F21197" s="18"/>
      <c r="G21197" s="36" t="str">
        <f>IF(ISNUMBER(F21197),C21197*F21197,"")</f>
        <v/>
      </c>
    </row>
    <row r="21198" spans="1:7" ht="12" customHeight="1" outlineLevel="3" x14ac:dyDescent="0.2">
      <c r="A21198" s="14" t="s">
        <v>41727</v>
      </c>
      <c r="B21198" s="15" t="s">
        <v>41728</v>
      </c>
      <c r="C21198" s="16">
        <f>180.08/(1+B2)</f>
        <v>180.08</v>
      </c>
      <c r="D21198" s="17" t="s">
        <v>11</v>
      </c>
      <c r="E21198" s="17"/>
      <c r="F21198" s="18"/>
      <c r="G21198" s="36" t="str">
        <f>IF(ISNUMBER(F21198),C21198*F21198,"")</f>
        <v/>
      </c>
    </row>
    <row r="21199" spans="1:7" ht="12" customHeight="1" outlineLevel="3" x14ac:dyDescent="0.2">
      <c r="A21199" s="14" t="s">
        <v>41729</v>
      </c>
      <c r="B21199" s="15" t="s">
        <v>41730</v>
      </c>
      <c r="C21199" s="16">
        <f>196.45/(1+B2)</f>
        <v>196.45</v>
      </c>
      <c r="D21199" s="17" t="s">
        <v>11</v>
      </c>
      <c r="E21199" s="17"/>
      <c r="F21199" s="18"/>
      <c r="G21199" s="36" t="str">
        <f>IF(ISNUMBER(F21199),C21199*F21199,"")</f>
        <v/>
      </c>
    </row>
    <row r="21200" spans="1:7" ht="12" customHeight="1" outlineLevel="3" x14ac:dyDescent="0.2">
      <c r="A21200" s="14" t="s">
        <v>41731</v>
      </c>
      <c r="B21200" s="15" t="s">
        <v>41732</v>
      </c>
      <c r="C21200" s="16">
        <f>53.12/(1+B2)</f>
        <v>53.12</v>
      </c>
      <c r="D21200" s="17" t="s">
        <v>14</v>
      </c>
      <c r="E21200" s="17"/>
      <c r="F21200" s="18"/>
      <c r="G21200" s="36" t="str">
        <f>IF(ISNUMBER(F21200),C21200*F21200,"")</f>
        <v/>
      </c>
    </row>
    <row r="21201" spans="1:7" ht="12" customHeight="1" outlineLevel="3" x14ac:dyDescent="0.2">
      <c r="A21201" s="14" t="s">
        <v>41733</v>
      </c>
      <c r="B21201" s="15" t="s">
        <v>41734</v>
      </c>
      <c r="C21201" s="16">
        <f>125.74/(1+B2)</f>
        <v>125.74</v>
      </c>
      <c r="D21201" s="17" t="s">
        <v>14</v>
      </c>
      <c r="E21201" s="17"/>
      <c r="F21201" s="18"/>
      <c r="G21201" s="36" t="str">
        <f>IF(ISNUMBER(F21201),C21201*F21201,"")</f>
        <v/>
      </c>
    </row>
    <row r="21202" spans="1:7" ht="12" customHeight="1" outlineLevel="3" x14ac:dyDescent="0.2">
      <c r="A21202" s="14" t="s">
        <v>41735</v>
      </c>
      <c r="B21202" s="15" t="s">
        <v>41736</v>
      </c>
      <c r="C21202" s="16">
        <f>173.25/(1+B2)</f>
        <v>173.25</v>
      </c>
      <c r="D21202" s="17" t="s">
        <v>11</v>
      </c>
      <c r="E21202" s="17"/>
      <c r="F21202" s="18"/>
      <c r="G21202" s="36" t="str">
        <f>IF(ISNUMBER(F21202),C21202*F21202,"")</f>
        <v/>
      </c>
    </row>
    <row r="21203" spans="1:7" ht="12" customHeight="1" outlineLevel="3" x14ac:dyDescent="0.2">
      <c r="A21203" s="14" t="s">
        <v>41737</v>
      </c>
      <c r="B21203" s="15" t="s">
        <v>41738</v>
      </c>
      <c r="C21203" s="16">
        <f>271.3/(1+B2)</f>
        <v>271.3</v>
      </c>
      <c r="D21203" s="17" t="s">
        <v>11</v>
      </c>
      <c r="E21203" s="17"/>
      <c r="F21203" s="18"/>
      <c r="G21203" s="36" t="str">
        <f>IF(ISNUMBER(F21203),C21203*F21203,"")</f>
        <v/>
      </c>
    </row>
    <row r="21204" spans="1:7" ht="12" customHeight="1" outlineLevel="3" x14ac:dyDescent="0.2">
      <c r="A21204" s="14" t="s">
        <v>41739</v>
      </c>
      <c r="B21204" s="15" t="s">
        <v>41740</v>
      </c>
      <c r="C21204" s="16">
        <f>43.9/(1+B2)</f>
        <v>43.9</v>
      </c>
      <c r="D21204" s="17" t="s">
        <v>11</v>
      </c>
      <c r="E21204" s="17" t="s">
        <v>106</v>
      </c>
      <c r="F21204" s="18"/>
      <c r="G21204" s="36" t="str">
        <f>IF(ISNUMBER(F21204),C21204*F21204,"")</f>
        <v/>
      </c>
    </row>
    <row r="21205" spans="1:7" ht="12" customHeight="1" outlineLevel="3" x14ac:dyDescent="0.2">
      <c r="A21205" s="14" t="s">
        <v>41741</v>
      </c>
      <c r="B21205" s="15" t="s">
        <v>41742</v>
      </c>
      <c r="C21205" s="16">
        <f>63.08/(1+B2)</f>
        <v>63.08</v>
      </c>
      <c r="D21205" s="17" t="s">
        <v>11</v>
      </c>
      <c r="E21205" s="17" t="s">
        <v>53</v>
      </c>
      <c r="F21205" s="18"/>
      <c r="G21205" s="36" t="str">
        <f>IF(ISNUMBER(F21205),C21205*F21205,"")</f>
        <v/>
      </c>
    </row>
    <row r="21206" spans="1:7" ht="12" customHeight="1" outlineLevel="3" x14ac:dyDescent="0.2">
      <c r="A21206" s="14" t="s">
        <v>41743</v>
      </c>
      <c r="B21206" s="15" t="s">
        <v>41744</v>
      </c>
      <c r="C21206" s="16">
        <f>26.51/(1+B2)</f>
        <v>26.51</v>
      </c>
      <c r="D21206" s="17" t="s">
        <v>11</v>
      </c>
      <c r="E21206" s="17"/>
      <c r="F21206" s="18"/>
      <c r="G21206" s="36" t="str">
        <f>IF(ISNUMBER(F21206),C21206*F21206,"")</f>
        <v/>
      </c>
    </row>
    <row r="21207" spans="1:7" ht="12" customHeight="1" outlineLevel="3" x14ac:dyDescent="0.2">
      <c r="A21207" s="14" t="s">
        <v>41745</v>
      </c>
      <c r="B21207" s="15" t="s">
        <v>41746</v>
      </c>
      <c r="C21207" s="16">
        <f>355.52/(1+B2)</f>
        <v>355.52</v>
      </c>
      <c r="D21207" s="17" t="s">
        <v>11</v>
      </c>
      <c r="E21207" s="17"/>
      <c r="F21207" s="18"/>
      <c r="G21207" s="36" t="str">
        <f>IF(ISNUMBER(F21207),C21207*F21207,"")</f>
        <v/>
      </c>
    </row>
    <row r="21208" spans="1:7" ht="12" customHeight="1" outlineLevel="3" x14ac:dyDescent="0.2">
      <c r="A21208" s="14" t="s">
        <v>41747</v>
      </c>
      <c r="B21208" s="15" t="s">
        <v>41748</v>
      </c>
      <c r="C21208" s="16">
        <f>325.82/(1+B2)</f>
        <v>325.82</v>
      </c>
      <c r="D21208" s="17" t="s">
        <v>11</v>
      </c>
      <c r="E21208" s="17"/>
      <c r="F21208" s="18"/>
      <c r="G21208" s="36" t="str">
        <f>IF(ISNUMBER(F21208),C21208*F21208,"")</f>
        <v/>
      </c>
    </row>
    <row r="21209" spans="1:7" ht="12" customHeight="1" outlineLevel="3" x14ac:dyDescent="0.2">
      <c r="A21209" s="14" t="s">
        <v>41749</v>
      </c>
      <c r="B21209" s="15" t="s">
        <v>41750</v>
      </c>
      <c r="C21209" s="16">
        <f>158.18/(1+B2)</f>
        <v>158.18</v>
      </c>
      <c r="D21209" s="17" t="s">
        <v>53</v>
      </c>
      <c r="E21209" s="17" t="s">
        <v>53</v>
      </c>
      <c r="F21209" s="18"/>
      <c r="G21209" s="36" t="str">
        <f>IF(ISNUMBER(F21209),C21209*F21209,"")</f>
        <v/>
      </c>
    </row>
    <row r="21210" spans="1:7" ht="12" customHeight="1" outlineLevel="3" x14ac:dyDescent="0.2">
      <c r="A21210" s="14" t="s">
        <v>41751</v>
      </c>
      <c r="B21210" s="15" t="s">
        <v>41752</v>
      </c>
      <c r="C21210" s="16">
        <f>98.93/(1+B2)</f>
        <v>98.93</v>
      </c>
      <c r="D21210" s="17" t="s">
        <v>11</v>
      </c>
      <c r="E21210" s="17"/>
      <c r="F21210" s="18"/>
      <c r="G21210" s="36" t="str">
        <f>IF(ISNUMBER(F21210),C21210*F21210,"")</f>
        <v/>
      </c>
    </row>
    <row r="21211" spans="1:7" ht="12" customHeight="1" outlineLevel="3" x14ac:dyDescent="0.2">
      <c r="A21211" s="14" t="s">
        <v>41753</v>
      </c>
      <c r="B21211" s="15" t="s">
        <v>41754</v>
      </c>
      <c r="C21211" s="16">
        <f>48.6/(1+B2)</f>
        <v>48.6</v>
      </c>
      <c r="D21211" s="17" t="s">
        <v>14</v>
      </c>
      <c r="E21211" s="17"/>
      <c r="F21211" s="18"/>
      <c r="G21211" s="36" t="str">
        <f>IF(ISNUMBER(F21211),C21211*F21211,"")</f>
        <v/>
      </c>
    </row>
    <row r="21212" spans="1:7" ht="12" customHeight="1" outlineLevel="3" x14ac:dyDescent="0.2">
      <c r="A21212" s="14" t="s">
        <v>41755</v>
      </c>
      <c r="B21212" s="15" t="s">
        <v>41756</v>
      </c>
      <c r="C21212" s="16">
        <f>109.56/(1+B2)</f>
        <v>109.56</v>
      </c>
      <c r="D21212" s="17" t="s">
        <v>14</v>
      </c>
      <c r="E21212" s="17"/>
      <c r="F21212" s="18"/>
      <c r="G21212" s="36" t="str">
        <f>IF(ISNUMBER(F21212),C21212*F21212,"")</f>
        <v/>
      </c>
    </row>
    <row r="21213" spans="1:7" ht="12" customHeight="1" outlineLevel="3" x14ac:dyDescent="0.2">
      <c r="A21213" s="14" t="s">
        <v>41757</v>
      </c>
      <c r="B21213" s="15" t="s">
        <v>41758</v>
      </c>
      <c r="C21213" s="16">
        <f>258.08/(1+B2)</f>
        <v>258.08</v>
      </c>
      <c r="D21213" s="17" t="s">
        <v>11</v>
      </c>
      <c r="E21213" s="17"/>
      <c r="F21213" s="18"/>
      <c r="G21213" s="36" t="str">
        <f>IF(ISNUMBER(F21213),C21213*F21213,"")</f>
        <v/>
      </c>
    </row>
    <row r="21214" spans="1:7" ht="12" customHeight="1" outlineLevel="3" x14ac:dyDescent="0.2">
      <c r="A21214" s="14" t="s">
        <v>41759</v>
      </c>
      <c r="B21214" s="15" t="s">
        <v>41760</v>
      </c>
      <c r="C21214" s="16">
        <f>62.44/(1+B2)</f>
        <v>62.44</v>
      </c>
      <c r="D21214" s="17" t="s">
        <v>53</v>
      </c>
      <c r="E21214" s="17" t="s">
        <v>106</v>
      </c>
      <c r="F21214" s="18"/>
      <c r="G21214" s="36" t="str">
        <f>IF(ISNUMBER(F21214),C21214*F21214,"")</f>
        <v/>
      </c>
    </row>
    <row r="21215" spans="1:7" ht="12" customHeight="1" outlineLevel="3" x14ac:dyDescent="0.2">
      <c r="A21215" s="14" t="s">
        <v>41761</v>
      </c>
      <c r="B21215" s="15" t="s">
        <v>41762</v>
      </c>
      <c r="C21215" s="16">
        <f>406.32/(1+B2)</f>
        <v>406.32</v>
      </c>
      <c r="D21215" s="17" t="s">
        <v>11</v>
      </c>
      <c r="E21215" s="17"/>
      <c r="F21215" s="18"/>
      <c r="G21215" s="36" t="str">
        <f>IF(ISNUMBER(F21215),C21215*F21215,"")</f>
        <v/>
      </c>
    </row>
    <row r="21216" spans="1:7" ht="12" customHeight="1" outlineLevel="3" x14ac:dyDescent="0.2">
      <c r="A21216" s="14" t="s">
        <v>41763</v>
      </c>
      <c r="B21216" s="15" t="s">
        <v>41764</v>
      </c>
      <c r="C21216" s="16">
        <f>278.66/(1+B2)</f>
        <v>278.66000000000003</v>
      </c>
      <c r="D21216" s="17" t="s">
        <v>14</v>
      </c>
      <c r="E21216" s="17"/>
      <c r="F21216" s="18"/>
      <c r="G21216" s="36" t="str">
        <f>IF(ISNUMBER(F21216),C21216*F21216,"")</f>
        <v/>
      </c>
    </row>
    <row r="21217" spans="1:7" ht="12" customHeight="1" outlineLevel="3" x14ac:dyDescent="0.2">
      <c r="A21217" s="14" t="s">
        <v>41765</v>
      </c>
      <c r="B21217" s="15" t="s">
        <v>41766</v>
      </c>
      <c r="C21217" s="16">
        <f>182.1/(1+B2)</f>
        <v>182.1</v>
      </c>
      <c r="D21217" s="17" t="s">
        <v>11</v>
      </c>
      <c r="E21217" s="17"/>
      <c r="F21217" s="18"/>
      <c r="G21217" s="36" t="str">
        <f>IF(ISNUMBER(F21217),C21217*F21217,"")</f>
        <v/>
      </c>
    </row>
    <row r="21218" spans="1:7" ht="12" customHeight="1" outlineLevel="3" x14ac:dyDescent="0.2">
      <c r="A21218" s="14" t="s">
        <v>41767</v>
      </c>
      <c r="B21218" s="15" t="s">
        <v>41768</v>
      </c>
      <c r="C21218" s="16">
        <f>31.92/(1+B2)</f>
        <v>31.92</v>
      </c>
      <c r="D21218" s="17" t="s">
        <v>11</v>
      </c>
      <c r="E21218" s="17"/>
      <c r="F21218" s="18"/>
      <c r="G21218" s="36" t="str">
        <f>IF(ISNUMBER(F21218),C21218*F21218,"")</f>
        <v/>
      </c>
    </row>
    <row r="21219" spans="1:7" ht="12" customHeight="1" outlineLevel="3" x14ac:dyDescent="0.2">
      <c r="A21219" s="14" t="s">
        <v>41769</v>
      </c>
      <c r="B21219" s="15" t="s">
        <v>41770</v>
      </c>
      <c r="C21219" s="16">
        <f>35.81/(1+B2)</f>
        <v>35.81</v>
      </c>
      <c r="D21219" s="17" t="s">
        <v>11</v>
      </c>
      <c r="E21219" s="17"/>
      <c r="F21219" s="18"/>
      <c r="G21219" s="36" t="str">
        <f>IF(ISNUMBER(F21219),C21219*F21219,"")</f>
        <v/>
      </c>
    </row>
    <row r="21220" spans="1:7" ht="12" customHeight="1" outlineLevel="3" x14ac:dyDescent="0.2">
      <c r="A21220" s="14" t="s">
        <v>41771</v>
      </c>
      <c r="B21220" s="15" t="s">
        <v>41772</v>
      </c>
      <c r="C21220" s="16">
        <f>84.3/(1+B2)</f>
        <v>84.3</v>
      </c>
      <c r="D21220" s="17" t="s">
        <v>11</v>
      </c>
      <c r="E21220" s="17" t="s">
        <v>11</v>
      </c>
      <c r="F21220" s="18"/>
      <c r="G21220" s="36" t="str">
        <f>IF(ISNUMBER(F21220),C21220*F21220,"")</f>
        <v/>
      </c>
    </row>
    <row r="21221" spans="1:7" ht="12" customHeight="1" outlineLevel="3" x14ac:dyDescent="0.2">
      <c r="A21221" s="14" t="s">
        <v>41773</v>
      </c>
      <c r="B21221" s="15" t="s">
        <v>41774</v>
      </c>
      <c r="C21221" s="16">
        <f>81.51/(1+B2)</f>
        <v>81.510000000000005</v>
      </c>
      <c r="D21221" s="17" t="s">
        <v>11</v>
      </c>
      <c r="E21221" s="17" t="s">
        <v>53</v>
      </c>
      <c r="F21221" s="18"/>
      <c r="G21221" s="36" t="str">
        <f>IF(ISNUMBER(F21221),C21221*F21221,"")</f>
        <v/>
      </c>
    </row>
    <row r="21222" spans="1:7" ht="12" customHeight="1" outlineLevel="3" x14ac:dyDescent="0.2">
      <c r="A21222" s="14" t="s">
        <v>41775</v>
      </c>
      <c r="B21222" s="15" t="s">
        <v>41776</v>
      </c>
      <c r="C21222" s="16">
        <f>255.48/(1+B2)</f>
        <v>255.48</v>
      </c>
      <c r="D21222" s="17" t="s">
        <v>53</v>
      </c>
      <c r="E21222" s="17"/>
      <c r="F21222" s="18"/>
      <c r="G21222" s="36" t="str">
        <f>IF(ISNUMBER(F21222),C21222*F21222,"")</f>
        <v/>
      </c>
    </row>
    <row r="21223" spans="1:7" ht="12" customHeight="1" outlineLevel="3" x14ac:dyDescent="0.2">
      <c r="A21223" s="14" t="s">
        <v>41777</v>
      </c>
      <c r="B21223" s="15" t="s">
        <v>41778</v>
      </c>
      <c r="C21223" s="16">
        <f>120.05/(1+B2)</f>
        <v>120.05</v>
      </c>
      <c r="D21223" s="17" t="s">
        <v>11</v>
      </c>
      <c r="E21223" s="17" t="s">
        <v>53</v>
      </c>
      <c r="F21223" s="18"/>
      <c r="G21223" s="36" t="str">
        <f>IF(ISNUMBER(F21223),C21223*F21223,"")</f>
        <v/>
      </c>
    </row>
    <row r="21224" spans="1:7" ht="12" customHeight="1" outlineLevel="3" x14ac:dyDescent="0.2">
      <c r="A21224" s="14" t="s">
        <v>41779</v>
      </c>
      <c r="B21224" s="15" t="s">
        <v>41780</v>
      </c>
      <c r="C21224" s="16">
        <f>149.3/(1+B2)</f>
        <v>149.30000000000001</v>
      </c>
      <c r="D21224" s="17" t="s">
        <v>11</v>
      </c>
      <c r="E21224" s="17"/>
      <c r="F21224" s="18"/>
      <c r="G21224" s="36" t="str">
        <f>IF(ISNUMBER(F21224),C21224*F21224,"")</f>
        <v/>
      </c>
    </row>
    <row r="21225" spans="1:7" ht="12" customHeight="1" outlineLevel="3" x14ac:dyDescent="0.2">
      <c r="A21225" s="14" t="s">
        <v>41781</v>
      </c>
      <c r="B21225" s="15" t="s">
        <v>41782</v>
      </c>
      <c r="C21225" s="16">
        <f>120.05/(1+B2)</f>
        <v>120.05</v>
      </c>
      <c r="D21225" s="17" t="s">
        <v>106</v>
      </c>
      <c r="E21225" s="17" t="s">
        <v>106</v>
      </c>
      <c r="F21225" s="18"/>
      <c r="G21225" s="36" t="str">
        <f>IF(ISNUMBER(F21225),C21225*F21225,"")</f>
        <v/>
      </c>
    </row>
    <row r="21226" spans="1:7" ht="12" customHeight="1" outlineLevel="3" x14ac:dyDescent="0.2">
      <c r="A21226" s="14" t="s">
        <v>41783</v>
      </c>
      <c r="B21226" s="15" t="s">
        <v>41784</v>
      </c>
      <c r="C21226" s="16">
        <f>382.61/(1+B2)</f>
        <v>382.61</v>
      </c>
      <c r="D21226" s="17" t="s">
        <v>11</v>
      </c>
      <c r="E21226" s="17"/>
      <c r="F21226" s="18"/>
      <c r="G21226" s="36" t="str">
        <f>IF(ISNUMBER(F21226),C21226*F21226,"")</f>
        <v/>
      </c>
    </row>
    <row r="21227" spans="1:7" ht="12" customHeight="1" outlineLevel="3" x14ac:dyDescent="0.2">
      <c r="A21227" s="14" t="s">
        <v>41785</v>
      </c>
      <c r="B21227" s="15" t="s">
        <v>41786</v>
      </c>
      <c r="C21227" s="16">
        <f>93/(1+B2)</f>
        <v>93</v>
      </c>
      <c r="D21227" s="17" t="s">
        <v>11</v>
      </c>
      <c r="E21227" s="17" t="s">
        <v>11</v>
      </c>
      <c r="F21227" s="18"/>
      <c r="G21227" s="36" t="str">
        <f>IF(ISNUMBER(F21227),C21227*F21227,"")</f>
        <v/>
      </c>
    </row>
    <row r="21228" spans="1:7" ht="12" customHeight="1" outlineLevel="3" x14ac:dyDescent="0.2">
      <c r="A21228" s="14" t="s">
        <v>41787</v>
      </c>
      <c r="B21228" s="15" t="s">
        <v>41788</v>
      </c>
      <c r="C21228" s="16">
        <f>202.03/(1+B2)</f>
        <v>202.03</v>
      </c>
      <c r="D21228" s="17" t="s">
        <v>11</v>
      </c>
      <c r="E21228" s="17"/>
      <c r="F21228" s="18"/>
      <c r="G21228" s="36" t="str">
        <f>IF(ISNUMBER(F21228),C21228*F21228,"")</f>
        <v/>
      </c>
    </row>
    <row r="21229" spans="1:7" ht="12" customHeight="1" outlineLevel="3" x14ac:dyDescent="0.2">
      <c r="A21229" s="14" t="s">
        <v>41789</v>
      </c>
      <c r="B21229" s="15" t="s">
        <v>41790</v>
      </c>
      <c r="C21229" s="16">
        <f>277.8/(1+B2)</f>
        <v>277.8</v>
      </c>
      <c r="D21229" s="17" t="s">
        <v>11</v>
      </c>
      <c r="E21229" s="17"/>
      <c r="F21229" s="18"/>
      <c r="G21229" s="36" t="str">
        <f>IF(ISNUMBER(F21229),C21229*F21229,"")</f>
        <v/>
      </c>
    </row>
    <row r="21230" spans="1:7" ht="12" customHeight="1" outlineLevel="3" x14ac:dyDescent="0.2">
      <c r="A21230" s="14" t="s">
        <v>41791</v>
      </c>
      <c r="B21230" s="15" t="s">
        <v>41792</v>
      </c>
      <c r="C21230" s="16">
        <f>106.88/(1+B2)</f>
        <v>106.88</v>
      </c>
      <c r="D21230" s="17" t="s">
        <v>14</v>
      </c>
      <c r="E21230" s="17"/>
      <c r="F21230" s="18"/>
      <c r="G21230" s="36" t="str">
        <f>IF(ISNUMBER(F21230),C21230*F21230,"")</f>
        <v/>
      </c>
    </row>
    <row r="21231" spans="1:7" ht="12" customHeight="1" outlineLevel="3" x14ac:dyDescent="0.2">
      <c r="A21231" s="14" t="s">
        <v>41793</v>
      </c>
      <c r="B21231" s="15" t="s">
        <v>41794</v>
      </c>
      <c r="C21231" s="16">
        <f>163.39/(1+B2)</f>
        <v>163.38999999999999</v>
      </c>
      <c r="D21231" s="17" t="s">
        <v>11</v>
      </c>
      <c r="E21231" s="17"/>
      <c r="F21231" s="18"/>
      <c r="G21231" s="36" t="str">
        <f>IF(ISNUMBER(F21231),C21231*F21231,"")</f>
        <v/>
      </c>
    </row>
    <row r="21232" spans="1:7" ht="12" customHeight="1" outlineLevel="3" x14ac:dyDescent="0.2">
      <c r="A21232" s="14" t="s">
        <v>41795</v>
      </c>
      <c r="B21232" s="15" t="s">
        <v>41796</v>
      </c>
      <c r="C21232" s="16">
        <f>158.69/(1+B2)</f>
        <v>158.69</v>
      </c>
      <c r="D21232" s="17" t="s">
        <v>14</v>
      </c>
      <c r="E21232" s="17" t="s">
        <v>11</v>
      </c>
      <c r="F21232" s="18"/>
      <c r="G21232" s="36" t="str">
        <f>IF(ISNUMBER(F21232),C21232*F21232,"")</f>
        <v/>
      </c>
    </row>
    <row r="21233" spans="1:7" ht="12" customHeight="1" outlineLevel="3" x14ac:dyDescent="0.2">
      <c r="A21233" s="14" t="s">
        <v>41797</v>
      </c>
      <c r="B21233" s="15" t="s">
        <v>41798</v>
      </c>
      <c r="C21233" s="16">
        <f>151.95/(1+B2)</f>
        <v>151.94999999999999</v>
      </c>
      <c r="D21233" s="17" t="s">
        <v>14</v>
      </c>
      <c r="E21233" s="17"/>
      <c r="F21233" s="18"/>
      <c r="G21233" s="36" t="str">
        <f>IF(ISNUMBER(F21233),C21233*F21233,"")</f>
        <v/>
      </c>
    </row>
    <row r="21234" spans="1:7" ht="12" customHeight="1" outlineLevel="3" x14ac:dyDescent="0.2">
      <c r="A21234" s="14" t="s">
        <v>41799</v>
      </c>
      <c r="B21234" s="15" t="s">
        <v>41800</v>
      </c>
      <c r="C21234" s="16">
        <f>109.91/(1+B2)</f>
        <v>109.91</v>
      </c>
      <c r="D21234" s="17" t="s">
        <v>11</v>
      </c>
      <c r="E21234" s="17" t="s">
        <v>14</v>
      </c>
      <c r="F21234" s="18"/>
      <c r="G21234" s="36" t="str">
        <f>IF(ISNUMBER(F21234),C21234*F21234,"")</f>
        <v/>
      </c>
    </row>
    <row r="21235" spans="1:7" ht="12" customHeight="1" outlineLevel="3" x14ac:dyDescent="0.2">
      <c r="A21235" s="14" t="s">
        <v>41801</v>
      </c>
      <c r="B21235" s="15" t="s">
        <v>41802</v>
      </c>
      <c r="C21235" s="16">
        <f>146.63/(1+B2)</f>
        <v>146.63</v>
      </c>
      <c r="D21235" s="17" t="s">
        <v>11</v>
      </c>
      <c r="E21235" s="17"/>
      <c r="F21235" s="18"/>
      <c r="G21235" s="36" t="str">
        <f>IF(ISNUMBER(F21235),C21235*F21235,"")</f>
        <v/>
      </c>
    </row>
    <row r="21236" spans="1:7" ht="12" customHeight="1" outlineLevel="3" x14ac:dyDescent="0.2">
      <c r="A21236" s="14" t="s">
        <v>41803</v>
      </c>
      <c r="B21236" s="15" t="s">
        <v>41804</v>
      </c>
      <c r="C21236" s="16">
        <f>226.41/(1+B2)</f>
        <v>226.41</v>
      </c>
      <c r="D21236" s="17" t="s">
        <v>11</v>
      </c>
      <c r="E21236" s="17"/>
      <c r="F21236" s="18"/>
      <c r="G21236" s="36" t="str">
        <f>IF(ISNUMBER(F21236),C21236*F21236,"")</f>
        <v/>
      </c>
    </row>
    <row r="21237" spans="1:7" ht="12" customHeight="1" outlineLevel="3" x14ac:dyDescent="0.2">
      <c r="A21237" s="14" t="s">
        <v>41805</v>
      </c>
      <c r="B21237" s="15" t="s">
        <v>41806</v>
      </c>
      <c r="C21237" s="16">
        <f>220.34/(1+B2)</f>
        <v>220.34</v>
      </c>
      <c r="D21237" s="17" t="s">
        <v>14</v>
      </c>
      <c r="E21237" s="17" t="s">
        <v>53</v>
      </c>
      <c r="F21237" s="18"/>
      <c r="G21237" s="36" t="str">
        <f>IF(ISNUMBER(F21237),C21237*F21237,"")</f>
        <v/>
      </c>
    </row>
    <row r="21238" spans="1:7" ht="12" customHeight="1" outlineLevel="3" x14ac:dyDescent="0.2">
      <c r="A21238" s="14" t="s">
        <v>41807</v>
      </c>
      <c r="B21238" s="15" t="s">
        <v>41808</v>
      </c>
      <c r="C21238" s="16">
        <f>305.31/(1+B2)</f>
        <v>305.31</v>
      </c>
      <c r="D21238" s="17" t="s">
        <v>11</v>
      </c>
      <c r="E21238" s="17"/>
      <c r="F21238" s="18"/>
      <c r="G21238" s="36" t="str">
        <f>IF(ISNUMBER(F21238),C21238*F21238,"")</f>
        <v/>
      </c>
    </row>
    <row r="21239" spans="1:7" ht="12" customHeight="1" outlineLevel="3" x14ac:dyDescent="0.2">
      <c r="A21239" s="14" t="s">
        <v>41809</v>
      </c>
      <c r="B21239" s="15" t="s">
        <v>41810</v>
      </c>
      <c r="C21239" s="16">
        <f>240.71/(1+B2)</f>
        <v>240.71</v>
      </c>
      <c r="D21239" s="17" t="s">
        <v>11</v>
      </c>
      <c r="E21239" s="17"/>
      <c r="F21239" s="18"/>
      <c r="G21239" s="36" t="str">
        <f>IF(ISNUMBER(F21239),C21239*F21239,"")</f>
        <v/>
      </c>
    </row>
    <row r="21240" spans="1:7" ht="12" customHeight="1" outlineLevel="3" x14ac:dyDescent="0.2">
      <c r="A21240" s="14" t="s">
        <v>41811</v>
      </c>
      <c r="B21240" s="15" t="s">
        <v>41812</v>
      </c>
      <c r="C21240" s="16">
        <f>94.29/(1+B2)</f>
        <v>94.29</v>
      </c>
      <c r="D21240" s="17" t="s">
        <v>11</v>
      </c>
      <c r="E21240" s="17" t="s">
        <v>11</v>
      </c>
      <c r="F21240" s="18"/>
      <c r="G21240" s="36" t="str">
        <f>IF(ISNUMBER(F21240),C21240*F21240,"")</f>
        <v/>
      </c>
    </row>
    <row r="21241" spans="1:7" ht="12" customHeight="1" outlineLevel="3" x14ac:dyDescent="0.2">
      <c r="A21241" s="14" t="s">
        <v>41813</v>
      </c>
      <c r="B21241" s="15" t="s">
        <v>41814</v>
      </c>
      <c r="C21241" s="16">
        <f>135.9/(1+B2)</f>
        <v>135.9</v>
      </c>
      <c r="D21241" s="17" t="s">
        <v>11</v>
      </c>
      <c r="E21241" s="17"/>
      <c r="F21241" s="18"/>
      <c r="G21241" s="36" t="str">
        <f>IF(ISNUMBER(F21241),C21241*F21241,"")</f>
        <v/>
      </c>
    </row>
    <row r="21242" spans="1:7" ht="12" customHeight="1" outlineLevel="3" x14ac:dyDescent="0.2">
      <c r="A21242" s="14" t="s">
        <v>41815</v>
      </c>
      <c r="B21242" s="15" t="s">
        <v>41816</v>
      </c>
      <c r="C21242" s="16">
        <f>159.9/(1+B2)</f>
        <v>159.9</v>
      </c>
      <c r="D21242" s="17" t="s">
        <v>11</v>
      </c>
      <c r="E21242" s="17" t="s">
        <v>11</v>
      </c>
      <c r="F21242" s="18"/>
      <c r="G21242" s="36" t="str">
        <f>IF(ISNUMBER(F21242),C21242*F21242,"")</f>
        <v/>
      </c>
    </row>
    <row r="21243" spans="1:7" ht="12" customHeight="1" outlineLevel="3" x14ac:dyDescent="0.2">
      <c r="A21243" s="14" t="s">
        <v>41817</v>
      </c>
      <c r="B21243" s="15" t="s">
        <v>41818</v>
      </c>
      <c r="C21243" s="16">
        <f>141.03/(1+B2)</f>
        <v>141.03</v>
      </c>
      <c r="D21243" s="17" t="s">
        <v>11</v>
      </c>
      <c r="E21243" s="17"/>
      <c r="F21243" s="18"/>
      <c r="G21243" s="36" t="str">
        <f>IF(ISNUMBER(F21243),C21243*F21243,"")</f>
        <v/>
      </c>
    </row>
    <row r="21244" spans="1:7" ht="12" customHeight="1" outlineLevel="3" x14ac:dyDescent="0.2">
      <c r="A21244" s="14" t="s">
        <v>41819</v>
      </c>
      <c r="B21244" s="15" t="s">
        <v>41820</v>
      </c>
      <c r="C21244" s="16">
        <f>209.54/(1+B2)</f>
        <v>209.54</v>
      </c>
      <c r="D21244" s="17" t="s">
        <v>11</v>
      </c>
      <c r="E21244" s="17"/>
      <c r="F21244" s="18"/>
      <c r="G21244" s="36" t="str">
        <f>IF(ISNUMBER(F21244),C21244*F21244,"")</f>
        <v/>
      </c>
    </row>
    <row r="21245" spans="1:7" ht="12" customHeight="1" outlineLevel="3" x14ac:dyDescent="0.2">
      <c r="A21245" s="14" t="s">
        <v>41821</v>
      </c>
      <c r="B21245" s="15" t="s">
        <v>41822</v>
      </c>
      <c r="C21245" s="16">
        <f>209.54/(1+B2)</f>
        <v>209.54</v>
      </c>
      <c r="D21245" s="17" t="s">
        <v>11</v>
      </c>
      <c r="E21245" s="17"/>
      <c r="F21245" s="18"/>
      <c r="G21245" s="36" t="str">
        <f>IF(ISNUMBER(F21245),C21245*F21245,"")</f>
        <v/>
      </c>
    </row>
    <row r="21246" spans="1:7" ht="12" customHeight="1" outlineLevel="3" x14ac:dyDescent="0.2">
      <c r="A21246" s="14" t="s">
        <v>41823</v>
      </c>
      <c r="B21246" s="15" t="s">
        <v>41824</v>
      </c>
      <c r="C21246" s="16">
        <f>214.68/(1+B2)</f>
        <v>214.68</v>
      </c>
      <c r="D21246" s="17" t="s">
        <v>11</v>
      </c>
      <c r="E21246" s="17"/>
      <c r="F21246" s="18"/>
      <c r="G21246" s="36" t="str">
        <f>IF(ISNUMBER(F21246),C21246*F21246,"")</f>
        <v/>
      </c>
    </row>
    <row r="21247" spans="1:7" ht="12" customHeight="1" outlineLevel="3" x14ac:dyDescent="0.2">
      <c r="A21247" s="14" t="s">
        <v>41825</v>
      </c>
      <c r="B21247" s="15" t="s">
        <v>41826</v>
      </c>
      <c r="C21247" s="16">
        <f>242.63/(1+B2)</f>
        <v>242.63</v>
      </c>
      <c r="D21247" s="17" t="s">
        <v>11</v>
      </c>
      <c r="E21247" s="17"/>
      <c r="F21247" s="18"/>
      <c r="G21247" s="36" t="str">
        <f>IF(ISNUMBER(F21247),C21247*F21247,"")</f>
        <v/>
      </c>
    </row>
    <row r="21248" spans="1:7" ht="12" customHeight="1" outlineLevel="3" x14ac:dyDescent="0.2">
      <c r="A21248" s="14" t="s">
        <v>41827</v>
      </c>
      <c r="B21248" s="15" t="s">
        <v>41828</v>
      </c>
      <c r="C21248" s="16">
        <f>202.82/(1+B2)</f>
        <v>202.82</v>
      </c>
      <c r="D21248" s="17" t="s">
        <v>14</v>
      </c>
      <c r="E21248" s="17"/>
      <c r="F21248" s="18"/>
      <c r="G21248" s="36" t="str">
        <f>IF(ISNUMBER(F21248),C21248*F21248,"")</f>
        <v/>
      </c>
    </row>
    <row r="21249" spans="1:7" ht="12" customHeight="1" outlineLevel="3" x14ac:dyDescent="0.2">
      <c r="A21249" s="14" t="s">
        <v>41829</v>
      </c>
      <c r="B21249" s="15" t="s">
        <v>41830</v>
      </c>
      <c r="C21249" s="16">
        <f>110.53/(1+B2)</f>
        <v>110.53</v>
      </c>
      <c r="D21249" s="17" t="s">
        <v>11</v>
      </c>
      <c r="E21249" s="17"/>
      <c r="F21249" s="18"/>
      <c r="G21249" s="36" t="str">
        <f>IF(ISNUMBER(F21249),C21249*F21249,"")</f>
        <v/>
      </c>
    </row>
    <row r="21250" spans="1:7" ht="12" customHeight="1" outlineLevel="3" x14ac:dyDescent="0.2">
      <c r="A21250" s="14" t="s">
        <v>41831</v>
      </c>
      <c r="B21250" s="15" t="s">
        <v>41832</v>
      </c>
      <c r="C21250" s="16">
        <f>46.54/(1+B2)</f>
        <v>46.54</v>
      </c>
      <c r="D21250" s="17" t="s">
        <v>14</v>
      </c>
      <c r="E21250" s="17" t="s">
        <v>11</v>
      </c>
      <c r="F21250" s="18"/>
      <c r="G21250" s="36" t="str">
        <f>IF(ISNUMBER(F21250),C21250*F21250,"")</f>
        <v/>
      </c>
    </row>
    <row r="21251" spans="1:7" ht="12" customHeight="1" outlineLevel="3" x14ac:dyDescent="0.2">
      <c r="A21251" s="14" t="s">
        <v>41833</v>
      </c>
      <c r="B21251" s="15" t="s">
        <v>41834</v>
      </c>
      <c r="C21251" s="16">
        <f>32.54/(1+B2)</f>
        <v>32.54</v>
      </c>
      <c r="D21251" s="17" t="s">
        <v>11</v>
      </c>
      <c r="E21251" s="17" t="s">
        <v>11</v>
      </c>
      <c r="F21251" s="18"/>
      <c r="G21251" s="36" t="str">
        <f>IF(ISNUMBER(F21251),C21251*F21251,"")</f>
        <v/>
      </c>
    </row>
    <row r="21252" spans="1:7" ht="12" customHeight="1" outlineLevel="3" x14ac:dyDescent="0.2">
      <c r="A21252" s="14" t="s">
        <v>41835</v>
      </c>
      <c r="B21252" s="15" t="s">
        <v>41836</v>
      </c>
      <c r="C21252" s="16">
        <f>213.93/(1+B2)</f>
        <v>213.93</v>
      </c>
      <c r="D21252" s="17" t="s">
        <v>11</v>
      </c>
      <c r="E21252" s="17"/>
      <c r="F21252" s="18"/>
      <c r="G21252" s="36" t="str">
        <f>IF(ISNUMBER(F21252),C21252*F21252,"")</f>
        <v/>
      </c>
    </row>
    <row r="21253" spans="1:7" ht="12" customHeight="1" outlineLevel="3" x14ac:dyDescent="0.2">
      <c r="A21253" s="14" t="s">
        <v>41837</v>
      </c>
      <c r="B21253" s="15" t="s">
        <v>41838</v>
      </c>
      <c r="C21253" s="16">
        <f>72.1/(1+B2)</f>
        <v>72.099999999999994</v>
      </c>
      <c r="D21253" s="17" t="s">
        <v>11</v>
      </c>
      <c r="E21253" s="17" t="s">
        <v>11</v>
      </c>
      <c r="F21253" s="18"/>
      <c r="G21253" s="36" t="str">
        <f>IF(ISNUMBER(F21253),C21253*F21253,"")</f>
        <v/>
      </c>
    </row>
    <row r="21254" spans="1:7" ht="12" customHeight="1" outlineLevel="3" x14ac:dyDescent="0.2">
      <c r="A21254" s="14" t="s">
        <v>41839</v>
      </c>
      <c r="B21254" s="15" t="s">
        <v>41840</v>
      </c>
      <c r="C21254" s="16">
        <f>15.62/(1+B2)</f>
        <v>15.62</v>
      </c>
      <c r="D21254" s="17" t="s">
        <v>11</v>
      </c>
      <c r="E21254" s="17"/>
      <c r="F21254" s="18"/>
      <c r="G21254" s="36" t="str">
        <f>IF(ISNUMBER(F21254),C21254*F21254,"")</f>
        <v/>
      </c>
    </row>
    <row r="21255" spans="1:7" s="1" customFormat="1" ht="12.95" customHeight="1" outlineLevel="2" x14ac:dyDescent="0.2">
      <c r="A21255" s="20"/>
      <c r="B21255" s="21" t="s">
        <v>41841</v>
      </c>
      <c r="C21255" s="22"/>
      <c r="D21255" s="22"/>
      <c r="E21255" s="22"/>
      <c r="F21255" s="22"/>
      <c r="G21255" s="37"/>
    </row>
    <row r="21256" spans="1:7" ht="12" customHeight="1" outlineLevel="3" x14ac:dyDescent="0.2">
      <c r="A21256" s="14" t="s">
        <v>41842</v>
      </c>
      <c r="B21256" s="15" t="s">
        <v>41843</v>
      </c>
      <c r="C21256" s="16">
        <f>46.94/(1+B2)</f>
        <v>46.94</v>
      </c>
      <c r="D21256" s="17" t="s">
        <v>11</v>
      </c>
      <c r="E21256" s="17"/>
      <c r="F21256" s="18"/>
      <c r="G21256" s="36" t="str">
        <f>IF(ISNUMBER(F21256),C21256*F21256,"")</f>
        <v/>
      </c>
    </row>
    <row r="21257" spans="1:7" ht="12" customHeight="1" outlineLevel="3" x14ac:dyDescent="0.2">
      <c r="A21257" s="14" t="s">
        <v>41844</v>
      </c>
      <c r="B21257" s="15" t="s">
        <v>41845</v>
      </c>
      <c r="C21257" s="16">
        <f>32.71/(1+B2)</f>
        <v>32.71</v>
      </c>
      <c r="D21257" s="17" t="s">
        <v>11</v>
      </c>
      <c r="E21257" s="17" t="s">
        <v>106</v>
      </c>
      <c r="F21257" s="18"/>
      <c r="G21257" s="36" t="str">
        <f>IF(ISNUMBER(F21257),C21257*F21257,"")</f>
        <v/>
      </c>
    </row>
    <row r="21258" spans="1:7" ht="12" customHeight="1" outlineLevel="3" x14ac:dyDescent="0.2">
      <c r="A21258" s="14" t="s">
        <v>41846</v>
      </c>
      <c r="B21258" s="15" t="s">
        <v>41847</v>
      </c>
      <c r="C21258" s="16">
        <f>44.02/(1+B2)</f>
        <v>44.02</v>
      </c>
      <c r="D21258" s="17" t="s">
        <v>11</v>
      </c>
      <c r="E21258" s="17" t="s">
        <v>53</v>
      </c>
      <c r="F21258" s="18"/>
      <c r="G21258" s="36" t="str">
        <f>IF(ISNUMBER(F21258),C21258*F21258,"")</f>
        <v/>
      </c>
    </row>
    <row r="21259" spans="1:7" ht="12" customHeight="1" outlineLevel="3" x14ac:dyDescent="0.2">
      <c r="A21259" s="14" t="s">
        <v>41848</v>
      </c>
      <c r="B21259" s="15" t="s">
        <v>41849</v>
      </c>
      <c r="C21259" s="16">
        <f>56.08/(1+B2)</f>
        <v>56.08</v>
      </c>
      <c r="D21259" s="17" t="s">
        <v>11</v>
      </c>
      <c r="E21259" s="17"/>
      <c r="F21259" s="18"/>
      <c r="G21259" s="36" t="str">
        <f>IF(ISNUMBER(F21259),C21259*F21259,"")</f>
        <v/>
      </c>
    </row>
    <row r="21260" spans="1:7" ht="12" customHeight="1" outlineLevel="3" x14ac:dyDescent="0.2">
      <c r="A21260" s="14" t="s">
        <v>41850</v>
      </c>
      <c r="B21260" s="15" t="s">
        <v>41851</v>
      </c>
      <c r="C21260" s="16">
        <f>20.01/(1+B2)</f>
        <v>20.010000000000002</v>
      </c>
      <c r="D21260" s="17" t="s">
        <v>11</v>
      </c>
      <c r="E21260" s="17"/>
      <c r="F21260" s="18"/>
      <c r="G21260" s="36" t="str">
        <f>IF(ISNUMBER(F21260),C21260*F21260,"")</f>
        <v/>
      </c>
    </row>
    <row r="21261" spans="1:7" ht="12" customHeight="1" outlineLevel="3" x14ac:dyDescent="0.2">
      <c r="A21261" s="14" t="s">
        <v>41852</v>
      </c>
      <c r="B21261" s="15" t="s">
        <v>41853</v>
      </c>
      <c r="C21261" s="16">
        <f>48.18/(1+B2)</f>
        <v>48.18</v>
      </c>
      <c r="D21261" s="17" t="s">
        <v>11</v>
      </c>
      <c r="E21261" s="17"/>
      <c r="F21261" s="18"/>
      <c r="G21261" s="36" t="str">
        <f>IF(ISNUMBER(F21261),C21261*F21261,"")</f>
        <v/>
      </c>
    </row>
    <row r="21262" spans="1:7" ht="12" customHeight="1" outlineLevel="3" x14ac:dyDescent="0.2">
      <c r="A21262" s="14" t="s">
        <v>41854</v>
      </c>
      <c r="B21262" s="15" t="s">
        <v>41855</v>
      </c>
      <c r="C21262" s="16">
        <f>47/(1+B2)</f>
        <v>47</v>
      </c>
      <c r="D21262" s="17" t="s">
        <v>11</v>
      </c>
      <c r="E21262" s="17"/>
      <c r="F21262" s="18"/>
      <c r="G21262" s="36" t="str">
        <f>IF(ISNUMBER(F21262),C21262*F21262,"")</f>
        <v/>
      </c>
    </row>
    <row r="21263" spans="1:7" ht="12" customHeight="1" outlineLevel="3" x14ac:dyDescent="0.2">
      <c r="A21263" s="14" t="s">
        <v>41856</v>
      </c>
      <c r="B21263" s="15" t="s">
        <v>41857</v>
      </c>
      <c r="C21263" s="16">
        <f>45.75/(1+B2)</f>
        <v>45.75</v>
      </c>
      <c r="D21263" s="17" t="s">
        <v>14</v>
      </c>
      <c r="E21263" s="17" t="s">
        <v>106</v>
      </c>
      <c r="F21263" s="18"/>
      <c r="G21263" s="36" t="str">
        <f>IF(ISNUMBER(F21263),C21263*F21263,"")</f>
        <v/>
      </c>
    </row>
    <row r="21264" spans="1:7" ht="12" customHeight="1" outlineLevel="3" x14ac:dyDescent="0.2">
      <c r="A21264" s="14" t="s">
        <v>41858</v>
      </c>
      <c r="B21264" s="15" t="s">
        <v>41859</v>
      </c>
      <c r="C21264" s="16">
        <f>27.83/(1+B2)</f>
        <v>27.83</v>
      </c>
      <c r="D21264" s="17" t="s">
        <v>53</v>
      </c>
      <c r="E21264" s="17"/>
      <c r="F21264" s="18"/>
      <c r="G21264" s="36" t="str">
        <f>IF(ISNUMBER(F21264),C21264*F21264,"")</f>
        <v/>
      </c>
    </row>
    <row r="21265" spans="1:7" ht="12" customHeight="1" outlineLevel="3" x14ac:dyDescent="0.2">
      <c r="A21265" s="14" t="s">
        <v>41860</v>
      </c>
      <c r="B21265" s="15" t="s">
        <v>41861</v>
      </c>
      <c r="C21265" s="16">
        <f>30.78/(1+B2)</f>
        <v>30.78</v>
      </c>
      <c r="D21265" s="17" t="s">
        <v>53</v>
      </c>
      <c r="E21265" s="17"/>
      <c r="F21265" s="18"/>
      <c r="G21265" s="36" t="str">
        <f>IF(ISNUMBER(F21265),C21265*F21265,"")</f>
        <v/>
      </c>
    </row>
    <row r="21266" spans="1:7" ht="12" customHeight="1" outlineLevel="3" x14ac:dyDescent="0.2">
      <c r="A21266" s="14" t="s">
        <v>41862</v>
      </c>
      <c r="B21266" s="15" t="s">
        <v>41863</v>
      </c>
      <c r="C21266" s="16">
        <f>48.55/(1+B2)</f>
        <v>48.55</v>
      </c>
      <c r="D21266" s="17" t="s">
        <v>53</v>
      </c>
      <c r="E21266" s="17"/>
      <c r="F21266" s="18"/>
      <c r="G21266" s="36" t="str">
        <f>IF(ISNUMBER(F21266),C21266*F21266,"")</f>
        <v/>
      </c>
    </row>
    <row r="21267" spans="1:7" ht="12" customHeight="1" outlineLevel="3" x14ac:dyDescent="0.2">
      <c r="A21267" s="14" t="s">
        <v>41864</v>
      </c>
      <c r="B21267" s="15" t="s">
        <v>41865</v>
      </c>
      <c r="C21267" s="16">
        <f>68.18/(1+B2)</f>
        <v>68.180000000000007</v>
      </c>
      <c r="D21267" s="17" t="s">
        <v>11</v>
      </c>
      <c r="E21267" s="17"/>
      <c r="F21267" s="18"/>
      <c r="G21267" s="36" t="str">
        <f>IF(ISNUMBER(F21267),C21267*F21267,"")</f>
        <v/>
      </c>
    </row>
    <row r="21268" spans="1:7" ht="12" customHeight="1" outlineLevel="3" x14ac:dyDescent="0.2">
      <c r="A21268" s="14" t="s">
        <v>41866</v>
      </c>
      <c r="B21268" s="15" t="s">
        <v>41867</v>
      </c>
      <c r="C21268" s="16">
        <f>324.13/(1+B2)</f>
        <v>324.13</v>
      </c>
      <c r="D21268" s="17" t="s">
        <v>11</v>
      </c>
      <c r="E21268" s="17"/>
      <c r="F21268" s="18"/>
      <c r="G21268" s="36" t="str">
        <f>IF(ISNUMBER(F21268),C21268*F21268,"")</f>
        <v/>
      </c>
    </row>
    <row r="21269" spans="1:7" ht="12" customHeight="1" outlineLevel="3" x14ac:dyDescent="0.2">
      <c r="A21269" s="14" t="s">
        <v>41868</v>
      </c>
      <c r="B21269" s="15" t="s">
        <v>41869</v>
      </c>
      <c r="C21269" s="16">
        <f>163/(1+B2)</f>
        <v>163</v>
      </c>
      <c r="D21269" s="17" t="s">
        <v>14</v>
      </c>
      <c r="E21269" s="17" t="s">
        <v>53</v>
      </c>
      <c r="F21269" s="18"/>
      <c r="G21269" s="36" t="str">
        <f>IF(ISNUMBER(F21269),C21269*F21269,"")</f>
        <v/>
      </c>
    </row>
    <row r="21270" spans="1:7" ht="12" customHeight="1" outlineLevel="3" x14ac:dyDescent="0.2">
      <c r="A21270" s="14" t="s">
        <v>41870</v>
      </c>
      <c r="B21270" s="15" t="s">
        <v>41871</v>
      </c>
      <c r="C21270" s="16">
        <f>256.36/(1+B2)</f>
        <v>256.36</v>
      </c>
      <c r="D21270" s="17" t="s">
        <v>11</v>
      </c>
      <c r="E21270" s="17"/>
      <c r="F21270" s="18"/>
      <c r="G21270" s="36" t="str">
        <f>IF(ISNUMBER(F21270),C21270*F21270,"")</f>
        <v/>
      </c>
    </row>
    <row r="21271" spans="1:7" ht="12" customHeight="1" outlineLevel="3" x14ac:dyDescent="0.2">
      <c r="A21271" s="14" t="s">
        <v>41872</v>
      </c>
      <c r="B21271" s="15" t="s">
        <v>41873</v>
      </c>
      <c r="C21271" s="16">
        <f>19.79/(1+B2)</f>
        <v>19.79</v>
      </c>
      <c r="D21271" s="17" t="s">
        <v>11</v>
      </c>
      <c r="E21271" s="17"/>
      <c r="F21271" s="18"/>
      <c r="G21271" s="36" t="str">
        <f>IF(ISNUMBER(F21271),C21271*F21271,"")</f>
        <v/>
      </c>
    </row>
    <row r="21272" spans="1:7" ht="12" customHeight="1" outlineLevel="3" x14ac:dyDescent="0.2">
      <c r="A21272" s="14" t="s">
        <v>41874</v>
      </c>
      <c r="B21272" s="15" t="s">
        <v>41875</v>
      </c>
      <c r="C21272" s="16">
        <f>19.88/(1+B2)</f>
        <v>19.88</v>
      </c>
      <c r="D21272" s="17" t="s">
        <v>11</v>
      </c>
      <c r="E21272" s="17"/>
      <c r="F21272" s="18"/>
      <c r="G21272" s="36" t="str">
        <f>IF(ISNUMBER(F21272),C21272*F21272,"")</f>
        <v/>
      </c>
    </row>
    <row r="21273" spans="1:7" ht="12" customHeight="1" outlineLevel="3" x14ac:dyDescent="0.2">
      <c r="A21273" s="14" t="s">
        <v>41876</v>
      </c>
      <c r="B21273" s="15" t="s">
        <v>41877</v>
      </c>
      <c r="C21273" s="16">
        <f>28.07/(1+B2)</f>
        <v>28.07</v>
      </c>
      <c r="D21273" s="17" t="s">
        <v>53</v>
      </c>
      <c r="E21273" s="17" t="s">
        <v>106</v>
      </c>
      <c r="F21273" s="18"/>
      <c r="G21273" s="36" t="str">
        <f>IF(ISNUMBER(F21273),C21273*F21273,"")</f>
        <v/>
      </c>
    </row>
    <row r="21274" spans="1:7" ht="12" customHeight="1" outlineLevel="3" x14ac:dyDescent="0.2">
      <c r="A21274" s="14" t="s">
        <v>41878</v>
      </c>
      <c r="B21274" s="15" t="s">
        <v>41879</v>
      </c>
      <c r="C21274" s="16">
        <f>79.34/(1+B2)</f>
        <v>79.34</v>
      </c>
      <c r="D21274" s="17" t="s">
        <v>14</v>
      </c>
      <c r="E21274" s="17"/>
      <c r="F21274" s="18"/>
      <c r="G21274" s="36" t="str">
        <f>IF(ISNUMBER(F21274),C21274*F21274,"")</f>
        <v/>
      </c>
    </row>
    <row r="21275" spans="1:7" ht="12" customHeight="1" outlineLevel="3" x14ac:dyDescent="0.2">
      <c r="A21275" s="14" t="s">
        <v>41880</v>
      </c>
      <c r="B21275" s="15" t="s">
        <v>41881</v>
      </c>
      <c r="C21275" s="16">
        <f>108.97/(1+B2)</f>
        <v>108.97</v>
      </c>
      <c r="D21275" s="17" t="s">
        <v>11</v>
      </c>
      <c r="E21275" s="17"/>
      <c r="F21275" s="18"/>
      <c r="G21275" s="36" t="str">
        <f>IF(ISNUMBER(F21275),C21275*F21275,"")</f>
        <v/>
      </c>
    </row>
    <row r="21276" spans="1:7" ht="12" customHeight="1" outlineLevel="3" x14ac:dyDescent="0.2">
      <c r="A21276" s="14" t="s">
        <v>41882</v>
      </c>
      <c r="B21276" s="15" t="s">
        <v>41883</v>
      </c>
      <c r="C21276" s="16">
        <f>146.75/(1+B2)</f>
        <v>146.75</v>
      </c>
      <c r="D21276" s="17" t="s">
        <v>11</v>
      </c>
      <c r="E21276" s="17"/>
      <c r="F21276" s="18"/>
      <c r="G21276" s="36" t="str">
        <f>IF(ISNUMBER(F21276),C21276*F21276,"")</f>
        <v/>
      </c>
    </row>
    <row r="21277" spans="1:7" ht="12" customHeight="1" outlineLevel="3" x14ac:dyDescent="0.2">
      <c r="A21277" s="14" t="s">
        <v>41884</v>
      </c>
      <c r="B21277" s="15" t="s">
        <v>41885</v>
      </c>
      <c r="C21277" s="16">
        <f>74.11/(1+B2)</f>
        <v>74.11</v>
      </c>
      <c r="D21277" s="17" t="s">
        <v>11</v>
      </c>
      <c r="E21277" s="17"/>
      <c r="F21277" s="18"/>
      <c r="G21277" s="36" t="str">
        <f>IF(ISNUMBER(F21277),C21277*F21277,"")</f>
        <v/>
      </c>
    </row>
    <row r="21278" spans="1:7" ht="12" customHeight="1" outlineLevel="3" x14ac:dyDescent="0.2">
      <c r="A21278" s="14" t="s">
        <v>41886</v>
      </c>
      <c r="B21278" s="15" t="s">
        <v>41887</v>
      </c>
      <c r="C21278" s="16">
        <f>94.99/(1+B2)</f>
        <v>94.99</v>
      </c>
      <c r="D21278" s="17" t="s">
        <v>14</v>
      </c>
      <c r="E21278" s="17"/>
      <c r="F21278" s="18"/>
      <c r="G21278" s="36" t="str">
        <f>IF(ISNUMBER(F21278),C21278*F21278,"")</f>
        <v/>
      </c>
    </row>
    <row r="21279" spans="1:7" ht="12" customHeight="1" outlineLevel="3" x14ac:dyDescent="0.2">
      <c r="A21279" s="14" t="s">
        <v>41888</v>
      </c>
      <c r="B21279" s="15" t="s">
        <v>41889</v>
      </c>
      <c r="C21279" s="16">
        <f>174.68/(1+B2)</f>
        <v>174.68</v>
      </c>
      <c r="D21279" s="17" t="s">
        <v>14</v>
      </c>
      <c r="E21279" s="17"/>
      <c r="F21279" s="18"/>
      <c r="G21279" s="36" t="str">
        <f>IF(ISNUMBER(F21279),C21279*F21279,"")</f>
        <v/>
      </c>
    </row>
    <row r="21280" spans="1:7" ht="12" customHeight="1" outlineLevel="3" x14ac:dyDescent="0.2">
      <c r="A21280" s="14" t="s">
        <v>41890</v>
      </c>
      <c r="B21280" s="15" t="s">
        <v>41891</v>
      </c>
      <c r="C21280" s="16">
        <f>47.64/(1+B2)</f>
        <v>47.64</v>
      </c>
      <c r="D21280" s="17" t="s">
        <v>11</v>
      </c>
      <c r="E21280" s="17"/>
      <c r="F21280" s="18"/>
      <c r="G21280" s="36" t="str">
        <f>IF(ISNUMBER(F21280),C21280*F21280,"")</f>
        <v/>
      </c>
    </row>
    <row r="21281" spans="1:7" ht="12" customHeight="1" outlineLevel="3" x14ac:dyDescent="0.2">
      <c r="A21281" s="14" t="s">
        <v>41892</v>
      </c>
      <c r="B21281" s="15" t="s">
        <v>41893</v>
      </c>
      <c r="C21281" s="16">
        <f>98.21/(1+B2)</f>
        <v>98.21</v>
      </c>
      <c r="D21281" s="17" t="s">
        <v>11</v>
      </c>
      <c r="E21281" s="17"/>
      <c r="F21281" s="18"/>
      <c r="G21281" s="36" t="str">
        <f>IF(ISNUMBER(F21281),C21281*F21281,"")</f>
        <v/>
      </c>
    </row>
    <row r="21282" spans="1:7" ht="12" customHeight="1" outlineLevel="3" x14ac:dyDescent="0.2">
      <c r="A21282" s="14" t="s">
        <v>41894</v>
      </c>
      <c r="B21282" s="15" t="s">
        <v>41895</v>
      </c>
      <c r="C21282" s="16">
        <f>32.02/(1+B2)</f>
        <v>32.020000000000003</v>
      </c>
      <c r="D21282" s="17" t="s">
        <v>11</v>
      </c>
      <c r="E21282" s="17"/>
      <c r="F21282" s="18"/>
      <c r="G21282" s="36" t="str">
        <f>IF(ISNUMBER(F21282),C21282*F21282,"")</f>
        <v/>
      </c>
    </row>
    <row r="21283" spans="1:7" s="1" customFormat="1" ht="12.95" customHeight="1" outlineLevel="2" x14ac:dyDescent="0.2">
      <c r="A21283" s="20"/>
      <c r="B21283" s="21" t="s">
        <v>41896</v>
      </c>
      <c r="C21283" s="22"/>
      <c r="D21283" s="22"/>
      <c r="E21283" s="22"/>
      <c r="F21283" s="22"/>
      <c r="G21283" s="37"/>
    </row>
    <row r="21284" spans="1:7" ht="12" customHeight="1" outlineLevel="3" x14ac:dyDescent="0.2">
      <c r="A21284" s="14" t="s">
        <v>41897</v>
      </c>
      <c r="B21284" s="15" t="s">
        <v>41898</v>
      </c>
      <c r="C21284" s="16">
        <f>203.82/(1+B2)</f>
        <v>203.82</v>
      </c>
      <c r="D21284" s="17" t="s">
        <v>11</v>
      </c>
      <c r="E21284" s="17"/>
      <c r="F21284" s="18"/>
      <c r="G21284" s="36" t="str">
        <f>IF(ISNUMBER(F21284),C21284*F21284,"")</f>
        <v/>
      </c>
    </row>
    <row r="21285" spans="1:7" ht="12" customHeight="1" outlineLevel="3" x14ac:dyDescent="0.2">
      <c r="A21285" s="14" t="s">
        <v>41899</v>
      </c>
      <c r="B21285" s="15" t="s">
        <v>41900</v>
      </c>
      <c r="C21285" s="16">
        <f>20.81/(1+B2)</f>
        <v>20.81</v>
      </c>
      <c r="D21285" s="17" t="s">
        <v>11</v>
      </c>
      <c r="E21285" s="17"/>
      <c r="F21285" s="18"/>
      <c r="G21285" s="36" t="str">
        <f>IF(ISNUMBER(F21285),C21285*F21285,"")</f>
        <v/>
      </c>
    </row>
    <row r="21286" spans="1:7" ht="12" customHeight="1" outlineLevel="3" x14ac:dyDescent="0.2">
      <c r="A21286" s="14" t="s">
        <v>41901</v>
      </c>
      <c r="B21286" s="15" t="s">
        <v>41902</v>
      </c>
      <c r="C21286" s="16">
        <f>50.75/(1+B2)</f>
        <v>50.75</v>
      </c>
      <c r="D21286" s="17" t="s">
        <v>11</v>
      </c>
      <c r="E21286" s="17"/>
      <c r="F21286" s="18"/>
      <c r="G21286" s="36" t="str">
        <f>IF(ISNUMBER(F21286),C21286*F21286,"")</f>
        <v/>
      </c>
    </row>
    <row r="21287" spans="1:7" ht="12" customHeight="1" outlineLevel="3" x14ac:dyDescent="0.2">
      <c r="A21287" s="14" t="s">
        <v>41903</v>
      </c>
      <c r="B21287" s="15" t="s">
        <v>41904</v>
      </c>
      <c r="C21287" s="16">
        <f>130.51/(1+B2)</f>
        <v>130.51</v>
      </c>
      <c r="D21287" s="17" t="s">
        <v>14</v>
      </c>
      <c r="E21287" s="17"/>
      <c r="F21287" s="18"/>
      <c r="G21287" s="36" t="str">
        <f>IF(ISNUMBER(F21287),C21287*F21287,"")</f>
        <v/>
      </c>
    </row>
    <row r="21288" spans="1:7" ht="12" customHeight="1" outlineLevel="3" x14ac:dyDescent="0.2">
      <c r="A21288" s="14" t="s">
        <v>41905</v>
      </c>
      <c r="B21288" s="15" t="s">
        <v>41906</v>
      </c>
      <c r="C21288" s="16">
        <f>14.14/(1+B2)</f>
        <v>14.14</v>
      </c>
      <c r="D21288" s="17" t="s">
        <v>14</v>
      </c>
      <c r="E21288" s="17"/>
      <c r="F21288" s="18"/>
      <c r="G21288" s="36" t="str">
        <f>IF(ISNUMBER(F21288),C21288*F21288,"")</f>
        <v/>
      </c>
    </row>
    <row r="21289" spans="1:7" ht="12" customHeight="1" outlineLevel="3" x14ac:dyDescent="0.2">
      <c r="A21289" s="14" t="s">
        <v>41907</v>
      </c>
      <c r="B21289" s="15" t="s">
        <v>41908</v>
      </c>
      <c r="C21289" s="16">
        <f>21.43/(1+B2)</f>
        <v>21.43</v>
      </c>
      <c r="D21289" s="17" t="s">
        <v>14</v>
      </c>
      <c r="E21289" s="17"/>
      <c r="F21289" s="18"/>
      <c r="G21289" s="36" t="str">
        <f>IF(ISNUMBER(F21289),C21289*F21289,"")</f>
        <v/>
      </c>
    </row>
    <row r="21290" spans="1:7" ht="12" customHeight="1" outlineLevel="3" x14ac:dyDescent="0.2">
      <c r="A21290" s="14" t="s">
        <v>41909</v>
      </c>
      <c r="B21290" s="15" t="s">
        <v>41910</v>
      </c>
      <c r="C21290" s="16">
        <f>29.95/(1+B2)</f>
        <v>29.95</v>
      </c>
      <c r="D21290" s="17" t="s">
        <v>11</v>
      </c>
      <c r="E21290" s="17"/>
      <c r="F21290" s="18"/>
      <c r="G21290" s="36" t="str">
        <f>IF(ISNUMBER(F21290),C21290*F21290,"")</f>
        <v/>
      </c>
    </row>
    <row r="21291" spans="1:7" ht="12" customHeight="1" outlineLevel="3" x14ac:dyDescent="0.2">
      <c r="A21291" s="14" t="s">
        <v>41911</v>
      </c>
      <c r="B21291" s="15" t="s">
        <v>41912</v>
      </c>
      <c r="C21291" s="16">
        <f>43.19/(1+B2)</f>
        <v>43.19</v>
      </c>
      <c r="D21291" s="17" t="s">
        <v>11</v>
      </c>
      <c r="E21291" s="17"/>
      <c r="F21291" s="18"/>
      <c r="G21291" s="36" t="str">
        <f>IF(ISNUMBER(F21291),C21291*F21291,"")</f>
        <v/>
      </c>
    </row>
    <row r="21292" spans="1:7" ht="12" customHeight="1" outlineLevel="3" x14ac:dyDescent="0.2">
      <c r="A21292" s="14" t="s">
        <v>41913</v>
      </c>
      <c r="B21292" s="15" t="s">
        <v>41914</v>
      </c>
      <c r="C21292" s="16">
        <f>44.75/(1+B2)</f>
        <v>44.75</v>
      </c>
      <c r="D21292" s="17" t="s">
        <v>14</v>
      </c>
      <c r="E21292" s="17"/>
      <c r="F21292" s="18"/>
      <c r="G21292" s="36" t="str">
        <f>IF(ISNUMBER(F21292),C21292*F21292,"")</f>
        <v/>
      </c>
    </row>
    <row r="21293" spans="1:7" ht="12" customHeight="1" outlineLevel="3" x14ac:dyDescent="0.2">
      <c r="A21293" s="14" t="s">
        <v>41915</v>
      </c>
      <c r="B21293" s="15" t="s">
        <v>41916</v>
      </c>
      <c r="C21293" s="16">
        <f>49.19/(1+B2)</f>
        <v>49.19</v>
      </c>
      <c r="D21293" s="17" t="s">
        <v>53</v>
      </c>
      <c r="E21293" s="17"/>
      <c r="F21293" s="18"/>
      <c r="G21293" s="36" t="str">
        <f>IF(ISNUMBER(F21293),C21293*F21293,"")</f>
        <v/>
      </c>
    </row>
    <row r="21294" spans="1:7" ht="12" customHeight="1" outlineLevel="3" x14ac:dyDescent="0.2">
      <c r="A21294" s="14" t="s">
        <v>41917</v>
      </c>
      <c r="B21294" s="15" t="s">
        <v>41918</v>
      </c>
      <c r="C21294" s="16">
        <f>184.29/(1+B2)</f>
        <v>184.29</v>
      </c>
      <c r="D21294" s="17" t="s">
        <v>11</v>
      </c>
      <c r="E21294" s="17"/>
      <c r="F21294" s="18"/>
      <c r="G21294" s="36" t="str">
        <f>IF(ISNUMBER(F21294),C21294*F21294,"")</f>
        <v/>
      </c>
    </row>
    <row r="21295" spans="1:7" ht="12" customHeight="1" outlineLevel="3" x14ac:dyDescent="0.2">
      <c r="A21295" s="14" t="s">
        <v>41919</v>
      </c>
      <c r="B21295" s="15" t="s">
        <v>41920</v>
      </c>
      <c r="C21295" s="16">
        <f>55.77/(1+B2)</f>
        <v>55.77</v>
      </c>
      <c r="D21295" s="17" t="s">
        <v>14</v>
      </c>
      <c r="E21295" s="17"/>
      <c r="F21295" s="18"/>
      <c r="G21295" s="36" t="str">
        <f>IF(ISNUMBER(F21295),C21295*F21295,"")</f>
        <v/>
      </c>
    </row>
    <row r="21296" spans="1:7" ht="12" customHeight="1" outlineLevel="3" x14ac:dyDescent="0.2">
      <c r="A21296" s="14" t="s">
        <v>41921</v>
      </c>
      <c r="B21296" s="15" t="s">
        <v>41922</v>
      </c>
      <c r="C21296" s="16">
        <f>74.45/(1+B2)</f>
        <v>74.45</v>
      </c>
      <c r="D21296" s="17" t="s">
        <v>11</v>
      </c>
      <c r="E21296" s="17"/>
      <c r="F21296" s="18"/>
      <c r="G21296" s="36" t="str">
        <f>IF(ISNUMBER(F21296),C21296*F21296,"")</f>
        <v/>
      </c>
    </row>
    <row r="21297" spans="1:7" ht="12" customHeight="1" outlineLevel="3" x14ac:dyDescent="0.2">
      <c r="A21297" s="14" t="s">
        <v>41923</v>
      </c>
      <c r="B21297" s="15" t="s">
        <v>41924</v>
      </c>
      <c r="C21297" s="16">
        <f>124.2/(1+B2)</f>
        <v>124.2</v>
      </c>
      <c r="D21297" s="17" t="s">
        <v>14</v>
      </c>
      <c r="E21297" s="17"/>
      <c r="F21297" s="18"/>
      <c r="G21297" s="36" t="str">
        <f>IF(ISNUMBER(F21297),C21297*F21297,"")</f>
        <v/>
      </c>
    </row>
    <row r="21298" spans="1:7" ht="12" customHeight="1" outlineLevel="3" x14ac:dyDescent="0.2">
      <c r="A21298" s="14" t="s">
        <v>41925</v>
      </c>
      <c r="B21298" s="15" t="s">
        <v>41926</v>
      </c>
      <c r="C21298" s="16">
        <f>27.58/(1+B2)</f>
        <v>27.58</v>
      </c>
      <c r="D21298" s="17" t="s">
        <v>14</v>
      </c>
      <c r="E21298" s="17" t="s">
        <v>106</v>
      </c>
      <c r="F21298" s="18"/>
      <c r="G21298" s="36" t="str">
        <f>IF(ISNUMBER(F21298),C21298*F21298,"")</f>
        <v/>
      </c>
    </row>
    <row r="21299" spans="1:7" ht="12" customHeight="1" outlineLevel="3" x14ac:dyDescent="0.2">
      <c r="A21299" s="14" t="s">
        <v>41927</v>
      </c>
      <c r="B21299" s="15" t="s">
        <v>41928</v>
      </c>
      <c r="C21299" s="16">
        <f>67.72/(1+B2)</f>
        <v>67.72</v>
      </c>
      <c r="D21299" s="17" t="s">
        <v>11</v>
      </c>
      <c r="E21299" s="17"/>
      <c r="F21299" s="18"/>
      <c r="G21299" s="36" t="str">
        <f>IF(ISNUMBER(F21299),C21299*F21299,"")</f>
        <v/>
      </c>
    </row>
    <row r="21300" spans="1:7" ht="12" customHeight="1" outlineLevel="3" x14ac:dyDescent="0.2">
      <c r="A21300" s="14" t="s">
        <v>41929</v>
      </c>
      <c r="B21300" s="15" t="s">
        <v>41930</v>
      </c>
      <c r="C21300" s="16">
        <f>86.94/(1+B2)</f>
        <v>86.94</v>
      </c>
      <c r="D21300" s="17" t="s">
        <v>11</v>
      </c>
      <c r="E21300" s="17"/>
      <c r="F21300" s="18"/>
      <c r="G21300" s="36" t="str">
        <f>IF(ISNUMBER(F21300),C21300*F21300,"")</f>
        <v/>
      </c>
    </row>
    <row r="21301" spans="1:7" ht="12" customHeight="1" outlineLevel="3" x14ac:dyDescent="0.2">
      <c r="A21301" s="14" t="s">
        <v>41931</v>
      </c>
      <c r="B21301" s="15" t="s">
        <v>41932</v>
      </c>
      <c r="C21301" s="16">
        <f>106.74/(1+B2)</f>
        <v>106.74</v>
      </c>
      <c r="D21301" s="17" t="s">
        <v>14</v>
      </c>
      <c r="E21301" s="17" t="s">
        <v>53</v>
      </c>
      <c r="F21301" s="18"/>
      <c r="G21301" s="36" t="str">
        <f>IF(ISNUMBER(F21301),C21301*F21301,"")</f>
        <v/>
      </c>
    </row>
    <row r="21302" spans="1:7" ht="12" customHeight="1" outlineLevel="3" x14ac:dyDescent="0.2">
      <c r="A21302" s="14" t="s">
        <v>41933</v>
      </c>
      <c r="B21302" s="15" t="s">
        <v>41934</v>
      </c>
      <c r="C21302" s="16">
        <f>116.64/(1+B2)</f>
        <v>116.64</v>
      </c>
      <c r="D21302" s="17" t="s">
        <v>53</v>
      </c>
      <c r="E21302" s="17" t="s">
        <v>106</v>
      </c>
      <c r="F21302" s="18"/>
      <c r="G21302" s="36" t="str">
        <f>IF(ISNUMBER(F21302),C21302*F21302,"")</f>
        <v/>
      </c>
    </row>
    <row r="21303" spans="1:7" ht="12" customHeight="1" outlineLevel="3" x14ac:dyDescent="0.2">
      <c r="A21303" s="14" t="s">
        <v>41935</v>
      </c>
      <c r="B21303" s="15" t="s">
        <v>41936</v>
      </c>
      <c r="C21303" s="16">
        <f>187.62/(1+B2)</f>
        <v>187.62</v>
      </c>
      <c r="D21303" s="17" t="s">
        <v>14</v>
      </c>
      <c r="E21303" s="17"/>
      <c r="F21303" s="18"/>
      <c r="G21303" s="36" t="str">
        <f>IF(ISNUMBER(F21303),C21303*F21303,"")</f>
        <v/>
      </c>
    </row>
    <row r="21304" spans="1:7" ht="12" customHeight="1" outlineLevel="3" x14ac:dyDescent="0.2">
      <c r="A21304" s="14" t="s">
        <v>41937</v>
      </c>
      <c r="B21304" s="15" t="s">
        <v>41938</v>
      </c>
      <c r="C21304" s="16">
        <f>84.46/(1+B2)</f>
        <v>84.46</v>
      </c>
      <c r="D21304" s="17" t="s">
        <v>11</v>
      </c>
      <c r="E21304" s="17" t="s">
        <v>53</v>
      </c>
      <c r="F21304" s="18"/>
      <c r="G21304" s="36" t="str">
        <f>IF(ISNUMBER(F21304),C21304*F21304,"")</f>
        <v/>
      </c>
    </row>
    <row r="21305" spans="1:7" ht="12" customHeight="1" outlineLevel="3" x14ac:dyDescent="0.2">
      <c r="A21305" s="14" t="s">
        <v>41939</v>
      </c>
      <c r="B21305" s="15" t="s">
        <v>41940</v>
      </c>
      <c r="C21305" s="16">
        <f>126.02/(1+B2)</f>
        <v>126.02</v>
      </c>
      <c r="D21305" s="17" t="s">
        <v>14</v>
      </c>
      <c r="E21305" s="17"/>
      <c r="F21305" s="18"/>
      <c r="G21305" s="36" t="str">
        <f>IF(ISNUMBER(F21305),C21305*F21305,"")</f>
        <v/>
      </c>
    </row>
    <row r="21306" spans="1:7" ht="12" customHeight="1" outlineLevel="3" x14ac:dyDescent="0.2">
      <c r="A21306" s="14" t="s">
        <v>41941</v>
      </c>
      <c r="B21306" s="15" t="s">
        <v>41942</v>
      </c>
      <c r="C21306" s="16">
        <f>81.43/(1+B2)</f>
        <v>81.430000000000007</v>
      </c>
      <c r="D21306" s="17" t="s">
        <v>14</v>
      </c>
      <c r="E21306" s="17" t="s">
        <v>53</v>
      </c>
      <c r="F21306" s="18"/>
      <c r="G21306" s="36" t="str">
        <f>IF(ISNUMBER(F21306),C21306*F21306,"")</f>
        <v/>
      </c>
    </row>
    <row r="21307" spans="1:7" ht="12" customHeight="1" outlineLevel="3" x14ac:dyDescent="0.2">
      <c r="A21307" s="14" t="s">
        <v>41943</v>
      </c>
      <c r="B21307" s="15" t="s">
        <v>41944</v>
      </c>
      <c r="C21307" s="16">
        <f>137.96/(1+B2)</f>
        <v>137.96</v>
      </c>
      <c r="D21307" s="17" t="s">
        <v>14</v>
      </c>
      <c r="E21307" s="17" t="s">
        <v>106</v>
      </c>
      <c r="F21307" s="18"/>
      <c r="G21307" s="36" t="str">
        <f>IF(ISNUMBER(F21307),C21307*F21307,"")</f>
        <v/>
      </c>
    </row>
    <row r="21308" spans="1:7" ht="12" customHeight="1" outlineLevel="3" x14ac:dyDescent="0.2">
      <c r="A21308" s="14" t="s">
        <v>41945</v>
      </c>
      <c r="B21308" s="15" t="s">
        <v>41946</v>
      </c>
      <c r="C21308" s="16">
        <f>101.43/(1+B2)</f>
        <v>101.43</v>
      </c>
      <c r="D21308" s="17" t="s">
        <v>11</v>
      </c>
      <c r="E21308" s="17"/>
      <c r="F21308" s="18"/>
      <c r="G21308" s="36" t="str">
        <f>IF(ISNUMBER(F21308),C21308*F21308,"")</f>
        <v/>
      </c>
    </row>
    <row r="21309" spans="1:7" ht="12" customHeight="1" outlineLevel="3" x14ac:dyDescent="0.2">
      <c r="A21309" s="14" t="s">
        <v>41947</v>
      </c>
      <c r="B21309" s="15" t="s">
        <v>41948</v>
      </c>
      <c r="C21309" s="16">
        <f>35.37/(1+B2)</f>
        <v>35.369999999999997</v>
      </c>
      <c r="D21309" s="17" t="s">
        <v>53</v>
      </c>
      <c r="E21309" s="17"/>
      <c r="F21309" s="18"/>
      <c r="G21309" s="36" t="str">
        <f>IF(ISNUMBER(F21309),C21309*F21309,"")</f>
        <v/>
      </c>
    </row>
    <row r="21310" spans="1:7" ht="12" customHeight="1" outlineLevel="3" x14ac:dyDescent="0.2">
      <c r="A21310" s="14" t="s">
        <v>41949</v>
      </c>
      <c r="B21310" s="15" t="s">
        <v>41950</v>
      </c>
      <c r="C21310" s="16">
        <f>50.08/(1+B2)</f>
        <v>50.08</v>
      </c>
      <c r="D21310" s="17" t="s">
        <v>11</v>
      </c>
      <c r="E21310" s="17"/>
      <c r="F21310" s="18"/>
      <c r="G21310" s="36" t="str">
        <f>IF(ISNUMBER(F21310),C21310*F21310,"")</f>
        <v/>
      </c>
    </row>
    <row r="21311" spans="1:7" ht="12" customHeight="1" outlineLevel="3" x14ac:dyDescent="0.2">
      <c r="A21311" s="14" t="s">
        <v>41951</v>
      </c>
      <c r="B21311" s="15" t="s">
        <v>41952</v>
      </c>
      <c r="C21311" s="16">
        <f>181.68/(1+B2)</f>
        <v>181.68</v>
      </c>
      <c r="D21311" s="17" t="s">
        <v>11</v>
      </c>
      <c r="E21311" s="17"/>
      <c r="F21311" s="18"/>
      <c r="G21311" s="36" t="str">
        <f>IF(ISNUMBER(F21311),C21311*F21311,"")</f>
        <v/>
      </c>
    </row>
    <row r="21312" spans="1:7" ht="12" customHeight="1" outlineLevel="3" x14ac:dyDescent="0.2">
      <c r="A21312" s="14" t="s">
        <v>41953</v>
      </c>
      <c r="B21312" s="15" t="s">
        <v>41954</v>
      </c>
      <c r="C21312" s="16">
        <f>125.51/(1+B2)</f>
        <v>125.51</v>
      </c>
      <c r="D21312" s="17" t="s">
        <v>11</v>
      </c>
      <c r="E21312" s="17" t="s">
        <v>14</v>
      </c>
      <c r="F21312" s="18"/>
      <c r="G21312" s="36" t="str">
        <f>IF(ISNUMBER(F21312),C21312*F21312,"")</f>
        <v/>
      </c>
    </row>
    <row r="21313" spans="1:7" s="1" customFormat="1" ht="12.95" customHeight="1" outlineLevel="2" x14ac:dyDescent="0.2">
      <c r="A21313" s="20"/>
      <c r="B21313" s="21" t="s">
        <v>41955</v>
      </c>
      <c r="C21313" s="22"/>
      <c r="D21313" s="22"/>
      <c r="E21313" s="22"/>
      <c r="F21313" s="22"/>
      <c r="G21313" s="37"/>
    </row>
    <row r="21314" spans="1:7" ht="12" customHeight="1" outlineLevel="3" x14ac:dyDescent="0.2">
      <c r="A21314" s="14" t="s">
        <v>41956</v>
      </c>
      <c r="B21314" s="15" t="s">
        <v>41957</v>
      </c>
      <c r="C21314" s="16">
        <f>61.75/(1+B2)</f>
        <v>61.75</v>
      </c>
      <c r="D21314" s="17" t="s">
        <v>11</v>
      </c>
      <c r="E21314" s="17"/>
      <c r="F21314" s="18"/>
      <c r="G21314" s="36" t="str">
        <f>IF(ISNUMBER(F21314),C21314*F21314,"")</f>
        <v/>
      </c>
    </row>
    <row r="21315" spans="1:7" ht="12" customHeight="1" outlineLevel="3" x14ac:dyDescent="0.2">
      <c r="A21315" s="14" t="s">
        <v>41958</v>
      </c>
      <c r="B21315" s="15" t="s">
        <v>41959</v>
      </c>
      <c r="C21315" s="16">
        <f>37.32/(1+B2)</f>
        <v>37.32</v>
      </c>
      <c r="D21315" s="17" t="s">
        <v>11</v>
      </c>
      <c r="E21315" s="17"/>
      <c r="F21315" s="18"/>
      <c r="G21315" s="36" t="str">
        <f>IF(ISNUMBER(F21315),C21315*F21315,"")</f>
        <v/>
      </c>
    </row>
    <row r="21316" spans="1:7" ht="12" customHeight="1" outlineLevel="3" x14ac:dyDescent="0.2">
      <c r="A21316" s="14" t="s">
        <v>41960</v>
      </c>
      <c r="B21316" s="15" t="s">
        <v>41961</v>
      </c>
      <c r="C21316" s="16">
        <f>83.23/(1+B2)</f>
        <v>83.23</v>
      </c>
      <c r="D21316" s="17" t="s">
        <v>11</v>
      </c>
      <c r="E21316" s="17"/>
      <c r="F21316" s="18"/>
      <c r="G21316" s="36" t="str">
        <f>IF(ISNUMBER(F21316),C21316*F21316,"")</f>
        <v/>
      </c>
    </row>
    <row r="21317" spans="1:7" ht="12" customHeight="1" outlineLevel="3" x14ac:dyDescent="0.2">
      <c r="A21317" s="14" t="s">
        <v>41962</v>
      </c>
      <c r="B21317" s="15" t="s">
        <v>41963</v>
      </c>
      <c r="C21317" s="16">
        <f>86.7/(1+B2)</f>
        <v>86.7</v>
      </c>
      <c r="D21317" s="17" t="s">
        <v>11</v>
      </c>
      <c r="E21317" s="17"/>
      <c r="F21317" s="18"/>
      <c r="G21317" s="36" t="str">
        <f>IF(ISNUMBER(F21317),C21317*F21317,"")</f>
        <v/>
      </c>
    </row>
    <row r="21318" spans="1:7" ht="12" customHeight="1" outlineLevel="3" x14ac:dyDescent="0.2">
      <c r="A21318" s="14" t="s">
        <v>41964</v>
      </c>
      <c r="B21318" s="15" t="s">
        <v>41965</v>
      </c>
      <c r="C21318" s="16">
        <f>293.28/(1+B2)</f>
        <v>293.27999999999997</v>
      </c>
      <c r="D21318" s="17" t="s">
        <v>11</v>
      </c>
      <c r="E21318" s="17"/>
      <c r="F21318" s="18"/>
      <c r="G21318" s="36" t="str">
        <f>IF(ISNUMBER(F21318),C21318*F21318,"")</f>
        <v/>
      </c>
    </row>
    <row r="21319" spans="1:7" ht="12" customHeight="1" outlineLevel="3" x14ac:dyDescent="0.2">
      <c r="A21319" s="14" t="s">
        <v>41966</v>
      </c>
      <c r="B21319" s="15" t="s">
        <v>41967</v>
      </c>
      <c r="C21319" s="16">
        <f>41.8/(1+B2)</f>
        <v>41.8</v>
      </c>
      <c r="D21319" s="17" t="s">
        <v>14</v>
      </c>
      <c r="E21319" s="17"/>
      <c r="F21319" s="18"/>
      <c r="G21319" s="36" t="str">
        <f>IF(ISNUMBER(F21319),C21319*F21319,"")</f>
        <v/>
      </c>
    </row>
    <row r="21320" spans="1:7" ht="12" customHeight="1" outlineLevel="3" x14ac:dyDescent="0.2">
      <c r="A21320" s="14" t="s">
        <v>41968</v>
      </c>
      <c r="B21320" s="15" t="s">
        <v>41969</v>
      </c>
      <c r="C21320" s="16">
        <f>106.63/(1+B2)</f>
        <v>106.63</v>
      </c>
      <c r="D21320" s="17" t="s">
        <v>11</v>
      </c>
      <c r="E21320" s="17"/>
      <c r="F21320" s="18"/>
      <c r="G21320" s="36" t="str">
        <f>IF(ISNUMBER(F21320),C21320*F21320,"")</f>
        <v/>
      </c>
    </row>
    <row r="21321" spans="1:7" ht="12" customHeight="1" outlineLevel="3" x14ac:dyDescent="0.2">
      <c r="A21321" s="14" t="s">
        <v>41970</v>
      </c>
      <c r="B21321" s="15" t="s">
        <v>41971</v>
      </c>
      <c r="C21321" s="16">
        <f>154.89/(1+B2)</f>
        <v>154.88999999999999</v>
      </c>
      <c r="D21321" s="17" t="s">
        <v>11</v>
      </c>
      <c r="E21321" s="17" t="s">
        <v>14</v>
      </c>
      <c r="F21321" s="18"/>
      <c r="G21321" s="36" t="str">
        <f>IF(ISNUMBER(F21321),C21321*F21321,"")</f>
        <v/>
      </c>
    </row>
    <row r="21322" spans="1:7" ht="12" customHeight="1" outlineLevel="3" x14ac:dyDescent="0.2">
      <c r="A21322" s="14" t="s">
        <v>41972</v>
      </c>
      <c r="B21322" s="15" t="s">
        <v>41973</v>
      </c>
      <c r="C21322" s="16">
        <f>285.52/(1+B2)</f>
        <v>285.52</v>
      </c>
      <c r="D21322" s="17" t="s">
        <v>11</v>
      </c>
      <c r="E21322" s="17"/>
      <c r="F21322" s="18"/>
      <c r="G21322" s="36" t="str">
        <f>IF(ISNUMBER(F21322),C21322*F21322,"")</f>
        <v/>
      </c>
    </row>
    <row r="21323" spans="1:7" ht="12" customHeight="1" outlineLevel="3" x14ac:dyDescent="0.2">
      <c r="A21323" s="14" t="s">
        <v>41974</v>
      </c>
      <c r="B21323" s="15" t="s">
        <v>41975</v>
      </c>
      <c r="C21323" s="16">
        <f>160.52/(1+B2)</f>
        <v>160.52000000000001</v>
      </c>
      <c r="D21323" s="17" t="s">
        <v>11</v>
      </c>
      <c r="E21323" s="17"/>
      <c r="F21323" s="18"/>
      <c r="G21323" s="36" t="str">
        <f>IF(ISNUMBER(F21323),C21323*F21323,"")</f>
        <v/>
      </c>
    </row>
    <row r="21324" spans="1:7" ht="12" customHeight="1" outlineLevel="3" x14ac:dyDescent="0.2">
      <c r="A21324" s="14" t="s">
        <v>41976</v>
      </c>
      <c r="B21324" s="15" t="s">
        <v>41977</v>
      </c>
      <c r="C21324" s="16">
        <f>170.21/(1+B2)</f>
        <v>170.21</v>
      </c>
      <c r="D21324" s="17" t="s">
        <v>11</v>
      </c>
      <c r="E21324" s="17" t="s">
        <v>14</v>
      </c>
      <c r="F21324" s="18"/>
      <c r="G21324" s="36" t="str">
        <f>IF(ISNUMBER(F21324),C21324*F21324,"")</f>
        <v/>
      </c>
    </row>
    <row r="21325" spans="1:7" ht="12" customHeight="1" outlineLevel="3" x14ac:dyDescent="0.2">
      <c r="A21325" s="14" t="s">
        <v>41978</v>
      </c>
      <c r="B21325" s="15" t="s">
        <v>41979</v>
      </c>
      <c r="C21325" s="16">
        <f>20.26/(1+B2)</f>
        <v>20.260000000000002</v>
      </c>
      <c r="D21325" s="17" t="s">
        <v>53</v>
      </c>
      <c r="E21325" s="17"/>
      <c r="F21325" s="18"/>
      <c r="G21325" s="36" t="str">
        <f>IF(ISNUMBER(F21325),C21325*F21325,"")</f>
        <v/>
      </c>
    </row>
    <row r="21326" spans="1:7" ht="12" customHeight="1" outlineLevel="3" x14ac:dyDescent="0.2">
      <c r="A21326" s="14" t="s">
        <v>41980</v>
      </c>
      <c r="B21326" s="15" t="s">
        <v>41981</v>
      </c>
      <c r="C21326" s="16">
        <f>65.92/(1+B2)</f>
        <v>65.92</v>
      </c>
      <c r="D21326" s="17" t="s">
        <v>11</v>
      </c>
      <c r="E21326" s="17"/>
      <c r="F21326" s="18"/>
      <c r="G21326" s="36" t="str">
        <f>IF(ISNUMBER(F21326),C21326*F21326,"")</f>
        <v/>
      </c>
    </row>
    <row r="21327" spans="1:7" ht="12" customHeight="1" outlineLevel="3" x14ac:dyDescent="0.2">
      <c r="A21327" s="14" t="s">
        <v>41982</v>
      </c>
      <c r="B21327" s="15" t="s">
        <v>41983</v>
      </c>
      <c r="C21327" s="16">
        <f>80.89/(1+B2)</f>
        <v>80.89</v>
      </c>
      <c r="D21327" s="17" t="s">
        <v>53</v>
      </c>
      <c r="E21327" s="17" t="s">
        <v>53</v>
      </c>
      <c r="F21327" s="18"/>
      <c r="G21327" s="36" t="str">
        <f>IF(ISNUMBER(F21327),C21327*F21327,"")</f>
        <v/>
      </c>
    </row>
    <row r="21328" spans="1:7" s="1" customFormat="1" ht="12.95" customHeight="1" outlineLevel="2" x14ac:dyDescent="0.2">
      <c r="A21328" s="20"/>
      <c r="B21328" s="21" t="s">
        <v>41984</v>
      </c>
      <c r="C21328" s="22"/>
      <c r="D21328" s="22"/>
      <c r="E21328" s="22"/>
      <c r="F21328" s="22"/>
      <c r="G21328" s="37"/>
    </row>
    <row r="21329" spans="1:7" ht="12" customHeight="1" outlineLevel="3" x14ac:dyDescent="0.2">
      <c r="A21329" s="14" t="s">
        <v>41985</v>
      </c>
      <c r="B21329" s="15" t="s">
        <v>41986</v>
      </c>
      <c r="C21329" s="16">
        <f>30.03/(1+B2)</f>
        <v>30.03</v>
      </c>
      <c r="D21329" s="17" t="s">
        <v>53</v>
      </c>
      <c r="E21329" s="17"/>
      <c r="F21329" s="18"/>
      <c r="G21329" s="36" t="str">
        <f>IF(ISNUMBER(F21329),C21329*F21329,"")</f>
        <v/>
      </c>
    </row>
    <row r="21330" spans="1:7" ht="12" customHeight="1" outlineLevel="3" x14ac:dyDescent="0.2">
      <c r="A21330" s="14" t="s">
        <v>41987</v>
      </c>
      <c r="B21330" s="15" t="s">
        <v>41988</v>
      </c>
      <c r="C21330" s="16">
        <f>33.55/(1+B2)</f>
        <v>33.549999999999997</v>
      </c>
      <c r="D21330" s="17" t="s">
        <v>53</v>
      </c>
      <c r="E21330" s="17"/>
      <c r="F21330" s="18"/>
      <c r="G21330" s="36" t="str">
        <f>IF(ISNUMBER(F21330),C21330*F21330,"")</f>
        <v/>
      </c>
    </row>
    <row r="21331" spans="1:7" ht="12" customHeight="1" outlineLevel="3" x14ac:dyDescent="0.2">
      <c r="A21331" s="14" t="s">
        <v>41989</v>
      </c>
      <c r="B21331" s="15" t="s">
        <v>41990</v>
      </c>
      <c r="C21331" s="16">
        <f>27.55/(1+B2)</f>
        <v>27.55</v>
      </c>
      <c r="D21331" s="17" t="s">
        <v>53</v>
      </c>
      <c r="E21331" s="17"/>
      <c r="F21331" s="18"/>
      <c r="G21331" s="36" t="str">
        <f>IF(ISNUMBER(F21331),C21331*F21331,"")</f>
        <v/>
      </c>
    </row>
    <row r="21332" spans="1:7" ht="12" customHeight="1" outlineLevel="3" x14ac:dyDescent="0.2">
      <c r="A21332" s="14" t="s">
        <v>41991</v>
      </c>
      <c r="B21332" s="15" t="s">
        <v>41992</v>
      </c>
      <c r="C21332" s="16">
        <f>32.05/(1+B2)</f>
        <v>32.049999999999997</v>
      </c>
      <c r="D21332" s="17" t="s">
        <v>14</v>
      </c>
      <c r="E21332" s="17"/>
      <c r="F21332" s="18"/>
      <c r="G21332" s="36" t="str">
        <f>IF(ISNUMBER(F21332),C21332*F21332,"")</f>
        <v/>
      </c>
    </row>
    <row r="21333" spans="1:7" ht="12" customHeight="1" outlineLevel="3" x14ac:dyDescent="0.2">
      <c r="A21333" s="14" t="s">
        <v>41993</v>
      </c>
      <c r="B21333" s="15" t="s">
        <v>41994</v>
      </c>
      <c r="C21333" s="16">
        <f>342.75/(1+B2)</f>
        <v>342.75</v>
      </c>
      <c r="D21333" s="17" t="s">
        <v>11</v>
      </c>
      <c r="E21333" s="17" t="s">
        <v>11</v>
      </c>
      <c r="F21333" s="18"/>
      <c r="G21333" s="36" t="str">
        <f>IF(ISNUMBER(F21333),C21333*F21333,"")</f>
        <v/>
      </c>
    </row>
    <row r="21334" spans="1:7" ht="12" customHeight="1" outlineLevel="3" x14ac:dyDescent="0.2">
      <c r="A21334" s="14" t="s">
        <v>41995</v>
      </c>
      <c r="B21334" s="15" t="s">
        <v>41996</v>
      </c>
      <c r="C21334" s="16">
        <f>170.52/(1+B2)</f>
        <v>170.52</v>
      </c>
      <c r="D21334" s="17" t="s">
        <v>11</v>
      </c>
      <c r="E21334" s="17"/>
      <c r="F21334" s="18"/>
      <c r="G21334" s="36" t="str">
        <f>IF(ISNUMBER(F21334),C21334*F21334,"")</f>
        <v/>
      </c>
    </row>
    <row r="21335" spans="1:7" ht="12" customHeight="1" outlineLevel="3" x14ac:dyDescent="0.2">
      <c r="A21335" s="14" t="s">
        <v>41997</v>
      </c>
      <c r="B21335" s="15" t="s">
        <v>41998</v>
      </c>
      <c r="C21335" s="16">
        <f>248.79/(1+B2)</f>
        <v>248.79</v>
      </c>
      <c r="D21335" s="17" t="s">
        <v>11</v>
      </c>
      <c r="E21335" s="17"/>
      <c r="F21335" s="18"/>
      <c r="G21335" s="36" t="str">
        <f>IF(ISNUMBER(F21335),C21335*F21335,"")</f>
        <v/>
      </c>
    </row>
    <row r="21336" spans="1:7" ht="12" customHeight="1" outlineLevel="3" x14ac:dyDescent="0.2">
      <c r="A21336" s="14" t="s">
        <v>41999</v>
      </c>
      <c r="B21336" s="15" t="s">
        <v>42000</v>
      </c>
      <c r="C21336" s="16">
        <f>152.55/(1+B2)</f>
        <v>152.55000000000001</v>
      </c>
      <c r="D21336" s="17" t="s">
        <v>11</v>
      </c>
      <c r="E21336" s="17"/>
      <c r="F21336" s="18"/>
      <c r="G21336" s="36" t="str">
        <f>IF(ISNUMBER(F21336),C21336*F21336,"")</f>
        <v/>
      </c>
    </row>
    <row r="21337" spans="1:7" ht="12" customHeight="1" outlineLevel="3" x14ac:dyDescent="0.2">
      <c r="A21337" s="14" t="s">
        <v>42001</v>
      </c>
      <c r="B21337" s="15" t="s">
        <v>42002</v>
      </c>
      <c r="C21337" s="16">
        <f>221.19/(1+B2)</f>
        <v>221.19</v>
      </c>
      <c r="D21337" s="17" t="s">
        <v>11</v>
      </c>
      <c r="E21337" s="17"/>
      <c r="F21337" s="18"/>
      <c r="G21337" s="36" t="str">
        <f>IF(ISNUMBER(F21337),C21337*F21337,"")</f>
        <v/>
      </c>
    </row>
    <row r="21338" spans="1:7" ht="12" customHeight="1" outlineLevel="3" x14ac:dyDescent="0.2">
      <c r="A21338" s="14" t="s">
        <v>42003</v>
      </c>
      <c r="B21338" s="15" t="s">
        <v>42004</v>
      </c>
      <c r="C21338" s="16">
        <f>254.27/(1+B2)</f>
        <v>254.27</v>
      </c>
      <c r="D21338" s="17" t="s">
        <v>11</v>
      </c>
      <c r="E21338" s="17"/>
      <c r="F21338" s="18"/>
      <c r="G21338" s="36" t="str">
        <f>IF(ISNUMBER(F21338),C21338*F21338,"")</f>
        <v/>
      </c>
    </row>
    <row r="21339" spans="1:7" ht="12" customHeight="1" outlineLevel="3" x14ac:dyDescent="0.2">
      <c r="A21339" s="14" t="s">
        <v>42005</v>
      </c>
      <c r="B21339" s="15" t="s">
        <v>42006</v>
      </c>
      <c r="C21339" s="16">
        <f>252.66/(1+B2)</f>
        <v>252.66</v>
      </c>
      <c r="D21339" s="17" t="s">
        <v>11</v>
      </c>
      <c r="E21339" s="17"/>
      <c r="F21339" s="18"/>
      <c r="G21339" s="36" t="str">
        <f>IF(ISNUMBER(F21339),C21339*F21339,"")</f>
        <v/>
      </c>
    </row>
    <row r="21340" spans="1:7" ht="12" customHeight="1" outlineLevel="3" x14ac:dyDescent="0.2">
      <c r="A21340" s="14" t="s">
        <v>42007</v>
      </c>
      <c r="B21340" s="15" t="s">
        <v>42008</v>
      </c>
      <c r="C21340" s="16">
        <f>147.9/(1+B2)</f>
        <v>147.9</v>
      </c>
      <c r="D21340" s="17" t="s">
        <v>11</v>
      </c>
      <c r="E21340" s="17"/>
      <c r="F21340" s="18"/>
      <c r="G21340" s="36" t="str">
        <f>IF(ISNUMBER(F21340),C21340*F21340,"")</f>
        <v/>
      </c>
    </row>
    <row r="21341" spans="1:7" s="1" customFormat="1" ht="12.95" customHeight="1" outlineLevel="2" x14ac:dyDescent="0.2">
      <c r="A21341" s="20"/>
      <c r="B21341" s="21" t="s">
        <v>42009</v>
      </c>
      <c r="C21341" s="22"/>
      <c r="D21341" s="22"/>
      <c r="E21341" s="22"/>
      <c r="F21341" s="22"/>
      <c r="G21341" s="37"/>
    </row>
    <row r="21342" spans="1:7" ht="12" customHeight="1" outlineLevel="3" x14ac:dyDescent="0.2">
      <c r="A21342" s="14" t="s">
        <v>42010</v>
      </c>
      <c r="B21342" s="15" t="s">
        <v>42011</v>
      </c>
      <c r="C21342" s="16">
        <f>855.42/(1+B2)</f>
        <v>855.42</v>
      </c>
      <c r="D21342" s="17" t="s">
        <v>11</v>
      </c>
      <c r="E21342" s="17"/>
      <c r="F21342" s="18"/>
      <c r="G21342" s="36" t="str">
        <f>IF(ISNUMBER(F21342),C21342*F21342,"")</f>
        <v/>
      </c>
    </row>
    <row r="21343" spans="1:7" ht="12" customHeight="1" outlineLevel="3" x14ac:dyDescent="0.2">
      <c r="A21343" s="14" t="s">
        <v>42012</v>
      </c>
      <c r="B21343" s="15" t="s">
        <v>42013</v>
      </c>
      <c r="C21343" s="16">
        <f>395.96/(1+B2)</f>
        <v>395.96</v>
      </c>
      <c r="D21343" s="17" t="s">
        <v>11</v>
      </c>
      <c r="E21343" s="17"/>
      <c r="F21343" s="18"/>
      <c r="G21343" s="36" t="str">
        <f>IF(ISNUMBER(F21343),C21343*F21343,"")</f>
        <v/>
      </c>
    </row>
    <row r="21344" spans="1:7" ht="12" customHeight="1" outlineLevel="3" x14ac:dyDescent="0.2">
      <c r="A21344" s="14" t="s">
        <v>42014</v>
      </c>
      <c r="B21344" s="15" t="s">
        <v>42015</v>
      </c>
      <c r="C21344" s="16">
        <f>151.85/(1+B2)</f>
        <v>151.85</v>
      </c>
      <c r="D21344" s="17" t="s">
        <v>14</v>
      </c>
      <c r="E21344" s="17" t="s">
        <v>11</v>
      </c>
      <c r="F21344" s="18"/>
      <c r="G21344" s="36" t="str">
        <f>IF(ISNUMBER(F21344),C21344*F21344,"")</f>
        <v/>
      </c>
    </row>
    <row r="21345" spans="1:7" ht="12" customHeight="1" outlineLevel="3" x14ac:dyDescent="0.2">
      <c r="A21345" s="14" t="s">
        <v>42016</v>
      </c>
      <c r="B21345" s="15" t="s">
        <v>42017</v>
      </c>
      <c r="C21345" s="16">
        <f>217.15/(1+B2)</f>
        <v>217.15</v>
      </c>
      <c r="D21345" s="17" t="s">
        <v>11</v>
      </c>
      <c r="E21345" s="17" t="s">
        <v>53</v>
      </c>
      <c r="F21345" s="18"/>
      <c r="G21345" s="36" t="str">
        <f>IF(ISNUMBER(F21345),C21345*F21345,"")</f>
        <v/>
      </c>
    </row>
    <row r="21346" spans="1:7" ht="12" customHeight="1" outlineLevel="3" x14ac:dyDescent="0.2">
      <c r="A21346" s="14" t="s">
        <v>42018</v>
      </c>
      <c r="B21346" s="15" t="s">
        <v>42019</v>
      </c>
      <c r="C21346" s="16">
        <f>224.54/(1+B2)</f>
        <v>224.54</v>
      </c>
      <c r="D21346" s="17" t="s">
        <v>11</v>
      </c>
      <c r="E21346" s="17"/>
      <c r="F21346" s="18"/>
      <c r="G21346" s="36" t="str">
        <f>IF(ISNUMBER(F21346),C21346*F21346,"")</f>
        <v/>
      </c>
    </row>
    <row r="21347" spans="1:7" ht="12" customHeight="1" outlineLevel="3" x14ac:dyDescent="0.2">
      <c r="A21347" s="14" t="s">
        <v>42020</v>
      </c>
      <c r="B21347" s="15" t="s">
        <v>42021</v>
      </c>
      <c r="C21347" s="16">
        <f>504.72/(1+B2)</f>
        <v>504.72</v>
      </c>
      <c r="D21347" s="17" t="s">
        <v>11</v>
      </c>
      <c r="E21347" s="17"/>
      <c r="F21347" s="18"/>
      <c r="G21347" s="36" t="str">
        <f>IF(ISNUMBER(F21347),C21347*F21347,"")</f>
        <v/>
      </c>
    </row>
    <row r="21348" spans="1:7" ht="12" customHeight="1" outlineLevel="3" x14ac:dyDescent="0.2">
      <c r="A21348" s="14" t="s">
        <v>42022</v>
      </c>
      <c r="B21348" s="15" t="s">
        <v>42023</v>
      </c>
      <c r="C21348" s="16">
        <f>33.63/(1+B2)</f>
        <v>33.630000000000003</v>
      </c>
      <c r="D21348" s="17" t="s">
        <v>14</v>
      </c>
      <c r="E21348" s="17" t="s">
        <v>106</v>
      </c>
      <c r="F21348" s="18"/>
      <c r="G21348" s="36" t="str">
        <f>IF(ISNUMBER(F21348),C21348*F21348,"")</f>
        <v/>
      </c>
    </row>
    <row r="21349" spans="1:7" ht="12" customHeight="1" outlineLevel="3" x14ac:dyDescent="0.2">
      <c r="A21349" s="14" t="s">
        <v>42024</v>
      </c>
      <c r="B21349" s="15" t="s">
        <v>42025</v>
      </c>
      <c r="C21349" s="16">
        <f>31.63/(1+B2)</f>
        <v>31.63</v>
      </c>
      <c r="D21349" s="17" t="s">
        <v>11</v>
      </c>
      <c r="E21349" s="17" t="s">
        <v>106</v>
      </c>
      <c r="F21349" s="18"/>
      <c r="G21349" s="36" t="str">
        <f>IF(ISNUMBER(F21349),C21349*F21349,"")</f>
        <v/>
      </c>
    </row>
    <row r="21350" spans="1:7" ht="12" customHeight="1" outlineLevel="3" x14ac:dyDescent="0.2">
      <c r="A21350" s="14" t="s">
        <v>42026</v>
      </c>
      <c r="B21350" s="15" t="s">
        <v>42027</v>
      </c>
      <c r="C21350" s="16">
        <f>94.86/(1+B2)</f>
        <v>94.86</v>
      </c>
      <c r="D21350" s="17" t="s">
        <v>11</v>
      </c>
      <c r="E21350" s="17" t="s">
        <v>11</v>
      </c>
      <c r="F21350" s="18"/>
      <c r="G21350" s="36" t="str">
        <f>IF(ISNUMBER(F21350),C21350*F21350,"")</f>
        <v/>
      </c>
    </row>
    <row r="21351" spans="1:7" ht="12" customHeight="1" outlineLevel="3" x14ac:dyDescent="0.2">
      <c r="A21351" s="14" t="s">
        <v>42028</v>
      </c>
      <c r="B21351" s="15" t="s">
        <v>42029</v>
      </c>
      <c r="C21351" s="16">
        <f>91.37/(1+B2)</f>
        <v>91.37</v>
      </c>
      <c r="D21351" s="17" t="s">
        <v>11</v>
      </c>
      <c r="E21351" s="17"/>
      <c r="F21351" s="18"/>
      <c r="G21351" s="36" t="str">
        <f>IF(ISNUMBER(F21351),C21351*F21351,"")</f>
        <v/>
      </c>
    </row>
    <row r="21352" spans="1:7" ht="12" customHeight="1" outlineLevel="3" x14ac:dyDescent="0.2">
      <c r="A21352" s="14" t="s">
        <v>42030</v>
      </c>
      <c r="B21352" s="15" t="s">
        <v>42031</v>
      </c>
      <c r="C21352" s="16">
        <f>125.82/(1+B2)</f>
        <v>125.82</v>
      </c>
      <c r="D21352" s="17" t="s">
        <v>14</v>
      </c>
      <c r="E21352" s="17" t="s">
        <v>106</v>
      </c>
      <c r="F21352" s="18"/>
      <c r="G21352" s="36" t="str">
        <f>IF(ISNUMBER(F21352),C21352*F21352,"")</f>
        <v/>
      </c>
    </row>
    <row r="21353" spans="1:7" ht="12" customHeight="1" outlineLevel="3" x14ac:dyDescent="0.2">
      <c r="A21353" s="14" t="s">
        <v>42032</v>
      </c>
      <c r="B21353" s="15" t="s">
        <v>42033</v>
      </c>
      <c r="C21353" s="16">
        <f>54.04/(1+B2)</f>
        <v>54.04</v>
      </c>
      <c r="D21353" s="17" t="s">
        <v>11</v>
      </c>
      <c r="E21353" s="17" t="s">
        <v>106</v>
      </c>
      <c r="F21353" s="18"/>
      <c r="G21353" s="36" t="str">
        <f>IF(ISNUMBER(F21353),C21353*F21353,"")</f>
        <v/>
      </c>
    </row>
    <row r="21354" spans="1:7" ht="12" customHeight="1" outlineLevel="3" x14ac:dyDescent="0.2">
      <c r="A21354" s="14" t="s">
        <v>42034</v>
      </c>
      <c r="B21354" s="15" t="s">
        <v>42035</v>
      </c>
      <c r="C21354" s="16">
        <f>55.14/(1+B2)</f>
        <v>55.14</v>
      </c>
      <c r="D21354" s="17" t="s">
        <v>11</v>
      </c>
      <c r="E21354" s="17" t="s">
        <v>53</v>
      </c>
      <c r="F21354" s="18"/>
      <c r="G21354" s="36" t="str">
        <f>IF(ISNUMBER(F21354),C21354*F21354,"")</f>
        <v/>
      </c>
    </row>
    <row r="21355" spans="1:7" ht="12" customHeight="1" outlineLevel="3" x14ac:dyDescent="0.2">
      <c r="A21355" s="14" t="s">
        <v>42036</v>
      </c>
      <c r="B21355" s="15" t="s">
        <v>42037</v>
      </c>
      <c r="C21355" s="16">
        <f>38.31/(1+B2)</f>
        <v>38.31</v>
      </c>
      <c r="D21355" s="17" t="s">
        <v>11</v>
      </c>
      <c r="E21355" s="17"/>
      <c r="F21355" s="18"/>
      <c r="G21355" s="36" t="str">
        <f>IF(ISNUMBER(F21355),C21355*F21355,"")</f>
        <v/>
      </c>
    </row>
    <row r="21356" spans="1:7" ht="12" customHeight="1" outlineLevel="3" x14ac:dyDescent="0.2">
      <c r="A21356" s="14" t="s">
        <v>42038</v>
      </c>
      <c r="B21356" s="15" t="s">
        <v>42039</v>
      </c>
      <c r="C21356" s="16">
        <f>13.79/(1+B2)</f>
        <v>13.79</v>
      </c>
      <c r="D21356" s="17" t="s">
        <v>53</v>
      </c>
      <c r="E21356" s="17" t="s">
        <v>106</v>
      </c>
      <c r="F21356" s="18"/>
      <c r="G21356" s="36" t="str">
        <f>IF(ISNUMBER(F21356),C21356*F21356,"")</f>
        <v/>
      </c>
    </row>
    <row r="21357" spans="1:7" ht="12" customHeight="1" outlineLevel="3" x14ac:dyDescent="0.2">
      <c r="A21357" s="14" t="s">
        <v>42040</v>
      </c>
      <c r="B21357" s="15" t="s">
        <v>42041</v>
      </c>
      <c r="C21357" s="16">
        <f>40.56/(1+B2)</f>
        <v>40.56</v>
      </c>
      <c r="D21357" s="17" t="s">
        <v>53</v>
      </c>
      <c r="E21357" s="17" t="s">
        <v>106</v>
      </c>
      <c r="F21357" s="18"/>
      <c r="G21357" s="36" t="str">
        <f>IF(ISNUMBER(F21357),C21357*F21357,"")</f>
        <v/>
      </c>
    </row>
    <row r="21358" spans="1:7" ht="12" customHeight="1" outlineLevel="3" x14ac:dyDescent="0.2">
      <c r="A21358" s="14" t="s">
        <v>42042</v>
      </c>
      <c r="B21358" s="15" t="s">
        <v>42043</v>
      </c>
      <c r="C21358" s="16">
        <f>23.88/(1+B2)</f>
        <v>23.88</v>
      </c>
      <c r="D21358" s="17" t="s">
        <v>14</v>
      </c>
      <c r="E21358" s="17"/>
      <c r="F21358" s="18"/>
      <c r="G21358" s="36" t="str">
        <f>IF(ISNUMBER(F21358),C21358*F21358,"")</f>
        <v/>
      </c>
    </row>
    <row r="21359" spans="1:7" ht="12" customHeight="1" outlineLevel="3" x14ac:dyDescent="0.2">
      <c r="A21359" s="14" t="s">
        <v>42044</v>
      </c>
      <c r="B21359" s="15" t="s">
        <v>42045</v>
      </c>
      <c r="C21359" s="16">
        <f>195.15/(1+B2)</f>
        <v>195.15</v>
      </c>
      <c r="D21359" s="17" t="s">
        <v>11</v>
      </c>
      <c r="E21359" s="17"/>
      <c r="F21359" s="18"/>
      <c r="G21359" s="36" t="str">
        <f>IF(ISNUMBER(F21359),C21359*F21359,"")</f>
        <v/>
      </c>
    </row>
    <row r="21360" spans="1:7" ht="12" customHeight="1" outlineLevel="3" x14ac:dyDescent="0.2">
      <c r="A21360" s="14" t="s">
        <v>42046</v>
      </c>
      <c r="B21360" s="15" t="s">
        <v>42047</v>
      </c>
      <c r="C21360" s="16">
        <f>352.17/(1+B2)</f>
        <v>352.17</v>
      </c>
      <c r="D21360" s="17" t="s">
        <v>11</v>
      </c>
      <c r="E21360" s="17"/>
      <c r="F21360" s="18"/>
      <c r="G21360" s="36" t="str">
        <f>IF(ISNUMBER(F21360),C21360*F21360,"")</f>
        <v/>
      </c>
    </row>
    <row r="21361" spans="1:7" ht="12" customHeight="1" outlineLevel="3" x14ac:dyDescent="0.2">
      <c r="A21361" s="14" t="s">
        <v>42048</v>
      </c>
      <c r="B21361" s="15" t="s">
        <v>42049</v>
      </c>
      <c r="C21361" s="16">
        <f>156.53/(1+B2)</f>
        <v>156.53</v>
      </c>
      <c r="D21361" s="17" t="s">
        <v>11</v>
      </c>
      <c r="E21361" s="17" t="s">
        <v>11</v>
      </c>
      <c r="F21361" s="18"/>
      <c r="G21361" s="36" t="str">
        <f>IF(ISNUMBER(F21361),C21361*F21361,"")</f>
        <v/>
      </c>
    </row>
    <row r="21362" spans="1:7" ht="12" customHeight="1" outlineLevel="3" x14ac:dyDescent="0.2">
      <c r="A21362" s="14" t="s">
        <v>42050</v>
      </c>
      <c r="B21362" s="15" t="s">
        <v>42051</v>
      </c>
      <c r="C21362" s="16">
        <f>52.04/(1+B2)</f>
        <v>52.04</v>
      </c>
      <c r="D21362" s="17" t="s">
        <v>53</v>
      </c>
      <c r="E21362" s="17"/>
      <c r="F21362" s="18"/>
      <c r="G21362" s="36" t="str">
        <f>IF(ISNUMBER(F21362),C21362*F21362,"")</f>
        <v/>
      </c>
    </row>
    <row r="21363" spans="1:7" ht="12" customHeight="1" outlineLevel="3" x14ac:dyDescent="0.2">
      <c r="A21363" s="14" t="s">
        <v>42052</v>
      </c>
      <c r="B21363" s="15" t="s">
        <v>42053</v>
      </c>
      <c r="C21363" s="16">
        <f>86.45/(1+B2)</f>
        <v>86.45</v>
      </c>
      <c r="D21363" s="17" t="s">
        <v>14</v>
      </c>
      <c r="E21363" s="17"/>
      <c r="F21363" s="18"/>
      <c r="G21363" s="36" t="str">
        <f>IF(ISNUMBER(F21363),C21363*F21363,"")</f>
        <v/>
      </c>
    </row>
    <row r="21364" spans="1:7" ht="12" customHeight="1" outlineLevel="3" x14ac:dyDescent="0.2">
      <c r="A21364" s="14" t="s">
        <v>42054</v>
      </c>
      <c r="B21364" s="15" t="s">
        <v>42055</v>
      </c>
      <c r="C21364" s="16">
        <f>326.7/(1+B2)</f>
        <v>326.7</v>
      </c>
      <c r="D21364" s="17" t="s">
        <v>53</v>
      </c>
      <c r="E21364" s="17"/>
      <c r="F21364" s="18"/>
      <c r="G21364" s="36" t="str">
        <f>IF(ISNUMBER(F21364),C21364*F21364,"")</f>
        <v/>
      </c>
    </row>
    <row r="21365" spans="1:7" ht="12" customHeight="1" outlineLevel="3" x14ac:dyDescent="0.2">
      <c r="A21365" s="14" t="s">
        <v>42056</v>
      </c>
      <c r="B21365" s="15" t="s">
        <v>42057</v>
      </c>
      <c r="C21365" s="16">
        <f>113.3/(1+B2)</f>
        <v>113.3</v>
      </c>
      <c r="D21365" s="17" t="s">
        <v>11</v>
      </c>
      <c r="E21365" s="17"/>
      <c r="F21365" s="18"/>
      <c r="G21365" s="36" t="str">
        <f>IF(ISNUMBER(F21365),C21365*F21365,"")</f>
        <v/>
      </c>
    </row>
    <row r="21366" spans="1:7" ht="12" customHeight="1" outlineLevel="3" x14ac:dyDescent="0.2">
      <c r="A21366" s="14" t="s">
        <v>42058</v>
      </c>
      <c r="B21366" s="15" t="s">
        <v>42059</v>
      </c>
      <c r="C21366" s="16">
        <f>80.36/(1+B2)</f>
        <v>80.36</v>
      </c>
      <c r="D21366" s="17" t="s">
        <v>14</v>
      </c>
      <c r="E21366" s="17" t="s">
        <v>106</v>
      </c>
      <c r="F21366" s="18"/>
      <c r="G21366" s="36" t="str">
        <f>IF(ISNUMBER(F21366),C21366*F21366,"")</f>
        <v/>
      </c>
    </row>
    <row r="21367" spans="1:7" ht="12" customHeight="1" outlineLevel="3" x14ac:dyDescent="0.2">
      <c r="A21367" s="14" t="s">
        <v>42060</v>
      </c>
      <c r="B21367" s="15" t="s">
        <v>42061</v>
      </c>
      <c r="C21367" s="16">
        <f>129.58/(1+B2)</f>
        <v>129.58000000000001</v>
      </c>
      <c r="D21367" s="17" t="s">
        <v>11</v>
      </c>
      <c r="E21367" s="17" t="s">
        <v>11</v>
      </c>
      <c r="F21367" s="18"/>
      <c r="G21367" s="36" t="str">
        <f>IF(ISNUMBER(F21367),C21367*F21367,"")</f>
        <v/>
      </c>
    </row>
    <row r="21368" spans="1:7" ht="12" customHeight="1" outlineLevel="3" x14ac:dyDescent="0.2">
      <c r="A21368" s="14" t="s">
        <v>42062</v>
      </c>
      <c r="B21368" s="15" t="s">
        <v>42063</v>
      </c>
      <c r="C21368" s="16">
        <f>246.7/(1+B2)</f>
        <v>246.7</v>
      </c>
      <c r="D21368" s="17" t="s">
        <v>11</v>
      </c>
      <c r="E21368" s="17"/>
      <c r="F21368" s="18"/>
      <c r="G21368" s="36" t="str">
        <f>IF(ISNUMBER(F21368),C21368*F21368,"")</f>
        <v/>
      </c>
    </row>
    <row r="21369" spans="1:7" ht="12" customHeight="1" outlineLevel="3" x14ac:dyDescent="0.2">
      <c r="A21369" s="14" t="s">
        <v>42064</v>
      </c>
      <c r="B21369" s="15" t="s">
        <v>42065</v>
      </c>
      <c r="C21369" s="16">
        <f>336.29/(1+B2)</f>
        <v>336.29</v>
      </c>
      <c r="D21369" s="17" t="s">
        <v>11</v>
      </c>
      <c r="E21369" s="17"/>
      <c r="F21369" s="18"/>
      <c r="G21369" s="36" t="str">
        <f>IF(ISNUMBER(F21369),C21369*F21369,"")</f>
        <v/>
      </c>
    </row>
    <row r="21370" spans="1:7" ht="12" customHeight="1" outlineLevel="3" x14ac:dyDescent="0.2">
      <c r="A21370" s="14" t="s">
        <v>42066</v>
      </c>
      <c r="B21370" s="15" t="s">
        <v>42067</v>
      </c>
      <c r="C21370" s="16">
        <f>120.24/(1+B2)</f>
        <v>120.24</v>
      </c>
      <c r="D21370" s="17" t="s">
        <v>11</v>
      </c>
      <c r="E21370" s="17" t="s">
        <v>14</v>
      </c>
      <c r="F21370" s="18"/>
      <c r="G21370" s="36" t="str">
        <f>IF(ISNUMBER(F21370),C21370*F21370,"")</f>
        <v/>
      </c>
    </row>
    <row r="21371" spans="1:7" ht="12" customHeight="1" outlineLevel="3" x14ac:dyDescent="0.2">
      <c r="A21371" s="14" t="s">
        <v>42068</v>
      </c>
      <c r="B21371" s="15" t="s">
        <v>42069</v>
      </c>
      <c r="C21371" s="16">
        <f>42.29/(1+B2)</f>
        <v>42.29</v>
      </c>
      <c r="D21371" s="17" t="s">
        <v>14</v>
      </c>
      <c r="E21371" s="17" t="s">
        <v>106</v>
      </c>
      <c r="F21371" s="18"/>
      <c r="G21371" s="36" t="str">
        <f>IF(ISNUMBER(F21371),C21371*F21371,"")</f>
        <v/>
      </c>
    </row>
    <row r="21372" spans="1:7" ht="12" customHeight="1" outlineLevel="3" x14ac:dyDescent="0.2">
      <c r="A21372" s="14" t="s">
        <v>42070</v>
      </c>
      <c r="B21372" s="15" t="s">
        <v>42071</v>
      </c>
      <c r="C21372" s="16">
        <f>64.13/(1+B2)</f>
        <v>64.13</v>
      </c>
      <c r="D21372" s="17" t="s">
        <v>106</v>
      </c>
      <c r="E21372" s="17" t="s">
        <v>14</v>
      </c>
      <c r="F21372" s="18"/>
      <c r="G21372" s="36" t="str">
        <f>IF(ISNUMBER(F21372),C21372*F21372,"")</f>
        <v/>
      </c>
    </row>
    <row r="21373" spans="1:7" ht="12" customHeight="1" outlineLevel="3" x14ac:dyDescent="0.2">
      <c r="A21373" s="14" t="s">
        <v>42072</v>
      </c>
      <c r="B21373" s="15" t="s">
        <v>42073</v>
      </c>
      <c r="C21373" s="16">
        <f>63.44/(1+B2)</f>
        <v>63.44</v>
      </c>
      <c r="D21373" s="17" t="s">
        <v>11</v>
      </c>
      <c r="E21373" s="17" t="s">
        <v>53</v>
      </c>
      <c r="F21373" s="18"/>
      <c r="G21373" s="36" t="str">
        <f>IF(ISNUMBER(F21373),C21373*F21373,"")</f>
        <v/>
      </c>
    </row>
    <row r="21374" spans="1:7" ht="12" customHeight="1" outlineLevel="3" x14ac:dyDescent="0.2">
      <c r="A21374" s="14" t="s">
        <v>42074</v>
      </c>
      <c r="B21374" s="15" t="s">
        <v>42075</v>
      </c>
      <c r="C21374" s="16">
        <f>67.34/(1+B2)</f>
        <v>67.34</v>
      </c>
      <c r="D21374" s="17" t="s">
        <v>14</v>
      </c>
      <c r="E21374" s="17"/>
      <c r="F21374" s="18"/>
      <c r="G21374" s="36" t="str">
        <f>IF(ISNUMBER(F21374),C21374*F21374,"")</f>
        <v/>
      </c>
    </row>
    <row r="21375" spans="1:7" ht="12" customHeight="1" outlineLevel="3" x14ac:dyDescent="0.2">
      <c r="A21375" s="14" t="s">
        <v>42076</v>
      </c>
      <c r="B21375" s="15" t="s">
        <v>42077</v>
      </c>
      <c r="C21375" s="16">
        <f>256.96/(1+B2)</f>
        <v>256.95999999999998</v>
      </c>
      <c r="D21375" s="17" t="s">
        <v>11</v>
      </c>
      <c r="E21375" s="17" t="s">
        <v>11</v>
      </c>
      <c r="F21375" s="18"/>
      <c r="G21375" s="36" t="str">
        <f>IF(ISNUMBER(F21375),C21375*F21375,"")</f>
        <v/>
      </c>
    </row>
    <row r="21376" spans="1:7" ht="12" customHeight="1" outlineLevel="3" x14ac:dyDescent="0.2">
      <c r="A21376" s="14" t="s">
        <v>42078</v>
      </c>
      <c r="B21376" s="15" t="s">
        <v>42079</v>
      </c>
      <c r="C21376" s="16">
        <f>231.46/(1+B2)</f>
        <v>231.46</v>
      </c>
      <c r="D21376" s="17" t="s">
        <v>11</v>
      </c>
      <c r="E21376" s="17" t="s">
        <v>11</v>
      </c>
      <c r="F21376" s="18"/>
      <c r="G21376" s="36" t="str">
        <f>IF(ISNUMBER(F21376),C21376*F21376,"")</f>
        <v/>
      </c>
    </row>
    <row r="21377" spans="1:7" ht="12" customHeight="1" outlineLevel="3" x14ac:dyDescent="0.2">
      <c r="A21377" s="14" t="s">
        <v>42080</v>
      </c>
      <c r="B21377" s="15" t="s">
        <v>42081</v>
      </c>
      <c r="C21377" s="16">
        <f>139.37/(1+B2)</f>
        <v>139.37</v>
      </c>
      <c r="D21377" s="17" t="s">
        <v>11</v>
      </c>
      <c r="E21377" s="17" t="s">
        <v>11</v>
      </c>
      <c r="F21377" s="18"/>
      <c r="G21377" s="36" t="str">
        <f>IF(ISNUMBER(F21377),C21377*F21377,"")</f>
        <v/>
      </c>
    </row>
    <row r="21378" spans="1:7" ht="12" customHeight="1" outlineLevel="3" x14ac:dyDescent="0.2">
      <c r="A21378" s="14" t="s">
        <v>42082</v>
      </c>
      <c r="B21378" s="15" t="s">
        <v>42083</v>
      </c>
      <c r="C21378" s="16">
        <f>59.7/(1+B2)</f>
        <v>59.7</v>
      </c>
      <c r="D21378" s="17" t="s">
        <v>11</v>
      </c>
      <c r="E21378" s="17" t="s">
        <v>106</v>
      </c>
      <c r="F21378" s="18"/>
      <c r="G21378" s="36" t="str">
        <f>IF(ISNUMBER(F21378),C21378*F21378,"")</f>
        <v/>
      </c>
    </row>
    <row r="21379" spans="1:7" ht="12" customHeight="1" outlineLevel="3" x14ac:dyDescent="0.2">
      <c r="A21379" s="14" t="s">
        <v>42084</v>
      </c>
      <c r="B21379" s="15" t="s">
        <v>42085</v>
      </c>
      <c r="C21379" s="16">
        <f>33.65/(1+B2)</f>
        <v>33.65</v>
      </c>
      <c r="D21379" s="17" t="s">
        <v>14</v>
      </c>
      <c r="E21379" s="17" t="s">
        <v>106</v>
      </c>
      <c r="F21379" s="18"/>
      <c r="G21379" s="36" t="str">
        <f>IF(ISNUMBER(F21379),C21379*F21379,"")</f>
        <v/>
      </c>
    </row>
    <row r="21380" spans="1:7" ht="12" customHeight="1" outlineLevel="3" x14ac:dyDescent="0.2">
      <c r="A21380" s="14" t="s">
        <v>42086</v>
      </c>
      <c r="B21380" s="15" t="s">
        <v>42087</v>
      </c>
      <c r="C21380" s="16">
        <f>98.89/(1+B2)</f>
        <v>98.89</v>
      </c>
      <c r="D21380" s="17" t="s">
        <v>11</v>
      </c>
      <c r="E21380" s="17" t="s">
        <v>14</v>
      </c>
      <c r="F21380" s="18"/>
      <c r="G21380" s="36" t="str">
        <f>IF(ISNUMBER(F21380),C21380*F21380,"")</f>
        <v/>
      </c>
    </row>
    <row r="21381" spans="1:7" ht="12" customHeight="1" outlineLevel="3" x14ac:dyDescent="0.2">
      <c r="A21381" s="14" t="s">
        <v>42088</v>
      </c>
      <c r="B21381" s="15" t="s">
        <v>42089</v>
      </c>
      <c r="C21381" s="16">
        <f>305.88/(1+B2)</f>
        <v>305.88</v>
      </c>
      <c r="D21381" s="17" t="s">
        <v>14</v>
      </c>
      <c r="E21381" s="17" t="s">
        <v>106</v>
      </c>
      <c r="F21381" s="18"/>
      <c r="G21381" s="36" t="str">
        <f>IF(ISNUMBER(F21381),C21381*F21381,"")</f>
        <v/>
      </c>
    </row>
    <row r="21382" spans="1:7" ht="12" customHeight="1" outlineLevel="3" x14ac:dyDescent="0.2">
      <c r="A21382" s="14" t="s">
        <v>42090</v>
      </c>
      <c r="B21382" s="15" t="s">
        <v>42091</v>
      </c>
      <c r="C21382" s="16">
        <f>60/(1+B2)</f>
        <v>60</v>
      </c>
      <c r="D21382" s="17" t="s">
        <v>11</v>
      </c>
      <c r="E21382" s="17"/>
      <c r="F21382" s="18"/>
      <c r="G21382" s="36" t="str">
        <f>IF(ISNUMBER(F21382),C21382*F21382,"")</f>
        <v/>
      </c>
    </row>
    <row r="21383" spans="1:7" ht="12" customHeight="1" outlineLevel="3" x14ac:dyDescent="0.2">
      <c r="A21383" s="14" t="s">
        <v>42092</v>
      </c>
      <c r="B21383" s="15" t="s">
        <v>42093</v>
      </c>
      <c r="C21383" s="16">
        <f>165.64/(1+B2)</f>
        <v>165.64</v>
      </c>
      <c r="D21383" s="17" t="s">
        <v>11</v>
      </c>
      <c r="E21383" s="17" t="s">
        <v>11</v>
      </c>
      <c r="F21383" s="18"/>
      <c r="G21383" s="36" t="str">
        <f>IF(ISNUMBER(F21383),C21383*F21383,"")</f>
        <v/>
      </c>
    </row>
    <row r="21384" spans="1:7" ht="12" customHeight="1" outlineLevel="3" x14ac:dyDescent="0.2">
      <c r="A21384" s="14" t="s">
        <v>42094</v>
      </c>
      <c r="B21384" s="15" t="s">
        <v>42095</v>
      </c>
      <c r="C21384" s="16">
        <f>40.93/(1+B2)</f>
        <v>40.93</v>
      </c>
      <c r="D21384" s="17"/>
      <c r="E21384" s="17" t="s">
        <v>11</v>
      </c>
      <c r="F21384" s="18"/>
      <c r="G21384" s="36" t="str">
        <f>IF(ISNUMBER(F21384),C21384*F21384,"")</f>
        <v/>
      </c>
    </row>
    <row r="21385" spans="1:7" ht="12" customHeight="1" outlineLevel="3" x14ac:dyDescent="0.2">
      <c r="A21385" s="14" t="s">
        <v>42096</v>
      </c>
      <c r="B21385" s="15" t="s">
        <v>42097</v>
      </c>
      <c r="C21385" s="16">
        <f>168.1/(1+B2)</f>
        <v>168.1</v>
      </c>
      <c r="D21385" s="17" t="s">
        <v>11</v>
      </c>
      <c r="E21385" s="17"/>
      <c r="F21385" s="18"/>
      <c r="G21385" s="36" t="str">
        <f>IF(ISNUMBER(F21385),C21385*F21385,"")</f>
        <v/>
      </c>
    </row>
    <row r="21386" spans="1:7" ht="12" customHeight="1" outlineLevel="3" x14ac:dyDescent="0.2">
      <c r="A21386" s="14" t="s">
        <v>42098</v>
      </c>
      <c r="B21386" s="15" t="s">
        <v>42099</v>
      </c>
      <c r="C21386" s="16">
        <f>129.2/(1+B2)</f>
        <v>129.19999999999999</v>
      </c>
      <c r="D21386" s="17" t="s">
        <v>11</v>
      </c>
      <c r="E21386" s="17"/>
      <c r="F21386" s="18"/>
      <c r="G21386" s="36" t="str">
        <f>IF(ISNUMBER(F21386),C21386*F21386,"")</f>
        <v/>
      </c>
    </row>
    <row r="21387" spans="1:7" ht="12" customHeight="1" outlineLevel="3" x14ac:dyDescent="0.2">
      <c r="A21387" s="14" t="s">
        <v>42100</v>
      </c>
      <c r="B21387" s="15" t="s">
        <v>42101</v>
      </c>
      <c r="C21387" s="16">
        <f>64.69/(1+B2)</f>
        <v>64.69</v>
      </c>
      <c r="D21387" s="17" t="s">
        <v>11</v>
      </c>
      <c r="E21387" s="17" t="s">
        <v>106</v>
      </c>
      <c r="F21387" s="18"/>
      <c r="G21387" s="36" t="str">
        <f>IF(ISNUMBER(F21387),C21387*F21387,"")</f>
        <v/>
      </c>
    </row>
    <row r="21388" spans="1:7" ht="12" customHeight="1" outlineLevel="3" x14ac:dyDescent="0.2">
      <c r="A21388" s="14" t="s">
        <v>42102</v>
      </c>
      <c r="B21388" s="15" t="s">
        <v>42103</v>
      </c>
      <c r="C21388" s="16">
        <f>364.86/(1+B2)</f>
        <v>364.86</v>
      </c>
      <c r="D21388" s="17" t="s">
        <v>11</v>
      </c>
      <c r="E21388" s="17"/>
      <c r="F21388" s="18"/>
      <c r="G21388" s="36" t="str">
        <f>IF(ISNUMBER(F21388),C21388*F21388,"")</f>
        <v/>
      </c>
    </row>
    <row r="21389" spans="1:7" ht="12" customHeight="1" outlineLevel="3" x14ac:dyDescent="0.2">
      <c r="A21389" s="14" t="s">
        <v>42104</v>
      </c>
      <c r="B21389" s="15" t="s">
        <v>42105</v>
      </c>
      <c r="C21389" s="16">
        <f>167.49/(1+B2)</f>
        <v>167.49</v>
      </c>
      <c r="D21389" s="17" t="s">
        <v>11</v>
      </c>
      <c r="E21389" s="17"/>
      <c r="F21389" s="18"/>
      <c r="G21389" s="36" t="str">
        <f>IF(ISNUMBER(F21389),C21389*F21389,"")</f>
        <v/>
      </c>
    </row>
    <row r="21390" spans="1:7" ht="12" customHeight="1" outlineLevel="3" x14ac:dyDescent="0.2">
      <c r="A21390" s="14" t="s">
        <v>42106</v>
      </c>
      <c r="B21390" s="15" t="s">
        <v>42107</v>
      </c>
      <c r="C21390" s="16">
        <f>361.95/(1+B2)</f>
        <v>361.95</v>
      </c>
      <c r="D21390" s="17" t="s">
        <v>11</v>
      </c>
      <c r="E21390" s="17"/>
      <c r="F21390" s="18"/>
      <c r="G21390" s="36" t="str">
        <f>IF(ISNUMBER(F21390),C21390*F21390,"")</f>
        <v/>
      </c>
    </row>
    <row r="21391" spans="1:7" ht="12" customHeight="1" outlineLevel="3" x14ac:dyDescent="0.2">
      <c r="A21391" s="14" t="s">
        <v>42108</v>
      </c>
      <c r="B21391" s="15" t="s">
        <v>42109</v>
      </c>
      <c r="C21391" s="16">
        <f>311.64/(1+B2)</f>
        <v>311.64</v>
      </c>
      <c r="D21391" s="17" t="s">
        <v>11</v>
      </c>
      <c r="E21391" s="17"/>
      <c r="F21391" s="18"/>
      <c r="G21391" s="36" t="str">
        <f>IF(ISNUMBER(F21391),C21391*F21391,"")</f>
        <v/>
      </c>
    </row>
    <row r="21392" spans="1:7" ht="12" customHeight="1" outlineLevel="3" x14ac:dyDescent="0.2">
      <c r="A21392" s="14" t="s">
        <v>42110</v>
      </c>
      <c r="B21392" s="15" t="s">
        <v>42111</v>
      </c>
      <c r="C21392" s="16">
        <f>166.47/(1+B2)</f>
        <v>166.47</v>
      </c>
      <c r="D21392" s="17" t="s">
        <v>11</v>
      </c>
      <c r="E21392" s="17"/>
      <c r="F21392" s="18"/>
      <c r="G21392" s="36" t="str">
        <f>IF(ISNUMBER(F21392),C21392*F21392,"")</f>
        <v/>
      </c>
    </row>
    <row r="21393" spans="1:7" ht="12" customHeight="1" outlineLevel="3" x14ac:dyDescent="0.2">
      <c r="A21393" s="14" t="s">
        <v>42112</v>
      </c>
      <c r="B21393" s="15" t="s">
        <v>42113</v>
      </c>
      <c r="C21393" s="16">
        <f>95.58/(1+B2)</f>
        <v>95.58</v>
      </c>
      <c r="D21393" s="17" t="s">
        <v>11</v>
      </c>
      <c r="E21393" s="17" t="s">
        <v>14</v>
      </c>
      <c r="F21393" s="18"/>
      <c r="G21393" s="36" t="str">
        <f>IF(ISNUMBER(F21393),C21393*F21393,"")</f>
        <v/>
      </c>
    </row>
    <row r="21394" spans="1:7" ht="12" customHeight="1" outlineLevel="3" x14ac:dyDescent="0.2">
      <c r="A21394" s="14" t="s">
        <v>42114</v>
      </c>
      <c r="B21394" s="15" t="s">
        <v>42115</v>
      </c>
      <c r="C21394" s="16">
        <f>105.53/(1+B2)</f>
        <v>105.53</v>
      </c>
      <c r="D21394" s="17" t="s">
        <v>14</v>
      </c>
      <c r="E21394" s="17" t="s">
        <v>106</v>
      </c>
      <c r="F21394" s="18"/>
      <c r="G21394" s="36" t="str">
        <f>IF(ISNUMBER(F21394),C21394*F21394,"")</f>
        <v/>
      </c>
    </row>
    <row r="21395" spans="1:7" ht="12" customHeight="1" outlineLevel="3" x14ac:dyDescent="0.2">
      <c r="A21395" s="14" t="s">
        <v>42116</v>
      </c>
      <c r="B21395" s="15" t="s">
        <v>42117</v>
      </c>
      <c r="C21395" s="16">
        <f>99.6/(1+B2)</f>
        <v>99.6</v>
      </c>
      <c r="D21395" s="17" t="s">
        <v>11</v>
      </c>
      <c r="E21395" s="17"/>
      <c r="F21395" s="18"/>
      <c r="G21395" s="36" t="str">
        <f>IF(ISNUMBER(F21395),C21395*F21395,"")</f>
        <v/>
      </c>
    </row>
    <row r="21396" spans="1:7" ht="12" customHeight="1" outlineLevel="3" x14ac:dyDescent="0.2">
      <c r="A21396" s="14" t="s">
        <v>42118</v>
      </c>
      <c r="B21396" s="15" t="s">
        <v>42119</v>
      </c>
      <c r="C21396" s="16">
        <f>124.18/(1+B2)</f>
        <v>124.18</v>
      </c>
      <c r="D21396" s="17" t="s">
        <v>14</v>
      </c>
      <c r="E21396" s="17" t="s">
        <v>14</v>
      </c>
      <c r="F21396" s="18"/>
      <c r="G21396" s="36" t="str">
        <f>IF(ISNUMBER(F21396),C21396*F21396,"")</f>
        <v/>
      </c>
    </row>
    <row r="21397" spans="1:7" ht="12" customHeight="1" outlineLevel="3" x14ac:dyDescent="0.2">
      <c r="A21397" s="14" t="s">
        <v>42120</v>
      </c>
      <c r="B21397" s="15" t="s">
        <v>42121</v>
      </c>
      <c r="C21397" s="16">
        <f>119.59/(1+B2)</f>
        <v>119.59</v>
      </c>
      <c r="D21397" s="17" t="s">
        <v>14</v>
      </c>
      <c r="E21397" s="17" t="s">
        <v>14</v>
      </c>
      <c r="F21397" s="18"/>
      <c r="G21397" s="36" t="str">
        <f>IF(ISNUMBER(F21397),C21397*F21397,"")</f>
        <v/>
      </c>
    </row>
    <row r="21398" spans="1:7" ht="12" customHeight="1" outlineLevel="3" x14ac:dyDescent="0.2">
      <c r="A21398" s="14" t="s">
        <v>42122</v>
      </c>
      <c r="B21398" s="15" t="s">
        <v>42123</v>
      </c>
      <c r="C21398" s="16">
        <f>113.3/(1+B2)</f>
        <v>113.3</v>
      </c>
      <c r="D21398" s="17" t="s">
        <v>11</v>
      </c>
      <c r="E21398" s="17" t="s">
        <v>53</v>
      </c>
      <c r="F21398" s="18"/>
      <c r="G21398" s="36" t="str">
        <f>IF(ISNUMBER(F21398),C21398*F21398,"")</f>
        <v/>
      </c>
    </row>
    <row r="21399" spans="1:7" ht="12" customHeight="1" outlineLevel="3" x14ac:dyDescent="0.2">
      <c r="A21399" s="14" t="s">
        <v>42124</v>
      </c>
      <c r="B21399" s="15" t="s">
        <v>42125</v>
      </c>
      <c r="C21399" s="16">
        <f>121.38/(1+B2)</f>
        <v>121.38</v>
      </c>
      <c r="D21399" s="17" t="s">
        <v>14</v>
      </c>
      <c r="E21399" s="17"/>
      <c r="F21399" s="18"/>
      <c r="G21399" s="36" t="str">
        <f>IF(ISNUMBER(F21399),C21399*F21399,"")</f>
        <v/>
      </c>
    </row>
    <row r="21400" spans="1:7" ht="12" customHeight="1" outlineLevel="3" x14ac:dyDescent="0.2">
      <c r="A21400" s="14" t="s">
        <v>42126</v>
      </c>
      <c r="B21400" s="15" t="s">
        <v>42127</v>
      </c>
      <c r="C21400" s="16">
        <f>168.13/(1+B2)</f>
        <v>168.13</v>
      </c>
      <c r="D21400" s="17" t="s">
        <v>11</v>
      </c>
      <c r="E21400" s="17" t="s">
        <v>106</v>
      </c>
      <c r="F21400" s="18"/>
      <c r="G21400" s="36" t="str">
        <f>IF(ISNUMBER(F21400),C21400*F21400,"")</f>
        <v/>
      </c>
    </row>
    <row r="21401" spans="1:7" ht="12" customHeight="1" outlineLevel="3" x14ac:dyDescent="0.2">
      <c r="A21401" s="14" t="s">
        <v>42128</v>
      </c>
      <c r="B21401" s="15" t="s">
        <v>42129</v>
      </c>
      <c r="C21401" s="16">
        <f>320.33/(1+B2)</f>
        <v>320.33</v>
      </c>
      <c r="D21401" s="17" t="s">
        <v>11</v>
      </c>
      <c r="E21401" s="17"/>
      <c r="F21401" s="18"/>
      <c r="G21401" s="36" t="str">
        <f>IF(ISNUMBER(F21401),C21401*F21401,"")</f>
        <v/>
      </c>
    </row>
    <row r="21402" spans="1:7" ht="12" customHeight="1" outlineLevel="3" x14ac:dyDescent="0.2">
      <c r="A21402" s="14" t="s">
        <v>42130</v>
      </c>
      <c r="B21402" s="15" t="s">
        <v>42131</v>
      </c>
      <c r="C21402" s="16">
        <f>157.33/(1+B2)</f>
        <v>157.33000000000001</v>
      </c>
      <c r="D21402" s="17" t="s">
        <v>11</v>
      </c>
      <c r="E21402" s="17"/>
      <c r="F21402" s="18"/>
      <c r="G21402" s="36" t="str">
        <f>IF(ISNUMBER(F21402),C21402*F21402,"")</f>
        <v/>
      </c>
    </row>
    <row r="21403" spans="1:7" ht="12" customHeight="1" outlineLevel="3" x14ac:dyDescent="0.2">
      <c r="A21403" s="14" t="s">
        <v>42132</v>
      </c>
      <c r="B21403" s="15" t="s">
        <v>42133</v>
      </c>
      <c r="C21403" s="16">
        <f>302.93/(1+B2)</f>
        <v>302.93</v>
      </c>
      <c r="D21403" s="17" t="s">
        <v>11</v>
      </c>
      <c r="E21403" s="17"/>
      <c r="F21403" s="18"/>
      <c r="G21403" s="36" t="str">
        <f>IF(ISNUMBER(F21403),C21403*F21403,"")</f>
        <v/>
      </c>
    </row>
    <row r="21404" spans="1:7" ht="12" customHeight="1" outlineLevel="3" x14ac:dyDescent="0.2">
      <c r="A21404" s="14" t="s">
        <v>42134</v>
      </c>
      <c r="B21404" s="15" t="s">
        <v>42135</v>
      </c>
      <c r="C21404" s="16">
        <f>296.15/(1+B2)</f>
        <v>296.14999999999998</v>
      </c>
      <c r="D21404" s="17" t="s">
        <v>11</v>
      </c>
      <c r="E21404" s="17"/>
      <c r="F21404" s="18"/>
      <c r="G21404" s="36" t="str">
        <f>IF(ISNUMBER(F21404),C21404*F21404,"")</f>
        <v/>
      </c>
    </row>
    <row r="21405" spans="1:7" ht="12" customHeight="1" outlineLevel="3" x14ac:dyDescent="0.2">
      <c r="A21405" s="14" t="s">
        <v>42136</v>
      </c>
      <c r="B21405" s="15" t="s">
        <v>42137</v>
      </c>
      <c r="C21405" s="16">
        <f>153.98/(1+B2)</f>
        <v>153.97999999999999</v>
      </c>
      <c r="D21405" s="17" t="s">
        <v>11</v>
      </c>
      <c r="E21405" s="17"/>
      <c r="F21405" s="18"/>
      <c r="G21405" s="36" t="str">
        <f>IF(ISNUMBER(F21405),C21405*F21405,"")</f>
        <v/>
      </c>
    </row>
    <row r="21406" spans="1:7" ht="12" customHeight="1" outlineLevel="3" x14ac:dyDescent="0.2">
      <c r="A21406" s="14" t="s">
        <v>42138</v>
      </c>
      <c r="B21406" s="15" t="s">
        <v>42139</v>
      </c>
      <c r="C21406" s="16">
        <f>159.43/(1+B2)</f>
        <v>159.43</v>
      </c>
      <c r="D21406" s="17" t="s">
        <v>11</v>
      </c>
      <c r="E21406" s="17" t="s">
        <v>14</v>
      </c>
      <c r="F21406" s="18"/>
      <c r="G21406" s="36" t="str">
        <f>IF(ISNUMBER(F21406),C21406*F21406,"")</f>
        <v/>
      </c>
    </row>
    <row r="21407" spans="1:7" ht="12" customHeight="1" outlineLevel="3" x14ac:dyDescent="0.2">
      <c r="A21407" s="14" t="s">
        <v>42140</v>
      </c>
      <c r="B21407" s="15" t="s">
        <v>42141</v>
      </c>
      <c r="C21407" s="16">
        <f>151.11/(1+B2)</f>
        <v>151.11000000000001</v>
      </c>
      <c r="D21407" s="17" t="s">
        <v>11</v>
      </c>
      <c r="E21407" s="17"/>
      <c r="F21407" s="18"/>
      <c r="G21407" s="36" t="str">
        <f>IF(ISNUMBER(F21407),C21407*F21407,"")</f>
        <v/>
      </c>
    </row>
    <row r="21408" spans="1:7" ht="12" customHeight="1" outlineLevel="3" x14ac:dyDescent="0.2">
      <c r="A21408" s="14" t="s">
        <v>42142</v>
      </c>
      <c r="B21408" s="15" t="s">
        <v>42143</v>
      </c>
      <c r="C21408" s="16">
        <f>127.76/(1+B2)</f>
        <v>127.76</v>
      </c>
      <c r="D21408" s="17" t="s">
        <v>14</v>
      </c>
      <c r="E21408" s="17"/>
      <c r="F21408" s="18"/>
      <c r="G21408" s="36" t="str">
        <f>IF(ISNUMBER(F21408),C21408*F21408,"")</f>
        <v/>
      </c>
    </row>
    <row r="21409" spans="1:7" ht="12" customHeight="1" outlineLevel="3" x14ac:dyDescent="0.2">
      <c r="A21409" s="14" t="s">
        <v>42144</v>
      </c>
      <c r="B21409" s="15" t="s">
        <v>42145</v>
      </c>
      <c r="C21409" s="16">
        <f>175.32/(1+B2)</f>
        <v>175.32</v>
      </c>
      <c r="D21409" s="17" t="s">
        <v>53</v>
      </c>
      <c r="E21409" s="17" t="s">
        <v>106</v>
      </c>
      <c r="F21409" s="18"/>
      <c r="G21409" s="36" t="str">
        <f>IF(ISNUMBER(F21409),C21409*F21409,"")</f>
        <v/>
      </c>
    </row>
    <row r="21410" spans="1:7" ht="12" customHeight="1" outlineLevel="3" x14ac:dyDescent="0.2">
      <c r="A21410" s="14" t="s">
        <v>42146</v>
      </c>
      <c r="B21410" s="15" t="s">
        <v>42147</v>
      </c>
      <c r="C21410" s="16">
        <f>88.94/(1+B2)</f>
        <v>88.94</v>
      </c>
      <c r="D21410" s="17" t="s">
        <v>11</v>
      </c>
      <c r="E21410" s="17" t="s">
        <v>53</v>
      </c>
      <c r="F21410" s="18"/>
      <c r="G21410" s="36" t="str">
        <f>IF(ISNUMBER(F21410),C21410*F21410,"")</f>
        <v/>
      </c>
    </row>
    <row r="21411" spans="1:7" ht="12" customHeight="1" outlineLevel="3" x14ac:dyDescent="0.2">
      <c r="A21411" s="14" t="s">
        <v>42148</v>
      </c>
      <c r="B21411" s="15" t="s">
        <v>42149</v>
      </c>
      <c r="C21411" s="16">
        <f>126.59/(1+B2)</f>
        <v>126.59</v>
      </c>
      <c r="D21411" s="17"/>
      <c r="E21411" s="17" t="s">
        <v>11</v>
      </c>
      <c r="F21411" s="18"/>
      <c r="G21411" s="36" t="str">
        <f>IF(ISNUMBER(F21411),C21411*F21411,"")</f>
        <v/>
      </c>
    </row>
    <row r="21412" spans="1:7" ht="12" customHeight="1" outlineLevel="3" x14ac:dyDescent="0.2">
      <c r="A21412" s="14" t="s">
        <v>42150</v>
      </c>
      <c r="B21412" s="15" t="s">
        <v>42151</v>
      </c>
      <c r="C21412" s="16">
        <f>74.1/(1+B2)</f>
        <v>74.099999999999994</v>
      </c>
      <c r="D21412" s="17" t="s">
        <v>14</v>
      </c>
      <c r="E21412" s="17"/>
      <c r="F21412" s="18"/>
      <c r="G21412" s="36" t="str">
        <f>IF(ISNUMBER(F21412),C21412*F21412,"")</f>
        <v/>
      </c>
    </row>
    <row r="21413" spans="1:7" ht="12" customHeight="1" outlineLevel="3" x14ac:dyDescent="0.2">
      <c r="A21413" s="14" t="s">
        <v>42152</v>
      </c>
      <c r="B21413" s="15" t="s">
        <v>42153</v>
      </c>
      <c r="C21413" s="16">
        <f>273.85/(1+B2)</f>
        <v>273.85000000000002</v>
      </c>
      <c r="D21413" s="17" t="s">
        <v>11</v>
      </c>
      <c r="E21413" s="17"/>
      <c r="F21413" s="18"/>
      <c r="G21413" s="36" t="str">
        <f>IF(ISNUMBER(F21413),C21413*F21413,"")</f>
        <v/>
      </c>
    </row>
    <row r="21414" spans="1:7" ht="12" customHeight="1" outlineLevel="3" x14ac:dyDescent="0.2">
      <c r="A21414" s="14" t="s">
        <v>42154</v>
      </c>
      <c r="B21414" s="15" t="s">
        <v>42155</v>
      </c>
      <c r="C21414" s="16">
        <f>266.6/(1+B2)</f>
        <v>266.60000000000002</v>
      </c>
      <c r="D21414" s="17" t="s">
        <v>11</v>
      </c>
      <c r="E21414" s="17" t="s">
        <v>11</v>
      </c>
      <c r="F21414" s="18"/>
      <c r="G21414" s="36" t="str">
        <f>IF(ISNUMBER(F21414),C21414*F21414,"")</f>
        <v/>
      </c>
    </row>
    <row r="21415" spans="1:7" ht="12" customHeight="1" outlineLevel="3" x14ac:dyDescent="0.2">
      <c r="A21415" s="14" t="s">
        <v>42156</v>
      </c>
      <c r="B21415" s="15" t="s">
        <v>42157</v>
      </c>
      <c r="C21415" s="16">
        <f>272.3/(1+B2)</f>
        <v>272.3</v>
      </c>
      <c r="D21415" s="17" t="s">
        <v>11</v>
      </c>
      <c r="E21415" s="17" t="s">
        <v>11</v>
      </c>
      <c r="F21415" s="18"/>
      <c r="G21415" s="36" t="str">
        <f>IF(ISNUMBER(F21415),C21415*F21415,"")</f>
        <v/>
      </c>
    </row>
    <row r="21416" spans="1:7" ht="12" customHeight="1" outlineLevel="3" x14ac:dyDescent="0.2">
      <c r="A21416" s="14" t="s">
        <v>42158</v>
      </c>
      <c r="B21416" s="15" t="s">
        <v>42159</v>
      </c>
      <c r="C21416" s="16">
        <f>122.25/(1+B2)</f>
        <v>122.25</v>
      </c>
      <c r="D21416" s="17" t="s">
        <v>14</v>
      </c>
      <c r="E21416" s="17"/>
      <c r="F21416" s="18"/>
      <c r="G21416" s="36" t="str">
        <f>IF(ISNUMBER(F21416),C21416*F21416,"")</f>
        <v/>
      </c>
    </row>
    <row r="21417" spans="1:7" ht="12" customHeight="1" outlineLevel="3" x14ac:dyDescent="0.2">
      <c r="A21417" s="14" t="s">
        <v>42160</v>
      </c>
      <c r="B21417" s="15" t="s">
        <v>42161</v>
      </c>
      <c r="C21417" s="16">
        <f>141.49/(1+B2)</f>
        <v>141.49</v>
      </c>
      <c r="D21417" s="17" t="s">
        <v>11</v>
      </c>
      <c r="E21417" s="17" t="s">
        <v>11</v>
      </c>
      <c r="F21417" s="18"/>
      <c r="G21417" s="36" t="str">
        <f>IF(ISNUMBER(F21417),C21417*F21417,"")</f>
        <v/>
      </c>
    </row>
    <row r="21418" spans="1:7" ht="12" customHeight="1" outlineLevel="3" x14ac:dyDescent="0.2">
      <c r="A21418" s="14" t="s">
        <v>42162</v>
      </c>
      <c r="B21418" s="15" t="s">
        <v>42163</v>
      </c>
      <c r="C21418" s="16">
        <f>209.04/(1+B2)</f>
        <v>209.04</v>
      </c>
      <c r="D21418" s="17" t="s">
        <v>11</v>
      </c>
      <c r="E21418" s="17"/>
      <c r="F21418" s="18"/>
      <c r="G21418" s="36" t="str">
        <f>IF(ISNUMBER(F21418),C21418*F21418,"")</f>
        <v/>
      </c>
    </row>
    <row r="21419" spans="1:7" ht="12" customHeight="1" outlineLevel="3" x14ac:dyDescent="0.2">
      <c r="A21419" s="14" t="s">
        <v>42164</v>
      </c>
      <c r="B21419" s="15" t="s">
        <v>42165</v>
      </c>
      <c r="C21419" s="16">
        <f>299.79/(1+B2)</f>
        <v>299.79000000000002</v>
      </c>
      <c r="D21419" s="17" t="s">
        <v>11</v>
      </c>
      <c r="E21419" s="17"/>
      <c r="F21419" s="18"/>
      <c r="G21419" s="36" t="str">
        <f>IF(ISNUMBER(F21419),C21419*F21419,"")</f>
        <v/>
      </c>
    </row>
    <row r="21420" spans="1:7" ht="12" customHeight="1" outlineLevel="3" x14ac:dyDescent="0.2">
      <c r="A21420" s="14" t="s">
        <v>42166</v>
      </c>
      <c r="B21420" s="15" t="s">
        <v>42167</v>
      </c>
      <c r="C21420" s="16">
        <f>129.58/(1+B2)</f>
        <v>129.58000000000001</v>
      </c>
      <c r="D21420" s="17" t="s">
        <v>11</v>
      </c>
      <c r="E21420" s="17"/>
      <c r="F21420" s="18"/>
      <c r="G21420" s="36" t="str">
        <f>IF(ISNUMBER(F21420),C21420*F21420,"")</f>
        <v/>
      </c>
    </row>
    <row r="21421" spans="1:7" ht="12" customHeight="1" outlineLevel="3" x14ac:dyDescent="0.2">
      <c r="A21421" s="14" t="s">
        <v>42168</v>
      </c>
      <c r="B21421" s="15" t="s">
        <v>42169</v>
      </c>
      <c r="C21421" s="16">
        <f>311.64/(1+B2)</f>
        <v>311.64</v>
      </c>
      <c r="D21421" s="17" t="s">
        <v>11</v>
      </c>
      <c r="E21421" s="17"/>
      <c r="F21421" s="18"/>
      <c r="G21421" s="36" t="str">
        <f>IF(ISNUMBER(F21421),C21421*F21421,"")</f>
        <v/>
      </c>
    </row>
    <row r="21422" spans="1:7" ht="12" customHeight="1" outlineLevel="3" x14ac:dyDescent="0.2">
      <c r="A21422" s="14" t="s">
        <v>42170</v>
      </c>
      <c r="B21422" s="15" t="s">
        <v>42171</v>
      </c>
      <c r="C21422" s="16">
        <f>386.78/(1+B2)</f>
        <v>386.78</v>
      </c>
      <c r="D21422" s="17" t="s">
        <v>11</v>
      </c>
      <c r="E21422" s="17"/>
      <c r="F21422" s="18"/>
      <c r="G21422" s="36" t="str">
        <f>IF(ISNUMBER(F21422),C21422*F21422,"")</f>
        <v/>
      </c>
    </row>
    <row r="21423" spans="1:7" ht="12" customHeight="1" outlineLevel="3" x14ac:dyDescent="0.2">
      <c r="A21423" s="14" t="s">
        <v>42172</v>
      </c>
      <c r="B21423" s="15" t="s">
        <v>42173</v>
      </c>
      <c r="C21423" s="16">
        <f>262.28/(1+B2)</f>
        <v>262.27999999999997</v>
      </c>
      <c r="D21423" s="17" t="s">
        <v>11</v>
      </c>
      <c r="E21423" s="17"/>
      <c r="F21423" s="18"/>
      <c r="G21423" s="36" t="str">
        <f>IF(ISNUMBER(F21423),C21423*F21423,"")</f>
        <v/>
      </c>
    </row>
    <row r="21424" spans="1:7" ht="12" customHeight="1" outlineLevel="3" x14ac:dyDescent="0.2">
      <c r="A21424" s="14" t="s">
        <v>42174</v>
      </c>
      <c r="B21424" s="15" t="s">
        <v>42175</v>
      </c>
      <c r="C21424" s="16">
        <f>112.36/(1+B2)</f>
        <v>112.36</v>
      </c>
      <c r="D21424" s="17" t="s">
        <v>11</v>
      </c>
      <c r="E21424" s="17" t="s">
        <v>11</v>
      </c>
      <c r="F21424" s="18"/>
      <c r="G21424" s="36" t="str">
        <f>IF(ISNUMBER(F21424),C21424*F21424,"")</f>
        <v/>
      </c>
    </row>
    <row r="21425" spans="1:7" ht="12" customHeight="1" outlineLevel="3" x14ac:dyDescent="0.2">
      <c r="A21425" s="14" t="s">
        <v>42176</v>
      </c>
      <c r="B21425" s="15" t="s">
        <v>42177</v>
      </c>
      <c r="C21425" s="16">
        <f>45.81/(1+B2)</f>
        <v>45.81</v>
      </c>
      <c r="D21425" s="17" t="s">
        <v>14</v>
      </c>
      <c r="E21425" s="17" t="s">
        <v>53</v>
      </c>
      <c r="F21425" s="18"/>
      <c r="G21425" s="36" t="str">
        <f>IF(ISNUMBER(F21425),C21425*F21425,"")</f>
        <v/>
      </c>
    </row>
    <row r="21426" spans="1:7" ht="12" customHeight="1" outlineLevel="3" x14ac:dyDescent="0.2">
      <c r="A21426" s="14" t="s">
        <v>42178</v>
      </c>
      <c r="B21426" s="15" t="s">
        <v>42179</v>
      </c>
      <c r="C21426" s="16">
        <f>25.11/(1+B2)</f>
        <v>25.11</v>
      </c>
      <c r="D21426" s="17"/>
      <c r="E21426" s="17" t="s">
        <v>11</v>
      </c>
      <c r="F21426" s="18"/>
      <c r="G21426" s="36" t="str">
        <f>IF(ISNUMBER(F21426),C21426*F21426,"")</f>
        <v/>
      </c>
    </row>
    <row r="21427" spans="1:7" ht="12" customHeight="1" outlineLevel="3" x14ac:dyDescent="0.2">
      <c r="A21427" s="14" t="s">
        <v>42180</v>
      </c>
      <c r="B21427" s="15" t="s">
        <v>42181</v>
      </c>
      <c r="C21427" s="16">
        <f>241.94/(1+B2)</f>
        <v>241.94</v>
      </c>
      <c r="D21427" s="17" t="s">
        <v>11</v>
      </c>
      <c r="E21427" s="17"/>
      <c r="F21427" s="18"/>
      <c r="G21427" s="36" t="str">
        <f>IF(ISNUMBER(F21427),C21427*F21427,"")</f>
        <v/>
      </c>
    </row>
    <row r="21428" spans="1:7" ht="12" customHeight="1" outlineLevel="3" x14ac:dyDescent="0.2">
      <c r="A21428" s="14" t="s">
        <v>42182</v>
      </c>
      <c r="B21428" s="15" t="s">
        <v>42183</v>
      </c>
      <c r="C21428" s="16">
        <f>137.49/(1+B2)</f>
        <v>137.49</v>
      </c>
      <c r="D21428" s="17"/>
      <c r="E21428" s="17" t="s">
        <v>11</v>
      </c>
      <c r="F21428" s="18"/>
      <c r="G21428" s="36" t="str">
        <f>IF(ISNUMBER(F21428),C21428*F21428,"")</f>
        <v/>
      </c>
    </row>
    <row r="21429" spans="1:7" ht="12" customHeight="1" outlineLevel="3" x14ac:dyDescent="0.2">
      <c r="A21429" s="14" t="s">
        <v>42184</v>
      </c>
      <c r="B21429" s="15" t="s">
        <v>42185</v>
      </c>
      <c r="C21429" s="16">
        <f>341.61/(1+B2)</f>
        <v>341.61</v>
      </c>
      <c r="D21429" s="17" t="s">
        <v>11</v>
      </c>
      <c r="E21429" s="17"/>
      <c r="F21429" s="18"/>
      <c r="G21429" s="36" t="str">
        <f>IF(ISNUMBER(F21429),C21429*F21429,"")</f>
        <v/>
      </c>
    </row>
    <row r="21430" spans="1:7" ht="12" customHeight="1" outlineLevel="3" x14ac:dyDescent="0.2">
      <c r="A21430" s="14" t="s">
        <v>42186</v>
      </c>
      <c r="B21430" s="15" t="s">
        <v>42187</v>
      </c>
      <c r="C21430" s="16">
        <f>240.02/(1+B2)</f>
        <v>240.02</v>
      </c>
      <c r="D21430" s="17" t="s">
        <v>14</v>
      </c>
      <c r="E21430" s="17" t="s">
        <v>106</v>
      </c>
      <c r="F21430" s="18"/>
      <c r="G21430" s="36" t="str">
        <f>IF(ISNUMBER(F21430),C21430*F21430,"")</f>
        <v/>
      </c>
    </row>
    <row r="21431" spans="1:7" ht="12" customHeight="1" outlineLevel="3" x14ac:dyDescent="0.2">
      <c r="A21431" s="14" t="s">
        <v>42188</v>
      </c>
      <c r="B21431" s="15" t="s">
        <v>42189</v>
      </c>
      <c r="C21431" s="16">
        <f>78.48/(1+B2)</f>
        <v>78.48</v>
      </c>
      <c r="D21431" s="17" t="s">
        <v>11</v>
      </c>
      <c r="E21431" s="17" t="s">
        <v>11</v>
      </c>
      <c r="F21431" s="18"/>
      <c r="G21431" s="36" t="str">
        <f>IF(ISNUMBER(F21431),C21431*F21431,"")</f>
        <v/>
      </c>
    </row>
    <row r="21432" spans="1:7" s="1" customFormat="1" ht="12.95" customHeight="1" outlineLevel="2" x14ac:dyDescent="0.2">
      <c r="A21432" s="20"/>
      <c r="B21432" s="21" t="s">
        <v>42190</v>
      </c>
      <c r="C21432" s="22"/>
      <c r="D21432" s="22"/>
      <c r="E21432" s="22"/>
      <c r="F21432" s="22"/>
      <c r="G21432" s="37"/>
    </row>
    <row r="21433" spans="1:7" ht="12" customHeight="1" outlineLevel="3" x14ac:dyDescent="0.2">
      <c r="A21433" s="14" t="s">
        <v>42191</v>
      </c>
      <c r="B21433" s="15" t="s">
        <v>42192</v>
      </c>
      <c r="C21433" s="16">
        <f>174.26/(1+B2)</f>
        <v>174.26</v>
      </c>
      <c r="D21433" s="17" t="s">
        <v>11</v>
      </c>
      <c r="E21433" s="17"/>
      <c r="F21433" s="18"/>
      <c r="G21433" s="36" t="str">
        <f>IF(ISNUMBER(F21433),C21433*F21433,"")</f>
        <v/>
      </c>
    </row>
    <row r="21434" spans="1:7" ht="12" customHeight="1" outlineLevel="3" x14ac:dyDescent="0.2">
      <c r="A21434" s="14" t="s">
        <v>42193</v>
      </c>
      <c r="B21434" s="15" t="s">
        <v>42194</v>
      </c>
      <c r="C21434" s="16">
        <f>48.79/(1+B2)</f>
        <v>48.79</v>
      </c>
      <c r="D21434" s="17" t="s">
        <v>11</v>
      </c>
      <c r="E21434" s="17" t="s">
        <v>14</v>
      </c>
      <c r="F21434" s="18"/>
      <c r="G21434" s="36" t="str">
        <f>IF(ISNUMBER(F21434),C21434*F21434,"")</f>
        <v/>
      </c>
    </row>
    <row r="21435" spans="1:7" ht="12" customHeight="1" outlineLevel="3" x14ac:dyDescent="0.2">
      <c r="A21435" s="14" t="s">
        <v>42195</v>
      </c>
      <c r="B21435" s="15" t="s">
        <v>42196</v>
      </c>
      <c r="C21435" s="16">
        <f>46.24/(1+B2)</f>
        <v>46.24</v>
      </c>
      <c r="D21435" s="17" t="s">
        <v>14</v>
      </c>
      <c r="E21435" s="17" t="s">
        <v>53</v>
      </c>
      <c r="F21435" s="18"/>
      <c r="G21435" s="36" t="str">
        <f>IF(ISNUMBER(F21435),C21435*F21435,"")</f>
        <v/>
      </c>
    </row>
    <row r="21436" spans="1:7" ht="12" customHeight="1" outlineLevel="3" x14ac:dyDescent="0.2">
      <c r="A21436" s="14" t="s">
        <v>42197</v>
      </c>
      <c r="B21436" s="15" t="s">
        <v>42198</v>
      </c>
      <c r="C21436" s="16">
        <f>42.26/(1+B2)</f>
        <v>42.26</v>
      </c>
      <c r="D21436" s="17" t="s">
        <v>11</v>
      </c>
      <c r="E21436" s="17" t="s">
        <v>14</v>
      </c>
      <c r="F21436" s="18"/>
      <c r="G21436" s="36" t="str">
        <f>IF(ISNUMBER(F21436),C21436*F21436,"")</f>
        <v/>
      </c>
    </row>
    <row r="21437" spans="1:7" ht="12" customHeight="1" outlineLevel="3" x14ac:dyDescent="0.2">
      <c r="A21437" s="14" t="s">
        <v>42199</v>
      </c>
      <c r="B21437" s="15" t="s">
        <v>42200</v>
      </c>
      <c r="C21437" s="16">
        <f>51.93/(1+B2)</f>
        <v>51.93</v>
      </c>
      <c r="D21437" s="17" t="s">
        <v>14</v>
      </c>
      <c r="E21437" s="17" t="s">
        <v>53</v>
      </c>
      <c r="F21437" s="18"/>
      <c r="G21437" s="36" t="str">
        <f>IF(ISNUMBER(F21437),C21437*F21437,"")</f>
        <v/>
      </c>
    </row>
    <row r="21438" spans="1:7" ht="12" customHeight="1" outlineLevel="3" x14ac:dyDescent="0.2">
      <c r="A21438" s="14" t="s">
        <v>42201</v>
      </c>
      <c r="B21438" s="15" t="s">
        <v>42202</v>
      </c>
      <c r="C21438" s="16">
        <f>49.28/(1+B2)</f>
        <v>49.28</v>
      </c>
      <c r="D21438" s="17" t="s">
        <v>11</v>
      </c>
      <c r="E21438" s="17" t="s">
        <v>53</v>
      </c>
      <c r="F21438" s="18"/>
      <c r="G21438" s="36" t="str">
        <f>IF(ISNUMBER(F21438),C21438*F21438,"")</f>
        <v/>
      </c>
    </row>
    <row r="21439" spans="1:7" ht="12" customHeight="1" outlineLevel="3" x14ac:dyDescent="0.2">
      <c r="A21439" s="14" t="s">
        <v>42203</v>
      </c>
      <c r="B21439" s="15" t="s">
        <v>42204</v>
      </c>
      <c r="C21439" s="16">
        <f>59.31/(1+B2)</f>
        <v>59.31</v>
      </c>
      <c r="D21439" s="17" t="s">
        <v>11</v>
      </c>
      <c r="E21439" s="17" t="s">
        <v>53</v>
      </c>
      <c r="F21439" s="18"/>
      <c r="G21439" s="36" t="str">
        <f>IF(ISNUMBER(F21439),C21439*F21439,"")</f>
        <v/>
      </c>
    </row>
    <row r="21440" spans="1:7" ht="12" customHeight="1" outlineLevel="3" x14ac:dyDescent="0.2">
      <c r="A21440" s="14" t="s">
        <v>42205</v>
      </c>
      <c r="B21440" s="15" t="s">
        <v>42206</v>
      </c>
      <c r="C21440" s="16">
        <f>55.11/(1+B2)</f>
        <v>55.11</v>
      </c>
      <c r="D21440" s="17" t="s">
        <v>11</v>
      </c>
      <c r="E21440" s="17" t="s">
        <v>53</v>
      </c>
      <c r="F21440" s="18"/>
      <c r="G21440" s="36" t="str">
        <f>IF(ISNUMBER(F21440),C21440*F21440,"")</f>
        <v/>
      </c>
    </row>
    <row r="21441" spans="1:7" ht="12" customHeight="1" outlineLevel="3" x14ac:dyDescent="0.2">
      <c r="A21441" s="14" t="s">
        <v>42207</v>
      </c>
      <c r="B21441" s="15" t="s">
        <v>42208</v>
      </c>
      <c r="C21441" s="16">
        <f>57.84/(1+B2)</f>
        <v>57.84</v>
      </c>
      <c r="D21441" s="17" t="s">
        <v>11</v>
      </c>
      <c r="E21441" s="17" t="s">
        <v>53</v>
      </c>
      <c r="F21441" s="18"/>
      <c r="G21441" s="36" t="str">
        <f>IF(ISNUMBER(F21441),C21441*F21441,"")</f>
        <v/>
      </c>
    </row>
    <row r="21442" spans="1:7" ht="12" customHeight="1" outlineLevel="3" x14ac:dyDescent="0.2">
      <c r="A21442" s="14" t="s">
        <v>42209</v>
      </c>
      <c r="B21442" s="15" t="s">
        <v>42210</v>
      </c>
      <c r="C21442" s="16">
        <f>61.55/(1+B2)</f>
        <v>61.55</v>
      </c>
      <c r="D21442" s="17" t="s">
        <v>11</v>
      </c>
      <c r="E21442" s="17" t="s">
        <v>53</v>
      </c>
      <c r="F21442" s="18"/>
      <c r="G21442" s="36" t="str">
        <f>IF(ISNUMBER(F21442),C21442*F21442,"")</f>
        <v/>
      </c>
    </row>
    <row r="21443" spans="1:7" ht="12" customHeight="1" outlineLevel="3" x14ac:dyDescent="0.2">
      <c r="A21443" s="14" t="s">
        <v>42211</v>
      </c>
      <c r="B21443" s="15" t="s">
        <v>42212</v>
      </c>
      <c r="C21443" s="16">
        <f>55.91/(1+B2)</f>
        <v>55.91</v>
      </c>
      <c r="D21443" s="17" t="s">
        <v>11</v>
      </c>
      <c r="E21443" s="17" t="s">
        <v>106</v>
      </c>
      <c r="F21443" s="18"/>
      <c r="G21443" s="36" t="str">
        <f>IF(ISNUMBER(F21443),C21443*F21443,"")</f>
        <v/>
      </c>
    </row>
    <row r="21444" spans="1:7" ht="12" customHeight="1" outlineLevel="3" x14ac:dyDescent="0.2">
      <c r="A21444" s="14" t="s">
        <v>42213</v>
      </c>
      <c r="B21444" s="15" t="s">
        <v>42214</v>
      </c>
      <c r="C21444" s="16">
        <f>72.68/(1+B2)</f>
        <v>72.680000000000007</v>
      </c>
      <c r="D21444" s="17"/>
      <c r="E21444" s="17" t="s">
        <v>53</v>
      </c>
      <c r="F21444" s="18"/>
      <c r="G21444" s="36" t="str">
        <f>IF(ISNUMBER(F21444),C21444*F21444,"")</f>
        <v/>
      </c>
    </row>
    <row r="21445" spans="1:7" ht="12" customHeight="1" outlineLevel="3" x14ac:dyDescent="0.2">
      <c r="A21445" s="14" t="s">
        <v>42215</v>
      </c>
      <c r="B21445" s="15" t="s">
        <v>42216</v>
      </c>
      <c r="C21445" s="16">
        <f>75.16/(1+B2)</f>
        <v>75.16</v>
      </c>
      <c r="D21445" s="17" t="s">
        <v>11</v>
      </c>
      <c r="E21445" s="17" t="s">
        <v>53</v>
      </c>
      <c r="F21445" s="18"/>
      <c r="G21445" s="36" t="str">
        <f>IF(ISNUMBER(F21445),C21445*F21445,"")</f>
        <v/>
      </c>
    </row>
    <row r="21446" spans="1:7" ht="12" customHeight="1" outlineLevel="3" x14ac:dyDescent="0.2">
      <c r="A21446" s="14" t="s">
        <v>42217</v>
      </c>
      <c r="B21446" s="15" t="s">
        <v>42218</v>
      </c>
      <c r="C21446" s="16">
        <f>146.03/(1+B2)</f>
        <v>146.03</v>
      </c>
      <c r="D21446" s="17" t="s">
        <v>53</v>
      </c>
      <c r="E21446" s="17"/>
      <c r="F21446" s="18"/>
      <c r="G21446" s="36" t="str">
        <f>IF(ISNUMBER(F21446),C21446*F21446,"")</f>
        <v/>
      </c>
    </row>
    <row r="21447" spans="1:7" ht="12" customHeight="1" outlineLevel="3" x14ac:dyDescent="0.2">
      <c r="A21447" s="14" t="s">
        <v>42219</v>
      </c>
      <c r="B21447" s="15" t="s">
        <v>42220</v>
      </c>
      <c r="C21447" s="16">
        <f>101.01/(1+B2)</f>
        <v>101.01</v>
      </c>
      <c r="D21447" s="17" t="s">
        <v>11</v>
      </c>
      <c r="E21447" s="17" t="s">
        <v>53</v>
      </c>
      <c r="F21447" s="18"/>
      <c r="G21447" s="36" t="str">
        <f>IF(ISNUMBER(F21447),C21447*F21447,"")</f>
        <v/>
      </c>
    </row>
    <row r="21448" spans="1:7" ht="12" customHeight="1" outlineLevel="3" x14ac:dyDescent="0.2">
      <c r="A21448" s="14" t="s">
        <v>42221</v>
      </c>
      <c r="B21448" s="15" t="s">
        <v>42222</v>
      </c>
      <c r="C21448" s="16">
        <f>98.51/(1+B2)</f>
        <v>98.51</v>
      </c>
      <c r="D21448" s="17" t="s">
        <v>14</v>
      </c>
      <c r="E21448" s="17" t="s">
        <v>106</v>
      </c>
      <c r="F21448" s="18"/>
      <c r="G21448" s="36" t="str">
        <f>IF(ISNUMBER(F21448),C21448*F21448,"")</f>
        <v/>
      </c>
    </row>
    <row r="21449" spans="1:7" ht="12" customHeight="1" outlineLevel="3" x14ac:dyDescent="0.2">
      <c r="A21449" s="14" t="s">
        <v>42223</v>
      </c>
      <c r="B21449" s="15" t="s">
        <v>42224</v>
      </c>
      <c r="C21449" s="16">
        <f>40.66/(1+B2)</f>
        <v>40.659999999999997</v>
      </c>
      <c r="D21449" s="17" t="s">
        <v>11</v>
      </c>
      <c r="E21449" s="17" t="s">
        <v>53</v>
      </c>
      <c r="F21449" s="18"/>
      <c r="G21449" s="36" t="str">
        <f>IF(ISNUMBER(F21449),C21449*F21449,"")</f>
        <v/>
      </c>
    </row>
    <row r="21450" spans="1:7" ht="12" customHeight="1" outlineLevel="3" x14ac:dyDescent="0.2">
      <c r="A21450" s="14" t="s">
        <v>42225</v>
      </c>
      <c r="B21450" s="15" t="s">
        <v>42226</v>
      </c>
      <c r="C21450" s="16">
        <f>48.73/(1+B2)</f>
        <v>48.73</v>
      </c>
      <c r="D21450" s="17" t="s">
        <v>11</v>
      </c>
      <c r="E21450" s="17" t="s">
        <v>53</v>
      </c>
      <c r="F21450" s="18"/>
      <c r="G21450" s="36" t="str">
        <f>IF(ISNUMBER(F21450),C21450*F21450,"")</f>
        <v/>
      </c>
    </row>
    <row r="21451" spans="1:7" ht="12" customHeight="1" outlineLevel="3" x14ac:dyDescent="0.2">
      <c r="A21451" s="14" t="s">
        <v>42227</v>
      </c>
      <c r="B21451" s="15" t="s">
        <v>42228</v>
      </c>
      <c r="C21451" s="16">
        <f>43.18/(1+B2)</f>
        <v>43.18</v>
      </c>
      <c r="D21451" s="17" t="s">
        <v>11</v>
      </c>
      <c r="E21451" s="17" t="s">
        <v>53</v>
      </c>
      <c r="F21451" s="18"/>
      <c r="G21451" s="36" t="str">
        <f>IF(ISNUMBER(F21451),C21451*F21451,"")</f>
        <v/>
      </c>
    </row>
    <row r="21452" spans="1:7" ht="12" customHeight="1" outlineLevel="3" x14ac:dyDescent="0.2">
      <c r="A21452" s="14" t="s">
        <v>42229</v>
      </c>
      <c r="B21452" s="15" t="s">
        <v>42230</v>
      </c>
      <c r="C21452" s="16">
        <f>56.63/(1+B2)</f>
        <v>56.63</v>
      </c>
      <c r="D21452" s="17" t="s">
        <v>11</v>
      </c>
      <c r="E21452" s="17" t="s">
        <v>53</v>
      </c>
      <c r="F21452" s="18"/>
      <c r="G21452" s="36" t="str">
        <f>IF(ISNUMBER(F21452),C21452*F21452,"")</f>
        <v/>
      </c>
    </row>
    <row r="21453" spans="1:7" ht="12" customHeight="1" outlineLevel="3" x14ac:dyDescent="0.2">
      <c r="A21453" s="14" t="s">
        <v>42231</v>
      </c>
      <c r="B21453" s="15" t="s">
        <v>42232</v>
      </c>
      <c r="C21453" s="16">
        <f>57.45/(1+B2)</f>
        <v>57.45</v>
      </c>
      <c r="D21453" s="17" t="s">
        <v>11</v>
      </c>
      <c r="E21453" s="17" t="s">
        <v>53</v>
      </c>
      <c r="F21453" s="18"/>
      <c r="G21453" s="36" t="str">
        <f>IF(ISNUMBER(F21453),C21453*F21453,"")</f>
        <v/>
      </c>
    </row>
    <row r="21454" spans="1:7" ht="12" customHeight="1" outlineLevel="3" x14ac:dyDescent="0.2">
      <c r="A21454" s="14" t="s">
        <v>42233</v>
      </c>
      <c r="B21454" s="15" t="s">
        <v>42234</v>
      </c>
      <c r="C21454" s="16">
        <f>68.24/(1+B2)</f>
        <v>68.239999999999995</v>
      </c>
      <c r="D21454" s="17" t="s">
        <v>11</v>
      </c>
      <c r="E21454" s="17" t="s">
        <v>53</v>
      </c>
      <c r="F21454" s="18"/>
      <c r="G21454" s="36" t="str">
        <f>IF(ISNUMBER(F21454),C21454*F21454,"")</f>
        <v/>
      </c>
    </row>
    <row r="21455" spans="1:7" ht="12" customHeight="1" outlineLevel="3" x14ac:dyDescent="0.2">
      <c r="A21455" s="14" t="s">
        <v>42235</v>
      </c>
      <c r="B21455" s="15" t="s">
        <v>42236</v>
      </c>
      <c r="C21455" s="16">
        <f>42.26/(1+B2)</f>
        <v>42.26</v>
      </c>
      <c r="D21455" s="17" t="s">
        <v>11</v>
      </c>
      <c r="E21455" s="17" t="s">
        <v>53</v>
      </c>
      <c r="F21455" s="18"/>
      <c r="G21455" s="36" t="str">
        <f>IF(ISNUMBER(F21455),C21455*F21455,"")</f>
        <v/>
      </c>
    </row>
    <row r="21456" spans="1:7" ht="12" customHeight="1" outlineLevel="3" x14ac:dyDescent="0.2">
      <c r="A21456" s="14" t="s">
        <v>42237</v>
      </c>
      <c r="B21456" s="15" t="s">
        <v>42238</v>
      </c>
      <c r="C21456" s="16">
        <f>43.86/(1+B2)</f>
        <v>43.86</v>
      </c>
      <c r="D21456" s="17" t="s">
        <v>11</v>
      </c>
      <c r="E21456" s="17" t="s">
        <v>53</v>
      </c>
      <c r="F21456" s="18"/>
      <c r="G21456" s="36" t="str">
        <f>IF(ISNUMBER(F21456),C21456*F21456,"")</f>
        <v/>
      </c>
    </row>
    <row r="21457" spans="1:7" ht="12" customHeight="1" outlineLevel="3" x14ac:dyDescent="0.2">
      <c r="A21457" s="14" t="s">
        <v>42239</v>
      </c>
      <c r="B21457" s="15" t="s">
        <v>42240</v>
      </c>
      <c r="C21457" s="16">
        <f>46.86/(1+B2)</f>
        <v>46.86</v>
      </c>
      <c r="D21457" s="17" t="s">
        <v>11</v>
      </c>
      <c r="E21457" s="17" t="s">
        <v>53</v>
      </c>
      <c r="F21457" s="18"/>
      <c r="G21457" s="36" t="str">
        <f>IF(ISNUMBER(F21457),C21457*F21457,"")</f>
        <v/>
      </c>
    </row>
    <row r="21458" spans="1:7" ht="12" customHeight="1" outlineLevel="3" x14ac:dyDescent="0.2">
      <c r="A21458" s="14" t="s">
        <v>42241</v>
      </c>
      <c r="B21458" s="15" t="s">
        <v>42242</v>
      </c>
      <c r="C21458" s="16">
        <f>52.6/(1+B2)</f>
        <v>52.6</v>
      </c>
      <c r="D21458" s="17" t="s">
        <v>11</v>
      </c>
      <c r="E21458" s="17" t="s">
        <v>106</v>
      </c>
      <c r="F21458" s="18"/>
      <c r="G21458" s="36" t="str">
        <f>IF(ISNUMBER(F21458),C21458*F21458,"")</f>
        <v/>
      </c>
    </row>
    <row r="21459" spans="1:7" ht="12" customHeight="1" outlineLevel="3" x14ac:dyDescent="0.2">
      <c r="A21459" s="14" t="s">
        <v>42243</v>
      </c>
      <c r="B21459" s="15" t="s">
        <v>42244</v>
      </c>
      <c r="C21459" s="16">
        <f>53.05/(1+B2)</f>
        <v>53.05</v>
      </c>
      <c r="D21459" s="17" t="s">
        <v>11</v>
      </c>
      <c r="E21459" s="17" t="s">
        <v>53</v>
      </c>
      <c r="F21459" s="18"/>
      <c r="G21459" s="36" t="str">
        <f>IF(ISNUMBER(F21459),C21459*F21459,"")</f>
        <v/>
      </c>
    </row>
    <row r="21460" spans="1:7" ht="12" customHeight="1" outlineLevel="3" x14ac:dyDescent="0.2">
      <c r="A21460" s="14" t="s">
        <v>42245</v>
      </c>
      <c r="B21460" s="15" t="s">
        <v>42246</v>
      </c>
      <c r="C21460" s="16">
        <f>74.08/(1+B2)</f>
        <v>74.08</v>
      </c>
      <c r="D21460" s="17" t="s">
        <v>11</v>
      </c>
      <c r="E21460" s="17" t="s">
        <v>53</v>
      </c>
      <c r="F21460" s="18"/>
      <c r="G21460" s="36" t="str">
        <f>IF(ISNUMBER(F21460),C21460*F21460,"")</f>
        <v/>
      </c>
    </row>
    <row r="21461" spans="1:7" ht="12" customHeight="1" outlineLevel="3" x14ac:dyDescent="0.2">
      <c r="A21461" s="14" t="s">
        <v>42247</v>
      </c>
      <c r="B21461" s="15" t="s">
        <v>42248</v>
      </c>
      <c r="C21461" s="16">
        <f>209.67/(1+B2)</f>
        <v>209.67</v>
      </c>
      <c r="D21461" s="17" t="s">
        <v>14</v>
      </c>
      <c r="E21461" s="17"/>
      <c r="F21461" s="18"/>
      <c r="G21461" s="36" t="str">
        <f>IF(ISNUMBER(F21461),C21461*F21461,"")</f>
        <v/>
      </c>
    </row>
    <row r="21462" spans="1:7" ht="12" customHeight="1" outlineLevel="3" x14ac:dyDescent="0.2">
      <c r="A21462" s="14" t="s">
        <v>42249</v>
      </c>
      <c r="B21462" s="15" t="s">
        <v>42250</v>
      </c>
      <c r="C21462" s="16">
        <f>214.88/(1+B2)</f>
        <v>214.88</v>
      </c>
      <c r="D21462" s="17" t="s">
        <v>14</v>
      </c>
      <c r="E21462" s="17"/>
      <c r="F21462" s="18"/>
      <c r="G21462" s="36" t="str">
        <f>IF(ISNUMBER(F21462),C21462*F21462,"")</f>
        <v/>
      </c>
    </row>
    <row r="21463" spans="1:7" ht="12" customHeight="1" outlineLevel="3" x14ac:dyDescent="0.2">
      <c r="A21463" s="14" t="s">
        <v>42251</v>
      </c>
      <c r="B21463" s="15" t="s">
        <v>42252</v>
      </c>
      <c r="C21463" s="16">
        <f>168.1/(1+B2)</f>
        <v>168.1</v>
      </c>
      <c r="D21463" s="17" t="s">
        <v>11</v>
      </c>
      <c r="E21463" s="17"/>
      <c r="F21463" s="18"/>
      <c r="G21463" s="36" t="str">
        <f>IF(ISNUMBER(F21463),C21463*F21463,"")</f>
        <v/>
      </c>
    </row>
    <row r="21464" spans="1:7" ht="12" customHeight="1" outlineLevel="3" x14ac:dyDescent="0.2">
      <c r="A21464" s="14" t="s">
        <v>42253</v>
      </c>
      <c r="B21464" s="15" t="s">
        <v>42254</v>
      </c>
      <c r="C21464" s="16">
        <f>79.48/(1+B2)</f>
        <v>79.48</v>
      </c>
      <c r="D21464" s="17" t="s">
        <v>11</v>
      </c>
      <c r="E21464" s="17" t="s">
        <v>53</v>
      </c>
      <c r="F21464" s="18"/>
      <c r="G21464" s="36" t="str">
        <f>IF(ISNUMBER(F21464),C21464*F21464,"")</f>
        <v/>
      </c>
    </row>
    <row r="21465" spans="1:7" ht="12" customHeight="1" outlineLevel="3" x14ac:dyDescent="0.2">
      <c r="A21465" s="14" t="s">
        <v>42255</v>
      </c>
      <c r="B21465" s="15" t="s">
        <v>42256</v>
      </c>
      <c r="C21465" s="16">
        <f>147.02/(1+B2)</f>
        <v>147.02000000000001</v>
      </c>
      <c r="D21465" s="17" t="s">
        <v>14</v>
      </c>
      <c r="E21465" s="17" t="s">
        <v>14</v>
      </c>
      <c r="F21465" s="18"/>
      <c r="G21465" s="36" t="str">
        <f>IF(ISNUMBER(F21465),C21465*F21465,"")</f>
        <v/>
      </c>
    </row>
    <row r="21466" spans="1:7" ht="12" customHeight="1" outlineLevel="3" x14ac:dyDescent="0.2">
      <c r="A21466" s="14" t="s">
        <v>42257</v>
      </c>
      <c r="B21466" s="15" t="s">
        <v>42258</v>
      </c>
      <c r="C21466" s="16">
        <f>93.98/(1+B2)</f>
        <v>93.98</v>
      </c>
      <c r="D21466" s="17" t="s">
        <v>11</v>
      </c>
      <c r="E21466" s="17" t="s">
        <v>106</v>
      </c>
      <c r="F21466" s="18"/>
      <c r="G21466" s="36" t="str">
        <f>IF(ISNUMBER(F21466),C21466*F21466,"")</f>
        <v/>
      </c>
    </row>
    <row r="21467" spans="1:7" s="1" customFormat="1" ht="15.95" customHeight="1" outlineLevel="1" x14ac:dyDescent="0.25">
      <c r="A21467" s="11"/>
      <c r="B21467" s="12" t="s">
        <v>42259</v>
      </c>
      <c r="C21467" s="13"/>
      <c r="D21467" s="13"/>
      <c r="E21467" s="13"/>
      <c r="F21467" s="13"/>
      <c r="G21467" s="35"/>
    </row>
    <row r="21468" spans="1:7" ht="12" customHeight="1" outlineLevel="2" x14ac:dyDescent="0.2">
      <c r="A21468" s="14" t="s">
        <v>42260</v>
      </c>
      <c r="B21468" s="15" t="s">
        <v>42261</v>
      </c>
      <c r="C21468" s="16">
        <f>98.73/(1+B2)</f>
        <v>98.73</v>
      </c>
      <c r="D21468" s="17" t="s">
        <v>11</v>
      </c>
      <c r="E21468" s="17"/>
      <c r="F21468" s="18"/>
      <c r="G21468" s="36" t="str">
        <f>IF(ISNUMBER(F21468),C21468*F21468,"")</f>
        <v/>
      </c>
    </row>
    <row r="21469" spans="1:7" ht="12" customHeight="1" outlineLevel="2" x14ac:dyDescent="0.2">
      <c r="A21469" s="14" t="s">
        <v>42262</v>
      </c>
      <c r="B21469" s="15" t="s">
        <v>42263</v>
      </c>
      <c r="C21469" s="16">
        <f>117.75/(1+B2)</f>
        <v>117.75</v>
      </c>
      <c r="D21469" s="17" t="s">
        <v>11</v>
      </c>
      <c r="E21469" s="17" t="s">
        <v>106</v>
      </c>
      <c r="F21469" s="18"/>
      <c r="G21469" s="36" t="str">
        <f>IF(ISNUMBER(F21469),C21469*F21469,"")</f>
        <v/>
      </c>
    </row>
    <row r="21470" spans="1:7" ht="12" customHeight="1" outlineLevel="2" x14ac:dyDescent="0.2">
      <c r="A21470" s="14" t="s">
        <v>42264</v>
      </c>
      <c r="B21470" s="15" t="s">
        <v>42265</v>
      </c>
      <c r="C21470" s="16">
        <f>140.89/(1+B2)</f>
        <v>140.88999999999999</v>
      </c>
      <c r="D21470" s="17" t="s">
        <v>11</v>
      </c>
      <c r="E21470" s="17" t="s">
        <v>53</v>
      </c>
      <c r="F21470" s="18"/>
      <c r="G21470" s="36" t="str">
        <f>IF(ISNUMBER(F21470),C21470*F21470,"")</f>
        <v/>
      </c>
    </row>
    <row r="21471" spans="1:7" ht="12" customHeight="1" outlineLevel="2" x14ac:dyDescent="0.2">
      <c r="A21471" s="14" t="s">
        <v>42266</v>
      </c>
      <c r="B21471" s="15" t="s">
        <v>42267</v>
      </c>
      <c r="C21471" s="16">
        <f>165.04/(1+B2)</f>
        <v>165.04</v>
      </c>
      <c r="D21471" s="17" t="s">
        <v>11</v>
      </c>
      <c r="E21471" s="17" t="s">
        <v>53</v>
      </c>
      <c r="F21471" s="18"/>
      <c r="G21471" s="36" t="str">
        <f>IF(ISNUMBER(F21471),C21471*F21471,"")</f>
        <v/>
      </c>
    </row>
    <row r="21472" spans="1:7" ht="12" customHeight="1" outlineLevel="2" x14ac:dyDescent="0.2">
      <c r="A21472" s="14" t="s">
        <v>42268</v>
      </c>
      <c r="B21472" s="15" t="s">
        <v>42269</v>
      </c>
      <c r="C21472" s="16">
        <f>183.85/(1+B2)</f>
        <v>183.85</v>
      </c>
      <c r="D21472" s="17" t="s">
        <v>11</v>
      </c>
      <c r="E21472" s="17" t="s">
        <v>53</v>
      </c>
      <c r="F21472" s="18"/>
      <c r="G21472" s="36" t="str">
        <f>IF(ISNUMBER(F21472),C21472*F21472,"")</f>
        <v/>
      </c>
    </row>
    <row r="21473" spans="1:7" ht="12" customHeight="1" outlineLevel="2" x14ac:dyDescent="0.2">
      <c r="A21473" s="14" t="s">
        <v>42270</v>
      </c>
      <c r="B21473" s="15" t="s">
        <v>42271</v>
      </c>
      <c r="C21473" s="16">
        <f>207.58/(1+B2)</f>
        <v>207.58</v>
      </c>
      <c r="D21473" s="17" t="s">
        <v>11</v>
      </c>
      <c r="E21473" s="17" t="s">
        <v>14</v>
      </c>
      <c r="F21473" s="18"/>
      <c r="G21473" s="36" t="str">
        <f>IF(ISNUMBER(F21473),C21473*F21473,"")</f>
        <v/>
      </c>
    </row>
    <row r="21474" spans="1:7" ht="12" customHeight="1" outlineLevel="2" x14ac:dyDescent="0.2">
      <c r="A21474" s="14" t="s">
        <v>42272</v>
      </c>
      <c r="B21474" s="15" t="s">
        <v>42273</v>
      </c>
      <c r="C21474" s="16">
        <f>232.2/(1+B2)</f>
        <v>232.2</v>
      </c>
      <c r="D21474" s="17" t="s">
        <v>11</v>
      </c>
      <c r="E21474" s="17"/>
      <c r="F21474" s="18"/>
      <c r="G21474" s="36" t="str">
        <f>IF(ISNUMBER(F21474),C21474*F21474,"")</f>
        <v/>
      </c>
    </row>
    <row r="21475" spans="1:7" ht="12" customHeight="1" outlineLevel="2" x14ac:dyDescent="0.2">
      <c r="A21475" s="14" t="s">
        <v>42274</v>
      </c>
      <c r="B21475" s="15" t="s">
        <v>42275</v>
      </c>
      <c r="C21475" s="16">
        <f>250.69/(1+B2)</f>
        <v>250.69</v>
      </c>
      <c r="D21475" s="17" t="s">
        <v>14</v>
      </c>
      <c r="E21475" s="17" t="s">
        <v>106</v>
      </c>
      <c r="F21475" s="18"/>
      <c r="G21475" s="36" t="str">
        <f>IF(ISNUMBER(F21475),C21475*F21475,"")</f>
        <v/>
      </c>
    </row>
    <row r="21476" spans="1:7" ht="12" customHeight="1" outlineLevel="2" x14ac:dyDescent="0.2">
      <c r="A21476" s="14" t="s">
        <v>42276</v>
      </c>
      <c r="B21476" s="15" t="s">
        <v>42277</v>
      </c>
      <c r="C21476" s="16">
        <f>653.63/(1+B2)</f>
        <v>653.63</v>
      </c>
      <c r="D21476" s="17" t="s">
        <v>11</v>
      </c>
      <c r="E21476" s="17"/>
      <c r="F21476" s="18"/>
      <c r="G21476" s="36" t="str">
        <f>IF(ISNUMBER(F21476),C21476*F21476,"")</f>
        <v/>
      </c>
    </row>
    <row r="21477" spans="1:7" ht="12" customHeight="1" outlineLevel="2" x14ac:dyDescent="0.2">
      <c r="A21477" s="14" t="s">
        <v>42278</v>
      </c>
      <c r="B21477" s="15" t="s">
        <v>42279</v>
      </c>
      <c r="C21477" s="16">
        <f>664.43/(1+B2)</f>
        <v>664.43</v>
      </c>
      <c r="D21477" s="17" t="s">
        <v>11</v>
      </c>
      <c r="E21477" s="17" t="s">
        <v>11</v>
      </c>
      <c r="F21477" s="18"/>
      <c r="G21477" s="36" t="str">
        <f>IF(ISNUMBER(F21477),C21477*F21477,"")</f>
        <v/>
      </c>
    </row>
    <row r="21478" spans="1:7" ht="12" customHeight="1" outlineLevel="2" x14ac:dyDescent="0.2">
      <c r="A21478" s="14" t="s">
        <v>42280</v>
      </c>
      <c r="B21478" s="15" t="s">
        <v>42281</v>
      </c>
      <c r="C21478" s="16">
        <f>787.28/(1+B2)</f>
        <v>787.28</v>
      </c>
      <c r="D21478" s="17" t="s">
        <v>11</v>
      </c>
      <c r="E21478" s="17"/>
      <c r="F21478" s="18"/>
      <c r="G21478" s="36" t="str">
        <f>IF(ISNUMBER(F21478),C21478*F21478,"")</f>
        <v/>
      </c>
    </row>
    <row r="21479" spans="1:7" ht="12" customHeight="1" outlineLevel="2" x14ac:dyDescent="0.2">
      <c r="A21479" s="14" t="s">
        <v>42282</v>
      </c>
      <c r="B21479" s="15" t="s">
        <v>42283</v>
      </c>
      <c r="C21479" s="16">
        <f>151.65/(1+B2)</f>
        <v>151.65</v>
      </c>
      <c r="D21479" s="17" t="s">
        <v>14</v>
      </c>
      <c r="E21479" s="17" t="s">
        <v>11</v>
      </c>
      <c r="F21479" s="18"/>
      <c r="G21479" s="36" t="str">
        <f>IF(ISNUMBER(F21479),C21479*F21479,"")</f>
        <v/>
      </c>
    </row>
    <row r="21480" spans="1:7" ht="12" customHeight="1" outlineLevel="2" x14ac:dyDescent="0.2">
      <c r="A21480" s="14" t="s">
        <v>42284</v>
      </c>
      <c r="B21480" s="15" t="s">
        <v>42285</v>
      </c>
      <c r="C21480" s="16">
        <f>480.38/(1+B2)</f>
        <v>480.38</v>
      </c>
      <c r="D21480" s="17" t="s">
        <v>11</v>
      </c>
      <c r="E21480" s="17"/>
      <c r="F21480" s="18"/>
      <c r="G21480" s="36" t="str">
        <f>IF(ISNUMBER(F21480),C21480*F21480,"")</f>
        <v/>
      </c>
    </row>
    <row r="21481" spans="1:7" ht="24" customHeight="1" outlineLevel="2" x14ac:dyDescent="0.2">
      <c r="A21481" s="14" t="s">
        <v>42286</v>
      </c>
      <c r="B21481" s="15" t="s">
        <v>42287</v>
      </c>
      <c r="C21481" s="16">
        <f>303.98/(1+B2)</f>
        <v>303.98</v>
      </c>
      <c r="D21481" s="17" t="s">
        <v>11</v>
      </c>
      <c r="E21481" s="17"/>
      <c r="F21481" s="18"/>
      <c r="G21481" s="36" t="str">
        <f>IF(ISNUMBER(F21481),C21481*F21481,"")</f>
        <v/>
      </c>
    </row>
    <row r="21482" spans="1:7" ht="12" customHeight="1" outlineLevel="2" x14ac:dyDescent="0.2">
      <c r="A21482" s="14" t="s">
        <v>42288</v>
      </c>
      <c r="B21482" s="15" t="s">
        <v>42289</v>
      </c>
      <c r="C21482" s="16">
        <f>68.21/(1+B2)</f>
        <v>68.209999999999994</v>
      </c>
      <c r="D21482" s="17" t="s">
        <v>11</v>
      </c>
      <c r="E21482" s="17" t="s">
        <v>106</v>
      </c>
      <c r="F21482" s="18"/>
      <c r="G21482" s="36" t="str">
        <f>IF(ISNUMBER(F21482),C21482*F21482,"")</f>
        <v/>
      </c>
    </row>
    <row r="21483" spans="1:7" ht="12" customHeight="1" outlineLevel="2" x14ac:dyDescent="0.2">
      <c r="A21483" s="14" t="s">
        <v>42290</v>
      </c>
      <c r="B21483" s="15" t="s">
        <v>42291</v>
      </c>
      <c r="C21483" s="16">
        <f>76.54/(1+B2)</f>
        <v>76.540000000000006</v>
      </c>
      <c r="D21483" s="17" t="s">
        <v>11</v>
      </c>
      <c r="E21483" s="17" t="s">
        <v>53</v>
      </c>
      <c r="F21483" s="18"/>
      <c r="G21483" s="36" t="str">
        <f>IF(ISNUMBER(F21483),C21483*F21483,"")</f>
        <v/>
      </c>
    </row>
    <row r="21484" spans="1:7" ht="12" customHeight="1" outlineLevel="2" x14ac:dyDescent="0.2">
      <c r="A21484" s="14" t="s">
        <v>42292</v>
      </c>
      <c r="B21484" s="15" t="s">
        <v>42293</v>
      </c>
      <c r="C21484" s="16">
        <f>93.8/(1+B2)</f>
        <v>93.8</v>
      </c>
      <c r="D21484" s="17" t="s">
        <v>11</v>
      </c>
      <c r="E21484" s="17" t="s">
        <v>53</v>
      </c>
      <c r="F21484" s="18"/>
      <c r="G21484" s="36" t="str">
        <f>IF(ISNUMBER(F21484),C21484*F21484,"")</f>
        <v/>
      </c>
    </row>
    <row r="21485" spans="1:7" ht="12" customHeight="1" outlineLevel="2" x14ac:dyDescent="0.2">
      <c r="A21485" s="14" t="s">
        <v>42294</v>
      </c>
      <c r="B21485" s="15" t="s">
        <v>42295</v>
      </c>
      <c r="C21485" s="16">
        <f>101.48/(1+B2)</f>
        <v>101.48</v>
      </c>
      <c r="D21485" s="17" t="s">
        <v>11</v>
      </c>
      <c r="E21485" s="17"/>
      <c r="F21485" s="18"/>
      <c r="G21485" s="36" t="str">
        <f>IF(ISNUMBER(F21485),C21485*F21485,"")</f>
        <v/>
      </c>
    </row>
    <row r="21486" spans="1:7" ht="12" customHeight="1" outlineLevel="2" x14ac:dyDescent="0.2">
      <c r="A21486" s="14" t="s">
        <v>42296</v>
      </c>
      <c r="B21486" s="15" t="s">
        <v>42297</v>
      </c>
      <c r="C21486" s="16">
        <f>124.25/(1+B2)</f>
        <v>124.25</v>
      </c>
      <c r="D21486" s="17" t="s">
        <v>11</v>
      </c>
      <c r="E21486" s="17"/>
      <c r="F21486" s="18"/>
      <c r="G21486" s="36" t="str">
        <f>IF(ISNUMBER(F21486),C21486*F21486,"")</f>
        <v/>
      </c>
    </row>
    <row r="21487" spans="1:7" ht="12" customHeight="1" outlineLevel="2" x14ac:dyDescent="0.2">
      <c r="A21487" s="14" t="s">
        <v>42298</v>
      </c>
      <c r="B21487" s="15" t="s">
        <v>42299</v>
      </c>
      <c r="C21487" s="16">
        <f>140.65/(1+B2)</f>
        <v>140.65</v>
      </c>
      <c r="D21487" s="17"/>
      <c r="E21487" s="17" t="s">
        <v>14</v>
      </c>
      <c r="F21487" s="18"/>
      <c r="G21487" s="36" t="str">
        <f>IF(ISNUMBER(F21487),C21487*F21487,"")</f>
        <v/>
      </c>
    </row>
    <row r="21488" spans="1:7" ht="12" customHeight="1" outlineLevel="2" x14ac:dyDescent="0.2">
      <c r="A21488" s="14" t="s">
        <v>42300</v>
      </c>
      <c r="B21488" s="15" t="s">
        <v>42301</v>
      </c>
      <c r="C21488" s="16">
        <f>163/(1+B2)</f>
        <v>163</v>
      </c>
      <c r="D21488" s="17"/>
      <c r="E21488" s="17" t="s">
        <v>14</v>
      </c>
      <c r="F21488" s="18"/>
      <c r="G21488" s="36" t="str">
        <f>IF(ISNUMBER(F21488),C21488*F21488,"")</f>
        <v/>
      </c>
    </row>
    <row r="21489" spans="1:7" ht="12" customHeight="1" outlineLevel="2" x14ac:dyDescent="0.2">
      <c r="A21489" s="14" t="s">
        <v>42302</v>
      </c>
      <c r="B21489" s="15" t="s">
        <v>42303</v>
      </c>
      <c r="C21489" s="16">
        <f>191.66/(1+B2)</f>
        <v>191.66</v>
      </c>
      <c r="D21489" s="17" t="s">
        <v>11</v>
      </c>
      <c r="E21489" s="17" t="s">
        <v>11</v>
      </c>
      <c r="F21489" s="18"/>
      <c r="G21489" s="36" t="str">
        <f>IF(ISNUMBER(F21489),C21489*F21489,"")</f>
        <v/>
      </c>
    </row>
    <row r="21490" spans="1:7" s="1" customFormat="1" ht="15.95" customHeight="1" outlineLevel="1" x14ac:dyDescent="0.25">
      <c r="A21490" s="11"/>
      <c r="B21490" s="12" t="s">
        <v>42304</v>
      </c>
      <c r="C21490" s="13"/>
      <c r="D21490" s="13"/>
      <c r="E21490" s="13"/>
      <c r="F21490" s="13"/>
      <c r="G21490" s="35"/>
    </row>
    <row r="21491" spans="1:7" ht="12" customHeight="1" outlineLevel="2" x14ac:dyDescent="0.2">
      <c r="A21491" s="14" t="s">
        <v>42305</v>
      </c>
      <c r="B21491" s="15" t="s">
        <v>42306</v>
      </c>
      <c r="C21491" s="16">
        <f>92.76/(1+B2)</f>
        <v>92.76</v>
      </c>
      <c r="D21491" s="17"/>
      <c r="E21491" s="17" t="s">
        <v>14</v>
      </c>
      <c r="F21491" s="18"/>
      <c r="G21491" s="36" t="str">
        <f>IF(ISNUMBER(F21491),C21491*F21491,"")</f>
        <v/>
      </c>
    </row>
    <row r="21492" spans="1:7" ht="12" customHeight="1" outlineLevel="2" x14ac:dyDescent="0.2">
      <c r="A21492" s="14" t="s">
        <v>42307</v>
      </c>
      <c r="B21492" s="15" t="s">
        <v>42308</v>
      </c>
      <c r="C21492" s="16">
        <f>107.35/(1+B2)</f>
        <v>107.35</v>
      </c>
      <c r="D21492" s="17"/>
      <c r="E21492" s="17" t="s">
        <v>11</v>
      </c>
      <c r="F21492" s="18"/>
      <c r="G21492" s="36" t="str">
        <f>IF(ISNUMBER(F21492),C21492*F21492,"")</f>
        <v/>
      </c>
    </row>
    <row r="21493" spans="1:7" ht="12" customHeight="1" outlineLevel="2" x14ac:dyDescent="0.2">
      <c r="A21493" s="14" t="s">
        <v>42309</v>
      </c>
      <c r="B21493" s="15" t="s">
        <v>42310</v>
      </c>
      <c r="C21493" s="16">
        <f>123.25/(1+B2)</f>
        <v>123.25</v>
      </c>
      <c r="D21493" s="17"/>
      <c r="E21493" s="17" t="s">
        <v>11</v>
      </c>
      <c r="F21493" s="18"/>
      <c r="G21493" s="36" t="str">
        <f>IF(ISNUMBER(F21493),C21493*F21493,"")</f>
        <v/>
      </c>
    </row>
    <row r="21494" spans="1:7" ht="12" customHeight="1" outlineLevel="2" x14ac:dyDescent="0.2">
      <c r="A21494" s="14" t="s">
        <v>42311</v>
      </c>
      <c r="B21494" s="15" t="s">
        <v>42312</v>
      </c>
      <c r="C21494" s="16">
        <f>133.85/(1+B2)</f>
        <v>133.85</v>
      </c>
      <c r="D21494" s="17"/>
      <c r="E21494" s="17" t="s">
        <v>11</v>
      </c>
      <c r="F21494" s="18"/>
      <c r="G21494" s="36" t="str">
        <f>IF(ISNUMBER(F21494),C21494*F21494,"")</f>
        <v/>
      </c>
    </row>
    <row r="21495" spans="1:7" ht="12" customHeight="1" outlineLevel="2" x14ac:dyDescent="0.2">
      <c r="A21495" s="14" t="s">
        <v>42313</v>
      </c>
      <c r="B21495" s="15" t="s">
        <v>42314</v>
      </c>
      <c r="C21495" s="16">
        <f>173.61/(1+B2)</f>
        <v>173.61</v>
      </c>
      <c r="D21495" s="17"/>
      <c r="E21495" s="17" t="s">
        <v>11</v>
      </c>
      <c r="F21495" s="18"/>
      <c r="G21495" s="36" t="str">
        <f>IF(ISNUMBER(F21495),C21495*F21495,"")</f>
        <v/>
      </c>
    </row>
    <row r="21496" spans="1:7" ht="12" customHeight="1" outlineLevel="2" x14ac:dyDescent="0.2">
      <c r="A21496" s="14" t="s">
        <v>42315</v>
      </c>
      <c r="B21496" s="15" t="s">
        <v>42316</v>
      </c>
      <c r="C21496" s="16">
        <f>200.11/(1+B2)</f>
        <v>200.11</v>
      </c>
      <c r="D21496" s="17"/>
      <c r="E21496" s="17" t="s">
        <v>11</v>
      </c>
      <c r="F21496" s="18"/>
      <c r="G21496" s="36" t="str">
        <f>IF(ISNUMBER(F21496),C21496*F21496,"")</f>
        <v/>
      </c>
    </row>
    <row r="21497" spans="1:7" ht="12" customHeight="1" outlineLevel="2" x14ac:dyDescent="0.2">
      <c r="A21497" s="14" t="s">
        <v>42317</v>
      </c>
      <c r="B21497" s="15" t="s">
        <v>42318</v>
      </c>
      <c r="C21497" s="16">
        <f>231.93/(1+B2)</f>
        <v>231.93</v>
      </c>
      <c r="D21497" s="17" t="s">
        <v>11</v>
      </c>
      <c r="E21497" s="17"/>
      <c r="F21497" s="18"/>
      <c r="G21497" s="36" t="str">
        <f>IF(ISNUMBER(F21497),C21497*F21497,"")</f>
        <v/>
      </c>
    </row>
    <row r="21498" spans="1:7" ht="24" customHeight="1" outlineLevel="2" x14ac:dyDescent="0.2">
      <c r="A21498" s="14" t="s">
        <v>42319</v>
      </c>
      <c r="B21498" s="15" t="s">
        <v>42320</v>
      </c>
      <c r="C21498" s="16">
        <f>357.1/(1+B2)</f>
        <v>357.1</v>
      </c>
      <c r="D21498" s="17" t="s">
        <v>11</v>
      </c>
      <c r="E21498" s="17" t="s">
        <v>11</v>
      </c>
      <c r="F21498" s="18"/>
      <c r="G21498" s="36" t="str">
        <f>IF(ISNUMBER(F21498),C21498*F21498,"")</f>
        <v/>
      </c>
    </row>
    <row r="21499" spans="1:7" ht="24" customHeight="1" outlineLevel="2" x14ac:dyDescent="0.2">
      <c r="A21499" s="14" t="s">
        <v>42321</v>
      </c>
      <c r="B21499" s="15" t="s">
        <v>42322</v>
      </c>
      <c r="C21499" s="16">
        <f>507.94/(1+B2)</f>
        <v>507.94</v>
      </c>
      <c r="D21499" s="17" t="s">
        <v>11</v>
      </c>
      <c r="E21499" s="17"/>
      <c r="F21499" s="18"/>
      <c r="G21499" s="36" t="str">
        <f>IF(ISNUMBER(F21499),C21499*F21499,"")</f>
        <v/>
      </c>
    </row>
    <row r="21500" spans="1:7" ht="24" customHeight="1" outlineLevel="2" x14ac:dyDescent="0.2">
      <c r="A21500" s="14" t="s">
        <v>42323</v>
      </c>
      <c r="B21500" s="15" t="s">
        <v>42324</v>
      </c>
      <c r="C21500" s="16">
        <f>863.63/(1+B2)</f>
        <v>863.63</v>
      </c>
      <c r="D21500" s="17" t="s">
        <v>11</v>
      </c>
      <c r="E21500" s="17" t="s">
        <v>11</v>
      </c>
      <c r="F21500" s="18"/>
      <c r="G21500" s="36" t="str">
        <f>IF(ISNUMBER(F21500),C21500*F21500,"")</f>
        <v/>
      </c>
    </row>
    <row r="21501" spans="1:7" ht="24" customHeight="1" outlineLevel="2" x14ac:dyDescent="0.2">
      <c r="A21501" s="14" t="s">
        <v>42325</v>
      </c>
      <c r="B21501" s="15" t="s">
        <v>42326</v>
      </c>
      <c r="C21501" s="16">
        <f>845.25/(1+B2)</f>
        <v>845.25</v>
      </c>
      <c r="D21501" s="17" t="s">
        <v>11</v>
      </c>
      <c r="E21501" s="17"/>
      <c r="F21501" s="18"/>
      <c r="G21501" s="36" t="str">
        <f>IF(ISNUMBER(F21501),C21501*F21501,"")</f>
        <v/>
      </c>
    </row>
    <row r="21502" spans="1:7" ht="24" customHeight="1" outlineLevel="2" x14ac:dyDescent="0.2">
      <c r="A21502" s="14" t="s">
        <v>42327</v>
      </c>
      <c r="B21502" s="15" t="s">
        <v>42328</v>
      </c>
      <c r="C21502" s="16">
        <f>958.13/(1+B2)</f>
        <v>958.13</v>
      </c>
      <c r="D21502" s="17" t="s">
        <v>11</v>
      </c>
      <c r="E21502" s="17"/>
      <c r="F21502" s="18"/>
      <c r="G21502" s="36" t="str">
        <f>IF(ISNUMBER(F21502),C21502*F21502,"")</f>
        <v/>
      </c>
    </row>
    <row r="21503" spans="1:7" ht="24" customHeight="1" outlineLevel="2" x14ac:dyDescent="0.2">
      <c r="A21503" s="14" t="s">
        <v>42329</v>
      </c>
      <c r="B21503" s="15" t="s">
        <v>42330</v>
      </c>
      <c r="C21503" s="16">
        <f>775.69/(1+B2)</f>
        <v>775.69</v>
      </c>
      <c r="D21503" s="17" t="s">
        <v>11</v>
      </c>
      <c r="E21503" s="17" t="s">
        <v>11</v>
      </c>
      <c r="F21503" s="18"/>
      <c r="G21503" s="36" t="str">
        <f>IF(ISNUMBER(F21503),C21503*F21503,"")</f>
        <v/>
      </c>
    </row>
    <row r="21504" spans="1:7" ht="12" customHeight="1" outlineLevel="2" x14ac:dyDescent="0.2">
      <c r="A21504" s="14" t="s">
        <v>42331</v>
      </c>
      <c r="B21504" s="15" t="s">
        <v>42332</v>
      </c>
      <c r="C21504" s="19">
        <f>2182.81/(1+B2)</f>
        <v>2182.81</v>
      </c>
      <c r="D21504" s="17" t="s">
        <v>11</v>
      </c>
      <c r="E21504" s="17"/>
      <c r="F21504" s="18"/>
      <c r="G21504" s="36" t="str">
        <f>IF(ISNUMBER(F21504),C21504*F21504,"")</f>
        <v/>
      </c>
    </row>
    <row r="21505" spans="1:7" ht="12" customHeight="1" outlineLevel="2" x14ac:dyDescent="0.2">
      <c r="A21505" s="14" t="s">
        <v>42333</v>
      </c>
      <c r="B21505" s="15" t="s">
        <v>42334</v>
      </c>
      <c r="C21505" s="19">
        <f>1503.25/(1+B2)</f>
        <v>1503.25</v>
      </c>
      <c r="D21505" s="17" t="s">
        <v>11</v>
      </c>
      <c r="E21505" s="17"/>
      <c r="F21505" s="18"/>
      <c r="G21505" s="36" t="str">
        <f>IF(ISNUMBER(F21505),C21505*F21505,"")</f>
        <v/>
      </c>
    </row>
    <row r="21506" spans="1:7" ht="12" customHeight="1" outlineLevel="2" x14ac:dyDescent="0.2">
      <c r="A21506" s="14" t="s">
        <v>42335</v>
      </c>
      <c r="B21506" s="15" t="s">
        <v>42336</v>
      </c>
      <c r="C21506" s="16">
        <f>922.65/(1+B2)</f>
        <v>922.65</v>
      </c>
      <c r="D21506" s="17" t="s">
        <v>11</v>
      </c>
      <c r="E21506" s="17"/>
      <c r="F21506" s="18"/>
      <c r="G21506" s="36" t="str">
        <f>IF(ISNUMBER(F21506),C21506*F21506,"")</f>
        <v/>
      </c>
    </row>
    <row r="21507" spans="1:7" ht="12" customHeight="1" outlineLevel="2" x14ac:dyDescent="0.2">
      <c r="A21507" s="14" t="s">
        <v>42337</v>
      </c>
      <c r="B21507" s="15" t="s">
        <v>42338</v>
      </c>
      <c r="C21507" s="19">
        <f>1194.35/(1+B2)</f>
        <v>1194.3499999999999</v>
      </c>
      <c r="D21507" s="17" t="s">
        <v>11</v>
      </c>
      <c r="E21507" s="17"/>
      <c r="F21507" s="18"/>
      <c r="G21507" s="36" t="str">
        <f>IF(ISNUMBER(F21507),C21507*F21507,"")</f>
        <v/>
      </c>
    </row>
    <row r="21508" spans="1:7" ht="12" customHeight="1" outlineLevel="2" x14ac:dyDescent="0.2">
      <c r="A21508" s="14" t="s">
        <v>42339</v>
      </c>
      <c r="B21508" s="15" t="s">
        <v>42340</v>
      </c>
      <c r="C21508" s="16">
        <f>690.08/(1+B2)</f>
        <v>690.08</v>
      </c>
      <c r="D21508" s="17" t="s">
        <v>11</v>
      </c>
      <c r="E21508" s="17"/>
      <c r="F21508" s="18"/>
      <c r="G21508" s="36" t="str">
        <f>IF(ISNUMBER(F21508),C21508*F21508,"")</f>
        <v/>
      </c>
    </row>
    <row r="21509" spans="1:7" ht="12" customHeight="1" outlineLevel="2" x14ac:dyDescent="0.2">
      <c r="A21509" s="14" t="s">
        <v>42341</v>
      </c>
      <c r="B21509" s="15" t="s">
        <v>42342</v>
      </c>
      <c r="C21509" s="16">
        <f>794.34/(1+B2)</f>
        <v>794.34</v>
      </c>
      <c r="D21509" s="17" t="s">
        <v>11</v>
      </c>
      <c r="E21509" s="17"/>
      <c r="F21509" s="18"/>
      <c r="G21509" s="36" t="str">
        <f>IF(ISNUMBER(F21509),C21509*F21509,"")</f>
        <v/>
      </c>
    </row>
    <row r="21510" spans="1:7" ht="12" customHeight="1" outlineLevel="2" x14ac:dyDescent="0.2">
      <c r="A21510" s="14" t="s">
        <v>42343</v>
      </c>
      <c r="B21510" s="15" t="s">
        <v>42344</v>
      </c>
      <c r="C21510" s="16">
        <f>166.84/(1+B2)</f>
        <v>166.84</v>
      </c>
      <c r="D21510" s="17" t="s">
        <v>11</v>
      </c>
      <c r="E21510" s="17" t="s">
        <v>11</v>
      </c>
      <c r="F21510" s="18"/>
      <c r="G21510" s="36" t="str">
        <f>IF(ISNUMBER(F21510),C21510*F21510,"")</f>
        <v/>
      </c>
    </row>
    <row r="21511" spans="1:7" s="1" customFormat="1" ht="15.95" customHeight="1" outlineLevel="1" x14ac:dyDescent="0.25">
      <c r="A21511" s="11"/>
      <c r="B21511" s="12" t="s">
        <v>42345</v>
      </c>
      <c r="C21511" s="13"/>
      <c r="D21511" s="13"/>
      <c r="E21511" s="13"/>
      <c r="F21511" s="13"/>
      <c r="G21511" s="35"/>
    </row>
    <row r="21512" spans="1:7" ht="12" customHeight="1" outlineLevel="2" x14ac:dyDescent="0.2">
      <c r="A21512" s="14" t="s">
        <v>42346</v>
      </c>
      <c r="B21512" s="15" t="s">
        <v>42347</v>
      </c>
      <c r="C21512" s="16">
        <f>526.1/(1+B2)</f>
        <v>526.1</v>
      </c>
      <c r="D21512" s="17" t="s">
        <v>11</v>
      </c>
      <c r="E21512" s="17"/>
      <c r="F21512" s="18"/>
      <c r="G21512" s="36" t="str">
        <f>IF(ISNUMBER(F21512),C21512*F21512,"")</f>
        <v/>
      </c>
    </row>
    <row r="21513" spans="1:7" s="1" customFormat="1" ht="15.95" customHeight="1" outlineLevel="1" x14ac:dyDescent="0.25">
      <c r="A21513" s="11"/>
      <c r="B21513" s="12" t="s">
        <v>42348</v>
      </c>
      <c r="C21513" s="13"/>
      <c r="D21513" s="13"/>
      <c r="E21513" s="13"/>
      <c r="F21513" s="13"/>
      <c r="G21513" s="35"/>
    </row>
    <row r="21514" spans="1:7" ht="12" customHeight="1" outlineLevel="2" x14ac:dyDescent="0.2">
      <c r="A21514" s="14" t="s">
        <v>42349</v>
      </c>
      <c r="B21514" s="15" t="s">
        <v>42350</v>
      </c>
      <c r="C21514" s="16">
        <f>23.31/(1+B2)</f>
        <v>23.31</v>
      </c>
      <c r="D21514" s="17" t="s">
        <v>11</v>
      </c>
      <c r="E21514" s="17"/>
      <c r="F21514" s="18"/>
      <c r="G21514" s="36" t="str">
        <f>IF(ISNUMBER(F21514),C21514*F21514,"")</f>
        <v/>
      </c>
    </row>
    <row r="21515" spans="1:7" ht="12" customHeight="1" outlineLevel="2" x14ac:dyDescent="0.2">
      <c r="A21515" s="14" t="s">
        <v>42351</v>
      </c>
      <c r="B21515" s="15" t="s">
        <v>42352</v>
      </c>
      <c r="C21515" s="16">
        <f>41.14/(1+B2)</f>
        <v>41.14</v>
      </c>
      <c r="D21515" s="17" t="s">
        <v>11</v>
      </c>
      <c r="E21515" s="17" t="s">
        <v>11</v>
      </c>
      <c r="F21515" s="18"/>
      <c r="G21515" s="36" t="str">
        <f>IF(ISNUMBER(F21515),C21515*F21515,"")</f>
        <v/>
      </c>
    </row>
    <row r="21516" spans="1:7" ht="12" customHeight="1" outlineLevel="2" x14ac:dyDescent="0.2">
      <c r="A21516" s="14" t="s">
        <v>42353</v>
      </c>
      <c r="B21516" s="15" t="s">
        <v>42354</v>
      </c>
      <c r="C21516" s="16">
        <f>53.33/(1+B2)</f>
        <v>53.33</v>
      </c>
      <c r="D21516" s="17" t="s">
        <v>11</v>
      </c>
      <c r="E21516" s="17"/>
      <c r="F21516" s="18"/>
      <c r="G21516" s="36" t="str">
        <f>IF(ISNUMBER(F21516),C21516*F21516,"")</f>
        <v/>
      </c>
    </row>
    <row r="21517" spans="1:7" ht="12" customHeight="1" outlineLevel="2" x14ac:dyDescent="0.2">
      <c r="A21517" s="14" t="s">
        <v>42355</v>
      </c>
      <c r="B21517" s="15" t="s">
        <v>42356</v>
      </c>
      <c r="C21517" s="16">
        <f>50.63/(1+B2)</f>
        <v>50.63</v>
      </c>
      <c r="D21517" s="17" t="s">
        <v>11</v>
      </c>
      <c r="E21517" s="17" t="s">
        <v>53</v>
      </c>
      <c r="F21517" s="18"/>
      <c r="G21517" s="36" t="str">
        <f>IF(ISNUMBER(F21517),C21517*F21517,"")</f>
        <v/>
      </c>
    </row>
    <row r="21518" spans="1:7" ht="12" customHeight="1" outlineLevel="2" x14ac:dyDescent="0.2">
      <c r="A21518" s="14" t="s">
        <v>42357</v>
      </c>
      <c r="B21518" s="15" t="s">
        <v>42358</v>
      </c>
      <c r="C21518" s="16">
        <f>68/(1+B2)</f>
        <v>68</v>
      </c>
      <c r="D21518" s="17"/>
      <c r="E21518" s="17" t="s">
        <v>14</v>
      </c>
      <c r="F21518" s="18"/>
      <c r="G21518" s="36" t="str">
        <f>IF(ISNUMBER(F21518),C21518*F21518,"")</f>
        <v/>
      </c>
    </row>
    <row r="21519" spans="1:7" ht="12" customHeight="1" outlineLevel="2" x14ac:dyDescent="0.2">
      <c r="A21519" s="14" t="s">
        <v>42359</v>
      </c>
      <c r="B21519" s="15" t="s">
        <v>42360</v>
      </c>
      <c r="C21519" s="16">
        <f>77.45/(1+B2)</f>
        <v>77.45</v>
      </c>
      <c r="D21519" s="17" t="s">
        <v>11</v>
      </c>
      <c r="E21519" s="17" t="s">
        <v>11</v>
      </c>
      <c r="F21519" s="18"/>
      <c r="G21519" s="36" t="str">
        <f>IF(ISNUMBER(F21519),C21519*F21519,"")</f>
        <v/>
      </c>
    </row>
    <row r="21520" spans="1:7" ht="12" customHeight="1" outlineLevel="2" x14ac:dyDescent="0.2">
      <c r="A21520" s="14" t="s">
        <v>42361</v>
      </c>
      <c r="B21520" s="15" t="s">
        <v>42362</v>
      </c>
      <c r="C21520" s="16">
        <f>117.85/(1+B2)</f>
        <v>117.85</v>
      </c>
      <c r="D21520" s="17" t="s">
        <v>11</v>
      </c>
      <c r="E21520" s="17"/>
      <c r="F21520" s="18"/>
      <c r="G21520" s="36" t="str">
        <f>IF(ISNUMBER(F21520),C21520*F21520,"")</f>
        <v/>
      </c>
    </row>
    <row r="21521" spans="1:7" ht="12" customHeight="1" outlineLevel="2" x14ac:dyDescent="0.2">
      <c r="A21521" s="14" t="s">
        <v>42363</v>
      </c>
      <c r="B21521" s="15" t="s">
        <v>42364</v>
      </c>
      <c r="C21521" s="16">
        <f>82.13/(1+B2)</f>
        <v>82.13</v>
      </c>
      <c r="D21521" s="17" t="s">
        <v>11</v>
      </c>
      <c r="E21521" s="17" t="s">
        <v>11</v>
      </c>
      <c r="F21521" s="18"/>
      <c r="G21521" s="36" t="str">
        <f>IF(ISNUMBER(F21521),C21521*F21521,"")</f>
        <v/>
      </c>
    </row>
    <row r="21522" spans="1:7" ht="12" customHeight="1" outlineLevel="2" x14ac:dyDescent="0.2">
      <c r="A21522" s="14" t="s">
        <v>42365</v>
      </c>
      <c r="B21522" s="15" t="s">
        <v>42366</v>
      </c>
      <c r="C21522" s="16">
        <f>25/(1+B2)</f>
        <v>25</v>
      </c>
      <c r="D21522" s="17" t="s">
        <v>11</v>
      </c>
      <c r="E21522" s="17"/>
      <c r="F21522" s="18"/>
      <c r="G21522" s="36" t="str">
        <f>IF(ISNUMBER(F21522),C21522*F21522,"")</f>
        <v/>
      </c>
    </row>
    <row r="21523" spans="1:7" ht="12" customHeight="1" outlineLevel="2" x14ac:dyDescent="0.2">
      <c r="A21523" s="14" t="s">
        <v>42367</v>
      </c>
      <c r="B21523" s="15" t="s">
        <v>42368</v>
      </c>
      <c r="C21523" s="16">
        <f>141.75/(1+B2)</f>
        <v>141.75</v>
      </c>
      <c r="D21523" s="17" t="s">
        <v>11</v>
      </c>
      <c r="E21523" s="17"/>
      <c r="F21523" s="18"/>
      <c r="G21523" s="36" t="str">
        <f>IF(ISNUMBER(F21523),C21523*F21523,"")</f>
        <v/>
      </c>
    </row>
    <row r="21524" spans="1:7" ht="12" customHeight="1" outlineLevel="2" x14ac:dyDescent="0.2">
      <c r="A21524" s="14" t="s">
        <v>42369</v>
      </c>
      <c r="B21524" s="15" t="s">
        <v>42370</v>
      </c>
      <c r="C21524" s="16">
        <f>144.79/(1+B2)</f>
        <v>144.79</v>
      </c>
      <c r="D21524" s="17" t="s">
        <v>11</v>
      </c>
      <c r="E21524" s="17"/>
      <c r="F21524" s="18"/>
      <c r="G21524" s="36" t="str">
        <f>IF(ISNUMBER(F21524),C21524*F21524,"")</f>
        <v/>
      </c>
    </row>
    <row r="21525" spans="1:7" ht="12" customHeight="1" outlineLevel="2" x14ac:dyDescent="0.2">
      <c r="A21525" s="14" t="s">
        <v>42371</v>
      </c>
      <c r="B21525" s="15" t="s">
        <v>42372</v>
      </c>
      <c r="C21525" s="16">
        <f>133.56/(1+B2)</f>
        <v>133.56</v>
      </c>
      <c r="D21525" s="17" t="s">
        <v>11</v>
      </c>
      <c r="E21525" s="17"/>
      <c r="F21525" s="18"/>
      <c r="G21525" s="36" t="str">
        <f>IF(ISNUMBER(F21525),C21525*F21525,"")</f>
        <v/>
      </c>
    </row>
    <row r="21526" spans="1:7" ht="12" customHeight="1" outlineLevel="2" x14ac:dyDescent="0.2">
      <c r="A21526" s="14" t="s">
        <v>42373</v>
      </c>
      <c r="B21526" s="15" t="s">
        <v>42374</v>
      </c>
      <c r="C21526" s="16">
        <f>29.03/(1+B2)</f>
        <v>29.03</v>
      </c>
      <c r="D21526" s="17" t="s">
        <v>14</v>
      </c>
      <c r="E21526" s="17"/>
      <c r="F21526" s="18"/>
      <c r="G21526" s="36" t="str">
        <f>IF(ISNUMBER(F21526),C21526*F21526,"")</f>
        <v/>
      </c>
    </row>
    <row r="21527" spans="1:7" ht="12" customHeight="1" outlineLevel="2" x14ac:dyDescent="0.2">
      <c r="A21527" s="14" t="s">
        <v>42375</v>
      </c>
      <c r="B21527" s="15" t="s">
        <v>42376</v>
      </c>
      <c r="C21527" s="16">
        <f>82.13/(1+B2)</f>
        <v>82.13</v>
      </c>
      <c r="D21527" s="17" t="s">
        <v>11</v>
      </c>
      <c r="E21527" s="17" t="s">
        <v>106</v>
      </c>
      <c r="F21527" s="18"/>
      <c r="G21527" s="36" t="str">
        <f>IF(ISNUMBER(F21527),C21527*F21527,"")</f>
        <v/>
      </c>
    </row>
    <row r="21528" spans="1:7" ht="12" customHeight="1" outlineLevel="2" x14ac:dyDescent="0.2">
      <c r="A21528" s="14" t="s">
        <v>42377</v>
      </c>
      <c r="B21528" s="15" t="s">
        <v>42378</v>
      </c>
      <c r="C21528" s="16">
        <f>38.95/(1+B2)</f>
        <v>38.950000000000003</v>
      </c>
      <c r="D21528" s="17" t="s">
        <v>11</v>
      </c>
      <c r="E21528" s="17" t="s">
        <v>53</v>
      </c>
      <c r="F21528" s="18"/>
      <c r="G21528" s="36" t="str">
        <f>IF(ISNUMBER(F21528),C21528*F21528,"")</f>
        <v/>
      </c>
    </row>
    <row r="21529" spans="1:7" ht="12" customHeight="1" outlineLevel="2" x14ac:dyDescent="0.2">
      <c r="A21529" s="14" t="s">
        <v>42379</v>
      </c>
      <c r="B21529" s="15" t="s">
        <v>42380</v>
      </c>
      <c r="C21529" s="16">
        <f>48.3/(1+B2)</f>
        <v>48.3</v>
      </c>
      <c r="D21529" s="17" t="s">
        <v>11</v>
      </c>
      <c r="E21529" s="17" t="s">
        <v>14</v>
      </c>
      <c r="F21529" s="18"/>
      <c r="G21529" s="36" t="str">
        <f>IF(ISNUMBER(F21529),C21529*F21529,"")</f>
        <v/>
      </c>
    </row>
    <row r="21530" spans="1:7" ht="12" customHeight="1" outlineLevel="2" x14ac:dyDescent="0.2">
      <c r="A21530" s="14" t="s">
        <v>42381</v>
      </c>
      <c r="B21530" s="15" t="s">
        <v>42382</v>
      </c>
      <c r="C21530" s="16">
        <f>24.38/(1+B2)</f>
        <v>24.38</v>
      </c>
      <c r="D21530" s="17" t="s">
        <v>53</v>
      </c>
      <c r="E21530" s="17" t="s">
        <v>106</v>
      </c>
      <c r="F21530" s="18"/>
      <c r="G21530" s="36" t="str">
        <f>IF(ISNUMBER(F21530),C21530*F21530,"")</f>
        <v/>
      </c>
    </row>
    <row r="21531" spans="1:7" ht="12" customHeight="1" outlineLevel="2" x14ac:dyDescent="0.2">
      <c r="A21531" s="14" t="s">
        <v>42383</v>
      </c>
      <c r="B21531" s="15" t="s">
        <v>42384</v>
      </c>
      <c r="C21531" s="16">
        <f>42.74/(1+B2)</f>
        <v>42.74</v>
      </c>
      <c r="D21531" s="17" t="s">
        <v>11</v>
      </c>
      <c r="E21531" s="17"/>
      <c r="F21531" s="18"/>
      <c r="G21531" s="36" t="str">
        <f>IF(ISNUMBER(F21531),C21531*F21531,"")</f>
        <v/>
      </c>
    </row>
    <row r="21532" spans="1:7" ht="12" customHeight="1" outlineLevel="2" x14ac:dyDescent="0.2">
      <c r="A21532" s="14" t="s">
        <v>42385</v>
      </c>
      <c r="B21532" s="15" t="s">
        <v>42386</v>
      </c>
      <c r="C21532" s="16">
        <f>42.74/(1+B2)</f>
        <v>42.74</v>
      </c>
      <c r="D21532" s="17" t="s">
        <v>11</v>
      </c>
      <c r="E21532" s="17" t="s">
        <v>11</v>
      </c>
      <c r="F21532" s="18"/>
      <c r="G21532" s="36" t="str">
        <f>IF(ISNUMBER(F21532),C21532*F21532,"")</f>
        <v/>
      </c>
    </row>
    <row r="21533" spans="1:7" ht="12" customHeight="1" outlineLevel="2" x14ac:dyDescent="0.2">
      <c r="A21533" s="14" t="s">
        <v>42387</v>
      </c>
      <c r="B21533" s="15" t="s">
        <v>42388</v>
      </c>
      <c r="C21533" s="16">
        <f>28.55/(1+B2)</f>
        <v>28.55</v>
      </c>
      <c r="D21533" s="17" t="s">
        <v>53</v>
      </c>
      <c r="E21533" s="17"/>
      <c r="F21533" s="18"/>
      <c r="G21533" s="36" t="str">
        <f>IF(ISNUMBER(F21533),C21533*F21533,"")</f>
        <v/>
      </c>
    </row>
    <row r="21534" spans="1:7" ht="12" customHeight="1" outlineLevel="2" x14ac:dyDescent="0.2">
      <c r="A21534" s="14" t="s">
        <v>42389</v>
      </c>
      <c r="B21534" s="15" t="s">
        <v>42390</v>
      </c>
      <c r="C21534" s="16">
        <f>24.97/(1+B2)</f>
        <v>24.97</v>
      </c>
      <c r="D21534" s="17" t="s">
        <v>53</v>
      </c>
      <c r="E21534" s="17"/>
      <c r="F21534" s="18"/>
      <c r="G21534" s="36" t="str">
        <f>IF(ISNUMBER(F21534),C21534*F21534,"")</f>
        <v/>
      </c>
    </row>
    <row r="21535" spans="1:7" ht="12" customHeight="1" outlineLevel="2" x14ac:dyDescent="0.2">
      <c r="A21535" s="14" t="s">
        <v>42391</v>
      </c>
      <c r="B21535" s="15" t="s">
        <v>42392</v>
      </c>
      <c r="C21535" s="16">
        <f>28.55/(1+B2)</f>
        <v>28.55</v>
      </c>
      <c r="D21535" s="17" t="s">
        <v>11</v>
      </c>
      <c r="E21535" s="17"/>
      <c r="F21535" s="18"/>
      <c r="G21535" s="36" t="str">
        <f>IF(ISNUMBER(F21535),C21535*F21535,"")</f>
        <v/>
      </c>
    </row>
    <row r="21536" spans="1:7" ht="12" customHeight="1" outlineLevel="2" x14ac:dyDescent="0.2">
      <c r="A21536" s="14" t="s">
        <v>42393</v>
      </c>
      <c r="B21536" s="15" t="s">
        <v>42394</v>
      </c>
      <c r="C21536" s="16">
        <f>211.24/(1+B2)</f>
        <v>211.24</v>
      </c>
      <c r="D21536" s="17"/>
      <c r="E21536" s="17" t="s">
        <v>53</v>
      </c>
      <c r="F21536" s="18"/>
      <c r="G21536" s="36" t="str">
        <f>IF(ISNUMBER(F21536),C21536*F21536,"")</f>
        <v/>
      </c>
    </row>
    <row r="21537" spans="1:7" ht="12" customHeight="1" outlineLevel="2" x14ac:dyDescent="0.2">
      <c r="A21537" s="14" t="s">
        <v>42395</v>
      </c>
      <c r="B21537" s="15" t="s">
        <v>42396</v>
      </c>
      <c r="C21537" s="16">
        <f>246.06/(1+B2)</f>
        <v>246.06</v>
      </c>
      <c r="D21537" s="17" t="s">
        <v>11</v>
      </c>
      <c r="E21537" s="17" t="s">
        <v>106</v>
      </c>
      <c r="F21537" s="18"/>
      <c r="G21537" s="36" t="str">
        <f>IF(ISNUMBER(F21537),C21537*F21537,"")</f>
        <v/>
      </c>
    </row>
    <row r="21538" spans="1:7" ht="12" customHeight="1" outlineLevel="2" x14ac:dyDescent="0.2">
      <c r="A21538" s="14" t="s">
        <v>42397</v>
      </c>
      <c r="B21538" s="15" t="s">
        <v>42398</v>
      </c>
      <c r="C21538" s="16">
        <f>233.48/(1+B2)</f>
        <v>233.48</v>
      </c>
      <c r="D21538" s="17" t="s">
        <v>11</v>
      </c>
      <c r="E21538" s="17" t="s">
        <v>106</v>
      </c>
      <c r="F21538" s="18"/>
      <c r="G21538" s="36" t="str">
        <f>IF(ISNUMBER(F21538),C21538*F21538,"")</f>
        <v/>
      </c>
    </row>
    <row r="21539" spans="1:7" ht="12" customHeight="1" outlineLevel="2" x14ac:dyDescent="0.2">
      <c r="A21539" s="14" t="s">
        <v>42399</v>
      </c>
      <c r="B21539" s="15" t="s">
        <v>42400</v>
      </c>
      <c r="C21539" s="16">
        <f>265.39/(1+B2)</f>
        <v>265.39</v>
      </c>
      <c r="D21539" s="17" t="s">
        <v>11</v>
      </c>
      <c r="E21539" s="17" t="s">
        <v>106</v>
      </c>
      <c r="F21539" s="18"/>
      <c r="G21539" s="36" t="str">
        <f>IF(ISNUMBER(F21539),C21539*F21539,"")</f>
        <v/>
      </c>
    </row>
    <row r="21540" spans="1:7" ht="12" customHeight="1" outlineLevel="2" x14ac:dyDescent="0.2">
      <c r="A21540" s="14" t="s">
        <v>42401</v>
      </c>
      <c r="B21540" s="15" t="s">
        <v>42402</v>
      </c>
      <c r="C21540" s="16">
        <f>239.63/(1+B2)</f>
        <v>239.63</v>
      </c>
      <c r="D21540" s="17" t="s">
        <v>11</v>
      </c>
      <c r="E21540" s="17" t="s">
        <v>106</v>
      </c>
      <c r="F21540" s="18"/>
      <c r="G21540" s="36" t="str">
        <f>IF(ISNUMBER(F21540),C21540*F21540,"")</f>
        <v/>
      </c>
    </row>
    <row r="21541" spans="1:7" ht="12" customHeight="1" outlineLevel="2" x14ac:dyDescent="0.2">
      <c r="A21541" s="14" t="s">
        <v>42403</v>
      </c>
      <c r="B21541" s="15" t="s">
        <v>42404</v>
      </c>
      <c r="C21541" s="16">
        <f>286.88/(1+B2)</f>
        <v>286.88</v>
      </c>
      <c r="D21541" s="17" t="s">
        <v>11</v>
      </c>
      <c r="E21541" s="17"/>
      <c r="F21541" s="18"/>
      <c r="G21541" s="36" t="str">
        <f>IF(ISNUMBER(F21541),C21541*F21541,"")</f>
        <v/>
      </c>
    </row>
    <row r="21542" spans="1:7" ht="12" customHeight="1" outlineLevel="2" x14ac:dyDescent="0.2">
      <c r="A21542" s="14" t="s">
        <v>42405</v>
      </c>
      <c r="B21542" s="15" t="s">
        <v>42406</v>
      </c>
      <c r="C21542" s="16">
        <f>180.9/(1+B2)</f>
        <v>180.9</v>
      </c>
      <c r="D21542" s="17" t="s">
        <v>11</v>
      </c>
      <c r="E21542" s="17" t="s">
        <v>53</v>
      </c>
      <c r="F21542" s="18"/>
      <c r="G21542" s="36" t="str">
        <f>IF(ISNUMBER(F21542),C21542*F21542,"")</f>
        <v/>
      </c>
    </row>
    <row r="21543" spans="1:7" ht="12" customHeight="1" outlineLevel="2" x14ac:dyDescent="0.2">
      <c r="A21543" s="14" t="s">
        <v>42407</v>
      </c>
      <c r="B21543" s="15" t="s">
        <v>42408</v>
      </c>
      <c r="C21543" s="16">
        <f>215.36/(1+B2)</f>
        <v>215.36</v>
      </c>
      <c r="D21543" s="17" t="s">
        <v>11</v>
      </c>
      <c r="E21543" s="17" t="s">
        <v>53</v>
      </c>
      <c r="F21543" s="18"/>
      <c r="G21543" s="36" t="str">
        <f>IF(ISNUMBER(F21543),C21543*F21543,"")</f>
        <v/>
      </c>
    </row>
    <row r="21544" spans="1:7" ht="12" customHeight="1" outlineLevel="2" x14ac:dyDescent="0.2">
      <c r="A21544" s="14" t="s">
        <v>42409</v>
      </c>
      <c r="B21544" s="15" t="s">
        <v>42410</v>
      </c>
      <c r="C21544" s="16">
        <f>542.88/(1+B2)</f>
        <v>542.88</v>
      </c>
      <c r="D21544" s="17" t="s">
        <v>11</v>
      </c>
      <c r="E21544" s="17"/>
      <c r="F21544" s="18"/>
      <c r="G21544" s="36" t="str">
        <f>IF(ISNUMBER(F21544),C21544*F21544,"")</f>
        <v/>
      </c>
    </row>
    <row r="21545" spans="1:7" s="1" customFormat="1" ht="15.95" customHeight="1" outlineLevel="1" x14ac:dyDescent="0.25">
      <c r="A21545" s="11"/>
      <c r="B21545" s="12" t="s">
        <v>42411</v>
      </c>
      <c r="C21545" s="13"/>
      <c r="D21545" s="13"/>
      <c r="E21545" s="13"/>
      <c r="F21545" s="13"/>
      <c r="G21545" s="35"/>
    </row>
    <row r="21546" spans="1:7" ht="12" customHeight="1" outlineLevel="2" x14ac:dyDescent="0.2">
      <c r="A21546" s="14" t="s">
        <v>42412</v>
      </c>
      <c r="B21546" s="15" t="s">
        <v>42413</v>
      </c>
      <c r="C21546" s="16">
        <f>960.69/(1+B2)</f>
        <v>960.69</v>
      </c>
      <c r="D21546" s="17" t="s">
        <v>11</v>
      </c>
      <c r="E21546" s="17" t="s">
        <v>11</v>
      </c>
      <c r="F21546" s="18"/>
      <c r="G21546" s="36" t="str">
        <f>IF(ISNUMBER(F21546),C21546*F21546,"")</f>
        <v/>
      </c>
    </row>
    <row r="21547" spans="1:7" ht="12" customHeight="1" outlineLevel="2" x14ac:dyDescent="0.2">
      <c r="A21547" s="14" t="s">
        <v>42414</v>
      </c>
      <c r="B21547" s="15" t="s">
        <v>42415</v>
      </c>
      <c r="C21547" s="16">
        <f>250.44/(1+B2)</f>
        <v>250.44</v>
      </c>
      <c r="D21547" s="17" t="s">
        <v>11</v>
      </c>
      <c r="E21547" s="17" t="s">
        <v>14</v>
      </c>
      <c r="F21547" s="18"/>
      <c r="G21547" s="36" t="str">
        <f>IF(ISNUMBER(F21547),C21547*F21547,"")</f>
        <v/>
      </c>
    </row>
    <row r="21548" spans="1:7" s="1" customFormat="1" ht="15.95" customHeight="1" outlineLevel="1" x14ac:dyDescent="0.25">
      <c r="A21548" s="11"/>
      <c r="B21548" s="12" t="s">
        <v>42416</v>
      </c>
      <c r="C21548" s="13"/>
      <c r="D21548" s="13"/>
      <c r="E21548" s="13"/>
      <c r="F21548" s="13"/>
      <c r="G21548" s="35"/>
    </row>
    <row r="21549" spans="1:7" ht="12" customHeight="1" outlineLevel="2" x14ac:dyDescent="0.2">
      <c r="A21549" s="14" t="s">
        <v>42417</v>
      </c>
      <c r="B21549" s="15" t="s">
        <v>42418</v>
      </c>
      <c r="C21549" s="16">
        <f>286.9/(1+B2)</f>
        <v>286.89999999999998</v>
      </c>
      <c r="D21549" s="17"/>
      <c r="E21549" s="17" t="s">
        <v>11</v>
      </c>
      <c r="F21549" s="18"/>
      <c r="G21549" s="36" t="str">
        <f>IF(ISNUMBER(F21549),C21549*F21549,"")</f>
        <v/>
      </c>
    </row>
    <row r="21550" spans="1:7" ht="12" customHeight="1" outlineLevel="2" x14ac:dyDescent="0.2">
      <c r="A21550" s="14" t="s">
        <v>42419</v>
      </c>
      <c r="B21550" s="15" t="s">
        <v>42420</v>
      </c>
      <c r="C21550" s="16">
        <f>315.66/(1+B2)</f>
        <v>315.66000000000003</v>
      </c>
      <c r="D21550" s="17"/>
      <c r="E21550" s="17" t="s">
        <v>11</v>
      </c>
      <c r="F21550" s="18"/>
      <c r="G21550" s="36" t="str">
        <f>IF(ISNUMBER(F21550),C21550*F21550,"")</f>
        <v/>
      </c>
    </row>
    <row r="21551" spans="1:7" ht="12" customHeight="1" outlineLevel="2" x14ac:dyDescent="0.2">
      <c r="A21551" s="14" t="s">
        <v>42421</v>
      </c>
      <c r="B21551" s="15" t="s">
        <v>42422</v>
      </c>
      <c r="C21551" s="16">
        <f>45.26/(1+B2)</f>
        <v>45.26</v>
      </c>
      <c r="D21551" s="17" t="s">
        <v>14</v>
      </c>
      <c r="E21551" s="17"/>
      <c r="F21551" s="18"/>
      <c r="G21551" s="36" t="str">
        <f>IF(ISNUMBER(F21551),C21551*F21551,"")</f>
        <v/>
      </c>
    </row>
    <row r="21552" spans="1:7" ht="12" customHeight="1" outlineLevel="2" x14ac:dyDescent="0.2">
      <c r="A21552" s="14" t="s">
        <v>42423</v>
      </c>
      <c r="B21552" s="15" t="s">
        <v>42424</v>
      </c>
      <c r="C21552" s="16">
        <f>154.48/(1+B2)</f>
        <v>154.47999999999999</v>
      </c>
      <c r="D21552" s="17" t="s">
        <v>11</v>
      </c>
      <c r="E21552" s="17"/>
      <c r="F21552" s="18"/>
      <c r="G21552" s="36" t="str">
        <f>IF(ISNUMBER(F21552),C21552*F21552,"")</f>
        <v/>
      </c>
    </row>
    <row r="21553" spans="1:7" ht="12" customHeight="1" outlineLevel="2" x14ac:dyDescent="0.2">
      <c r="A21553" s="14" t="s">
        <v>42425</v>
      </c>
      <c r="B21553" s="15" t="s">
        <v>42426</v>
      </c>
      <c r="C21553" s="16">
        <f>8.83/(1+B2)</f>
        <v>8.83</v>
      </c>
      <c r="D21553" s="17" t="s">
        <v>11</v>
      </c>
      <c r="E21553" s="17"/>
      <c r="F21553" s="18"/>
      <c r="G21553" s="36" t="str">
        <f>IF(ISNUMBER(F21553),C21553*F21553,"")</f>
        <v/>
      </c>
    </row>
    <row r="21554" spans="1:7" ht="12" customHeight="1" outlineLevel="2" x14ac:dyDescent="0.2">
      <c r="A21554" s="14" t="s">
        <v>42427</v>
      </c>
      <c r="B21554" s="15" t="s">
        <v>42428</v>
      </c>
      <c r="C21554" s="16">
        <f>27.52/(1+B2)</f>
        <v>27.52</v>
      </c>
      <c r="D21554" s="17" t="s">
        <v>14</v>
      </c>
      <c r="E21554" s="17"/>
      <c r="F21554" s="18"/>
      <c r="G21554" s="36" t="str">
        <f>IF(ISNUMBER(F21554),C21554*F21554,"")</f>
        <v/>
      </c>
    </row>
    <row r="21555" spans="1:7" ht="12" customHeight="1" outlineLevel="2" x14ac:dyDescent="0.2">
      <c r="A21555" s="14" t="s">
        <v>42429</v>
      </c>
      <c r="B21555" s="15" t="s">
        <v>42430</v>
      </c>
      <c r="C21555" s="16">
        <f>31.97/(1+B2)</f>
        <v>31.97</v>
      </c>
      <c r="D21555" s="17" t="s">
        <v>14</v>
      </c>
      <c r="E21555" s="17" t="s">
        <v>11</v>
      </c>
      <c r="F21555" s="18"/>
      <c r="G21555" s="36" t="str">
        <f>IF(ISNUMBER(F21555),C21555*F21555,"")</f>
        <v/>
      </c>
    </row>
    <row r="21556" spans="1:7" ht="12" customHeight="1" outlineLevel="2" x14ac:dyDescent="0.2">
      <c r="A21556" s="14" t="s">
        <v>42431</v>
      </c>
      <c r="B21556" s="15" t="s">
        <v>42432</v>
      </c>
      <c r="C21556" s="16">
        <f>79.15/(1+B2)</f>
        <v>79.150000000000006</v>
      </c>
      <c r="D21556" s="17" t="s">
        <v>14</v>
      </c>
      <c r="E21556" s="17" t="s">
        <v>106</v>
      </c>
      <c r="F21556" s="18"/>
      <c r="G21556" s="36" t="str">
        <f>IF(ISNUMBER(F21556),C21556*F21556,"")</f>
        <v/>
      </c>
    </row>
    <row r="21557" spans="1:7" ht="12" customHeight="1" outlineLevel="2" x14ac:dyDescent="0.2">
      <c r="A21557" s="14" t="s">
        <v>42433</v>
      </c>
      <c r="B21557" s="15" t="s">
        <v>42434</v>
      </c>
      <c r="C21557" s="16">
        <f>132.19/(1+B2)</f>
        <v>132.19</v>
      </c>
      <c r="D21557" s="17" t="s">
        <v>11</v>
      </c>
      <c r="E21557" s="17"/>
      <c r="F21557" s="18"/>
      <c r="G21557" s="36" t="str">
        <f>IF(ISNUMBER(F21557),C21557*F21557,"")</f>
        <v/>
      </c>
    </row>
    <row r="21558" spans="1:7" ht="12" customHeight="1" outlineLevel="2" x14ac:dyDescent="0.2">
      <c r="A21558" s="14" t="s">
        <v>42435</v>
      </c>
      <c r="B21558" s="15" t="s">
        <v>42436</v>
      </c>
      <c r="C21558" s="16">
        <f>110.7/(1+B2)</f>
        <v>110.7</v>
      </c>
      <c r="D21558" s="17" t="s">
        <v>11</v>
      </c>
      <c r="E21558" s="17"/>
      <c r="F21558" s="18"/>
      <c r="G21558" s="36" t="str">
        <f>IF(ISNUMBER(F21558),C21558*F21558,"")</f>
        <v/>
      </c>
    </row>
    <row r="21559" spans="1:7" ht="12" customHeight="1" outlineLevel="2" x14ac:dyDescent="0.2">
      <c r="A21559" s="14" t="s">
        <v>42437</v>
      </c>
      <c r="B21559" s="15" t="s">
        <v>42438</v>
      </c>
      <c r="C21559" s="16">
        <f>75.84/(1+B2)</f>
        <v>75.84</v>
      </c>
      <c r="D21559" s="17" t="s">
        <v>53</v>
      </c>
      <c r="E21559" s="17" t="s">
        <v>11</v>
      </c>
      <c r="F21559" s="18"/>
      <c r="G21559" s="36" t="str">
        <f>IF(ISNUMBER(F21559),C21559*F21559,"")</f>
        <v/>
      </c>
    </row>
    <row r="21560" spans="1:7" ht="12" customHeight="1" outlineLevel="2" x14ac:dyDescent="0.2">
      <c r="A21560" s="14" t="s">
        <v>42439</v>
      </c>
      <c r="B21560" s="15" t="s">
        <v>42440</v>
      </c>
      <c r="C21560" s="16">
        <f>76.89/(1+B2)</f>
        <v>76.89</v>
      </c>
      <c r="D21560" s="17" t="s">
        <v>53</v>
      </c>
      <c r="E21560" s="17" t="s">
        <v>11</v>
      </c>
      <c r="F21560" s="18"/>
      <c r="G21560" s="36" t="str">
        <f>IF(ISNUMBER(F21560),C21560*F21560,"")</f>
        <v/>
      </c>
    </row>
    <row r="21561" spans="1:7" ht="12" customHeight="1" outlineLevel="2" x14ac:dyDescent="0.2">
      <c r="A21561" s="14" t="s">
        <v>42441</v>
      </c>
      <c r="B21561" s="15" t="s">
        <v>42442</v>
      </c>
      <c r="C21561" s="16">
        <f>79.48/(1+B2)</f>
        <v>79.48</v>
      </c>
      <c r="D21561" s="17" t="s">
        <v>11</v>
      </c>
      <c r="E21561" s="17"/>
      <c r="F21561" s="18"/>
      <c r="G21561" s="36" t="str">
        <f>IF(ISNUMBER(F21561),C21561*F21561,"")</f>
        <v/>
      </c>
    </row>
    <row r="21562" spans="1:7" ht="12" customHeight="1" outlineLevel="2" x14ac:dyDescent="0.2">
      <c r="A21562" s="14" t="s">
        <v>42443</v>
      </c>
      <c r="B21562" s="15" t="s">
        <v>42444</v>
      </c>
      <c r="C21562" s="16">
        <f>88.65/(1+B2)</f>
        <v>88.65</v>
      </c>
      <c r="D21562" s="17" t="s">
        <v>11</v>
      </c>
      <c r="E21562" s="17" t="s">
        <v>11</v>
      </c>
      <c r="F21562" s="18"/>
      <c r="G21562" s="36" t="str">
        <f>IF(ISNUMBER(F21562),C21562*F21562,"")</f>
        <v/>
      </c>
    </row>
    <row r="21563" spans="1:7" ht="12" customHeight="1" outlineLevel="2" x14ac:dyDescent="0.2">
      <c r="A21563" s="14" t="s">
        <v>42445</v>
      </c>
      <c r="B21563" s="15" t="s">
        <v>42446</v>
      </c>
      <c r="C21563" s="16">
        <f>24.79/(1+B2)</f>
        <v>24.79</v>
      </c>
      <c r="D21563" s="17" t="s">
        <v>11</v>
      </c>
      <c r="E21563" s="17" t="s">
        <v>106</v>
      </c>
      <c r="F21563" s="18"/>
      <c r="G21563" s="36" t="str">
        <f>IF(ISNUMBER(F21563),C21563*F21563,"")</f>
        <v/>
      </c>
    </row>
    <row r="21564" spans="1:7" s="1" customFormat="1" ht="15.95" customHeight="1" outlineLevel="1" x14ac:dyDescent="0.25">
      <c r="A21564" s="11"/>
      <c r="B21564" s="12" t="s">
        <v>42447</v>
      </c>
      <c r="C21564" s="13"/>
      <c r="D21564" s="13"/>
      <c r="E21564" s="13"/>
      <c r="F21564" s="13"/>
      <c r="G21564" s="35"/>
    </row>
    <row r="21565" spans="1:7" ht="12" customHeight="1" outlineLevel="2" x14ac:dyDescent="0.2">
      <c r="A21565" s="14" t="s">
        <v>42448</v>
      </c>
      <c r="B21565" s="15" t="s">
        <v>42449</v>
      </c>
      <c r="C21565" s="16">
        <f>118.75/(1+B2)</f>
        <v>118.75</v>
      </c>
      <c r="D21565" s="17" t="s">
        <v>53</v>
      </c>
      <c r="E21565" s="17"/>
      <c r="F21565" s="18"/>
      <c r="G21565" s="36" t="str">
        <f>IF(ISNUMBER(F21565),C21565*F21565,"")</f>
        <v/>
      </c>
    </row>
    <row r="21566" spans="1:7" ht="12" customHeight="1" outlineLevel="2" x14ac:dyDescent="0.2">
      <c r="A21566" s="14" t="s">
        <v>42450</v>
      </c>
      <c r="B21566" s="15" t="s">
        <v>42451</v>
      </c>
      <c r="C21566" s="16">
        <f>130/(1+B2)</f>
        <v>130</v>
      </c>
      <c r="D21566" s="17" t="s">
        <v>14</v>
      </c>
      <c r="E21566" s="17"/>
      <c r="F21566" s="18"/>
      <c r="G21566" s="36" t="str">
        <f>IF(ISNUMBER(F21566),C21566*F21566,"")</f>
        <v/>
      </c>
    </row>
    <row r="21567" spans="1:7" ht="12" customHeight="1" outlineLevel="2" x14ac:dyDescent="0.2">
      <c r="A21567" s="14" t="s">
        <v>42452</v>
      </c>
      <c r="B21567" s="15" t="s">
        <v>42453</v>
      </c>
      <c r="C21567" s="16">
        <f>156/(1+B2)</f>
        <v>156</v>
      </c>
      <c r="D21567" s="17" t="s">
        <v>11</v>
      </c>
      <c r="E21567" s="17" t="s">
        <v>11</v>
      </c>
      <c r="F21567" s="18"/>
      <c r="G21567" s="36" t="str">
        <f>IF(ISNUMBER(F21567),C21567*F21567,"")</f>
        <v/>
      </c>
    </row>
    <row r="21568" spans="1:7" ht="12" customHeight="1" outlineLevel="2" x14ac:dyDescent="0.2">
      <c r="A21568" s="14" t="s">
        <v>42454</v>
      </c>
      <c r="B21568" s="15" t="s">
        <v>42455</v>
      </c>
      <c r="C21568" s="16">
        <f>308.1/(1+B2)</f>
        <v>308.10000000000002</v>
      </c>
      <c r="D21568" s="17" t="s">
        <v>11</v>
      </c>
      <c r="E21568" s="17"/>
      <c r="F21568" s="18"/>
      <c r="G21568" s="36" t="str">
        <f>IF(ISNUMBER(F21568),C21568*F21568,"")</f>
        <v/>
      </c>
    </row>
    <row r="21569" spans="1:7" ht="12" customHeight="1" outlineLevel="2" x14ac:dyDescent="0.2">
      <c r="A21569" s="14" t="s">
        <v>42456</v>
      </c>
      <c r="B21569" s="15" t="s">
        <v>42457</v>
      </c>
      <c r="C21569" s="16">
        <f>335.4/(1+B2)</f>
        <v>335.4</v>
      </c>
      <c r="D21569" s="17" t="s">
        <v>14</v>
      </c>
      <c r="E21569" s="17" t="s">
        <v>11</v>
      </c>
      <c r="F21569" s="18"/>
      <c r="G21569" s="36" t="str">
        <f>IF(ISNUMBER(F21569),C21569*F21569,"")</f>
        <v/>
      </c>
    </row>
    <row r="21570" spans="1:7" ht="12" customHeight="1" outlineLevel="2" x14ac:dyDescent="0.2">
      <c r="A21570" s="14" t="s">
        <v>42458</v>
      </c>
      <c r="B21570" s="15" t="s">
        <v>42459</v>
      </c>
      <c r="C21570" s="16">
        <f>607.5/(1+B2)</f>
        <v>607.5</v>
      </c>
      <c r="D21570" s="17" t="s">
        <v>11</v>
      </c>
      <c r="E21570" s="17" t="s">
        <v>11</v>
      </c>
      <c r="F21570" s="18"/>
      <c r="G21570" s="36" t="str">
        <f>IF(ISNUMBER(F21570),C21570*F21570,"")</f>
        <v/>
      </c>
    </row>
    <row r="21571" spans="1:7" ht="12" customHeight="1" outlineLevel="2" x14ac:dyDescent="0.2">
      <c r="A21571" s="14" t="s">
        <v>42460</v>
      </c>
      <c r="B21571" s="15" t="s">
        <v>42461</v>
      </c>
      <c r="C21571" s="16">
        <f>192.5/(1+B2)</f>
        <v>192.5</v>
      </c>
      <c r="D21571" s="17" t="s">
        <v>11</v>
      </c>
      <c r="E21571" s="17"/>
      <c r="F21571" s="18"/>
      <c r="G21571" s="36" t="str">
        <f>IF(ISNUMBER(F21571),C21571*F21571,"")</f>
        <v/>
      </c>
    </row>
    <row r="21572" spans="1:7" ht="12" customHeight="1" outlineLevel="2" x14ac:dyDescent="0.2">
      <c r="A21572" s="14" t="s">
        <v>42462</v>
      </c>
      <c r="B21572" s="15" t="s">
        <v>42463</v>
      </c>
      <c r="C21572" s="16">
        <f>154.7/(1+B2)</f>
        <v>154.69999999999999</v>
      </c>
      <c r="D21572" s="17" t="s">
        <v>14</v>
      </c>
      <c r="E21572" s="17"/>
      <c r="F21572" s="18"/>
      <c r="G21572" s="36" t="str">
        <f>IF(ISNUMBER(F21572),C21572*F21572,"")</f>
        <v/>
      </c>
    </row>
    <row r="21573" spans="1:7" ht="12" customHeight="1" outlineLevel="2" x14ac:dyDescent="0.2">
      <c r="A21573" s="14" t="s">
        <v>42464</v>
      </c>
      <c r="B21573" s="15" t="s">
        <v>42465</v>
      </c>
      <c r="C21573" s="16">
        <f>233.75/(1+B2)</f>
        <v>233.75</v>
      </c>
      <c r="D21573" s="17" t="s">
        <v>11</v>
      </c>
      <c r="E21573" s="17"/>
      <c r="F21573" s="18"/>
      <c r="G21573" s="36" t="str">
        <f>IF(ISNUMBER(F21573),C21573*F21573,"")</f>
        <v/>
      </c>
    </row>
    <row r="21574" spans="1:7" ht="12" customHeight="1" outlineLevel="2" x14ac:dyDescent="0.2">
      <c r="A21574" s="14" t="s">
        <v>42466</v>
      </c>
      <c r="B21574" s="15" t="s">
        <v>42467</v>
      </c>
      <c r="C21574" s="16">
        <f>210.6/(1+B2)</f>
        <v>210.6</v>
      </c>
      <c r="D21574" s="17" t="s">
        <v>11</v>
      </c>
      <c r="E21574" s="17"/>
      <c r="F21574" s="18"/>
      <c r="G21574" s="36" t="str">
        <f>IF(ISNUMBER(F21574),C21574*F21574,"")</f>
        <v/>
      </c>
    </row>
    <row r="21575" spans="1:7" ht="12" customHeight="1" outlineLevel="2" x14ac:dyDescent="0.2">
      <c r="A21575" s="14" t="s">
        <v>42468</v>
      </c>
      <c r="B21575" s="15" t="s">
        <v>42469</v>
      </c>
      <c r="C21575" s="16">
        <f>212.5/(1+B2)</f>
        <v>212.5</v>
      </c>
      <c r="D21575" s="17" t="s">
        <v>14</v>
      </c>
      <c r="E21575" s="17" t="s">
        <v>11</v>
      </c>
      <c r="F21575" s="18"/>
      <c r="G21575" s="36" t="str">
        <f>IF(ISNUMBER(F21575),C21575*F21575,"")</f>
        <v/>
      </c>
    </row>
    <row r="21576" spans="1:7" ht="12" customHeight="1" outlineLevel="2" x14ac:dyDescent="0.2">
      <c r="A21576" s="14" t="s">
        <v>42470</v>
      </c>
      <c r="B21576" s="15" t="s">
        <v>42471</v>
      </c>
      <c r="C21576" s="16">
        <f>236.25/(1+B2)</f>
        <v>236.25</v>
      </c>
      <c r="D21576" s="17" t="s">
        <v>53</v>
      </c>
      <c r="E21576" s="17"/>
      <c r="F21576" s="18"/>
      <c r="G21576" s="36" t="str">
        <f>IF(ISNUMBER(F21576),C21576*F21576,"")</f>
        <v/>
      </c>
    </row>
    <row r="21577" spans="1:7" ht="12" customHeight="1" outlineLevel="2" x14ac:dyDescent="0.2">
      <c r="A21577" s="14" t="s">
        <v>42472</v>
      </c>
      <c r="B21577" s="15" t="s">
        <v>42473</v>
      </c>
      <c r="C21577" s="16">
        <f>298.75/(1+B2)</f>
        <v>298.75</v>
      </c>
      <c r="D21577" s="17" t="s">
        <v>14</v>
      </c>
      <c r="E21577" s="17"/>
      <c r="F21577" s="18"/>
      <c r="G21577" s="36" t="str">
        <f>IF(ISNUMBER(F21577),C21577*F21577,"")</f>
        <v/>
      </c>
    </row>
    <row r="21578" spans="1:7" ht="12" customHeight="1" outlineLevel="2" x14ac:dyDescent="0.2">
      <c r="A21578" s="14" t="s">
        <v>42474</v>
      </c>
      <c r="B21578" s="15" t="s">
        <v>42475</v>
      </c>
      <c r="C21578" s="16">
        <f>252.5/(1+B2)</f>
        <v>252.5</v>
      </c>
      <c r="D21578" s="17" t="s">
        <v>14</v>
      </c>
      <c r="E21578" s="17"/>
      <c r="F21578" s="18"/>
      <c r="G21578" s="36" t="str">
        <f>IF(ISNUMBER(F21578),C21578*F21578,"")</f>
        <v/>
      </c>
    </row>
    <row r="21579" spans="1:7" ht="12" customHeight="1" outlineLevel="2" x14ac:dyDescent="0.2">
      <c r="A21579" s="14" t="s">
        <v>42476</v>
      </c>
      <c r="B21579" s="15" t="s">
        <v>42477</v>
      </c>
      <c r="C21579" s="16">
        <f>287.5/(1+B2)</f>
        <v>287.5</v>
      </c>
      <c r="D21579" s="17" t="s">
        <v>11</v>
      </c>
      <c r="E21579" s="17" t="s">
        <v>11</v>
      </c>
      <c r="F21579" s="18"/>
      <c r="G21579" s="36" t="str">
        <f>IF(ISNUMBER(F21579),C21579*F21579,"")</f>
        <v/>
      </c>
    </row>
    <row r="21580" spans="1:7" ht="12" customHeight="1" outlineLevel="2" x14ac:dyDescent="0.2">
      <c r="A21580" s="14" t="s">
        <v>42478</v>
      </c>
      <c r="B21580" s="15" t="s">
        <v>42479</v>
      </c>
      <c r="C21580" s="16">
        <f>325/(1+B2)</f>
        <v>325</v>
      </c>
      <c r="D21580" s="17" t="s">
        <v>11</v>
      </c>
      <c r="E21580" s="17"/>
      <c r="F21580" s="18"/>
      <c r="G21580" s="36" t="str">
        <f>IF(ISNUMBER(F21580),C21580*F21580,"")</f>
        <v/>
      </c>
    </row>
    <row r="21581" spans="1:7" ht="12" customHeight="1" outlineLevel="2" x14ac:dyDescent="0.2">
      <c r="A21581" s="14" t="s">
        <v>42480</v>
      </c>
      <c r="B21581" s="15" t="s">
        <v>42481</v>
      </c>
      <c r="C21581" s="16">
        <f>432.5/(1+B2)</f>
        <v>432.5</v>
      </c>
      <c r="D21581" s="17" t="s">
        <v>11</v>
      </c>
      <c r="E21581" s="17" t="s">
        <v>11</v>
      </c>
      <c r="F21581" s="18"/>
      <c r="G21581" s="36" t="str">
        <f>IF(ISNUMBER(F21581),C21581*F21581,"")</f>
        <v/>
      </c>
    </row>
    <row r="21582" spans="1:7" ht="12" customHeight="1" outlineLevel="2" x14ac:dyDescent="0.2">
      <c r="A21582" s="14" t="s">
        <v>42482</v>
      </c>
      <c r="B21582" s="15" t="s">
        <v>42483</v>
      </c>
      <c r="C21582" s="16">
        <f>250/(1+B2)</f>
        <v>250</v>
      </c>
      <c r="D21582" s="17" t="s">
        <v>11</v>
      </c>
      <c r="E21582" s="17" t="s">
        <v>11</v>
      </c>
      <c r="F21582" s="18"/>
      <c r="G21582" s="36" t="str">
        <f>IF(ISNUMBER(F21582),C21582*F21582,"")</f>
        <v/>
      </c>
    </row>
    <row r="21583" spans="1:7" ht="12" customHeight="1" outlineLevel="2" x14ac:dyDescent="0.2">
      <c r="A21583" s="14" t="s">
        <v>42484</v>
      </c>
      <c r="B21583" s="15" t="s">
        <v>42485</v>
      </c>
      <c r="C21583" s="16">
        <f>322.5/(1+B2)</f>
        <v>322.5</v>
      </c>
      <c r="D21583" s="17" t="s">
        <v>11</v>
      </c>
      <c r="E21583" s="17"/>
      <c r="F21583" s="18"/>
      <c r="G21583" s="36" t="str">
        <f>IF(ISNUMBER(F21583),C21583*F21583,"")</f>
        <v/>
      </c>
    </row>
    <row r="21584" spans="1:7" ht="12" customHeight="1" outlineLevel="2" x14ac:dyDescent="0.2">
      <c r="A21584" s="14" t="s">
        <v>42486</v>
      </c>
      <c r="B21584" s="15" t="s">
        <v>42487</v>
      </c>
      <c r="C21584" s="16">
        <f>400/(1+B2)</f>
        <v>400</v>
      </c>
      <c r="D21584" s="17" t="s">
        <v>11</v>
      </c>
      <c r="E21584" s="17" t="s">
        <v>11</v>
      </c>
      <c r="F21584" s="18"/>
      <c r="G21584" s="36" t="str">
        <f>IF(ISNUMBER(F21584),C21584*F21584,"")</f>
        <v/>
      </c>
    </row>
    <row r="21585" spans="1:7" ht="12" customHeight="1" outlineLevel="2" x14ac:dyDescent="0.2">
      <c r="A21585" s="14" t="s">
        <v>42488</v>
      </c>
      <c r="B21585" s="15" t="s">
        <v>42489</v>
      </c>
      <c r="C21585" s="16">
        <f>236.07/(1+B2)</f>
        <v>236.07</v>
      </c>
      <c r="D21585" s="17" t="s">
        <v>11</v>
      </c>
      <c r="E21585" s="17"/>
      <c r="F21585" s="18"/>
      <c r="G21585" s="36" t="str">
        <f>IF(ISNUMBER(F21585),C21585*F21585,"")</f>
        <v/>
      </c>
    </row>
    <row r="21586" spans="1:7" ht="12" customHeight="1" outlineLevel="2" x14ac:dyDescent="0.2">
      <c r="A21586" s="14" t="s">
        <v>42490</v>
      </c>
      <c r="B21586" s="15" t="s">
        <v>42491</v>
      </c>
      <c r="C21586" s="16">
        <f>91.28/(1+B2)</f>
        <v>91.28</v>
      </c>
      <c r="D21586" s="17" t="s">
        <v>11</v>
      </c>
      <c r="E21586" s="17"/>
      <c r="F21586" s="18"/>
      <c r="G21586" s="36" t="str">
        <f>IF(ISNUMBER(F21586),C21586*F21586,"")</f>
        <v/>
      </c>
    </row>
    <row r="21587" spans="1:7" ht="12" customHeight="1" outlineLevel="2" x14ac:dyDescent="0.2">
      <c r="A21587" s="14" t="s">
        <v>42492</v>
      </c>
      <c r="B21587" s="15" t="s">
        <v>42493</v>
      </c>
      <c r="C21587" s="16">
        <f>89.03/(1+B2)</f>
        <v>89.03</v>
      </c>
      <c r="D21587" s="17" t="s">
        <v>11</v>
      </c>
      <c r="E21587" s="17"/>
      <c r="F21587" s="18"/>
      <c r="G21587" s="36" t="str">
        <f>IF(ISNUMBER(F21587),C21587*F21587,"")</f>
        <v/>
      </c>
    </row>
    <row r="21588" spans="1:7" s="1" customFormat="1" ht="15.95" customHeight="1" outlineLevel="1" x14ac:dyDescent="0.25">
      <c r="A21588" s="11"/>
      <c r="B21588" s="12" t="s">
        <v>42494</v>
      </c>
      <c r="C21588" s="13"/>
      <c r="D21588" s="13"/>
      <c r="E21588" s="13"/>
      <c r="F21588" s="13"/>
      <c r="G21588" s="35"/>
    </row>
    <row r="21589" spans="1:7" ht="12" customHeight="1" outlineLevel="2" x14ac:dyDescent="0.2">
      <c r="A21589" s="14" t="s">
        <v>42495</v>
      </c>
      <c r="B21589" s="15" t="s">
        <v>42496</v>
      </c>
      <c r="C21589" s="16">
        <f>22.88/(1+B2)</f>
        <v>22.88</v>
      </c>
      <c r="D21589" s="17" t="s">
        <v>53</v>
      </c>
      <c r="E21589" s="17" t="s">
        <v>106</v>
      </c>
      <c r="F21589" s="18"/>
      <c r="G21589" s="36" t="str">
        <f>IF(ISNUMBER(F21589),C21589*F21589,"")</f>
        <v/>
      </c>
    </row>
    <row r="21590" spans="1:7" ht="12" customHeight="1" outlineLevel="2" x14ac:dyDescent="0.2">
      <c r="A21590" s="14" t="s">
        <v>42497</v>
      </c>
      <c r="B21590" s="15" t="s">
        <v>42498</v>
      </c>
      <c r="C21590" s="16">
        <f>21.13/(1+B2)</f>
        <v>21.13</v>
      </c>
      <c r="D21590" s="17" t="s">
        <v>11</v>
      </c>
      <c r="E21590" s="17" t="s">
        <v>11</v>
      </c>
      <c r="F21590" s="18"/>
      <c r="G21590" s="36" t="str">
        <f>IF(ISNUMBER(F21590),C21590*F21590,"")</f>
        <v/>
      </c>
    </row>
    <row r="21591" spans="1:7" ht="12" customHeight="1" outlineLevel="2" x14ac:dyDescent="0.2">
      <c r="A21591" s="14" t="s">
        <v>42499</v>
      </c>
      <c r="B21591" s="15" t="s">
        <v>42500</v>
      </c>
      <c r="C21591" s="16">
        <f>23.25/(1+B2)</f>
        <v>23.25</v>
      </c>
      <c r="D21591" s="17" t="s">
        <v>53</v>
      </c>
      <c r="E21591" s="17" t="s">
        <v>106</v>
      </c>
      <c r="F21591" s="18"/>
      <c r="G21591" s="36" t="str">
        <f>IF(ISNUMBER(F21591),C21591*F21591,"")</f>
        <v/>
      </c>
    </row>
    <row r="21592" spans="1:7" ht="12" customHeight="1" outlineLevel="2" x14ac:dyDescent="0.2">
      <c r="A21592" s="14" t="s">
        <v>42501</v>
      </c>
      <c r="B21592" s="15" t="s">
        <v>42502</v>
      </c>
      <c r="C21592" s="16">
        <f>18.65/(1+B2)</f>
        <v>18.649999999999999</v>
      </c>
      <c r="D21592" s="17" t="s">
        <v>53</v>
      </c>
      <c r="E21592" s="17" t="s">
        <v>53</v>
      </c>
      <c r="F21592" s="18"/>
      <c r="G21592" s="36" t="str">
        <f>IF(ISNUMBER(F21592),C21592*F21592,"")</f>
        <v/>
      </c>
    </row>
    <row r="21593" spans="1:7" ht="12" customHeight="1" outlineLevel="2" x14ac:dyDescent="0.2">
      <c r="A21593" s="14" t="s">
        <v>42503</v>
      </c>
      <c r="B21593" s="15" t="s">
        <v>42504</v>
      </c>
      <c r="C21593" s="16">
        <f>13.76/(1+B2)</f>
        <v>13.76</v>
      </c>
      <c r="D21593" s="17" t="s">
        <v>14</v>
      </c>
      <c r="E21593" s="17" t="s">
        <v>14</v>
      </c>
      <c r="F21593" s="18"/>
      <c r="G21593" s="36" t="str">
        <f>IF(ISNUMBER(F21593),C21593*F21593,"")</f>
        <v/>
      </c>
    </row>
    <row r="21594" spans="1:7" ht="12" customHeight="1" outlineLevel="2" x14ac:dyDescent="0.2">
      <c r="A21594" s="14" t="s">
        <v>42505</v>
      </c>
      <c r="B21594" s="15" t="s">
        <v>42506</v>
      </c>
      <c r="C21594" s="16">
        <f>41.31/(1+B2)</f>
        <v>41.31</v>
      </c>
      <c r="D21594" s="17" t="s">
        <v>53</v>
      </c>
      <c r="E21594" s="17" t="s">
        <v>106</v>
      </c>
      <c r="F21594" s="18"/>
      <c r="G21594" s="36" t="str">
        <f>IF(ISNUMBER(F21594),C21594*F21594,"")</f>
        <v/>
      </c>
    </row>
    <row r="21595" spans="1:7" ht="12" customHeight="1" outlineLevel="2" x14ac:dyDescent="0.2">
      <c r="A21595" s="14" t="s">
        <v>42507</v>
      </c>
      <c r="B21595" s="15" t="s">
        <v>42508</v>
      </c>
      <c r="C21595" s="16">
        <f>45.16/(1+B2)</f>
        <v>45.16</v>
      </c>
      <c r="D21595" s="17"/>
      <c r="E21595" s="17" t="s">
        <v>53</v>
      </c>
      <c r="F21595" s="18"/>
      <c r="G21595" s="36" t="str">
        <f>IF(ISNUMBER(F21595),C21595*F21595,"")</f>
        <v/>
      </c>
    </row>
    <row r="21596" spans="1:7" ht="12" customHeight="1" outlineLevel="2" x14ac:dyDescent="0.2">
      <c r="A21596" s="14" t="s">
        <v>42509</v>
      </c>
      <c r="B21596" s="15" t="s">
        <v>42510</v>
      </c>
      <c r="C21596" s="16">
        <f>85.19/(1+B2)</f>
        <v>85.19</v>
      </c>
      <c r="D21596" s="17" t="s">
        <v>53</v>
      </c>
      <c r="E21596" s="17" t="s">
        <v>14</v>
      </c>
      <c r="F21596" s="18"/>
      <c r="G21596" s="36" t="str">
        <f>IF(ISNUMBER(F21596),C21596*F21596,"")</f>
        <v/>
      </c>
    </row>
    <row r="21597" spans="1:7" ht="12" customHeight="1" outlineLevel="2" x14ac:dyDescent="0.2">
      <c r="A21597" s="14" t="s">
        <v>42511</v>
      </c>
      <c r="B21597" s="15" t="s">
        <v>42512</v>
      </c>
      <c r="C21597" s="16">
        <f>50.71/(1+B2)</f>
        <v>50.71</v>
      </c>
      <c r="D21597" s="17" t="s">
        <v>53</v>
      </c>
      <c r="E21597" s="17" t="s">
        <v>14</v>
      </c>
      <c r="F21597" s="18"/>
      <c r="G21597" s="36" t="str">
        <f>IF(ISNUMBER(F21597),C21597*F21597,"")</f>
        <v/>
      </c>
    </row>
    <row r="21598" spans="1:7" ht="12" customHeight="1" outlineLevel="2" x14ac:dyDescent="0.2">
      <c r="A21598" s="14" t="s">
        <v>42513</v>
      </c>
      <c r="B21598" s="15" t="s">
        <v>42514</v>
      </c>
      <c r="C21598" s="16">
        <f>15.1/(1+B2)</f>
        <v>15.1</v>
      </c>
      <c r="D21598" s="17" t="s">
        <v>53</v>
      </c>
      <c r="E21598" s="17" t="s">
        <v>11</v>
      </c>
      <c r="F21598" s="18"/>
      <c r="G21598" s="36" t="str">
        <f>IF(ISNUMBER(F21598),C21598*F21598,"")</f>
        <v/>
      </c>
    </row>
    <row r="21599" spans="1:7" ht="12" customHeight="1" outlineLevel="2" x14ac:dyDescent="0.2">
      <c r="A21599" s="14" t="s">
        <v>42515</v>
      </c>
      <c r="B21599" s="15" t="s">
        <v>42516</v>
      </c>
      <c r="C21599" s="16">
        <f>13.54/(1+B2)</f>
        <v>13.54</v>
      </c>
      <c r="D21599" s="17" t="s">
        <v>53</v>
      </c>
      <c r="E21599" s="17" t="s">
        <v>53</v>
      </c>
      <c r="F21599" s="18"/>
      <c r="G21599" s="36" t="str">
        <f>IF(ISNUMBER(F21599),C21599*F21599,"")</f>
        <v/>
      </c>
    </row>
    <row r="21600" spans="1:7" ht="12" customHeight="1" outlineLevel="2" x14ac:dyDescent="0.2">
      <c r="A21600" s="14" t="s">
        <v>42517</v>
      </c>
      <c r="B21600" s="15" t="s">
        <v>42518</v>
      </c>
      <c r="C21600" s="16">
        <f>14.39/(1+B2)</f>
        <v>14.39</v>
      </c>
      <c r="D21600" s="17" t="s">
        <v>53</v>
      </c>
      <c r="E21600" s="17" t="s">
        <v>53</v>
      </c>
      <c r="F21600" s="18"/>
      <c r="G21600" s="36" t="str">
        <f>IF(ISNUMBER(F21600),C21600*F21600,"")</f>
        <v/>
      </c>
    </row>
    <row r="21601" spans="1:7" ht="12" customHeight="1" outlineLevel="2" x14ac:dyDescent="0.2">
      <c r="A21601" s="14" t="s">
        <v>42519</v>
      </c>
      <c r="B21601" s="15" t="s">
        <v>42520</v>
      </c>
      <c r="C21601" s="16">
        <f>14.93/(1+B2)</f>
        <v>14.93</v>
      </c>
      <c r="D21601" s="17"/>
      <c r="E21601" s="17" t="s">
        <v>53</v>
      </c>
      <c r="F21601" s="18"/>
      <c r="G21601" s="36" t="str">
        <f>IF(ISNUMBER(F21601),C21601*F21601,"")</f>
        <v/>
      </c>
    </row>
    <row r="21602" spans="1:7" ht="12" customHeight="1" outlineLevel="2" x14ac:dyDescent="0.2">
      <c r="A21602" s="14" t="s">
        <v>42521</v>
      </c>
      <c r="B21602" s="15" t="s">
        <v>42522</v>
      </c>
      <c r="C21602" s="16">
        <f>16.08/(1+B2)</f>
        <v>16.079999999999998</v>
      </c>
      <c r="D21602" s="17" t="s">
        <v>53</v>
      </c>
      <c r="E21602" s="17" t="s">
        <v>14</v>
      </c>
      <c r="F21602" s="18"/>
      <c r="G21602" s="36" t="str">
        <f>IF(ISNUMBER(F21602),C21602*F21602,"")</f>
        <v/>
      </c>
    </row>
    <row r="21603" spans="1:7" ht="12" customHeight="1" outlineLevel="2" x14ac:dyDescent="0.2">
      <c r="A21603" s="14" t="s">
        <v>42523</v>
      </c>
      <c r="B21603" s="15" t="s">
        <v>42524</v>
      </c>
      <c r="C21603" s="16">
        <f>6.83/(1+B2)</f>
        <v>6.83</v>
      </c>
      <c r="D21603" s="17" t="s">
        <v>106</v>
      </c>
      <c r="E21603" s="17" t="s">
        <v>106</v>
      </c>
      <c r="F21603" s="18"/>
      <c r="G21603" s="36" t="str">
        <f>IF(ISNUMBER(F21603),C21603*F21603,"")</f>
        <v/>
      </c>
    </row>
    <row r="21604" spans="1:7" ht="12" customHeight="1" outlineLevel="2" x14ac:dyDescent="0.2">
      <c r="A21604" s="14" t="s">
        <v>42525</v>
      </c>
      <c r="B21604" s="15" t="s">
        <v>42526</v>
      </c>
      <c r="C21604" s="16">
        <f>13.14/(1+B2)</f>
        <v>13.14</v>
      </c>
      <c r="D21604" s="17" t="s">
        <v>53</v>
      </c>
      <c r="E21604" s="17" t="s">
        <v>106</v>
      </c>
      <c r="F21604" s="18"/>
      <c r="G21604" s="36" t="str">
        <f>IF(ISNUMBER(F21604),C21604*F21604,"")</f>
        <v/>
      </c>
    </row>
    <row r="21605" spans="1:7" ht="12" customHeight="1" outlineLevel="2" x14ac:dyDescent="0.2">
      <c r="A21605" s="14" t="s">
        <v>42527</v>
      </c>
      <c r="B21605" s="15" t="s">
        <v>42528</v>
      </c>
      <c r="C21605" s="16">
        <f>14.06/(1+B2)</f>
        <v>14.06</v>
      </c>
      <c r="D21605" s="17" t="s">
        <v>53</v>
      </c>
      <c r="E21605" s="17" t="s">
        <v>14</v>
      </c>
      <c r="F21605" s="18"/>
      <c r="G21605" s="36" t="str">
        <f>IF(ISNUMBER(F21605),C21605*F21605,"")</f>
        <v/>
      </c>
    </row>
    <row r="21606" spans="1:7" ht="12" customHeight="1" outlineLevel="2" x14ac:dyDescent="0.2">
      <c r="A21606" s="14" t="s">
        <v>42529</v>
      </c>
      <c r="B21606" s="15" t="s">
        <v>42530</v>
      </c>
      <c r="C21606" s="16">
        <f>14.33/(1+B2)</f>
        <v>14.33</v>
      </c>
      <c r="D21606" s="17" t="s">
        <v>53</v>
      </c>
      <c r="E21606" s="17" t="s">
        <v>106</v>
      </c>
      <c r="F21606" s="18"/>
      <c r="G21606" s="36" t="str">
        <f>IF(ISNUMBER(F21606),C21606*F21606,"")</f>
        <v/>
      </c>
    </row>
    <row r="21607" spans="1:7" ht="12" customHeight="1" outlineLevel="2" x14ac:dyDescent="0.2">
      <c r="A21607" s="14" t="s">
        <v>42531</v>
      </c>
      <c r="B21607" s="15" t="s">
        <v>42532</v>
      </c>
      <c r="C21607" s="16">
        <f>15.69/(1+B2)</f>
        <v>15.69</v>
      </c>
      <c r="D21607" s="17"/>
      <c r="E21607" s="17" t="s">
        <v>106</v>
      </c>
      <c r="F21607" s="18"/>
      <c r="G21607" s="36" t="str">
        <f>IF(ISNUMBER(F21607),C21607*F21607,"")</f>
        <v/>
      </c>
    </row>
    <row r="21608" spans="1:7" ht="12" customHeight="1" outlineLevel="2" x14ac:dyDescent="0.2">
      <c r="A21608" s="14" t="s">
        <v>42533</v>
      </c>
      <c r="B21608" s="15" t="s">
        <v>42534</v>
      </c>
      <c r="C21608" s="16">
        <f>20.95/(1+B2)</f>
        <v>20.95</v>
      </c>
      <c r="D21608" s="17" t="s">
        <v>53</v>
      </c>
      <c r="E21608" s="17" t="s">
        <v>53</v>
      </c>
      <c r="F21608" s="18"/>
      <c r="G21608" s="36" t="str">
        <f>IF(ISNUMBER(F21608),C21608*F21608,"")</f>
        <v/>
      </c>
    </row>
    <row r="21609" spans="1:7" ht="12" customHeight="1" outlineLevel="2" x14ac:dyDescent="0.2">
      <c r="A21609" s="14" t="s">
        <v>42535</v>
      </c>
      <c r="B21609" s="15" t="s">
        <v>42536</v>
      </c>
      <c r="C21609" s="16">
        <f>13.63/(1+B2)</f>
        <v>13.63</v>
      </c>
      <c r="D21609" s="17" t="s">
        <v>14</v>
      </c>
      <c r="E21609" s="17" t="s">
        <v>53</v>
      </c>
      <c r="F21609" s="18"/>
      <c r="G21609" s="36" t="str">
        <f>IF(ISNUMBER(F21609),C21609*F21609,"")</f>
        <v/>
      </c>
    </row>
    <row r="21610" spans="1:7" ht="12" customHeight="1" outlineLevel="2" x14ac:dyDescent="0.2">
      <c r="A21610" s="14" t="s">
        <v>42537</v>
      </c>
      <c r="B21610" s="15" t="s">
        <v>42538</v>
      </c>
      <c r="C21610" s="16">
        <f>17.7/(1+B2)</f>
        <v>17.7</v>
      </c>
      <c r="D21610" s="17" t="s">
        <v>53</v>
      </c>
      <c r="E21610" s="17" t="s">
        <v>106</v>
      </c>
      <c r="F21610" s="18"/>
      <c r="G21610" s="36" t="str">
        <f>IF(ISNUMBER(F21610),C21610*F21610,"")</f>
        <v/>
      </c>
    </row>
    <row r="21611" spans="1:7" ht="12" customHeight="1" outlineLevel="2" x14ac:dyDescent="0.2">
      <c r="A21611" s="14" t="s">
        <v>42539</v>
      </c>
      <c r="B21611" s="15" t="s">
        <v>42540</v>
      </c>
      <c r="C21611" s="16">
        <f>11.31/(1+B2)</f>
        <v>11.31</v>
      </c>
      <c r="D21611" s="17" t="s">
        <v>53</v>
      </c>
      <c r="E21611" s="17" t="s">
        <v>106</v>
      </c>
      <c r="F21611" s="18"/>
      <c r="G21611" s="36" t="str">
        <f>IF(ISNUMBER(F21611),C21611*F21611,"")</f>
        <v/>
      </c>
    </row>
    <row r="21612" spans="1:7" ht="12" customHeight="1" outlineLevel="2" x14ac:dyDescent="0.2">
      <c r="A21612" s="14" t="s">
        <v>42541</v>
      </c>
      <c r="B21612" s="15" t="s">
        <v>42542</v>
      </c>
      <c r="C21612" s="16">
        <f>13.05/(1+B2)</f>
        <v>13.05</v>
      </c>
      <c r="D21612" s="17" t="s">
        <v>14</v>
      </c>
      <c r="E21612" s="17" t="s">
        <v>106</v>
      </c>
      <c r="F21612" s="18"/>
      <c r="G21612" s="36" t="str">
        <f>IF(ISNUMBER(F21612),C21612*F21612,"")</f>
        <v/>
      </c>
    </row>
    <row r="21613" spans="1:7" ht="12" customHeight="1" outlineLevel="2" x14ac:dyDescent="0.2">
      <c r="A21613" s="14" t="s">
        <v>42543</v>
      </c>
      <c r="B21613" s="15" t="s">
        <v>42544</v>
      </c>
      <c r="C21613" s="16">
        <f>14.81/(1+B2)</f>
        <v>14.81</v>
      </c>
      <c r="D21613" s="17" t="s">
        <v>53</v>
      </c>
      <c r="E21613" s="17" t="s">
        <v>106</v>
      </c>
      <c r="F21613" s="18"/>
      <c r="G21613" s="36" t="str">
        <f>IF(ISNUMBER(F21613),C21613*F21613,"")</f>
        <v/>
      </c>
    </row>
    <row r="21614" spans="1:7" ht="12" customHeight="1" outlineLevel="2" x14ac:dyDescent="0.2">
      <c r="A21614" s="14" t="s">
        <v>42545</v>
      </c>
      <c r="B21614" s="15" t="s">
        <v>42546</v>
      </c>
      <c r="C21614" s="16">
        <f>28.93/(1+B2)</f>
        <v>28.93</v>
      </c>
      <c r="D21614" s="17" t="s">
        <v>14</v>
      </c>
      <c r="E21614" s="17" t="s">
        <v>106</v>
      </c>
      <c r="F21614" s="18"/>
      <c r="G21614" s="36" t="str">
        <f>IF(ISNUMBER(F21614),C21614*F21614,"")</f>
        <v/>
      </c>
    </row>
    <row r="21615" spans="1:7" ht="12" customHeight="1" outlineLevel="2" x14ac:dyDescent="0.2">
      <c r="A21615" s="14" t="s">
        <v>42547</v>
      </c>
      <c r="B21615" s="15" t="s">
        <v>42548</v>
      </c>
      <c r="C21615" s="16">
        <f>42.34/(1+B2)</f>
        <v>42.34</v>
      </c>
      <c r="D21615" s="17" t="s">
        <v>14</v>
      </c>
      <c r="E21615" s="17" t="s">
        <v>14</v>
      </c>
      <c r="F21615" s="18"/>
      <c r="G21615" s="36" t="str">
        <f>IF(ISNUMBER(F21615),C21615*F21615,"")</f>
        <v/>
      </c>
    </row>
    <row r="21616" spans="1:7" ht="12" customHeight="1" outlineLevel="2" x14ac:dyDescent="0.2">
      <c r="A21616" s="14" t="s">
        <v>42549</v>
      </c>
      <c r="B21616" s="15" t="s">
        <v>42550</v>
      </c>
      <c r="C21616" s="16">
        <f>45.25/(1+B2)</f>
        <v>45.25</v>
      </c>
      <c r="D21616" s="17" t="s">
        <v>53</v>
      </c>
      <c r="E21616" s="17" t="s">
        <v>53</v>
      </c>
      <c r="F21616" s="18"/>
      <c r="G21616" s="36" t="str">
        <f>IF(ISNUMBER(F21616),C21616*F21616,"")</f>
        <v/>
      </c>
    </row>
    <row r="21617" spans="1:7" ht="12" customHeight="1" outlineLevel="2" x14ac:dyDescent="0.2">
      <c r="A21617" s="14" t="s">
        <v>42551</v>
      </c>
      <c r="B21617" s="15" t="s">
        <v>42552</v>
      </c>
      <c r="C21617" s="16">
        <f>32.18/(1+B2)</f>
        <v>32.18</v>
      </c>
      <c r="D21617" s="17" t="s">
        <v>11</v>
      </c>
      <c r="E21617" s="17" t="s">
        <v>53</v>
      </c>
      <c r="F21617" s="18"/>
      <c r="G21617" s="36" t="str">
        <f>IF(ISNUMBER(F21617),C21617*F21617,"")</f>
        <v/>
      </c>
    </row>
    <row r="21618" spans="1:7" ht="12" customHeight="1" outlineLevel="2" x14ac:dyDescent="0.2">
      <c r="A21618" s="14" t="s">
        <v>42553</v>
      </c>
      <c r="B21618" s="15" t="s">
        <v>42554</v>
      </c>
      <c r="C21618" s="16">
        <f>37.34/(1+B2)</f>
        <v>37.340000000000003</v>
      </c>
      <c r="D21618" s="17" t="s">
        <v>53</v>
      </c>
      <c r="E21618" s="17" t="s">
        <v>11</v>
      </c>
      <c r="F21618" s="18"/>
      <c r="G21618" s="36" t="str">
        <f>IF(ISNUMBER(F21618),C21618*F21618,"")</f>
        <v/>
      </c>
    </row>
    <row r="21619" spans="1:7" ht="12" customHeight="1" outlineLevel="2" x14ac:dyDescent="0.2">
      <c r="A21619" s="14" t="s">
        <v>42555</v>
      </c>
      <c r="B21619" s="15" t="s">
        <v>42556</v>
      </c>
      <c r="C21619" s="16">
        <f>34.19/(1+B2)</f>
        <v>34.19</v>
      </c>
      <c r="D21619" s="17" t="s">
        <v>14</v>
      </c>
      <c r="E21619" s="17" t="s">
        <v>53</v>
      </c>
      <c r="F21619" s="18"/>
      <c r="G21619" s="36" t="str">
        <f>IF(ISNUMBER(F21619),C21619*F21619,"")</f>
        <v/>
      </c>
    </row>
    <row r="21620" spans="1:7" ht="12" customHeight="1" outlineLevel="2" x14ac:dyDescent="0.2">
      <c r="A21620" s="14" t="s">
        <v>42557</v>
      </c>
      <c r="B21620" s="15" t="s">
        <v>42558</v>
      </c>
      <c r="C21620" s="16">
        <f>18.33/(1+B2)</f>
        <v>18.329999999999998</v>
      </c>
      <c r="D21620" s="17" t="s">
        <v>14</v>
      </c>
      <c r="E21620" s="17" t="s">
        <v>11</v>
      </c>
      <c r="F21620" s="18"/>
      <c r="G21620" s="36" t="str">
        <f>IF(ISNUMBER(F21620),C21620*F21620,"")</f>
        <v/>
      </c>
    </row>
    <row r="21621" spans="1:7" ht="12" customHeight="1" outlineLevel="2" x14ac:dyDescent="0.2">
      <c r="A21621" s="14" t="s">
        <v>42559</v>
      </c>
      <c r="B21621" s="15" t="s">
        <v>42560</v>
      </c>
      <c r="C21621" s="16">
        <f>48.98/(1+B2)</f>
        <v>48.98</v>
      </c>
      <c r="D21621" s="17" t="s">
        <v>53</v>
      </c>
      <c r="E21621" s="17" t="s">
        <v>53</v>
      </c>
      <c r="F21621" s="18"/>
      <c r="G21621" s="36" t="str">
        <f>IF(ISNUMBER(F21621),C21621*F21621,"")</f>
        <v/>
      </c>
    </row>
    <row r="21622" spans="1:7" ht="12" customHeight="1" outlineLevel="2" x14ac:dyDescent="0.2">
      <c r="A21622" s="14" t="s">
        <v>42561</v>
      </c>
      <c r="B21622" s="15" t="s">
        <v>42562</v>
      </c>
      <c r="C21622" s="16">
        <f>48.98/(1+B2)</f>
        <v>48.98</v>
      </c>
      <c r="D21622" s="17" t="s">
        <v>14</v>
      </c>
      <c r="E21622" s="17" t="s">
        <v>106</v>
      </c>
      <c r="F21622" s="18"/>
      <c r="G21622" s="36" t="str">
        <f>IF(ISNUMBER(F21622),C21622*F21622,"")</f>
        <v/>
      </c>
    </row>
    <row r="21623" spans="1:7" ht="12" customHeight="1" outlineLevel="2" x14ac:dyDescent="0.2">
      <c r="A21623" s="14" t="s">
        <v>42563</v>
      </c>
      <c r="B21623" s="15" t="s">
        <v>42564</v>
      </c>
      <c r="C21623" s="16">
        <f>48.98/(1+B2)</f>
        <v>48.98</v>
      </c>
      <c r="D21623" s="17"/>
      <c r="E21623" s="17" t="s">
        <v>11</v>
      </c>
      <c r="F21623" s="18"/>
      <c r="G21623" s="36" t="str">
        <f>IF(ISNUMBER(F21623),C21623*F21623,"")</f>
        <v/>
      </c>
    </row>
    <row r="21624" spans="1:7" ht="12" customHeight="1" outlineLevel="2" x14ac:dyDescent="0.2">
      <c r="A21624" s="14" t="s">
        <v>42565</v>
      </c>
      <c r="B21624" s="15" t="s">
        <v>42566</v>
      </c>
      <c r="C21624" s="16">
        <f>27.04/(1+B2)</f>
        <v>27.04</v>
      </c>
      <c r="D21624" s="17" t="s">
        <v>106</v>
      </c>
      <c r="E21624" s="17"/>
      <c r="F21624" s="18"/>
      <c r="G21624" s="36" t="str">
        <f>IF(ISNUMBER(F21624),C21624*F21624,"")</f>
        <v/>
      </c>
    </row>
    <row r="21625" spans="1:7" ht="24" customHeight="1" outlineLevel="2" x14ac:dyDescent="0.2">
      <c r="A21625" s="14" t="s">
        <v>42567</v>
      </c>
      <c r="B21625" s="15" t="s">
        <v>42568</v>
      </c>
      <c r="C21625" s="16">
        <f>48.98/(1+B2)</f>
        <v>48.98</v>
      </c>
      <c r="D21625" s="17"/>
      <c r="E21625" s="17" t="s">
        <v>11</v>
      </c>
      <c r="F21625" s="18"/>
      <c r="G21625" s="36" t="str">
        <f>IF(ISNUMBER(F21625),C21625*F21625,"")</f>
        <v/>
      </c>
    </row>
    <row r="21626" spans="1:7" ht="12" customHeight="1" outlineLevel="2" x14ac:dyDescent="0.2">
      <c r="A21626" s="14" t="s">
        <v>42569</v>
      </c>
      <c r="B21626" s="15" t="s">
        <v>42570</v>
      </c>
      <c r="C21626" s="16">
        <f>48.98/(1+B2)</f>
        <v>48.98</v>
      </c>
      <c r="D21626" s="17" t="s">
        <v>53</v>
      </c>
      <c r="E21626" s="17" t="s">
        <v>106</v>
      </c>
      <c r="F21626" s="18"/>
      <c r="G21626" s="36" t="str">
        <f>IF(ISNUMBER(F21626),C21626*F21626,"")</f>
        <v/>
      </c>
    </row>
    <row r="21627" spans="1:7" ht="12" customHeight="1" outlineLevel="2" x14ac:dyDescent="0.2">
      <c r="A21627" s="14" t="s">
        <v>42571</v>
      </c>
      <c r="B21627" s="15" t="s">
        <v>42572</v>
      </c>
      <c r="C21627" s="16">
        <f>48.98/(1+B2)</f>
        <v>48.98</v>
      </c>
      <c r="D21627" s="17" t="s">
        <v>53</v>
      </c>
      <c r="E21627" s="17" t="s">
        <v>106</v>
      </c>
      <c r="F21627" s="18"/>
      <c r="G21627" s="36" t="str">
        <f>IF(ISNUMBER(F21627),C21627*F21627,"")</f>
        <v/>
      </c>
    </row>
    <row r="21628" spans="1:7" ht="24" customHeight="1" outlineLevel="2" x14ac:dyDescent="0.2">
      <c r="A21628" s="14" t="s">
        <v>42573</v>
      </c>
      <c r="B21628" s="15" t="s">
        <v>42574</v>
      </c>
      <c r="C21628" s="16">
        <f>32.05/(1+B2)</f>
        <v>32.049999999999997</v>
      </c>
      <c r="D21628" s="17" t="s">
        <v>11</v>
      </c>
      <c r="E21628" s="17" t="s">
        <v>53</v>
      </c>
      <c r="F21628" s="18"/>
      <c r="G21628" s="36" t="str">
        <f>IF(ISNUMBER(F21628),C21628*F21628,"")</f>
        <v/>
      </c>
    </row>
    <row r="21629" spans="1:7" ht="24" customHeight="1" outlineLevel="2" x14ac:dyDescent="0.2">
      <c r="A21629" s="14" t="s">
        <v>42575</v>
      </c>
      <c r="B21629" s="15" t="s">
        <v>42576</v>
      </c>
      <c r="C21629" s="16">
        <f>43.03/(1+B2)</f>
        <v>43.03</v>
      </c>
      <c r="D21629" s="17" t="s">
        <v>11</v>
      </c>
      <c r="E21629" s="17"/>
      <c r="F21629" s="18"/>
      <c r="G21629" s="36" t="str">
        <f>IF(ISNUMBER(F21629),C21629*F21629,"")</f>
        <v/>
      </c>
    </row>
    <row r="21630" spans="1:7" ht="12" customHeight="1" outlineLevel="2" x14ac:dyDescent="0.2">
      <c r="A21630" s="14" t="s">
        <v>42577</v>
      </c>
      <c r="B21630" s="15" t="s">
        <v>42578</v>
      </c>
      <c r="C21630" s="16">
        <f>43.03/(1+B2)</f>
        <v>43.03</v>
      </c>
      <c r="D21630" s="17" t="s">
        <v>53</v>
      </c>
      <c r="E21630" s="17"/>
      <c r="F21630" s="18"/>
      <c r="G21630" s="36" t="str">
        <f>IF(ISNUMBER(F21630),C21630*F21630,"")</f>
        <v/>
      </c>
    </row>
    <row r="21631" spans="1:7" ht="12" customHeight="1" outlineLevel="2" x14ac:dyDescent="0.2">
      <c r="A21631" s="14" t="s">
        <v>42579</v>
      </c>
      <c r="B21631" s="15" t="s">
        <v>42580</v>
      </c>
      <c r="C21631" s="16">
        <f>48.98/(1+B2)</f>
        <v>48.98</v>
      </c>
      <c r="D21631" s="17"/>
      <c r="E21631" s="17" t="s">
        <v>14</v>
      </c>
      <c r="F21631" s="18"/>
      <c r="G21631" s="36" t="str">
        <f>IF(ISNUMBER(F21631),C21631*F21631,"")</f>
        <v/>
      </c>
    </row>
    <row r="21632" spans="1:7" ht="12" customHeight="1" outlineLevel="2" x14ac:dyDescent="0.2">
      <c r="A21632" s="14" t="s">
        <v>42581</v>
      </c>
      <c r="B21632" s="15" t="s">
        <v>42582</v>
      </c>
      <c r="C21632" s="16">
        <f>36.05/(1+B2)</f>
        <v>36.049999999999997</v>
      </c>
      <c r="D21632" s="17" t="s">
        <v>14</v>
      </c>
      <c r="E21632" s="17"/>
      <c r="F21632" s="18"/>
      <c r="G21632" s="36" t="str">
        <f>IF(ISNUMBER(F21632),C21632*F21632,"")</f>
        <v/>
      </c>
    </row>
    <row r="21633" spans="1:7" s="1" customFormat="1" ht="15.95" customHeight="1" outlineLevel="1" x14ac:dyDescent="0.25">
      <c r="A21633" s="11"/>
      <c r="B21633" s="12" t="s">
        <v>42583</v>
      </c>
      <c r="C21633" s="13"/>
      <c r="D21633" s="13"/>
      <c r="E21633" s="13"/>
      <c r="F21633" s="13"/>
      <c r="G21633" s="35"/>
    </row>
    <row r="21634" spans="1:7" ht="12" customHeight="1" outlineLevel="2" x14ac:dyDescent="0.2">
      <c r="A21634" s="14" t="s">
        <v>42584</v>
      </c>
      <c r="B21634" s="15" t="s">
        <v>42585</v>
      </c>
      <c r="C21634" s="16">
        <f>133.87/(1+B2)</f>
        <v>133.87</v>
      </c>
      <c r="D21634" s="17" t="s">
        <v>11</v>
      </c>
      <c r="E21634" s="17"/>
      <c r="F21634" s="18"/>
      <c r="G21634" s="36" t="str">
        <f>IF(ISNUMBER(F21634),C21634*F21634,"")</f>
        <v/>
      </c>
    </row>
    <row r="21635" spans="1:7" ht="12" customHeight="1" outlineLevel="2" x14ac:dyDescent="0.2">
      <c r="A21635" s="14" t="s">
        <v>42586</v>
      </c>
      <c r="B21635" s="15" t="s">
        <v>42587</v>
      </c>
      <c r="C21635" s="16">
        <f>344.35/(1+B2)</f>
        <v>344.35</v>
      </c>
      <c r="D21635" s="17" t="s">
        <v>11</v>
      </c>
      <c r="E21635" s="17" t="s">
        <v>53</v>
      </c>
      <c r="F21635" s="18"/>
      <c r="G21635" s="36" t="str">
        <f>IF(ISNUMBER(F21635),C21635*F21635,"")</f>
        <v/>
      </c>
    </row>
    <row r="21636" spans="1:7" ht="12" customHeight="1" outlineLevel="2" x14ac:dyDescent="0.2">
      <c r="A21636" s="14" t="s">
        <v>42588</v>
      </c>
      <c r="B21636" s="15" t="s">
        <v>42589</v>
      </c>
      <c r="C21636" s="16">
        <f>239.81/(1+B2)</f>
        <v>239.81</v>
      </c>
      <c r="D21636" s="17" t="s">
        <v>11</v>
      </c>
      <c r="E21636" s="17" t="s">
        <v>14</v>
      </c>
      <c r="F21636" s="18"/>
      <c r="G21636" s="36" t="str">
        <f>IF(ISNUMBER(F21636),C21636*F21636,"")</f>
        <v/>
      </c>
    </row>
    <row r="21637" spans="1:7" ht="12" customHeight="1" outlineLevel="2" x14ac:dyDescent="0.2">
      <c r="A21637" s="14" t="s">
        <v>42590</v>
      </c>
      <c r="B21637" s="15" t="s">
        <v>42591</v>
      </c>
      <c r="C21637" s="16">
        <f>274.06/(1+B2)</f>
        <v>274.06</v>
      </c>
      <c r="D21637" s="17" t="s">
        <v>11</v>
      </c>
      <c r="E21637" s="17"/>
      <c r="F21637" s="18"/>
      <c r="G21637" s="36" t="str">
        <f>IF(ISNUMBER(F21637),C21637*F21637,"")</f>
        <v/>
      </c>
    </row>
    <row r="21638" spans="1:7" ht="12" customHeight="1" outlineLevel="2" x14ac:dyDescent="0.2">
      <c r="A21638" s="14" t="s">
        <v>42592</v>
      </c>
      <c r="B21638" s="15" t="s">
        <v>42593</v>
      </c>
      <c r="C21638" s="16">
        <f>296.9/(1+B2)</f>
        <v>296.89999999999998</v>
      </c>
      <c r="D21638" s="17" t="s">
        <v>14</v>
      </c>
      <c r="E21638" s="17" t="s">
        <v>11</v>
      </c>
      <c r="F21638" s="18"/>
      <c r="G21638" s="36" t="str">
        <f>IF(ISNUMBER(F21638),C21638*F21638,"")</f>
        <v/>
      </c>
    </row>
    <row r="21639" spans="1:7" ht="12" customHeight="1" outlineLevel="2" x14ac:dyDescent="0.2">
      <c r="A21639" s="14" t="s">
        <v>42594</v>
      </c>
      <c r="B21639" s="15" t="s">
        <v>42595</v>
      </c>
      <c r="C21639" s="16">
        <f>346.01/(1+B2)</f>
        <v>346.01</v>
      </c>
      <c r="D21639" s="17" t="s">
        <v>11</v>
      </c>
      <c r="E21639" s="17" t="s">
        <v>14</v>
      </c>
      <c r="F21639" s="18"/>
      <c r="G21639" s="36" t="str">
        <f>IF(ISNUMBER(F21639),C21639*F21639,"")</f>
        <v/>
      </c>
    </row>
    <row r="21640" spans="1:7" ht="12" customHeight="1" outlineLevel="2" x14ac:dyDescent="0.2">
      <c r="A21640" s="14" t="s">
        <v>42596</v>
      </c>
      <c r="B21640" s="15" t="s">
        <v>42597</v>
      </c>
      <c r="C21640" s="16">
        <f>346.01/(1+B2)</f>
        <v>346.01</v>
      </c>
      <c r="D21640" s="17"/>
      <c r="E21640" s="17" t="s">
        <v>11</v>
      </c>
      <c r="F21640" s="18"/>
      <c r="G21640" s="36" t="str">
        <f>IF(ISNUMBER(F21640),C21640*F21640,"")</f>
        <v/>
      </c>
    </row>
    <row r="21641" spans="1:7" ht="12" customHeight="1" outlineLevel="2" x14ac:dyDescent="0.2">
      <c r="A21641" s="14" t="s">
        <v>42598</v>
      </c>
      <c r="B21641" s="15" t="s">
        <v>42599</v>
      </c>
      <c r="C21641" s="16">
        <f>225/(1+B2)</f>
        <v>225</v>
      </c>
      <c r="D21641" s="17" t="s">
        <v>11</v>
      </c>
      <c r="E21641" s="17"/>
      <c r="F21641" s="18"/>
      <c r="G21641" s="36" t="str">
        <f>IF(ISNUMBER(F21641),C21641*F21641,"")</f>
        <v/>
      </c>
    </row>
    <row r="21642" spans="1:7" ht="12" customHeight="1" outlineLevel="2" x14ac:dyDescent="0.2">
      <c r="A21642" s="14" t="s">
        <v>42600</v>
      </c>
      <c r="B21642" s="15" t="s">
        <v>42601</v>
      </c>
      <c r="C21642" s="16">
        <f>235/(1+B2)</f>
        <v>235</v>
      </c>
      <c r="D21642" s="17" t="s">
        <v>14</v>
      </c>
      <c r="E21642" s="17"/>
      <c r="F21642" s="18"/>
      <c r="G21642" s="36" t="str">
        <f>IF(ISNUMBER(F21642),C21642*F21642,"")</f>
        <v/>
      </c>
    </row>
    <row r="21643" spans="1:7" ht="12" customHeight="1" outlineLevel="2" x14ac:dyDescent="0.2">
      <c r="A21643" s="14" t="s">
        <v>42602</v>
      </c>
      <c r="B21643" s="15" t="s">
        <v>42603</v>
      </c>
      <c r="C21643" s="16">
        <f>235/(1+B2)</f>
        <v>235</v>
      </c>
      <c r="D21643" s="17" t="s">
        <v>11</v>
      </c>
      <c r="E21643" s="17" t="s">
        <v>11</v>
      </c>
      <c r="F21643" s="18"/>
      <c r="G21643" s="36" t="str">
        <f>IF(ISNUMBER(F21643),C21643*F21643,"")</f>
        <v/>
      </c>
    </row>
    <row r="21644" spans="1:7" ht="12" customHeight="1" outlineLevel="2" x14ac:dyDescent="0.2">
      <c r="A21644" s="14" t="s">
        <v>42604</v>
      </c>
      <c r="B21644" s="15" t="s">
        <v>42605</v>
      </c>
      <c r="C21644" s="16">
        <f>235/(1+B2)</f>
        <v>235</v>
      </c>
      <c r="D21644" s="17" t="s">
        <v>53</v>
      </c>
      <c r="E21644" s="17"/>
      <c r="F21644" s="18"/>
      <c r="G21644" s="36" t="str">
        <f>IF(ISNUMBER(F21644),C21644*F21644,"")</f>
        <v/>
      </c>
    </row>
    <row r="21645" spans="1:7" ht="24" customHeight="1" outlineLevel="2" x14ac:dyDescent="0.2">
      <c r="A21645" s="14" t="s">
        <v>42606</v>
      </c>
      <c r="B21645" s="15" t="s">
        <v>42607</v>
      </c>
      <c r="C21645" s="16">
        <f>389.69/(1+B2)</f>
        <v>389.69</v>
      </c>
      <c r="D21645" s="17" t="s">
        <v>11</v>
      </c>
      <c r="E21645" s="17"/>
      <c r="F21645" s="18"/>
      <c r="G21645" s="36" t="str">
        <f>IF(ISNUMBER(F21645),C21645*F21645,"")</f>
        <v/>
      </c>
    </row>
    <row r="21646" spans="1:7" ht="12" customHeight="1" outlineLevel="2" x14ac:dyDescent="0.2">
      <c r="A21646" s="14" t="s">
        <v>42608</v>
      </c>
      <c r="B21646" s="15" t="s">
        <v>42609</v>
      </c>
      <c r="C21646" s="16">
        <f>389.69/(1+B2)</f>
        <v>389.69</v>
      </c>
      <c r="D21646" s="17" t="s">
        <v>11</v>
      </c>
      <c r="E21646" s="17"/>
      <c r="F21646" s="18"/>
      <c r="G21646" s="36" t="str">
        <f>IF(ISNUMBER(F21646),C21646*F21646,"")</f>
        <v/>
      </c>
    </row>
    <row r="21647" spans="1:7" ht="12" customHeight="1" outlineLevel="2" x14ac:dyDescent="0.2">
      <c r="A21647" s="14" t="s">
        <v>42610</v>
      </c>
      <c r="B21647" s="15" t="s">
        <v>42611</v>
      </c>
      <c r="C21647" s="16">
        <f>50/(1+B2)</f>
        <v>50</v>
      </c>
      <c r="D21647" s="17" t="s">
        <v>11</v>
      </c>
      <c r="E21647" s="17" t="s">
        <v>53</v>
      </c>
      <c r="F21647" s="18"/>
      <c r="G21647" s="36" t="str">
        <f>IF(ISNUMBER(F21647),C21647*F21647,"")</f>
        <v/>
      </c>
    </row>
    <row r="21648" spans="1:7" ht="12" customHeight="1" outlineLevel="2" x14ac:dyDescent="0.2">
      <c r="A21648" s="14" t="s">
        <v>42612</v>
      </c>
      <c r="B21648" s="15" t="s">
        <v>42613</v>
      </c>
      <c r="C21648" s="16">
        <f>102.9/(1+B2)</f>
        <v>102.9</v>
      </c>
      <c r="D21648" s="17" t="s">
        <v>11</v>
      </c>
      <c r="E21648" s="17" t="s">
        <v>14</v>
      </c>
      <c r="F21648" s="18"/>
      <c r="G21648" s="36" t="str">
        <f>IF(ISNUMBER(F21648),C21648*F21648,"")</f>
        <v/>
      </c>
    </row>
    <row r="21649" spans="1:7" s="1" customFormat="1" ht="15.95" customHeight="1" outlineLevel="1" x14ac:dyDescent="0.25">
      <c r="A21649" s="11"/>
      <c r="B21649" s="12" t="s">
        <v>42614</v>
      </c>
      <c r="C21649" s="13"/>
      <c r="D21649" s="13"/>
      <c r="E21649" s="13"/>
      <c r="F21649" s="13"/>
      <c r="G21649" s="35"/>
    </row>
    <row r="21650" spans="1:7" s="1" customFormat="1" ht="12.95" customHeight="1" outlineLevel="2" x14ac:dyDescent="0.2">
      <c r="A21650" s="20"/>
      <c r="B21650" s="21" t="s">
        <v>42615</v>
      </c>
      <c r="C21650" s="22"/>
      <c r="D21650" s="22"/>
      <c r="E21650" s="22"/>
      <c r="F21650" s="22"/>
      <c r="G21650" s="37"/>
    </row>
    <row r="21651" spans="1:7" ht="12" customHeight="1" outlineLevel="3" x14ac:dyDescent="0.2">
      <c r="A21651" s="14" t="s">
        <v>42616</v>
      </c>
      <c r="B21651" s="15" t="s">
        <v>42617</v>
      </c>
      <c r="C21651" s="16">
        <f>618.59/(1+B2)</f>
        <v>618.59</v>
      </c>
      <c r="D21651" s="17" t="s">
        <v>11</v>
      </c>
      <c r="E21651" s="17"/>
      <c r="F21651" s="18"/>
      <c r="G21651" s="36" t="str">
        <f>IF(ISNUMBER(F21651),C21651*F21651,"")</f>
        <v/>
      </c>
    </row>
    <row r="21652" spans="1:7" ht="12" customHeight="1" outlineLevel="3" x14ac:dyDescent="0.2">
      <c r="A21652" s="14" t="s">
        <v>42618</v>
      </c>
      <c r="B21652" s="15" t="s">
        <v>42619</v>
      </c>
      <c r="C21652" s="16">
        <f>738.31/(1+B2)</f>
        <v>738.31</v>
      </c>
      <c r="D21652" s="17" t="s">
        <v>11</v>
      </c>
      <c r="E21652" s="17"/>
      <c r="F21652" s="18"/>
      <c r="G21652" s="36" t="str">
        <f>IF(ISNUMBER(F21652),C21652*F21652,"")</f>
        <v/>
      </c>
    </row>
    <row r="21653" spans="1:7" ht="12" customHeight="1" outlineLevel="3" x14ac:dyDescent="0.2">
      <c r="A21653" s="14" t="s">
        <v>42620</v>
      </c>
      <c r="B21653" s="15" t="s">
        <v>42621</v>
      </c>
      <c r="C21653" s="16">
        <f>165.58/(1+B2)</f>
        <v>165.58</v>
      </c>
      <c r="D21653" s="17" t="s">
        <v>11</v>
      </c>
      <c r="E21653" s="17"/>
      <c r="F21653" s="18"/>
      <c r="G21653" s="36" t="str">
        <f>IF(ISNUMBER(F21653),C21653*F21653,"")</f>
        <v/>
      </c>
    </row>
    <row r="21654" spans="1:7" ht="12" customHeight="1" outlineLevel="3" x14ac:dyDescent="0.2">
      <c r="A21654" s="14" t="s">
        <v>42622</v>
      </c>
      <c r="B21654" s="15" t="s">
        <v>42623</v>
      </c>
      <c r="C21654" s="16">
        <f>664.61/(1+B2)</f>
        <v>664.61</v>
      </c>
      <c r="D21654" s="17" t="s">
        <v>11</v>
      </c>
      <c r="E21654" s="17"/>
      <c r="F21654" s="18"/>
      <c r="G21654" s="36" t="str">
        <f>IF(ISNUMBER(F21654),C21654*F21654,"")</f>
        <v/>
      </c>
    </row>
    <row r="21655" spans="1:7" ht="12" customHeight="1" outlineLevel="3" x14ac:dyDescent="0.2">
      <c r="A21655" s="14" t="s">
        <v>42624</v>
      </c>
      <c r="B21655" s="15" t="s">
        <v>42625</v>
      </c>
      <c r="C21655" s="16">
        <f>167.72/(1+B2)</f>
        <v>167.72</v>
      </c>
      <c r="D21655" s="17" t="s">
        <v>11</v>
      </c>
      <c r="E21655" s="17"/>
      <c r="F21655" s="18"/>
      <c r="G21655" s="36" t="str">
        <f>IF(ISNUMBER(F21655),C21655*F21655,"")</f>
        <v/>
      </c>
    </row>
    <row r="21656" spans="1:7" ht="12" customHeight="1" outlineLevel="3" x14ac:dyDescent="0.2">
      <c r="A21656" s="14" t="s">
        <v>42626</v>
      </c>
      <c r="B21656" s="15" t="s">
        <v>42627</v>
      </c>
      <c r="C21656" s="16">
        <f>203.33/(1+B2)</f>
        <v>203.33</v>
      </c>
      <c r="D21656" s="17" t="s">
        <v>11</v>
      </c>
      <c r="E21656" s="17"/>
      <c r="F21656" s="18"/>
      <c r="G21656" s="36" t="str">
        <f>IF(ISNUMBER(F21656),C21656*F21656,"")</f>
        <v/>
      </c>
    </row>
    <row r="21657" spans="1:7" ht="12" customHeight="1" outlineLevel="3" x14ac:dyDescent="0.2">
      <c r="A21657" s="14" t="s">
        <v>42628</v>
      </c>
      <c r="B21657" s="15" t="s">
        <v>42629</v>
      </c>
      <c r="C21657" s="16">
        <f>71.67/(1+B2)</f>
        <v>71.67</v>
      </c>
      <c r="D21657" s="17" t="s">
        <v>11</v>
      </c>
      <c r="E21657" s="17"/>
      <c r="F21657" s="18"/>
      <c r="G21657" s="36" t="str">
        <f>IF(ISNUMBER(F21657),C21657*F21657,"")</f>
        <v/>
      </c>
    </row>
    <row r="21658" spans="1:7" ht="24" customHeight="1" outlineLevel="3" x14ac:dyDescent="0.2">
      <c r="A21658" s="14" t="s">
        <v>42630</v>
      </c>
      <c r="B21658" s="15" t="s">
        <v>42631</v>
      </c>
      <c r="C21658" s="16">
        <f>82.5/(1+B2)</f>
        <v>82.5</v>
      </c>
      <c r="D21658" s="17" t="s">
        <v>11</v>
      </c>
      <c r="E21658" s="17"/>
      <c r="F21658" s="18"/>
      <c r="G21658" s="36" t="str">
        <f>IF(ISNUMBER(F21658),C21658*F21658,"")</f>
        <v/>
      </c>
    </row>
    <row r="21659" spans="1:7" ht="12" customHeight="1" outlineLevel="3" x14ac:dyDescent="0.2">
      <c r="A21659" s="14" t="s">
        <v>42632</v>
      </c>
      <c r="B21659" s="15" t="s">
        <v>42633</v>
      </c>
      <c r="C21659" s="16">
        <f>119.69/(1+B2)</f>
        <v>119.69</v>
      </c>
      <c r="D21659" s="17" t="s">
        <v>11</v>
      </c>
      <c r="E21659" s="17"/>
      <c r="F21659" s="18"/>
      <c r="G21659" s="36" t="str">
        <f>IF(ISNUMBER(F21659),C21659*F21659,"")</f>
        <v/>
      </c>
    </row>
    <row r="21660" spans="1:7" ht="24" customHeight="1" outlineLevel="3" x14ac:dyDescent="0.2">
      <c r="A21660" s="14" t="s">
        <v>42634</v>
      </c>
      <c r="B21660" s="15" t="s">
        <v>42635</v>
      </c>
      <c r="C21660" s="16">
        <f>64.07/(1+B2)</f>
        <v>64.069999999999993</v>
      </c>
      <c r="D21660" s="17" t="s">
        <v>11</v>
      </c>
      <c r="E21660" s="17" t="s">
        <v>14</v>
      </c>
      <c r="F21660" s="18"/>
      <c r="G21660" s="36" t="str">
        <f>IF(ISNUMBER(F21660),C21660*F21660,"")</f>
        <v/>
      </c>
    </row>
    <row r="21661" spans="1:7" ht="24" customHeight="1" outlineLevel="3" x14ac:dyDescent="0.2">
      <c r="A21661" s="14" t="s">
        <v>42636</v>
      </c>
      <c r="B21661" s="15" t="s">
        <v>42637</v>
      </c>
      <c r="C21661" s="16">
        <f>531.37/(1+B2)</f>
        <v>531.37</v>
      </c>
      <c r="D21661" s="17" t="s">
        <v>11</v>
      </c>
      <c r="E21661" s="17"/>
      <c r="F21661" s="18"/>
      <c r="G21661" s="36" t="str">
        <f>IF(ISNUMBER(F21661),C21661*F21661,"")</f>
        <v/>
      </c>
    </row>
    <row r="21662" spans="1:7" ht="12" customHeight="1" outlineLevel="3" x14ac:dyDescent="0.2">
      <c r="A21662" s="14" t="s">
        <v>42638</v>
      </c>
      <c r="B21662" s="15" t="s">
        <v>42639</v>
      </c>
      <c r="C21662" s="16">
        <f>467.53/(1+B2)</f>
        <v>467.53</v>
      </c>
      <c r="D21662" s="17" t="s">
        <v>11</v>
      </c>
      <c r="E21662" s="17"/>
      <c r="F21662" s="18"/>
      <c r="G21662" s="36" t="str">
        <f>IF(ISNUMBER(F21662),C21662*F21662,"")</f>
        <v/>
      </c>
    </row>
    <row r="21663" spans="1:7" ht="12" customHeight="1" outlineLevel="3" x14ac:dyDescent="0.2">
      <c r="A21663" s="14" t="s">
        <v>42640</v>
      </c>
      <c r="B21663" s="15" t="s">
        <v>42641</v>
      </c>
      <c r="C21663" s="16">
        <f>480.64/(1+B2)</f>
        <v>480.64</v>
      </c>
      <c r="D21663" s="17" t="s">
        <v>11</v>
      </c>
      <c r="E21663" s="17" t="s">
        <v>11</v>
      </c>
      <c r="F21663" s="18"/>
      <c r="G21663" s="36" t="str">
        <f>IF(ISNUMBER(F21663),C21663*F21663,"")</f>
        <v/>
      </c>
    </row>
    <row r="21664" spans="1:7" ht="24" customHeight="1" outlineLevel="3" x14ac:dyDescent="0.2">
      <c r="A21664" s="14" t="s">
        <v>42642</v>
      </c>
      <c r="B21664" s="15" t="s">
        <v>42643</v>
      </c>
      <c r="C21664" s="16">
        <f>321.43/(1+B2)</f>
        <v>321.43</v>
      </c>
      <c r="D21664" s="17" t="s">
        <v>11</v>
      </c>
      <c r="E21664" s="17" t="s">
        <v>53</v>
      </c>
      <c r="F21664" s="18"/>
      <c r="G21664" s="36" t="str">
        <f>IF(ISNUMBER(F21664),C21664*F21664,"")</f>
        <v/>
      </c>
    </row>
    <row r="21665" spans="1:7" ht="12" customHeight="1" outlineLevel="3" x14ac:dyDescent="0.2">
      <c r="A21665" s="14" t="s">
        <v>42644</v>
      </c>
      <c r="B21665" s="15" t="s">
        <v>42645</v>
      </c>
      <c r="C21665" s="16">
        <f>193.09/(1+B2)</f>
        <v>193.09</v>
      </c>
      <c r="D21665" s="17" t="s">
        <v>11</v>
      </c>
      <c r="E21665" s="17" t="s">
        <v>14</v>
      </c>
      <c r="F21665" s="18"/>
      <c r="G21665" s="36" t="str">
        <f>IF(ISNUMBER(F21665),C21665*F21665,"")</f>
        <v/>
      </c>
    </row>
    <row r="21666" spans="1:7" ht="12" customHeight="1" outlineLevel="3" x14ac:dyDescent="0.2">
      <c r="A21666" s="14" t="s">
        <v>42646</v>
      </c>
      <c r="B21666" s="15" t="s">
        <v>42647</v>
      </c>
      <c r="C21666" s="16">
        <f>81.71/(1+B2)</f>
        <v>81.709999999999994</v>
      </c>
      <c r="D21666" s="17" t="s">
        <v>11</v>
      </c>
      <c r="E21666" s="17" t="s">
        <v>53</v>
      </c>
      <c r="F21666" s="18"/>
      <c r="G21666" s="36" t="str">
        <f>IF(ISNUMBER(F21666),C21666*F21666,"")</f>
        <v/>
      </c>
    </row>
    <row r="21667" spans="1:7" ht="12" customHeight="1" outlineLevel="3" x14ac:dyDescent="0.2">
      <c r="A21667" s="14" t="s">
        <v>42648</v>
      </c>
      <c r="B21667" s="15" t="s">
        <v>42649</v>
      </c>
      <c r="C21667" s="16">
        <f>355.63/(1+B2)</f>
        <v>355.63</v>
      </c>
      <c r="D21667" s="17" t="s">
        <v>11</v>
      </c>
      <c r="E21667" s="17"/>
      <c r="F21667" s="18"/>
      <c r="G21667" s="36" t="str">
        <f>IF(ISNUMBER(F21667),C21667*F21667,"")</f>
        <v/>
      </c>
    </row>
    <row r="21668" spans="1:7" ht="24" customHeight="1" outlineLevel="3" x14ac:dyDescent="0.2">
      <c r="A21668" s="14" t="s">
        <v>42650</v>
      </c>
      <c r="B21668" s="15" t="s">
        <v>42651</v>
      </c>
      <c r="C21668" s="16">
        <f>332.68/(1+B2)</f>
        <v>332.68</v>
      </c>
      <c r="D21668" s="17" t="s">
        <v>11</v>
      </c>
      <c r="E21668" s="17"/>
      <c r="F21668" s="18"/>
      <c r="G21668" s="36" t="str">
        <f>IF(ISNUMBER(F21668),C21668*F21668,"")</f>
        <v/>
      </c>
    </row>
    <row r="21669" spans="1:7" ht="24" customHeight="1" outlineLevel="3" x14ac:dyDescent="0.2">
      <c r="A21669" s="14" t="s">
        <v>42652</v>
      </c>
      <c r="B21669" s="15" t="s">
        <v>42653</v>
      </c>
      <c r="C21669" s="16">
        <f>172.91/(1+B2)</f>
        <v>172.91</v>
      </c>
      <c r="D21669" s="17" t="s">
        <v>11</v>
      </c>
      <c r="E21669" s="17"/>
      <c r="F21669" s="18"/>
      <c r="G21669" s="36" t="str">
        <f>IF(ISNUMBER(F21669),C21669*F21669,"")</f>
        <v/>
      </c>
    </row>
    <row r="21670" spans="1:7" ht="24" customHeight="1" outlineLevel="3" x14ac:dyDescent="0.2">
      <c r="A21670" s="14" t="s">
        <v>42654</v>
      </c>
      <c r="B21670" s="15" t="s">
        <v>42655</v>
      </c>
      <c r="C21670" s="16">
        <f>274.56/(1+B2)</f>
        <v>274.56</v>
      </c>
      <c r="D21670" s="17" t="s">
        <v>11</v>
      </c>
      <c r="E21670" s="17" t="s">
        <v>11</v>
      </c>
      <c r="F21670" s="18"/>
      <c r="G21670" s="36" t="str">
        <f>IF(ISNUMBER(F21670),C21670*F21670,"")</f>
        <v/>
      </c>
    </row>
    <row r="21671" spans="1:7" ht="12" customHeight="1" outlineLevel="3" x14ac:dyDescent="0.2">
      <c r="A21671" s="14" t="s">
        <v>42656</v>
      </c>
      <c r="B21671" s="15" t="s">
        <v>42657</v>
      </c>
      <c r="C21671" s="16">
        <f>274.86/(1+B2)</f>
        <v>274.86</v>
      </c>
      <c r="D21671" s="17" t="s">
        <v>11</v>
      </c>
      <c r="E21671" s="17"/>
      <c r="F21671" s="18"/>
      <c r="G21671" s="36" t="str">
        <f>IF(ISNUMBER(F21671),C21671*F21671,"")</f>
        <v/>
      </c>
    </row>
    <row r="21672" spans="1:7" ht="12" customHeight="1" outlineLevel="3" x14ac:dyDescent="0.2">
      <c r="A21672" s="14" t="s">
        <v>42658</v>
      </c>
      <c r="B21672" s="15" t="s">
        <v>42659</v>
      </c>
      <c r="C21672" s="16">
        <f>402.18/(1+B2)</f>
        <v>402.18</v>
      </c>
      <c r="D21672" s="17" t="s">
        <v>11</v>
      </c>
      <c r="E21672" s="17"/>
      <c r="F21672" s="18"/>
      <c r="G21672" s="36" t="str">
        <f>IF(ISNUMBER(F21672),C21672*F21672,"")</f>
        <v/>
      </c>
    </row>
    <row r="21673" spans="1:7" ht="24" customHeight="1" outlineLevel="3" x14ac:dyDescent="0.2">
      <c r="A21673" s="14" t="s">
        <v>42660</v>
      </c>
      <c r="B21673" s="15" t="s">
        <v>42661</v>
      </c>
      <c r="C21673" s="16">
        <f>685.25/(1+B2)</f>
        <v>685.25</v>
      </c>
      <c r="D21673" s="17" t="s">
        <v>11</v>
      </c>
      <c r="E21673" s="17"/>
      <c r="F21673" s="18"/>
      <c r="G21673" s="36" t="str">
        <f>IF(ISNUMBER(F21673),C21673*F21673,"")</f>
        <v/>
      </c>
    </row>
    <row r="21674" spans="1:7" ht="12" customHeight="1" outlineLevel="3" x14ac:dyDescent="0.2">
      <c r="A21674" s="14" t="s">
        <v>42662</v>
      </c>
      <c r="B21674" s="15" t="s">
        <v>42663</v>
      </c>
      <c r="C21674" s="16">
        <f>88.28/(1+B2)</f>
        <v>88.28</v>
      </c>
      <c r="D21674" s="17" t="s">
        <v>11</v>
      </c>
      <c r="E21674" s="17" t="s">
        <v>11</v>
      </c>
      <c r="F21674" s="18"/>
      <c r="G21674" s="36" t="str">
        <f>IF(ISNUMBER(F21674),C21674*F21674,"")</f>
        <v/>
      </c>
    </row>
    <row r="21675" spans="1:7" ht="12" customHeight="1" outlineLevel="3" x14ac:dyDescent="0.2">
      <c r="A21675" s="14" t="s">
        <v>42664</v>
      </c>
      <c r="B21675" s="15" t="s">
        <v>42665</v>
      </c>
      <c r="C21675" s="16">
        <f>91.34/(1+B2)</f>
        <v>91.34</v>
      </c>
      <c r="D21675" s="17" t="s">
        <v>11</v>
      </c>
      <c r="E21675" s="17" t="s">
        <v>14</v>
      </c>
      <c r="F21675" s="18"/>
      <c r="G21675" s="36" t="str">
        <f>IF(ISNUMBER(F21675),C21675*F21675,"")</f>
        <v/>
      </c>
    </row>
    <row r="21676" spans="1:7" ht="12" customHeight="1" outlineLevel="3" x14ac:dyDescent="0.2">
      <c r="A21676" s="14" t="s">
        <v>42666</v>
      </c>
      <c r="B21676" s="15" t="s">
        <v>42667</v>
      </c>
      <c r="C21676" s="16">
        <f>70.43/(1+B2)</f>
        <v>70.430000000000007</v>
      </c>
      <c r="D21676" s="17" t="s">
        <v>11</v>
      </c>
      <c r="E21676" s="17" t="s">
        <v>11</v>
      </c>
      <c r="F21676" s="18"/>
      <c r="G21676" s="36" t="str">
        <f>IF(ISNUMBER(F21676),C21676*F21676,"")</f>
        <v/>
      </c>
    </row>
    <row r="21677" spans="1:7" ht="24" customHeight="1" outlineLevel="3" x14ac:dyDescent="0.2">
      <c r="A21677" s="14" t="s">
        <v>42668</v>
      </c>
      <c r="B21677" s="15" t="s">
        <v>42669</v>
      </c>
      <c r="C21677" s="16">
        <f>68.06/(1+B2)</f>
        <v>68.06</v>
      </c>
      <c r="D21677" s="17" t="s">
        <v>11</v>
      </c>
      <c r="E21677" s="17" t="s">
        <v>11</v>
      </c>
      <c r="F21677" s="18"/>
      <c r="G21677" s="36" t="str">
        <f>IF(ISNUMBER(F21677),C21677*F21677,"")</f>
        <v/>
      </c>
    </row>
    <row r="21678" spans="1:7" ht="12" customHeight="1" outlineLevel="3" x14ac:dyDescent="0.2">
      <c r="A21678" s="14" t="s">
        <v>42670</v>
      </c>
      <c r="B21678" s="15" t="s">
        <v>42671</v>
      </c>
      <c r="C21678" s="16">
        <f>171.81/(1+B2)</f>
        <v>171.81</v>
      </c>
      <c r="D21678" s="17" t="s">
        <v>11</v>
      </c>
      <c r="E21678" s="17"/>
      <c r="F21678" s="18"/>
      <c r="G21678" s="36" t="str">
        <f>IF(ISNUMBER(F21678),C21678*F21678,"")</f>
        <v/>
      </c>
    </row>
    <row r="21679" spans="1:7" ht="12" customHeight="1" outlineLevel="3" x14ac:dyDescent="0.2">
      <c r="A21679" s="14" t="s">
        <v>42672</v>
      </c>
      <c r="B21679" s="15" t="s">
        <v>42673</v>
      </c>
      <c r="C21679" s="16">
        <f>99.89/(1+B2)</f>
        <v>99.89</v>
      </c>
      <c r="D21679" s="17" t="s">
        <v>11</v>
      </c>
      <c r="E21679" s="17"/>
      <c r="F21679" s="18"/>
      <c r="G21679" s="36" t="str">
        <f>IF(ISNUMBER(F21679),C21679*F21679,"")</f>
        <v/>
      </c>
    </row>
    <row r="21680" spans="1:7" ht="12" customHeight="1" outlineLevel="3" x14ac:dyDescent="0.2">
      <c r="A21680" s="14" t="s">
        <v>42674</v>
      </c>
      <c r="B21680" s="15" t="s">
        <v>42675</v>
      </c>
      <c r="C21680" s="19">
        <f>1959.93/(1+B2)</f>
        <v>1959.93</v>
      </c>
      <c r="D21680" s="17" t="s">
        <v>11</v>
      </c>
      <c r="E21680" s="17" t="s">
        <v>11</v>
      </c>
      <c r="F21680" s="18"/>
      <c r="G21680" s="36" t="str">
        <f>IF(ISNUMBER(F21680),C21680*F21680,"")</f>
        <v/>
      </c>
    </row>
    <row r="21681" spans="1:7" s="1" customFormat="1" ht="12.95" customHeight="1" outlineLevel="2" x14ac:dyDescent="0.2">
      <c r="A21681" s="20"/>
      <c r="B21681" s="21" t="s">
        <v>42676</v>
      </c>
      <c r="C21681" s="22"/>
      <c r="D21681" s="22"/>
      <c r="E21681" s="22"/>
      <c r="F21681" s="22"/>
      <c r="G21681" s="37"/>
    </row>
    <row r="21682" spans="1:7" ht="12" customHeight="1" outlineLevel="3" x14ac:dyDescent="0.2">
      <c r="A21682" s="14" t="s">
        <v>42677</v>
      </c>
      <c r="B21682" s="15" t="s">
        <v>42678</v>
      </c>
      <c r="C21682" s="16">
        <f>323.34/(1+B2)</f>
        <v>323.33999999999997</v>
      </c>
      <c r="D21682" s="17" t="s">
        <v>11</v>
      </c>
      <c r="E21682" s="17"/>
      <c r="F21682" s="18"/>
      <c r="G21682" s="36" t="str">
        <f>IF(ISNUMBER(F21682),C21682*F21682,"")</f>
        <v/>
      </c>
    </row>
    <row r="21683" spans="1:7" ht="12" customHeight="1" outlineLevel="3" x14ac:dyDescent="0.2">
      <c r="A21683" s="14" t="s">
        <v>42679</v>
      </c>
      <c r="B21683" s="15" t="s">
        <v>42680</v>
      </c>
      <c r="C21683" s="16">
        <f>320.47/(1+B2)</f>
        <v>320.47000000000003</v>
      </c>
      <c r="D21683" s="17" t="s">
        <v>11</v>
      </c>
      <c r="E21683" s="17"/>
      <c r="F21683" s="18"/>
      <c r="G21683" s="36" t="str">
        <f>IF(ISNUMBER(F21683),C21683*F21683,"")</f>
        <v/>
      </c>
    </row>
    <row r="21684" spans="1:7" ht="12" customHeight="1" outlineLevel="3" x14ac:dyDescent="0.2">
      <c r="A21684" s="14" t="s">
        <v>42681</v>
      </c>
      <c r="B21684" s="15" t="s">
        <v>42682</v>
      </c>
      <c r="C21684" s="16">
        <f>436.9/(1+B2)</f>
        <v>436.9</v>
      </c>
      <c r="D21684" s="17" t="s">
        <v>11</v>
      </c>
      <c r="E21684" s="17" t="s">
        <v>11</v>
      </c>
      <c r="F21684" s="18"/>
      <c r="G21684" s="36" t="str">
        <f>IF(ISNUMBER(F21684),C21684*F21684,"")</f>
        <v/>
      </c>
    </row>
    <row r="21685" spans="1:7" ht="12" customHeight="1" outlineLevel="3" x14ac:dyDescent="0.2">
      <c r="A21685" s="14" t="s">
        <v>42683</v>
      </c>
      <c r="B21685" s="15" t="s">
        <v>42684</v>
      </c>
      <c r="C21685" s="16">
        <f>448.13/(1+B2)</f>
        <v>448.13</v>
      </c>
      <c r="D21685" s="17" t="s">
        <v>11</v>
      </c>
      <c r="E21685" s="17" t="s">
        <v>11</v>
      </c>
      <c r="F21685" s="18"/>
      <c r="G21685" s="36" t="str">
        <f>IF(ISNUMBER(F21685),C21685*F21685,"")</f>
        <v/>
      </c>
    </row>
    <row r="21686" spans="1:7" ht="12" customHeight="1" outlineLevel="3" x14ac:dyDescent="0.2">
      <c r="A21686" s="14" t="s">
        <v>42685</v>
      </c>
      <c r="B21686" s="15" t="s">
        <v>42686</v>
      </c>
      <c r="C21686" s="16">
        <f>204.6/(1+B2)</f>
        <v>204.6</v>
      </c>
      <c r="D21686" s="17" t="s">
        <v>11</v>
      </c>
      <c r="E21686" s="17" t="s">
        <v>11</v>
      </c>
      <c r="F21686" s="18"/>
      <c r="G21686" s="36" t="str">
        <f>IF(ISNUMBER(F21686),C21686*F21686,"")</f>
        <v/>
      </c>
    </row>
    <row r="21687" spans="1:7" ht="12" customHeight="1" outlineLevel="3" x14ac:dyDescent="0.2">
      <c r="A21687" s="14" t="s">
        <v>42687</v>
      </c>
      <c r="B21687" s="15" t="s">
        <v>42688</v>
      </c>
      <c r="C21687" s="16">
        <f>281.56/(1+B2)</f>
        <v>281.56</v>
      </c>
      <c r="D21687" s="17" t="s">
        <v>11</v>
      </c>
      <c r="E21687" s="17" t="s">
        <v>11</v>
      </c>
      <c r="F21687" s="18"/>
      <c r="G21687" s="36" t="str">
        <f>IF(ISNUMBER(F21687),C21687*F21687,"")</f>
        <v/>
      </c>
    </row>
    <row r="21688" spans="1:7" ht="12" customHeight="1" outlineLevel="3" x14ac:dyDescent="0.2">
      <c r="A21688" s="14" t="s">
        <v>42689</v>
      </c>
      <c r="B21688" s="15" t="s">
        <v>42690</v>
      </c>
      <c r="C21688" s="16">
        <f>281.57/(1+B2)</f>
        <v>281.57</v>
      </c>
      <c r="D21688" s="17" t="s">
        <v>11</v>
      </c>
      <c r="E21688" s="17"/>
      <c r="F21688" s="18"/>
      <c r="G21688" s="36" t="str">
        <f>IF(ISNUMBER(F21688),C21688*F21688,"")</f>
        <v/>
      </c>
    </row>
    <row r="21689" spans="1:7" ht="12" customHeight="1" outlineLevel="3" x14ac:dyDescent="0.2">
      <c r="A21689" s="14" t="s">
        <v>42691</v>
      </c>
      <c r="B21689" s="15" t="s">
        <v>42692</v>
      </c>
      <c r="C21689" s="16">
        <f>177.28/(1+B2)</f>
        <v>177.28</v>
      </c>
      <c r="D21689" s="17" t="s">
        <v>11</v>
      </c>
      <c r="E21689" s="17"/>
      <c r="F21689" s="18"/>
      <c r="G21689" s="36" t="str">
        <f>IF(ISNUMBER(F21689),C21689*F21689,"")</f>
        <v/>
      </c>
    </row>
    <row r="21690" spans="1:7" ht="12" customHeight="1" outlineLevel="3" x14ac:dyDescent="0.2">
      <c r="A21690" s="14" t="s">
        <v>42693</v>
      </c>
      <c r="B21690" s="15" t="s">
        <v>42694</v>
      </c>
      <c r="C21690" s="16">
        <f>188.33/(1+B2)</f>
        <v>188.33</v>
      </c>
      <c r="D21690" s="17" t="s">
        <v>11</v>
      </c>
      <c r="E21690" s="17"/>
      <c r="F21690" s="18"/>
      <c r="G21690" s="36" t="str">
        <f>IF(ISNUMBER(F21690),C21690*F21690,"")</f>
        <v/>
      </c>
    </row>
    <row r="21691" spans="1:7" ht="12" customHeight="1" outlineLevel="3" x14ac:dyDescent="0.2">
      <c r="A21691" s="14" t="s">
        <v>42695</v>
      </c>
      <c r="B21691" s="15" t="s">
        <v>42696</v>
      </c>
      <c r="C21691" s="16">
        <f>209.84/(1+B2)</f>
        <v>209.84</v>
      </c>
      <c r="D21691" s="17" t="s">
        <v>11</v>
      </c>
      <c r="E21691" s="17" t="s">
        <v>11</v>
      </c>
      <c r="F21691" s="18"/>
      <c r="G21691" s="36" t="str">
        <f>IF(ISNUMBER(F21691),C21691*F21691,"")</f>
        <v/>
      </c>
    </row>
    <row r="21692" spans="1:7" ht="12" customHeight="1" outlineLevel="3" x14ac:dyDescent="0.2">
      <c r="A21692" s="14" t="s">
        <v>42697</v>
      </c>
      <c r="B21692" s="15" t="s">
        <v>42698</v>
      </c>
      <c r="C21692" s="16">
        <f>467.81/(1+B2)</f>
        <v>467.81</v>
      </c>
      <c r="D21692" s="17" t="s">
        <v>11</v>
      </c>
      <c r="E21692" s="17"/>
      <c r="F21692" s="18"/>
      <c r="G21692" s="36" t="str">
        <f>IF(ISNUMBER(F21692),C21692*F21692,"")</f>
        <v/>
      </c>
    </row>
    <row r="21693" spans="1:7" ht="12" customHeight="1" outlineLevel="3" x14ac:dyDescent="0.2">
      <c r="A21693" s="14" t="s">
        <v>42699</v>
      </c>
      <c r="B21693" s="15" t="s">
        <v>42700</v>
      </c>
      <c r="C21693" s="16">
        <f>228.43/(1+B2)</f>
        <v>228.43</v>
      </c>
      <c r="D21693" s="17" t="s">
        <v>11</v>
      </c>
      <c r="E21693" s="17" t="s">
        <v>11</v>
      </c>
      <c r="F21693" s="18"/>
      <c r="G21693" s="36" t="str">
        <f>IF(ISNUMBER(F21693),C21693*F21693,"")</f>
        <v/>
      </c>
    </row>
    <row r="21694" spans="1:7" ht="12" customHeight="1" outlineLevel="3" x14ac:dyDescent="0.2">
      <c r="A21694" s="14" t="s">
        <v>42701</v>
      </c>
      <c r="B21694" s="15" t="s">
        <v>42702</v>
      </c>
      <c r="C21694" s="16">
        <f>259.55/(1+B2)</f>
        <v>259.55</v>
      </c>
      <c r="D21694" s="17" t="s">
        <v>11</v>
      </c>
      <c r="E21694" s="17"/>
      <c r="F21694" s="18"/>
      <c r="G21694" s="36" t="str">
        <f>IF(ISNUMBER(F21694),C21694*F21694,"")</f>
        <v/>
      </c>
    </row>
    <row r="21695" spans="1:7" ht="12" customHeight="1" outlineLevel="3" x14ac:dyDescent="0.2">
      <c r="A21695" s="14" t="s">
        <v>42703</v>
      </c>
      <c r="B21695" s="15" t="s">
        <v>42704</v>
      </c>
      <c r="C21695" s="16">
        <f>363.79/(1+B2)</f>
        <v>363.79</v>
      </c>
      <c r="D21695" s="17" t="s">
        <v>11</v>
      </c>
      <c r="E21695" s="17"/>
      <c r="F21695" s="18"/>
      <c r="G21695" s="36" t="str">
        <f>IF(ISNUMBER(F21695),C21695*F21695,"")</f>
        <v/>
      </c>
    </row>
    <row r="21696" spans="1:7" ht="12" customHeight="1" outlineLevel="3" x14ac:dyDescent="0.2">
      <c r="A21696" s="14" t="s">
        <v>42705</v>
      </c>
      <c r="B21696" s="15" t="s">
        <v>42706</v>
      </c>
      <c r="C21696" s="16">
        <f>363.79/(1+B2)</f>
        <v>363.79</v>
      </c>
      <c r="D21696" s="17" t="s">
        <v>11</v>
      </c>
      <c r="E21696" s="17"/>
      <c r="F21696" s="18"/>
      <c r="G21696" s="36" t="str">
        <f>IF(ISNUMBER(F21696),C21696*F21696,"")</f>
        <v/>
      </c>
    </row>
    <row r="21697" spans="1:7" ht="12" customHeight="1" outlineLevel="3" x14ac:dyDescent="0.2">
      <c r="A21697" s="14" t="s">
        <v>42707</v>
      </c>
      <c r="B21697" s="15" t="s">
        <v>42708</v>
      </c>
      <c r="C21697" s="16">
        <f>423.91/(1+B2)</f>
        <v>423.91</v>
      </c>
      <c r="D21697" s="17" t="s">
        <v>11</v>
      </c>
      <c r="E21697" s="17"/>
      <c r="F21697" s="18"/>
      <c r="G21697" s="36" t="str">
        <f>IF(ISNUMBER(F21697),C21697*F21697,"")</f>
        <v/>
      </c>
    </row>
    <row r="21698" spans="1:7" ht="24" customHeight="1" outlineLevel="3" x14ac:dyDescent="0.2">
      <c r="A21698" s="14" t="s">
        <v>42709</v>
      </c>
      <c r="B21698" s="15" t="s">
        <v>42710</v>
      </c>
      <c r="C21698" s="16">
        <f>279.36/(1+B2)</f>
        <v>279.36</v>
      </c>
      <c r="D21698" s="17" t="s">
        <v>11</v>
      </c>
      <c r="E21698" s="17" t="s">
        <v>11</v>
      </c>
      <c r="F21698" s="18"/>
      <c r="G21698" s="36" t="str">
        <f>IF(ISNUMBER(F21698),C21698*F21698,"")</f>
        <v/>
      </c>
    </row>
    <row r="21699" spans="1:7" ht="24" customHeight="1" outlineLevel="3" x14ac:dyDescent="0.2">
      <c r="A21699" s="14" t="s">
        <v>42711</v>
      </c>
      <c r="B21699" s="15" t="s">
        <v>42712</v>
      </c>
      <c r="C21699" s="19">
        <f>1477.79/(1+B2)</f>
        <v>1477.79</v>
      </c>
      <c r="D21699" s="17" t="s">
        <v>11</v>
      </c>
      <c r="E21699" s="17"/>
      <c r="F21699" s="18"/>
      <c r="G21699" s="36" t="str">
        <f>IF(ISNUMBER(F21699),C21699*F21699,"")</f>
        <v/>
      </c>
    </row>
    <row r="21700" spans="1:7" ht="24" customHeight="1" outlineLevel="3" x14ac:dyDescent="0.2">
      <c r="A21700" s="14" t="s">
        <v>42713</v>
      </c>
      <c r="B21700" s="15" t="s">
        <v>42714</v>
      </c>
      <c r="C21700" s="16">
        <f>380.54/(1+B2)</f>
        <v>380.54</v>
      </c>
      <c r="D21700" s="17" t="s">
        <v>11</v>
      </c>
      <c r="E21700" s="17" t="s">
        <v>11</v>
      </c>
      <c r="F21700" s="18"/>
      <c r="G21700" s="36" t="str">
        <f>IF(ISNUMBER(F21700),C21700*F21700,"")</f>
        <v/>
      </c>
    </row>
    <row r="21701" spans="1:7" ht="12" customHeight="1" outlineLevel="3" x14ac:dyDescent="0.2">
      <c r="A21701" s="14" t="s">
        <v>42715</v>
      </c>
      <c r="B21701" s="15" t="s">
        <v>42716</v>
      </c>
      <c r="C21701" s="16">
        <f>188.1/(1+B2)</f>
        <v>188.1</v>
      </c>
      <c r="D21701" s="17" t="s">
        <v>11</v>
      </c>
      <c r="E21701" s="17"/>
      <c r="F21701" s="18"/>
      <c r="G21701" s="36" t="str">
        <f>IF(ISNUMBER(F21701),C21701*F21701,"")</f>
        <v/>
      </c>
    </row>
    <row r="21702" spans="1:7" ht="12" customHeight="1" outlineLevel="3" x14ac:dyDescent="0.2">
      <c r="A21702" s="14" t="s">
        <v>42717</v>
      </c>
      <c r="B21702" s="15" t="s">
        <v>42718</v>
      </c>
      <c r="C21702" s="16">
        <f>259.21/(1+B2)</f>
        <v>259.20999999999998</v>
      </c>
      <c r="D21702" s="17" t="s">
        <v>11</v>
      </c>
      <c r="E21702" s="17"/>
      <c r="F21702" s="18"/>
      <c r="G21702" s="36" t="str">
        <f>IF(ISNUMBER(F21702),C21702*F21702,"")</f>
        <v/>
      </c>
    </row>
    <row r="21703" spans="1:7" ht="12" customHeight="1" outlineLevel="3" x14ac:dyDescent="0.2">
      <c r="A21703" s="14" t="s">
        <v>42719</v>
      </c>
      <c r="B21703" s="15" t="s">
        <v>42720</v>
      </c>
      <c r="C21703" s="16">
        <f>203.86/(1+B2)</f>
        <v>203.86</v>
      </c>
      <c r="D21703" s="17" t="s">
        <v>11</v>
      </c>
      <c r="E21703" s="17"/>
      <c r="F21703" s="18"/>
      <c r="G21703" s="36" t="str">
        <f>IF(ISNUMBER(F21703),C21703*F21703,"")</f>
        <v/>
      </c>
    </row>
    <row r="21704" spans="1:7" ht="12" customHeight="1" outlineLevel="3" x14ac:dyDescent="0.2">
      <c r="A21704" s="14" t="s">
        <v>42721</v>
      </c>
      <c r="B21704" s="15" t="s">
        <v>42722</v>
      </c>
      <c r="C21704" s="16">
        <f>356.15/(1+B2)</f>
        <v>356.15</v>
      </c>
      <c r="D21704" s="17" t="s">
        <v>11</v>
      </c>
      <c r="E21704" s="17" t="s">
        <v>11</v>
      </c>
      <c r="F21704" s="18"/>
      <c r="G21704" s="36" t="str">
        <f>IF(ISNUMBER(F21704),C21704*F21704,"")</f>
        <v/>
      </c>
    </row>
    <row r="21705" spans="1:7" ht="12" customHeight="1" outlineLevel="3" x14ac:dyDescent="0.2">
      <c r="A21705" s="14" t="s">
        <v>42723</v>
      </c>
      <c r="B21705" s="15" t="s">
        <v>42724</v>
      </c>
      <c r="C21705" s="16">
        <f>365.66/(1+B2)</f>
        <v>365.66</v>
      </c>
      <c r="D21705" s="17" t="s">
        <v>11</v>
      </c>
      <c r="E21705" s="17"/>
      <c r="F21705" s="18"/>
      <c r="G21705" s="36" t="str">
        <f>IF(ISNUMBER(F21705),C21705*F21705,"")</f>
        <v/>
      </c>
    </row>
    <row r="21706" spans="1:7" ht="12" customHeight="1" outlineLevel="3" x14ac:dyDescent="0.2">
      <c r="A21706" s="14" t="s">
        <v>42725</v>
      </c>
      <c r="B21706" s="15" t="s">
        <v>42726</v>
      </c>
      <c r="C21706" s="16">
        <f>423.76/(1+B2)</f>
        <v>423.76</v>
      </c>
      <c r="D21706" s="17" t="s">
        <v>11</v>
      </c>
      <c r="E21706" s="17"/>
      <c r="F21706" s="18"/>
      <c r="G21706" s="36" t="str">
        <f>IF(ISNUMBER(F21706),C21706*F21706,"")</f>
        <v/>
      </c>
    </row>
    <row r="21707" spans="1:7" ht="12" customHeight="1" outlineLevel="3" x14ac:dyDescent="0.2">
      <c r="A21707" s="14" t="s">
        <v>42727</v>
      </c>
      <c r="B21707" s="15" t="s">
        <v>42728</v>
      </c>
      <c r="C21707" s="16">
        <f>176.06/(1+B2)</f>
        <v>176.06</v>
      </c>
      <c r="D21707" s="17" t="s">
        <v>11</v>
      </c>
      <c r="E21707" s="17"/>
      <c r="F21707" s="18"/>
      <c r="G21707" s="36" t="str">
        <f>IF(ISNUMBER(F21707),C21707*F21707,"")</f>
        <v/>
      </c>
    </row>
    <row r="21708" spans="1:7" ht="12" customHeight="1" outlineLevel="3" x14ac:dyDescent="0.2">
      <c r="A21708" s="14" t="s">
        <v>42729</v>
      </c>
      <c r="B21708" s="15" t="s">
        <v>42730</v>
      </c>
      <c r="C21708" s="16">
        <f>176.06/(1+B2)</f>
        <v>176.06</v>
      </c>
      <c r="D21708" s="17" t="s">
        <v>11</v>
      </c>
      <c r="E21708" s="17" t="s">
        <v>11</v>
      </c>
      <c r="F21708" s="18"/>
      <c r="G21708" s="36" t="str">
        <f>IF(ISNUMBER(F21708),C21708*F21708,"")</f>
        <v/>
      </c>
    </row>
    <row r="21709" spans="1:7" ht="12" customHeight="1" outlineLevel="3" x14ac:dyDescent="0.2">
      <c r="A21709" s="14" t="s">
        <v>42731</v>
      </c>
      <c r="B21709" s="15" t="s">
        <v>42732</v>
      </c>
      <c r="C21709" s="16">
        <f>301.14/(1+B2)</f>
        <v>301.14</v>
      </c>
      <c r="D21709" s="17" t="s">
        <v>11</v>
      </c>
      <c r="E21709" s="17" t="s">
        <v>11</v>
      </c>
      <c r="F21709" s="18"/>
      <c r="G21709" s="36" t="str">
        <f>IF(ISNUMBER(F21709),C21709*F21709,"")</f>
        <v/>
      </c>
    </row>
    <row r="21710" spans="1:7" ht="24" customHeight="1" outlineLevel="3" x14ac:dyDescent="0.2">
      <c r="A21710" s="14" t="s">
        <v>42733</v>
      </c>
      <c r="B21710" s="15" t="s">
        <v>42734</v>
      </c>
      <c r="C21710" s="16">
        <f>310.16/(1+B2)</f>
        <v>310.16000000000003</v>
      </c>
      <c r="D21710" s="17" t="s">
        <v>11</v>
      </c>
      <c r="E21710" s="17" t="s">
        <v>11</v>
      </c>
      <c r="F21710" s="18"/>
      <c r="G21710" s="36" t="str">
        <f>IF(ISNUMBER(F21710),C21710*F21710,"")</f>
        <v/>
      </c>
    </row>
    <row r="21711" spans="1:7" ht="12" customHeight="1" outlineLevel="3" x14ac:dyDescent="0.2">
      <c r="A21711" s="14" t="s">
        <v>42735</v>
      </c>
      <c r="B21711" s="15" t="s">
        <v>42736</v>
      </c>
      <c r="C21711" s="16">
        <f>398.85/(1+B2)</f>
        <v>398.85</v>
      </c>
      <c r="D21711" s="17" t="s">
        <v>11</v>
      </c>
      <c r="E21711" s="17"/>
      <c r="F21711" s="18"/>
      <c r="G21711" s="36" t="str">
        <f>IF(ISNUMBER(F21711),C21711*F21711,"")</f>
        <v/>
      </c>
    </row>
    <row r="21712" spans="1:7" ht="12" customHeight="1" outlineLevel="3" x14ac:dyDescent="0.2">
      <c r="A21712" s="14" t="s">
        <v>42737</v>
      </c>
      <c r="B21712" s="15" t="s">
        <v>42738</v>
      </c>
      <c r="C21712" s="16">
        <f>253.39/(1+B2)</f>
        <v>253.39</v>
      </c>
      <c r="D21712" s="17" t="s">
        <v>11</v>
      </c>
      <c r="E21712" s="17" t="s">
        <v>11</v>
      </c>
      <c r="F21712" s="18"/>
      <c r="G21712" s="36" t="str">
        <f>IF(ISNUMBER(F21712),C21712*F21712,"")</f>
        <v/>
      </c>
    </row>
    <row r="21713" spans="1:7" ht="12" customHeight="1" outlineLevel="3" x14ac:dyDescent="0.2">
      <c r="A21713" s="14" t="s">
        <v>42739</v>
      </c>
      <c r="B21713" s="15" t="s">
        <v>42740</v>
      </c>
      <c r="C21713" s="16">
        <f>299.93/(1+B2)</f>
        <v>299.93</v>
      </c>
      <c r="D21713" s="17" t="s">
        <v>11</v>
      </c>
      <c r="E21713" s="17" t="s">
        <v>11</v>
      </c>
      <c r="F21713" s="18"/>
      <c r="G21713" s="36" t="str">
        <f>IF(ISNUMBER(F21713),C21713*F21713,"")</f>
        <v/>
      </c>
    </row>
    <row r="21714" spans="1:7" ht="12" customHeight="1" outlineLevel="3" x14ac:dyDescent="0.2">
      <c r="A21714" s="14" t="s">
        <v>42741</v>
      </c>
      <c r="B21714" s="15" t="s">
        <v>42742</v>
      </c>
      <c r="C21714" s="16">
        <f>338.41/(1+B2)</f>
        <v>338.41</v>
      </c>
      <c r="D21714" s="17" t="s">
        <v>11</v>
      </c>
      <c r="E21714" s="17" t="s">
        <v>11</v>
      </c>
      <c r="F21714" s="18"/>
      <c r="G21714" s="36" t="str">
        <f>IF(ISNUMBER(F21714),C21714*F21714,"")</f>
        <v/>
      </c>
    </row>
    <row r="21715" spans="1:7" ht="12" customHeight="1" outlineLevel="3" x14ac:dyDescent="0.2">
      <c r="A21715" s="14" t="s">
        <v>42743</v>
      </c>
      <c r="B21715" s="15" t="s">
        <v>42744</v>
      </c>
      <c r="C21715" s="16">
        <f>958.07/(1+B2)</f>
        <v>958.07</v>
      </c>
      <c r="D21715" s="17" t="s">
        <v>11</v>
      </c>
      <c r="E21715" s="17"/>
      <c r="F21715" s="18"/>
      <c r="G21715" s="36" t="str">
        <f>IF(ISNUMBER(F21715),C21715*F21715,"")</f>
        <v/>
      </c>
    </row>
    <row r="21716" spans="1:7" ht="12" customHeight="1" outlineLevel="3" x14ac:dyDescent="0.2">
      <c r="A21716" s="14" t="s">
        <v>42745</v>
      </c>
      <c r="B21716" s="15" t="s">
        <v>42746</v>
      </c>
      <c r="C21716" s="16">
        <f>305.62/(1+B2)</f>
        <v>305.62</v>
      </c>
      <c r="D21716" s="17" t="s">
        <v>11</v>
      </c>
      <c r="E21716" s="17"/>
      <c r="F21716" s="18"/>
      <c r="G21716" s="36" t="str">
        <f>IF(ISNUMBER(F21716),C21716*F21716,"")</f>
        <v/>
      </c>
    </row>
    <row r="21717" spans="1:7" ht="12" customHeight="1" outlineLevel="3" x14ac:dyDescent="0.2">
      <c r="A21717" s="14" t="s">
        <v>42747</v>
      </c>
      <c r="B21717" s="15" t="s">
        <v>42748</v>
      </c>
      <c r="C21717" s="16">
        <f>953.75/(1+B2)</f>
        <v>953.75</v>
      </c>
      <c r="D21717" s="17" t="s">
        <v>11</v>
      </c>
      <c r="E21717" s="17"/>
      <c r="F21717" s="18"/>
      <c r="G21717" s="36" t="str">
        <f>IF(ISNUMBER(F21717),C21717*F21717,"")</f>
        <v/>
      </c>
    </row>
    <row r="21718" spans="1:7" ht="12" customHeight="1" outlineLevel="3" x14ac:dyDescent="0.2">
      <c r="A21718" s="14" t="s">
        <v>42749</v>
      </c>
      <c r="B21718" s="15" t="s">
        <v>42750</v>
      </c>
      <c r="C21718" s="16">
        <f>953.75/(1+B2)</f>
        <v>953.75</v>
      </c>
      <c r="D21718" s="17" t="s">
        <v>11</v>
      </c>
      <c r="E21718" s="17" t="s">
        <v>11</v>
      </c>
      <c r="F21718" s="18"/>
      <c r="G21718" s="36" t="str">
        <f>IF(ISNUMBER(F21718),C21718*F21718,"")</f>
        <v/>
      </c>
    </row>
    <row r="21719" spans="1:7" ht="12" customHeight="1" outlineLevel="3" x14ac:dyDescent="0.2">
      <c r="A21719" s="14" t="s">
        <v>42751</v>
      </c>
      <c r="B21719" s="15" t="s">
        <v>42752</v>
      </c>
      <c r="C21719" s="16">
        <f>953.75/(1+B2)</f>
        <v>953.75</v>
      </c>
      <c r="D21719" s="17" t="s">
        <v>11</v>
      </c>
      <c r="E21719" s="17" t="s">
        <v>11</v>
      </c>
      <c r="F21719" s="18"/>
      <c r="G21719" s="36" t="str">
        <f>IF(ISNUMBER(F21719),C21719*F21719,"")</f>
        <v/>
      </c>
    </row>
    <row r="21720" spans="1:7" ht="12" customHeight="1" outlineLevel="3" x14ac:dyDescent="0.2">
      <c r="A21720" s="14" t="s">
        <v>42753</v>
      </c>
      <c r="B21720" s="15" t="s">
        <v>42754</v>
      </c>
      <c r="C21720" s="16">
        <f>953.75/(1+B2)</f>
        <v>953.75</v>
      </c>
      <c r="D21720" s="17" t="s">
        <v>11</v>
      </c>
      <c r="E21720" s="17" t="s">
        <v>11</v>
      </c>
      <c r="F21720" s="18"/>
      <c r="G21720" s="36" t="str">
        <f>IF(ISNUMBER(F21720),C21720*F21720,"")</f>
        <v/>
      </c>
    </row>
    <row r="21721" spans="1:7" ht="12" customHeight="1" outlineLevel="3" x14ac:dyDescent="0.2">
      <c r="A21721" s="14" t="s">
        <v>42755</v>
      </c>
      <c r="B21721" s="15" t="s">
        <v>42756</v>
      </c>
      <c r="C21721" s="16">
        <f>953.75/(1+B2)</f>
        <v>953.75</v>
      </c>
      <c r="D21721" s="17" t="s">
        <v>11</v>
      </c>
      <c r="E21721" s="17"/>
      <c r="F21721" s="18"/>
      <c r="G21721" s="36" t="str">
        <f>IF(ISNUMBER(F21721),C21721*F21721,"")</f>
        <v/>
      </c>
    </row>
    <row r="21722" spans="1:7" ht="24" customHeight="1" outlineLevel="3" x14ac:dyDescent="0.2">
      <c r="A21722" s="14" t="s">
        <v>42757</v>
      </c>
      <c r="B21722" s="15" t="s">
        <v>42758</v>
      </c>
      <c r="C21722" s="16">
        <f>244.41/(1+B2)</f>
        <v>244.41</v>
      </c>
      <c r="D21722" s="17" t="s">
        <v>11</v>
      </c>
      <c r="E21722" s="17"/>
      <c r="F21722" s="18"/>
      <c r="G21722" s="36" t="str">
        <f>IF(ISNUMBER(F21722),C21722*F21722,"")</f>
        <v/>
      </c>
    </row>
    <row r="21723" spans="1:7" ht="12" customHeight="1" outlineLevel="3" x14ac:dyDescent="0.2">
      <c r="A21723" s="14" t="s">
        <v>42759</v>
      </c>
      <c r="B21723" s="15" t="s">
        <v>42760</v>
      </c>
      <c r="C21723" s="19">
        <f>1055.16/(1+B2)</f>
        <v>1055.1600000000001</v>
      </c>
      <c r="D21723" s="17" t="s">
        <v>11</v>
      </c>
      <c r="E21723" s="17"/>
      <c r="F21723" s="18"/>
      <c r="G21723" s="36" t="str">
        <f>IF(ISNUMBER(F21723),C21723*F21723,"")</f>
        <v/>
      </c>
    </row>
    <row r="21724" spans="1:7" ht="12" customHeight="1" outlineLevel="3" x14ac:dyDescent="0.2">
      <c r="A21724" s="14" t="s">
        <v>42761</v>
      </c>
      <c r="B21724" s="15" t="s">
        <v>42762</v>
      </c>
      <c r="C21724" s="19">
        <f>1015.19/(1+B2)</f>
        <v>1015.19</v>
      </c>
      <c r="D21724" s="17" t="s">
        <v>11</v>
      </c>
      <c r="E21724" s="17" t="s">
        <v>11</v>
      </c>
      <c r="F21724" s="18"/>
      <c r="G21724" s="36" t="str">
        <f>IF(ISNUMBER(F21724),C21724*F21724,"")</f>
        <v/>
      </c>
    </row>
    <row r="21725" spans="1:7" ht="12" customHeight="1" outlineLevel="3" x14ac:dyDescent="0.2">
      <c r="A21725" s="14" t="s">
        <v>42763</v>
      </c>
      <c r="B21725" s="15" t="s">
        <v>42764</v>
      </c>
      <c r="C21725" s="16">
        <f>330.1/(1+B2)</f>
        <v>330.1</v>
      </c>
      <c r="D21725" s="17" t="s">
        <v>11</v>
      </c>
      <c r="E21725" s="17" t="s">
        <v>11</v>
      </c>
      <c r="F21725" s="18"/>
      <c r="G21725" s="36" t="str">
        <f>IF(ISNUMBER(F21725),C21725*F21725,"")</f>
        <v/>
      </c>
    </row>
    <row r="21726" spans="1:7" ht="12" customHeight="1" outlineLevel="3" x14ac:dyDescent="0.2">
      <c r="A21726" s="14" t="s">
        <v>42765</v>
      </c>
      <c r="B21726" s="15" t="s">
        <v>42766</v>
      </c>
      <c r="C21726" s="16">
        <f>954.71/(1+B2)</f>
        <v>954.71</v>
      </c>
      <c r="D21726" s="17" t="s">
        <v>11</v>
      </c>
      <c r="E21726" s="17"/>
      <c r="F21726" s="18"/>
      <c r="G21726" s="36" t="str">
        <f>IF(ISNUMBER(F21726),C21726*F21726,"")</f>
        <v/>
      </c>
    </row>
    <row r="21727" spans="1:7" ht="12" customHeight="1" outlineLevel="3" x14ac:dyDescent="0.2">
      <c r="A21727" s="14" t="s">
        <v>42767</v>
      </c>
      <c r="B21727" s="15" t="s">
        <v>42768</v>
      </c>
      <c r="C21727" s="16">
        <f>213.73/(1+B2)</f>
        <v>213.73</v>
      </c>
      <c r="D21727" s="17" t="s">
        <v>11</v>
      </c>
      <c r="E21727" s="17"/>
      <c r="F21727" s="18"/>
      <c r="G21727" s="36" t="str">
        <f>IF(ISNUMBER(F21727),C21727*F21727,"")</f>
        <v/>
      </c>
    </row>
    <row r="21728" spans="1:7" ht="12" customHeight="1" outlineLevel="3" x14ac:dyDescent="0.2">
      <c r="A21728" s="14" t="s">
        <v>42769</v>
      </c>
      <c r="B21728" s="15" t="s">
        <v>42770</v>
      </c>
      <c r="C21728" s="16">
        <f>242.57/(1+B2)</f>
        <v>242.57</v>
      </c>
      <c r="D21728" s="17" t="s">
        <v>11</v>
      </c>
      <c r="E21728" s="17"/>
      <c r="F21728" s="18"/>
      <c r="G21728" s="36" t="str">
        <f>IF(ISNUMBER(F21728),C21728*F21728,"")</f>
        <v/>
      </c>
    </row>
    <row r="21729" spans="1:7" ht="24" customHeight="1" outlineLevel="3" x14ac:dyDescent="0.2">
      <c r="A21729" s="14" t="s">
        <v>42771</v>
      </c>
      <c r="B21729" s="15" t="s">
        <v>42772</v>
      </c>
      <c r="C21729" s="16">
        <f>125.49/(1+B2)</f>
        <v>125.49</v>
      </c>
      <c r="D21729" s="17" t="s">
        <v>11</v>
      </c>
      <c r="E21729" s="17"/>
      <c r="F21729" s="18"/>
      <c r="G21729" s="36" t="str">
        <f>IF(ISNUMBER(F21729),C21729*F21729,"")</f>
        <v/>
      </c>
    </row>
    <row r="21730" spans="1:7" ht="12" customHeight="1" outlineLevel="3" x14ac:dyDescent="0.2">
      <c r="A21730" s="14" t="s">
        <v>42773</v>
      </c>
      <c r="B21730" s="15" t="s">
        <v>42774</v>
      </c>
      <c r="C21730" s="16">
        <f>34.26/(1+B2)</f>
        <v>34.26</v>
      </c>
      <c r="D21730" s="17" t="s">
        <v>14</v>
      </c>
      <c r="E21730" s="17"/>
      <c r="F21730" s="18"/>
      <c r="G21730" s="36" t="str">
        <f>IF(ISNUMBER(F21730),C21730*F21730,"")</f>
        <v/>
      </c>
    </row>
    <row r="21731" spans="1:7" s="1" customFormat="1" ht="12.95" customHeight="1" outlineLevel="2" x14ac:dyDescent="0.2">
      <c r="A21731" s="20"/>
      <c r="B21731" s="21" t="s">
        <v>42775</v>
      </c>
      <c r="C21731" s="22"/>
      <c r="D21731" s="22"/>
      <c r="E21731" s="22"/>
      <c r="F21731" s="22"/>
      <c r="G21731" s="37"/>
    </row>
    <row r="21732" spans="1:7" ht="12" customHeight="1" outlineLevel="3" x14ac:dyDescent="0.2">
      <c r="A21732" s="14" t="s">
        <v>42776</v>
      </c>
      <c r="B21732" s="15" t="s">
        <v>42777</v>
      </c>
      <c r="C21732" s="16">
        <f>81.17/(1+B2)</f>
        <v>81.17</v>
      </c>
      <c r="D21732" s="17" t="s">
        <v>11</v>
      </c>
      <c r="E21732" s="17"/>
      <c r="F21732" s="18"/>
      <c r="G21732" s="36" t="str">
        <f>IF(ISNUMBER(F21732),C21732*F21732,"")</f>
        <v/>
      </c>
    </row>
    <row r="21733" spans="1:7" ht="12" customHeight="1" outlineLevel="3" x14ac:dyDescent="0.2">
      <c r="A21733" s="14" t="s">
        <v>42778</v>
      </c>
      <c r="B21733" s="15" t="s">
        <v>42779</v>
      </c>
      <c r="C21733" s="16">
        <f>259.21/(1+B2)</f>
        <v>259.20999999999998</v>
      </c>
      <c r="D21733" s="17" t="s">
        <v>11</v>
      </c>
      <c r="E21733" s="17" t="s">
        <v>11</v>
      </c>
      <c r="F21733" s="18"/>
      <c r="G21733" s="36" t="str">
        <f>IF(ISNUMBER(F21733),C21733*F21733,"")</f>
        <v/>
      </c>
    </row>
    <row r="21734" spans="1:7" ht="12" customHeight="1" outlineLevel="3" x14ac:dyDescent="0.2">
      <c r="A21734" s="14" t="s">
        <v>42780</v>
      </c>
      <c r="B21734" s="15" t="s">
        <v>42781</v>
      </c>
      <c r="C21734" s="16">
        <f>89.08/(1+B2)</f>
        <v>89.08</v>
      </c>
      <c r="D21734" s="17" t="s">
        <v>11</v>
      </c>
      <c r="E21734" s="17" t="s">
        <v>11</v>
      </c>
      <c r="F21734" s="18"/>
      <c r="G21734" s="36" t="str">
        <f>IF(ISNUMBER(F21734),C21734*F21734,"")</f>
        <v/>
      </c>
    </row>
    <row r="21735" spans="1:7" ht="12" customHeight="1" outlineLevel="3" x14ac:dyDescent="0.2">
      <c r="A21735" s="14" t="s">
        <v>42782</v>
      </c>
      <c r="B21735" s="15" t="s">
        <v>42783</v>
      </c>
      <c r="C21735" s="16">
        <f>91.21/(1+B2)</f>
        <v>91.21</v>
      </c>
      <c r="D21735" s="17" t="s">
        <v>11</v>
      </c>
      <c r="E21735" s="17" t="s">
        <v>53</v>
      </c>
      <c r="F21735" s="18"/>
      <c r="G21735" s="36" t="str">
        <f>IF(ISNUMBER(F21735),C21735*F21735,"")</f>
        <v/>
      </c>
    </row>
    <row r="21736" spans="1:7" ht="12" customHeight="1" outlineLevel="3" x14ac:dyDescent="0.2">
      <c r="A21736" s="14" t="s">
        <v>42784</v>
      </c>
      <c r="B21736" s="15" t="s">
        <v>42785</v>
      </c>
      <c r="C21736" s="16">
        <f>138.18/(1+B2)</f>
        <v>138.18</v>
      </c>
      <c r="D21736" s="17" t="s">
        <v>11</v>
      </c>
      <c r="E21736" s="17" t="s">
        <v>53</v>
      </c>
      <c r="F21736" s="18"/>
      <c r="G21736" s="36" t="str">
        <f>IF(ISNUMBER(F21736),C21736*F21736,"")</f>
        <v/>
      </c>
    </row>
    <row r="21737" spans="1:7" ht="12" customHeight="1" outlineLevel="3" x14ac:dyDescent="0.2">
      <c r="A21737" s="14" t="s">
        <v>42786</v>
      </c>
      <c r="B21737" s="15" t="s">
        <v>42787</v>
      </c>
      <c r="C21737" s="16">
        <f>80.35/(1+B2)</f>
        <v>80.349999999999994</v>
      </c>
      <c r="D21737" s="17" t="s">
        <v>14</v>
      </c>
      <c r="E21737" s="17" t="s">
        <v>14</v>
      </c>
      <c r="F21737" s="18"/>
      <c r="G21737" s="36" t="str">
        <f>IF(ISNUMBER(F21737),C21737*F21737,"")</f>
        <v/>
      </c>
    </row>
    <row r="21738" spans="1:7" ht="12" customHeight="1" outlineLevel="3" x14ac:dyDescent="0.2">
      <c r="A21738" s="14" t="s">
        <v>42788</v>
      </c>
      <c r="B21738" s="15" t="s">
        <v>42789</v>
      </c>
      <c r="C21738" s="16">
        <f>195.67/(1+B2)</f>
        <v>195.67</v>
      </c>
      <c r="D21738" s="17" t="s">
        <v>11</v>
      </c>
      <c r="E21738" s="17"/>
      <c r="F21738" s="18"/>
      <c r="G21738" s="36" t="str">
        <f>IF(ISNUMBER(F21738),C21738*F21738,"")</f>
        <v/>
      </c>
    </row>
    <row r="21739" spans="1:7" ht="12" customHeight="1" outlineLevel="3" x14ac:dyDescent="0.2">
      <c r="A21739" s="14" t="s">
        <v>42790</v>
      </c>
      <c r="B21739" s="15" t="s">
        <v>42791</v>
      </c>
      <c r="C21739" s="16">
        <f>195.55/(1+B2)</f>
        <v>195.55</v>
      </c>
      <c r="D21739" s="17" t="s">
        <v>11</v>
      </c>
      <c r="E21739" s="17" t="s">
        <v>11</v>
      </c>
      <c r="F21739" s="18"/>
      <c r="G21739" s="36" t="str">
        <f>IF(ISNUMBER(F21739),C21739*F21739,"")</f>
        <v/>
      </c>
    </row>
    <row r="21740" spans="1:7" ht="24" customHeight="1" outlineLevel="3" x14ac:dyDescent="0.2">
      <c r="A21740" s="14" t="s">
        <v>42792</v>
      </c>
      <c r="B21740" s="15" t="s">
        <v>42793</v>
      </c>
      <c r="C21740" s="16">
        <f>316.8/(1+B2)</f>
        <v>316.8</v>
      </c>
      <c r="D21740" s="17" t="s">
        <v>11</v>
      </c>
      <c r="E21740" s="17"/>
      <c r="F21740" s="18"/>
      <c r="G21740" s="36" t="str">
        <f>IF(ISNUMBER(F21740),C21740*F21740,"")</f>
        <v/>
      </c>
    </row>
    <row r="21741" spans="1:7" ht="12" customHeight="1" outlineLevel="3" x14ac:dyDescent="0.2">
      <c r="A21741" s="14" t="s">
        <v>42794</v>
      </c>
      <c r="B21741" s="15" t="s">
        <v>42795</v>
      </c>
      <c r="C21741" s="16">
        <f>102.77/(1+B2)</f>
        <v>102.77</v>
      </c>
      <c r="D21741" s="17" t="s">
        <v>11</v>
      </c>
      <c r="E21741" s="17"/>
      <c r="F21741" s="18"/>
      <c r="G21741" s="36" t="str">
        <f>IF(ISNUMBER(F21741),C21741*F21741,"")</f>
        <v/>
      </c>
    </row>
    <row r="21742" spans="1:7" ht="12" customHeight="1" outlineLevel="3" x14ac:dyDescent="0.2">
      <c r="A21742" s="14" t="s">
        <v>42796</v>
      </c>
      <c r="B21742" s="15" t="s">
        <v>42797</v>
      </c>
      <c r="C21742" s="16">
        <f>75.48/(1+B2)</f>
        <v>75.48</v>
      </c>
      <c r="D21742" s="17" t="s">
        <v>11</v>
      </c>
      <c r="E21742" s="17"/>
      <c r="F21742" s="18"/>
      <c r="G21742" s="36" t="str">
        <f>IF(ISNUMBER(F21742),C21742*F21742,"")</f>
        <v/>
      </c>
    </row>
    <row r="21743" spans="1:7" ht="12" customHeight="1" outlineLevel="3" x14ac:dyDescent="0.2">
      <c r="A21743" s="14" t="s">
        <v>42798</v>
      </c>
      <c r="B21743" s="15" t="s">
        <v>42799</v>
      </c>
      <c r="C21743" s="16">
        <f>63.07/(1+B2)</f>
        <v>63.07</v>
      </c>
      <c r="D21743" s="17" t="s">
        <v>14</v>
      </c>
      <c r="E21743" s="17"/>
      <c r="F21743" s="18"/>
      <c r="G21743" s="36" t="str">
        <f>IF(ISNUMBER(F21743),C21743*F21743,"")</f>
        <v/>
      </c>
    </row>
    <row r="21744" spans="1:7" ht="12" customHeight="1" outlineLevel="3" x14ac:dyDescent="0.2">
      <c r="A21744" s="14" t="s">
        <v>42800</v>
      </c>
      <c r="B21744" s="15" t="s">
        <v>42801</v>
      </c>
      <c r="C21744" s="16">
        <f>63.07/(1+B2)</f>
        <v>63.07</v>
      </c>
      <c r="D21744" s="17" t="s">
        <v>14</v>
      </c>
      <c r="E21744" s="17"/>
      <c r="F21744" s="18"/>
      <c r="G21744" s="36" t="str">
        <f>IF(ISNUMBER(F21744),C21744*F21744,"")</f>
        <v/>
      </c>
    </row>
    <row r="21745" spans="1:7" ht="12" customHeight="1" outlineLevel="3" x14ac:dyDescent="0.2">
      <c r="A21745" s="14" t="s">
        <v>42802</v>
      </c>
      <c r="B21745" s="15" t="s">
        <v>42803</v>
      </c>
      <c r="C21745" s="16">
        <f>125.04/(1+B2)</f>
        <v>125.04</v>
      </c>
      <c r="D21745" s="17" t="s">
        <v>11</v>
      </c>
      <c r="E21745" s="17"/>
      <c r="F21745" s="18"/>
      <c r="G21745" s="36" t="str">
        <f>IF(ISNUMBER(F21745),C21745*F21745,"")</f>
        <v/>
      </c>
    </row>
    <row r="21746" spans="1:7" ht="12" customHeight="1" outlineLevel="3" x14ac:dyDescent="0.2">
      <c r="A21746" s="14" t="s">
        <v>42804</v>
      </c>
      <c r="B21746" s="15" t="s">
        <v>42805</v>
      </c>
      <c r="C21746" s="16">
        <f>135.69/(1+B2)</f>
        <v>135.69</v>
      </c>
      <c r="D21746" s="17" t="s">
        <v>11</v>
      </c>
      <c r="E21746" s="17"/>
      <c r="F21746" s="18"/>
      <c r="G21746" s="36" t="str">
        <f>IF(ISNUMBER(F21746),C21746*F21746,"")</f>
        <v/>
      </c>
    </row>
    <row r="21747" spans="1:7" ht="12" customHeight="1" outlineLevel="3" x14ac:dyDescent="0.2">
      <c r="A21747" s="14" t="s">
        <v>42806</v>
      </c>
      <c r="B21747" s="15" t="s">
        <v>42807</v>
      </c>
      <c r="C21747" s="16">
        <f>44.04/(1+B2)</f>
        <v>44.04</v>
      </c>
      <c r="D21747" s="17" t="s">
        <v>11</v>
      </c>
      <c r="E21747" s="17" t="s">
        <v>11</v>
      </c>
      <c r="F21747" s="18"/>
      <c r="G21747" s="36" t="str">
        <f>IF(ISNUMBER(F21747),C21747*F21747,"")</f>
        <v/>
      </c>
    </row>
    <row r="21748" spans="1:7" ht="12" customHeight="1" outlineLevel="3" x14ac:dyDescent="0.2">
      <c r="A21748" s="14" t="s">
        <v>42808</v>
      </c>
      <c r="B21748" s="15" t="s">
        <v>42809</v>
      </c>
      <c r="C21748" s="16">
        <f>55.26/(1+B2)</f>
        <v>55.26</v>
      </c>
      <c r="D21748" s="17" t="s">
        <v>11</v>
      </c>
      <c r="E21748" s="17"/>
      <c r="F21748" s="18"/>
      <c r="G21748" s="36" t="str">
        <f>IF(ISNUMBER(F21748),C21748*F21748,"")</f>
        <v/>
      </c>
    </row>
    <row r="21749" spans="1:7" ht="12" customHeight="1" outlineLevel="3" x14ac:dyDescent="0.2">
      <c r="A21749" s="14" t="s">
        <v>42810</v>
      </c>
      <c r="B21749" s="15" t="s">
        <v>42811</v>
      </c>
      <c r="C21749" s="16">
        <f>55.26/(1+B2)</f>
        <v>55.26</v>
      </c>
      <c r="D21749" s="17" t="s">
        <v>14</v>
      </c>
      <c r="E21749" s="17"/>
      <c r="F21749" s="18"/>
      <c r="G21749" s="36" t="str">
        <f>IF(ISNUMBER(F21749),C21749*F21749,"")</f>
        <v/>
      </c>
    </row>
    <row r="21750" spans="1:7" ht="24" customHeight="1" outlineLevel="3" x14ac:dyDescent="0.2">
      <c r="A21750" s="14" t="s">
        <v>42812</v>
      </c>
      <c r="B21750" s="15" t="s">
        <v>42813</v>
      </c>
      <c r="C21750" s="16">
        <f>118.93/(1+B2)</f>
        <v>118.93</v>
      </c>
      <c r="D21750" s="17" t="s">
        <v>14</v>
      </c>
      <c r="E21750" s="17"/>
      <c r="F21750" s="18"/>
      <c r="G21750" s="36" t="str">
        <f>IF(ISNUMBER(F21750),C21750*F21750,"")</f>
        <v/>
      </c>
    </row>
    <row r="21751" spans="1:7" ht="12" customHeight="1" outlineLevel="3" x14ac:dyDescent="0.2">
      <c r="A21751" s="14" t="s">
        <v>42814</v>
      </c>
      <c r="B21751" s="15" t="s">
        <v>42815</v>
      </c>
      <c r="C21751" s="16">
        <f>67.19/(1+B2)</f>
        <v>67.19</v>
      </c>
      <c r="D21751" s="17" t="s">
        <v>11</v>
      </c>
      <c r="E21751" s="17"/>
      <c r="F21751" s="18"/>
      <c r="G21751" s="36" t="str">
        <f>IF(ISNUMBER(F21751),C21751*F21751,"")</f>
        <v/>
      </c>
    </row>
    <row r="21752" spans="1:7" ht="12" customHeight="1" outlineLevel="3" x14ac:dyDescent="0.2">
      <c r="A21752" s="14" t="s">
        <v>42816</v>
      </c>
      <c r="B21752" s="15" t="s">
        <v>42817</v>
      </c>
      <c r="C21752" s="16">
        <f>338.62/(1+B2)</f>
        <v>338.62</v>
      </c>
      <c r="D21752" s="17" t="s">
        <v>11</v>
      </c>
      <c r="E21752" s="17"/>
      <c r="F21752" s="18"/>
      <c r="G21752" s="36" t="str">
        <f>IF(ISNUMBER(F21752),C21752*F21752,"")</f>
        <v/>
      </c>
    </row>
    <row r="21753" spans="1:7" ht="12" customHeight="1" outlineLevel="3" x14ac:dyDescent="0.2">
      <c r="A21753" s="14" t="s">
        <v>42818</v>
      </c>
      <c r="B21753" s="15" t="s">
        <v>42819</v>
      </c>
      <c r="C21753" s="16">
        <f>45.05/(1+B2)</f>
        <v>45.05</v>
      </c>
      <c r="D21753" s="17" t="s">
        <v>11</v>
      </c>
      <c r="E21753" s="17"/>
      <c r="F21753" s="18"/>
      <c r="G21753" s="36" t="str">
        <f>IF(ISNUMBER(F21753),C21753*F21753,"")</f>
        <v/>
      </c>
    </row>
    <row r="21754" spans="1:7" ht="12" customHeight="1" outlineLevel="3" x14ac:dyDescent="0.2">
      <c r="A21754" s="14" t="s">
        <v>42820</v>
      </c>
      <c r="B21754" s="15" t="s">
        <v>42821</v>
      </c>
      <c r="C21754" s="16">
        <f>362.36/(1+B2)</f>
        <v>362.36</v>
      </c>
      <c r="D21754" s="17" t="s">
        <v>11</v>
      </c>
      <c r="E21754" s="17"/>
      <c r="F21754" s="18"/>
      <c r="G21754" s="36" t="str">
        <f>IF(ISNUMBER(F21754),C21754*F21754,"")</f>
        <v/>
      </c>
    </row>
    <row r="21755" spans="1:7" ht="12" customHeight="1" outlineLevel="3" x14ac:dyDescent="0.2">
      <c r="A21755" s="14" t="s">
        <v>42822</v>
      </c>
      <c r="B21755" s="15" t="s">
        <v>42823</v>
      </c>
      <c r="C21755" s="16">
        <f>278.99/(1+B2)</f>
        <v>278.99</v>
      </c>
      <c r="D21755" s="17" t="s">
        <v>11</v>
      </c>
      <c r="E21755" s="17"/>
      <c r="F21755" s="18"/>
      <c r="G21755" s="36" t="str">
        <f>IF(ISNUMBER(F21755),C21755*F21755,"")</f>
        <v/>
      </c>
    </row>
    <row r="21756" spans="1:7" s="1" customFormat="1" ht="12.95" customHeight="1" outlineLevel="2" x14ac:dyDescent="0.2">
      <c r="A21756" s="20"/>
      <c r="B21756" s="21" t="s">
        <v>42824</v>
      </c>
      <c r="C21756" s="22"/>
      <c r="D21756" s="22"/>
      <c r="E21756" s="22"/>
      <c r="F21756" s="22"/>
      <c r="G21756" s="37"/>
    </row>
    <row r="21757" spans="1:7" ht="12" customHeight="1" outlineLevel="3" x14ac:dyDescent="0.2">
      <c r="A21757" s="14" t="s">
        <v>42825</v>
      </c>
      <c r="B21757" s="15" t="s">
        <v>42826</v>
      </c>
      <c r="C21757" s="16">
        <f>100/(1+B2)</f>
        <v>100</v>
      </c>
      <c r="D21757" s="17" t="s">
        <v>11</v>
      </c>
      <c r="E21757" s="17"/>
      <c r="F21757" s="18"/>
      <c r="G21757" s="36" t="str">
        <f>IF(ISNUMBER(F21757),C21757*F21757,"")</f>
        <v/>
      </c>
    </row>
    <row r="21758" spans="1:7" ht="12" customHeight="1" outlineLevel="3" x14ac:dyDescent="0.2">
      <c r="A21758" s="14" t="s">
        <v>42827</v>
      </c>
      <c r="B21758" s="15" t="s">
        <v>42828</v>
      </c>
      <c r="C21758" s="16">
        <f>97.55/(1+B2)</f>
        <v>97.55</v>
      </c>
      <c r="D21758" s="17" t="s">
        <v>14</v>
      </c>
      <c r="E21758" s="17"/>
      <c r="F21758" s="18"/>
      <c r="G21758" s="36" t="str">
        <f>IF(ISNUMBER(F21758),C21758*F21758,"")</f>
        <v/>
      </c>
    </row>
    <row r="21759" spans="1:7" ht="24" customHeight="1" outlineLevel="3" x14ac:dyDescent="0.2">
      <c r="A21759" s="14" t="s">
        <v>42829</v>
      </c>
      <c r="B21759" s="15" t="s">
        <v>42830</v>
      </c>
      <c r="C21759" s="16">
        <f>57.17/(1+B2)</f>
        <v>57.17</v>
      </c>
      <c r="D21759" s="17" t="s">
        <v>11</v>
      </c>
      <c r="E21759" s="17"/>
      <c r="F21759" s="18"/>
      <c r="G21759" s="36" t="str">
        <f>IF(ISNUMBER(F21759),C21759*F21759,"")</f>
        <v/>
      </c>
    </row>
    <row r="21760" spans="1:7" ht="12" customHeight="1" outlineLevel="3" x14ac:dyDescent="0.2">
      <c r="A21760" s="14" t="s">
        <v>42831</v>
      </c>
      <c r="B21760" s="15" t="s">
        <v>42832</v>
      </c>
      <c r="C21760" s="16">
        <f>60.73/(1+B2)</f>
        <v>60.73</v>
      </c>
      <c r="D21760" s="17" t="s">
        <v>11</v>
      </c>
      <c r="E21760" s="17"/>
      <c r="F21760" s="18"/>
      <c r="G21760" s="36" t="str">
        <f>IF(ISNUMBER(F21760),C21760*F21760,"")</f>
        <v/>
      </c>
    </row>
    <row r="21761" spans="1:7" ht="24" customHeight="1" outlineLevel="3" x14ac:dyDescent="0.2">
      <c r="A21761" s="14" t="s">
        <v>42833</v>
      </c>
      <c r="B21761" s="15" t="s">
        <v>42834</v>
      </c>
      <c r="C21761" s="16">
        <f>135.92/(1+B2)</f>
        <v>135.91999999999999</v>
      </c>
      <c r="D21761" s="17" t="s">
        <v>11</v>
      </c>
      <c r="E21761" s="17"/>
      <c r="F21761" s="18"/>
      <c r="G21761" s="36" t="str">
        <f>IF(ISNUMBER(F21761),C21761*F21761,"")</f>
        <v/>
      </c>
    </row>
    <row r="21762" spans="1:7" ht="12" customHeight="1" outlineLevel="3" x14ac:dyDescent="0.2">
      <c r="A21762" s="14" t="s">
        <v>42835</v>
      </c>
      <c r="B21762" s="15" t="s">
        <v>42836</v>
      </c>
      <c r="C21762" s="16">
        <f>45/(1+B2)</f>
        <v>45</v>
      </c>
      <c r="D21762" s="17" t="s">
        <v>11</v>
      </c>
      <c r="E21762" s="17" t="s">
        <v>11</v>
      </c>
      <c r="F21762" s="18"/>
      <c r="G21762" s="36" t="str">
        <f>IF(ISNUMBER(F21762),C21762*F21762,"")</f>
        <v/>
      </c>
    </row>
    <row r="21763" spans="1:7" ht="12" customHeight="1" outlineLevel="3" x14ac:dyDescent="0.2">
      <c r="A21763" s="14" t="s">
        <v>42837</v>
      </c>
      <c r="B21763" s="15" t="s">
        <v>42838</v>
      </c>
      <c r="C21763" s="16">
        <f>152.61/(1+B2)</f>
        <v>152.61000000000001</v>
      </c>
      <c r="D21763" s="17" t="s">
        <v>11</v>
      </c>
      <c r="E21763" s="17"/>
      <c r="F21763" s="18"/>
      <c r="G21763" s="36" t="str">
        <f>IF(ISNUMBER(F21763),C21763*F21763,"")</f>
        <v/>
      </c>
    </row>
    <row r="21764" spans="1:7" ht="24" customHeight="1" outlineLevel="3" x14ac:dyDescent="0.2">
      <c r="A21764" s="14" t="s">
        <v>42839</v>
      </c>
      <c r="B21764" s="15" t="s">
        <v>42840</v>
      </c>
      <c r="C21764" s="16">
        <f>303.69/(1+B2)</f>
        <v>303.69</v>
      </c>
      <c r="D21764" s="17" t="s">
        <v>11</v>
      </c>
      <c r="E21764" s="17"/>
      <c r="F21764" s="18"/>
      <c r="G21764" s="36" t="str">
        <f>IF(ISNUMBER(F21764),C21764*F21764,"")</f>
        <v/>
      </c>
    </row>
    <row r="21765" spans="1:7" ht="12" customHeight="1" outlineLevel="3" x14ac:dyDescent="0.2">
      <c r="A21765" s="14" t="s">
        <v>42841</v>
      </c>
      <c r="B21765" s="15" t="s">
        <v>42842</v>
      </c>
      <c r="C21765" s="16">
        <f>346.38/(1+B2)</f>
        <v>346.38</v>
      </c>
      <c r="D21765" s="17" t="s">
        <v>11</v>
      </c>
      <c r="E21765" s="17"/>
      <c r="F21765" s="18"/>
      <c r="G21765" s="36" t="str">
        <f>IF(ISNUMBER(F21765),C21765*F21765,"")</f>
        <v/>
      </c>
    </row>
    <row r="21766" spans="1:7" ht="24" customHeight="1" outlineLevel="3" x14ac:dyDescent="0.2">
      <c r="A21766" s="14" t="s">
        <v>42843</v>
      </c>
      <c r="B21766" s="15" t="s">
        <v>42844</v>
      </c>
      <c r="C21766" s="16">
        <f>257.1/(1+B2)</f>
        <v>257.10000000000002</v>
      </c>
      <c r="D21766" s="17" t="s">
        <v>11</v>
      </c>
      <c r="E21766" s="17"/>
      <c r="F21766" s="18"/>
      <c r="G21766" s="36" t="str">
        <f>IF(ISNUMBER(F21766),C21766*F21766,"")</f>
        <v/>
      </c>
    </row>
    <row r="21767" spans="1:7" ht="24" customHeight="1" outlineLevel="3" x14ac:dyDescent="0.2">
      <c r="A21767" s="14" t="s">
        <v>42845</v>
      </c>
      <c r="B21767" s="15" t="s">
        <v>42846</v>
      </c>
      <c r="C21767" s="16">
        <f>143.42/(1+B2)</f>
        <v>143.41999999999999</v>
      </c>
      <c r="D21767" s="17" t="s">
        <v>11</v>
      </c>
      <c r="E21767" s="17"/>
      <c r="F21767" s="18"/>
      <c r="G21767" s="36" t="str">
        <f>IF(ISNUMBER(F21767),C21767*F21767,"")</f>
        <v/>
      </c>
    </row>
    <row r="21768" spans="1:7" ht="12" customHeight="1" outlineLevel="3" x14ac:dyDescent="0.2">
      <c r="A21768" s="14" t="s">
        <v>42847</v>
      </c>
      <c r="B21768" s="15" t="s">
        <v>42848</v>
      </c>
      <c r="C21768" s="16">
        <f>270.84/(1+B2)</f>
        <v>270.83999999999997</v>
      </c>
      <c r="D21768" s="17" t="s">
        <v>11</v>
      </c>
      <c r="E21768" s="17"/>
      <c r="F21768" s="18"/>
      <c r="G21768" s="36" t="str">
        <f>IF(ISNUMBER(F21768),C21768*F21768,"")</f>
        <v/>
      </c>
    </row>
    <row r="21769" spans="1:7" ht="12" customHeight="1" outlineLevel="3" x14ac:dyDescent="0.2">
      <c r="A21769" s="14" t="s">
        <v>42849</v>
      </c>
      <c r="B21769" s="15" t="s">
        <v>42850</v>
      </c>
      <c r="C21769" s="16">
        <f>235.9/(1+B2)</f>
        <v>235.9</v>
      </c>
      <c r="D21769" s="17" t="s">
        <v>11</v>
      </c>
      <c r="E21769" s="17"/>
      <c r="F21769" s="18"/>
      <c r="G21769" s="36" t="str">
        <f>IF(ISNUMBER(F21769),C21769*F21769,"")</f>
        <v/>
      </c>
    </row>
    <row r="21770" spans="1:7" ht="12" customHeight="1" outlineLevel="3" x14ac:dyDescent="0.2">
      <c r="A21770" s="14" t="s">
        <v>42851</v>
      </c>
      <c r="B21770" s="15" t="s">
        <v>42852</v>
      </c>
      <c r="C21770" s="16">
        <f>166.6/(1+B2)</f>
        <v>166.6</v>
      </c>
      <c r="D21770" s="17" t="s">
        <v>11</v>
      </c>
      <c r="E21770" s="17"/>
      <c r="F21770" s="18"/>
      <c r="G21770" s="36" t="str">
        <f>IF(ISNUMBER(F21770),C21770*F21770,"")</f>
        <v/>
      </c>
    </row>
    <row r="21771" spans="1:7" ht="12" customHeight="1" outlineLevel="3" x14ac:dyDescent="0.2">
      <c r="A21771" s="14" t="s">
        <v>42853</v>
      </c>
      <c r="B21771" s="15" t="s">
        <v>42854</v>
      </c>
      <c r="C21771" s="16">
        <f>319.54/(1+B2)</f>
        <v>319.54000000000002</v>
      </c>
      <c r="D21771" s="17" t="s">
        <v>11</v>
      </c>
      <c r="E21771" s="17"/>
      <c r="F21771" s="18"/>
      <c r="G21771" s="36" t="str">
        <f>IF(ISNUMBER(F21771),C21771*F21771,"")</f>
        <v/>
      </c>
    </row>
    <row r="21772" spans="1:7" ht="12" customHeight="1" outlineLevel="3" x14ac:dyDescent="0.2">
      <c r="A21772" s="14" t="s">
        <v>42855</v>
      </c>
      <c r="B21772" s="15" t="s">
        <v>42856</v>
      </c>
      <c r="C21772" s="16">
        <f>318.03/(1+B2)</f>
        <v>318.02999999999997</v>
      </c>
      <c r="D21772" s="17" t="s">
        <v>11</v>
      </c>
      <c r="E21772" s="17"/>
      <c r="F21772" s="18"/>
      <c r="G21772" s="36" t="str">
        <f>IF(ISNUMBER(F21772),C21772*F21772,"")</f>
        <v/>
      </c>
    </row>
    <row r="21773" spans="1:7" ht="12" customHeight="1" outlineLevel="3" x14ac:dyDescent="0.2">
      <c r="A21773" s="14" t="s">
        <v>42857</v>
      </c>
      <c r="B21773" s="15" t="s">
        <v>42858</v>
      </c>
      <c r="C21773" s="16">
        <f>318.03/(1+B2)</f>
        <v>318.02999999999997</v>
      </c>
      <c r="D21773" s="17" t="s">
        <v>11</v>
      </c>
      <c r="E21773" s="17"/>
      <c r="F21773" s="18"/>
      <c r="G21773" s="36" t="str">
        <f>IF(ISNUMBER(F21773),C21773*F21773,"")</f>
        <v/>
      </c>
    </row>
    <row r="21774" spans="1:7" ht="24" customHeight="1" outlineLevel="3" x14ac:dyDescent="0.2">
      <c r="A21774" s="14" t="s">
        <v>42859</v>
      </c>
      <c r="B21774" s="15" t="s">
        <v>42860</v>
      </c>
      <c r="C21774" s="16">
        <f>231.19/(1+B2)</f>
        <v>231.19</v>
      </c>
      <c r="D21774" s="17" t="s">
        <v>11</v>
      </c>
      <c r="E21774" s="17"/>
      <c r="F21774" s="18"/>
      <c r="G21774" s="36" t="str">
        <f>IF(ISNUMBER(F21774),C21774*F21774,"")</f>
        <v/>
      </c>
    </row>
    <row r="21775" spans="1:7" ht="12" customHeight="1" outlineLevel="3" x14ac:dyDescent="0.2">
      <c r="A21775" s="14" t="s">
        <v>42861</v>
      </c>
      <c r="B21775" s="15" t="s">
        <v>42862</v>
      </c>
      <c r="C21775" s="16">
        <f>71.99/(1+B2)</f>
        <v>71.989999999999995</v>
      </c>
      <c r="D21775" s="17" t="s">
        <v>11</v>
      </c>
      <c r="E21775" s="17"/>
      <c r="F21775" s="18"/>
      <c r="G21775" s="36" t="str">
        <f>IF(ISNUMBER(F21775),C21775*F21775,"")</f>
        <v/>
      </c>
    </row>
    <row r="21776" spans="1:7" ht="12" customHeight="1" outlineLevel="3" x14ac:dyDescent="0.2">
      <c r="A21776" s="14" t="s">
        <v>42863</v>
      </c>
      <c r="B21776" s="15" t="s">
        <v>42864</v>
      </c>
      <c r="C21776" s="16">
        <f>155.62/(1+B2)</f>
        <v>155.62</v>
      </c>
      <c r="D21776" s="17" t="s">
        <v>11</v>
      </c>
      <c r="E21776" s="17"/>
      <c r="F21776" s="18"/>
      <c r="G21776" s="36" t="str">
        <f>IF(ISNUMBER(F21776),C21776*F21776,"")</f>
        <v/>
      </c>
    </row>
    <row r="21777" spans="1:7" ht="12" customHeight="1" outlineLevel="3" x14ac:dyDescent="0.2">
      <c r="A21777" s="14" t="s">
        <v>42865</v>
      </c>
      <c r="B21777" s="15" t="s">
        <v>42866</v>
      </c>
      <c r="C21777" s="16">
        <f>277.86/(1+B2)</f>
        <v>277.86</v>
      </c>
      <c r="D21777" s="17" t="s">
        <v>11</v>
      </c>
      <c r="E21777" s="17"/>
      <c r="F21777" s="18"/>
      <c r="G21777" s="36" t="str">
        <f>IF(ISNUMBER(F21777),C21777*F21777,"")</f>
        <v/>
      </c>
    </row>
    <row r="21778" spans="1:7" ht="12" customHeight="1" outlineLevel="3" x14ac:dyDescent="0.2">
      <c r="A21778" s="14" t="s">
        <v>42867</v>
      </c>
      <c r="B21778" s="15" t="s">
        <v>42868</v>
      </c>
      <c r="C21778" s="16">
        <f>117.62/(1+B2)</f>
        <v>117.62</v>
      </c>
      <c r="D21778" s="17" t="s">
        <v>11</v>
      </c>
      <c r="E21778" s="17" t="s">
        <v>11</v>
      </c>
      <c r="F21778" s="18"/>
      <c r="G21778" s="36" t="str">
        <f>IF(ISNUMBER(F21778),C21778*F21778,"")</f>
        <v/>
      </c>
    </row>
    <row r="21779" spans="1:7" ht="12" customHeight="1" outlineLevel="3" x14ac:dyDescent="0.2">
      <c r="A21779" s="14" t="s">
        <v>42869</v>
      </c>
      <c r="B21779" s="15" t="s">
        <v>42870</v>
      </c>
      <c r="C21779" s="16">
        <f>103.31/(1+B2)</f>
        <v>103.31</v>
      </c>
      <c r="D21779" s="17" t="s">
        <v>11</v>
      </c>
      <c r="E21779" s="17"/>
      <c r="F21779" s="18"/>
      <c r="G21779" s="36" t="str">
        <f>IF(ISNUMBER(F21779),C21779*F21779,"")</f>
        <v/>
      </c>
    </row>
    <row r="21780" spans="1:7" ht="12" customHeight="1" outlineLevel="3" x14ac:dyDescent="0.2">
      <c r="A21780" s="14" t="s">
        <v>42871</v>
      </c>
      <c r="B21780" s="15" t="s">
        <v>42872</v>
      </c>
      <c r="C21780" s="16">
        <f>59.72/(1+B2)</f>
        <v>59.72</v>
      </c>
      <c r="D21780" s="17" t="s">
        <v>53</v>
      </c>
      <c r="E21780" s="17"/>
      <c r="F21780" s="18"/>
      <c r="G21780" s="36" t="str">
        <f>IF(ISNUMBER(F21780),C21780*F21780,"")</f>
        <v/>
      </c>
    </row>
    <row r="21781" spans="1:7" ht="12" customHeight="1" outlineLevel="3" x14ac:dyDescent="0.2">
      <c r="A21781" s="14" t="s">
        <v>42873</v>
      </c>
      <c r="B21781" s="15" t="s">
        <v>42874</v>
      </c>
      <c r="C21781" s="16">
        <f>28.47/(1+B2)</f>
        <v>28.47</v>
      </c>
      <c r="D21781" s="17" t="s">
        <v>11</v>
      </c>
      <c r="E21781" s="17"/>
      <c r="F21781" s="18"/>
      <c r="G21781" s="36" t="str">
        <f>IF(ISNUMBER(F21781),C21781*F21781,"")</f>
        <v/>
      </c>
    </row>
    <row r="21782" spans="1:7" ht="12" customHeight="1" outlineLevel="3" x14ac:dyDescent="0.2">
      <c r="A21782" s="14" t="s">
        <v>42875</v>
      </c>
      <c r="B21782" s="15" t="s">
        <v>42876</v>
      </c>
      <c r="C21782" s="16">
        <f>28.47/(1+B2)</f>
        <v>28.47</v>
      </c>
      <c r="D21782" s="17" t="s">
        <v>11</v>
      </c>
      <c r="E21782" s="17" t="s">
        <v>14</v>
      </c>
      <c r="F21782" s="18"/>
      <c r="G21782" s="36" t="str">
        <f>IF(ISNUMBER(F21782),C21782*F21782,"")</f>
        <v/>
      </c>
    </row>
    <row r="21783" spans="1:7" ht="12" customHeight="1" outlineLevel="3" x14ac:dyDescent="0.2">
      <c r="A21783" s="14" t="s">
        <v>42877</v>
      </c>
      <c r="B21783" s="15" t="s">
        <v>42878</v>
      </c>
      <c r="C21783" s="16">
        <f>49.48/(1+B2)</f>
        <v>49.48</v>
      </c>
      <c r="D21783" s="17" t="s">
        <v>11</v>
      </c>
      <c r="E21783" s="17" t="s">
        <v>11</v>
      </c>
      <c r="F21783" s="18"/>
      <c r="G21783" s="36" t="str">
        <f>IF(ISNUMBER(F21783),C21783*F21783,"")</f>
        <v/>
      </c>
    </row>
    <row r="21784" spans="1:7" ht="12" customHeight="1" outlineLevel="3" x14ac:dyDescent="0.2">
      <c r="A21784" s="14" t="s">
        <v>42879</v>
      </c>
      <c r="B21784" s="15" t="s">
        <v>42880</v>
      </c>
      <c r="C21784" s="16">
        <f>93.68/(1+B2)</f>
        <v>93.68</v>
      </c>
      <c r="D21784" s="17" t="s">
        <v>14</v>
      </c>
      <c r="E21784" s="17"/>
      <c r="F21784" s="18"/>
      <c r="G21784" s="36" t="str">
        <f>IF(ISNUMBER(F21784),C21784*F21784,"")</f>
        <v/>
      </c>
    </row>
    <row r="21785" spans="1:7" ht="12" customHeight="1" outlineLevel="3" x14ac:dyDescent="0.2">
      <c r="A21785" s="14" t="s">
        <v>42881</v>
      </c>
      <c r="B21785" s="15" t="s">
        <v>42882</v>
      </c>
      <c r="C21785" s="16">
        <f>68.53/(1+B2)</f>
        <v>68.53</v>
      </c>
      <c r="D21785" s="17" t="s">
        <v>11</v>
      </c>
      <c r="E21785" s="17" t="s">
        <v>11</v>
      </c>
      <c r="F21785" s="18"/>
      <c r="G21785" s="36" t="str">
        <f>IF(ISNUMBER(F21785),C21785*F21785,"")</f>
        <v/>
      </c>
    </row>
    <row r="21786" spans="1:7" ht="12" customHeight="1" outlineLevel="3" x14ac:dyDescent="0.2">
      <c r="A21786" s="14" t="s">
        <v>42883</v>
      </c>
      <c r="B21786" s="15" t="s">
        <v>42884</v>
      </c>
      <c r="C21786" s="16">
        <f>68.53/(1+B2)</f>
        <v>68.53</v>
      </c>
      <c r="D21786" s="17" t="s">
        <v>11</v>
      </c>
      <c r="E21786" s="17" t="s">
        <v>11</v>
      </c>
      <c r="F21786" s="18"/>
      <c r="G21786" s="36" t="str">
        <f>IF(ISNUMBER(F21786),C21786*F21786,"")</f>
        <v/>
      </c>
    </row>
    <row r="21787" spans="1:7" ht="12" customHeight="1" outlineLevel="3" x14ac:dyDescent="0.2">
      <c r="A21787" s="14" t="s">
        <v>42885</v>
      </c>
      <c r="B21787" s="15" t="s">
        <v>42886</v>
      </c>
      <c r="C21787" s="16">
        <f>78.68/(1+B2)</f>
        <v>78.680000000000007</v>
      </c>
      <c r="D21787" s="17" t="s">
        <v>14</v>
      </c>
      <c r="E21787" s="17"/>
      <c r="F21787" s="18"/>
      <c r="G21787" s="36" t="str">
        <f>IF(ISNUMBER(F21787),C21787*F21787,"")</f>
        <v/>
      </c>
    </row>
    <row r="21788" spans="1:7" ht="12" customHeight="1" outlineLevel="3" x14ac:dyDescent="0.2">
      <c r="A21788" s="14" t="s">
        <v>42887</v>
      </c>
      <c r="B21788" s="15" t="s">
        <v>42888</v>
      </c>
      <c r="C21788" s="16">
        <f>104.58/(1+B2)</f>
        <v>104.58</v>
      </c>
      <c r="D21788" s="17" t="s">
        <v>11</v>
      </c>
      <c r="E21788" s="17"/>
      <c r="F21788" s="18"/>
      <c r="G21788" s="36" t="str">
        <f>IF(ISNUMBER(F21788),C21788*F21788,"")</f>
        <v/>
      </c>
    </row>
    <row r="21789" spans="1:7" ht="12" customHeight="1" outlineLevel="3" x14ac:dyDescent="0.2">
      <c r="A21789" s="14" t="s">
        <v>42889</v>
      </c>
      <c r="B21789" s="15" t="s">
        <v>42890</v>
      </c>
      <c r="C21789" s="16">
        <f>104.58/(1+B2)</f>
        <v>104.58</v>
      </c>
      <c r="D21789" s="17" t="s">
        <v>11</v>
      </c>
      <c r="E21789" s="17"/>
      <c r="F21789" s="18"/>
      <c r="G21789" s="36" t="str">
        <f>IF(ISNUMBER(F21789),C21789*F21789,"")</f>
        <v/>
      </c>
    </row>
    <row r="21790" spans="1:7" ht="12" customHeight="1" outlineLevel="3" x14ac:dyDescent="0.2">
      <c r="A21790" s="14" t="s">
        <v>42891</v>
      </c>
      <c r="B21790" s="15" t="s">
        <v>42892</v>
      </c>
      <c r="C21790" s="16">
        <f>209.86/(1+B2)</f>
        <v>209.86</v>
      </c>
      <c r="D21790" s="17" t="s">
        <v>11</v>
      </c>
      <c r="E21790" s="17" t="s">
        <v>11</v>
      </c>
      <c r="F21790" s="18"/>
      <c r="G21790" s="36" t="str">
        <f>IF(ISNUMBER(F21790),C21790*F21790,"")</f>
        <v/>
      </c>
    </row>
    <row r="21791" spans="1:7" ht="12" customHeight="1" outlineLevel="3" x14ac:dyDescent="0.2">
      <c r="A21791" s="14" t="s">
        <v>42893</v>
      </c>
      <c r="B21791" s="15" t="s">
        <v>42894</v>
      </c>
      <c r="C21791" s="16">
        <f>351.59/(1+B2)</f>
        <v>351.59</v>
      </c>
      <c r="D21791" s="17" t="s">
        <v>11</v>
      </c>
      <c r="E21791" s="17" t="s">
        <v>11</v>
      </c>
      <c r="F21791" s="18"/>
      <c r="G21791" s="36" t="str">
        <f>IF(ISNUMBER(F21791),C21791*F21791,"")</f>
        <v/>
      </c>
    </row>
    <row r="21792" spans="1:7" ht="24" customHeight="1" outlineLevel="3" x14ac:dyDescent="0.2">
      <c r="A21792" s="14" t="s">
        <v>42895</v>
      </c>
      <c r="B21792" s="15" t="s">
        <v>42896</v>
      </c>
      <c r="C21792" s="16">
        <f>498.36/(1+B2)</f>
        <v>498.36</v>
      </c>
      <c r="D21792" s="17" t="s">
        <v>11</v>
      </c>
      <c r="E21792" s="17" t="s">
        <v>11</v>
      </c>
      <c r="F21792" s="18"/>
      <c r="G21792" s="36" t="str">
        <f>IF(ISNUMBER(F21792),C21792*F21792,"")</f>
        <v/>
      </c>
    </row>
    <row r="21793" spans="1:7" ht="12" customHeight="1" outlineLevel="3" x14ac:dyDescent="0.2">
      <c r="A21793" s="14" t="s">
        <v>42897</v>
      </c>
      <c r="B21793" s="15" t="s">
        <v>42898</v>
      </c>
      <c r="C21793" s="16">
        <f>708.09/(1+B2)</f>
        <v>708.09</v>
      </c>
      <c r="D21793" s="17" t="s">
        <v>11</v>
      </c>
      <c r="E21793" s="17" t="s">
        <v>11</v>
      </c>
      <c r="F21793" s="18"/>
      <c r="G21793" s="36" t="str">
        <f>IF(ISNUMBER(F21793),C21793*F21793,"")</f>
        <v/>
      </c>
    </row>
    <row r="21794" spans="1:7" ht="12" customHeight="1" outlineLevel="3" x14ac:dyDescent="0.2">
      <c r="A21794" s="14" t="s">
        <v>42899</v>
      </c>
      <c r="B21794" s="15" t="s">
        <v>42900</v>
      </c>
      <c r="C21794" s="16">
        <f>685.15/(1+B2)</f>
        <v>685.15</v>
      </c>
      <c r="D21794" s="17" t="s">
        <v>11</v>
      </c>
      <c r="E21794" s="17"/>
      <c r="F21794" s="18"/>
      <c r="G21794" s="36" t="str">
        <f>IF(ISNUMBER(F21794),C21794*F21794,"")</f>
        <v/>
      </c>
    </row>
    <row r="21795" spans="1:7" ht="12" customHeight="1" outlineLevel="3" x14ac:dyDescent="0.2">
      <c r="A21795" s="14" t="s">
        <v>42901</v>
      </c>
      <c r="B21795" s="15" t="s">
        <v>42902</v>
      </c>
      <c r="C21795" s="16">
        <f>662.32/(1+B2)</f>
        <v>662.32</v>
      </c>
      <c r="D21795" s="17" t="s">
        <v>11</v>
      </c>
      <c r="E21795" s="17"/>
      <c r="F21795" s="18"/>
      <c r="G21795" s="36" t="str">
        <f>IF(ISNUMBER(F21795),C21795*F21795,"")</f>
        <v/>
      </c>
    </row>
    <row r="21796" spans="1:7" ht="12" customHeight="1" outlineLevel="3" x14ac:dyDescent="0.2">
      <c r="A21796" s="14" t="s">
        <v>42903</v>
      </c>
      <c r="B21796" s="15" t="s">
        <v>42904</v>
      </c>
      <c r="C21796" s="16">
        <f>950.31/(1+B2)</f>
        <v>950.31</v>
      </c>
      <c r="D21796" s="17" t="s">
        <v>11</v>
      </c>
      <c r="E21796" s="17" t="s">
        <v>11</v>
      </c>
      <c r="F21796" s="18"/>
      <c r="G21796" s="36" t="str">
        <f>IF(ISNUMBER(F21796),C21796*F21796,"")</f>
        <v/>
      </c>
    </row>
    <row r="21797" spans="1:7" ht="12" customHeight="1" outlineLevel="3" x14ac:dyDescent="0.2">
      <c r="A21797" s="14" t="s">
        <v>42905</v>
      </c>
      <c r="B21797" s="15" t="s">
        <v>42906</v>
      </c>
      <c r="C21797" s="16">
        <f>433.93/(1+B2)</f>
        <v>433.93</v>
      </c>
      <c r="D21797" s="17" t="s">
        <v>11</v>
      </c>
      <c r="E21797" s="17"/>
      <c r="F21797" s="18"/>
      <c r="G21797" s="36" t="str">
        <f>IF(ISNUMBER(F21797),C21797*F21797,"")</f>
        <v/>
      </c>
    </row>
    <row r="21798" spans="1:7" ht="12" customHeight="1" outlineLevel="3" x14ac:dyDescent="0.2">
      <c r="A21798" s="14" t="s">
        <v>42907</v>
      </c>
      <c r="B21798" s="15" t="s">
        <v>42908</v>
      </c>
      <c r="C21798" s="16">
        <f>617.53/(1+B2)</f>
        <v>617.53</v>
      </c>
      <c r="D21798" s="17" t="s">
        <v>11</v>
      </c>
      <c r="E21798" s="17" t="s">
        <v>11</v>
      </c>
      <c r="F21798" s="18"/>
      <c r="G21798" s="36" t="str">
        <f>IF(ISNUMBER(F21798),C21798*F21798,"")</f>
        <v/>
      </c>
    </row>
    <row r="21799" spans="1:7" ht="12" customHeight="1" outlineLevel="3" x14ac:dyDescent="0.2">
      <c r="A21799" s="14" t="s">
        <v>42909</v>
      </c>
      <c r="B21799" s="15" t="s">
        <v>42910</v>
      </c>
      <c r="C21799" s="16">
        <f>654.9/(1+B2)</f>
        <v>654.9</v>
      </c>
      <c r="D21799" s="17" t="s">
        <v>11</v>
      </c>
      <c r="E21799" s="17"/>
      <c r="F21799" s="18"/>
      <c r="G21799" s="36" t="str">
        <f>IF(ISNUMBER(F21799),C21799*F21799,"")</f>
        <v/>
      </c>
    </row>
    <row r="21800" spans="1:7" ht="12" customHeight="1" outlineLevel="3" x14ac:dyDescent="0.2">
      <c r="A21800" s="14" t="s">
        <v>42911</v>
      </c>
      <c r="B21800" s="15" t="s">
        <v>42912</v>
      </c>
      <c r="C21800" s="16">
        <f>718.73/(1+B2)</f>
        <v>718.73</v>
      </c>
      <c r="D21800" s="17" t="s">
        <v>11</v>
      </c>
      <c r="E21800" s="17"/>
      <c r="F21800" s="18"/>
      <c r="G21800" s="36" t="str">
        <f>IF(ISNUMBER(F21800),C21800*F21800,"")</f>
        <v/>
      </c>
    </row>
    <row r="21801" spans="1:7" ht="24" customHeight="1" outlineLevel="3" x14ac:dyDescent="0.2">
      <c r="A21801" s="14" t="s">
        <v>42913</v>
      </c>
      <c r="B21801" s="15" t="s">
        <v>42914</v>
      </c>
      <c r="C21801" s="19">
        <f>1134.66/(1+B2)</f>
        <v>1134.6600000000001</v>
      </c>
      <c r="D21801" s="17" t="s">
        <v>11</v>
      </c>
      <c r="E21801" s="17"/>
      <c r="F21801" s="18"/>
      <c r="G21801" s="36" t="str">
        <f>IF(ISNUMBER(F21801),C21801*F21801,"")</f>
        <v/>
      </c>
    </row>
    <row r="21802" spans="1:7" ht="12" customHeight="1" outlineLevel="3" x14ac:dyDescent="0.2">
      <c r="A21802" s="14" t="s">
        <v>42915</v>
      </c>
      <c r="B21802" s="15" t="s">
        <v>42916</v>
      </c>
      <c r="C21802" s="19">
        <f>1155.13/(1+B2)</f>
        <v>1155.1300000000001</v>
      </c>
      <c r="D21802" s="17" t="s">
        <v>11</v>
      </c>
      <c r="E21802" s="17"/>
      <c r="F21802" s="18"/>
      <c r="G21802" s="36" t="str">
        <f>IF(ISNUMBER(F21802),C21802*F21802,"")</f>
        <v/>
      </c>
    </row>
    <row r="21803" spans="1:7" ht="12" customHeight="1" outlineLevel="3" x14ac:dyDescent="0.2">
      <c r="A21803" s="14" t="s">
        <v>42917</v>
      </c>
      <c r="B21803" s="15" t="s">
        <v>42918</v>
      </c>
      <c r="C21803" s="16">
        <f>559.54/(1+B2)</f>
        <v>559.54</v>
      </c>
      <c r="D21803" s="17" t="s">
        <v>11</v>
      </c>
      <c r="E21803" s="17"/>
      <c r="F21803" s="18"/>
      <c r="G21803" s="36" t="str">
        <f>IF(ISNUMBER(F21803),C21803*F21803,"")</f>
        <v/>
      </c>
    </row>
    <row r="21804" spans="1:7" ht="12" customHeight="1" outlineLevel="3" x14ac:dyDescent="0.2">
      <c r="A21804" s="14" t="s">
        <v>42919</v>
      </c>
      <c r="B21804" s="15" t="s">
        <v>42920</v>
      </c>
      <c r="C21804" s="16">
        <f>205.17/(1+B2)</f>
        <v>205.17</v>
      </c>
      <c r="D21804" s="17" t="s">
        <v>11</v>
      </c>
      <c r="E21804" s="17"/>
      <c r="F21804" s="18"/>
      <c r="G21804" s="36" t="str">
        <f>IF(ISNUMBER(F21804),C21804*F21804,"")</f>
        <v/>
      </c>
    </row>
    <row r="21805" spans="1:7" ht="12" customHeight="1" outlineLevel="3" x14ac:dyDescent="0.2">
      <c r="A21805" s="14" t="s">
        <v>42921</v>
      </c>
      <c r="B21805" s="15" t="s">
        <v>42922</v>
      </c>
      <c r="C21805" s="16">
        <f>566.32/(1+B2)</f>
        <v>566.32000000000005</v>
      </c>
      <c r="D21805" s="17" t="s">
        <v>11</v>
      </c>
      <c r="E21805" s="17"/>
      <c r="F21805" s="18"/>
      <c r="G21805" s="36" t="str">
        <f>IF(ISNUMBER(F21805),C21805*F21805,"")</f>
        <v/>
      </c>
    </row>
    <row r="21806" spans="1:7" ht="12" customHeight="1" outlineLevel="3" x14ac:dyDescent="0.2">
      <c r="A21806" s="14" t="s">
        <v>42923</v>
      </c>
      <c r="B21806" s="15" t="s">
        <v>42924</v>
      </c>
      <c r="C21806" s="16">
        <f>477.19/(1+B2)</f>
        <v>477.19</v>
      </c>
      <c r="D21806" s="17" t="s">
        <v>11</v>
      </c>
      <c r="E21806" s="17"/>
      <c r="F21806" s="18"/>
      <c r="G21806" s="36" t="str">
        <f>IF(ISNUMBER(F21806),C21806*F21806,"")</f>
        <v/>
      </c>
    </row>
    <row r="21807" spans="1:7" ht="24" customHeight="1" outlineLevel="3" x14ac:dyDescent="0.2">
      <c r="A21807" s="14" t="s">
        <v>42925</v>
      </c>
      <c r="B21807" s="15" t="s">
        <v>42926</v>
      </c>
      <c r="C21807" s="16">
        <f>133.87/(1+B2)</f>
        <v>133.87</v>
      </c>
      <c r="D21807" s="17" t="s">
        <v>11</v>
      </c>
      <c r="E21807" s="17"/>
      <c r="F21807" s="18"/>
      <c r="G21807" s="36" t="str">
        <f>IF(ISNUMBER(F21807),C21807*F21807,"")</f>
        <v/>
      </c>
    </row>
    <row r="21808" spans="1:7" ht="24" customHeight="1" outlineLevel="3" x14ac:dyDescent="0.2">
      <c r="A21808" s="14" t="s">
        <v>42927</v>
      </c>
      <c r="B21808" s="15" t="s">
        <v>42928</v>
      </c>
      <c r="C21808" s="16">
        <f>205.07/(1+B2)</f>
        <v>205.07</v>
      </c>
      <c r="D21808" s="17" t="s">
        <v>11</v>
      </c>
      <c r="E21808" s="17" t="s">
        <v>11</v>
      </c>
      <c r="F21808" s="18"/>
      <c r="G21808" s="36" t="str">
        <f>IF(ISNUMBER(F21808),C21808*F21808,"")</f>
        <v/>
      </c>
    </row>
    <row r="21809" spans="1:7" ht="12" customHeight="1" outlineLevel="3" x14ac:dyDescent="0.2">
      <c r="A21809" s="14" t="s">
        <v>42929</v>
      </c>
      <c r="B21809" s="15" t="s">
        <v>42930</v>
      </c>
      <c r="C21809" s="16">
        <f>93.68/(1+B2)</f>
        <v>93.68</v>
      </c>
      <c r="D21809" s="17" t="s">
        <v>11</v>
      </c>
      <c r="E21809" s="17" t="s">
        <v>11</v>
      </c>
      <c r="F21809" s="18"/>
      <c r="G21809" s="36" t="str">
        <f>IF(ISNUMBER(F21809),C21809*F21809,"")</f>
        <v/>
      </c>
    </row>
    <row r="21810" spans="1:7" ht="12" customHeight="1" outlineLevel="3" x14ac:dyDescent="0.2">
      <c r="A21810" s="14" t="s">
        <v>42931</v>
      </c>
      <c r="B21810" s="15" t="s">
        <v>42932</v>
      </c>
      <c r="C21810" s="16">
        <f>120.37/(1+B2)</f>
        <v>120.37</v>
      </c>
      <c r="D21810" s="17" t="s">
        <v>11</v>
      </c>
      <c r="E21810" s="17"/>
      <c r="F21810" s="18"/>
      <c r="G21810" s="36" t="str">
        <f>IF(ISNUMBER(F21810),C21810*F21810,"")</f>
        <v/>
      </c>
    </row>
    <row r="21811" spans="1:7" ht="12" customHeight="1" outlineLevel="3" x14ac:dyDescent="0.2">
      <c r="A21811" s="14" t="s">
        <v>42933</v>
      </c>
      <c r="B21811" s="15" t="s">
        <v>42934</v>
      </c>
      <c r="C21811" s="16">
        <f>32.26/(1+B2)</f>
        <v>32.26</v>
      </c>
      <c r="D21811" s="17" t="s">
        <v>11</v>
      </c>
      <c r="E21811" s="17" t="s">
        <v>11</v>
      </c>
      <c r="F21811" s="18"/>
      <c r="G21811" s="36" t="str">
        <f>IF(ISNUMBER(F21811),C21811*F21811,"")</f>
        <v/>
      </c>
    </row>
    <row r="21812" spans="1:7" ht="12" customHeight="1" outlineLevel="3" x14ac:dyDescent="0.2">
      <c r="A21812" s="14" t="s">
        <v>42935</v>
      </c>
      <c r="B21812" s="15" t="s">
        <v>42936</v>
      </c>
      <c r="C21812" s="16">
        <f>101.39/(1+B2)</f>
        <v>101.39</v>
      </c>
      <c r="D21812" s="17" t="s">
        <v>11</v>
      </c>
      <c r="E21812" s="17" t="s">
        <v>11</v>
      </c>
      <c r="F21812" s="18"/>
      <c r="G21812" s="36" t="str">
        <f>IF(ISNUMBER(F21812),C21812*F21812,"")</f>
        <v/>
      </c>
    </row>
    <row r="21813" spans="1:7" ht="12" customHeight="1" outlineLevel="3" x14ac:dyDescent="0.2">
      <c r="A21813" s="14" t="s">
        <v>42937</v>
      </c>
      <c r="B21813" s="15" t="s">
        <v>42938</v>
      </c>
      <c r="C21813" s="16">
        <f>201.71/(1+B2)</f>
        <v>201.71</v>
      </c>
      <c r="D21813" s="17" t="s">
        <v>11</v>
      </c>
      <c r="E21813" s="17"/>
      <c r="F21813" s="18"/>
      <c r="G21813" s="36" t="str">
        <f>IF(ISNUMBER(F21813),C21813*F21813,"")</f>
        <v/>
      </c>
    </row>
    <row r="21814" spans="1:7" ht="12" customHeight="1" outlineLevel="3" x14ac:dyDescent="0.2">
      <c r="A21814" s="14" t="s">
        <v>42939</v>
      </c>
      <c r="B21814" s="15" t="s">
        <v>42940</v>
      </c>
      <c r="C21814" s="16">
        <f>290.82/(1+B2)</f>
        <v>290.82</v>
      </c>
      <c r="D21814" s="17" t="s">
        <v>11</v>
      </c>
      <c r="E21814" s="17"/>
      <c r="F21814" s="18"/>
      <c r="G21814" s="36" t="str">
        <f>IF(ISNUMBER(F21814),C21814*F21814,"")</f>
        <v/>
      </c>
    </row>
    <row r="21815" spans="1:7" ht="24" customHeight="1" outlineLevel="3" x14ac:dyDescent="0.2">
      <c r="A21815" s="14" t="s">
        <v>42941</v>
      </c>
      <c r="B21815" s="15" t="s">
        <v>42942</v>
      </c>
      <c r="C21815" s="16">
        <f>166.91/(1+B2)</f>
        <v>166.91</v>
      </c>
      <c r="D21815" s="17" t="s">
        <v>11</v>
      </c>
      <c r="E21815" s="17"/>
      <c r="F21815" s="18"/>
      <c r="G21815" s="36" t="str">
        <f>IF(ISNUMBER(F21815),C21815*F21815,"")</f>
        <v/>
      </c>
    </row>
    <row r="21816" spans="1:7" ht="12" customHeight="1" outlineLevel="3" x14ac:dyDescent="0.2">
      <c r="A21816" s="14" t="s">
        <v>42943</v>
      </c>
      <c r="B21816" s="15" t="s">
        <v>42944</v>
      </c>
      <c r="C21816" s="16">
        <f>51.91/(1+B2)</f>
        <v>51.91</v>
      </c>
      <c r="D21816" s="17" t="s">
        <v>11</v>
      </c>
      <c r="E21816" s="17" t="s">
        <v>11</v>
      </c>
      <c r="F21816" s="18"/>
      <c r="G21816" s="36" t="str">
        <f>IF(ISNUMBER(F21816),C21816*F21816,"")</f>
        <v/>
      </c>
    </row>
    <row r="21817" spans="1:7" ht="12" customHeight="1" outlineLevel="3" x14ac:dyDescent="0.2">
      <c r="A21817" s="14" t="s">
        <v>42945</v>
      </c>
      <c r="B21817" s="15" t="s">
        <v>42946</v>
      </c>
      <c r="C21817" s="16">
        <f>103.92/(1+B2)</f>
        <v>103.92</v>
      </c>
      <c r="D21817" s="17" t="s">
        <v>11</v>
      </c>
      <c r="E21817" s="17" t="s">
        <v>11</v>
      </c>
      <c r="F21817" s="18"/>
      <c r="G21817" s="36" t="str">
        <f>IF(ISNUMBER(F21817),C21817*F21817,"")</f>
        <v/>
      </c>
    </row>
    <row r="21818" spans="1:7" s="1" customFormat="1" ht="12.95" customHeight="1" outlineLevel="2" x14ac:dyDescent="0.2">
      <c r="A21818" s="20"/>
      <c r="B21818" s="21" t="s">
        <v>42947</v>
      </c>
      <c r="C21818" s="22"/>
      <c r="D21818" s="22"/>
      <c r="E21818" s="22"/>
      <c r="F21818" s="22"/>
      <c r="G21818" s="37"/>
    </row>
    <row r="21819" spans="1:7" ht="12" customHeight="1" outlineLevel="3" x14ac:dyDescent="0.2">
      <c r="A21819" s="14" t="s">
        <v>42948</v>
      </c>
      <c r="B21819" s="15" t="s">
        <v>42949</v>
      </c>
      <c r="C21819" s="16">
        <f>237.71/(1+B2)</f>
        <v>237.71</v>
      </c>
      <c r="D21819" s="17" t="s">
        <v>11</v>
      </c>
      <c r="E21819" s="17"/>
      <c r="F21819" s="18"/>
      <c r="G21819" s="36" t="str">
        <f>IF(ISNUMBER(F21819),C21819*F21819,"")</f>
        <v/>
      </c>
    </row>
    <row r="21820" spans="1:7" ht="12" customHeight="1" outlineLevel="3" x14ac:dyDescent="0.2">
      <c r="A21820" s="14" t="s">
        <v>42950</v>
      </c>
      <c r="B21820" s="15" t="s">
        <v>42951</v>
      </c>
      <c r="C21820" s="16">
        <f>484.53/(1+B2)</f>
        <v>484.53</v>
      </c>
      <c r="D21820" s="17" t="s">
        <v>11</v>
      </c>
      <c r="E21820" s="17" t="s">
        <v>53</v>
      </c>
      <c r="F21820" s="18"/>
      <c r="G21820" s="36" t="str">
        <f>IF(ISNUMBER(F21820),C21820*F21820,"")</f>
        <v/>
      </c>
    </row>
    <row r="21821" spans="1:7" ht="12" customHeight="1" outlineLevel="3" x14ac:dyDescent="0.2">
      <c r="A21821" s="14" t="s">
        <v>42952</v>
      </c>
      <c r="B21821" s="15" t="s">
        <v>42953</v>
      </c>
      <c r="C21821" s="16">
        <f>237.71/(1+B2)</f>
        <v>237.71</v>
      </c>
      <c r="D21821" s="17" t="s">
        <v>11</v>
      </c>
      <c r="E21821" s="17"/>
      <c r="F21821" s="18"/>
      <c r="G21821" s="36" t="str">
        <f>IF(ISNUMBER(F21821),C21821*F21821,"")</f>
        <v/>
      </c>
    </row>
    <row r="21822" spans="1:7" ht="12" customHeight="1" outlineLevel="3" x14ac:dyDescent="0.2">
      <c r="A21822" s="14" t="s">
        <v>42954</v>
      </c>
      <c r="B21822" s="15" t="s">
        <v>42955</v>
      </c>
      <c r="C21822" s="16">
        <f>237.71/(1+B2)</f>
        <v>237.71</v>
      </c>
      <c r="D21822" s="17" t="s">
        <v>11</v>
      </c>
      <c r="E21822" s="17"/>
      <c r="F21822" s="18"/>
      <c r="G21822" s="36" t="str">
        <f>IF(ISNUMBER(F21822),C21822*F21822,"")</f>
        <v/>
      </c>
    </row>
    <row r="21823" spans="1:7" ht="12" customHeight="1" outlineLevel="3" x14ac:dyDescent="0.2">
      <c r="A21823" s="14" t="s">
        <v>42956</v>
      </c>
      <c r="B21823" s="15" t="s">
        <v>42957</v>
      </c>
      <c r="C21823" s="16">
        <f>326.38/(1+B2)</f>
        <v>326.38</v>
      </c>
      <c r="D21823" s="17" t="s">
        <v>11</v>
      </c>
      <c r="E21823" s="17" t="s">
        <v>53</v>
      </c>
      <c r="F21823" s="18"/>
      <c r="G21823" s="36" t="str">
        <f>IF(ISNUMBER(F21823),C21823*F21823,"")</f>
        <v/>
      </c>
    </row>
    <row r="21824" spans="1:7" ht="12" customHeight="1" outlineLevel="3" x14ac:dyDescent="0.2">
      <c r="A21824" s="14" t="s">
        <v>42958</v>
      </c>
      <c r="B21824" s="15" t="s">
        <v>42959</v>
      </c>
      <c r="C21824" s="16">
        <f>149.94/(1+B2)</f>
        <v>149.94</v>
      </c>
      <c r="D21824" s="17" t="s">
        <v>11</v>
      </c>
      <c r="E21824" s="17"/>
      <c r="F21824" s="18"/>
      <c r="G21824" s="36" t="str">
        <f>IF(ISNUMBER(F21824),C21824*F21824,"")</f>
        <v/>
      </c>
    </row>
    <row r="21825" spans="1:7" ht="12" customHeight="1" outlineLevel="3" x14ac:dyDescent="0.2">
      <c r="A21825" s="14" t="s">
        <v>42960</v>
      </c>
      <c r="B21825" s="15" t="s">
        <v>42961</v>
      </c>
      <c r="C21825" s="16">
        <f>285.8/(1+B2)</f>
        <v>285.8</v>
      </c>
      <c r="D21825" s="17" t="s">
        <v>11</v>
      </c>
      <c r="E21825" s="17"/>
      <c r="F21825" s="18"/>
      <c r="G21825" s="36" t="str">
        <f>IF(ISNUMBER(F21825),C21825*F21825,"")</f>
        <v/>
      </c>
    </row>
    <row r="21826" spans="1:7" ht="12" customHeight="1" outlineLevel="3" x14ac:dyDescent="0.2">
      <c r="A21826" s="14" t="s">
        <v>42962</v>
      </c>
      <c r="B21826" s="15" t="s">
        <v>42963</v>
      </c>
      <c r="C21826" s="16">
        <f>446.46/(1+B2)</f>
        <v>446.46</v>
      </c>
      <c r="D21826" s="17" t="s">
        <v>11</v>
      </c>
      <c r="E21826" s="17"/>
      <c r="F21826" s="18"/>
      <c r="G21826" s="36" t="str">
        <f>IF(ISNUMBER(F21826),C21826*F21826,"")</f>
        <v/>
      </c>
    </row>
    <row r="21827" spans="1:7" ht="12" customHeight="1" outlineLevel="3" x14ac:dyDescent="0.2">
      <c r="A21827" s="14" t="s">
        <v>42964</v>
      </c>
      <c r="B21827" s="15" t="s">
        <v>42965</v>
      </c>
      <c r="C21827" s="16">
        <f>450.9/(1+B2)</f>
        <v>450.9</v>
      </c>
      <c r="D21827" s="17" t="s">
        <v>11</v>
      </c>
      <c r="E21827" s="17" t="s">
        <v>11</v>
      </c>
      <c r="F21827" s="18"/>
      <c r="G21827" s="36" t="str">
        <f>IF(ISNUMBER(F21827),C21827*F21827,"")</f>
        <v/>
      </c>
    </row>
    <row r="21828" spans="1:7" ht="24" customHeight="1" outlineLevel="3" x14ac:dyDescent="0.2">
      <c r="A21828" s="14" t="s">
        <v>42966</v>
      </c>
      <c r="B21828" s="15" t="s">
        <v>42967</v>
      </c>
      <c r="C21828" s="16">
        <f>343.02/(1+B2)</f>
        <v>343.02</v>
      </c>
      <c r="D21828" s="17" t="s">
        <v>11</v>
      </c>
      <c r="E21828" s="17"/>
      <c r="F21828" s="18"/>
      <c r="G21828" s="36" t="str">
        <f>IF(ISNUMBER(F21828),C21828*F21828,"")</f>
        <v/>
      </c>
    </row>
    <row r="21829" spans="1:7" ht="12" customHeight="1" outlineLevel="3" x14ac:dyDescent="0.2">
      <c r="A21829" s="14" t="s">
        <v>42968</v>
      </c>
      <c r="B21829" s="15" t="s">
        <v>42969</v>
      </c>
      <c r="C21829" s="16">
        <f>881.71/(1+B2)</f>
        <v>881.71</v>
      </c>
      <c r="D21829" s="17" t="s">
        <v>11</v>
      </c>
      <c r="E21829" s="17" t="s">
        <v>11</v>
      </c>
      <c r="F21829" s="18"/>
      <c r="G21829" s="36" t="str">
        <f>IF(ISNUMBER(F21829),C21829*F21829,"")</f>
        <v/>
      </c>
    </row>
    <row r="21830" spans="1:7" s="1" customFormat="1" ht="12.95" customHeight="1" outlineLevel="2" x14ac:dyDescent="0.2">
      <c r="A21830" s="20"/>
      <c r="B21830" s="21" t="s">
        <v>42970</v>
      </c>
      <c r="C21830" s="22"/>
      <c r="D21830" s="22"/>
      <c r="E21830" s="22"/>
      <c r="F21830" s="22"/>
      <c r="G21830" s="37"/>
    </row>
    <row r="21831" spans="1:7" ht="12" customHeight="1" outlineLevel="3" x14ac:dyDescent="0.2">
      <c r="A21831" s="14" t="s">
        <v>42971</v>
      </c>
      <c r="B21831" s="15" t="s">
        <v>42972</v>
      </c>
      <c r="C21831" s="16">
        <f>57.08/(1+B2)</f>
        <v>57.08</v>
      </c>
      <c r="D21831" s="17" t="s">
        <v>11</v>
      </c>
      <c r="E21831" s="17"/>
      <c r="F21831" s="18"/>
      <c r="G21831" s="36" t="str">
        <f>IF(ISNUMBER(F21831),C21831*F21831,"")</f>
        <v/>
      </c>
    </row>
    <row r="21832" spans="1:7" ht="12" customHeight="1" outlineLevel="3" x14ac:dyDescent="0.2">
      <c r="A21832" s="14" t="s">
        <v>42973</v>
      </c>
      <c r="B21832" s="15" t="s">
        <v>42974</v>
      </c>
      <c r="C21832" s="16">
        <f>307.65/(1+B2)</f>
        <v>307.64999999999998</v>
      </c>
      <c r="D21832" s="17" t="s">
        <v>11</v>
      </c>
      <c r="E21832" s="17" t="s">
        <v>11</v>
      </c>
      <c r="F21832" s="18"/>
      <c r="G21832" s="36" t="str">
        <f>IF(ISNUMBER(F21832),C21832*F21832,"")</f>
        <v/>
      </c>
    </row>
    <row r="21833" spans="1:7" ht="12" customHeight="1" outlineLevel="3" x14ac:dyDescent="0.2">
      <c r="A21833" s="14" t="s">
        <v>42975</v>
      </c>
      <c r="B21833" s="15" t="s">
        <v>42976</v>
      </c>
      <c r="C21833" s="16">
        <f>71.55/(1+B2)</f>
        <v>71.55</v>
      </c>
      <c r="D21833" s="17" t="s">
        <v>11</v>
      </c>
      <c r="E21833" s="17"/>
      <c r="F21833" s="18"/>
      <c r="G21833" s="36" t="str">
        <f>IF(ISNUMBER(F21833),C21833*F21833,"")</f>
        <v/>
      </c>
    </row>
    <row r="21834" spans="1:7" ht="12" customHeight="1" outlineLevel="3" x14ac:dyDescent="0.2">
      <c r="A21834" s="14" t="s">
        <v>42977</v>
      </c>
      <c r="B21834" s="15" t="s">
        <v>42978</v>
      </c>
      <c r="C21834" s="16">
        <f>404.88/(1+B2)</f>
        <v>404.88</v>
      </c>
      <c r="D21834" s="17" t="s">
        <v>11</v>
      </c>
      <c r="E21834" s="17"/>
      <c r="F21834" s="18"/>
      <c r="G21834" s="36" t="str">
        <f>IF(ISNUMBER(F21834),C21834*F21834,"")</f>
        <v/>
      </c>
    </row>
    <row r="21835" spans="1:7" ht="12" customHeight="1" outlineLevel="3" x14ac:dyDescent="0.2">
      <c r="A21835" s="14" t="s">
        <v>42979</v>
      </c>
      <c r="B21835" s="15" t="s">
        <v>42980</v>
      </c>
      <c r="C21835" s="16">
        <f>254.32/(1+B2)</f>
        <v>254.32</v>
      </c>
      <c r="D21835" s="17" t="s">
        <v>11</v>
      </c>
      <c r="E21835" s="17"/>
      <c r="F21835" s="18"/>
      <c r="G21835" s="36" t="str">
        <f>IF(ISNUMBER(F21835),C21835*F21835,"")</f>
        <v/>
      </c>
    </row>
    <row r="21836" spans="1:7" ht="12" customHeight="1" outlineLevel="3" x14ac:dyDescent="0.2">
      <c r="A21836" s="14" t="s">
        <v>42981</v>
      </c>
      <c r="B21836" s="15" t="s">
        <v>42982</v>
      </c>
      <c r="C21836" s="16">
        <f>368.58/(1+B2)</f>
        <v>368.58</v>
      </c>
      <c r="D21836" s="17" t="s">
        <v>11</v>
      </c>
      <c r="E21836" s="17" t="s">
        <v>11</v>
      </c>
      <c r="F21836" s="18"/>
      <c r="G21836" s="36" t="str">
        <f>IF(ISNUMBER(F21836),C21836*F21836,"")</f>
        <v/>
      </c>
    </row>
    <row r="21837" spans="1:7" ht="12" customHeight="1" outlineLevel="3" x14ac:dyDescent="0.2">
      <c r="A21837" s="14" t="s">
        <v>42983</v>
      </c>
      <c r="B21837" s="15" t="s">
        <v>42984</v>
      </c>
      <c r="C21837" s="16">
        <f>145.58/(1+B2)</f>
        <v>145.58000000000001</v>
      </c>
      <c r="D21837" s="17" t="s">
        <v>11</v>
      </c>
      <c r="E21837" s="17" t="s">
        <v>11</v>
      </c>
      <c r="F21837" s="18"/>
      <c r="G21837" s="36" t="str">
        <f>IF(ISNUMBER(F21837),C21837*F21837,"")</f>
        <v/>
      </c>
    </row>
    <row r="21838" spans="1:7" ht="12" customHeight="1" outlineLevel="3" x14ac:dyDescent="0.2">
      <c r="A21838" s="14" t="s">
        <v>42985</v>
      </c>
      <c r="B21838" s="15" t="s">
        <v>42986</v>
      </c>
      <c r="C21838" s="16">
        <f>97.8/(1+B2)</f>
        <v>97.8</v>
      </c>
      <c r="D21838" s="17" t="s">
        <v>11</v>
      </c>
      <c r="E21838" s="17" t="s">
        <v>11</v>
      </c>
      <c r="F21838" s="18"/>
      <c r="G21838" s="36" t="str">
        <f>IF(ISNUMBER(F21838),C21838*F21838,"")</f>
        <v/>
      </c>
    </row>
    <row r="21839" spans="1:7" s="1" customFormat="1" ht="12.95" customHeight="1" outlineLevel="2" x14ac:dyDescent="0.2">
      <c r="A21839" s="20"/>
      <c r="B21839" s="21" t="s">
        <v>42987</v>
      </c>
      <c r="C21839" s="22"/>
      <c r="D21839" s="22"/>
      <c r="E21839" s="22"/>
      <c r="F21839" s="22"/>
      <c r="G21839" s="37"/>
    </row>
    <row r="21840" spans="1:7" ht="12" customHeight="1" outlineLevel="3" x14ac:dyDescent="0.2">
      <c r="A21840" s="14" t="s">
        <v>42988</v>
      </c>
      <c r="B21840" s="15" t="s">
        <v>42989</v>
      </c>
      <c r="C21840" s="16">
        <f>46.25/(1+B2)</f>
        <v>46.25</v>
      </c>
      <c r="D21840" s="17" t="s">
        <v>11</v>
      </c>
      <c r="E21840" s="17" t="s">
        <v>14</v>
      </c>
      <c r="F21840" s="18"/>
      <c r="G21840" s="36" t="str">
        <f>IF(ISNUMBER(F21840),C21840*F21840,"")</f>
        <v/>
      </c>
    </row>
    <row r="21841" spans="1:7" ht="12" customHeight="1" outlineLevel="3" x14ac:dyDescent="0.2">
      <c r="A21841" s="14" t="s">
        <v>42990</v>
      </c>
      <c r="B21841" s="15" t="s">
        <v>42991</v>
      </c>
      <c r="C21841" s="16">
        <f>320.04/(1+B2)</f>
        <v>320.04000000000002</v>
      </c>
      <c r="D21841" s="17" t="s">
        <v>11</v>
      </c>
      <c r="E21841" s="17" t="s">
        <v>11</v>
      </c>
      <c r="F21841" s="18"/>
      <c r="G21841" s="36" t="str">
        <f>IF(ISNUMBER(F21841),C21841*F21841,"")</f>
        <v/>
      </c>
    </row>
    <row r="21842" spans="1:7" ht="12" customHeight="1" outlineLevel="3" x14ac:dyDescent="0.2">
      <c r="A21842" s="14" t="s">
        <v>42992</v>
      </c>
      <c r="B21842" s="15" t="s">
        <v>42993</v>
      </c>
      <c r="C21842" s="16">
        <f>197.6/(1+B2)</f>
        <v>197.6</v>
      </c>
      <c r="D21842" s="17" t="s">
        <v>11</v>
      </c>
      <c r="E21842" s="17"/>
      <c r="F21842" s="18"/>
      <c r="G21842" s="36" t="str">
        <f>IF(ISNUMBER(F21842),C21842*F21842,"")</f>
        <v/>
      </c>
    </row>
    <row r="21843" spans="1:7" ht="12" customHeight="1" outlineLevel="3" x14ac:dyDescent="0.2">
      <c r="A21843" s="14" t="s">
        <v>42994</v>
      </c>
      <c r="B21843" s="15" t="s">
        <v>42995</v>
      </c>
      <c r="C21843" s="16">
        <f>227.24/(1+B2)</f>
        <v>227.24</v>
      </c>
      <c r="D21843" s="17" t="s">
        <v>11</v>
      </c>
      <c r="E21843" s="17" t="s">
        <v>11</v>
      </c>
      <c r="F21843" s="18"/>
      <c r="G21843" s="36" t="str">
        <f>IF(ISNUMBER(F21843),C21843*F21843,"")</f>
        <v/>
      </c>
    </row>
    <row r="21844" spans="1:7" ht="12" customHeight="1" outlineLevel="3" x14ac:dyDescent="0.2">
      <c r="A21844" s="14" t="s">
        <v>42996</v>
      </c>
      <c r="B21844" s="15" t="s">
        <v>42997</v>
      </c>
      <c r="C21844" s="16">
        <f>58.14/(1+B2)</f>
        <v>58.14</v>
      </c>
      <c r="D21844" s="17" t="s">
        <v>14</v>
      </c>
      <c r="E21844" s="17"/>
      <c r="F21844" s="18"/>
      <c r="G21844" s="36" t="str">
        <f>IF(ISNUMBER(F21844),C21844*F21844,"")</f>
        <v/>
      </c>
    </row>
    <row r="21845" spans="1:7" ht="12" customHeight="1" outlineLevel="3" x14ac:dyDescent="0.2">
      <c r="A21845" s="14" t="s">
        <v>42998</v>
      </c>
      <c r="B21845" s="15" t="s">
        <v>42999</v>
      </c>
      <c r="C21845" s="16">
        <f>58.14/(1+B2)</f>
        <v>58.14</v>
      </c>
      <c r="D21845" s="17"/>
      <c r="E21845" s="17" t="s">
        <v>53</v>
      </c>
      <c r="F21845" s="18"/>
      <c r="G21845" s="36" t="str">
        <f>IF(ISNUMBER(F21845),C21845*F21845,"")</f>
        <v/>
      </c>
    </row>
    <row r="21846" spans="1:7" ht="12" customHeight="1" outlineLevel="3" x14ac:dyDescent="0.2">
      <c r="A21846" s="14" t="s">
        <v>43000</v>
      </c>
      <c r="B21846" s="15" t="s">
        <v>43001</v>
      </c>
      <c r="C21846" s="16">
        <f>112.92/(1+B2)</f>
        <v>112.92</v>
      </c>
      <c r="D21846" s="17" t="s">
        <v>11</v>
      </c>
      <c r="E21846" s="17"/>
      <c r="F21846" s="18"/>
      <c r="G21846" s="36" t="str">
        <f>IF(ISNUMBER(F21846),C21846*F21846,"")</f>
        <v/>
      </c>
    </row>
    <row r="21847" spans="1:7" ht="12" customHeight="1" outlineLevel="3" x14ac:dyDescent="0.2">
      <c r="A21847" s="14" t="s">
        <v>43002</v>
      </c>
      <c r="B21847" s="15" t="s">
        <v>43003</v>
      </c>
      <c r="C21847" s="16">
        <f>113.38/(1+B2)</f>
        <v>113.38</v>
      </c>
      <c r="D21847" s="17" t="s">
        <v>11</v>
      </c>
      <c r="E21847" s="17" t="s">
        <v>14</v>
      </c>
      <c r="F21847" s="18"/>
      <c r="G21847" s="36" t="str">
        <f>IF(ISNUMBER(F21847),C21847*F21847,"")</f>
        <v/>
      </c>
    </row>
    <row r="21848" spans="1:7" ht="24" customHeight="1" outlineLevel="3" x14ac:dyDescent="0.2">
      <c r="A21848" s="14" t="s">
        <v>43004</v>
      </c>
      <c r="B21848" s="15" t="s">
        <v>43005</v>
      </c>
      <c r="C21848" s="16">
        <f>168.24/(1+B2)</f>
        <v>168.24</v>
      </c>
      <c r="D21848" s="17" t="s">
        <v>11</v>
      </c>
      <c r="E21848" s="17"/>
      <c r="F21848" s="18"/>
      <c r="G21848" s="36" t="str">
        <f>IF(ISNUMBER(F21848),C21848*F21848,"")</f>
        <v/>
      </c>
    </row>
    <row r="21849" spans="1:7" ht="24" customHeight="1" outlineLevel="3" x14ac:dyDescent="0.2">
      <c r="A21849" s="14" t="s">
        <v>43006</v>
      </c>
      <c r="B21849" s="15" t="s">
        <v>43007</v>
      </c>
      <c r="C21849" s="16">
        <f>168.24/(1+B2)</f>
        <v>168.24</v>
      </c>
      <c r="D21849" s="17" t="s">
        <v>11</v>
      </c>
      <c r="E21849" s="17" t="s">
        <v>11</v>
      </c>
      <c r="F21849" s="18"/>
      <c r="G21849" s="36" t="str">
        <f>IF(ISNUMBER(F21849),C21849*F21849,"")</f>
        <v/>
      </c>
    </row>
    <row r="21850" spans="1:7" ht="24" customHeight="1" outlineLevel="3" x14ac:dyDescent="0.2">
      <c r="A21850" s="14" t="s">
        <v>43008</v>
      </c>
      <c r="B21850" s="15" t="s">
        <v>43009</v>
      </c>
      <c r="C21850" s="16">
        <f>197.28/(1+B2)</f>
        <v>197.28</v>
      </c>
      <c r="D21850" s="17" t="s">
        <v>11</v>
      </c>
      <c r="E21850" s="17"/>
      <c r="F21850" s="18"/>
      <c r="G21850" s="36" t="str">
        <f>IF(ISNUMBER(F21850),C21850*F21850,"")</f>
        <v/>
      </c>
    </row>
    <row r="21851" spans="1:7" ht="12" customHeight="1" outlineLevel="3" x14ac:dyDescent="0.2">
      <c r="A21851" s="14" t="s">
        <v>43010</v>
      </c>
      <c r="B21851" s="15" t="s">
        <v>43011</v>
      </c>
      <c r="C21851" s="16">
        <f>197.28/(1+B2)</f>
        <v>197.28</v>
      </c>
      <c r="D21851" s="17" t="s">
        <v>11</v>
      </c>
      <c r="E21851" s="17"/>
      <c r="F21851" s="18"/>
      <c r="G21851" s="36" t="str">
        <f>IF(ISNUMBER(F21851),C21851*F21851,"")</f>
        <v/>
      </c>
    </row>
    <row r="21852" spans="1:7" ht="12" customHeight="1" outlineLevel="3" x14ac:dyDescent="0.2">
      <c r="A21852" s="14" t="s">
        <v>43012</v>
      </c>
      <c r="B21852" s="15" t="s">
        <v>43013</v>
      </c>
      <c r="C21852" s="16">
        <f>115.54/(1+B2)</f>
        <v>115.54</v>
      </c>
      <c r="D21852" s="17" t="s">
        <v>11</v>
      </c>
      <c r="E21852" s="17" t="s">
        <v>11</v>
      </c>
      <c r="F21852" s="18"/>
      <c r="G21852" s="36" t="str">
        <f>IF(ISNUMBER(F21852),C21852*F21852,"")</f>
        <v/>
      </c>
    </row>
    <row r="21853" spans="1:7" ht="12" customHeight="1" outlineLevel="3" x14ac:dyDescent="0.2">
      <c r="A21853" s="14" t="s">
        <v>43014</v>
      </c>
      <c r="B21853" s="15" t="s">
        <v>43015</v>
      </c>
      <c r="C21853" s="16">
        <f>107.96/(1+B2)</f>
        <v>107.96</v>
      </c>
      <c r="D21853" s="17" t="s">
        <v>11</v>
      </c>
      <c r="E21853" s="17" t="s">
        <v>53</v>
      </c>
      <c r="F21853" s="18"/>
      <c r="G21853" s="36" t="str">
        <f>IF(ISNUMBER(F21853),C21853*F21853,"")</f>
        <v/>
      </c>
    </row>
    <row r="21854" spans="1:7" ht="12" customHeight="1" outlineLevel="3" x14ac:dyDescent="0.2">
      <c r="A21854" s="14" t="s">
        <v>43016</v>
      </c>
      <c r="B21854" s="15" t="s">
        <v>43017</v>
      </c>
      <c r="C21854" s="16">
        <f>137.46/(1+B2)</f>
        <v>137.46</v>
      </c>
      <c r="D21854" s="17" t="s">
        <v>11</v>
      </c>
      <c r="E21854" s="17"/>
      <c r="F21854" s="18"/>
      <c r="G21854" s="36" t="str">
        <f>IF(ISNUMBER(F21854),C21854*F21854,"")</f>
        <v/>
      </c>
    </row>
    <row r="21855" spans="1:7" ht="12" customHeight="1" outlineLevel="3" x14ac:dyDescent="0.2">
      <c r="A21855" s="14" t="s">
        <v>43018</v>
      </c>
      <c r="B21855" s="15" t="s">
        <v>43019</v>
      </c>
      <c r="C21855" s="16">
        <f>223/(1+B2)</f>
        <v>223</v>
      </c>
      <c r="D21855" s="17" t="s">
        <v>11</v>
      </c>
      <c r="E21855" s="17" t="s">
        <v>14</v>
      </c>
      <c r="F21855" s="18"/>
      <c r="G21855" s="36" t="str">
        <f>IF(ISNUMBER(F21855),C21855*F21855,"")</f>
        <v/>
      </c>
    </row>
    <row r="21856" spans="1:7" ht="12" customHeight="1" outlineLevel="3" x14ac:dyDescent="0.2">
      <c r="A21856" s="14" t="s">
        <v>43020</v>
      </c>
      <c r="B21856" s="15" t="s">
        <v>43021</v>
      </c>
      <c r="C21856" s="16">
        <f>233.22/(1+B2)</f>
        <v>233.22</v>
      </c>
      <c r="D21856" s="17" t="s">
        <v>11</v>
      </c>
      <c r="E21856" s="17"/>
      <c r="F21856" s="18"/>
      <c r="G21856" s="36" t="str">
        <f>IF(ISNUMBER(F21856),C21856*F21856,"")</f>
        <v/>
      </c>
    </row>
    <row r="21857" spans="1:7" ht="12" customHeight="1" outlineLevel="3" x14ac:dyDescent="0.2">
      <c r="A21857" s="14" t="s">
        <v>43022</v>
      </c>
      <c r="B21857" s="15" t="s">
        <v>43023</v>
      </c>
      <c r="C21857" s="16">
        <f>233.22/(1+B2)</f>
        <v>233.22</v>
      </c>
      <c r="D21857" s="17" t="s">
        <v>11</v>
      </c>
      <c r="E21857" s="17" t="s">
        <v>53</v>
      </c>
      <c r="F21857" s="18"/>
      <c r="G21857" s="36" t="str">
        <f>IF(ISNUMBER(F21857),C21857*F21857,"")</f>
        <v/>
      </c>
    </row>
    <row r="21858" spans="1:7" ht="12" customHeight="1" outlineLevel="3" x14ac:dyDescent="0.2">
      <c r="A21858" s="14" t="s">
        <v>43024</v>
      </c>
      <c r="B21858" s="15" t="s">
        <v>43025</v>
      </c>
      <c r="C21858" s="16">
        <f>131.41/(1+B2)</f>
        <v>131.41</v>
      </c>
      <c r="D21858" s="17" t="s">
        <v>11</v>
      </c>
      <c r="E21858" s="17" t="s">
        <v>14</v>
      </c>
      <c r="F21858" s="18"/>
      <c r="G21858" s="36" t="str">
        <f>IF(ISNUMBER(F21858),C21858*F21858,"")</f>
        <v/>
      </c>
    </row>
    <row r="21859" spans="1:7" ht="12" customHeight="1" outlineLevel="3" x14ac:dyDescent="0.2">
      <c r="A21859" s="14" t="s">
        <v>43026</v>
      </c>
      <c r="B21859" s="15" t="s">
        <v>43027</v>
      </c>
      <c r="C21859" s="16">
        <f>400.84/(1+B2)</f>
        <v>400.84</v>
      </c>
      <c r="D21859" s="17" t="s">
        <v>11</v>
      </c>
      <c r="E21859" s="17"/>
      <c r="F21859" s="18"/>
      <c r="G21859" s="36" t="str">
        <f>IF(ISNUMBER(F21859),C21859*F21859,"")</f>
        <v/>
      </c>
    </row>
    <row r="21860" spans="1:7" ht="12" customHeight="1" outlineLevel="3" x14ac:dyDescent="0.2">
      <c r="A21860" s="14" t="s">
        <v>43028</v>
      </c>
      <c r="B21860" s="15" t="s">
        <v>43029</v>
      </c>
      <c r="C21860" s="16">
        <f>405.06/(1+B2)</f>
        <v>405.06</v>
      </c>
      <c r="D21860" s="17" t="s">
        <v>11</v>
      </c>
      <c r="E21860" s="17"/>
      <c r="F21860" s="18"/>
      <c r="G21860" s="36" t="str">
        <f>IF(ISNUMBER(F21860),C21860*F21860,"")</f>
        <v/>
      </c>
    </row>
    <row r="21861" spans="1:7" ht="12" customHeight="1" outlineLevel="3" x14ac:dyDescent="0.2">
      <c r="A21861" s="14" t="s">
        <v>43030</v>
      </c>
      <c r="B21861" s="15" t="s">
        <v>43031</v>
      </c>
      <c r="C21861" s="16">
        <f>340.58/(1+B2)</f>
        <v>340.58</v>
      </c>
      <c r="D21861" s="17" t="s">
        <v>11</v>
      </c>
      <c r="E21861" s="17" t="s">
        <v>11</v>
      </c>
      <c r="F21861" s="18"/>
      <c r="G21861" s="36" t="str">
        <f>IF(ISNUMBER(F21861),C21861*F21861,"")</f>
        <v/>
      </c>
    </row>
    <row r="21862" spans="1:7" ht="12" customHeight="1" outlineLevel="3" x14ac:dyDescent="0.2">
      <c r="A21862" s="14" t="s">
        <v>43032</v>
      </c>
      <c r="B21862" s="15" t="s">
        <v>43033</v>
      </c>
      <c r="C21862" s="16">
        <f>232.94/(1+B2)</f>
        <v>232.94</v>
      </c>
      <c r="D21862" s="17" t="s">
        <v>11</v>
      </c>
      <c r="E21862" s="17" t="s">
        <v>11</v>
      </c>
      <c r="F21862" s="18"/>
      <c r="G21862" s="36" t="str">
        <f>IF(ISNUMBER(F21862),C21862*F21862,"")</f>
        <v/>
      </c>
    </row>
    <row r="21863" spans="1:7" ht="12" customHeight="1" outlineLevel="3" x14ac:dyDescent="0.2">
      <c r="A21863" s="14" t="s">
        <v>43034</v>
      </c>
      <c r="B21863" s="15" t="s">
        <v>43035</v>
      </c>
      <c r="C21863" s="16">
        <f>232.94/(1+B2)</f>
        <v>232.94</v>
      </c>
      <c r="D21863" s="17" t="s">
        <v>11</v>
      </c>
      <c r="E21863" s="17" t="s">
        <v>11</v>
      </c>
      <c r="F21863" s="18"/>
      <c r="G21863" s="36" t="str">
        <f>IF(ISNUMBER(F21863),C21863*F21863,"")</f>
        <v/>
      </c>
    </row>
    <row r="21864" spans="1:7" ht="12" customHeight="1" outlineLevel="3" x14ac:dyDescent="0.2">
      <c r="A21864" s="14" t="s">
        <v>43036</v>
      </c>
      <c r="B21864" s="15" t="s">
        <v>43037</v>
      </c>
      <c r="C21864" s="16">
        <f>232.94/(1+B2)</f>
        <v>232.94</v>
      </c>
      <c r="D21864" s="17" t="s">
        <v>11</v>
      </c>
      <c r="E21864" s="17" t="s">
        <v>11</v>
      </c>
      <c r="F21864" s="18"/>
      <c r="G21864" s="36" t="str">
        <f>IF(ISNUMBER(F21864),C21864*F21864,"")</f>
        <v/>
      </c>
    </row>
    <row r="21865" spans="1:7" ht="12" customHeight="1" outlineLevel="3" x14ac:dyDescent="0.2">
      <c r="A21865" s="14" t="s">
        <v>43038</v>
      </c>
      <c r="B21865" s="15" t="s">
        <v>43039</v>
      </c>
      <c r="C21865" s="16">
        <f>258.83/(1+B2)</f>
        <v>258.83</v>
      </c>
      <c r="D21865" s="17" t="s">
        <v>11</v>
      </c>
      <c r="E21865" s="17"/>
      <c r="F21865" s="18"/>
      <c r="G21865" s="36" t="str">
        <f>IF(ISNUMBER(F21865),C21865*F21865,"")</f>
        <v/>
      </c>
    </row>
    <row r="21866" spans="1:7" ht="12" customHeight="1" outlineLevel="3" x14ac:dyDescent="0.2">
      <c r="A21866" s="14" t="s">
        <v>43040</v>
      </c>
      <c r="B21866" s="15" t="s">
        <v>43041</v>
      </c>
      <c r="C21866" s="16">
        <f>220.43/(1+B2)</f>
        <v>220.43</v>
      </c>
      <c r="D21866" s="17" t="s">
        <v>11</v>
      </c>
      <c r="E21866" s="17" t="s">
        <v>11</v>
      </c>
      <c r="F21866" s="18"/>
      <c r="G21866" s="36" t="str">
        <f>IF(ISNUMBER(F21866),C21866*F21866,"")</f>
        <v/>
      </c>
    </row>
    <row r="21867" spans="1:7" ht="12" customHeight="1" outlineLevel="3" x14ac:dyDescent="0.2">
      <c r="A21867" s="14" t="s">
        <v>43042</v>
      </c>
      <c r="B21867" s="15" t="s">
        <v>43043</v>
      </c>
      <c r="C21867" s="16">
        <f>244.91/(1+B2)</f>
        <v>244.91</v>
      </c>
      <c r="D21867" s="17" t="s">
        <v>11</v>
      </c>
      <c r="E21867" s="17"/>
      <c r="F21867" s="18"/>
      <c r="G21867" s="36" t="str">
        <f>IF(ISNUMBER(F21867),C21867*F21867,"")</f>
        <v/>
      </c>
    </row>
    <row r="21868" spans="1:7" ht="24" customHeight="1" outlineLevel="3" x14ac:dyDescent="0.2">
      <c r="A21868" s="14" t="s">
        <v>43044</v>
      </c>
      <c r="B21868" s="15" t="s">
        <v>43045</v>
      </c>
      <c r="C21868" s="16">
        <f>218.14/(1+B2)</f>
        <v>218.14</v>
      </c>
      <c r="D21868" s="17" t="s">
        <v>11</v>
      </c>
      <c r="E21868" s="17" t="s">
        <v>11</v>
      </c>
      <c r="F21868" s="18"/>
      <c r="G21868" s="36" t="str">
        <f>IF(ISNUMBER(F21868),C21868*F21868,"")</f>
        <v/>
      </c>
    </row>
    <row r="21869" spans="1:7" ht="12" customHeight="1" outlineLevel="3" x14ac:dyDescent="0.2">
      <c r="A21869" s="14" t="s">
        <v>43046</v>
      </c>
      <c r="B21869" s="15" t="s">
        <v>43047</v>
      </c>
      <c r="C21869" s="16">
        <f>552.07/(1+B2)</f>
        <v>552.07000000000005</v>
      </c>
      <c r="D21869" s="17" t="s">
        <v>11</v>
      </c>
      <c r="E21869" s="17"/>
      <c r="F21869" s="18"/>
      <c r="G21869" s="36" t="str">
        <f>IF(ISNUMBER(F21869),C21869*F21869,"")</f>
        <v/>
      </c>
    </row>
    <row r="21870" spans="1:7" ht="12" customHeight="1" outlineLevel="3" x14ac:dyDescent="0.2">
      <c r="A21870" s="14" t="s">
        <v>43048</v>
      </c>
      <c r="B21870" s="15" t="s">
        <v>43049</v>
      </c>
      <c r="C21870" s="16">
        <f>228.9/(1+B2)</f>
        <v>228.9</v>
      </c>
      <c r="D21870" s="17" t="s">
        <v>11</v>
      </c>
      <c r="E21870" s="17"/>
      <c r="F21870" s="18"/>
      <c r="G21870" s="36" t="str">
        <f>IF(ISNUMBER(F21870),C21870*F21870,"")</f>
        <v/>
      </c>
    </row>
    <row r="21871" spans="1:7" s="1" customFormat="1" ht="12.95" customHeight="1" outlineLevel="2" x14ac:dyDescent="0.2">
      <c r="A21871" s="20"/>
      <c r="B21871" s="21" t="s">
        <v>43050</v>
      </c>
      <c r="C21871" s="22"/>
      <c r="D21871" s="22"/>
      <c r="E21871" s="22"/>
      <c r="F21871" s="22"/>
      <c r="G21871" s="37"/>
    </row>
    <row r="21872" spans="1:7" ht="12" customHeight="1" outlineLevel="3" x14ac:dyDescent="0.2">
      <c r="A21872" s="14" t="s">
        <v>43051</v>
      </c>
      <c r="B21872" s="15" t="s">
        <v>43052</v>
      </c>
      <c r="C21872" s="16">
        <f>34.26/(1+B2)</f>
        <v>34.26</v>
      </c>
      <c r="D21872" s="17" t="s">
        <v>14</v>
      </c>
      <c r="E21872" s="17" t="s">
        <v>106</v>
      </c>
      <c r="F21872" s="18"/>
      <c r="G21872" s="36" t="str">
        <f>IF(ISNUMBER(F21872),C21872*F21872,"")</f>
        <v/>
      </c>
    </row>
    <row r="21873" spans="1:7" ht="12" customHeight="1" outlineLevel="3" x14ac:dyDescent="0.2">
      <c r="A21873" s="14" t="s">
        <v>43053</v>
      </c>
      <c r="B21873" s="15" t="s">
        <v>43054</v>
      </c>
      <c r="C21873" s="16">
        <f>30.44/(1+B2)</f>
        <v>30.44</v>
      </c>
      <c r="D21873" s="17" t="s">
        <v>11</v>
      </c>
      <c r="E21873" s="17"/>
      <c r="F21873" s="18"/>
      <c r="G21873" s="36" t="str">
        <f>IF(ISNUMBER(F21873),C21873*F21873,"")</f>
        <v/>
      </c>
    </row>
    <row r="21874" spans="1:7" ht="12" customHeight="1" outlineLevel="3" x14ac:dyDescent="0.2">
      <c r="A21874" s="14" t="s">
        <v>43055</v>
      </c>
      <c r="B21874" s="15" t="s">
        <v>43056</v>
      </c>
      <c r="C21874" s="16">
        <f>569.2/(1+B2)</f>
        <v>569.20000000000005</v>
      </c>
      <c r="D21874" s="17" t="s">
        <v>11</v>
      </c>
      <c r="E21874" s="17"/>
      <c r="F21874" s="18"/>
      <c r="G21874" s="36" t="str">
        <f>IF(ISNUMBER(F21874),C21874*F21874,"")</f>
        <v/>
      </c>
    </row>
    <row r="21875" spans="1:7" ht="12" customHeight="1" outlineLevel="3" x14ac:dyDescent="0.2">
      <c r="A21875" s="14" t="s">
        <v>43057</v>
      </c>
      <c r="B21875" s="15" t="s">
        <v>43058</v>
      </c>
      <c r="C21875" s="16">
        <f>172.12/(1+B2)</f>
        <v>172.12</v>
      </c>
      <c r="D21875" s="17" t="s">
        <v>11</v>
      </c>
      <c r="E21875" s="17" t="s">
        <v>11</v>
      </c>
      <c r="F21875" s="18"/>
      <c r="G21875" s="36" t="str">
        <f>IF(ISNUMBER(F21875),C21875*F21875,"")</f>
        <v/>
      </c>
    </row>
    <row r="21876" spans="1:7" ht="12" customHeight="1" outlineLevel="3" x14ac:dyDescent="0.2">
      <c r="A21876" s="14" t="s">
        <v>43059</v>
      </c>
      <c r="B21876" s="15" t="s">
        <v>43060</v>
      </c>
      <c r="C21876" s="16">
        <f>118.81/(1+B2)</f>
        <v>118.81</v>
      </c>
      <c r="D21876" s="17" t="s">
        <v>11</v>
      </c>
      <c r="E21876" s="17"/>
      <c r="F21876" s="18"/>
      <c r="G21876" s="36" t="str">
        <f>IF(ISNUMBER(F21876),C21876*F21876,"")</f>
        <v/>
      </c>
    </row>
    <row r="21877" spans="1:7" ht="12" customHeight="1" outlineLevel="3" x14ac:dyDescent="0.2">
      <c r="A21877" s="14" t="s">
        <v>43061</v>
      </c>
      <c r="B21877" s="15" t="s">
        <v>43062</v>
      </c>
      <c r="C21877" s="16">
        <f>124.87/(1+B2)</f>
        <v>124.87</v>
      </c>
      <c r="D21877" s="17" t="s">
        <v>11</v>
      </c>
      <c r="E21877" s="17"/>
      <c r="F21877" s="18"/>
      <c r="G21877" s="36" t="str">
        <f>IF(ISNUMBER(F21877),C21877*F21877,"")</f>
        <v/>
      </c>
    </row>
    <row r="21878" spans="1:7" ht="12" customHeight="1" outlineLevel="3" x14ac:dyDescent="0.2">
      <c r="A21878" s="14" t="s">
        <v>43063</v>
      </c>
      <c r="B21878" s="15" t="s">
        <v>43064</v>
      </c>
      <c r="C21878" s="16">
        <f>221.69/(1+B2)</f>
        <v>221.69</v>
      </c>
      <c r="D21878" s="17" t="s">
        <v>11</v>
      </c>
      <c r="E21878" s="17" t="s">
        <v>14</v>
      </c>
      <c r="F21878" s="18"/>
      <c r="G21878" s="36" t="str">
        <f>IF(ISNUMBER(F21878),C21878*F21878,"")</f>
        <v/>
      </c>
    </row>
    <row r="21879" spans="1:7" ht="12" customHeight="1" outlineLevel="3" x14ac:dyDescent="0.2">
      <c r="A21879" s="14" t="s">
        <v>43065</v>
      </c>
      <c r="B21879" s="15" t="s">
        <v>43066</v>
      </c>
      <c r="C21879" s="16">
        <f>101.09/(1+B2)</f>
        <v>101.09</v>
      </c>
      <c r="D21879" s="17" t="s">
        <v>11</v>
      </c>
      <c r="E21879" s="17"/>
      <c r="F21879" s="18"/>
      <c r="G21879" s="36" t="str">
        <f>IF(ISNUMBER(F21879),C21879*F21879,"")</f>
        <v/>
      </c>
    </row>
    <row r="21880" spans="1:7" ht="12" customHeight="1" outlineLevel="3" x14ac:dyDescent="0.2">
      <c r="A21880" s="14" t="s">
        <v>43067</v>
      </c>
      <c r="B21880" s="15" t="s">
        <v>43068</v>
      </c>
      <c r="C21880" s="16">
        <f>158.84/(1+B2)</f>
        <v>158.84</v>
      </c>
      <c r="D21880" s="17" t="s">
        <v>14</v>
      </c>
      <c r="E21880" s="17" t="s">
        <v>11</v>
      </c>
      <c r="F21880" s="18"/>
      <c r="G21880" s="36" t="str">
        <f>IF(ISNUMBER(F21880),C21880*F21880,"")</f>
        <v/>
      </c>
    </row>
    <row r="21881" spans="1:7" ht="12" customHeight="1" outlineLevel="3" x14ac:dyDescent="0.2">
      <c r="A21881" s="14" t="s">
        <v>43069</v>
      </c>
      <c r="B21881" s="15" t="s">
        <v>43070</v>
      </c>
      <c r="C21881" s="16">
        <f>460.51/(1+B2)</f>
        <v>460.51</v>
      </c>
      <c r="D21881" s="17" t="s">
        <v>11</v>
      </c>
      <c r="E21881" s="17"/>
      <c r="F21881" s="18"/>
      <c r="G21881" s="36" t="str">
        <f>IF(ISNUMBER(F21881),C21881*F21881,"")</f>
        <v/>
      </c>
    </row>
    <row r="21882" spans="1:7" ht="12" customHeight="1" outlineLevel="3" x14ac:dyDescent="0.2">
      <c r="A21882" s="14" t="s">
        <v>43071</v>
      </c>
      <c r="B21882" s="15" t="s">
        <v>43072</v>
      </c>
      <c r="C21882" s="16">
        <f>483.65/(1+B2)</f>
        <v>483.65</v>
      </c>
      <c r="D21882" s="17" t="s">
        <v>11</v>
      </c>
      <c r="E21882" s="17"/>
      <c r="F21882" s="18"/>
      <c r="G21882" s="36" t="str">
        <f>IF(ISNUMBER(F21882),C21882*F21882,"")</f>
        <v/>
      </c>
    </row>
    <row r="21883" spans="1:7" ht="12" customHeight="1" outlineLevel="3" x14ac:dyDescent="0.2">
      <c r="A21883" s="14" t="s">
        <v>43073</v>
      </c>
      <c r="B21883" s="15" t="s">
        <v>43074</v>
      </c>
      <c r="C21883" s="16">
        <f>487.38/(1+B2)</f>
        <v>487.38</v>
      </c>
      <c r="D21883" s="17" t="s">
        <v>11</v>
      </c>
      <c r="E21883" s="17"/>
      <c r="F21883" s="18"/>
      <c r="G21883" s="36" t="str">
        <f>IF(ISNUMBER(F21883),C21883*F21883,"")</f>
        <v/>
      </c>
    </row>
    <row r="21884" spans="1:7" ht="12" customHeight="1" outlineLevel="3" x14ac:dyDescent="0.2">
      <c r="A21884" s="14" t="s">
        <v>43075</v>
      </c>
      <c r="B21884" s="15" t="s">
        <v>43076</v>
      </c>
      <c r="C21884" s="16">
        <f>61.32/(1+B2)</f>
        <v>61.32</v>
      </c>
      <c r="D21884" s="17" t="s">
        <v>11</v>
      </c>
      <c r="E21884" s="17"/>
      <c r="F21884" s="18"/>
      <c r="G21884" s="36" t="str">
        <f>IF(ISNUMBER(F21884),C21884*F21884,"")</f>
        <v/>
      </c>
    </row>
    <row r="21885" spans="1:7" ht="12" customHeight="1" outlineLevel="3" x14ac:dyDescent="0.2">
      <c r="A21885" s="14" t="s">
        <v>43077</v>
      </c>
      <c r="B21885" s="15" t="s">
        <v>43078</v>
      </c>
      <c r="C21885" s="16">
        <f>326.87/(1+B2)</f>
        <v>326.87</v>
      </c>
      <c r="D21885" s="17" t="s">
        <v>11</v>
      </c>
      <c r="E21885" s="17"/>
      <c r="F21885" s="18"/>
      <c r="G21885" s="36" t="str">
        <f>IF(ISNUMBER(F21885),C21885*F21885,"")</f>
        <v/>
      </c>
    </row>
    <row r="21886" spans="1:7" ht="12" customHeight="1" outlineLevel="3" x14ac:dyDescent="0.2">
      <c r="A21886" s="14" t="s">
        <v>43079</v>
      </c>
      <c r="B21886" s="15" t="s">
        <v>43080</v>
      </c>
      <c r="C21886" s="16">
        <f>77.88/(1+B2)</f>
        <v>77.88</v>
      </c>
      <c r="D21886" s="17" t="s">
        <v>11</v>
      </c>
      <c r="E21886" s="17"/>
      <c r="F21886" s="18"/>
      <c r="G21886" s="36" t="str">
        <f>IF(ISNUMBER(F21886),C21886*F21886,"")</f>
        <v/>
      </c>
    </row>
    <row r="21887" spans="1:7" ht="12" customHeight="1" outlineLevel="3" x14ac:dyDescent="0.2">
      <c r="A21887" s="14" t="s">
        <v>43081</v>
      </c>
      <c r="B21887" s="15" t="s">
        <v>43082</v>
      </c>
      <c r="C21887" s="16">
        <f>83.59/(1+B2)</f>
        <v>83.59</v>
      </c>
      <c r="D21887" s="17" t="s">
        <v>11</v>
      </c>
      <c r="E21887" s="17" t="s">
        <v>53</v>
      </c>
      <c r="F21887" s="18"/>
      <c r="G21887" s="36" t="str">
        <f>IF(ISNUMBER(F21887),C21887*F21887,"")</f>
        <v/>
      </c>
    </row>
    <row r="21888" spans="1:7" ht="12" customHeight="1" outlineLevel="3" x14ac:dyDescent="0.2">
      <c r="A21888" s="14" t="s">
        <v>43083</v>
      </c>
      <c r="B21888" s="15" t="s">
        <v>43084</v>
      </c>
      <c r="C21888" s="16">
        <f>40.86/(1+B2)</f>
        <v>40.86</v>
      </c>
      <c r="D21888" s="17" t="s">
        <v>11</v>
      </c>
      <c r="E21888" s="17"/>
      <c r="F21888" s="18"/>
      <c r="G21888" s="36" t="str">
        <f>IF(ISNUMBER(F21888),C21888*F21888,"")</f>
        <v/>
      </c>
    </row>
    <row r="21889" spans="1:7" ht="12" customHeight="1" outlineLevel="3" x14ac:dyDescent="0.2">
      <c r="A21889" s="14" t="s">
        <v>43085</v>
      </c>
      <c r="B21889" s="15" t="s">
        <v>43086</v>
      </c>
      <c r="C21889" s="16">
        <f>101.02/(1+B2)</f>
        <v>101.02</v>
      </c>
      <c r="D21889" s="17" t="s">
        <v>11</v>
      </c>
      <c r="E21889" s="17"/>
      <c r="F21889" s="18"/>
      <c r="G21889" s="36" t="str">
        <f>IF(ISNUMBER(F21889),C21889*F21889,"")</f>
        <v/>
      </c>
    </row>
    <row r="21890" spans="1:7" ht="12" customHeight="1" outlineLevel="3" x14ac:dyDescent="0.2">
      <c r="A21890" s="14" t="s">
        <v>43087</v>
      </c>
      <c r="B21890" s="15" t="s">
        <v>43088</v>
      </c>
      <c r="C21890" s="16">
        <f>26.72/(1+B2)</f>
        <v>26.72</v>
      </c>
      <c r="D21890" s="17" t="s">
        <v>11</v>
      </c>
      <c r="E21890" s="17" t="s">
        <v>14</v>
      </c>
      <c r="F21890" s="18"/>
      <c r="G21890" s="36" t="str">
        <f>IF(ISNUMBER(F21890),C21890*F21890,"")</f>
        <v/>
      </c>
    </row>
    <row r="21891" spans="1:7" ht="12" customHeight="1" outlineLevel="3" x14ac:dyDescent="0.2">
      <c r="A21891" s="14" t="s">
        <v>43089</v>
      </c>
      <c r="B21891" s="15" t="s">
        <v>43090</v>
      </c>
      <c r="C21891" s="16">
        <f>150.65/(1+B2)</f>
        <v>150.65</v>
      </c>
      <c r="D21891" s="17" t="s">
        <v>11</v>
      </c>
      <c r="E21891" s="17"/>
      <c r="F21891" s="18"/>
      <c r="G21891" s="36" t="str">
        <f>IF(ISNUMBER(F21891),C21891*F21891,"")</f>
        <v/>
      </c>
    </row>
    <row r="21892" spans="1:7" ht="12" customHeight="1" outlineLevel="3" x14ac:dyDescent="0.2">
      <c r="A21892" s="14" t="s">
        <v>43091</v>
      </c>
      <c r="B21892" s="15" t="s">
        <v>43092</v>
      </c>
      <c r="C21892" s="16">
        <f>139.3/(1+B2)</f>
        <v>139.30000000000001</v>
      </c>
      <c r="D21892" s="17" t="s">
        <v>14</v>
      </c>
      <c r="E21892" s="17" t="s">
        <v>11</v>
      </c>
      <c r="F21892" s="18"/>
      <c r="G21892" s="36" t="str">
        <f>IF(ISNUMBER(F21892),C21892*F21892,"")</f>
        <v/>
      </c>
    </row>
    <row r="21893" spans="1:7" ht="12" customHeight="1" outlineLevel="3" x14ac:dyDescent="0.2">
      <c r="A21893" s="14" t="s">
        <v>43093</v>
      </c>
      <c r="B21893" s="15" t="s">
        <v>43094</v>
      </c>
      <c r="C21893" s="16">
        <f>269.9/(1+B2)</f>
        <v>269.89999999999998</v>
      </c>
      <c r="D21893" s="17" t="s">
        <v>11</v>
      </c>
      <c r="E21893" s="17"/>
      <c r="F21893" s="18"/>
      <c r="G21893" s="36" t="str">
        <f>IF(ISNUMBER(F21893),C21893*F21893,"")</f>
        <v/>
      </c>
    </row>
    <row r="21894" spans="1:7" ht="12" customHeight="1" outlineLevel="3" x14ac:dyDescent="0.2">
      <c r="A21894" s="14" t="s">
        <v>43095</v>
      </c>
      <c r="B21894" s="15" t="s">
        <v>43096</v>
      </c>
      <c r="C21894" s="16">
        <f>47.16/(1+B2)</f>
        <v>47.16</v>
      </c>
      <c r="D21894" s="17" t="s">
        <v>11</v>
      </c>
      <c r="E21894" s="17" t="s">
        <v>11</v>
      </c>
      <c r="F21894" s="18"/>
      <c r="G21894" s="36" t="str">
        <f>IF(ISNUMBER(F21894),C21894*F21894,"")</f>
        <v/>
      </c>
    </row>
    <row r="21895" spans="1:7" ht="12" customHeight="1" outlineLevel="3" x14ac:dyDescent="0.2">
      <c r="A21895" s="14" t="s">
        <v>43097</v>
      </c>
      <c r="B21895" s="15" t="s">
        <v>43098</v>
      </c>
      <c r="C21895" s="16">
        <f>249.58/(1+B2)</f>
        <v>249.58</v>
      </c>
      <c r="D21895" s="17" t="s">
        <v>11</v>
      </c>
      <c r="E21895" s="17" t="s">
        <v>14</v>
      </c>
      <c r="F21895" s="18"/>
      <c r="G21895" s="36" t="str">
        <f>IF(ISNUMBER(F21895),C21895*F21895,"")</f>
        <v/>
      </c>
    </row>
    <row r="21896" spans="1:7" s="1" customFormat="1" ht="15.95" customHeight="1" outlineLevel="1" x14ac:dyDescent="0.25">
      <c r="A21896" s="11"/>
      <c r="B21896" s="12" t="s">
        <v>43099</v>
      </c>
      <c r="C21896" s="13"/>
      <c r="D21896" s="13"/>
      <c r="E21896" s="13"/>
      <c r="F21896" s="13"/>
      <c r="G21896" s="35"/>
    </row>
    <row r="21897" spans="1:7" ht="12" customHeight="1" outlineLevel="2" x14ac:dyDescent="0.2">
      <c r="A21897" s="14" t="s">
        <v>43100</v>
      </c>
      <c r="B21897" s="15" t="s">
        <v>43101</v>
      </c>
      <c r="C21897" s="19">
        <f>2000/(1+B2)</f>
        <v>2000</v>
      </c>
      <c r="D21897" s="17" t="s">
        <v>11</v>
      </c>
      <c r="E21897" s="17"/>
      <c r="F21897" s="18"/>
      <c r="G21897" s="36" t="str">
        <f>IF(ISNUMBER(F21897),C21897*F21897,"")</f>
        <v/>
      </c>
    </row>
    <row r="21898" spans="1:7" ht="12" customHeight="1" outlineLevel="2" x14ac:dyDescent="0.2">
      <c r="A21898" s="14" t="s">
        <v>43102</v>
      </c>
      <c r="B21898" s="15" t="s">
        <v>43103</v>
      </c>
      <c r="C21898" s="19">
        <f>2000/(1+B2)</f>
        <v>2000</v>
      </c>
      <c r="D21898" s="17"/>
      <c r="E21898" s="17" t="s">
        <v>11</v>
      </c>
      <c r="F21898" s="18"/>
      <c r="G21898" s="36" t="str">
        <f>IF(ISNUMBER(F21898),C21898*F21898,"")</f>
        <v/>
      </c>
    </row>
    <row r="21899" spans="1:7" s="1" customFormat="1" ht="15.95" customHeight="1" outlineLevel="1" x14ac:dyDescent="0.25">
      <c r="A21899" s="11"/>
      <c r="B21899" s="12" t="s">
        <v>43104</v>
      </c>
      <c r="C21899" s="13"/>
      <c r="D21899" s="13"/>
      <c r="E21899" s="13"/>
      <c r="F21899" s="13"/>
      <c r="G21899" s="35"/>
    </row>
    <row r="21900" spans="1:7" ht="12" customHeight="1" outlineLevel="2" x14ac:dyDescent="0.2">
      <c r="A21900" s="14" t="s">
        <v>43105</v>
      </c>
      <c r="B21900" s="15" t="s">
        <v>43106</v>
      </c>
      <c r="C21900" s="19">
        <f>1500.6/(1+B2)</f>
        <v>1500.6</v>
      </c>
      <c r="D21900" s="17"/>
      <c r="E21900" s="17" t="s">
        <v>11</v>
      </c>
      <c r="F21900" s="18"/>
      <c r="G21900" s="36" t="str">
        <f>IF(ISNUMBER(F21900),C21900*F21900,"")</f>
        <v/>
      </c>
    </row>
    <row r="21901" spans="1:7" ht="12" customHeight="1" outlineLevel="2" x14ac:dyDescent="0.2">
      <c r="A21901" s="14" t="s">
        <v>43107</v>
      </c>
      <c r="B21901" s="15" t="s">
        <v>43108</v>
      </c>
      <c r="C21901" s="19">
        <f>1900/(1+B2)</f>
        <v>1900</v>
      </c>
      <c r="D21901" s="17" t="s">
        <v>11</v>
      </c>
      <c r="E21901" s="17" t="s">
        <v>11</v>
      </c>
      <c r="F21901" s="18"/>
      <c r="G21901" s="36" t="str">
        <f>IF(ISNUMBER(F21901),C21901*F21901,"")</f>
        <v/>
      </c>
    </row>
    <row r="21902" spans="1:7" s="1" customFormat="1" ht="15.95" customHeight="1" outlineLevel="1" x14ac:dyDescent="0.25">
      <c r="A21902" s="11"/>
      <c r="B21902" s="12" t="s">
        <v>43109</v>
      </c>
      <c r="C21902" s="13"/>
      <c r="D21902" s="13"/>
      <c r="E21902" s="13"/>
      <c r="F21902" s="13"/>
      <c r="G21902" s="35"/>
    </row>
    <row r="21903" spans="1:7" ht="12" customHeight="1" outlineLevel="2" x14ac:dyDescent="0.2">
      <c r="A21903" s="14" t="s">
        <v>43110</v>
      </c>
      <c r="B21903" s="15" t="s">
        <v>43111</v>
      </c>
      <c r="C21903" s="16">
        <f>33.15/(1+B2)</f>
        <v>33.15</v>
      </c>
      <c r="D21903" s="17" t="s">
        <v>11</v>
      </c>
      <c r="E21903" s="17"/>
      <c r="F21903" s="18"/>
      <c r="G21903" s="36" t="str">
        <f>IF(ISNUMBER(F21903),C21903*F21903,"")</f>
        <v/>
      </c>
    </row>
    <row r="21904" spans="1:7" ht="12" customHeight="1" outlineLevel="2" x14ac:dyDescent="0.2">
      <c r="A21904" s="14" t="s">
        <v>43112</v>
      </c>
      <c r="B21904" s="15" t="s">
        <v>43113</v>
      </c>
      <c r="C21904" s="16">
        <f>36.01/(1+B2)</f>
        <v>36.01</v>
      </c>
      <c r="D21904" s="17" t="s">
        <v>11</v>
      </c>
      <c r="E21904" s="17" t="s">
        <v>11</v>
      </c>
      <c r="F21904" s="18"/>
      <c r="G21904" s="36" t="str">
        <f>IF(ISNUMBER(F21904),C21904*F21904,"")</f>
        <v/>
      </c>
    </row>
    <row r="21905" spans="1:7" ht="12" customHeight="1" outlineLevel="2" x14ac:dyDescent="0.2">
      <c r="A21905" s="14" t="s">
        <v>43114</v>
      </c>
      <c r="B21905" s="15" t="s">
        <v>43115</v>
      </c>
      <c r="C21905" s="16">
        <f>12/(1+B2)</f>
        <v>12</v>
      </c>
      <c r="D21905" s="17" t="s">
        <v>106</v>
      </c>
      <c r="E21905" s="17"/>
      <c r="F21905" s="18"/>
      <c r="G21905" s="36" t="str">
        <f>IF(ISNUMBER(F21905),C21905*F21905,"")</f>
        <v/>
      </c>
    </row>
    <row r="21906" spans="1:7" ht="12" customHeight="1" outlineLevel="2" x14ac:dyDescent="0.2">
      <c r="A21906" s="14" t="s">
        <v>43116</v>
      </c>
      <c r="B21906" s="15" t="s">
        <v>43117</v>
      </c>
      <c r="C21906" s="16">
        <f>12.9/(1+B2)</f>
        <v>12.9</v>
      </c>
      <c r="D21906" s="17" t="s">
        <v>14</v>
      </c>
      <c r="E21906" s="17" t="s">
        <v>53</v>
      </c>
      <c r="F21906" s="18"/>
      <c r="G21906" s="36" t="str">
        <f>IF(ISNUMBER(F21906),C21906*F21906,"")</f>
        <v/>
      </c>
    </row>
    <row r="21907" spans="1:7" ht="12" customHeight="1" outlineLevel="2" x14ac:dyDescent="0.2">
      <c r="A21907" s="14" t="s">
        <v>43118</v>
      </c>
      <c r="B21907" s="15" t="s">
        <v>43119</v>
      </c>
      <c r="C21907" s="16">
        <f>7.18/(1+B2)</f>
        <v>7.18</v>
      </c>
      <c r="D21907" s="17" t="s">
        <v>53</v>
      </c>
      <c r="E21907" s="17" t="s">
        <v>106</v>
      </c>
      <c r="F21907" s="18"/>
      <c r="G21907" s="36" t="str">
        <f>IF(ISNUMBER(F21907),C21907*F21907,"")</f>
        <v/>
      </c>
    </row>
    <row r="21908" spans="1:7" ht="12" customHeight="1" outlineLevel="2" x14ac:dyDescent="0.2">
      <c r="A21908" s="14" t="s">
        <v>43120</v>
      </c>
      <c r="B21908" s="15" t="s">
        <v>43121</v>
      </c>
      <c r="C21908" s="16">
        <f>30.89/(1+B2)</f>
        <v>30.89</v>
      </c>
      <c r="D21908" s="17" t="s">
        <v>53</v>
      </c>
      <c r="E21908" s="17" t="s">
        <v>106</v>
      </c>
      <c r="F21908" s="18"/>
      <c r="G21908" s="36" t="str">
        <f>IF(ISNUMBER(F21908),C21908*F21908,"")</f>
        <v/>
      </c>
    </row>
    <row r="21909" spans="1:7" ht="12" customHeight="1" outlineLevel="2" x14ac:dyDescent="0.2">
      <c r="A21909" s="14" t="s">
        <v>43122</v>
      </c>
      <c r="B21909" s="15" t="s">
        <v>43123</v>
      </c>
      <c r="C21909" s="16">
        <f>18.39/(1+B2)</f>
        <v>18.39</v>
      </c>
      <c r="D21909" s="17" t="s">
        <v>11</v>
      </c>
      <c r="E21909" s="17" t="s">
        <v>106</v>
      </c>
      <c r="F21909" s="18"/>
      <c r="G21909" s="36" t="str">
        <f>IF(ISNUMBER(F21909),C21909*F21909,"")</f>
        <v/>
      </c>
    </row>
    <row r="21910" spans="1:7" ht="12" customHeight="1" outlineLevel="2" x14ac:dyDescent="0.2">
      <c r="A21910" s="14" t="s">
        <v>43124</v>
      </c>
      <c r="B21910" s="15" t="s">
        <v>43125</v>
      </c>
      <c r="C21910" s="16">
        <f>26.73/(1+B2)</f>
        <v>26.73</v>
      </c>
      <c r="D21910" s="17" t="s">
        <v>11</v>
      </c>
      <c r="E21910" s="17" t="s">
        <v>11</v>
      </c>
      <c r="F21910" s="18"/>
      <c r="G21910" s="36" t="str">
        <f>IF(ISNUMBER(F21910),C21910*F21910,"")</f>
        <v/>
      </c>
    </row>
    <row r="21911" spans="1:7" ht="12" customHeight="1" outlineLevel="2" x14ac:dyDescent="0.2">
      <c r="A21911" s="14" t="s">
        <v>43126</v>
      </c>
      <c r="B21911" s="15" t="s">
        <v>43127</v>
      </c>
      <c r="C21911" s="16">
        <f>30.24/(1+B2)</f>
        <v>30.24</v>
      </c>
      <c r="D21911" s="17" t="s">
        <v>11</v>
      </c>
      <c r="E21911" s="17" t="s">
        <v>14</v>
      </c>
      <c r="F21911" s="18"/>
      <c r="G21911" s="36" t="str">
        <f>IF(ISNUMBER(F21911),C21911*F21911,"")</f>
        <v/>
      </c>
    </row>
    <row r="21912" spans="1:7" ht="12" customHeight="1" outlineLevel="2" x14ac:dyDescent="0.2">
      <c r="A21912" s="14" t="s">
        <v>43128</v>
      </c>
      <c r="B21912" s="15" t="s">
        <v>43129</v>
      </c>
      <c r="C21912" s="16">
        <f>68.46/(1+B2)</f>
        <v>68.459999999999994</v>
      </c>
      <c r="D21912" s="17" t="s">
        <v>11</v>
      </c>
      <c r="E21912" s="17"/>
      <c r="F21912" s="18"/>
      <c r="G21912" s="36" t="str">
        <f>IF(ISNUMBER(F21912),C21912*F21912,"")</f>
        <v/>
      </c>
    </row>
    <row r="21913" spans="1:7" ht="12" customHeight="1" outlineLevel="2" x14ac:dyDescent="0.2">
      <c r="A21913" s="14" t="s">
        <v>43130</v>
      </c>
      <c r="B21913" s="15" t="s">
        <v>43131</v>
      </c>
      <c r="C21913" s="16">
        <f>66.53/(1+B2)</f>
        <v>66.53</v>
      </c>
      <c r="D21913" s="17" t="s">
        <v>11</v>
      </c>
      <c r="E21913" s="17" t="s">
        <v>53</v>
      </c>
      <c r="F21913" s="18"/>
      <c r="G21913" s="36" t="str">
        <f>IF(ISNUMBER(F21913),C21913*F21913,"")</f>
        <v/>
      </c>
    </row>
    <row r="21914" spans="1:7" ht="12" customHeight="1" outlineLevel="2" x14ac:dyDescent="0.2">
      <c r="A21914" s="14" t="s">
        <v>43132</v>
      </c>
      <c r="B21914" s="15" t="s">
        <v>43133</v>
      </c>
      <c r="C21914" s="16">
        <f>72.58/(1+B2)</f>
        <v>72.58</v>
      </c>
      <c r="D21914" s="17" t="s">
        <v>11</v>
      </c>
      <c r="E21914" s="17"/>
      <c r="F21914" s="18"/>
      <c r="G21914" s="36" t="str">
        <f>IF(ISNUMBER(F21914),C21914*F21914,"")</f>
        <v/>
      </c>
    </row>
    <row r="21915" spans="1:7" ht="12" customHeight="1" outlineLevel="2" x14ac:dyDescent="0.2">
      <c r="A21915" s="14" t="s">
        <v>43134</v>
      </c>
      <c r="B21915" s="15" t="s">
        <v>43135</v>
      </c>
      <c r="C21915" s="16">
        <f>30.91/(1+B2)</f>
        <v>30.91</v>
      </c>
      <c r="D21915" s="17" t="s">
        <v>11</v>
      </c>
      <c r="E21915" s="17" t="s">
        <v>11</v>
      </c>
      <c r="F21915" s="18"/>
      <c r="G21915" s="36" t="str">
        <f>IF(ISNUMBER(F21915),C21915*F21915,"")</f>
        <v/>
      </c>
    </row>
    <row r="21916" spans="1:7" ht="12" customHeight="1" outlineLevel="2" x14ac:dyDescent="0.2">
      <c r="A21916" s="14" t="s">
        <v>43136</v>
      </c>
      <c r="B21916" s="15" t="s">
        <v>43137</v>
      </c>
      <c r="C21916" s="16">
        <f>31.24/(1+B2)</f>
        <v>31.24</v>
      </c>
      <c r="D21916" s="17" t="s">
        <v>11</v>
      </c>
      <c r="E21916" s="17" t="s">
        <v>11</v>
      </c>
      <c r="F21916" s="18"/>
      <c r="G21916" s="36" t="str">
        <f>IF(ISNUMBER(F21916),C21916*F21916,"")</f>
        <v/>
      </c>
    </row>
    <row r="21917" spans="1:7" ht="12" customHeight="1" outlineLevel="2" x14ac:dyDescent="0.2">
      <c r="A21917" s="14" t="s">
        <v>43138</v>
      </c>
      <c r="B21917" s="15" t="s">
        <v>43139</v>
      </c>
      <c r="C21917" s="16">
        <f>30.24/(1+B2)</f>
        <v>30.24</v>
      </c>
      <c r="D21917" s="17" t="s">
        <v>11</v>
      </c>
      <c r="E21917" s="17"/>
      <c r="F21917" s="18"/>
      <c r="G21917" s="36" t="str">
        <f>IF(ISNUMBER(F21917),C21917*F21917,"")</f>
        <v/>
      </c>
    </row>
    <row r="21918" spans="1:7" ht="12" customHeight="1" outlineLevel="2" x14ac:dyDescent="0.2">
      <c r="A21918" s="14" t="s">
        <v>43140</v>
      </c>
      <c r="B21918" s="15" t="s">
        <v>43141</v>
      </c>
      <c r="C21918" s="16">
        <f>30.24/(1+B2)</f>
        <v>30.24</v>
      </c>
      <c r="D21918" s="17" t="s">
        <v>11</v>
      </c>
      <c r="E21918" s="17"/>
      <c r="F21918" s="18"/>
      <c r="G21918" s="36" t="str">
        <f>IF(ISNUMBER(F21918),C21918*F21918,"")</f>
        <v/>
      </c>
    </row>
    <row r="21919" spans="1:7" s="1" customFormat="1" ht="15.95" customHeight="1" outlineLevel="1" x14ac:dyDescent="0.25">
      <c r="A21919" s="11"/>
      <c r="B21919" s="12" t="s">
        <v>43142</v>
      </c>
      <c r="C21919" s="13"/>
      <c r="D21919" s="13"/>
      <c r="E21919" s="13"/>
      <c r="F21919" s="13"/>
      <c r="G21919" s="35"/>
    </row>
    <row r="21920" spans="1:7" ht="12" customHeight="1" outlineLevel="2" x14ac:dyDescent="0.2">
      <c r="A21920" s="14" t="s">
        <v>43143</v>
      </c>
      <c r="B21920" s="15" t="s">
        <v>43144</v>
      </c>
      <c r="C21920" s="16">
        <f>376.46/(1+B2)</f>
        <v>376.46</v>
      </c>
      <c r="D21920" s="17" t="s">
        <v>11</v>
      </c>
      <c r="E21920" s="17"/>
      <c r="F21920" s="18"/>
      <c r="G21920" s="36" t="str">
        <f>IF(ISNUMBER(F21920),C21920*F21920,"")</f>
        <v/>
      </c>
    </row>
    <row r="21921" spans="1:7" ht="12" customHeight="1" outlineLevel="2" x14ac:dyDescent="0.2">
      <c r="A21921" s="14" t="s">
        <v>43145</v>
      </c>
      <c r="B21921" s="15" t="s">
        <v>43146</v>
      </c>
      <c r="C21921" s="16">
        <f>71.13/(1+B2)</f>
        <v>71.13</v>
      </c>
      <c r="D21921" s="17" t="s">
        <v>11</v>
      </c>
      <c r="E21921" s="17"/>
      <c r="F21921" s="18"/>
      <c r="G21921" s="36" t="str">
        <f>IF(ISNUMBER(F21921),C21921*F21921,"")</f>
        <v/>
      </c>
    </row>
    <row r="21922" spans="1:7" ht="12" customHeight="1" outlineLevel="2" x14ac:dyDescent="0.2">
      <c r="A21922" s="14" t="s">
        <v>43147</v>
      </c>
      <c r="B21922" s="15" t="s">
        <v>43148</v>
      </c>
      <c r="C21922" s="16">
        <f>177.09/(1+B2)</f>
        <v>177.09</v>
      </c>
      <c r="D21922" s="17" t="s">
        <v>11</v>
      </c>
      <c r="E21922" s="17"/>
      <c r="F21922" s="18"/>
      <c r="G21922" s="36" t="str">
        <f>IF(ISNUMBER(F21922),C21922*F21922,"")</f>
        <v/>
      </c>
    </row>
    <row r="21923" spans="1:7" ht="12" customHeight="1" outlineLevel="2" x14ac:dyDescent="0.2">
      <c r="A21923" s="14" t="s">
        <v>43149</v>
      </c>
      <c r="B21923" s="15" t="s">
        <v>43150</v>
      </c>
      <c r="C21923" s="16">
        <f>130.78/(1+B2)</f>
        <v>130.78</v>
      </c>
      <c r="D21923" s="17" t="s">
        <v>11</v>
      </c>
      <c r="E21923" s="17" t="s">
        <v>11</v>
      </c>
      <c r="F21923" s="18"/>
      <c r="G21923" s="36" t="str">
        <f>IF(ISNUMBER(F21923),C21923*F21923,"")</f>
        <v/>
      </c>
    </row>
    <row r="21924" spans="1:7" ht="12" customHeight="1" outlineLevel="2" x14ac:dyDescent="0.2">
      <c r="A21924" s="14" t="s">
        <v>43151</v>
      </c>
      <c r="B21924" s="15" t="s">
        <v>43152</v>
      </c>
      <c r="C21924" s="16">
        <f>186.59/(1+B2)</f>
        <v>186.59</v>
      </c>
      <c r="D21924" s="17" t="s">
        <v>11</v>
      </c>
      <c r="E21924" s="17"/>
      <c r="F21924" s="18"/>
      <c r="G21924" s="36" t="str">
        <f>IF(ISNUMBER(F21924),C21924*F21924,"")</f>
        <v/>
      </c>
    </row>
    <row r="21925" spans="1:7" ht="12" customHeight="1" outlineLevel="2" x14ac:dyDescent="0.2">
      <c r="A21925" s="14" t="s">
        <v>43153</v>
      </c>
      <c r="B21925" s="15" t="s">
        <v>43154</v>
      </c>
      <c r="C21925" s="16">
        <f>130.78/(1+B2)</f>
        <v>130.78</v>
      </c>
      <c r="D21925" s="17" t="s">
        <v>11</v>
      </c>
      <c r="E21925" s="17" t="s">
        <v>11</v>
      </c>
      <c r="F21925" s="18"/>
      <c r="G21925" s="36" t="str">
        <f>IF(ISNUMBER(F21925),C21925*F21925,"")</f>
        <v/>
      </c>
    </row>
    <row r="21926" spans="1:7" ht="12" customHeight="1" outlineLevel="2" x14ac:dyDescent="0.2">
      <c r="A21926" s="14" t="s">
        <v>43155</v>
      </c>
      <c r="B21926" s="15" t="s">
        <v>43156</v>
      </c>
      <c r="C21926" s="16">
        <f>20.92/(1+B2)</f>
        <v>20.92</v>
      </c>
      <c r="D21926" s="17" t="s">
        <v>14</v>
      </c>
      <c r="E21926" s="17" t="s">
        <v>106</v>
      </c>
      <c r="F21926" s="18"/>
      <c r="G21926" s="36" t="str">
        <f>IF(ISNUMBER(F21926),C21926*F21926,"")</f>
        <v/>
      </c>
    </row>
    <row r="21927" spans="1:7" ht="12" customHeight="1" outlineLevel="2" x14ac:dyDescent="0.2">
      <c r="A21927" s="14" t="s">
        <v>43157</v>
      </c>
      <c r="B21927" s="15" t="s">
        <v>43158</v>
      </c>
      <c r="C21927" s="16">
        <f>106.88/(1+B2)</f>
        <v>106.88</v>
      </c>
      <c r="D21927" s="17" t="s">
        <v>11</v>
      </c>
      <c r="E21927" s="17"/>
      <c r="F21927" s="18"/>
      <c r="G21927" s="36" t="str">
        <f>IF(ISNUMBER(F21927),C21927*F21927,"")</f>
        <v/>
      </c>
    </row>
    <row r="21928" spans="1:7" ht="12" customHeight="1" outlineLevel="2" x14ac:dyDescent="0.2">
      <c r="A21928" s="14" t="s">
        <v>43159</v>
      </c>
      <c r="B21928" s="15" t="s">
        <v>43160</v>
      </c>
      <c r="C21928" s="16">
        <f>312.5/(1+B2)</f>
        <v>312.5</v>
      </c>
      <c r="D21928" s="17" t="s">
        <v>11</v>
      </c>
      <c r="E21928" s="17"/>
      <c r="F21928" s="18"/>
      <c r="G21928" s="36" t="str">
        <f>IF(ISNUMBER(F21928),C21928*F21928,"")</f>
        <v/>
      </c>
    </row>
    <row r="21929" spans="1:7" ht="24" customHeight="1" outlineLevel="2" x14ac:dyDescent="0.2">
      <c r="A21929" s="14" t="s">
        <v>43161</v>
      </c>
      <c r="B21929" s="15" t="s">
        <v>43162</v>
      </c>
      <c r="C21929" s="16">
        <f>312.5/(1+B2)</f>
        <v>312.5</v>
      </c>
      <c r="D21929" s="17" t="s">
        <v>11</v>
      </c>
      <c r="E21929" s="17" t="s">
        <v>11</v>
      </c>
      <c r="F21929" s="18"/>
      <c r="G21929" s="36" t="str">
        <f>IF(ISNUMBER(F21929),C21929*F21929,"")</f>
        <v/>
      </c>
    </row>
    <row r="21930" spans="1:7" ht="12" customHeight="1" outlineLevel="2" x14ac:dyDescent="0.2">
      <c r="A21930" s="14" t="s">
        <v>43163</v>
      </c>
      <c r="B21930" s="15" t="s">
        <v>43164</v>
      </c>
      <c r="C21930" s="16">
        <f>171.45/(1+B2)</f>
        <v>171.45</v>
      </c>
      <c r="D21930" s="17" t="s">
        <v>11</v>
      </c>
      <c r="E21930" s="17" t="s">
        <v>11</v>
      </c>
      <c r="F21930" s="18"/>
      <c r="G21930" s="36" t="str">
        <f>IF(ISNUMBER(F21930),C21930*F21930,"")</f>
        <v/>
      </c>
    </row>
    <row r="21931" spans="1:7" ht="12" customHeight="1" outlineLevel="2" x14ac:dyDescent="0.2">
      <c r="A21931" s="14" t="s">
        <v>43165</v>
      </c>
      <c r="B21931" s="15" t="s">
        <v>43166</v>
      </c>
      <c r="C21931" s="16">
        <f>91.35/(1+B2)</f>
        <v>91.35</v>
      </c>
      <c r="D21931" s="17" t="s">
        <v>11</v>
      </c>
      <c r="E21931" s="17" t="s">
        <v>11</v>
      </c>
      <c r="F21931" s="18"/>
      <c r="G21931" s="36" t="str">
        <f>IF(ISNUMBER(F21931),C21931*F21931,"")</f>
        <v/>
      </c>
    </row>
    <row r="21932" spans="1:7" ht="12" customHeight="1" outlineLevel="2" x14ac:dyDescent="0.2">
      <c r="A21932" s="14" t="s">
        <v>43167</v>
      </c>
      <c r="B21932" s="15" t="s">
        <v>43168</v>
      </c>
      <c r="C21932" s="16">
        <f>308.07/(1+B2)</f>
        <v>308.07</v>
      </c>
      <c r="D21932" s="17" t="s">
        <v>11</v>
      </c>
      <c r="E21932" s="17"/>
      <c r="F21932" s="18"/>
      <c r="G21932" s="36" t="str">
        <f>IF(ISNUMBER(F21932),C21932*F21932,"")</f>
        <v/>
      </c>
    </row>
    <row r="21933" spans="1:7" ht="12" customHeight="1" outlineLevel="2" x14ac:dyDescent="0.2">
      <c r="A21933" s="14" t="s">
        <v>43169</v>
      </c>
      <c r="B21933" s="15" t="s">
        <v>43170</v>
      </c>
      <c r="C21933" s="16">
        <f>254.82/(1+B2)</f>
        <v>254.82</v>
      </c>
      <c r="D21933" s="17" t="s">
        <v>11</v>
      </c>
      <c r="E21933" s="17"/>
      <c r="F21933" s="18"/>
      <c r="G21933" s="36" t="str">
        <f>IF(ISNUMBER(F21933),C21933*F21933,"")</f>
        <v/>
      </c>
    </row>
    <row r="21934" spans="1:7" ht="12" customHeight="1" outlineLevel="2" x14ac:dyDescent="0.2">
      <c r="A21934" s="14" t="s">
        <v>43171</v>
      </c>
      <c r="B21934" s="15" t="s">
        <v>43172</v>
      </c>
      <c r="C21934" s="16">
        <f>375/(1+B2)</f>
        <v>375</v>
      </c>
      <c r="D21934" s="17" t="s">
        <v>11</v>
      </c>
      <c r="E21934" s="17" t="s">
        <v>11</v>
      </c>
      <c r="F21934" s="18"/>
      <c r="G21934" s="36" t="str">
        <f>IF(ISNUMBER(F21934),C21934*F21934,"")</f>
        <v/>
      </c>
    </row>
    <row r="21935" spans="1:7" ht="12" customHeight="1" outlineLevel="2" x14ac:dyDescent="0.2">
      <c r="A21935" s="14" t="s">
        <v>43173</v>
      </c>
      <c r="B21935" s="15" t="s">
        <v>43174</v>
      </c>
      <c r="C21935" s="16">
        <f>381.58/(1+B2)</f>
        <v>381.58</v>
      </c>
      <c r="D21935" s="17" t="s">
        <v>11</v>
      </c>
      <c r="E21935" s="17"/>
      <c r="F21935" s="18"/>
      <c r="G21935" s="36" t="str">
        <f>IF(ISNUMBER(F21935),C21935*F21935,"")</f>
        <v/>
      </c>
    </row>
    <row r="21936" spans="1:7" ht="12" customHeight="1" outlineLevel="2" x14ac:dyDescent="0.2">
      <c r="A21936" s="14" t="s">
        <v>43175</v>
      </c>
      <c r="B21936" s="15" t="s">
        <v>43176</v>
      </c>
      <c r="C21936" s="16">
        <f>395.04/(1+B2)</f>
        <v>395.04</v>
      </c>
      <c r="D21936" s="17" t="s">
        <v>11</v>
      </c>
      <c r="E21936" s="17"/>
      <c r="F21936" s="18"/>
      <c r="G21936" s="36" t="str">
        <f>IF(ISNUMBER(F21936),C21936*F21936,"")</f>
        <v/>
      </c>
    </row>
    <row r="21937" spans="1:7" ht="12" customHeight="1" outlineLevel="2" x14ac:dyDescent="0.2">
      <c r="A21937" s="14" t="s">
        <v>43177</v>
      </c>
      <c r="B21937" s="15" t="s">
        <v>43178</v>
      </c>
      <c r="C21937" s="16">
        <f>307.74/(1+B2)</f>
        <v>307.74</v>
      </c>
      <c r="D21937" s="17" t="s">
        <v>11</v>
      </c>
      <c r="E21937" s="17"/>
      <c r="F21937" s="18"/>
      <c r="G21937" s="36" t="str">
        <f>IF(ISNUMBER(F21937),C21937*F21937,"")</f>
        <v/>
      </c>
    </row>
    <row r="21938" spans="1:7" ht="12" customHeight="1" outlineLevel="2" x14ac:dyDescent="0.2">
      <c r="A21938" s="14" t="s">
        <v>43179</v>
      </c>
      <c r="B21938" s="15" t="s">
        <v>43180</v>
      </c>
      <c r="C21938" s="16">
        <f>233.35/(1+B2)</f>
        <v>233.35</v>
      </c>
      <c r="D21938" s="17" t="s">
        <v>11</v>
      </c>
      <c r="E21938" s="17" t="s">
        <v>14</v>
      </c>
      <c r="F21938" s="18"/>
      <c r="G21938" s="36" t="str">
        <f>IF(ISNUMBER(F21938),C21938*F21938,"")</f>
        <v/>
      </c>
    </row>
    <row r="21939" spans="1:7" ht="12" customHeight="1" outlineLevel="2" x14ac:dyDescent="0.2">
      <c r="A21939" s="14" t="s">
        <v>43181</v>
      </c>
      <c r="B21939" s="15" t="s">
        <v>43182</v>
      </c>
      <c r="C21939" s="16">
        <f>447.85/(1+B2)</f>
        <v>447.85</v>
      </c>
      <c r="D21939" s="17" t="s">
        <v>11</v>
      </c>
      <c r="E21939" s="17"/>
      <c r="F21939" s="18"/>
      <c r="G21939" s="36" t="str">
        <f>IF(ISNUMBER(F21939),C21939*F21939,"")</f>
        <v/>
      </c>
    </row>
    <row r="21940" spans="1:7" ht="12" customHeight="1" outlineLevel="2" x14ac:dyDescent="0.2">
      <c r="A21940" s="14" t="s">
        <v>43183</v>
      </c>
      <c r="B21940" s="15" t="s">
        <v>43184</v>
      </c>
      <c r="C21940" s="16">
        <f>562.5/(1+B2)</f>
        <v>562.5</v>
      </c>
      <c r="D21940" s="17" t="s">
        <v>11</v>
      </c>
      <c r="E21940" s="17" t="s">
        <v>53</v>
      </c>
      <c r="F21940" s="18"/>
      <c r="G21940" s="36" t="str">
        <f>IF(ISNUMBER(F21940),C21940*F21940,"")</f>
        <v/>
      </c>
    </row>
    <row r="21941" spans="1:7" ht="12" customHeight="1" outlineLevel="2" x14ac:dyDescent="0.2">
      <c r="A21941" s="14" t="s">
        <v>43185</v>
      </c>
      <c r="B21941" s="15" t="s">
        <v>43186</v>
      </c>
      <c r="C21941" s="16">
        <f>173.82/(1+B2)</f>
        <v>173.82</v>
      </c>
      <c r="D21941" s="17" t="s">
        <v>11</v>
      </c>
      <c r="E21941" s="17"/>
      <c r="F21941" s="18"/>
      <c r="G21941" s="36" t="str">
        <f>IF(ISNUMBER(F21941),C21941*F21941,"")</f>
        <v/>
      </c>
    </row>
    <row r="21942" spans="1:7" ht="12" customHeight="1" outlineLevel="2" x14ac:dyDescent="0.2">
      <c r="A21942" s="14" t="s">
        <v>43187</v>
      </c>
      <c r="B21942" s="15" t="s">
        <v>43188</v>
      </c>
      <c r="C21942" s="16">
        <f>376.85/(1+B2)</f>
        <v>376.85</v>
      </c>
      <c r="D21942" s="17" t="s">
        <v>11</v>
      </c>
      <c r="E21942" s="17" t="s">
        <v>11</v>
      </c>
      <c r="F21942" s="18"/>
      <c r="G21942" s="36" t="str">
        <f>IF(ISNUMBER(F21942),C21942*F21942,"")</f>
        <v/>
      </c>
    </row>
    <row r="21943" spans="1:7" ht="12" customHeight="1" outlineLevel="2" x14ac:dyDescent="0.2">
      <c r="A21943" s="14" t="s">
        <v>43189</v>
      </c>
      <c r="B21943" s="15" t="s">
        <v>43190</v>
      </c>
      <c r="C21943" s="16">
        <f>587.5/(1+B2)</f>
        <v>587.5</v>
      </c>
      <c r="D21943" s="17" t="s">
        <v>11</v>
      </c>
      <c r="E21943" s="17" t="s">
        <v>11</v>
      </c>
      <c r="F21943" s="18"/>
      <c r="G21943" s="36" t="str">
        <f>IF(ISNUMBER(F21943),C21943*F21943,"")</f>
        <v/>
      </c>
    </row>
    <row r="21944" spans="1:7" s="1" customFormat="1" ht="15.95" customHeight="1" outlineLevel="1" x14ac:dyDescent="0.25">
      <c r="A21944" s="11"/>
      <c r="B21944" s="12" t="s">
        <v>43191</v>
      </c>
      <c r="C21944" s="13"/>
      <c r="D21944" s="13"/>
      <c r="E21944" s="13"/>
      <c r="F21944" s="13"/>
      <c r="G21944" s="35"/>
    </row>
    <row r="21945" spans="1:7" ht="12" customHeight="1" outlineLevel="2" x14ac:dyDescent="0.2">
      <c r="A21945" s="14" t="s">
        <v>43192</v>
      </c>
      <c r="B21945" s="15" t="s">
        <v>43193</v>
      </c>
      <c r="C21945" s="16">
        <f>487.98/(1+B2)</f>
        <v>487.98</v>
      </c>
      <c r="D21945" s="17" t="s">
        <v>11</v>
      </c>
      <c r="E21945" s="17" t="s">
        <v>53</v>
      </c>
      <c r="F21945" s="18"/>
      <c r="G21945" s="36" t="str">
        <f>IF(ISNUMBER(F21945),C21945*F21945,"")</f>
        <v/>
      </c>
    </row>
    <row r="21946" spans="1:7" ht="12" customHeight="1" outlineLevel="2" x14ac:dyDescent="0.2">
      <c r="A21946" s="14" t="s">
        <v>43194</v>
      </c>
      <c r="B21946" s="15" t="s">
        <v>43195</v>
      </c>
      <c r="C21946" s="16">
        <f>525.58/(1+B2)</f>
        <v>525.58000000000004</v>
      </c>
      <c r="D21946" s="17" t="s">
        <v>14</v>
      </c>
      <c r="E21946" s="17" t="s">
        <v>11</v>
      </c>
      <c r="F21946" s="18"/>
      <c r="G21946" s="36" t="str">
        <f>IF(ISNUMBER(F21946),C21946*F21946,"")</f>
        <v/>
      </c>
    </row>
    <row r="21947" spans="1:7" ht="12" customHeight="1" outlineLevel="2" x14ac:dyDescent="0.2">
      <c r="A21947" s="14" t="s">
        <v>43196</v>
      </c>
      <c r="B21947" s="15" t="s">
        <v>43197</v>
      </c>
      <c r="C21947" s="16">
        <f>487.98/(1+B2)</f>
        <v>487.98</v>
      </c>
      <c r="D21947" s="17" t="s">
        <v>11</v>
      </c>
      <c r="E21947" s="17" t="s">
        <v>53</v>
      </c>
      <c r="F21947" s="18"/>
      <c r="G21947" s="36" t="str">
        <f>IF(ISNUMBER(F21947),C21947*F21947,"")</f>
        <v/>
      </c>
    </row>
    <row r="21948" spans="1:7" ht="12" customHeight="1" outlineLevel="2" x14ac:dyDescent="0.2">
      <c r="A21948" s="14" t="s">
        <v>43198</v>
      </c>
      <c r="B21948" s="15" t="s">
        <v>43199</v>
      </c>
      <c r="C21948" s="16">
        <f>525.58/(1+B2)</f>
        <v>525.58000000000004</v>
      </c>
      <c r="D21948" s="17" t="s">
        <v>11</v>
      </c>
      <c r="E21948" s="17" t="s">
        <v>53</v>
      </c>
      <c r="F21948" s="18"/>
      <c r="G21948" s="36" t="str">
        <f>IF(ISNUMBER(F21948),C21948*F21948,"")</f>
        <v/>
      </c>
    </row>
    <row r="21949" spans="1:7" ht="24" customHeight="1" outlineLevel="2" x14ac:dyDescent="0.2">
      <c r="A21949" s="14" t="s">
        <v>43200</v>
      </c>
      <c r="B21949" s="15" t="s">
        <v>43201</v>
      </c>
      <c r="C21949" s="16">
        <f>362.65/(1+B2)</f>
        <v>362.65</v>
      </c>
      <c r="D21949" s="17" t="s">
        <v>11</v>
      </c>
      <c r="E21949" s="17" t="s">
        <v>106</v>
      </c>
      <c r="F21949" s="18"/>
      <c r="G21949" s="36" t="str">
        <f>IF(ISNUMBER(F21949),C21949*F21949,"")</f>
        <v/>
      </c>
    </row>
    <row r="21950" spans="1:7" ht="24" customHeight="1" outlineLevel="2" x14ac:dyDescent="0.2">
      <c r="A21950" s="14" t="s">
        <v>43202</v>
      </c>
      <c r="B21950" s="15" t="s">
        <v>43203</v>
      </c>
      <c r="C21950" s="16">
        <f>398.88/(1+B2)</f>
        <v>398.88</v>
      </c>
      <c r="D21950" s="17" t="s">
        <v>11</v>
      </c>
      <c r="E21950" s="17" t="s">
        <v>53</v>
      </c>
      <c r="F21950" s="18"/>
      <c r="G21950" s="36" t="str">
        <f>IF(ISNUMBER(F21950),C21950*F21950,"")</f>
        <v/>
      </c>
    </row>
    <row r="21951" spans="1:7" ht="24" customHeight="1" outlineLevel="2" x14ac:dyDescent="0.2">
      <c r="A21951" s="14" t="s">
        <v>43204</v>
      </c>
      <c r="B21951" s="15" t="s">
        <v>43205</v>
      </c>
      <c r="C21951" s="16">
        <f>362.65/(1+B2)</f>
        <v>362.65</v>
      </c>
      <c r="D21951" s="17" t="s">
        <v>11</v>
      </c>
      <c r="E21951" s="17" t="s">
        <v>106</v>
      </c>
      <c r="F21951" s="18"/>
      <c r="G21951" s="36" t="str">
        <f>IF(ISNUMBER(F21951),C21951*F21951,"")</f>
        <v/>
      </c>
    </row>
    <row r="21952" spans="1:7" ht="24" customHeight="1" outlineLevel="2" x14ac:dyDescent="0.2">
      <c r="A21952" s="14" t="s">
        <v>43206</v>
      </c>
      <c r="B21952" s="15" t="s">
        <v>43207</v>
      </c>
      <c r="C21952" s="16">
        <f>398.88/(1+B2)</f>
        <v>398.88</v>
      </c>
      <c r="D21952" s="17" t="s">
        <v>11</v>
      </c>
      <c r="E21952" s="17" t="s">
        <v>106</v>
      </c>
      <c r="F21952" s="18"/>
      <c r="G21952" s="36" t="str">
        <f>IF(ISNUMBER(F21952),C21952*F21952,"")</f>
        <v/>
      </c>
    </row>
    <row r="21953" spans="1:7" ht="24" customHeight="1" outlineLevel="2" x14ac:dyDescent="0.2">
      <c r="A21953" s="14" t="s">
        <v>43208</v>
      </c>
      <c r="B21953" s="15" t="s">
        <v>43209</v>
      </c>
      <c r="C21953" s="16">
        <f>407.92/(1+B2)</f>
        <v>407.92</v>
      </c>
      <c r="D21953" s="17" t="s">
        <v>11</v>
      </c>
      <c r="E21953" s="17" t="s">
        <v>106</v>
      </c>
      <c r="F21953" s="18"/>
      <c r="G21953" s="36" t="str">
        <f>IF(ISNUMBER(F21953),C21953*F21953,"")</f>
        <v/>
      </c>
    </row>
    <row r="21954" spans="1:7" ht="24" customHeight="1" outlineLevel="2" x14ac:dyDescent="0.2">
      <c r="A21954" s="14" t="s">
        <v>43210</v>
      </c>
      <c r="B21954" s="15" t="s">
        <v>43211</v>
      </c>
      <c r="C21954" s="16">
        <f>438.18/(1+B2)</f>
        <v>438.18</v>
      </c>
      <c r="D21954" s="17" t="s">
        <v>11</v>
      </c>
      <c r="E21954" s="17" t="s">
        <v>106</v>
      </c>
      <c r="F21954" s="18"/>
      <c r="G21954" s="36" t="str">
        <f>IF(ISNUMBER(F21954),C21954*F21954,"")</f>
        <v/>
      </c>
    </row>
    <row r="21955" spans="1:7" ht="24" customHeight="1" outlineLevel="2" x14ac:dyDescent="0.2">
      <c r="A21955" s="14" t="s">
        <v>43212</v>
      </c>
      <c r="B21955" s="15" t="s">
        <v>43213</v>
      </c>
      <c r="C21955" s="16">
        <f>407.92/(1+B2)</f>
        <v>407.92</v>
      </c>
      <c r="D21955" s="17" t="s">
        <v>11</v>
      </c>
      <c r="E21955" s="17" t="s">
        <v>106</v>
      </c>
      <c r="F21955" s="18"/>
      <c r="G21955" s="36" t="str">
        <f>IF(ISNUMBER(F21955),C21955*F21955,"")</f>
        <v/>
      </c>
    </row>
    <row r="21956" spans="1:7" ht="12" customHeight="1" outlineLevel="2" x14ac:dyDescent="0.2">
      <c r="A21956" s="14" t="s">
        <v>43214</v>
      </c>
      <c r="B21956" s="15" t="s">
        <v>43215</v>
      </c>
      <c r="C21956" s="16">
        <f>438.18/(1+B2)</f>
        <v>438.18</v>
      </c>
      <c r="D21956" s="17" t="s">
        <v>11</v>
      </c>
      <c r="E21956" s="17" t="s">
        <v>106</v>
      </c>
      <c r="F21956" s="18"/>
      <c r="G21956" s="36" t="str">
        <f>IF(ISNUMBER(F21956),C21956*F21956,"")</f>
        <v/>
      </c>
    </row>
    <row r="21957" spans="1:7" ht="12" customHeight="1" outlineLevel="2" x14ac:dyDescent="0.2">
      <c r="A21957" s="14" t="s">
        <v>43216</v>
      </c>
      <c r="B21957" s="15" t="s">
        <v>43217</v>
      </c>
      <c r="C21957" s="16">
        <f>715.7/(1+B2)</f>
        <v>715.7</v>
      </c>
      <c r="D21957" s="17" t="s">
        <v>11</v>
      </c>
      <c r="E21957" s="17" t="s">
        <v>53</v>
      </c>
      <c r="F21957" s="18"/>
      <c r="G21957" s="36" t="str">
        <f>IF(ISNUMBER(F21957),C21957*F21957,"")</f>
        <v/>
      </c>
    </row>
    <row r="21958" spans="1:7" ht="24" customHeight="1" outlineLevel="2" x14ac:dyDescent="0.2">
      <c r="A21958" s="14" t="s">
        <v>43218</v>
      </c>
      <c r="B21958" s="15" t="s">
        <v>43219</v>
      </c>
      <c r="C21958" s="16">
        <f>866.51/(1+B2)</f>
        <v>866.51</v>
      </c>
      <c r="D21958" s="17" t="s">
        <v>11</v>
      </c>
      <c r="E21958" s="17" t="s">
        <v>11</v>
      </c>
      <c r="F21958" s="18"/>
      <c r="G21958" s="36" t="str">
        <f>IF(ISNUMBER(F21958),C21958*F21958,"")</f>
        <v/>
      </c>
    </row>
    <row r="21959" spans="1:7" ht="12" customHeight="1" outlineLevel="2" x14ac:dyDescent="0.2">
      <c r="A21959" s="14" t="s">
        <v>43220</v>
      </c>
      <c r="B21959" s="15" t="s">
        <v>43221</v>
      </c>
      <c r="C21959" s="19">
        <f>1374.67/(1+B2)</f>
        <v>1374.67</v>
      </c>
      <c r="D21959" s="17" t="s">
        <v>11</v>
      </c>
      <c r="E21959" s="17" t="s">
        <v>14</v>
      </c>
      <c r="F21959" s="18"/>
      <c r="G21959" s="36" t="str">
        <f>IF(ISNUMBER(F21959),C21959*F21959,"")</f>
        <v/>
      </c>
    </row>
    <row r="21960" spans="1:7" ht="12" customHeight="1" outlineLevel="2" x14ac:dyDescent="0.2">
      <c r="A21960" s="14" t="s">
        <v>43222</v>
      </c>
      <c r="B21960" s="15" t="s">
        <v>43223</v>
      </c>
      <c r="C21960" s="16">
        <f>866.51/(1+B2)</f>
        <v>866.51</v>
      </c>
      <c r="D21960" s="17" t="s">
        <v>11</v>
      </c>
      <c r="E21960" s="17"/>
      <c r="F21960" s="18"/>
      <c r="G21960" s="36" t="str">
        <f>IF(ISNUMBER(F21960),C21960*F21960,"")</f>
        <v/>
      </c>
    </row>
    <row r="21961" spans="1:7" ht="24" customHeight="1" outlineLevel="2" x14ac:dyDescent="0.2">
      <c r="A21961" s="14" t="s">
        <v>43224</v>
      </c>
      <c r="B21961" s="15" t="s">
        <v>43225</v>
      </c>
      <c r="C21961" s="16">
        <f>715.7/(1+B2)</f>
        <v>715.7</v>
      </c>
      <c r="D21961" s="17" t="s">
        <v>11</v>
      </c>
      <c r="E21961" s="17" t="s">
        <v>53</v>
      </c>
      <c r="F21961" s="18"/>
      <c r="G21961" s="36" t="str">
        <f>IF(ISNUMBER(F21961),C21961*F21961,"")</f>
        <v/>
      </c>
    </row>
    <row r="21962" spans="1:7" ht="24" customHeight="1" outlineLevel="2" x14ac:dyDescent="0.2">
      <c r="A21962" s="14" t="s">
        <v>43226</v>
      </c>
      <c r="B21962" s="15" t="s">
        <v>43227</v>
      </c>
      <c r="C21962" s="16">
        <f>866.51/(1+B2)</f>
        <v>866.51</v>
      </c>
      <c r="D21962" s="17" t="s">
        <v>11</v>
      </c>
      <c r="E21962" s="17" t="s">
        <v>14</v>
      </c>
      <c r="F21962" s="18"/>
      <c r="G21962" s="36" t="str">
        <f>IF(ISNUMBER(F21962),C21962*F21962,"")</f>
        <v/>
      </c>
    </row>
    <row r="21963" spans="1:7" ht="12" customHeight="1" outlineLevel="2" x14ac:dyDescent="0.2">
      <c r="A21963" s="14" t="s">
        <v>43228</v>
      </c>
      <c r="B21963" s="15" t="s">
        <v>43229</v>
      </c>
      <c r="C21963" s="19">
        <f>1374.67/(1+B2)</f>
        <v>1374.67</v>
      </c>
      <c r="D21963" s="17" t="s">
        <v>11</v>
      </c>
      <c r="E21963" s="17" t="s">
        <v>11</v>
      </c>
      <c r="F21963" s="18"/>
      <c r="G21963" s="36" t="str">
        <f>IF(ISNUMBER(F21963),C21963*F21963,"")</f>
        <v/>
      </c>
    </row>
    <row r="21964" spans="1:7" ht="12" customHeight="1" outlineLevel="2" x14ac:dyDescent="0.2">
      <c r="A21964" s="14" t="s">
        <v>43230</v>
      </c>
      <c r="B21964" s="15" t="s">
        <v>43231</v>
      </c>
      <c r="C21964" s="16">
        <f>866.51/(1+B2)</f>
        <v>866.51</v>
      </c>
      <c r="D21964" s="17" t="s">
        <v>11</v>
      </c>
      <c r="E21964" s="17" t="s">
        <v>14</v>
      </c>
      <c r="F21964" s="18"/>
      <c r="G21964" s="36" t="str">
        <f>IF(ISNUMBER(F21964),C21964*F21964,"")</f>
        <v/>
      </c>
    </row>
    <row r="21965" spans="1:7" ht="12" customHeight="1" outlineLevel="2" x14ac:dyDescent="0.2">
      <c r="A21965" s="14" t="s">
        <v>43232</v>
      </c>
      <c r="B21965" s="15" t="s">
        <v>43233</v>
      </c>
      <c r="C21965" s="16">
        <f>932.28/(1+B2)</f>
        <v>932.28</v>
      </c>
      <c r="D21965" s="17" t="s">
        <v>11</v>
      </c>
      <c r="E21965" s="17"/>
      <c r="F21965" s="18"/>
      <c r="G21965" s="36" t="str">
        <f>IF(ISNUMBER(F21965),C21965*F21965,"")</f>
        <v/>
      </c>
    </row>
    <row r="21966" spans="1:7" ht="12" customHeight="1" outlineLevel="2" x14ac:dyDescent="0.2">
      <c r="A21966" s="14" t="s">
        <v>43234</v>
      </c>
      <c r="B21966" s="15" t="s">
        <v>43235</v>
      </c>
      <c r="C21966" s="19">
        <f>1207.61/(1+B2)</f>
        <v>1207.6099999999999</v>
      </c>
      <c r="D21966" s="17" t="s">
        <v>11</v>
      </c>
      <c r="E21966" s="17" t="s">
        <v>53</v>
      </c>
      <c r="F21966" s="18"/>
      <c r="G21966" s="36" t="str">
        <f>IF(ISNUMBER(F21966),C21966*F21966,"")</f>
        <v/>
      </c>
    </row>
    <row r="21967" spans="1:7" ht="24" customHeight="1" outlineLevel="2" x14ac:dyDescent="0.2">
      <c r="A21967" s="14" t="s">
        <v>43236</v>
      </c>
      <c r="B21967" s="15" t="s">
        <v>43237</v>
      </c>
      <c r="C21967" s="16">
        <f>932.28/(1+B2)</f>
        <v>932.28</v>
      </c>
      <c r="D21967" s="17" t="s">
        <v>11</v>
      </c>
      <c r="E21967" s="17" t="s">
        <v>53</v>
      </c>
      <c r="F21967" s="18"/>
      <c r="G21967" s="36" t="str">
        <f>IF(ISNUMBER(F21967),C21967*F21967,"")</f>
        <v/>
      </c>
    </row>
    <row r="21968" spans="1:7" ht="24" customHeight="1" outlineLevel="2" x14ac:dyDescent="0.2">
      <c r="A21968" s="14" t="s">
        <v>43238</v>
      </c>
      <c r="B21968" s="15" t="s">
        <v>43239</v>
      </c>
      <c r="C21968" s="16">
        <f>433.74/(1+B2)</f>
        <v>433.74</v>
      </c>
      <c r="D21968" s="17" t="s">
        <v>11</v>
      </c>
      <c r="E21968" s="17"/>
      <c r="F21968" s="18"/>
      <c r="G21968" s="36" t="str">
        <f>IF(ISNUMBER(F21968),C21968*F21968,"")</f>
        <v/>
      </c>
    </row>
    <row r="21969" spans="1:7" ht="24" customHeight="1" outlineLevel="2" x14ac:dyDescent="0.2">
      <c r="A21969" s="14" t="s">
        <v>43240</v>
      </c>
      <c r="B21969" s="15" t="s">
        <v>43241</v>
      </c>
      <c r="C21969" s="16">
        <f>333.21/(1+B2)</f>
        <v>333.21</v>
      </c>
      <c r="D21969" s="17" t="s">
        <v>11</v>
      </c>
      <c r="E21969" s="17" t="s">
        <v>53</v>
      </c>
      <c r="F21969" s="18"/>
      <c r="G21969" s="36" t="str">
        <f>IF(ISNUMBER(F21969),C21969*F21969,"")</f>
        <v/>
      </c>
    </row>
    <row r="21970" spans="1:7" ht="24" customHeight="1" outlineLevel="2" x14ac:dyDescent="0.2">
      <c r="A21970" s="14" t="s">
        <v>43242</v>
      </c>
      <c r="B21970" s="15" t="s">
        <v>43243</v>
      </c>
      <c r="C21970" s="16">
        <f>359.46/(1+B2)</f>
        <v>359.46</v>
      </c>
      <c r="D21970" s="17" t="s">
        <v>11</v>
      </c>
      <c r="E21970" s="17" t="s">
        <v>14</v>
      </c>
      <c r="F21970" s="18"/>
      <c r="G21970" s="36" t="str">
        <f>IF(ISNUMBER(F21970),C21970*F21970,"")</f>
        <v/>
      </c>
    </row>
    <row r="21971" spans="1:7" ht="24" customHeight="1" outlineLevel="2" x14ac:dyDescent="0.2">
      <c r="A21971" s="14" t="s">
        <v>43244</v>
      </c>
      <c r="B21971" s="15" t="s">
        <v>43245</v>
      </c>
      <c r="C21971" s="16">
        <f>442.54/(1+B2)</f>
        <v>442.54</v>
      </c>
      <c r="D21971" s="17" t="s">
        <v>11</v>
      </c>
      <c r="E21971" s="17"/>
      <c r="F21971" s="18"/>
      <c r="G21971" s="36" t="str">
        <f>IF(ISNUMBER(F21971),C21971*F21971,"")</f>
        <v/>
      </c>
    </row>
    <row r="21972" spans="1:7" ht="12" customHeight="1" outlineLevel="2" x14ac:dyDescent="0.2">
      <c r="A21972" s="14" t="s">
        <v>43246</v>
      </c>
      <c r="B21972" s="15" t="s">
        <v>43247</v>
      </c>
      <c r="C21972" s="16">
        <f>332.61/(1+B2)</f>
        <v>332.61</v>
      </c>
      <c r="D21972" s="17" t="s">
        <v>11</v>
      </c>
      <c r="E21972" s="17" t="s">
        <v>53</v>
      </c>
      <c r="F21972" s="18"/>
      <c r="G21972" s="36" t="str">
        <f>IF(ISNUMBER(F21972),C21972*F21972,"")</f>
        <v/>
      </c>
    </row>
    <row r="21973" spans="1:7" ht="12" customHeight="1" outlineLevel="2" x14ac:dyDescent="0.2">
      <c r="A21973" s="14" t="s">
        <v>43248</v>
      </c>
      <c r="B21973" s="15" t="s">
        <v>43249</v>
      </c>
      <c r="C21973" s="16">
        <f>710.7/(1+B2)</f>
        <v>710.7</v>
      </c>
      <c r="D21973" s="17" t="s">
        <v>11</v>
      </c>
      <c r="E21973" s="17" t="s">
        <v>14</v>
      </c>
      <c r="F21973" s="18"/>
      <c r="G21973" s="36" t="str">
        <f>IF(ISNUMBER(F21973),C21973*F21973,"")</f>
        <v/>
      </c>
    </row>
    <row r="21974" spans="1:7" ht="12" customHeight="1" outlineLevel="2" x14ac:dyDescent="0.2">
      <c r="A21974" s="14" t="s">
        <v>43250</v>
      </c>
      <c r="B21974" s="15" t="s">
        <v>43251</v>
      </c>
      <c r="C21974" s="16">
        <f>332.61/(1+B2)</f>
        <v>332.61</v>
      </c>
      <c r="D21974" s="17" t="s">
        <v>11</v>
      </c>
      <c r="E21974" s="17" t="s">
        <v>14</v>
      </c>
      <c r="F21974" s="18"/>
      <c r="G21974" s="36" t="str">
        <f>IF(ISNUMBER(F21974),C21974*F21974,"")</f>
        <v/>
      </c>
    </row>
    <row r="21975" spans="1:7" ht="12" customHeight="1" outlineLevel="2" x14ac:dyDescent="0.2">
      <c r="A21975" s="14" t="s">
        <v>43252</v>
      </c>
      <c r="B21975" s="15" t="s">
        <v>43253</v>
      </c>
      <c r="C21975" s="16">
        <f>888.95/(1+B2)</f>
        <v>888.95</v>
      </c>
      <c r="D21975" s="17" t="s">
        <v>11</v>
      </c>
      <c r="E21975" s="17" t="s">
        <v>14</v>
      </c>
      <c r="F21975" s="18"/>
      <c r="G21975" s="36" t="str">
        <f>IF(ISNUMBER(F21975),C21975*F21975,"")</f>
        <v/>
      </c>
    </row>
    <row r="21976" spans="1:7" ht="12" customHeight="1" outlineLevel="2" x14ac:dyDescent="0.2">
      <c r="A21976" s="14" t="s">
        <v>43254</v>
      </c>
      <c r="B21976" s="15" t="s">
        <v>43255</v>
      </c>
      <c r="C21976" s="16">
        <f>155.27/(1+B2)</f>
        <v>155.27000000000001</v>
      </c>
      <c r="D21976" s="17" t="s">
        <v>11</v>
      </c>
      <c r="E21976" s="17" t="s">
        <v>106</v>
      </c>
      <c r="F21976" s="18"/>
      <c r="G21976" s="36" t="str">
        <f>IF(ISNUMBER(F21976),C21976*F21976,"")</f>
        <v/>
      </c>
    </row>
    <row r="21977" spans="1:7" ht="12" customHeight="1" outlineLevel="2" x14ac:dyDescent="0.2">
      <c r="A21977" s="14" t="s">
        <v>43256</v>
      </c>
      <c r="B21977" s="15" t="s">
        <v>43257</v>
      </c>
      <c r="C21977" s="16">
        <f>332.61/(1+B2)</f>
        <v>332.61</v>
      </c>
      <c r="D21977" s="17" t="s">
        <v>11</v>
      </c>
      <c r="E21977" s="17" t="s">
        <v>106</v>
      </c>
      <c r="F21977" s="18"/>
      <c r="G21977" s="36" t="str">
        <f>IF(ISNUMBER(F21977),C21977*F21977,"")</f>
        <v/>
      </c>
    </row>
    <row r="21978" spans="1:7" ht="12" customHeight="1" outlineLevel="2" x14ac:dyDescent="0.2">
      <c r="A21978" s="14" t="s">
        <v>43258</v>
      </c>
      <c r="B21978" s="15" t="s">
        <v>43259</v>
      </c>
      <c r="C21978" s="16">
        <f>710.7/(1+B2)</f>
        <v>710.7</v>
      </c>
      <c r="D21978" s="17" t="s">
        <v>11</v>
      </c>
      <c r="E21978" s="17" t="s">
        <v>106</v>
      </c>
      <c r="F21978" s="18"/>
      <c r="G21978" s="36" t="str">
        <f>IF(ISNUMBER(F21978),C21978*F21978,"")</f>
        <v/>
      </c>
    </row>
    <row r="21979" spans="1:7" ht="12" customHeight="1" outlineLevel="2" x14ac:dyDescent="0.2">
      <c r="A21979" s="14" t="s">
        <v>43260</v>
      </c>
      <c r="B21979" s="15" t="s">
        <v>43261</v>
      </c>
      <c r="C21979" s="16">
        <f>332.61/(1+B2)</f>
        <v>332.61</v>
      </c>
      <c r="D21979" s="17" t="s">
        <v>11</v>
      </c>
      <c r="E21979" s="17" t="s">
        <v>53</v>
      </c>
      <c r="F21979" s="18"/>
      <c r="G21979" s="36" t="str">
        <f>IF(ISNUMBER(F21979),C21979*F21979,"")</f>
        <v/>
      </c>
    </row>
    <row r="21980" spans="1:7" ht="12" customHeight="1" outlineLevel="2" x14ac:dyDescent="0.2">
      <c r="A21980" s="14" t="s">
        <v>43262</v>
      </c>
      <c r="B21980" s="15" t="s">
        <v>43263</v>
      </c>
      <c r="C21980" s="16">
        <f>888.32/(1+B2)</f>
        <v>888.32</v>
      </c>
      <c r="D21980" s="17" t="s">
        <v>11</v>
      </c>
      <c r="E21980" s="17" t="s">
        <v>53</v>
      </c>
      <c r="F21980" s="18"/>
      <c r="G21980" s="36" t="str">
        <f>IF(ISNUMBER(F21980),C21980*F21980,"")</f>
        <v/>
      </c>
    </row>
    <row r="21981" spans="1:7" ht="12" customHeight="1" outlineLevel="2" x14ac:dyDescent="0.2">
      <c r="A21981" s="14" t="s">
        <v>43264</v>
      </c>
      <c r="B21981" s="15" t="s">
        <v>43265</v>
      </c>
      <c r="C21981" s="16">
        <f>155.27/(1+B2)</f>
        <v>155.27000000000001</v>
      </c>
      <c r="D21981" s="17" t="s">
        <v>11</v>
      </c>
      <c r="E21981" s="17" t="s">
        <v>106</v>
      </c>
      <c r="F21981" s="18"/>
      <c r="G21981" s="36" t="str">
        <f>IF(ISNUMBER(F21981),C21981*F21981,"")</f>
        <v/>
      </c>
    </row>
    <row r="21982" spans="1:7" ht="12" customHeight="1" outlineLevel="2" x14ac:dyDescent="0.2">
      <c r="A21982" s="14" t="s">
        <v>43266</v>
      </c>
      <c r="B21982" s="15" t="s">
        <v>43267</v>
      </c>
      <c r="C21982" s="16">
        <f>151.4/(1+B2)</f>
        <v>151.4</v>
      </c>
      <c r="D21982" s="17" t="s">
        <v>11</v>
      </c>
      <c r="E21982" s="17" t="s">
        <v>106</v>
      </c>
      <c r="F21982" s="18"/>
      <c r="G21982" s="36" t="str">
        <f>IF(ISNUMBER(F21982),C21982*F21982,"")</f>
        <v/>
      </c>
    </row>
    <row r="21983" spans="1:7" ht="12" customHeight="1" outlineLevel="2" x14ac:dyDescent="0.2">
      <c r="A21983" s="14" t="s">
        <v>43268</v>
      </c>
      <c r="B21983" s="15" t="s">
        <v>43269</v>
      </c>
      <c r="C21983" s="16">
        <f>135.51/(1+B2)</f>
        <v>135.51</v>
      </c>
      <c r="D21983" s="17" t="s">
        <v>53</v>
      </c>
      <c r="E21983" s="17" t="s">
        <v>106</v>
      </c>
      <c r="F21983" s="18"/>
      <c r="G21983" s="36" t="str">
        <f>IF(ISNUMBER(F21983),C21983*F21983,"")</f>
        <v/>
      </c>
    </row>
    <row r="21984" spans="1:7" ht="12" customHeight="1" outlineLevel="2" x14ac:dyDescent="0.2">
      <c r="A21984" s="14" t="s">
        <v>43270</v>
      </c>
      <c r="B21984" s="15" t="s">
        <v>43271</v>
      </c>
      <c r="C21984" s="16">
        <f>362.79/(1+B2)</f>
        <v>362.79</v>
      </c>
      <c r="D21984" s="17" t="s">
        <v>11</v>
      </c>
      <c r="E21984" s="17" t="s">
        <v>11</v>
      </c>
      <c r="F21984" s="18"/>
      <c r="G21984" s="36" t="str">
        <f>IF(ISNUMBER(F21984),C21984*F21984,"")</f>
        <v/>
      </c>
    </row>
    <row r="21985" spans="1:7" ht="12" customHeight="1" outlineLevel="2" x14ac:dyDescent="0.2">
      <c r="A21985" s="14" t="s">
        <v>43272</v>
      </c>
      <c r="B21985" s="15" t="s">
        <v>43273</v>
      </c>
      <c r="C21985" s="16">
        <f>28.79/(1+B2)</f>
        <v>28.79</v>
      </c>
      <c r="D21985" s="17" t="s">
        <v>11</v>
      </c>
      <c r="E21985" s="17" t="s">
        <v>11</v>
      </c>
      <c r="F21985" s="18"/>
      <c r="G21985" s="36" t="str">
        <f>IF(ISNUMBER(F21985),C21985*F21985,"")</f>
        <v/>
      </c>
    </row>
    <row r="21986" spans="1:7" ht="12" customHeight="1" outlineLevel="2" x14ac:dyDescent="0.2">
      <c r="A21986" s="14" t="s">
        <v>43274</v>
      </c>
      <c r="B21986" s="15" t="s">
        <v>43275</v>
      </c>
      <c r="C21986" s="16">
        <f>477.69/(1+B2)</f>
        <v>477.69</v>
      </c>
      <c r="D21986" s="17" t="s">
        <v>11</v>
      </c>
      <c r="E21986" s="17" t="s">
        <v>53</v>
      </c>
      <c r="F21986" s="18"/>
      <c r="G21986" s="36" t="str">
        <f>IF(ISNUMBER(F21986),C21986*F21986,"")</f>
        <v/>
      </c>
    </row>
    <row r="21987" spans="1:7" ht="12" customHeight="1" outlineLevel="2" x14ac:dyDescent="0.2">
      <c r="A21987" s="14" t="s">
        <v>43276</v>
      </c>
      <c r="B21987" s="15" t="s">
        <v>43277</v>
      </c>
      <c r="C21987" s="16">
        <f>643.92/(1+B2)</f>
        <v>643.91999999999996</v>
      </c>
      <c r="D21987" s="17" t="s">
        <v>11</v>
      </c>
      <c r="E21987" s="17" t="s">
        <v>11</v>
      </c>
      <c r="F21987" s="18"/>
      <c r="G21987" s="36" t="str">
        <f>IF(ISNUMBER(F21987),C21987*F21987,"")</f>
        <v/>
      </c>
    </row>
    <row r="21988" spans="1:7" ht="12" customHeight="1" outlineLevel="2" x14ac:dyDescent="0.2">
      <c r="A21988" s="14" t="s">
        <v>43278</v>
      </c>
      <c r="B21988" s="15" t="s">
        <v>43279</v>
      </c>
      <c r="C21988" s="16">
        <f>274.31/(1+B2)</f>
        <v>274.31</v>
      </c>
      <c r="D21988" s="17" t="s">
        <v>11</v>
      </c>
      <c r="E21988" s="17" t="s">
        <v>53</v>
      </c>
      <c r="F21988" s="18"/>
      <c r="G21988" s="36" t="str">
        <f>IF(ISNUMBER(F21988),C21988*F21988,"")</f>
        <v/>
      </c>
    </row>
    <row r="21989" spans="1:7" ht="12" customHeight="1" outlineLevel="2" x14ac:dyDescent="0.2">
      <c r="A21989" s="14" t="s">
        <v>43280</v>
      </c>
      <c r="B21989" s="15" t="s">
        <v>43281</v>
      </c>
      <c r="C21989" s="16">
        <f>232.59/(1+B2)</f>
        <v>232.59</v>
      </c>
      <c r="D21989" s="17" t="s">
        <v>11</v>
      </c>
      <c r="E21989" s="17" t="s">
        <v>53</v>
      </c>
      <c r="F21989" s="18"/>
      <c r="G21989" s="36" t="str">
        <f>IF(ISNUMBER(F21989),C21989*F21989,"")</f>
        <v/>
      </c>
    </row>
    <row r="21990" spans="1:7" ht="12" customHeight="1" outlineLevel="2" x14ac:dyDescent="0.2">
      <c r="A21990" s="14" t="s">
        <v>43282</v>
      </c>
      <c r="B21990" s="15" t="s">
        <v>43283</v>
      </c>
      <c r="C21990" s="16">
        <f>292.36/(1+B2)</f>
        <v>292.36</v>
      </c>
      <c r="D21990" s="17" t="s">
        <v>11</v>
      </c>
      <c r="E21990" s="17" t="s">
        <v>14</v>
      </c>
      <c r="F21990" s="18"/>
      <c r="G21990" s="36" t="str">
        <f>IF(ISNUMBER(F21990),C21990*F21990,"")</f>
        <v/>
      </c>
    </row>
    <row r="21991" spans="1:7" ht="12" customHeight="1" outlineLevel="2" x14ac:dyDescent="0.2">
      <c r="A21991" s="14" t="s">
        <v>43284</v>
      </c>
      <c r="B21991" s="15" t="s">
        <v>43285</v>
      </c>
      <c r="C21991" s="16">
        <f>83.2/(1+B2)</f>
        <v>83.2</v>
      </c>
      <c r="D21991" s="17" t="s">
        <v>11</v>
      </c>
      <c r="E21991" s="17" t="s">
        <v>53</v>
      </c>
      <c r="F21991" s="18"/>
      <c r="G21991" s="36" t="str">
        <f>IF(ISNUMBER(F21991),C21991*F21991,"")</f>
        <v/>
      </c>
    </row>
    <row r="21992" spans="1:7" ht="12" customHeight="1" outlineLevel="2" x14ac:dyDescent="0.2">
      <c r="A21992" s="14" t="s">
        <v>43286</v>
      </c>
      <c r="B21992" s="15" t="s">
        <v>43287</v>
      </c>
      <c r="C21992" s="16">
        <f>45.49/(1+B2)</f>
        <v>45.49</v>
      </c>
      <c r="D21992" s="17" t="s">
        <v>11</v>
      </c>
      <c r="E21992" s="17" t="s">
        <v>53</v>
      </c>
      <c r="F21992" s="18"/>
      <c r="G21992" s="36" t="str">
        <f>IF(ISNUMBER(F21992),C21992*F21992,"")</f>
        <v/>
      </c>
    </row>
    <row r="21993" spans="1:7" s="1" customFormat="1" ht="15.95" customHeight="1" outlineLevel="1" x14ac:dyDescent="0.25">
      <c r="A21993" s="11"/>
      <c r="B21993" s="12" t="s">
        <v>43288</v>
      </c>
      <c r="C21993" s="13"/>
      <c r="D21993" s="13"/>
      <c r="E21993" s="13"/>
      <c r="F21993" s="13"/>
      <c r="G21993" s="35"/>
    </row>
    <row r="21994" spans="1:7" ht="12" customHeight="1" outlineLevel="2" x14ac:dyDescent="0.2">
      <c r="A21994" s="14" t="s">
        <v>43289</v>
      </c>
      <c r="B21994" s="15" t="s">
        <v>43290</v>
      </c>
      <c r="C21994" s="16">
        <f>154.74/(1+B2)</f>
        <v>154.74</v>
      </c>
      <c r="D21994" s="17" t="s">
        <v>11</v>
      </c>
      <c r="E21994" s="17" t="s">
        <v>11</v>
      </c>
      <c r="F21994" s="18"/>
      <c r="G21994" s="36" t="str">
        <f>IF(ISNUMBER(F21994),C21994*F21994,"")</f>
        <v/>
      </c>
    </row>
    <row r="21995" spans="1:7" ht="12" customHeight="1" outlineLevel="2" x14ac:dyDescent="0.2">
      <c r="A21995" s="14" t="s">
        <v>43291</v>
      </c>
      <c r="B21995" s="15" t="s">
        <v>43292</v>
      </c>
      <c r="C21995" s="16">
        <f>178.75/(1+B2)</f>
        <v>178.75</v>
      </c>
      <c r="D21995" s="17" t="s">
        <v>11</v>
      </c>
      <c r="E21995" s="17" t="s">
        <v>11</v>
      </c>
      <c r="F21995" s="18"/>
      <c r="G21995" s="36" t="str">
        <f>IF(ISNUMBER(F21995),C21995*F21995,"")</f>
        <v/>
      </c>
    </row>
    <row r="21996" spans="1:7" ht="12" customHeight="1" outlineLevel="2" x14ac:dyDescent="0.2">
      <c r="A21996" s="14" t="s">
        <v>43293</v>
      </c>
      <c r="B21996" s="15" t="s">
        <v>43294</v>
      </c>
      <c r="C21996" s="16">
        <f>178.75/(1+B2)</f>
        <v>178.75</v>
      </c>
      <c r="D21996" s="17" t="s">
        <v>11</v>
      </c>
      <c r="E21996" s="17"/>
      <c r="F21996" s="18"/>
      <c r="G21996" s="36" t="str">
        <f>IF(ISNUMBER(F21996),C21996*F21996,"")</f>
        <v/>
      </c>
    </row>
    <row r="21997" spans="1:7" ht="12" customHeight="1" outlineLevel="2" x14ac:dyDescent="0.2">
      <c r="A21997" s="14" t="s">
        <v>43295</v>
      </c>
      <c r="B21997" s="15" t="s">
        <v>43296</v>
      </c>
      <c r="C21997" s="16">
        <f>178.75/(1+B2)</f>
        <v>178.75</v>
      </c>
      <c r="D21997" s="17" t="s">
        <v>11</v>
      </c>
      <c r="E21997" s="17"/>
      <c r="F21997" s="18"/>
      <c r="G21997" s="36" t="str">
        <f>IF(ISNUMBER(F21997),C21997*F21997,"")</f>
        <v/>
      </c>
    </row>
    <row r="21998" spans="1:7" ht="12" customHeight="1" outlineLevel="2" x14ac:dyDescent="0.2">
      <c r="A21998" s="14" t="s">
        <v>43297</v>
      </c>
      <c r="B21998" s="15" t="s">
        <v>43298</v>
      </c>
      <c r="C21998" s="16">
        <f>178.75/(1+B2)</f>
        <v>178.75</v>
      </c>
      <c r="D21998" s="17" t="s">
        <v>11</v>
      </c>
      <c r="E21998" s="17" t="s">
        <v>14</v>
      </c>
      <c r="F21998" s="18"/>
      <c r="G21998" s="36" t="str">
        <f>IF(ISNUMBER(F21998),C21998*F21998,"")</f>
        <v/>
      </c>
    </row>
    <row r="21999" spans="1:7" ht="12" customHeight="1" outlineLevel="2" x14ac:dyDescent="0.2">
      <c r="A21999" s="14" t="s">
        <v>43299</v>
      </c>
      <c r="B21999" s="15" t="s">
        <v>43300</v>
      </c>
      <c r="C21999" s="16">
        <f>596.03/(1+B2)</f>
        <v>596.03</v>
      </c>
      <c r="D21999" s="17" t="s">
        <v>11</v>
      </c>
      <c r="E21999" s="17"/>
      <c r="F21999" s="18"/>
      <c r="G21999" s="36" t="str">
        <f>IF(ISNUMBER(F21999),C21999*F21999,"")</f>
        <v/>
      </c>
    </row>
    <row r="22000" spans="1:7" ht="12" customHeight="1" outlineLevel="2" x14ac:dyDescent="0.2">
      <c r="A22000" s="14" t="s">
        <v>43301</v>
      </c>
      <c r="B22000" s="15" t="s">
        <v>43302</v>
      </c>
      <c r="C22000" s="16">
        <f>277.13/(1+B2)</f>
        <v>277.13</v>
      </c>
      <c r="D22000" s="17" t="s">
        <v>11</v>
      </c>
      <c r="E22000" s="17" t="s">
        <v>11</v>
      </c>
      <c r="F22000" s="18"/>
      <c r="G22000" s="36" t="str">
        <f>IF(ISNUMBER(F22000),C22000*F22000,"")</f>
        <v/>
      </c>
    </row>
    <row r="22001" spans="1:7" ht="12" customHeight="1" outlineLevel="2" x14ac:dyDescent="0.2">
      <c r="A22001" s="14" t="s">
        <v>43303</v>
      </c>
      <c r="B22001" s="15" t="s">
        <v>43304</v>
      </c>
      <c r="C22001" s="16">
        <f>277.13/(1+B2)</f>
        <v>277.13</v>
      </c>
      <c r="D22001" s="17" t="s">
        <v>11</v>
      </c>
      <c r="E22001" s="17" t="s">
        <v>11</v>
      </c>
      <c r="F22001" s="18"/>
      <c r="G22001" s="36" t="str">
        <f>IF(ISNUMBER(F22001),C22001*F22001,"")</f>
        <v/>
      </c>
    </row>
    <row r="22002" spans="1:7" ht="12" customHeight="1" outlineLevel="2" x14ac:dyDescent="0.2">
      <c r="A22002" s="14" t="s">
        <v>43305</v>
      </c>
      <c r="B22002" s="15" t="s">
        <v>43306</v>
      </c>
      <c r="C22002" s="16">
        <f>288.25/(1+B2)</f>
        <v>288.25</v>
      </c>
      <c r="D22002" s="17" t="s">
        <v>11</v>
      </c>
      <c r="E22002" s="17"/>
      <c r="F22002" s="18"/>
      <c r="G22002" s="36" t="str">
        <f>IF(ISNUMBER(F22002),C22002*F22002,"")</f>
        <v/>
      </c>
    </row>
    <row r="22003" spans="1:7" ht="12" customHeight="1" outlineLevel="2" x14ac:dyDescent="0.2">
      <c r="A22003" s="14" t="s">
        <v>43307</v>
      </c>
      <c r="B22003" s="15" t="s">
        <v>43308</v>
      </c>
      <c r="C22003" s="16">
        <f>277.13/(1+B2)</f>
        <v>277.13</v>
      </c>
      <c r="D22003" s="17" t="s">
        <v>11</v>
      </c>
      <c r="E22003" s="17" t="s">
        <v>11</v>
      </c>
      <c r="F22003" s="18"/>
      <c r="G22003" s="36" t="str">
        <f>IF(ISNUMBER(F22003),C22003*F22003,"")</f>
        <v/>
      </c>
    </row>
    <row r="22004" spans="1:7" ht="12" customHeight="1" outlineLevel="2" x14ac:dyDescent="0.2">
      <c r="A22004" s="14" t="s">
        <v>43309</v>
      </c>
      <c r="B22004" s="15" t="s">
        <v>43310</v>
      </c>
      <c r="C22004" s="16">
        <f>328.75/(1+B2)</f>
        <v>328.75</v>
      </c>
      <c r="D22004" s="17" t="s">
        <v>11</v>
      </c>
      <c r="E22004" s="17"/>
      <c r="F22004" s="18"/>
      <c r="G22004" s="36" t="str">
        <f>IF(ISNUMBER(F22004),C22004*F22004,"")</f>
        <v/>
      </c>
    </row>
    <row r="22005" spans="1:7" ht="12" customHeight="1" outlineLevel="2" x14ac:dyDescent="0.2">
      <c r="A22005" s="14" t="s">
        <v>43311</v>
      </c>
      <c r="B22005" s="15" t="s">
        <v>43312</v>
      </c>
      <c r="C22005" s="16">
        <f>401.25/(1+B2)</f>
        <v>401.25</v>
      </c>
      <c r="D22005" s="17" t="s">
        <v>11</v>
      </c>
      <c r="E22005" s="17" t="s">
        <v>11</v>
      </c>
      <c r="F22005" s="18"/>
      <c r="G22005" s="36" t="str">
        <f>IF(ISNUMBER(F22005),C22005*F22005,"")</f>
        <v/>
      </c>
    </row>
    <row r="22006" spans="1:7" ht="12" customHeight="1" outlineLevel="2" x14ac:dyDescent="0.2">
      <c r="A22006" s="14" t="s">
        <v>43313</v>
      </c>
      <c r="B22006" s="15" t="s">
        <v>43314</v>
      </c>
      <c r="C22006" s="16">
        <f>396.25/(1+B2)</f>
        <v>396.25</v>
      </c>
      <c r="D22006" s="17" t="s">
        <v>11</v>
      </c>
      <c r="E22006" s="17"/>
      <c r="F22006" s="18"/>
      <c r="G22006" s="36" t="str">
        <f>IF(ISNUMBER(F22006),C22006*F22006,"")</f>
        <v/>
      </c>
    </row>
    <row r="22007" spans="1:7" ht="12" customHeight="1" outlineLevel="2" x14ac:dyDescent="0.2">
      <c r="A22007" s="14" t="s">
        <v>43315</v>
      </c>
      <c r="B22007" s="15" t="s">
        <v>43316</v>
      </c>
      <c r="C22007" s="16">
        <f>396.25/(1+B2)</f>
        <v>396.25</v>
      </c>
      <c r="D22007" s="17" t="s">
        <v>11</v>
      </c>
      <c r="E22007" s="17"/>
      <c r="F22007" s="18"/>
      <c r="G22007" s="36" t="str">
        <f>IF(ISNUMBER(F22007),C22007*F22007,"")</f>
        <v/>
      </c>
    </row>
    <row r="22008" spans="1:7" ht="12" customHeight="1" outlineLevel="2" x14ac:dyDescent="0.2">
      <c r="A22008" s="14" t="s">
        <v>43317</v>
      </c>
      <c r="B22008" s="15" t="s">
        <v>43318</v>
      </c>
      <c r="C22008" s="16">
        <f>396.25/(1+B2)</f>
        <v>396.25</v>
      </c>
      <c r="D22008" s="17" t="s">
        <v>11</v>
      </c>
      <c r="E22008" s="17" t="s">
        <v>11</v>
      </c>
      <c r="F22008" s="18"/>
      <c r="G22008" s="36" t="str">
        <f>IF(ISNUMBER(F22008),C22008*F22008,"")</f>
        <v/>
      </c>
    </row>
    <row r="22009" spans="1:7" ht="12" customHeight="1" outlineLevel="2" x14ac:dyDescent="0.2">
      <c r="A22009" s="14" t="s">
        <v>43319</v>
      </c>
      <c r="B22009" s="15" t="s">
        <v>43320</v>
      </c>
      <c r="C22009" s="16">
        <f>396.25/(1+B2)</f>
        <v>396.25</v>
      </c>
      <c r="D22009" s="17" t="s">
        <v>11</v>
      </c>
      <c r="E22009" s="17"/>
      <c r="F22009" s="18"/>
      <c r="G22009" s="36" t="str">
        <f>IF(ISNUMBER(F22009),C22009*F22009,"")</f>
        <v/>
      </c>
    </row>
    <row r="22010" spans="1:7" ht="12" customHeight="1" outlineLevel="2" x14ac:dyDescent="0.2">
      <c r="A22010" s="14" t="s">
        <v>43321</v>
      </c>
      <c r="B22010" s="15" t="s">
        <v>43322</v>
      </c>
      <c r="C22010" s="16">
        <f>328.75/(1+B2)</f>
        <v>328.75</v>
      </c>
      <c r="D22010" s="17" t="s">
        <v>11</v>
      </c>
      <c r="E22010" s="17"/>
      <c r="F22010" s="18"/>
      <c r="G22010" s="36" t="str">
        <f>IF(ISNUMBER(F22010),C22010*F22010,"")</f>
        <v/>
      </c>
    </row>
    <row r="22011" spans="1:7" ht="12" customHeight="1" outlineLevel="2" x14ac:dyDescent="0.2">
      <c r="A22011" s="14" t="s">
        <v>43323</v>
      </c>
      <c r="B22011" s="15" t="s">
        <v>43324</v>
      </c>
      <c r="C22011" s="16">
        <f>328.75/(1+B2)</f>
        <v>328.75</v>
      </c>
      <c r="D22011" s="17" t="s">
        <v>11</v>
      </c>
      <c r="E22011" s="17"/>
      <c r="F22011" s="18"/>
      <c r="G22011" s="36" t="str">
        <f>IF(ISNUMBER(F22011),C22011*F22011,"")</f>
        <v/>
      </c>
    </row>
    <row r="22012" spans="1:7" ht="12" customHeight="1" outlineLevel="2" x14ac:dyDescent="0.2">
      <c r="A22012" s="14" t="s">
        <v>43325</v>
      </c>
      <c r="B22012" s="15" t="s">
        <v>43326</v>
      </c>
      <c r="C22012" s="16">
        <f>328.75/(1+B2)</f>
        <v>328.75</v>
      </c>
      <c r="D22012" s="17" t="s">
        <v>11</v>
      </c>
      <c r="E22012" s="17"/>
      <c r="F22012" s="18"/>
      <c r="G22012" s="36" t="str">
        <f>IF(ISNUMBER(F22012),C22012*F22012,"")</f>
        <v/>
      </c>
    </row>
    <row r="22013" spans="1:7" ht="12" customHeight="1" outlineLevel="2" x14ac:dyDescent="0.2">
      <c r="A22013" s="14" t="s">
        <v>43327</v>
      </c>
      <c r="B22013" s="15" t="s">
        <v>43328</v>
      </c>
      <c r="C22013" s="16">
        <f>548.88/(1+B2)</f>
        <v>548.88</v>
      </c>
      <c r="D22013" s="17" t="s">
        <v>11</v>
      </c>
      <c r="E22013" s="17" t="s">
        <v>53</v>
      </c>
      <c r="F22013" s="18"/>
      <c r="G22013" s="36" t="str">
        <f>IF(ISNUMBER(F22013),C22013*F22013,"")</f>
        <v/>
      </c>
    </row>
    <row r="22014" spans="1:7" ht="12" customHeight="1" outlineLevel="2" x14ac:dyDescent="0.2">
      <c r="A22014" s="14" t="s">
        <v>43329</v>
      </c>
      <c r="B22014" s="15" t="s">
        <v>43330</v>
      </c>
      <c r="C22014" s="16">
        <f>749.59/(1+B2)</f>
        <v>749.59</v>
      </c>
      <c r="D22014" s="17" t="s">
        <v>11</v>
      </c>
      <c r="E22014" s="17" t="s">
        <v>11</v>
      </c>
      <c r="F22014" s="18"/>
      <c r="G22014" s="36" t="str">
        <f>IF(ISNUMBER(F22014),C22014*F22014,"")</f>
        <v/>
      </c>
    </row>
    <row r="22015" spans="1:7" ht="12" customHeight="1" outlineLevel="2" x14ac:dyDescent="0.2">
      <c r="A22015" s="14" t="s">
        <v>43331</v>
      </c>
      <c r="B22015" s="15" t="s">
        <v>43332</v>
      </c>
      <c r="C22015" s="16">
        <f>604.7/(1+B2)</f>
        <v>604.70000000000005</v>
      </c>
      <c r="D22015" s="17" t="s">
        <v>11</v>
      </c>
      <c r="E22015" s="17" t="s">
        <v>53</v>
      </c>
      <c r="F22015" s="18"/>
      <c r="G22015" s="36" t="str">
        <f>IF(ISNUMBER(F22015),C22015*F22015,"")</f>
        <v/>
      </c>
    </row>
    <row r="22016" spans="1:7" ht="12" customHeight="1" outlineLevel="2" x14ac:dyDescent="0.2">
      <c r="A22016" s="14" t="s">
        <v>43333</v>
      </c>
      <c r="B22016" s="15" t="s">
        <v>43334</v>
      </c>
      <c r="C22016" s="16">
        <f>788.88/(1+B2)</f>
        <v>788.88</v>
      </c>
      <c r="D22016" s="17" t="s">
        <v>11</v>
      </c>
      <c r="E22016" s="17" t="s">
        <v>53</v>
      </c>
      <c r="F22016" s="18"/>
      <c r="G22016" s="36" t="str">
        <f>IF(ISNUMBER(F22016),C22016*F22016,"")</f>
        <v/>
      </c>
    </row>
    <row r="22017" spans="1:7" ht="12" customHeight="1" outlineLevel="2" x14ac:dyDescent="0.2">
      <c r="A22017" s="14" t="s">
        <v>43335</v>
      </c>
      <c r="B22017" s="15" t="s">
        <v>43336</v>
      </c>
      <c r="C22017" s="16">
        <f>669.35/(1+B2)</f>
        <v>669.35</v>
      </c>
      <c r="D22017" s="17" t="s">
        <v>11</v>
      </c>
      <c r="E22017" s="17" t="s">
        <v>53</v>
      </c>
      <c r="F22017" s="18"/>
      <c r="G22017" s="36" t="str">
        <f>IF(ISNUMBER(F22017),C22017*F22017,"")</f>
        <v/>
      </c>
    </row>
    <row r="22018" spans="1:7" ht="12" customHeight="1" outlineLevel="2" x14ac:dyDescent="0.2">
      <c r="A22018" s="14" t="s">
        <v>43337</v>
      </c>
      <c r="B22018" s="15" t="s">
        <v>43338</v>
      </c>
      <c r="C22018" s="16">
        <f>666.36/(1+B2)</f>
        <v>666.36</v>
      </c>
      <c r="D22018" s="17" t="s">
        <v>11</v>
      </c>
      <c r="E22018" s="17"/>
      <c r="F22018" s="18"/>
      <c r="G22018" s="36" t="str">
        <f>IF(ISNUMBER(F22018),C22018*F22018,"")</f>
        <v/>
      </c>
    </row>
    <row r="22019" spans="1:7" ht="12" customHeight="1" outlineLevel="2" x14ac:dyDescent="0.2">
      <c r="A22019" s="14" t="s">
        <v>43339</v>
      </c>
      <c r="B22019" s="15" t="s">
        <v>43340</v>
      </c>
      <c r="C22019" s="16">
        <f>666.36/(1+B2)</f>
        <v>666.36</v>
      </c>
      <c r="D22019" s="17" t="s">
        <v>11</v>
      </c>
      <c r="E22019" s="17"/>
      <c r="F22019" s="18"/>
      <c r="G22019" s="36" t="str">
        <f>IF(ISNUMBER(F22019),C22019*F22019,"")</f>
        <v/>
      </c>
    </row>
    <row r="22020" spans="1:7" ht="12" customHeight="1" outlineLevel="2" x14ac:dyDescent="0.2">
      <c r="A22020" s="14" t="s">
        <v>43341</v>
      </c>
      <c r="B22020" s="15" t="s">
        <v>43342</v>
      </c>
      <c r="C22020" s="16">
        <f>666.36/(1+B2)</f>
        <v>666.36</v>
      </c>
      <c r="D22020" s="17" t="s">
        <v>11</v>
      </c>
      <c r="E22020" s="17"/>
      <c r="F22020" s="18"/>
      <c r="G22020" s="36" t="str">
        <f>IF(ISNUMBER(F22020),C22020*F22020,"")</f>
        <v/>
      </c>
    </row>
    <row r="22021" spans="1:7" ht="12" customHeight="1" outlineLevel="2" x14ac:dyDescent="0.2">
      <c r="A22021" s="14" t="s">
        <v>43343</v>
      </c>
      <c r="B22021" s="15" t="s">
        <v>43344</v>
      </c>
      <c r="C22021" s="16">
        <f>383.41/(1+B2)</f>
        <v>383.41</v>
      </c>
      <c r="D22021" s="17" t="s">
        <v>11</v>
      </c>
      <c r="E22021" s="17"/>
      <c r="F22021" s="18"/>
      <c r="G22021" s="36" t="str">
        <f>IF(ISNUMBER(F22021),C22021*F22021,"")</f>
        <v/>
      </c>
    </row>
    <row r="22022" spans="1:7" ht="12" customHeight="1" outlineLevel="2" x14ac:dyDescent="0.2">
      <c r="A22022" s="14" t="s">
        <v>43345</v>
      </c>
      <c r="B22022" s="15" t="s">
        <v>43346</v>
      </c>
      <c r="C22022" s="16">
        <f>295.99/(1+B2)</f>
        <v>295.99</v>
      </c>
      <c r="D22022" s="17" t="s">
        <v>11</v>
      </c>
      <c r="E22022" s="17"/>
      <c r="F22022" s="18"/>
      <c r="G22022" s="36" t="str">
        <f>IF(ISNUMBER(F22022),C22022*F22022,"")</f>
        <v/>
      </c>
    </row>
    <row r="22023" spans="1:7" ht="12" customHeight="1" outlineLevel="2" x14ac:dyDescent="0.2">
      <c r="A22023" s="14" t="s">
        <v>43347</v>
      </c>
      <c r="B22023" s="15" t="s">
        <v>43348</v>
      </c>
      <c r="C22023" s="16">
        <f>423.75/(1+B2)</f>
        <v>423.75</v>
      </c>
      <c r="D22023" s="17" t="s">
        <v>11</v>
      </c>
      <c r="E22023" s="17"/>
      <c r="F22023" s="18"/>
      <c r="G22023" s="36" t="str">
        <f>IF(ISNUMBER(F22023),C22023*F22023,"")</f>
        <v/>
      </c>
    </row>
    <row r="22024" spans="1:7" ht="12" customHeight="1" outlineLevel="2" x14ac:dyDescent="0.2">
      <c r="A22024" s="14" t="s">
        <v>43349</v>
      </c>
      <c r="B22024" s="15" t="s">
        <v>43350</v>
      </c>
      <c r="C22024" s="16">
        <f>423.75/(1+B2)</f>
        <v>423.75</v>
      </c>
      <c r="D22024" s="17" t="s">
        <v>11</v>
      </c>
      <c r="E22024" s="17" t="s">
        <v>11</v>
      </c>
      <c r="F22024" s="18"/>
      <c r="G22024" s="36" t="str">
        <f>IF(ISNUMBER(F22024),C22024*F22024,"")</f>
        <v/>
      </c>
    </row>
    <row r="22025" spans="1:7" ht="12" customHeight="1" outlineLevel="2" x14ac:dyDescent="0.2">
      <c r="A22025" s="14" t="s">
        <v>43351</v>
      </c>
      <c r="B22025" s="15" t="s">
        <v>43352</v>
      </c>
      <c r="C22025" s="16">
        <f>423.75/(1+B2)</f>
        <v>423.75</v>
      </c>
      <c r="D22025" s="17" t="s">
        <v>11</v>
      </c>
      <c r="E22025" s="17"/>
      <c r="F22025" s="18"/>
      <c r="G22025" s="36" t="str">
        <f>IF(ISNUMBER(F22025),C22025*F22025,"")</f>
        <v/>
      </c>
    </row>
    <row r="22026" spans="1:7" ht="12" customHeight="1" outlineLevel="2" x14ac:dyDescent="0.2">
      <c r="A22026" s="14" t="s">
        <v>43353</v>
      </c>
      <c r="B22026" s="15" t="s">
        <v>43354</v>
      </c>
      <c r="C22026" s="16">
        <f>285.88/(1+B2)</f>
        <v>285.88</v>
      </c>
      <c r="D22026" s="17" t="s">
        <v>11</v>
      </c>
      <c r="E22026" s="17"/>
      <c r="F22026" s="18"/>
      <c r="G22026" s="36" t="str">
        <f>IF(ISNUMBER(F22026),C22026*F22026,"")</f>
        <v/>
      </c>
    </row>
    <row r="22027" spans="1:7" ht="12" customHeight="1" outlineLevel="2" x14ac:dyDescent="0.2">
      <c r="A22027" s="14" t="s">
        <v>43355</v>
      </c>
      <c r="B22027" s="15" t="s">
        <v>43356</v>
      </c>
      <c r="C22027" s="16">
        <f>285.88/(1+B2)</f>
        <v>285.88</v>
      </c>
      <c r="D22027" s="17" t="s">
        <v>11</v>
      </c>
      <c r="E22027" s="17" t="s">
        <v>11</v>
      </c>
      <c r="F22027" s="18"/>
      <c r="G22027" s="36" t="str">
        <f>IF(ISNUMBER(F22027),C22027*F22027,"")</f>
        <v/>
      </c>
    </row>
    <row r="22028" spans="1:7" ht="12" customHeight="1" outlineLevel="2" x14ac:dyDescent="0.2">
      <c r="A22028" s="14" t="s">
        <v>43357</v>
      </c>
      <c r="B22028" s="15" t="s">
        <v>43358</v>
      </c>
      <c r="C22028" s="16">
        <f>285.88/(1+B2)</f>
        <v>285.88</v>
      </c>
      <c r="D22028" s="17" t="s">
        <v>11</v>
      </c>
      <c r="E22028" s="17" t="s">
        <v>11</v>
      </c>
      <c r="F22028" s="18"/>
      <c r="G22028" s="36" t="str">
        <f>IF(ISNUMBER(F22028),C22028*F22028,"")</f>
        <v/>
      </c>
    </row>
    <row r="22029" spans="1:7" ht="12" customHeight="1" outlineLevel="2" x14ac:dyDescent="0.2">
      <c r="A22029" s="14" t="s">
        <v>43359</v>
      </c>
      <c r="B22029" s="15" t="s">
        <v>43360</v>
      </c>
      <c r="C22029" s="16">
        <f>285.88/(1+B2)</f>
        <v>285.88</v>
      </c>
      <c r="D22029" s="17" t="s">
        <v>11</v>
      </c>
      <c r="E22029" s="17" t="s">
        <v>11</v>
      </c>
      <c r="F22029" s="18"/>
      <c r="G22029" s="36" t="str">
        <f>IF(ISNUMBER(F22029),C22029*F22029,"")</f>
        <v/>
      </c>
    </row>
    <row r="22030" spans="1:7" ht="12" customHeight="1" outlineLevel="2" x14ac:dyDescent="0.2">
      <c r="A22030" s="14" t="s">
        <v>43361</v>
      </c>
      <c r="B22030" s="15" t="s">
        <v>43362</v>
      </c>
      <c r="C22030" s="16">
        <f>285.88/(1+B2)</f>
        <v>285.88</v>
      </c>
      <c r="D22030" s="17" t="s">
        <v>11</v>
      </c>
      <c r="E22030" s="17"/>
      <c r="F22030" s="18"/>
      <c r="G22030" s="36" t="str">
        <f>IF(ISNUMBER(F22030),C22030*F22030,"")</f>
        <v/>
      </c>
    </row>
    <row r="22031" spans="1:7" ht="12" customHeight="1" outlineLevel="2" x14ac:dyDescent="0.2">
      <c r="A22031" s="14" t="s">
        <v>43363</v>
      </c>
      <c r="B22031" s="15" t="s">
        <v>43364</v>
      </c>
      <c r="C22031" s="16">
        <f>285.88/(1+B2)</f>
        <v>285.88</v>
      </c>
      <c r="D22031" s="17" t="s">
        <v>11</v>
      </c>
      <c r="E22031" s="17"/>
      <c r="F22031" s="18"/>
      <c r="G22031" s="36" t="str">
        <f>IF(ISNUMBER(F22031),C22031*F22031,"")</f>
        <v/>
      </c>
    </row>
    <row r="22032" spans="1:7" ht="12" customHeight="1" outlineLevel="2" x14ac:dyDescent="0.2">
      <c r="A22032" s="14" t="s">
        <v>43365</v>
      </c>
      <c r="B22032" s="15" t="s">
        <v>43366</v>
      </c>
      <c r="C22032" s="16">
        <f>285.88/(1+B2)</f>
        <v>285.88</v>
      </c>
      <c r="D22032" s="17" t="s">
        <v>11</v>
      </c>
      <c r="E22032" s="17"/>
      <c r="F22032" s="18"/>
      <c r="G22032" s="36" t="str">
        <f>IF(ISNUMBER(F22032),C22032*F22032,"")</f>
        <v/>
      </c>
    </row>
    <row r="22033" spans="1:7" ht="12" customHeight="1" outlineLevel="2" x14ac:dyDescent="0.2">
      <c r="A22033" s="14" t="s">
        <v>43367</v>
      </c>
      <c r="B22033" s="15" t="s">
        <v>43368</v>
      </c>
      <c r="C22033" s="16">
        <f>285.88/(1+B2)</f>
        <v>285.88</v>
      </c>
      <c r="D22033" s="17" t="s">
        <v>11</v>
      </c>
      <c r="E22033" s="17" t="s">
        <v>14</v>
      </c>
      <c r="F22033" s="18"/>
      <c r="G22033" s="36" t="str">
        <f>IF(ISNUMBER(F22033),C22033*F22033,"")</f>
        <v/>
      </c>
    </row>
    <row r="22034" spans="1:7" ht="12" customHeight="1" outlineLevel="2" x14ac:dyDescent="0.2">
      <c r="A22034" s="14" t="s">
        <v>43369</v>
      </c>
      <c r="B22034" s="15" t="s">
        <v>43370</v>
      </c>
      <c r="C22034" s="16">
        <f>285.88/(1+B2)</f>
        <v>285.88</v>
      </c>
      <c r="D22034" s="17" t="s">
        <v>11</v>
      </c>
      <c r="E22034" s="17" t="s">
        <v>11</v>
      </c>
      <c r="F22034" s="18"/>
      <c r="G22034" s="36" t="str">
        <f>IF(ISNUMBER(F22034),C22034*F22034,"")</f>
        <v/>
      </c>
    </row>
    <row r="22035" spans="1:7" ht="12" customHeight="1" outlineLevel="2" x14ac:dyDescent="0.2">
      <c r="A22035" s="14" t="s">
        <v>43371</v>
      </c>
      <c r="B22035" s="15" t="s">
        <v>43372</v>
      </c>
      <c r="C22035" s="16">
        <f>285.88/(1+B2)</f>
        <v>285.88</v>
      </c>
      <c r="D22035" s="17" t="s">
        <v>11</v>
      </c>
      <c r="E22035" s="17" t="s">
        <v>14</v>
      </c>
      <c r="F22035" s="18"/>
      <c r="G22035" s="36" t="str">
        <f>IF(ISNUMBER(F22035),C22035*F22035,"")</f>
        <v/>
      </c>
    </row>
    <row r="22036" spans="1:7" ht="12" customHeight="1" outlineLevel="2" x14ac:dyDescent="0.2">
      <c r="A22036" s="14" t="s">
        <v>43373</v>
      </c>
      <c r="B22036" s="15" t="s">
        <v>43374</v>
      </c>
      <c r="C22036" s="16">
        <f>285.88/(1+B2)</f>
        <v>285.88</v>
      </c>
      <c r="D22036" s="17" t="s">
        <v>11</v>
      </c>
      <c r="E22036" s="17"/>
      <c r="F22036" s="18"/>
      <c r="G22036" s="36" t="str">
        <f>IF(ISNUMBER(F22036),C22036*F22036,"")</f>
        <v/>
      </c>
    </row>
    <row r="22037" spans="1:7" ht="12" customHeight="1" outlineLevel="2" x14ac:dyDescent="0.2">
      <c r="A22037" s="14" t="s">
        <v>43375</v>
      </c>
      <c r="B22037" s="15" t="s">
        <v>43376</v>
      </c>
      <c r="C22037" s="16">
        <f>285.88/(1+B2)</f>
        <v>285.88</v>
      </c>
      <c r="D22037" s="17" t="s">
        <v>11</v>
      </c>
      <c r="E22037" s="17"/>
      <c r="F22037" s="18"/>
      <c r="G22037" s="36" t="str">
        <f>IF(ISNUMBER(F22037),C22037*F22037,"")</f>
        <v/>
      </c>
    </row>
    <row r="22038" spans="1:7" ht="12" customHeight="1" outlineLevel="2" x14ac:dyDescent="0.2">
      <c r="A22038" s="14" t="s">
        <v>43377</v>
      </c>
      <c r="B22038" s="15" t="s">
        <v>43378</v>
      </c>
      <c r="C22038" s="16">
        <f>285.88/(1+B2)</f>
        <v>285.88</v>
      </c>
      <c r="D22038" s="17" t="s">
        <v>11</v>
      </c>
      <c r="E22038" s="17" t="s">
        <v>11</v>
      </c>
      <c r="F22038" s="18"/>
      <c r="G22038" s="36" t="str">
        <f>IF(ISNUMBER(F22038),C22038*F22038,"")</f>
        <v/>
      </c>
    </row>
    <row r="22039" spans="1:7" ht="12" customHeight="1" outlineLevel="2" x14ac:dyDescent="0.2">
      <c r="A22039" s="14" t="s">
        <v>43379</v>
      </c>
      <c r="B22039" s="15" t="s">
        <v>43380</v>
      </c>
      <c r="C22039" s="16">
        <f>285.88/(1+B2)</f>
        <v>285.88</v>
      </c>
      <c r="D22039" s="17" t="s">
        <v>11</v>
      </c>
      <c r="E22039" s="17" t="s">
        <v>14</v>
      </c>
      <c r="F22039" s="18"/>
      <c r="G22039" s="36" t="str">
        <f>IF(ISNUMBER(F22039),C22039*F22039,"")</f>
        <v/>
      </c>
    </row>
    <row r="22040" spans="1:7" ht="12" customHeight="1" outlineLevel="2" x14ac:dyDescent="0.2">
      <c r="A22040" s="14" t="s">
        <v>43381</v>
      </c>
      <c r="B22040" s="15" t="s">
        <v>43382</v>
      </c>
      <c r="C22040" s="16">
        <f>285.88/(1+B2)</f>
        <v>285.88</v>
      </c>
      <c r="D22040" s="17" t="s">
        <v>11</v>
      </c>
      <c r="E22040" s="17" t="s">
        <v>11</v>
      </c>
      <c r="F22040" s="18"/>
      <c r="G22040" s="36" t="str">
        <f>IF(ISNUMBER(F22040),C22040*F22040,"")</f>
        <v/>
      </c>
    </row>
    <row r="22041" spans="1:7" ht="12" customHeight="1" outlineLevel="2" x14ac:dyDescent="0.2">
      <c r="A22041" s="14" t="s">
        <v>43383</v>
      </c>
      <c r="B22041" s="15" t="s">
        <v>43384</v>
      </c>
      <c r="C22041" s="16">
        <f>285.88/(1+B2)</f>
        <v>285.88</v>
      </c>
      <c r="D22041" s="17" t="s">
        <v>11</v>
      </c>
      <c r="E22041" s="17" t="s">
        <v>11</v>
      </c>
      <c r="F22041" s="18"/>
      <c r="G22041" s="36" t="str">
        <f>IF(ISNUMBER(F22041),C22041*F22041,"")</f>
        <v/>
      </c>
    </row>
    <row r="22042" spans="1:7" ht="12" customHeight="1" outlineLevel="2" x14ac:dyDescent="0.2">
      <c r="A22042" s="14" t="s">
        <v>43385</v>
      </c>
      <c r="B22042" s="15" t="s">
        <v>43386</v>
      </c>
      <c r="C22042" s="16">
        <f>285.88/(1+B2)</f>
        <v>285.88</v>
      </c>
      <c r="D22042" s="17" t="s">
        <v>11</v>
      </c>
      <c r="E22042" s="17" t="s">
        <v>11</v>
      </c>
      <c r="F22042" s="18"/>
      <c r="G22042" s="36" t="str">
        <f>IF(ISNUMBER(F22042),C22042*F22042,"")</f>
        <v/>
      </c>
    </row>
    <row r="22043" spans="1:7" ht="12" customHeight="1" outlineLevel="2" x14ac:dyDescent="0.2">
      <c r="A22043" s="14" t="s">
        <v>43387</v>
      </c>
      <c r="B22043" s="15" t="s">
        <v>43388</v>
      </c>
      <c r="C22043" s="16">
        <f>285.88/(1+B2)</f>
        <v>285.88</v>
      </c>
      <c r="D22043" s="17" t="s">
        <v>11</v>
      </c>
      <c r="E22043" s="17" t="s">
        <v>11</v>
      </c>
      <c r="F22043" s="18"/>
      <c r="G22043" s="36" t="str">
        <f>IF(ISNUMBER(F22043),C22043*F22043,"")</f>
        <v/>
      </c>
    </row>
    <row r="22044" spans="1:7" ht="12" customHeight="1" outlineLevel="2" x14ac:dyDescent="0.2">
      <c r="A22044" s="14" t="s">
        <v>43389</v>
      </c>
      <c r="B22044" s="15" t="s">
        <v>43390</v>
      </c>
      <c r="C22044" s="16">
        <f>285.88/(1+B2)</f>
        <v>285.88</v>
      </c>
      <c r="D22044" s="17" t="s">
        <v>11</v>
      </c>
      <c r="E22044" s="17" t="s">
        <v>11</v>
      </c>
      <c r="F22044" s="18"/>
      <c r="G22044" s="36" t="str">
        <f>IF(ISNUMBER(F22044),C22044*F22044,"")</f>
        <v/>
      </c>
    </row>
    <row r="22045" spans="1:7" ht="12" customHeight="1" outlineLevel="2" x14ac:dyDescent="0.2">
      <c r="A22045" s="14" t="s">
        <v>43391</v>
      </c>
      <c r="B22045" s="15" t="s">
        <v>43392</v>
      </c>
      <c r="C22045" s="16">
        <f>285.88/(1+B2)</f>
        <v>285.88</v>
      </c>
      <c r="D22045" s="17" t="s">
        <v>11</v>
      </c>
      <c r="E22045" s="17" t="s">
        <v>11</v>
      </c>
      <c r="F22045" s="18"/>
      <c r="G22045" s="36" t="str">
        <f>IF(ISNUMBER(F22045),C22045*F22045,"")</f>
        <v/>
      </c>
    </row>
    <row r="22046" spans="1:7" ht="12" customHeight="1" outlineLevel="2" x14ac:dyDescent="0.2">
      <c r="A22046" s="14" t="s">
        <v>43393</v>
      </c>
      <c r="B22046" s="15" t="s">
        <v>43394</v>
      </c>
      <c r="C22046" s="16">
        <f>285.88/(1+B2)</f>
        <v>285.88</v>
      </c>
      <c r="D22046" s="17" t="s">
        <v>11</v>
      </c>
      <c r="E22046" s="17" t="s">
        <v>11</v>
      </c>
      <c r="F22046" s="18"/>
      <c r="G22046" s="36" t="str">
        <f>IF(ISNUMBER(F22046),C22046*F22046,"")</f>
        <v/>
      </c>
    </row>
    <row r="22047" spans="1:7" ht="12" customHeight="1" outlineLevel="2" x14ac:dyDescent="0.2">
      <c r="A22047" s="14" t="s">
        <v>43395</v>
      </c>
      <c r="B22047" s="15" t="s">
        <v>43396</v>
      </c>
      <c r="C22047" s="16">
        <f>285.88/(1+B2)</f>
        <v>285.88</v>
      </c>
      <c r="D22047" s="17" t="s">
        <v>11</v>
      </c>
      <c r="E22047" s="17"/>
      <c r="F22047" s="18"/>
      <c r="G22047" s="36" t="str">
        <f>IF(ISNUMBER(F22047),C22047*F22047,"")</f>
        <v/>
      </c>
    </row>
    <row r="22048" spans="1:7" ht="12" customHeight="1" outlineLevel="2" x14ac:dyDescent="0.2">
      <c r="A22048" s="14" t="s">
        <v>43397</v>
      </c>
      <c r="B22048" s="15" t="s">
        <v>43398</v>
      </c>
      <c r="C22048" s="16">
        <f>285.88/(1+B2)</f>
        <v>285.88</v>
      </c>
      <c r="D22048" s="17" t="s">
        <v>11</v>
      </c>
      <c r="E22048" s="17"/>
      <c r="F22048" s="18"/>
      <c r="G22048" s="36" t="str">
        <f>IF(ISNUMBER(F22048),C22048*F22048,"")</f>
        <v/>
      </c>
    </row>
    <row r="22049" spans="1:7" ht="12" customHeight="1" outlineLevel="2" x14ac:dyDescent="0.2">
      <c r="A22049" s="14" t="s">
        <v>43399</v>
      </c>
      <c r="B22049" s="15" t="s">
        <v>43400</v>
      </c>
      <c r="C22049" s="16">
        <f>285.88/(1+B2)</f>
        <v>285.88</v>
      </c>
      <c r="D22049" s="17" t="s">
        <v>11</v>
      </c>
      <c r="E22049" s="17" t="s">
        <v>11</v>
      </c>
      <c r="F22049" s="18"/>
      <c r="G22049" s="36" t="str">
        <f>IF(ISNUMBER(F22049),C22049*F22049,"")</f>
        <v/>
      </c>
    </row>
    <row r="22050" spans="1:7" ht="12" customHeight="1" outlineLevel="2" x14ac:dyDescent="0.2">
      <c r="A22050" s="14" t="s">
        <v>43401</v>
      </c>
      <c r="B22050" s="15" t="s">
        <v>43402</v>
      </c>
      <c r="C22050" s="16">
        <f>285.88/(1+B2)</f>
        <v>285.88</v>
      </c>
      <c r="D22050" s="17" t="s">
        <v>11</v>
      </c>
      <c r="E22050" s="17" t="s">
        <v>11</v>
      </c>
      <c r="F22050" s="18"/>
      <c r="G22050" s="36" t="str">
        <f>IF(ISNUMBER(F22050),C22050*F22050,"")</f>
        <v/>
      </c>
    </row>
    <row r="22051" spans="1:7" ht="12" customHeight="1" outlineLevel="2" x14ac:dyDescent="0.2">
      <c r="A22051" s="14" t="s">
        <v>43403</v>
      </c>
      <c r="B22051" s="15" t="s">
        <v>43404</v>
      </c>
      <c r="C22051" s="16">
        <f>285.88/(1+B2)</f>
        <v>285.88</v>
      </c>
      <c r="D22051" s="17" t="s">
        <v>11</v>
      </c>
      <c r="E22051" s="17" t="s">
        <v>11</v>
      </c>
      <c r="F22051" s="18"/>
      <c r="G22051" s="36" t="str">
        <f>IF(ISNUMBER(F22051),C22051*F22051,"")</f>
        <v/>
      </c>
    </row>
    <row r="22052" spans="1:7" ht="12" customHeight="1" outlineLevel="2" x14ac:dyDescent="0.2">
      <c r="A22052" s="14" t="s">
        <v>43405</v>
      </c>
      <c r="B22052" s="15" t="s">
        <v>43406</v>
      </c>
      <c r="C22052" s="16">
        <f>285.88/(1+B2)</f>
        <v>285.88</v>
      </c>
      <c r="D22052" s="17" t="s">
        <v>11</v>
      </c>
      <c r="E22052" s="17"/>
      <c r="F22052" s="18"/>
      <c r="G22052" s="36" t="str">
        <f>IF(ISNUMBER(F22052),C22052*F22052,"")</f>
        <v/>
      </c>
    </row>
    <row r="22053" spans="1:7" ht="12" customHeight="1" outlineLevel="2" x14ac:dyDescent="0.2">
      <c r="A22053" s="14" t="s">
        <v>43407</v>
      </c>
      <c r="B22053" s="15" t="s">
        <v>43408</v>
      </c>
      <c r="C22053" s="16">
        <f>285.88/(1+B2)</f>
        <v>285.88</v>
      </c>
      <c r="D22053" s="17" t="s">
        <v>11</v>
      </c>
      <c r="E22053" s="17"/>
      <c r="F22053" s="18"/>
      <c r="G22053" s="36" t="str">
        <f>IF(ISNUMBER(F22053),C22053*F22053,"")</f>
        <v/>
      </c>
    </row>
    <row r="22054" spans="1:7" ht="12" customHeight="1" outlineLevel="2" x14ac:dyDescent="0.2">
      <c r="A22054" s="14" t="s">
        <v>43409</v>
      </c>
      <c r="B22054" s="15" t="s">
        <v>43410</v>
      </c>
      <c r="C22054" s="16">
        <f>574.32/(1+B2)</f>
        <v>574.32000000000005</v>
      </c>
      <c r="D22054" s="17" t="s">
        <v>11</v>
      </c>
      <c r="E22054" s="17" t="s">
        <v>14</v>
      </c>
      <c r="F22054" s="18"/>
      <c r="G22054" s="36" t="str">
        <f>IF(ISNUMBER(F22054),C22054*F22054,"")</f>
        <v/>
      </c>
    </row>
    <row r="22055" spans="1:7" ht="12" customHeight="1" outlineLevel="2" x14ac:dyDescent="0.2">
      <c r="A22055" s="14" t="s">
        <v>43411</v>
      </c>
      <c r="B22055" s="15" t="s">
        <v>43412</v>
      </c>
      <c r="C22055" s="16">
        <f>249.08/(1+B2)</f>
        <v>249.08</v>
      </c>
      <c r="D22055" s="17" t="s">
        <v>11</v>
      </c>
      <c r="E22055" s="17" t="s">
        <v>11</v>
      </c>
      <c r="F22055" s="18"/>
      <c r="G22055" s="36" t="str">
        <f>IF(ISNUMBER(F22055),C22055*F22055,"")</f>
        <v/>
      </c>
    </row>
    <row r="22056" spans="1:7" s="1" customFormat="1" ht="15.95" customHeight="1" outlineLevel="1" x14ac:dyDescent="0.25">
      <c r="A22056" s="11"/>
      <c r="B22056" s="12" t="s">
        <v>43413</v>
      </c>
      <c r="C22056" s="13"/>
      <c r="D22056" s="13"/>
      <c r="E22056" s="13"/>
      <c r="F22056" s="13"/>
      <c r="G22056" s="35"/>
    </row>
    <row r="22057" spans="1:7" ht="24" customHeight="1" outlineLevel="2" x14ac:dyDescent="0.2">
      <c r="A22057" s="14" t="s">
        <v>43414</v>
      </c>
      <c r="B22057" s="15" t="s">
        <v>43415</v>
      </c>
      <c r="C22057" s="16">
        <f>56.82/(1+B2)</f>
        <v>56.82</v>
      </c>
      <c r="D22057" s="17" t="s">
        <v>11</v>
      </c>
      <c r="E22057" s="17" t="s">
        <v>11</v>
      </c>
      <c r="F22057" s="18"/>
      <c r="G22057" s="36" t="str">
        <f>IF(ISNUMBER(F22057),C22057*F22057,"")</f>
        <v/>
      </c>
    </row>
    <row r="22058" spans="1:7" ht="12" customHeight="1" outlineLevel="2" x14ac:dyDescent="0.2">
      <c r="A22058" s="14" t="s">
        <v>43416</v>
      </c>
      <c r="B22058" s="15" t="s">
        <v>43417</v>
      </c>
      <c r="C22058" s="16">
        <f>428.75/(1+B2)</f>
        <v>428.75</v>
      </c>
      <c r="D22058" s="17" t="s">
        <v>11</v>
      </c>
      <c r="E22058" s="17"/>
      <c r="F22058" s="18"/>
      <c r="G22058" s="36" t="str">
        <f>IF(ISNUMBER(F22058),C22058*F22058,"")</f>
        <v/>
      </c>
    </row>
    <row r="22059" spans="1:7" ht="12" customHeight="1" outlineLevel="2" x14ac:dyDescent="0.2">
      <c r="A22059" s="14" t="s">
        <v>43418</v>
      </c>
      <c r="B22059" s="15" t="s">
        <v>43419</v>
      </c>
      <c r="C22059" s="16">
        <f>428.75/(1+B2)</f>
        <v>428.75</v>
      </c>
      <c r="D22059" s="17" t="s">
        <v>11</v>
      </c>
      <c r="E22059" s="17"/>
      <c r="F22059" s="18"/>
      <c r="G22059" s="36" t="str">
        <f>IF(ISNUMBER(F22059),C22059*F22059,"")</f>
        <v/>
      </c>
    </row>
    <row r="22060" spans="1:7" ht="12" customHeight="1" outlineLevel="2" x14ac:dyDescent="0.2">
      <c r="A22060" s="14" t="s">
        <v>43420</v>
      </c>
      <c r="B22060" s="15" t="s">
        <v>43421</v>
      </c>
      <c r="C22060" s="16">
        <f>428.75/(1+B2)</f>
        <v>428.75</v>
      </c>
      <c r="D22060" s="17" t="s">
        <v>11</v>
      </c>
      <c r="E22060" s="17" t="s">
        <v>11</v>
      </c>
      <c r="F22060" s="18"/>
      <c r="G22060" s="36" t="str">
        <f>IF(ISNUMBER(F22060),C22060*F22060,"")</f>
        <v/>
      </c>
    </row>
    <row r="22061" spans="1:7" ht="12" customHeight="1" outlineLevel="2" x14ac:dyDescent="0.2">
      <c r="A22061" s="14" t="s">
        <v>43422</v>
      </c>
      <c r="B22061" s="15" t="s">
        <v>43423</v>
      </c>
      <c r="C22061" s="16">
        <f>411.25/(1+B2)</f>
        <v>411.25</v>
      </c>
      <c r="D22061" s="17" t="s">
        <v>11</v>
      </c>
      <c r="E22061" s="17" t="s">
        <v>14</v>
      </c>
      <c r="F22061" s="18"/>
      <c r="G22061" s="36" t="str">
        <f>IF(ISNUMBER(F22061),C22061*F22061,"")</f>
        <v/>
      </c>
    </row>
    <row r="22062" spans="1:7" ht="12" customHeight="1" outlineLevel="2" x14ac:dyDescent="0.2">
      <c r="A22062" s="14" t="s">
        <v>43424</v>
      </c>
      <c r="B22062" s="15" t="s">
        <v>43425</v>
      </c>
      <c r="C22062" s="16">
        <f>458.75/(1+B2)</f>
        <v>458.75</v>
      </c>
      <c r="D22062" s="17" t="s">
        <v>11</v>
      </c>
      <c r="E22062" s="17" t="s">
        <v>14</v>
      </c>
      <c r="F22062" s="18"/>
      <c r="G22062" s="36" t="str">
        <f>IF(ISNUMBER(F22062),C22062*F22062,"")</f>
        <v/>
      </c>
    </row>
    <row r="22063" spans="1:7" ht="12" customHeight="1" outlineLevel="2" x14ac:dyDescent="0.2">
      <c r="A22063" s="14" t="s">
        <v>43426</v>
      </c>
      <c r="B22063" s="15" t="s">
        <v>43427</v>
      </c>
      <c r="C22063" s="16">
        <f>428.75/(1+B2)</f>
        <v>428.75</v>
      </c>
      <c r="D22063" s="17" t="s">
        <v>11</v>
      </c>
      <c r="E22063" s="17"/>
      <c r="F22063" s="18"/>
      <c r="G22063" s="36" t="str">
        <f>IF(ISNUMBER(F22063),C22063*F22063,"")</f>
        <v/>
      </c>
    </row>
    <row r="22064" spans="1:7" ht="12" customHeight="1" outlineLevel="2" x14ac:dyDescent="0.2">
      <c r="A22064" s="14" t="s">
        <v>43428</v>
      </c>
      <c r="B22064" s="15" t="s">
        <v>43429</v>
      </c>
      <c r="C22064" s="16">
        <f>437.5/(1+B2)</f>
        <v>437.5</v>
      </c>
      <c r="D22064" s="17" t="s">
        <v>11</v>
      </c>
      <c r="E22064" s="17" t="s">
        <v>14</v>
      </c>
      <c r="F22064" s="18"/>
      <c r="G22064" s="36" t="str">
        <f>IF(ISNUMBER(F22064),C22064*F22064,"")</f>
        <v/>
      </c>
    </row>
    <row r="22065" spans="1:7" ht="12" customHeight="1" outlineLevel="2" x14ac:dyDescent="0.2">
      <c r="A22065" s="14" t="s">
        <v>43430</v>
      </c>
      <c r="B22065" s="15" t="s">
        <v>43431</v>
      </c>
      <c r="C22065" s="16">
        <f>428.75/(1+B2)</f>
        <v>428.75</v>
      </c>
      <c r="D22065" s="17" t="s">
        <v>11</v>
      </c>
      <c r="E22065" s="17"/>
      <c r="F22065" s="18"/>
      <c r="G22065" s="36" t="str">
        <f>IF(ISNUMBER(F22065),C22065*F22065,"")</f>
        <v/>
      </c>
    </row>
    <row r="22066" spans="1:7" ht="12" customHeight="1" outlineLevel="2" x14ac:dyDescent="0.2">
      <c r="A22066" s="14" t="s">
        <v>43432</v>
      </c>
      <c r="B22066" s="15" t="s">
        <v>43433</v>
      </c>
      <c r="C22066" s="16">
        <f>411.25/(1+B2)</f>
        <v>411.25</v>
      </c>
      <c r="D22066" s="17" t="s">
        <v>11</v>
      </c>
      <c r="E22066" s="17" t="s">
        <v>14</v>
      </c>
      <c r="F22066" s="18"/>
      <c r="G22066" s="36" t="str">
        <f>IF(ISNUMBER(F22066),C22066*F22066,"")</f>
        <v/>
      </c>
    </row>
    <row r="22067" spans="1:7" ht="12" customHeight="1" outlineLevel="2" x14ac:dyDescent="0.2">
      <c r="A22067" s="14" t="s">
        <v>43434</v>
      </c>
      <c r="B22067" s="15" t="s">
        <v>43435</v>
      </c>
      <c r="C22067" s="16">
        <f>437.5/(1+B2)</f>
        <v>437.5</v>
      </c>
      <c r="D22067" s="17" t="s">
        <v>11</v>
      </c>
      <c r="E22067" s="17" t="s">
        <v>14</v>
      </c>
      <c r="F22067" s="18"/>
      <c r="G22067" s="36" t="str">
        <f>IF(ISNUMBER(F22067),C22067*F22067,"")</f>
        <v/>
      </c>
    </row>
    <row r="22068" spans="1:7" ht="12" customHeight="1" outlineLevel="2" x14ac:dyDescent="0.2">
      <c r="A22068" s="14" t="s">
        <v>43436</v>
      </c>
      <c r="B22068" s="15" t="s">
        <v>43437</v>
      </c>
      <c r="C22068" s="16">
        <f>415/(1+B2)</f>
        <v>415</v>
      </c>
      <c r="D22068" s="17" t="s">
        <v>11</v>
      </c>
      <c r="E22068" s="17"/>
      <c r="F22068" s="18"/>
      <c r="G22068" s="36" t="str">
        <f>IF(ISNUMBER(F22068),C22068*F22068,"")</f>
        <v/>
      </c>
    </row>
    <row r="22069" spans="1:7" ht="12" customHeight="1" outlineLevel="2" x14ac:dyDescent="0.2">
      <c r="A22069" s="14" t="s">
        <v>43438</v>
      </c>
      <c r="B22069" s="15" t="s">
        <v>43439</v>
      </c>
      <c r="C22069" s="16">
        <f>415/(1+B2)</f>
        <v>415</v>
      </c>
      <c r="D22069" s="17" t="s">
        <v>11</v>
      </c>
      <c r="E22069" s="17" t="s">
        <v>11</v>
      </c>
      <c r="F22069" s="18"/>
      <c r="G22069" s="36" t="str">
        <f>IF(ISNUMBER(F22069),C22069*F22069,"")</f>
        <v/>
      </c>
    </row>
    <row r="22070" spans="1:7" ht="12" customHeight="1" outlineLevel="2" x14ac:dyDescent="0.2">
      <c r="A22070" s="14" t="s">
        <v>43440</v>
      </c>
      <c r="B22070" s="15" t="s">
        <v>43441</v>
      </c>
      <c r="C22070" s="16">
        <f>415/(1+B2)</f>
        <v>415</v>
      </c>
      <c r="D22070" s="17" t="s">
        <v>11</v>
      </c>
      <c r="E22070" s="17"/>
      <c r="F22070" s="18"/>
      <c r="G22070" s="36" t="str">
        <f>IF(ISNUMBER(F22070),C22070*F22070,"")</f>
        <v/>
      </c>
    </row>
    <row r="22071" spans="1:7" ht="12" customHeight="1" outlineLevel="2" x14ac:dyDescent="0.2">
      <c r="A22071" s="14" t="s">
        <v>43442</v>
      </c>
      <c r="B22071" s="15" t="s">
        <v>43443</v>
      </c>
      <c r="C22071" s="16">
        <f>642/(1+B2)</f>
        <v>642</v>
      </c>
      <c r="D22071" s="17" t="s">
        <v>11</v>
      </c>
      <c r="E22071" s="17" t="s">
        <v>11</v>
      </c>
      <c r="F22071" s="18"/>
      <c r="G22071" s="36" t="str">
        <f>IF(ISNUMBER(F22071),C22071*F22071,"")</f>
        <v/>
      </c>
    </row>
    <row r="22072" spans="1:7" ht="12" customHeight="1" outlineLevel="2" x14ac:dyDescent="0.2">
      <c r="A22072" s="14" t="s">
        <v>43444</v>
      </c>
      <c r="B22072" s="15" t="s">
        <v>43445</v>
      </c>
      <c r="C22072" s="16">
        <f>170.15/(1+B2)</f>
        <v>170.15</v>
      </c>
      <c r="D22072" s="17" t="s">
        <v>11</v>
      </c>
      <c r="E22072" s="17"/>
      <c r="F22072" s="18"/>
      <c r="G22072" s="36" t="str">
        <f>IF(ISNUMBER(F22072),C22072*F22072,"")</f>
        <v/>
      </c>
    </row>
    <row r="22073" spans="1:7" ht="24" customHeight="1" outlineLevel="2" x14ac:dyDescent="0.2">
      <c r="A22073" s="14" t="s">
        <v>43446</v>
      </c>
      <c r="B22073" s="15" t="s">
        <v>43447</v>
      </c>
      <c r="C22073" s="16">
        <f>243.14/(1+B2)</f>
        <v>243.14</v>
      </c>
      <c r="D22073" s="17" t="s">
        <v>11</v>
      </c>
      <c r="E22073" s="17"/>
      <c r="F22073" s="18"/>
      <c r="G22073" s="36" t="str">
        <f>IF(ISNUMBER(F22073),C22073*F22073,"")</f>
        <v/>
      </c>
    </row>
    <row r="22074" spans="1:7" s="1" customFormat="1" ht="15.95" customHeight="1" outlineLevel="1" x14ac:dyDescent="0.25">
      <c r="A22074" s="11"/>
      <c r="B22074" s="12" t="s">
        <v>43448</v>
      </c>
      <c r="C22074" s="13"/>
      <c r="D22074" s="13"/>
      <c r="E22074" s="13"/>
      <c r="F22074" s="13"/>
      <c r="G22074" s="35"/>
    </row>
    <row r="22075" spans="1:7" ht="12" customHeight="1" outlineLevel="2" x14ac:dyDescent="0.2">
      <c r="A22075" s="14" t="s">
        <v>43449</v>
      </c>
      <c r="B22075" s="15" t="s">
        <v>43450</v>
      </c>
      <c r="C22075" s="16">
        <f>794.82/(1+B2)</f>
        <v>794.82</v>
      </c>
      <c r="D22075" s="17" t="s">
        <v>11</v>
      </c>
      <c r="E22075" s="17" t="s">
        <v>11</v>
      </c>
      <c r="F22075" s="18"/>
      <c r="G22075" s="36" t="str">
        <f>IF(ISNUMBER(F22075),C22075*F22075,"")</f>
        <v/>
      </c>
    </row>
    <row r="22076" spans="1:7" ht="12" customHeight="1" outlineLevel="2" x14ac:dyDescent="0.2">
      <c r="A22076" s="14" t="s">
        <v>43451</v>
      </c>
      <c r="B22076" s="15" t="s">
        <v>43452</v>
      </c>
      <c r="C22076" s="16">
        <f>759.86/(1+B2)</f>
        <v>759.86</v>
      </c>
      <c r="D22076" s="17" t="s">
        <v>11</v>
      </c>
      <c r="E22076" s="17" t="s">
        <v>11</v>
      </c>
      <c r="F22076" s="18"/>
      <c r="G22076" s="36" t="str">
        <f>IF(ISNUMBER(F22076),C22076*F22076,"")</f>
        <v/>
      </c>
    </row>
    <row r="22077" spans="1:7" ht="12" customHeight="1" outlineLevel="2" x14ac:dyDescent="0.2">
      <c r="A22077" s="14" t="s">
        <v>43453</v>
      </c>
      <c r="B22077" s="15" t="s">
        <v>43454</v>
      </c>
      <c r="C22077" s="16">
        <f>510.96/(1+B2)</f>
        <v>510.96</v>
      </c>
      <c r="D22077" s="17" t="s">
        <v>11</v>
      </c>
      <c r="E22077" s="17" t="s">
        <v>53</v>
      </c>
      <c r="F22077" s="18"/>
      <c r="G22077" s="36" t="str">
        <f>IF(ISNUMBER(F22077),C22077*F22077,"")</f>
        <v/>
      </c>
    </row>
    <row r="22078" spans="1:7" ht="12" customHeight="1" outlineLevel="2" x14ac:dyDescent="0.2">
      <c r="A22078" s="14" t="s">
        <v>43455</v>
      </c>
      <c r="B22078" s="15" t="s">
        <v>43456</v>
      </c>
      <c r="C22078" s="16">
        <f>732.86/(1+B2)</f>
        <v>732.86</v>
      </c>
      <c r="D22078" s="17" t="s">
        <v>11</v>
      </c>
      <c r="E22078" s="17" t="s">
        <v>14</v>
      </c>
      <c r="F22078" s="18"/>
      <c r="G22078" s="36" t="str">
        <f>IF(ISNUMBER(F22078),C22078*F22078,"")</f>
        <v/>
      </c>
    </row>
    <row r="22079" spans="1:7" ht="12" customHeight="1" outlineLevel="2" x14ac:dyDescent="0.2">
      <c r="A22079" s="14" t="s">
        <v>43457</v>
      </c>
      <c r="B22079" s="15" t="s">
        <v>43458</v>
      </c>
      <c r="C22079" s="16">
        <f>732.86/(1+B2)</f>
        <v>732.86</v>
      </c>
      <c r="D22079" s="17" t="s">
        <v>11</v>
      </c>
      <c r="E22079" s="17" t="s">
        <v>11</v>
      </c>
      <c r="F22079" s="18"/>
      <c r="G22079" s="36" t="str">
        <f>IF(ISNUMBER(F22079),C22079*F22079,"")</f>
        <v/>
      </c>
    </row>
    <row r="22080" spans="1:7" ht="12" customHeight="1" outlineLevel="2" x14ac:dyDescent="0.2">
      <c r="A22080" s="14" t="s">
        <v>43459</v>
      </c>
      <c r="B22080" s="15" t="s">
        <v>43460</v>
      </c>
      <c r="C22080" s="16">
        <f>832.86/(1+B2)</f>
        <v>832.86</v>
      </c>
      <c r="D22080" s="17" t="s">
        <v>11</v>
      </c>
      <c r="E22080" s="17" t="s">
        <v>11</v>
      </c>
      <c r="F22080" s="18"/>
      <c r="G22080" s="36" t="str">
        <f>IF(ISNUMBER(F22080),C22080*F22080,"")</f>
        <v/>
      </c>
    </row>
    <row r="22081" spans="1:7" ht="12" customHeight="1" outlineLevel="2" x14ac:dyDescent="0.2">
      <c r="A22081" s="14" t="s">
        <v>43461</v>
      </c>
      <c r="B22081" s="15" t="s">
        <v>43462</v>
      </c>
      <c r="C22081" s="19">
        <f>1040.74/(1+B2)</f>
        <v>1040.74</v>
      </c>
      <c r="D22081" s="17" t="s">
        <v>11</v>
      </c>
      <c r="E22081" s="17" t="s">
        <v>11</v>
      </c>
      <c r="F22081" s="18"/>
      <c r="G22081" s="36" t="str">
        <f>IF(ISNUMBER(F22081),C22081*F22081,"")</f>
        <v/>
      </c>
    </row>
    <row r="22082" spans="1:7" ht="12" customHeight="1" outlineLevel="2" x14ac:dyDescent="0.2">
      <c r="A22082" s="14" t="s">
        <v>43463</v>
      </c>
      <c r="B22082" s="15" t="s">
        <v>43464</v>
      </c>
      <c r="C22082" s="19">
        <f>1092.13/(1+B2)</f>
        <v>1092.1300000000001</v>
      </c>
      <c r="D22082" s="17" t="s">
        <v>11</v>
      </c>
      <c r="E22082" s="17" t="s">
        <v>11</v>
      </c>
      <c r="F22082" s="18"/>
      <c r="G22082" s="36" t="str">
        <f>IF(ISNUMBER(F22082),C22082*F22082,"")</f>
        <v/>
      </c>
    </row>
    <row r="22083" spans="1:7" ht="24" customHeight="1" outlineLevel="2" x14ac:dyDescent="0.2">
      <c r="A22083" s="14" t="s">
        <v>43465</v>
      </c>
      <c r="B22083" s="15" t="s">
        <v>43466</v>
      </c>
      <c r="C22083" s="16">
        <f>399.02/(1+B2)</f>
        <v>399.02</v>
      </c>
      <c r="D22083" s="17" t="s">
        <v>11</v>
      </c>
      <c r="E22083" s="17"/>
      <c r="F22083" s="18"/>
      <c r="G22083" s="36" t="str">
        <f>IF(ISNUMBER(F22083),C22083*F22083,"")</f>
        <v/>
      </c>
    </row>
    <row r="22084" spans="1:7" ht="24" customHeight="1" outlineLevel="2" x14ac:dyDescent="0.2">
      <c r="A22084" s="14" t="s">
        <v>43467</v>
      </c>
      <c r="B22084" s="15" t="s">
        <v>43468</v>
      </c>
      <c r="C22084" s="16">
        <f>399.02/(1+B2)</f>
        <v>399.02</v>
      </c>
      <c r="D22084" s="17" t="s">
        <v>11</v>
      </c>
      <c r="E22084" s="17"/>
      <c r="F22084" s="18"/>
      <c r="G22084" s="36" t="str">
        <f>IF(ISNUMBER(F22084),C22084*F22084,"")</f>
        <v/>
      </c>
    </row>
    <row r="22085" spans="1:7" ht="24" customHeight="1" outlineLevel="2" x14ac:dyDescent="0.2">
      <c r="A22085" s="14" t="s">
        <v>43469</v>
      </c>
      <c r="B22085" s="15" t="s">
        <v>43470</v>
      </c>
      <c r="C22085" s="16">
        <f>579.02/(1+B2)</f>
        <v>579.02</v>
      </c>
      <c r="D22085" s="17" t="s">
        <v>11</v>
      </c>
      <c r="E22085" s="17"/>
      <c r="F22085" s="18"/>
      <c r="G22085" s="36" t="str">
        <f>IF(ISNUMBER(F22085),C22085*F22085,"")</f>
        <v/>
      </c>
    </row>
    <row r="22086" spans="1:7" ht="24" customHeight="1" outlineLevel="2" x14ac:dyDescent="0.2">
      <c r="A22086" s="14" t="s">
        <v>43471</v>
      </c>
      <c r="B22086" s="15" t="s">
        <v>43472</v>
      </c>
      <c r="C22086" s="16">
        <f>579.02/(1+B2)</f>
        <v>579.02</v>
      </c>
      <c r="D22086" s="17" t="s">
        <v>11</v>
      </c>
      <c r="E22086" s="17"/>
      <c r="F22086" s="18"/>
      <c r="G22086" s="36" t="str">
        <f>IF(ISNUMBER(F22086),C22086*F22086,"")</f>
        <v/>
      </c>
    </row>
    <row r="22087" spans="1:7" ht="24" customHeight="1" outlineLevel="2" x14ac:dyDescent="0.2">
      <c r="A22087" s="14" t="s">
        <v>43473</v>
      </c>
      <c r="B22087" s="15" t="s">
        <v>43474</v>
      </c>
      <c r="C22087" s="16">
        <f>579.02/(1+B2)</f>
        <v>579.02</v>
      </c>
      <c r="D22087" s="17" t="s">
        <v>11</v>
      </c>
      <c r="E22087" s="17"/>
      <c r="F22087" s="18"/>
      <c r="G22087" s="36" t="str">
        <f>IF(ISNUMBER(F22087),C22087*F22087,"")</f>
        <v/>
      </c>
    </row>
    <row r="22088" spans="1:7" ht="12" customHeight="1" outlineLevel="2" x14ac:dyDescent="0.2">
      <c r="A22088" s="14" t="s">
        <v>43475</v>
      </c>
      <c r="B22088" s="15" t="s">
        <v>43476</v>
      </c>
      <c r="C22088" s="16">
        <f>912.49/(1+B2)</f>
        <v>912.49</v>
      </c>
      <c r="D22088" s="17" t="s">
        <v>11</v>
      </c>
      <c r="E22088" s="17" t="s">
        <v>11</v>
      </c>
      <c r="F22088" s="18"/>
      <c r="G22088" s="36" t="str">
        <f>IF(ISNUMBER(F22088),C22088*F22088,"")</f>
        <v/>
      </c>
    </row>
    <row r="22089" spans="1:7" s="1" customFormat="1" ht="15.95" customHeight="1" outlineLevel="1" x14ac:dyDescent="0.25">
      <c r="A22089" s="11"/>
      <c r="B22089" s="12" t="s">
        <v>43477</v>
      </c>
      <c r="C22089" s="13"/>
      <c r="D22089" s="13"/>
      <c r="E22089" s="13"/>
      <c r="F22089" s="13"/>
      <c r="G22089" s="35"/>
    </row>
    <row r="22090" spans="1:7" ht="12" customHeight="1" outlineLevel="2" x14ac:dyDescent="0.2">
      <c r="A22090" s="14" t="s">
        <v>43478</v>
      </c>
      <c r="B22090" s="15" t="s">
        <v>43479</v>
      </c>
      <c r="C22090" s="16">
        <f>150/(1+B2)</f>
        <v>150</v>
      </c>
      <c r="D22090" s="17" t="s">
        <v>14</v>
      </c>
      <c r="E22090" s="17"/>
      <c r="F22090" s="18"/>
      <c r="G22090" s="36" t="str">
        <f>IF(ISNUMBER(F22090),C22090*F22090,"")</f>
        <v/>
      </c>
    </row>
    <row r="22091" spans="1:7" ht="12" customHeight="1" outlineLevel="2" x14ac:dyDescent="0.2">
      <c r="A22091" s="14" t="s">
        <v>43480</v>
      </c>
      <c r="B22091" s="15" t="s">
        <v>43481</v>
      </c>
      <c r="C22091" s="16">
        <f>4.59/(1+B2)</f>
        <v>4.59</v>
      </c>
      <c r="D22091" s="17" t="s">
        <v>14</v>
      </c>
      <c r="E22091" s="17"/>
      <c r="F22091" s="18"/>
      <c r="G22091" s="36" t="str">
        <f>IF(ISNUMBER(F22091),C22091*F22091,"")</f>
        <v/>
      </c>
    </row>
    <row r="22092" spans="1:7" ht="12" customHeight="1" outlineLevel="2" x14ac:dyDescent="0.2">
      <c r="A22092" s="14" t="s">
        <v>43482</v>
      </c>
      <c r="B22092" s="15" t="s">
        <v>43483</v>
      </c>
      <c r="C22092" s="16">
        <f>4.6/(1+B2)</f>
        <v>4.5999999999999996</v>
      </c>
      <c r="D22092" s="17" t="s">
        <v>106</v>
      </c>
      <c r="E22092" s="17"/>
      <c r="F22092" s="18"/>
      <c r="G22092" s="36" t="str">
        <f>IF(ISNUMBER(F22092),C22092*F22092,"")</f>
        <v/>
      </c>
    </row>
    <row r="22093" spans="1:7" ht="12" customHeight="1" outlineLevel="2" x14ac:dyDescent="0.2">
      <c r="A22093" s="14" t="s">
        <v>43484</v>
      </c>
      <c r="B22093" s="15" t="s">
        <v>43485</v>
      </c>
      <c r="C22093" s="16">
        <f>5.94/(1+B2)</f>
        <v>5.94</v>
      </c>
      <c r="D22093" s="17" t="s">
        <v>14</v>
      </c>
      <c r="E22093" s="17"/>
      <c r="F22093" s="18"/>
      <c r="G22093" s="36" t="str">
        <f>IF(ISNUMBER(F22093),C22093*F22093,"")</f>
        <v/>
      </c>
    </row>
    <row r="22094" spans="1:7" ht="12" customHeight="1" outlineLevel="2" x14ac:dyDescent="0.2">
      <c r="A22094" s="14" t="s">
        <v>43486</v>
      </c>
      <c r="B22094" s="15" t="s">
        <v>43487</v>
      </c>
      <c r="C22094" s="16">
        <f>19.28/(1+B2)</f>
        <v>19.28</v>
      </c>
      <c r="D22094" s="17" t="s">
        <v>53</v>
      </c>
      <c r="E22094" s="17"/>
      <c r="F22094" s="18"/>
      <c r="G22094" s="36" t="str">
        <f>IF(ISNUMBER(F22094),C22094*F22094,"")</f>
        <v/>
      </c>
    </row>
    <row r="22095" spans="1:7" ht="12" customHeight="1" outlineLevel="2" x14ac:dyDescent="0.2">
      <c r="A22095" s="14" t="s">
        <v>43488</v>
      </c>
      <c r="B22095" s="15" t="s">
        <v>43489</v>
      </c>
      <c r="C22095" s="16">
        <f>56.56/(1+B2)</f>
        <v>56.56</v>
      </c>
      <c r="D22095" s="17" t="s">
        <v>14</v>
      </c>
      <c r="E22095" s="17" t="s">
        <v>53</v>
      </c>
      <c r="F22095" s="18"/>
      <c r="G22095" s="36" t="str">
        <f>IF(ISNUMBER(F22095),C22095*F22095,"")</f>
        <v/>
      </c>
    </row>
    <row r="22096" spans="1:7" ht="12" customHeight="1" outlineLevel="2" x14ac:dyDescent="0.2">
      <c r="A22096" s="14" t="s">
        <v>43490</v>
      </c>
      <c r="B22096" s="15" t="s">
        <v>43491</v>
      </c>
      <c r="C22096" s="16">
        <f>12.12/(1+B2)</f>
        <v>12.12</v>
      </c>
      <c r="D22096" s="17" t="s">
        <v>14</v>
      </c>
      <c r="E22096" s="17"/>
      <c r="F22096" s="18"/>
      <c r="G22096" s="36" t="str">
        <f>IF(ISNUMBER(F22096),C22096*F22096,"")</f>
        <v/>
      </c>
    </row>
    <row r="22097" spans="1:7" ht="12" customHeight="1" outlineLevel="2" x14ac:dyDescent="0.2">
      <c r="A22097" s="14" t="s">
        <v>43492</v>
      </c>
      <c r="B22097" s="15" t="s">
        <v>43493</v>
      </c>
      <c r="C22097" s="16">
        <f>12.86/(1+B2)</f>
        <v>12.86</v>
      </c>
      <c r="D22097" s="17" t="s">
        <v>53</v>
      </c>
      <c r="E22097" s="17"/>
      <c r="F22097" s="18"/>
      <c r="G22097" s="36" t="str">
        <f>IF(ISNUMBER(F22097),C22097*F22097,"")</f>
        <v/>
      </c>
    </row>
    <row r="22098" spans="1:7" ht="12" customHeight="1" outlineLevel="2" x14ac:dyDescent="0.2">
      <c r="A22098" s="14" t="s">
        <v>43494</v>
      </c>
      <c r="B22098" s="15" t="s">
        <v>43495</v>
      </c>
      <c r="C22098" s="16">
        <f>38.61/(1+B2)</f>
        <v>38.61</v>
      </c>
      <c r="D22098" s="17" t="s">
        <v>53</v>
      </c>
      <c r="E22098" s="17"/>
      <c r="F22098" s="18"/>
      <c r="G22098" s="36" t="str">
        <f>IF(ISNUMBER(F22098),C22098*F22098,"")</f>
        <v/>
      </c>
    </row>
    <row r="22099" spans="1:7" ht="12" customHeight="1" outlineLevel="2" x14ac:dyDescent="0.2">
      <c r="A22099" s="14" t="s">
        <v>43496</v>
      </c>
      <c r="B22099" s="15" t="s">
        <v>43497</v>
      </c>
      <c r="C22099" s="16">
        <f>38.61/(1+B2)</f>
        <v>38.61</v>
      </c>
      <c r="D22099" s="17" t="s">
        <v>14</v>
      </c>
      <c r="E22099" s="17" t="s">
        <v>11</v>
      </c>
      <c r="F22099" s="18"/>
      <c r="G22099" s="36" t="str">
        <f>IF(ISNUMBER(F22099),C22099*F22099,"")</f>
        <v/>
      </c>
    </row>
    <row r="22100" spans="1:7" ht="12" customHeight="1" outlineLevel="2" x14ac:dyDescent="0.2">
      <c r="A22100" s="14" t="s">
        <v>43498</v>
      </c>
      <c r="B22100" s="15" t="s">
        <v>43499</v>
      </c>
      <c r="C22100" s="16">
        <f>38.61/(1+B2)</f>
        <v>38.61</v>
      </c>
      <c r="D22100" s="17" t="s">
        <v>11</v>
      </c>
      <c r="E22100" s="17" t="s">
        <v>53</v>
      </c>
      <c r="F22100" s="18"/>
      <c r="G22100" s="36" t="str">
        <f>IF(ISNUMBER(F22100),C22100*F22100,"")</f>
        <v/>
      </c>
    </row>
    <row r="22101" spans="1:7" ht="12" customHeight="1" outlineLevel="2" x14ac:dyDescent="0.2">
      <c r="A22101" s="14" t="s">
        <v>43500</v>
      </c>
      <c r="B22101" s="15" t="s">
        <v>43501</v>
      </c>
      <c r="C22101" s="16">
        <f>0.65/(1+B2)</f>
        <v>0.65</v>
      </c>
      <c r="D22101" s="17" t="s">
        <v>106</v>
      </c>
      <c r="E22101" s="17" t="s">
        <v>106</v>
      </c>
      <c r="F22101" s="18"/>
      <c r="G22101" s="36" t="str">
        <f>IF(ISNUMBER(F22101),C22101*F22101,"")</f>
        <v/>
      </c>
    </row>
    <row r="22102" spans="1:7" ht="12" customHeight="1" outlineLevel="2" x14ac:dyDescent="0.2">
      <c r="A22102" s="14" t="s">
        <v>43502</v>
      </c>
      <c r="B22102" s="15" t="s">
        <v>43503</v>
      </c>
      <c r="C22102" s="16">
        <f>0.65/(1+B2)</f>
        <v>0.65</v>
      </c>
      <c r="D22102" s="17" t="s">
        <v>106</v>
      </c>
      <c r="E22102" s="17"/>
      <c r="F22102" s="18"/>
      <c r="G22102" s="36" t="str">
        <f>IF(ISNUMBER(F22102),C22102*F22102,"")</f>
        <v/>
      </c>
    </row>
    <row r="22103" spans="1:7" ht="12" customHeight="1" outlineLevel="2" x14ac:dyDescent="0.2">
      <c r="A22103" s="14" t="s">
        <v>43504</v>
      </c>
      <c r="B22103" s="15" t="s">
        <v>43505</v>
      </c>
      <c r="C22103" s="16">
        <f>5/(1+B2)</f>
        <v>5</v>
      </c>
      <c r="D22103" s="17" t="s">
        <v>53</v>
      </c>
      <c r="E22103" s="17"/>
      <c r="F22103" s="18"/>
      <c r="G22103" s="36" t="str">
        <f>IF(ISNUMBER(F22103),C22103*F22103,"")</f>
        <v/>
      </c>
    </row>
    <row r="22104" spans="1:7" ht="12" customHeight="1" outlineLevel="2" x14ac:dyDescent="0.2">
      <c r="A22104" s="14" t="s">
        <v>43506</v>
      </c>
      <c r="B22104" s="15" t="s">
        <v>43507</v>
      </c>
      <c r="C22104" s="16">
        <f>0.5/(1+B2)</f>
        <v>0.5</v>
      </c>
      <c r="D22104" s="17" t="s">
        <v>106</v>
      </c>
      <c r="E22104" s="17"/>
      <c r="F22104" s="18"/>
      <c r="G22104" s="36" t="str">
        <f>IF(ISNUMBER(F22104),C22104*F22104,"")</f>
        <v/>
      </c>
    </row>
    <row r="22105" spans="1:7" ht="12" customHeight="1" outlineLevel="2" x14ac:dyDescent="0.2">
      <c r="A22105" s="14" t="s">
        <v>43508</v>
      </c>
      <c r="B22105" s="15" t="s">
        <v>43509</v>
      </c>
      <c r="C22105" s="16">
        <f>0.5/(1+B2)</f>
        <v>0.5</v>
      </c>
      <c r="D22105" s="17" t="s">
        <v>106</v>
      </c>
      <c r="E22105" s="17"/>
      <c r="F22105" s="18"/>
      <c r="G22105" s="36" t="str">
        <f>IF(ISNUMBER(F22105),C22105*F22105,"")</f>
        <v/>
      </c>
    </row>
    <row r="22106" spans="1:7" ht="12" customHeight="1" outlineLevel="2" x14ac:dyDescent="0.2">
      <c r="A22106" s="14" t="s">
        <v>43510</v>
      </c>
      <c r="B22106" s="15" t="s">
        <v>43511</v>
      </c>
      <c r="C22106" s="16">
        <f>2/(1+B2)</f>
        <v>2</v>
      </c>
      <c r="D22106" s="17" t="s">
        <v>11</v>
      </c>
      <c r="E22106" s="17"/>
      <c r="F22106" s="18"/>
      <c r="G22106" s="36" t="str">
        <f>IF(ISNUMBER(F22106),C22106*F22106,"")</f>
        <v/>
      </c>
    </row>
    <row r="22107" spans="1:7" ht="12" customHeight="1" outlineLevel="2" x14ac:dyDescent="0.2">
      <c r="A22107" s="14" t="s">
        <v>43512</v>
      </c>
      <c r="B22107" s="15" t="s">
        <v>43513</v>
      </c>
      <c r="C22107" s="16">
        <f>1.73/(1+B2)</f>
        <v>1.73</v>
      </c>
      <c r="D22107" s="17" t="s">
        <v>106</v>
      </c>
      <c r="E22107" s="17"/>
      <c r="F22107" s="18"/>
      <c r="G22107" s="36" t="str">
        <f>IF(ISNUMBER(F22107),C22107*F22107,"")</f>
        <v/>
      </c>
    </row>
    <row r="22108" spans="1:7" ht="12" customHeight="1" outlineLevel="2" x14ac:dyDescent="0.2">
      <c r="A22108" s="14" t="s">
        <v>43514</v>
      </c>
      <c r="B22108" s="15" t="s">
        <v>43515</v>
      </c>
      <c r="C22108" s="16">
        <f>0.71/(1+B2)</f>
        <v>0.71</v>
      </c>
      <c r="D22108" s="17" t="s">
        <v>106</v>
      </c>
      <c r="E22108" s="17"/>
      <c r="F22108" s="18"/>
      <c r="G22108" s="36" t="str">
        <f>IF(ISNUMBER(F22108),C22108*F22108,"")</f>
        <v/>
      </c>
    </row>
    <row r="22109" spans="1:7" ht="12" customHeight="1" outlineLevel="2" x14ac:dyDescent="0.2">
      <c r="A22109" s="14" t="s">
        <v>43516</v>
      </c>
      <c r="B22109" s="15" t="s">
        <v>43517</v>
      </c>
      <c r="C22109" s="16">
        <f>1.04/(1+B2)</f>
        <v>1.04</v>
      </c>
      <c r="D22109" s="17" t="s">
        <v>106</v>
      </c>
      <c r="E22109" s="17"/>
      <c r="F22109" s="18"/>
      <c r="G22109" s="36" t="str">
        <f>IF(ISNUMBER(F22109),C22109*F22109,"")</f>
        <v/>
      </c>
    </row>
    <row r="22110" spans="1:7" ht="12" customHeight="1" outlineLevel="2" x14ac:dyDescent="0.2">
      <c r="A22110" s="14" t="s">
        <v>43518</v>
      </c>
      <c r="B22110" s="15" t="s">
        <v>43519</v>
      </c>
      <c r="C22110" s="16">
        <f>2.65/(1+B2)</f>
        <v>2.65</v>
      </c>
      <c r="D22110" s="17" t="s">
        <v>106</v>
      </c>
      <c r="E22110" s="17"/>
      <c r="F22110" s="18"/>
      <c r="G22110" s="36" t="str">
        <f>IF(ISNUMBER(F22110),C22110*F22110,"")</f>
        <v/>
      </c>
    </row>
    <row r="22111" spans="1:7" ht="12" customHeight="1" outlineLevel="2" x14ac:dyDescent="0.2">
      <c r="A22111" s="14" t="s">
        <v>43520</v>
      </c>
      <c r="B22111" s="15" t="s">
        <v>43521</v>
      </c>
      <c r="C22111" s="16">
        <f>3/(1+B2)</f>
        <v>3</v>
      </c>
      <c r="D22111" s="17" t="s">
        <v>11</v>
      </c>
      <c r="E22111" s="17"/>
      <c r="F22111" s="18"/>
      <c r="G22111" s="36" t="str">
        <f>IF(ISNUMBER(F22111),C22111*F22111,"")</f>
        <v/>
      </c>
    </row>
    <row r="22112" spans="1:7" ht="12" customHeight="1" outlineLevel="2" x14ac:dyDescent="0.2">
      <c r="A22112" s="14" t="s">
        <v>43522</v>
      </c>
      <c r="B22112" s="15" t="s">
        <v>43523</v>
      </c>
      <c r="C22112" s="16">
        <f>12.39/(1+B2)</f>
        <v>12.39</v>
      </c>
      <c r="D22112" s="17" t="s">
        <v>106</v>
      </c>
      <c r="E22112" s="17"/>
      <c r="F22112" s="18"/>
      <c r="G22112" s="36" t="str">
        <f>IF(ISNUMBER(F22112),C22112*F22112,"")</f>
        <v/>
      </c>
    </row>
    <row r="22113" spans="1:7" ht="12" customHeight="1" outlineLevel="2" x14ac:dyDescent="0.2">
      <c r="A22113" s="14" t="s">
        <v>43524</v>
      </c>
      <c r="B22113" s="15" t="s">
        <v>43525</v>
      </c>
      <c r="C22113" s="16">
        <f>6.07/(1+B2)</f>
        <v>6.07</v>
      </c>
      <c r="D22113" s="17" t="s">
        <v>53</v>
      </c>
      <c r="E22113" s="17"/>
      <c r="F22113" s="18"/>
      <c r="G22113" s="36" t="str">
        <f>IF(ISNUMBER(F22113),C22113*F22113,"")</f>
        <v/>
      </c>
    </row>
    <row r="22114" spans="1:7" ht="12" customHeight="1" outlineLevel="2" x14ac:dyDescent="0.2">
      <c r="A22114" s="14" t="s">
        <v>43526</v>
      </c>
      <c r="B22114" s="15" t="s">
        <v>43527</v>
      </c>
      <c r="C22114" s="16">
        <f>2/(1+B2)</f>
        <v>2</v>
      </c>
      <c r="D22114" s="17" t="s">
        <v>11</v>
      </c>
      <c r="E22114" s="17"/>
      <c r="F22114" s="18"/>
      <c r="G22114" s="36" t="str">
        <f>IF(ISNUMBER(F22114),C22114*F22114,"")</f>
        <v/>
      </c>
    </row>
    <row r="22115" spans="1:7" ht="12" customHeight="1" outlineLevel="2" x14ac:dyDescent="0.2">
      <c r="A22115" s="14" t="s">
        <v>43528</v>
      </c>
      <c r="B22115" s="15" t="s">
        <v>43529</v>
      </c>
      <c r="C22115" s="16">
        <f>7.55/(1+B2)</f>
        <v>7.55</v>
      </c>
      <c r="D22115" s="17" t="s">
        <v>53</v>
      </c>
      <c r="E22115" s="17" t="s">
        <v>106</v>
      </c>
      <c r="F22115" s="18"/>
      <c r="G22115" s="36" t="str">
        <f>IF(ISNUMBER(F22115),C22115*F22115,"")</f>
        <v/>
      </c>
    </row>
    <row r="22116" spans="1:7" ht="12" customHeight="1" outlineLevel="2" x14ac:dyDescent="0.2">
      <c r="A22116" s="14" t="s">
        <v>43530</v>
      </c>
      <c r="B22116" s="15" t="s">
        <v>43531</v>
      </c>
      <c r="C22116" s="16">
        <f>3.13/(1+B2)</f>
        <v>3.13</v>
      </c>
      <c r="D22116" s="17" t="s">
        <v>106</v>
      </c>
      <c r="E22116" s="17"/>
      <c r="F22116" s="18"/>
      <c r="G22116" s="36" t="str">
        <f>IF(ISNUMBER(F22116),C22116*F22116,"")</f>
        <v/>
      </c>
    </row>
    <row r="22117" spans="1:7" ht="12" customHeight="1" outlineLevel="2" x14ac:dyDescent="0.2">
      <c r="A22117" s="14" t="s">
        <v>43532</v>
      </c>
      <c r="B22117" s="15" t="s">
        <v>43533</v>
      </c>
      <c r="C22117" s="16">
        <f>2/(1+B2)</f>
        <v>2</v>
      </c>
      <c r="D22117" s="17" t="s">
        <v>106</v>
      </c>
      <c r="E22117" s="17"/>
      <c r="F22117" s="18"/>
      <c r="G22117" s="36" t="str">
        <f>IF(ISNUMBER(F22117),C22117*F22117,"")</f>
        <v/>
      </c>
    </row>
    <row r="22118" spans="1:7" ht="12" customHeight="1" outlineLevel="2" x14ac:dyDescent="0.2">
      <c r="A22118" s="14" t="s">
        <v>43534</v>
      </c>
      <c r="B22118" s="15" t="s">
        <v>43535</v>
      </c>
      <c r="C22118" s="16">
        <f>24/(1+B2)</f>
        <v>24</v>
      </c>
      <c r="D22118" s="17" t="s">
        <v>11</v>
      </c>
      <c r="E22118" s="17"/>
      <c r="F22118" s="18"/>
      <c r="G22118" s="36" t="str">
        <f>IF(ISNUMBER(F22118),C22118*F22118,"")</f>
        <v/>
      </c>
    </row>
    <row r="22119" spans="1:7" s="1" customFormat="1" ht="15.95" customHeight="1" outlineLevel="1" x14ac:dyDescent="0.25">
      <c r="A22119" s="11"/>
      <c r="B22119" s="12" t="s">
        <v>43536</v>
      </c>
      <c r="C22119" s="13"/>
      <c r="D22119" s="13"/>
      <c r="E22119" s="13"/>
      <c r="F22119" s="13"/>
      <c r="G22119" s="35"/>
    </row>
    <row r="22120" spans="1:7" ht="24" customHeight="1" outlineLevel="2" x14ac:dyDescent="0.2">
      <c r="A22120" s="14" t="s">
        <v>43537</v>
      </c>
      <c r="B22120" s="15" t="s">
        <v>43538</v>
      </c>
      <c r="C22120" s="16">
        <f>948.71/(1+B2)</f>
        <v>948.71</v>
      </c>
      <c r="D22120" s="17" t="s">
        <v>11</v>
      </c>
      <c r="E22120" s="17"/>
      <c r="F22120" s="18"/>
      <c r="G22120" s="36" t="str">
        <f>IF(ISNUMBER(F22120),C22120*F22120,"")</f>
        <v/>
      </c>
    </row>
    <row r="22121" spans="1:7" ht="24" customHeight="1" outlineLevel="2" x14ac:dyDescent="0.2">
      <c r="A22121" s="14" t="s">
        <v>43539</v>
      </c>
      <c r="B22121" s="15" t="s">
        <v>43540</v>
      </c>
      <c r="C22121" s="16">
        <f>820.83/(1+B2)</f>
        <v>820.83</v>
      </c>
      <c r="D22121" s="17" t="s">
        <v>11</v>
      </c>
      <c r="E22121" s="17"/>
      <c r="F22121" s="18"/>
      <c r="G22121" s="36" t="str">
        <f>IF(ISNUMBER(F22121),C22121*F22121,"")</f>
        <v/>
      </c>
    </row>
    <row r="22122" spans="1:7" ht="24" customHeight="1" outlineLevel="2" x14ac:dyDescent="0.2">
      <c r="A22122" s="14" t="s">
        <v>43541</v>
      </c>
      <c r="B22122" s="15" t="s">
        <v>43542</v>
      </c>
      <c r="C22122" s="16">
        <f>490.32/(1+B2)</f>
        <v>490.32</v>
      </c>
      <c r="D22122" s="17" t="s">
        <v>11</v>
      </c>
      <c r="E22122" s="17" t="s">
        <v>11</v>
      </c>
      <c r="F22122" s="18"/>
      <c r="G22122" s="36" t="str">
        <f>IF(ISNUMBER(F22122),C22122*F22122,"")</f>
        <v/>
      </c>
    </row>
    <row r="22123" spans="1:7" ht="24" customHeight="1" outlineLevel="2" x14ac:dyDescent="0.2">
      <c r="A22123" s="14" t="s">
        <v>43543</v>
      </c>
      <c r="B22123" s="15" t="s">
        <v>43544</v>
      </c>
      <c r="C22123" s="16">
        <f>822.7/(1+B2)</f>
        <v>822.7</v>
      </c>
      <c r="D22123" s="17" t="s">
        <v>11</v>
      </c>
      <c r="E22123" s="17" t="s">
        <v>14</v>
      </c>
      <c r="F22123" s="18"/>
      <c r="G22123" s="36" t="str">
        <f>IF(ISNUMBER(F22123),C22123*F22123,"")</f>
        <v/>
      </c>
    </row>
    <row r="22124" spans="1:7" ht="24" customHeight="1" outlineLevel="2" x14ac:dyDescent="0.2">
      <c r="A22124" s="14" t="s">
        <v>43545</v>
      </c>
      <c r="B22124" s="15" t="s">
        <v>43546</v>
      </c>
      <c r="C22124" s="16">
        <f>471.17/(1+B2)</f>
        <v>471.17</v>
      </c>
      <c r="D22124" s="17" t="s">
        <v>11</v>
      </c>
      <c r="E22124" s="17" t="s">
        <v>14</v>
      </c>
      <c r="F22124" s="18"/>
      <c r="G22124" s="36" t="str">
        <f>IF(ISNUMBER(F22124),C22124*F22124,"")</f>
        <v/>
      </c>
    </row>
    <row r="22125" spans="1:7" ht="24" customHeight="1" outlineLevel="2" x14ac:dyDescent="0.2">
      <c r="A22125" s="14" t="s">
        <v>43547</v>
      </c>
      <c r="B22125" s="15" t="s">
        <v>43548</v>
      </c>
      <c r="C22125" s="16">
        <f>822.7/(1+B2)</f>
        <v>822.7</v>
      </c>
      <c r="D22125" s="17" t="s">
        <v>11</v>
      </c>
      <c r="E22125" s="17" t="s">
        <v>11</v>
      </c>
      <c r="F22125" s="18"/>
      <c r="G22125" s="36" t="str">
        <f>IF(ISNUMBER(F22125),C22125*F22125,"")</f>
        <v/>
      </c>
    </row>
    <row r="22126" spans="1:7" ht="24" customHeight="1" outlineLevel="2" x14ac:dyDescent="0.2">
      <c r="A22126" s="14" t="s">
        <v>43549</v>
      </c>
      <c r="B22126" s="15" t="s">
        <v>43550</v>
      </c>
      <c r="C22126" s="19">
        <f>1042.22/(1+B2)</f>
        <v>1042.22</v>
      </c>
      <c r="D22126" s="17" t="s">
        <v>11</v>
      </c>
      <c r="E22126" s="17"/>
      <c r="F22126" s="18"/>
      <c r="G22126" s="36" t="str">
        <f>IF(ISNUMBER(F22126),C22126*F22126,"")</f>
        <v/>
      </c>
    </row>
    <row r="22127" spans="1:7" ht="24" customHeight="1" outlineLevel="2" x14ac:dyDescent="0.2">
      <c r="A22127" s="14" t="s">
        <v>43551</v>
      </c>
      <c r="B22127" s="15" t="s">
        <v>43552</v>
      </c>
      <c r="C22127" s="16">
        <f>833.79/(1+B2)</f>
        <v>833.79</v>
      </c>
      <c r="D22127" s="17" t="s">
        <v>11</v>
      </c>
      <c r="E22127" s="17" t="s">
        <v>11</v>
      </c>
      <c r="F22127" s="18"/>
      <c r="G22127" s="36" t="str">
        <f>IF(ISNUMBER(F22127),C22127*F22127,"")</f>
        <v/>
      </c>
    </row>
    <row r="22128" spans="1:7" ht="24" customHeight="1" outlineLevel="2" x14ac:dyDescent="0.2">
      <c r="A22128" s="14" t="s">
        <v>43553</v>
      </c>
      <c r="B22128" s="15" t="s">
        <v>43554</v>
      </c>
      <c r="C22128" s="19">
        <f>1042.22/(1+B2)</f>
        <v>1042.22</v>
      </c>
      <c r="D22128" s="17" t="s">
        <v>11</v>
      </c>
      <c r="E22128" s="17" t="s">
        <v>11</v>
      </c>
      <c r="F22128" s="18"/>
      <c r="G22128" s="36" t="str">
        <f>IF(ISNUMBER(F22128),C22128*F22128,"")</f>
        <v/>
      </c>
    </row>
    <row r="22129" spans="1:7" ht="24" customHeight="1" outlineLevel="2" x14ac:dyDescent="0.2">
      <c r="A22129" s="14" t="s">
        <v>43555</v>
      </c>
      <c r="B22129" s="15" t="s">
        <v>43556</v>
      </c>
      <c r="C22129" s="16">
        <f>879.36/(1+B2)</f>
        <v>879.36</v>
      </c>
      <c r="D22129" s="17" t="s">
        <v>11</v>
      </c>
      <c r="E22129" s="17" t="s">
        <v>11</v>
      </c>
      <c r="F22129" s="18"/>
      <c r="G22129" s="36" t="str">
        <f>IF(ISNUMBER(F22129),C22129*F22129,"")</f>
        <v/>
      </c>
    </row>
    <row r="22130" spans="1:7" ht="24" customHeight="1" outlineLevel="2" x14ac:dyDescent="0.2">
      <c r="A22130" s="14" t="s">
        <v>43557</v>
      </c>
      <c r="B22130" s="15" t="s">
        <v>43558</v>
      </c>
      <c r="C22130" s="16">
        <f>401.03/(1+B2)</f>
        <v>401.03</v>
      </c>
      <c r="D22130" s="17" t="s">
        <v>11</v>
      </c>
      <c r="E22130" s="17" t="s">
        <v>14</v>
      </c>
      <c r="F22130" s="18"/>
      <c r="G22130" s="36" t="str">
        <f>IF(ISNUMBER(F22130),C22130*F22130,"")</f>
        <v/>
      </c>
    </row>
    <row r="22131" spans="1:7" ht="24" customHeight="1" outlineLevel="2" x14ac:dyDescent="0.2">
      <c r="A22131" s="14" t="s">
        <v>43559</v>
      </c>
      <c r="B22131" s="15" t="s">
        <v>43560</v>
      </c>
      <c r="C22131" s="16">
        <f>829.88/(1+B2)</f>
        <v>829.88</v>
      </c>
      <c r="D22131" s="17" t="s">
        <v>11</v>
      </c>
      <c r="E22131" s="17" t="s">
        <v>11</v>
      </c>
      <c r="F22131" s="18"/>
      <c r="G22131" s="36" t="str">
        <f>IF(ISNUMBER(F22131),C22131*F22131,"")</f>
        <v/>
      </c>
    </row>
    <row r="22132" spans="1:7" ht="24" customHeight="1" outlineLevel="2" x14ac:dyDescent="0.2">
      <c r="A22132" s="14" t="s">
        <v>43561</v>
      </c>
      <c r="B22132" s="15" t="s">
        <v>43562</v>
      </c>
      <c r="C22132" s="16">
        <f>401.03/(1+B2)</f>
        <v>401.03</v>
      </c>
      <c r="D22132" s="17" t="s">
        <v>11</v>
      </c>
      <c r="E22132" s="17"/>
      <c r="F22132" s="18"/>
      <c r="G22132" s="36" t="str">
        <f>IF(ISNUMBER(F22132),C22132*F22132,"")</f>
        <v/>
      </c>
    </row>
    <row r="22133" spans="1:7" ht="24" customHeight="1" outlineLevel="2" x14ac:dyDescent="0.2">
      <c r="A22133" s="14" t="s">
        <v>43563</v>
      </c>
      <c r="B22133" s="15" t="s">
        <v>43564</v>
      </c>
      <c r="C22133" s="16">
        <f>692.61/(1+B2)</f>
        <v>692.61</v>
      </c>
      <c r="D22133" s="17" t="s">
        <v>11</v>
      </c>
      <c r="E22133" s="17" t="s">
        <v>14</v>
      </c>
      <c r="F22133" s="18"/>
      <c r="G22133" s="36" t="str">
        <f>IF(ISNUMBER(F22133),C22133*F22133,"")</f>
        <v/>
      </c>
    </row>
    <row r="22134" spans="1:7" ht="12" customHeight="1" outlineLevel="2" x14ac:dyDescent="0.2">
      <c r="A22134" s="14" t="s">
        <v>43565</v>
      </c>
      <c r="B22134" s="15" t="s">
        <v>43566</v>
      </c>
      <c r="C22134" s="19">
        <f>1214.17/(1+B2)</f>
        <v>1214.17</v>
      </c>
      <c r="D22134" s="17" t="s">
        <v>11</v>
      </c>
      <c r="E22134" s="17"/>
      <c r="F22134" s="18"/>
      <c r="G22134" s="36" t="str">
        <f>IF(ISNUMBER(F22134),C22134*F22134,"")</f>
        <v/>
      </c>
    </row>
    <row r="22135" spans="1:7" ht="24" customHeight="1" outlineLevel="2" x14ac:dyDescent="0.2">
      <c r="A22135" s="14" t="s">
        <v>43567</v>
      </c>
      <c r="B22135" s="15" t="s">
        <v>43568</v>
      </c>
      <c r="C22135" s="16">
        <f>346.36/(1+B2)</f>
        <v>346.36</v>
      </c>
      <c r="D22135" s="17" t="s">
        <v>11</v>
      </c>
      <c r="E22135" s="17" t="s">
        <v>11</v>
      </c>
      <c r="F22135" s="18"/>
      <c r="G22135" s="36" t="str">
        <f>IF(ISNUMBER(F22135),C22135*F22135,"")</f>
        <v/>
      </c>
    </row>
    <row r="22136" spans="1:7" ht="24" customHeight="1" outlineLevel="2" x14ac:dyDescent="0.2">
      <c r="A22136" s="14" t="s">
        <v>43569</v>
      </c>
      <c r="B22136" s="15" t="s">
        <v>43570</v>
      </c>
      <c r="C22136" s="16">
        <f>232.55/(1+B2)</f>
        <v>232.55</v>
      </c>
      <c r="D22136" s="17" t="s">
        <v>14</v>
      </c>
      <c r="E22136" s="17" t="s">
        <v>11</v>
      </c>
      <c r="F22136" s="18"/>
      <c r="G22136" s="36" t="str">
        <f>IF(ISNUMBER(F22136),C22136*F22136,"")</f>
        <v/>
      </c>
    </row>
    <row r="22137" spans="1:7" ht="24" customHeight="1" outlineLevel="2" x14ac:dyDescent="0.2">
      <c r="A22137" s="14" t="s">
        <v>43571</v>
      </c>
      <c r="B22137" s="15" t="s">
        <v>43572</v>
      </c>
      <c r="C22137" s="16">
        <f>255.29/(1+B2)</f>
        <v>255.29</v>
      </c>
      <c r="D22137" s="17" t="s">
        <v>11</v>
      </c>
      <c r="E22137" s="17"/>
      <c r="F22137" s="18"/>
      <c r="G22137" s="36" t="str">
        <f>IF(ISNUMBER(F22137),C22137*F22137,"")</f>
        <v/>
      </c>
    </row>
    <row r="22138" spans="1:7" ht="24" customHeight="1" outlineLevel="2" x14ac:dyDescent="0.2">
      <c r="A22138" s="14" t="s">
        <v>43573</v>
      </c>
      <c r="B22138" s="15" t="s">
        <v>43574</v>
      </c>
      <c r="C22138" s="16">
        <f>535.43/(1+B2)</f>
        <v>535.42999999999995</v>
      </c>
      <c r="D22138" s="17" t="s">
        <v>11</v>
      </c>
      <c r="E22138" s="17" t="s">
        <v>14</v>
      </c>
      <c r="F22138" s="18"/>
      <c r="G22138" s="36" t="str">
        <f>IF(ISNUMBER(F22138),C22138*F22138,"")</f>
        <v/>
      </c>
    </row>
    <row r="22139" spans="1:7" ht="12" customHeight="1" outlineLevel="2" x14ac:dyDescent="0.2">
      <c r="A22139" s="14" t="s">
        <v>43575</v>
      </c>
      <c r="B22139" s="15" t="s">
        <v>43576</v>
      </c>
      <c r="C22139" s="16">
        <f>326.23/(1+B2)</f>
        <v>326.23</v>
      </c>
      <c r="D22139" s="17" t="s">
        <v>11</v>
      </c>
      <c r="E22139" s="17" t="s">
        <v>14</v>
      </c>
      <c r="F22139" s="18"/>
      <c r="G22139" s="36" t="str">
        <f>IF(ISNUMBER(F22139),C22139*F22139,"")</f>
        <v/>
      </c>
    </row>
    <row r="22140" spans="1:7" ht="24" customHeight="1" outlineLevel="2" x14ac:dyDescent="0.2">
      <c r="A22140" s="14" t="s">
        <v>43577</v>
      </c>
      <c r="B22140" s="15" t="s">
        <v>43578</v>
      </c>
      <c r="C22140" s="16">
        <f>214.72/(1+B2)</f>
        <v>214.72</v>
      </c>
      <c r="D22140" s="17" t="s">
        <v>11</v>
      </c>
      <c r="E22140" s="17" t="s">
        <v>14</v>
      </c>
      <c r="F22140" s="18"/>
      <c r="G22140" s="36" t="str">
        <f>IF(ISNUMBER(F22140),C22140*F22140,"")</f>
        <v/>
      </c>
    </row>
    <row r="22141" spans="1:7" ht="12" customHeight="1" outlineLevel="2" x14ac:dyDescent="0.2">
      <c r="A22141" s="14" t="s">
        <v>43579</v>
      </c>
      <c r="B22141" s="15" t="s">
        <v>43580</v>
      </c>
      <c r="C22141" s="16">
        <f>750.63/(1+B2)</f>
        <v>750.63</v>
      </c>
      <c r="D22141" s="17" t="s">
        <v>11</v>
      </c>
      <c r="E22141" s="17" t="s">
        <v>14</v>
      </c>
      <c r="F22141" s="18"/>
      <c r="G22141" s="36" t="str">
        <f>IF(ISNUMBER(F22141),C22141*F22141,"")</f>
        <v/>
      </c>
    </row>
    <row r="22142" spans="1:7" ht="24" customHeight="1" outlineLevel="2" x14ac:dyDescent="0.2">
      <c r="A22142" s="14" t="s">
        <v>43581</v>
      </c>
      <c r="B22142" s="15" t="s">
        <v>43582</v>
      </c>
      <c r="C22142" s="16">
        <f>349.82/(1+B2)</f>
        <v>349.82</v>
      </c>
      <c r="D22142" s="17" t="s">
        <v>11</v>
      </c>
      <c r="E22142" s="17" t="s">
        <v>14</v>
      </c>
      <c r="F22142" s="18"/>
      <c r="G22142" s="36" t="str">
        <f>IF(ISNUMBER(F22142),C22142*F22142,"")</f>
        <v/>
      </c>
    </row>
    <row r="22143" spans="1:7" ht="24" customHeight="1" outlineLevel="2" x14ac:dyDescent="0.2">
      <c r="A22143" s="14" t="s">
        <v>43583</v>
      </c>
      <c r="B22143" s="15" t="s">
        <v>43584</v>
      </c>
      <c r="C22143" s="16">
        <f>921.24/(1+B2)</f>
        <v>921.24</v>
      </c>
      <c r="D22143" s="17" t="s">
        <v>11</v>
      </c>
      <c r="E22143" s="17"/>
      <c r="F22143" s="18"/>
      <c r="G22143" s="36" t="str">
        <f>IF(ISNUMBER(F22143),C22143*F22143,"")</f>
        <v/>
      </c>
    </row>
    <row r="22144" spans="1:7" ht="12" customHeight="1" outlineLevel="2" x14ac:dyDescent="0.2">
      <c r="A22144" s="14" t="s">
        <v>43585</v>
      </c>
      <c r="B22144" s="15" t="s">
        <v>43586</v>
      </c>
      <c r="C22144" s="16">
        <f>750.63/(1+B2)</f>
        <v>750.63</v>
      </c>
      <c r="D22144" s="17" t="s">
        <v>11</v>
      </c>
      <c r="E22144" s="17"/>
      <c r="F22144" s="18"/>
      <c r="G22144" s="36" t="str">
        <f>IF(ISNUMBER(F22144),C22144*F22144,"")</f>
        <v/>
      </c>
    </row>
    <row r="22145" spans="1:7" ht="24" customHeight="1" outlineLevel="2" x14ac:dyDescent="0.2">
      <c r="A22145" s="14" t="s">
        <v>43587</v>
      </c>
      <c r="B22145" s="15" t="s">
        <v>43588</v>
      </c>
      <c r="C22145" s="16">
        <f>321.84/(1+B2)</f>
        <v>321.83999999999997</v>
      </c>
      <c r="D22145" s="17" t="s">
        <v>11</v>
      </c>
      <c r="E22145" s="17" t="s">
        <v>11</v>
      </c>
      <c r="F22145" s="18"/>
      <c r="G22145" s="36" t="str">
        <f>IF(ISNUMBER(F22145),C22145*F22145,"")</f>
        <v/>
      </c>
    </row>
    <row r="22146" spans="1:7" ht="12" customHeight="1" outlineLevel="2" x14ac:dyDescent="0.2">
      <c r="A22146" s="14" t="s">
        <v>43589</v>
      </c>
      <c r="B22146" s="15" t="s">
        <v>43590</v>
      </c>
      <c r="C22146" s="16">
        <f>398.78/(1+B2)</f>
        <v>398.78</v>
      </c>
      <c r="D22146" s="17" t="s">
        <v>11</v>
      </c>
      <c r="E22146" s="17" t="s">
        <v>106</v>
      </c>
      <c r="F22146" s="18"/>
      <c r="G22146" s="36" t="str">
        <f>IF(ISNUMBER(F22146),C22146*F22146,"")</f>
        <v/>
      </c>
    </row>
    <row r="22147" spans="1:7" ht="12" customHeight="1" outlineLevel="2" x14ac:dyDescent="0.2">
      <c r="A22147" s="14" t="s">
        <v>43591</v>
      </c>
      <c r="B22147" s="15" t="s">
        <v>43592</v>
      </c>
      <c r="C22147" s="16">
        <f>921.24/(1+B2)</f>
        <v>921.24</v>
      </c>
      <c r="D22147" s="17" t="s">
        <v>11</v>
      </c>
      <c r="E22147" s="17" t="s">
        <v>11</v>
      </c>
      <c r="F22147" s="18"/>
      <c r="G22147" s="36" t="str">
        <f>IF(ISNUMBER(F22147),C22147*F22147,"")</f>
        <v/>
      </c>
    </row>
    <row r="22148" spans="1:7" s="1" customFormat="1" ht="15.95" customHeight="1" outlineLevel="1" x14ac:dyDescent="0.25">
      <c r="A22148" s="11"/>
      <c r="B22148" s="12" t="s">
        <v>43593</v>
      </c>
      <c r="C22148" s="13"/>
      <c r="D22148" s="13"/>
      <c r="E22148" s="13"/>
      <c r="F22148" s="13"/>
      <c r="G22148" s="35"/>
    </row>
    <row r="22149" spans="1:7" ht="12" customHeight="1" outlineLevel="2" x14ac:dyDescent="0.2">
      <c r="A22149" s="14" t="s">
        <v>43594</v>
      </c>
      <c r="B22149" s="15" t="s">
        <v>43595</v>
      </c>
      <c r="C22149" s="16">
        <f>113.3/(1+B2)</f>
        <v>113.3</v>
      </c>
      <c r="D22149" s="17" t="s">
        <v>11</v>
      </c>
      <c r="E22149" s="17"/>
      <c r="F22149" s="18"/>
      <c r="G22149" s="36" t="str">
        <f>IF(ISNUMBER(F22149),C22149*F22149,"")</f>
        <v/>
      </c>
    </row>
    <row r="22150" spans="1:7" ht="12" customHeight="1" outlineLevel="2" x14ac:dyDescent="0.2">
      <c r="A22150" s="14" t="s">
        <v>43596</v>
      </c>
      <c r="B22150" s="15" t="s">
        <v>43597</v>
      </c>
      <c r="C22150" s="16">
        <f>211.81/(1+B2)</f>
        <v>211.81</v>
      </c>
      <c r="D22150" s="17" t="s">
        <v>11</v>
      </c>
      <c r="E22150" s="17"/>
      <c r="F22150" s="18"/>
      <c r="G22150" s="36" t="str">
        <f>IF(ISNUMBER(F22150),C22150*F22150,"")</f>
        <v/>
      </c>
    </row>
    <row r="22151" spans="1:7" ht="12" customHeight="1" outlineLevel="2" x14ac:dyDescent="0.2">
      <c r="A22151" s="14" t="s">
        <v>43598</v>
      </c>
      <c r="B22151" s="15" t="s">
        <v>43599</v>
      </c>
      <c r="C22151" s="16">
        <f>113.3/(1+B2)</f>
        <v>113.3</v>
      </c>
      <c r="D22151" s="17"/>
      <c r="E22151" s="17" t="s">
        <v>11</v>
      </c>
      <c r="F22151" s="18"/>
      <c r="G22151" s="36" t="str">
        <f>IF(ISNUMBER(F22151),C22151*F22151,"")</f>
        <v/>
      </c>
    </row>
    <row r="22152" spans="1:7" ht="12" customHeight="1" outlineLevel="2" x14ac:dyDescent="0.2">
      <c r="A22152" s="14" t="s">
        <v>43600</v>
      </c>
      <c r="B22152" s="15" t="s">
        <v>43601</v>
      </c>
      <c r="C22152" s="16">
        <f>15.53/(1+B2)</f>
        <v>15.53</v>
      </c>
      <c r="D22152" s="17" t="s">
        <v>53</v>
      </c>
      <c r="E22152" s="17" t="s">
        <v>106</v>
      </c>
      <c r="F22152" s="18"/>
      <c r="G22152" s="36" t="str">
        <f>IF(ISNUMBER(F22152),C22152*F22152,"")</f>
        <v/>
      </c>
    </row>
    <row r="22153" spans="1:7" ht="12" customHeight="1" outlineLevel="2" x14ac:dyDescent="0.2">
      <c r="A22153" s="14" t="s">
        <v>43602</v>
      </c>
      <c r="B22153" s="15" t="s">
        <v>43603</v>
      </c>
      <c r="C22153" s="16">
        <f>79.08/(1+B2)</f>
        <v>79.08</v>
      </c>
      <c r="D22153" s="17" t="s">
        <v>14</v>
      </c>
      <c r="E22153" s="17" t="s">
        <v>53</v>
      </c>
      <c r="F22153" s="18"/>
      <c r="G22153" s="36" t="str">
        <f>IF(ISNUMBER(F22153),C22153*F22153,"")</f>
        <v/>
      </c>
    </row>
    <row r="22154" spans="1:7" ht="12" customHeight="1" outlineLevel="2" x14ac:dyDescent="0.2">
      <c r="A22154" s="14" t="s">
        <v>43604</v>
      </c>
      <c r="B22154" s="15" t="s">
        <v>43605</v>
      </c>
      <c r="C22154" s="16">
        <f>148/(1+B2)</f>
        <v>148</v>
      </c>
      <c r="D22154" s="17" t="s">
        <v>11</v>
      </c>
      <c r="E22154" s="17"/>
      <c r="F22154" s="18"/>
      <c r="G22154" s="36" t="str">
        <f>IF(ISNUMBER(F22154),C22154*F22154,"")</f>
        <v/>
      </c>
    </row>
    <row r="22155" spans="1:7" ht="12" customHeight="1" outlineLevel="2" x14ac:dyDescent="0.2">
      <c r="A22155" s="14" t="s">
        <v>43606</v>
      </c>
      <c r="B22155" s="15" t="s">
        <v>43607</v>
      </c>
      <c r="C22155" s="16">
        <f>43.33/(1+B2)</f>
        <v>43.33</v>
      </c>
      <c r="D22155" s="17"/>
      <c r="E22155" s="17" t="s">
        <v>106</v>
      </c>
      <c r="F22155" s="18"/>
      <c r="G22155" s="36" t="str">
        <f>IF(ISNUMBER(F22155),C22155*F22155,"")</f>
        <v/>
      </c>
    </row>
    <row r="22156" spans="1:7" ht="12" customHeight="1" outlineLevel="2" x14ac:dyDescent="0.2">
      <c r="A22156" s="14" t="s">
        <v>43608</v>
      </c>
      <c r="B22156" s="15" t="s">
        <v>43609</v>
      </c>
      <c r="C22156" s="16">
        <f>221.53/(1+B2)</f>
        <v>221.53</v>
      </c>
      <c r="D22156" s="17" t="s">
        <v>11</v>
      </c>
      <c r="E22156" s="17"/>
      <c r="F22156" s="18"/>
      <c r="G22156" s="36" t="str">
        <f>IF(ISNUMBER(F22156),C22156*F22156,"")</f>
        <v/>
      </c>
    </row>
    <row r="22157" spans="1:7" ht="12" customHeight="1" outlineLevel="2" x14ac:dyDescent="0.2">
      <c r="A22157" s="14" t="s">
        <v>43610</v>
      </c>
      <c r="B22157" s="15" t="s">
        <v>43611</v>
      </c>
      <c r="C22157" s="16">
        <f>14.25/(1+B2)</f>
        <v>14.25</v>
      </c>
      <c r="D22157" s="17" t="s">
        <v>53</v>
      </c>
      <c r="E22157" s="17" t="s">
        <v>106</v>
      </c>
      <c r="F22157" s="18"/>
      <c r="G22157" s="36" t="str">
        <f>IF(ISNUMBER(F22157),C22157*F22157,"")</f>
        <v/>
      </c>
    </row>
    <row r="22158" spans="1:7" ht="12" customHeight="1" outlineLevel="2" x14ac:dyDescent="0.2">
      <c r="A22158" s="14" t="s">
        <v>43612</v>
      </c>
      <c r="B22158" s="15" t="s">
        <v>43613</v>
      </c>
      <c r="C22158" s="16">
        <f>14.25/(1+B2)</f>
        <v>14.25</v>
      </c>
      <c r="D22158" s="17" t="s">
        <v>53</v>
      </c>
      <c r="E22158" s="17" t="s">
        <v>106</v>
      </c>
      <c r="F22158" s="18"/>
      <c r="G22158" s="36" t="str">
        <f>IF(ISNUMBER(F22158),C22158*F22158,"")</f>
        <v/>
      </c>
    </row>
    <row r="22159" spans="1:7" ht="12" customHeight="1" outlineLevel="2" x14ac:dyDescent="0.2">
      <c r="A22159" s="14" t="s">
        <v>43614</v>
      </c>
      <c r="B22159" s="15" t="s">
        <v>43615</v>
      </c>
      <c r="C22159" s="16">
        <f>31.85/(1+B2)</f>
        <v>31.85</v>
      </c>
      <c r="D22159" s="17"/>
      <c r="E22159" s="17" t="s">
        <v>106</v>
      </c>
      <c r="F22159" s="18"/>
      <c r="G22159" s="36" t="str">
        <f>IF(ISNUMBER(F22159),C22159*F22159,"")</f>
        <v/>
      </c>
    </row>
    <row r="22160" spans="1:7" ht="12" customHeight="1" outlineLevel="2" x14ac:dyDescent="0.2">
      <c r="A22160" s="14" t="s">
        <v>43616</v>
      </c>
      <c r="B22160" s="15" t="s">
        <v>43617</v>
      </c>
      <c r="C22160" s="16">
        <f>32.99/(1+B2)</f>
        <v>32.99</v>
      </c>
      <c r="D22160" s="17"/>
      <c r="E22160" s="17" t="s">
        <v>11</v>
      </c>
      <c r="F22160" s="18"/>
      <c r="G22160" s="36" t="str">
        <f>IF(ISNUMBER(F22160),C22160*F22160,"")</f>
        <v/>
      </c>
    </row>
    <row r="22161" spans="1:7" ht="12" customHeight="1" outlineLevel="2" x14ac:dyDescent="0.2">
      <c r="A22161" s="14" t="s">
        <v>43618</v>
      </c>
      <c r="B22161" s="15" t="s">
        <v>43619</v>
      </c>
      <c r="C22161" s="16">
        <f>7.63/(1+B2)</f>
        <v>7.63</v>
      </c>
      <c r="D22161" s="17" t="s">
        <v>53</v>
      </c>
      <c r="E22161" s="17" t="s">
        <v>106</v>
      </c>
      <c r="F22161" s="18"/>
      <c r="G22161" s="36" t="str">
        <f>IF(ISNUMBER(F22161),C22161*F22161,"")</f>
        <v/>
      </c>
    </row>
    <row r="22162" spans="1:7" ht="12" customHeight="1" outlineLevel="2" x14ac:dyDescent="0.2">
      <c r="A22162" s="14" t="s">
        <v>43620</v>
      </c>
      <c r="B22162" s="15" t="s">
        <v>43621</v>
      </c>
      <c r="C22162" s="16">
        <f>43.68/(1+B2)</f>
        <v>43.68</v>
      </c>
      <c r="D22162" s="17" t="s">
        <v>14</v>
      </c>
      <c r="E22162" s="17" t="s">
        <v>106</v>
      </c>
      <c r="F22162" s="18"/>
      <c r="G22162" s="36" t="str">
        <f>IF(ISNUMBER(F22162),C22162*F22162,"")</f>
        <v/>
      </c>
    </row>
    <row r="22163" spans="1:7" ht="12" customHeight="1" outlineLevel="2" x14ac:dyDescent="0.2">
      <c r="A22163" s="14" t="s">
        <v>43622</v>
      </c>
      <c r="B22163" s="15" t="s">
        <v>43623</v>
      </c>
      <c r="C22163" s="16">
        <f>11.18/(1+B2)</f>
        <v>11.18</v>
      </c>
      <c r="D22163" s="17" t="s">
        <v>11</v>
      </c>
      <c r="E22163" s="17" t="s">
        <v>106</v>
      </c>
      <c r="F22163" s="18"/>
      <c r="G22163" s="36" t="str">
        <f>IF(ISNUMBER(F22163),C22163*F22163,"")</f>
        <v/>
      </c>
    </row>
    <row r="22164" spans="1:7" ht="12" customHeight="1" outlineLevel="2" x14ac:dyDescent="0.2">
      <c r="A22164" s="14" t="s">
        <v>43624</v>
      </c>
      <c r="B22164" s="15" t="s">
        <v>43625</v>
      </c>
      <c r="C22164" s="16">
        <f>94.62/(1+B2)</f>
        <v>94.62</v>
      </c>
      <c r="D22164" s="17" t="s">
        <v>11</v>
      </c>
      <c r="E22164" s="17" t="s">
        <v>106</v>
      </c>
      <c r="F22164" s="18"/>
      <c r="G22164" s="36" t="str">
        <f>IF(ISNUMBER(F22164),C22164*F22164,"")</f>
        <v/>
      </c>
    </row>
    <row r="22165" spans="1:7" ht="12" customHeight="1" outlineLevel="2" x14ac:dyDescent="0.2">
      <c r="A22165" s="14" t="s">
        <v>43626</v>
      </c>
      <c r="B22165" s="15" t="s">
        <v>43627</v>
      </c>
      <c r="C22165" s="16">
        <f>17.06/(1+B2)</f>
        <v>17.059999999999999</v>
      </c>
      <c r="D22165" s="17" t="s">
        <v>53</v>
      </c>
      <c r="E22165" s="17" t="s">
        <v>106</v>
      </c>
      <c r="F22165" s="18"/>
      <c r="G22165" s="36" t="str">
        <f>IF(ISNUMBER(F22165),C22165*F22165,"")</f>
        <v/>
      </c>
    </row>
    <row r="22166" spans="1:7" s="1" customFormat="1" ht="15.95" customHeight="1" x14ac:dyDescent="0.25">
      <c r="A22166" s="8"/>
      <c r="B22166" s="9" t="s">
        <v>43628</v>
      </c>
      <c r="C22166" s="10"/>
      <c r="D22166" s="10"/>
      <c r="E22166" s="10"/>
      <c r="F22166" s="10"/>
      <c r="G22166" s="34"/>
    </row>
    <row r="22167" spans="1:7" ht="12" customHeight="1" outlineLevel="1" x14ac:dyDescent="0.2">
      <c r="A22167" s="14" t="s">
        <v>43629</v>
      </c>
      <c r="B22167" s="15" t="s">
        <v>43630</v>
      </c>
      <c r="C22167" s="16">
        <f>49/(1+B2)</f>
        <v>49</v>
      </c>
      <c r="D22167" s="17" t="s">
        <v>11</v>
      </c>
      <c r="E22167" s="17"/>
      <c r="F22167" s="18"/>
      <c r="G22167" s="36" t="str">
        <f>IF(ISNUMBER(F22167),C22167*F22167,"")</f>
        <v/>
      </c>
    </row>
    <row r="22168" spans="1:7" s="1" customFormat="1" ht="15.95" customHeight="1" x14ac:dyDescent="0.25">
      <c r="A22168" s="8"/>
      <c r="B22168" s="9" t="s">
        <v>43631</v>
      </c>
      <c r="C22168" s="10"/>
      <c r="D22168" s="10"/>
      <c r="E22168" s="10"/>
      <c r="F22168" s="10"/>
      <c r="G22168" s="34"/>
    </row>
    <row r="22169" spans="1:7" ht="24" customHeight="1" outlineLevel="1" x14ac:dyDescent="0.2">
      <c r="A22169" s="14" t="s">
        <v>43632</v>
      </c>
      <c r="B22169" s="15" t="s">
        <v>43633</v>
      </c>
      <c r="C22169" s="16">
        <f>100/(1+B2)</f>
        <v>100</v>
      </c>
      <c r="D22169" s="17" t="s">
        <v>11</v>
      </c>
      <c r="E22169" s="17"/>
      <c r="F22169" s="18"/>
      <c r="G22169" s="36" t="str">
        <f>IF(ISNUMBER(F22169),C22169*F22169,"")</f>
        <v/>
      </c>
    </row>
    <row r="22170" spans="1:7" ht="12" customHeight="1" outlineLevel="1" x14ac:dyDescent="0.2">
      <c r="A22170" s="14" t="s">
        <v>43634</v>
      </c>
      <c r="B22170" s="15" t="s">
        <v>43635</v>
      </c>
      <c r="C22170" s="19">
        <f>2300/(1+B2)</f>
        <v>2300</v>
      </c>
      <c r="D22170" s="17" t="s">
        <v>11</v>
      </c>
      <c r="E22170" s="17"/>
      <c r="F22170" s="18"/>
      <c r="G22170" s="36" t="str">
        <f>IF(ISNUMBER(F22170),C22170*F22170,"")</f>
        <v/>
      </c>
    </row>
    <row r="22171" spans="1:7" ht="12" customHeight="1" outlineLevel="1" x14ac:dyDescent="0.2">
      <c r="A22171" s="14" t="s">
        <v>43636</v>
      </c>
      <c r="B22171" s="15" t="s">
        <v>43637</v>
      </c>
      <c r="C22171" s="16">
        <f>120/(1+B2)</f>
        <v>120</v>
      </c>
      <c r="D22171" s="17" t="s">
        <v>11</v>
      </c>
      <c r="E22171" s="17"/>
      <c r="F22171" s="18"/>
      <c r="G22171" s="36" t="str">
        <f>IF(ISNUMBER(F22171),C22171*F22171,"")</f>
        <v/>
      </c>
    </row>
    <row r="22172" spans="1:7" ht="12" customHeight="1" outlineLevel="1" x14ac:dyDescent="0.2">
      <c r="A22172" s="14" t="s">
        <v>43638</v>
      </c>
      <c r="B22172" s="15" t="s">
        <v>43639</v>
      </c>
      <c r="C22172" s="16">
        <f>30/(1+B2)</f>
        <v>30</v>
      </c>
      <c r="D22172" s="17" t="s">
        <v>11</v>
      </c>
      <c r="E22172" s="17"/>
      <c r="F22172" s="18"/>
      <c r="G22172" s="36" t="str">
        <f>IF(ISNUMBER(F22172),C22172*F22172,"")</f>
        <v/>
      </c>
    </row>
    <row r="22173" spans="1:7" ht="12" customHeight="1" outlineLevel="1" x14ac:dyDescent="0.2">
      <c r="A22173" s="14" t="s">
        <v>43640</v>
      </c>
      <c r="B22173" s="15" t="s">
        <v>43641</v>
      </c>
      <c r="C22173" s="16">
        <f>30/(1+B2)</f>
        <v>30</v>
      </c>
      <c r="D22173" s="17" t="s">
        <v>11</v>
      </c>
      <c r="E22173" s="17" t="s">
        <v>106</v>
      </c>
      <c r="F22173" s="18"/>
      <c r="G22173" s="36" t="str">
        <f>IF(ISNUMBER(F22173),C22173*F22173,"")</f>
        <v/>
      </c>
    </row>
    <row r="22174" spans="1:7" ht="24" customHeight="1" outlineLevel="1" x14ac:dyDescent="0.2">
      <c r="A22174" s="14" t="s">
        <v>43642</v>
      </c>
      <c r="B22174" s="15" t="s">
        <v>43643</v>
      </c>
      <c r="C22174" s="16">
        <f>500/(1+B2)</f>
        <v>500</v>
      </c>
      <c r="D22174" s="17" t="s">
        <v>11</v>
      </c>
      <c r="E22174" s="17"/>
      <c r="F22174" s="18"/>
      <c r="G22174" s="36" t="str">
        <f>IF(ISNUMBER(F22174),C22174*F22174,"")</f>
        <v/>
      </c>
    </row>
    <row r="22175" spans="1:7" ht="24" customHeight="1" outlineLevel="1" x14ac:dyDescent="0.2">
      <c r="A22175" s="14" t="s">
        <v>43644</v>
      </c>
      <c r="B22175" s="15" t="s">
        <v>43645</v>
      </c>
      <c r="C22175" s="16">
        <f>100/(1+B2)</f>
        <v>100</v>
      </c>
      <c r="D22175" s="17" t="s">
        <v>11</v>
      </c>
      <c r="E22175" s="17"/>
      <c r="F22175" s="18"/>
      <c r="G22175" s="36" t="str">
        <f>IF(ISNUMBER(F22175),C22175*F22175,"")</f>
        <v/>
      </c>
    </row>
    <row r="22176" spans="1:7" ht="24" customHeight="1" outlineLevel="1" x14ac:dyDescent="0.2">
      <c r="A22176" s="14" t="s">
        <v>43646</v>
      </c>
      <c r="B22176" s="15" t="s">
        <v>43647</v>
      </c>
      <c r="C22176" s="16">
        <f>500/(1+B2)</f>
        <v>500</v>
      </c>
      <c r="D22176" s="17" t="s">
        <v>11</v>
      </c>
      <c r="E22176" s="17"/>
      <c r="F22176" s="18"/>
      <c r="G22176" s="36" t="str">
        <f>IF(ISNUMBER(F22176),C22176*F22176,"")</f>
        <v/>
      </c>
    </row>
    <row r="22177" spans="1:7" ht="12" customHeight="1" outlineLevel="1" x14ac:dyDescent="0.2">
      <c r="A22177" s="14" t="s">
        <v>43648</v>
      </c>
      <c r="B22177" s="15" t="s">
        <v>43649</v>
      </c>
      <c r="C22177" s="16">
        <f>52/(1+B2)</f>
        <v>52</v>
      </c>
      <c r="D22177" s="17" t="s">
        <v>11</v>
      </c>
      <c r="E22177" s="17"/>
      <c r="F22177" s="18"/>
      <c r="G22177" s="36" t="str">
        <f>IF(ISNUMBER(F22177),C22177*F22177,"")</f>
        <v/>
      </c>
    </row>
    <row r="22178" spans="1:7" ht="12" customHeight="1" outlineLevel="1" x14ac:dyDescent="0.2">
      <c r="A22178" s="14" t="s">
        <v>43650</v>
      </c>
      <c r="B22178" s="15" t="s">
        <v>43651</v>
      </c>
      <c r="C22178" s="16">
        <f>10/(1+B2)</f>
        <v>10</v>
      </c>
      <c r="D22178" s="17" t="s">
        <v>11</v>
      </c>
      <c r="E22178" s="17"/>
      <c r="F22178" s="18"/>
      <c r="G22178" s="36" t="str">
        <f>IF(ISNUMBER(F22178),C22178*F22178,"")</f>
        <v/>
      </c>
    </row>
    <row r="22179" spans="1:7" ht="12" customHeight="1" outlineLevel="1" x14ac:dyDescent="0.2">
      <c r="A22179" s="14" t="s">
        <v>43652</v>
      </c>
      <c r="B22179" s="15" t="s">
        <v>43653</v>
      </c>
      <c r="C22179" s="16">
        <f>70/(1+B2)</f>
        <v>70</v>
      </c>
      <c r="D22179" s="17" t="s">
        <v>53</v>
      </c>
      <c r="E22179" s="17"/>
      <c r="F22179" s="18"/>
      <c r="G22179" s="36" t="str">
        <f>IF(ISNUMBER(F22179),C22179*F22179,"")</f>
        <v/>
      </c>
    </row>
    <row r="22180" spans="1:7" ht="24" customHeight="1" outlineLevel="1" x14ac:dyDescent="0.2">
      <c r="A22180" s="14" t="s">
        <v>43654</v>
      </c>
      <c r="B22180" s="15" t="s">
        <v>43655</v>
      </c>
      <c r="C22180" s="16">
        <f>220/(1+B2)</f>
        <v>220</v>
      </c>
      <c r="D22180" s="17" t="s">
        <v>11</v>
      </c>
      <c r="E22180" s="17"/>
      <c r="F22180" s="18"/>
      <c r="G22180" s="36" t="str">
        <f>IF(ISNUMBER(F22180),C22180*F22180,"")</f>
        <v/>
      </c>
    </row>
    <row r="22181" spans="1:7" ht="12" customHeight="1" outlineLevel="1" x14ac:dyDescent="0.2">
      <c r="A22181" s="14" t="s">
        <v>43656</v>
      </c>
      <c r="B22181" s="15" t="s">
        <v>43657</v>
      </c>
      <c r="C22181" s="16">
        <f>75/(1+B2)</f>
        <v>75</v>
      </c>
      <c r="D22181" s="17" t="s">
        <v>11</v>
      </c>
      <c r="E22181" s="17"/>
      <c r="F22181" s="18"/>
      <c r="G22181" s="36" t="str">
        <f>IF(ISNUMBER(F22181),C22181*F22181,"")</f>
        <v/>
      </c>
    </row>
    <row r="22182" spans="1:7" ht="24" customHeight="1" outlineLevel="1" x14ac:dyDescent="0.2">
      <c r="A22182" s="14" t="s">
        <v>43658</v>
      </c>
      <c r="B22182" s="15" t="s">
        <v>43659</v>
      </c>
      <c r="C22182" s="16">
        <f>300/(1+B2)</f>
        <v>300</v>
      </c>
      <c r="D22182" s="17" t="s">
        <v>11</v>
      </c>
      <c r="E22182" s="17"/>
      <c r="F22182" s="18"/>
      <c r="G22182" s="36" t="str">
        <f>IF(ISNUMBER(F22182),C22182*F22182,"")</f>
        <v/>
      </c>
    </row>
    <row r="22183" spans="1:7" ht="24" customHeight="1" outlineLevel="1" x14ac:dyDescent="0.2">
      <c r="A22183" s="14" t="s">
        <v>43660</v>
      </c>
      <c r="B22183" s="15" t="s">
        <v>43661</v>
      </c>
      <c r="C22183" s="19">
        <f>2500/(1+B2)</f>
        <v>2500</v>
      </c>
      <c r="D22183" s="17" t="s">
        <v>11</v>
      </c>
      <c r="E22183" s="17"/>
      <c r="F22183" s="18"/>
      <c r="G22183" s="36" t="str">
        <f>IF(ISNUMBER(F22183),C22183*F22183,"")</f>
        <v/>
      </c>
    </row>
    <row r="22184" spans="1:7" ht="12" customHeight="1" outlineLevel="1" x14ac:dyDescent="0.2">
      <c r="A22184" s="14" t="s">
        <v>43662</v>
      </c>
      <c r="B22184" s="15" t="s">
        <v>43663</v>
      </c>
      <c r="C22184" s="16">
        <f>10/(1+B2)</f>
        <v>10</v>
      </c>
      <c r="D22184" s="17" t="s">
        <v>14</v>
      </c>
      <c r="E22184" s="17"/>
      <c r="F22184" s="18"/>
      <c r="G22184" s="36" t="str">
        <f>IF(ISNUMBER(F22184),C22184*F22184,"")</f>
        <v/>
      </c>
    </row>
    <row r="22185" spans="1:7" ht="12" customHeight="1" outlineLevel="1" x14ac:dyDescent="0.2">
      <c r="A22185" s="14" t="s">
        <v>43664</v>
      </c>
      <c r="B22185" s="15" t="s">
        <v>43665</v>
      </c>
      <c r="C22185" s="16">
        <f>150/(1+B2)</f>
        <v>150</v>
      </c>
      <c r="D22185" s="17" t="s">
        <v>11</v>
      </c>
      <c r="E22185" s="17"/>
      <c r="F22185" s="18"/>
      <c r="G22185" s="36" t="str">
        <f>IF(ISNUMBER(F22185),C22185*F22185,"")</f>
        <v/>
      </c>
    </row>
    <row r="22186" spans="1:7" ht="24" customHeight="1" outlineLevel="1" x14ac:dyDescent="0.2">
      <c r="A22186" s="14" t="s">
        <v>43666</v>
      </c>
      <c r="B22186" s="15" t="s">
        <v>43667</v>
      </c>
      <c r="C22186" s="16">
        <f>220/(1+B2)</f>
        <v>220</v>
      </c>
      <c r="D22186" s="17" t="s">
        <v>11</v>
      </c>
      <c r="E22186" s="17"/>
      <c r="F22186" s="18"/>
      <c r="G22186" s="36" t="str">
        <f>IF(ISNUMBER(F22186),C22186*F22186,"")</f>
        <v/>
      </c>
    </row>
    <row r="22187" spans="1:7" ht="24" customHeight="1" outlineLevel="1" x14ac:dyDescent="0.2">
      <c r="A22187" s="14" t="s">
        <v>43668</v>
      </c>
      <c r="B22187" s="15" t="s">
        <v>43669</v>
      </c>
      <c r="C22187" s="16">
        <f>110/(1+B2)</f>
        <v>110</v>
      </c>
      <c r="D22187" s="17" t="s">
        <v>11</v>
      </c>
      <c r="E22187" s="17"/>
      <c r="F22187" s="18"/>
      <c r="G22187" s="36" t="str">
        <f>IF(ISNUMBER(F22187),C22187*F22187,"")</f>
        <v/>
      </c>
    </row>
    <row r="22188" spans="1:7" ht="12" customHeight="1" outlineLevel="1" x14ac:dyDescent="0.2">
      <c r="A22188" s="14" t="s">
        <v>43670</v>
      </c>
      <c r="B22188" s="15" t="s">
        <v>43671</v>
      </c>
      <c r="C22188" s="16">
        <f>377.11/(1+B2)</f>
        <v>377.11</v>
      </c>
      <c r="D22188" s="17" t="s">
        <v>11</v>
      </c>
      <c r="E22188" s="17"/>
      <c r="F22188" s="18"/>
      <c r="G22188" s="36" t="str">
        <f>IF(ISNUMBER(F22188),C22188*F22188,"")</f>
        <v/>
      </c>
    </row>
    <row r="22189" spans="1:7" ht="12" customHeight="1" outlineLevel="1" x14ac:dyDescent="0.2">
      <c r="A22189" s="14" t="s">
        <v>43672</v>
      </c>
      <c r="B22189" s="15" t="s">
        <v>43673</v>
      </c>
      <c r="C22189" s="16">
        <f>900/(1+B2)</f>
        <v>900</v>
      </c>
      <c r="D22189" s="17" t="s">
        <v>11</v>
      </c>
      <c r="E22189" s="17"/>
      <c r="F22189" s="18"/>
      <c r="G22189" s="36" t="str">
        <f>IF(ISNUMBER(F22189),C22189*F22189,"")</f>
        <v/>
      </c>
    </row>
    <row r="22190" spans="1:7" ht="24" customHeight="1" outlineLevel="1" x14ac:dyDescent="0.2">
      <c r="A22190" s="14" t="s">
        <v>43674</v>
      </c>
      <c r="B22190" s="15" t="s">
        <v>43675</v>
      </c>
      <c r="C22190" s="16">
        <f>350/(1+B2)</f>
        <v>350</v>
      </c>
      <c r="D22190" s="17" t="s">
        <v>11</v>
      </c>
      <c r="E22190" s="17"/>
      <c r="F22190" s="18"/>
      <c r="G22190" s="36" t="str">
        <f>IF(ISNUMBER(F22190),C22190*F22190,"")</f>
        <v/>
      </c>
    </row>
    <row r="22191" spans="1:7" ht="24" customHeight="1" outlineLevel="1" x14ac:dyDescent="0.2">
      <c r="A22191" s="14" t="s">
        <v>43676</v>
      </c>
      <c r="B22191" s="15" t="s">
        <v>43677</v>
      </c>
      <c r="C22191" s="16">
        <f>31/(1+B2)</f>
        <v>31</v>
      </c>
      <c r="D22191" s="17" t="s">
        <v>11</v>
      </c>
      <c r="E22191" s="17"/>
      <c r="F22191" s="18"/>
      <c r="G22191" s="36" t="str">
        <f>IF(ISNUMBER(F22191),C22191*F22191,"")</f>
        <v/>
      </c>
    </row>
    <row r="22192" spans="1:7" ht="12" customHeight="1" outlineLevel="1" x14ac:dyDescent="0.2">
      <c r="A22192" s="14" t="s">
        <v>43678</v>
      </c>
      <c r="B22192" s="15" t="s">
        <v>43679</v>
      </c>
      <c r="C22192" s="16">
        <f>25/(1+B2)</f>
        <v>25</v>
      </c>
      <c r="D22192" s="17" t="s">
        <v>14</v>
      </c>
      <c r="E22192" s="17"/>
      <c r="F22192" s="18"/>
      <c r="G22192" s="36" t="str">
        <f>IF(ISNUMBER(F22192),C22192*F22192,"")</f>
        <v/>
      </c>
    </row>
    <row r="22193" spans="1:7" ht="12" customHeight="1" outlineLevel="1" x14ac:dyDescent="0.2">
      <c r="A22193" s="14" t="s">
        <v>43680</v>
      </c>
      <c r="B22193" s="15" t="s">
        <v>43681</v>
      </c>
      <c r="C22193" s="16">
        <f>5/(1+B2)</f>
        <v>5</v>
      </c>
      <c r="D22193" s="17" t="s">
        <v>106</v>
      </c>
      <c r="E22193" s="17"/>
      <c r="F22193" s="18"/>
      <c r="G22193" s="36" t="str">
        <f>IF(ISNUMBER(F22193),C22193*F22193,"")</f>
        <v/>
      </c>
    </row>
    <row r="22194" spans="1:7" ht="24" customHeight="1" outlineLevel="1" x14ac:dyDescent="0.2">
      <c r="A22194" s="14" t="s">
        <v>43682</v>
      </c>
      <c r="B22194" s="15" t="s">
        <v>43683</v>
      </c>
      <c r="C22194" s="16">
        <f>100/(1+B2)</f>
        <v>100</v>
      </c>
      <c r="D22194" s="17" t="s">
        <v>11</v>
      </c>
      <c r="E22194" s="17"/>
      <c r="F22194" s="18"/>
      <c r="G22194" s="36" t="str">
        <f>IF(ISNUMBER(F22194),C22194*F22194,"")</f>
        <v/>
      </c>
    </row>
    <row r="22195" spans="1:7" ht="24" customHeight="1" outlineLevel="1" x14ac:dyDescent="0.2">
      <c r="A22195" s="14" t="s">
        <v>43684</v>
      </c>
      <c r="B22195" s="15" t="s">
        <v>43685</v>
      </c>
      <c r="C22195" s="16">
        <f>800/(1+B2)</f>
        <v>800</v>
      </c>
      <c r="D22195" s="17" t="s">
        <v>11</v>
      </c>
      <c r="E22195" s="17"/>
      <c r="F22195" s="18"/>
      <c r="G22195" s="36" t="str">
        <f>IF(ISNUMBER(F22195),C22195*F22195,"")</f>
        <v/>
      </c>
    </row>
    <row r="22196" spans="1:7" ht="12" customHeight="1" outlineLevel="1" x14ac:dyDescent="0.2">
      <c r="A22196" s="14" t="s">
        <v>43686</v>
      </c>
      <c r="B22196" s="15" t="s">
        <v>43687</v>
      </c>
      <c r="C22196" s="16">
        <f>250/(1+B2)</f>
        <v>250</v>
      </c>
      <c r="D22196" s="17" t="s">
        <v>11</v>
      </c>
      <c r="E22196" s="17"/>
      <c r="F22196" s="18"/>
      <c r="G22196" s="36" t="str">
        <f>IF(ISNUMBER(F22196),C22196*F22196,"")</f>
        <v/>
      </c>
    </row>
    <row r="22197" spans="1:7" ht="12" customHeight="1" outlineLevel="1" x14ac:dyDescent="0.2">
      <c r="A22197" s="14" t="s">
        <v>43688</v>
      </c>
      <c r="B22197" s="15" t="s">
        <v>43689</v>
      </c>
      <c r="C22197" s="16">
        <f>50/(1+B2)</f>
        <v>50</v>
      </c>
      <c r="D22197" s="17" t="s">
        <v>11</v>
      </c>
      <c r="E22197" s="17"/>
      <c r="F22197" s="18"/>
      <c r="G22197" s="36" t="str">
        <f>IF(ISNUMBER(F22197),C22197*F22197,"")</f>
        <v/>
      </c>
    </row>
    <row r="22198" spans="1:7" ht="12" customHeight="1" outlineLevel="1" x14ac:dyDescent="0.2">
      <c r="A22198" s="14" t="s">
        <v>43690</v>
      </c>
      <c r="B22198" s="15" t="s">
        <v>43691</v>
      </c>
      <c r="C22198" s="16">
        <f>85/(1+B2)</f>
        <v>85</v>
      </c>
      <c r="D22198" s="17" t="s">
        <v>14</v>
      </c>
      <c r="E22198" s="17"/>
      <c r="F22198" s="18"/>
      <c r="G22198" s="36" t="str">
        <f>IF(ISNUMBER(F22198),C22198*F22198,"")</f>
        <v/>
      </c>
    </row>
    <row r="22199" spans="1:7" ht="12" customHeight="1" outlineLevel="1" x14ac:dyDescent="0.2">
      <c r="A22199" s="14" t="s">
        <v>43692</v>
      </c>
      <c r="B22199" s="15" t="s">
        <v>43693</v>
      </c>
      <c r="C22199" s="16">
        <f>200/(1+B2)</f>
        <v>200</v>
      </c>
      <c r="D22199" s="17" t="s">
        <v>11</v>
      </c>
      <c r="E22199" s="17"/>
      <c r="F22199" s="18"/>
      <c r="G22199" s="36" t="str">
        <f>IF(ISNUMBER(F22199),C22199*F22199,"")</f>
        <v/>
      </c>
    </row>
    <row r="22200" spans="1:7" ht="24" customHeight="1" outlineLevel="1" x14ac:dyDescent="0.2">
      <c r="A22200" s="14" t="s">
        <v>43694</v>
      </c>
      <c r="B22200" s="15" t="s">
        <v>43695</v>
      </c>
      <c r="C22200" s="16">
        <f>600/(1+B2)</f>
        <v>600</v>
      </c>
      <c r="D22200" s="17" t="s">
        <v>11</v>
      </c>
      <c r="E22200" s="17"/>
      <c r="F22200" s="18"/>
      <c r="G22200" s="36" t="str">
        <f>IF(ISNUMBER(F22200),C22200*F22200,"")</f>
        <v/>
      </c>
    </row>
    <row r="22201" spans="1:7" ht="24" customHeight="1" outlineLevel="1" x14ac:dyDescent="0.2">
      <c r="A22201" s="14" t="s">
        <v>43696</v>
      </c>
      <c r="B22201" s="15" t="s">
        <v>43697</v>
      </c>
      <c r="C22201" s="16">
        <f>700/(1+B2)</f>
        <v>700</v>
      </c>
      <c r="D22201" s="17" t="s">
        <v>11</v>
      </c>
      <c r="E22201" s="17"/>
      <c r="F22201" s="18"/>
      <c r="G22201" s="36" t="str">
        <f>IF(ISNUMBER(F22201),C22201*F22201,"")</f>
        <v/>
      </c>
    </row>
    <row r="22202" spans="1:7" ht="12" customHeight="1" outlineLevel="1" x14ac:dyDescent="0.2">
      <c r="A22202" s="14" t="s">
        <v>43698</v>
      </c>
      <c r="B22202" s="15" t="s">
        <v>43699</v>
      </c>
      <c r="C22202" s="16">
        <f>80/(1+B2)</f>
        <v>80</v>
      </c>
      <c r="D22202" s="17" t="s">
        <v>11</v>
      </c>
      <c r="E22202" s="17"/>
      <c r="F22202" s="18"/>
      <c r="G22202" s="36" t="str">
        <f>IF(ISNUMBER(F22202),C22202*F22202,"")</f>
        <v/>
      </c>
    </row>
    <row r="22203" spans="1:7" ht="24" customHeight="1" outlineLevel="1" x14ac:dyDescent="0.2">
      <c r="A22203" s="14" t="s">
        <v>43700</v>
      </c>
      <c r="B22203" s="15" t="s">
        <v>43701</v>
      </c>
      <c r="C22203" s="16">
        <f>900/(1+B2)</f>
        <v>900</v>
      </c>
      <c r="D22203" s="17" t="s">
        <v>11</v>
      </c>
      <c r="E22203" s="17"/>
      <c r="F22203" s="18"/>
      <c r="G22203" s="36" t="str">
        <f>IF(ISNUMBER(F22203),C22203*F22203,"")</f>
        <v/>
      </c>
    </row>
    <row r="22204" spans="1:7" ht="12" customHeight="1" outlineLevel="1" x14ac:dyDescent="0.2">
      <c r="A22204" s="14" t="s">
        <v>43702</v>
      </c>
      <c r="B22204" s="15" t="s">
        <v>43703</v>
      </c>
      <c r="C22204" s="16">
        <f>100/(1+B2)</f>
        <v>100</v>
      </c>
      <c r="D22204" s="17" t="s">
        <v>11</v>
      </c>
      <c r="E22204" s="17"/>
      <c r="F22204" s="18"/>
      <c r="G22204" s="36" t="str">
        <f>IF(ISNUMBER(F22204),C22204*F22204,"")</f>
        <v/>
      </c>
    </row>
    <row r="22205" spans="1:7" ht="24" customHeight="1" outlineLevel="1" x14ac:dyDescent="0.2">
      <c r="A22205" s="14" t="s">
        <v>43704</v>
      </c>
      <c r="B22205" s="15" t="s">
        <v>43705</v>
      </c>
      <c r="C22205" s="16">
        <f>100/(1+B2)</f>
        <v>100</v>
      </c>
      <c r="D22205" s="17" t="s">
        <v>11</v>
      </c>
      <c r="E22205" s="17"/>
      <c r="F22205" s="18"/>
      <c r="G22205" s="36" t="str">
        <f>IF(ISNUMBER(F22205),C22205*F22205,"")</f>
        <v/>
      </c>
    </row>
    <row r="22206" spans="1:7" ht="12" customHeight="1" outlineLevel="1" x14ac:dyDescent="0.2">
      <c r="A22206" s="14" t="s">
        <v>43706</v>
      </c>
      <c r="B22206" s="15" t="s">
        <v>43707</v>
      </c>
      <c r="C22206" s="16">
        <f>100/(1+B2)</f>
        <v>100</v>
      </c>
      <c r="D22206" s="17" t="s">
        <v>11</v>
      </c>
      <c r="E22206" s="17"/>
      <c r="F22206" s="18"/>
      <c r="G22206" s="36" t="str">
        <f>IF(ISNUMBER(F22206),C22206*F22206,"")</f>
        <v/>
      </c>
    </row>
    <row r="22207" spans="1:7" ht="12" customHeight="1" outlineLevel="1" x14ac:dyDescent="0.2">
      <c r="A22207" s="14" t="s">
        <v>43708</v>
      </c>
      <c r="B22207" s="15" t="s">
        <v>43709</v>
      </c>
      <c r="C22207" s="16">
        <f>14/(1+B2)</f>
        <v>14</v>
      </c>
      <c r="D22207" s="17" t="s">
        <v>11</v>
      </c>
      <c r="E22207" s="17"/>
      <c r="F22207" s="18"/>
      <c r="G22207" s="36" t="str">
        <f>IF(ISNUMBER(F22207),C22207*F22207,"")</f>
        <v/>
      </c>
    </row>
    <row r="22208" spans="1:7" ht="12" customHeight="1" outlineLevel="1" x14ac:dyDescent="0.2">
      <c r="A22208" s="14" t="s">
        <v>43710</v>
      </c>
      <c r="B22208" s="15" t="s">
        <v>43711</v>
      </c>
      <c r="C22208" s="16">
        <f>90/(1+B2)</f>
        <v>90</v>
      </c>
      <c r="D22208" s="17" t="s">
        <v>11</v>
      </c>
      <c r="E22208" s="17"/>
      <c r="F22208" s="18"/>
      <c r="G22208" s="36" t="str">
        <f>IF(ISNUMBER(F22208),C22208*F22208,"")</f>
        <v/>
      </c>
    </row>
    <row r="22209" spans="1:7" ht="12" customHeight="1" outlineLevel="1" x14ac:dyDescent="0.2">
      <c r="A22209" s="14" t="s">
        <v>43712</v>
      </c>
      <c r="B22209" s="15" t="s">
        <v>43713</v>
      </c>
      <c r="C22209" s="16">
        <f>30/(1+B2)</f>
        <v>30</v>
      </c>
      <c r="D22209" s="17" t="s">
        <v>11</v>
      </c>
      <c r="E22209" s="17"/>
      <c r="F22209" s="18"/>
      <c r="G22209" s="36" t="str">
        <f>IF(ISNUMBER(F22209),C22209*F22209,"")</f>
        <v/>
      </c>
    </row>
    <row r="22210" spans="1:7" ht="12" customHeight="1" outlineLevel="1" x14ac:dyDescent="0.2">
      <c r="A22210" s="14" t="s">
        <v>43714</v>
      </c>
      <c r="B22210" s="15" t="s">
        <v>43715</v>
      </c>
      <c r="C22210" s="16">
        <f>20/(1+B2)</f>
        <v>20</v>
      </c>
      <c r="D22210" s="17" t="s">
        <v>11</v>
      </c>
      <c r="E22210" s="17"/>
      <c r="F22210" s="18"/>
      <c r="G22210" s="36" t="str">
        <f>IF(ISNUMBER(F22210),C22210*F22210,"")</f>
        <v/>
      </c>
    </row>
    <row r="22211" spans="1:7" ht="12" customHeight="1" outlineLevel="1" x14ac:dyDescent="0.2">
      <c r="A22211" s="14" t="s">
        <v>43716</v>
      </c>
      <c r="B22211" s="15" t="s">
        <v>43717</v>
      </c>
      <c r="C22211" s="16">
        <f>56/(1+B2)</f>
        <v>56</v>
      </c>
      <c r="D22211" s="17" t="s">
        <v>11</v>
      </c>
      <c r="E22211" s="17"/>
      <c r="F22211" s="18"/>
      <c r="G22211" s="36" t="str">
        <f>IF(ISNUMBER(F22211),C22211*F22211,"")</f>
        <v/>
      </c>
    </row>
    <row r="22212" spans="1:7" ht="12" customHeight="1" outlineLevel="1" x14ac:dyDescent="0.2">
      <c r="A22212" s="14" t="s">
        <v>43718</v>
      </c>
      <c r="B22212" s="15" t="s">
        <v>43719</v>
      </c>
      <c r="C22212" s="16">
        <f>60/(1+B2)</f>
        <v>60</v>
      </c>
      <c r="D22212" s="17" t="s">
        <v>11</v>
      </c>
      <c r="E22212" s="17"/>
      <c r="F22212" s="18"/>
      <c r="G22212" s="36" t="str">
        <f>IF(ISNUMBER(F22212),C22212*F22212,"")</f>
        <v/>
      </c>
    </row>
    <row r="22213" spans="1:7" ht="12" customHeight="1" outlineLevel="1" x14ac:dyDescent="0.2">
      <c r="A22213" s="14" t="s">
        <v>43720</v>
      </c>
      <c r="B22213" s="15" t="s">
        <v>43721</v>
      </c>
      <c r="C22213" s="16">
        <f>70/(1+B2)</f>
        <v>70</v>
      </c>
      <c r="D22213" s="17" t="s">
        <v>11</v>
      </c>
      <c r="E22213" s="17"/>
      <c r="F22213" s="18"/>
      <c r="G22213" s="36" t="str">
        <f>IF(ISNUMBER(F22213),C22213*F22213,"")</f>
        <v/>
      </c>
    </row>
    <row r="22214" spans="1:7" ht="12" customHeight="1" outlineLevel="1" x14ac:dyDescent="0.2">
      <c r="A22214" s="14" t="s">
        <v>43722</v>
      </c>
      <c r="B22214" s="15" t="s">
        <v>43723</v>
      </c>
      <c r="C22214" s="16">
        <f>65/(1+B2)</f>
        <v>65</v>
      </c>
      <c r="D22214" s="17" t="s">
        <v>11</v>
      </c>
      <c r="E22214" s="17"/>
      <c r="F22214" s="18"/>
      <c r="G22214" s="36" t="str">
        <f>IF(ISNUMBER(F22214),C22214*F22214,"")</f>
        <v/>
      </c>
    </row>
    <row r="22215" spans="1:7" ht="12" customHeight="1" outlineLevel="1" x14ac:dyDescent="0.2">
      <c r="A22215" s="14" t="s">
        <v>43724</v>
      </c>
      <c r="B22215" s="15" t="s">
        <v>43725</v>
      </c>
      <c r="C22215" s="16">
        <f>30/(1+B2)</f>
        <v>30</v>
      </c>
      <c r="D22215" s="17" t="s">
        <v>11</v>
      </c>
      <c r="E22215" s="17"/>
      <c r="F22215" s="18"/>
      <c r="G22215" s="36" t="str">
        <f>IF(ISNUMBER(F22215),C22215*F22215,"")</f>
        <v/>
      </c>
    </row>
    <row r="22216" spans="1:7" ht="12" customHeight="1" outlineLevel="1" x14ac:dyDescent="0.2">
      <c r="A22216" s="14" t="s">
        <v>43726</v>
      </c>
      <c r="B22216" s="15" t="s">
        <v>43727</v>
      </c>
      <c r="C22216" s="16">
        <f>62/(1+B2)</f>
        <v>62</v>
      </c>
      <c r="D22216" s="17" t="s">
        <v>11</v>
      </c>
      <c r="E22216" s="17"/>
      <c r="F22216" s="18"/>
      <c r="G22216" s="36" t="str">
        <f>IF(ISNUMBER(F22216),C22216*F22216,"")</f>
        <v/>
      </c>
    </row>
    <row r="22217" spans="1:7" ht="12" customHeight="1" outlineLevel="1" x14ac:dyDescent="0.2">
      <c r="A22217" s="14" t="s">
        <v>43728</v>
      </c>
      <c r="B22217" s="15" t="s">
        <v>43729</v>
      </c>
      <c r="C22217" s="16">
        <f>30/(1+B2)</f>
        <v>30</v>
      </c>
      <c r="D22217" s="17" t="s">
        <v>11</v>
      </c>
      <c r="E22217" s="17"/>
      <c r="F22217" s="18"/>
      <c r="G22217" s="36" t="str">
        <f>IF(ISNUMBER(F22217),C22217*F22217,"")</f>
        <v/>
      </c>
    </row>
    <row r="22218" spans="1:7" ht="12" customHeight="1" outlineLevel="1" x14ac:dyDescent="0.2">
      <c r="A22218" s="14" t="s">
        <v>43730</v>
      </c>
      <c r="B22218" s="15" t="s">
        <v>43731</v>
      </c>
      <c r="C22218" s="16">
        <f>50/(1+B2)</f>
        <v>50</v>
      </c>
      <c r="D22218" s="17" t="s">
        <v>11</v>
      </c>
      <c r="E22218" s="17"/>
      <c r="F22218" s="18"/>
      <c r="G22218" s="36" t="str">
        <f>IF(ISNUMBER(F22218),C22218*F22218,"")</f>
        <v/>
      </c>
    </row>
    <row r="22219" spans="1:7" ht="12" customHeight="1" outlineLevel="1" x14ac:dyDescent="0.2">
      <c r="A22219" s="14" t="s">
        <v>43732</v>
      </c>
      <c r="B22219" s="15" t="s">
        <v>43733</v>
      </c>
      <c r="C22219" s="16">
        <f>11/(1+B2)</f>
        <v>11</v>
      </c>
      <c r="D22219" s="17" t="s">
        <v>11</v>
      </c>
      <c r="E22219" s="17"/>
      <c r="F22219" s="18"/>
      <c r="G22219" s="36" t="str">
        <f>IF(ISNUMBER(F22219),C22219*F22219,"")</f>
        <v/>
      </c>
    </row>
    <row r="22220" spans="1:7" ht="24" customHeight="1" outlineLevel="1" x14ac:dyDescent="0.2">
      <c r="A22220" s="14" t="s">
        <v>43734</v>
      </c>
      <c r="B22220" s="15" t="s">
        <v>43735</v>
      </c>
      <c r="C22220" s="16">
        <f>500/(1+B2)</f>
        <v>500</v>
      </c>
      <c r="D22220" s="17" t="s">
        <v>11</v>
      </c>
      <c r="E22220" s="17"/>
      <c r="F22220" s="18"/>
      <c r="G22220" s="36" t="str">
        <f>IF(ISNUMBER(F22220),C22220*F22220,"")</f>
        <v/>
      </c>
    </row>
    <row r="22221" spans="1:7" ht="36" customHeight="1" outlineLevel="1" x14ac:dyDescent="0.2">
      <c r="A22221" s="14" t="s">
        <v>43736</v>
      </c>
      <c r="B22221" s="15" t="s">
        <v>43737</v>
      </c>
      <c r="C22221" s="16">
        <f>300/(1+B2)</f>
        <v>300</v>
      </c>
      <c r="D22221" s="17" t="s">
        <v>11</v>
      </c>
      <c r="E22221" s="17"/>
      <c r="F22221" s="18"/>
      <c r="G22221" s="36" t="str">
        <f>IF(ISNUMBER(F22221),C22221*F22221,"")</f>
        <v/>
      </c>
    </row>
    <row r="22222" spans="1:7" ht="12" customHeight="1" outlineLevel="1" x14ac:dyDescent="0.2">
      <c r="A22222" s="14" t="s">
        <v>43738</v>
      </c>
      <c r="B22222" s="15" t="s">
        <v>43739</v>
      </c>
      <c r="C22222" s="16">
        <f>530/(1+B2)</f>
        <v>530</v>
      </c>
      <c r="D22222" s="17" t="s">
        <v>11</v>
      </c>
      <c r="E22222" s="17"/>
      <c r="F22222" s="18"/>
      <c r="G22222" s="36" t="str">
        <f>IF(ISNUMBER(F22222),C22222*F22222,"")</f>
        <v/>
      </c>
    </row>
    <row r="22223" spans="1:7" ht="24" customHeight="1" outlineLevel="1" x14ac:dyDescent="0.2">
      <c r="A22223" s="14" t="s">
        <v>43740</v>
      </c>
      <c r="B22223" s="15" t="s">
        <v>43741</v>
      </c>
      <c r="C22223" s="16">
        <f>145/(1+B2)</f>
        <v>145</v>
      </c>
      <c r="D22223" s="17" t="s">
        <v>11</v>
      </c>
      <c r="E22223" s="17"/>
      <c r="F22223" s="18"/>
      <c r="G22223" s="36" t="str">
        <f>IF(ISNUMBER(F22223),C22223*F22223,"")</f>
        <v/>
      </c>
    </row>
    <row r="22224" spans="1:7" ht="12" customHeight="1" outlineLevel="1" x14ac:dyDescent="0.2">
      <c r="A22224" s="14" t="s">
        <v>43742</v>
      </c>
      <c r="B22224" s="15" t="s">
        <v>43743</v>
      </c>
      <c r="C22224" s="16">
        <f>80/(1+B2)</f>
        <v>80</v>
      </c>
      <c r="D22224" s="17" t="s">
        <v>11</v>
      </c>
      <c r="E22224" s="17"/>
      <c r="F22224" s="18"/>
      <c r="G22224" s="36" t="str">
        <f>IF(ISNUMBER(F22224),C22224*F22224,"")</f>
        <v/>
      </c>
    </row>
    <row r="22225" spans="1:7" ht="24" customHeight="1" outlineLevel="1" x14ac:dyDescent="0.2">
      <c r="A22225" s="14" t="s">
        <v>43744</v>
      </c>
      <c r="B22225" s="15" t="s">
        <v>43745</v>
      </c>
      <c r="C22225" s="19">
        <f>1100/(1+B2)</f>
        <v>1100</v>
      </c>
      <c r="D22225" s="17" t="s">
        <v>11</v>
      </c>
      <c r="E22225" s="17"/>
      <c r="F22225" s="18"/>
      <c r="G22225" s="36" t="str">
        <f>IF(ISNUMBER(F22225),C22225*F22225,"")</f>
        <v/>
      </c>
    </row>
    <row r="22226" spans="1:7" ht="12" customHeight="1" outlineLevel="1" x14ac:dyDescent="0.2">
      <c r="A22226" s="14" t="s">
        <v>43746</v>
      </c>
      <c r="B22226" s="15" t="s">
        <v>43747</v>
      </c>
      <c r="C22226" s="16">
        <f>15/(1+B2)</f>
        <v>15</v>
      </c>
      <c r="D22226" s="17" t="s">
        <v>11</v>
      </c>
      <c r="E22226" s="17"/>
      <c r="F22226" s="18"/>
      <c r="G22226" s="36" t="str">
        <f>IF(ISNUMBER(F22226),C22226*F22226,"")</f>
        <v/>
      </c>
    </row>
    <row r="22227" spans="1:7" ht="12" customHeight="1" outlineLevel="1" x14ac:dyDescent="0.2">
      <c r="A22227" s="14" t="s">
        <v>43748</v>
      </c>
      <c r="B22227" s="15" t="s">
        <v>43749</v>
      </c>
      <c r="C22227" s="16">
        <f>5/(1+B2)</f>
        <v>5</v>
      </c>
      <c r="D22227" s="17" t="s">
        <v>106</v>
      </c>
      <c r="E22227" s="17"/>
      <c r="F22227" s="18"/>
      <c r="G22227" s="36" t="str">
        <f>IF(ISNUMBER(F22227),C22227*F22227,"")</f>
        <v/>
      </c>
    </row>
    <row r="22228" spans="1:7" ht="12" customHeight="1" outlineLevel="1" x14ac:dyDescent="0.2">
      <c r="A22228" s="14" t="s">
        <v>43750</v>
      </c>
      <c r="B22228" s="15" t="s">
        <v>43751</v>
      </c>
      <c r="C22228" s="16">
        <f>60/(1+B2)</f>
        <v>60</v>
      </c>
      <c r="D22228" s="17" t="s">
        <v>11</v>
      </c>
      <c r="E22228" s="17"/>
      <c r="F22228" s="18"/>
      <c r="G22228" s="36" t="str">
        <f>IF(ISNUMBER(F22228),C22228*F22228,"")</f>
        <v/>
      </c>
    </row>
    <row r="22229" spans="1:7" ht="12" customHeight="1" outlineLevel="1" x14ac:dyDescent="0.2">
      <c r="A22229" s="14" t="s">
        <v>43752</v>
      </c>
      <c r="B22229" s="15" t="s">
        <v>43753</v>
      </c>
      <c r="C22229" s="16">
        <f>30/(1+B2)</f>
        <v>30</v>
      </c>
      <c r="D22229" s="17" t="s">
        <v>11</v>
      </c>
      <c r="E22229" s="17"/>
      <c r="F22229" s="18"/>
      <c r="G22229" s="36" t="str">
        <f>IF(ISNUMBER(F22229),C22229*F22229,"")</f>
        <v/>
      </c>
    </row>
    <row r="22230" spans="1:7" ht="12" customHeight="1" outlineLevel="1" x14ac:dyDescent="0.2">
      <c r="A22230" s="14" t="s">
        <v>43754</v>
      </c>
      <c r="B22230" s="15" t="s">
        <v>43755</v>
      </c>
      <c r="C22230" s="16">
        <f>25/(1+B2)</f>
        <v>25</v>
      </c>
      <c r="D22230" s="17" t="s">
        <v>11</v>
      </c>
      <c r="E22230" s="17"/>
      <c r="F22230" s="18"/>
      <c r="G22230" s="36" t="str">
        <f>IF(ISNUMBER(F22230),C22230*F22230,"")</f>
        <v/>
      </c>
    </row>
    <row r="22231" spans="1:7" ht="12" customHeight="1" outlineLevel="1" x14ac:dyDescent="0.2">
      <c r="A22231" s="14" t="s">
        <v>43756</v>
      </c>
      <c r="B22231" s="15" t="s">
        <v>43757</v>
      </c>
      <c r="C22231" s="16">
        <f>533/(1+B2)</f>
        <v>533</v>
      </c>
      <c r="D22231" s="17" t="s">
        <v>11</v>
      </c>
      <c r="E22231" s="17"/>
      <c r="F22231" s="18"/>
      <c r="G22231" s="36" t="str">
        <f>IF(ISNUMBER(F22231),C22231*F22231,"")</f>
        <v/>
      </c>
    </row>
    <row r="22232" spans="1:7" ht="12" customHeight="1" outlineLevel="1" x14ac:dyDescent="0.2">
      <c r="A22232" s="14" t="s">
        <v>43758</v>
      </c>
      <c r="B22232" s="15" t="s">
        <v>43759</v>
      </c>
      <c r="C22232" s="16">
        <f>50/(1+B2)</f>
        <v>50</v>
      </c>
      <c r="D22232" s="17" t="s">
        <v>11</v>
      </c>
      <c r="E22232" s="17"/>
      <c r="F22232" s="18"/>
      <c r="G22232" s="36" t="str">
        <f>IF(ISNUMBER(F22232),C22232*F22232,"")</f>
        <v/>
      </c>
    </row>
    <row r="22233" spans="1:7" ht="12" customHeight="1" outlineLevel="1" x14ac:dyDescent="0.2">
      <c r="A22233" s="14" t="s">
        <v>43760</v>
      </c>
      <c r="B22233" s="15" t="s">
        <v>43761</v>
      </c>
      <c r="C22233" s="16">
        <f>80/(1+B2)</f>
        <v>80</v>
      </c>
      <c r="D22233" s="17" t="s">
        <v>11</v>
      </c>
      <c r="E22233" s="17"/>
      <c r="F22233" s="18"/>
      <c r="G22233" s="36" t="str">
        <f>IF(ISNUMBER(F22233),C22233*F22233,"")</f>
        <v/>
      </c>
    </row>
    <row r="22234" spans="1:7" ht="12" customHeight="1" outlineLevel="1" x14ac:dyDescent="0.2">
      <c r="A22234" s="14" t="s">
        <v>43762</v>
      </c>
      <c r="B22234" s="15" t="s">
        <v>43763</v>
      </c>
      <c r="C22234" s="16">
        <f>23/(1+B2)</f>
        <v>23</v>
      </c>
      <c r="D22234" s="17" t="s">
        <v>11</v>
      </c>
      <c r="E22234" s="17"/>
      <c r="F22234" s="18"/>
      <c r="G22234" s="36" t="str">
        <f>IF(ISNUMBER(F22234),C22234*F22234,"")</f>
        <v/>
      </c>
    </row>
    <row r="22235" spans="1:7" ht="12" customHeight="1" outlineLevel="1" x14ac:dyDescent="0.2">
      <c r="A22235" s="14" t="s">
        <v>43764</v>
      </c>
      <c r="B22235" s="15" t="s">
        <v>43765</v>
      </c>
      <c r="C22235" s="16">
        <f>20/(1+B2)</f>
        <v>20</v>
      </c>
      <c r="D22235" s="17" t="s">
        <v>11</v>
      </c>
      <c r="E22235" s="17"/>
      <c r="F22235" s="18"/>
      <c r="G22235" s="36" t="str">
        <f>IF(ISNUMBER(F22235),C22235*F22235,"")</f>
        <v/>
      </c>
    </row>
    <row r="22236" spans="1:7" ht="12" customHeight="1" outlineLevel="1" x14ac:dyDescent="0.2">
      <c r="A22236" s="14" t="s">
        <v>43766</v>
      </c>
      <c r="B22236" s="15" t="s">
        <v>43767</v>
      </c>
      <c r="C22236" s="16">
        <f>15/(1+B2)</f>
        <v>15</v>
      </c>
      <c r="D22236" s="17" t="s">
        <v>11</v>
      </c>
      <c r="E22236" s="17"/>
      <c r="F22236" s="18"/>
      <c r="G22236" s="36" t="str">
        <f>IF(ISNUMBER(F22236),C22236*F22236,"")</f>
        <v/>
      </c>
    </row>
    <row r="22237" spans="1:7" ht="24" customHeight="1" outlineLevel="1" x14ac:dyDescent="0.2">
      <c r="A22237" s="14" t="s">
        <v>43768</v>
      </c>
      <c r="B22237" s="15" t="s">
        <v>43769</v>
      </c>
      <c r="C22237" s="16">
        <f>50/(1+B2)</f>
        <v>50</v>
      </c>
      <c r="D22237" s="17" t="s">
        <v>11</v>
      </c>
      <c r="E22237" s="17"/>
      <c r="F22237" s="18"/>
      <c r="G22237" s="36" t="str">
        <f>IF(ISNUMBER(F22237),C22237*F22237,"")</f>
        <v/>
      </c>
    </row>
    <row r="22238" spans="1:7" ht="12" customHeight="1" outlineLevel="1" x14ac:dyDescent="0.2">
      <c r="A22238" s="14" t="s">
        <v>43770</v>
      </c>
      <c r="B22238" s="15" t="s">
        <v>43771</v>
      </c>
      <c r="C22238" s="16">
        <f>50/(1+B2)</f>
        <v>50</v>
      </c>
      <c r="D22238" s="17" t="s">
        <v>11</v>
      </c>
      <c r="E22238" s="17"/>
      <c r="F22238" s="18"/>
      <c r="G22238" s="36" t="str">
        <f>IF(ISNUMBER(F22238),C22238*F22238,"")</f>
        <v/>
      </c>
    </row>
    <row r="22239" spans="1:7" ht="12" customHeight="1" outlineLevel="1" x14ac:dyDescent="0.2">
      <c r="A22239" s="14" t="s">
        <v>43772</v>
      </c>
      <c r="B22239" s="15" t="s">
        <v>43773</v>
      </c>
      <c r="C22239" s="16">
        <f>300/(1+B2)</f>
        <v>300</v>
      </c>
      <c r="D22239" s="17" t="s">
        <v>11</v>
      </c>
      <c r="E22239" s="17" t="s">
        <v>11</v>
      </c>
      <c r="F22239" s="18"/>
      <c r="G22239" s="36" t="str">
        <f>IF(ISNUMBER(F22239),C22239*F22239,"")</f>
        <v/>
      </c>
    </row>
    <row r="22240" spans="1:7" ht="12" customHeight="1" outlineLevel="1" x14ac:dyDescent="0.2">
      <c r="A22240" s="14" t="s">
        <v>43774</v>
      </c>
      <c r="B22240" s="15" t="s">
        <v>43775</v>
      </c>
      <c r="C22240" s="16">
        <f>490/(1+B2)</f>
        <v>490</v>
      </c>
      <c r="D22240" s="17" t="s">
        <v>11</v>
      </c>
      <c r="E22240" s="17"/>
      <c r="F22240" s="18"/>
      <c r="G22240" s="36" t="str">
        <f>IF(ISNUMBER(F22240),C22240*F22240,"")</f>
        <v/>
      </c>
    </row>
    <row r="22241" spans="1:7" ht="24" customHeight="1" outlineLevel="1" x14ac:dyDescent="0.2">
      <c r="A22241" s="14" t="s">
        <v>43776</v>
      </c>
      <c r="B22241" s="15" t="s">
        <v>43777</v>
      </c>
      <c r="C22241" s="16">
        <f>160/(1+B2)</f>
        <v>160</v>
      </c>
      <c r="D22241" s="17" t="s">
        <v>11</v>
      </c>
      <c r="E22241" s="17"/>
      <c r="F22241" s="18"/>
      <c r="G22241" s="36" t="str">
        <f>IF(ISNUMBER(F22241),C22241*F22241,"")</f>
        <v/>
      </c>
    </row>
    <row r="22242" spans="1:7" ht="12" customHeight="1" outlineLevel="1" x14ac:dyDescent="0.2">
      <c r="A22242" s="14" t="s">
        <v>43778</v>
      </c>
      <c r="B22242" s="15" t="s">
        <v>43779</v>
      </c>
      <c r="C22242" s="16">
        <f>165/(1+B2)</f>
        <v>165</v>
      </c>
      <c r="D22242" s="17" t="s">
        <v>11</v>
      </c>
      <c r="E22242" s="17"/>
      <c r="F22242" s="18"/>
      <c r="G22242" s="36" t="str">
        <f>IF(ISNUMBER(F22242),C22242*F22242,"")</f>
        <v/>
      </c>
    </row>
    <row r="22243" spans="1:7" ht="24" customHeight="1" outlineLevel="1" x14ac:dyDescent="0.2">
      <c r="A22243" s="14" t="s">
        <v>43780</v>
      </c>
      <c r="B22243" s="15" t="s">
        <v>43781</v>
      </c>
      <c r="C22243" s="16">
        <f>400/(1+B2)</f>
        <v>400</v>
      </c>
      <c r="D22243" s="17" t="s">
        <v>11</v>
      </c>
      <c r="E22243" s="17"/>
      <c r="F22243" s="18"/>
      <c r="G22243" s="36" t="str">
        <f>IF(ISNUMBER(F22243),C22243*F22243,"")</f>
        <v/>
      </c>
    </row>
    <row r="22244" spans="1:7" ht="12" customHeight="1" outlineLevel="1" x14ac:dyDescent="0.2">
      <c r="A22244" s="14" t="s">
        <v>43782</v>
      </c>
      <c r="B22244" s="15" t="s">
        <v>43783</v>
      </c>
      <c r="C22244" s="16">
        <f>100/(1+B2)</f>
        <v>100</v>
      </c>
      <c r="D22244" s="17" t="s">
        <v>11</v>
      </c>
      <c r="E22244" s="17"/>
      <c r="F22244" s="18"/>
      <c r="G22244" s="36" t="str">
        <f>IF(ISNUMBER(F22244),C22244*F22244,"")</f>
        <v/>
      </c>
    </row>
    <row r="22245" spans="1:7" ht="12" customHeight="1" outlineLevel="1" x14ac:dyDescent="0.2">
      <c r="A22245" s="14" t="s">
        <v>43784</v>
      </c>
      <c r="B22245" s="15" t="s">
        <v>43785</v>
      </c>
      <c r="C22245" s="16">
        <f>120/(1+B2)</f>
        <v>120</v>
      </c>
      <c r="D22245" s="17" t="s">
        <v>11</v>
      </c>
      <c r="E22245" s="17"/>
      <c r="F22245" s="18"/>
      <c r="G22245" s="36" t="str">
        <f>IF(ISNUMBER(F22245),C22245*F22245,"")</f>
        <v/>
      </c>
    </row>
    <row r="22246" spans="1:7" ht="12" customHeight="1" outlineLevel="1" x14ac:dyDescent="0.2">
      <c r="A22246" s="14" t="s">
        <v>43786</v>
      </c>
      <c r="B22246" s="15" t="s">
        <v>43787</v>
      </c>
      <c r="C22246" s="16">
        <f>20/(1+B2)</f>
        <v>20</v>
      </c>
      <c r="D22246" s="17" t="s">
        <v>11</v>
      </c>
      <c r="E22246" s="17"/>
      <c r="F22246" s="18"/>
      <c r="G22246" s="36" t="str">
        <f>IF(ISNUMBER(F22246),C22246*F22246,"")</f>
        <v/>
      </c>
    </row>
    <row r="22247" spans="1:7" ht="12" customHeight="1" outlineLevel="1" x14ac:dyDescent="0.2">
      <c r="A22247" s="14" t="s">
        <v>43788</v>
      </c>
      <c r="B22247" s="15" t="s">
        <v>43789</v>
      </c>
      <c r="C22247" s="16">
        <f>250/(1+B2)</f>
        <v>250</v>
      </c>
      <c r="D22247" s="17" t="s">
        <v>11</v>
      </c>
      <c r="E22247" s="17"/>
      <c r="F22247" s="18"/>
      <c r="G22247" s="36" t="str">
        <f>IF(ISNUMBER(F22247),C22247*F22247,"")</f>
        <v/>
      </c>
    </row>
    <row r="22248" spans="1:7" ht="24" customHeight="1" outlineLevel="1" x14ac:dyDescent="0.2">
      <c r="A22248" s="14" t="s">
        <v>43790</v>
      </c>
      <c r="B22248" s="15" t="s">
        <v>43791</v>
      </c>
      <c r="C22248" s="16">
        <f>600/(1+B2)</f>
        <v>600</v>
      </c>
      <c r="D22248" s="17" t="s">
        <v>11</v>
      </c>
      <c r="E22248" s="17"/>
      <c r="F22248" s="18"/>
      <c r="G22248" s="36" t="str">
        <f>IF(ISNUMBER(F22248),C22248*F22248,"")</f>
        <v/>
      </c>
    </row>
    <row r="22249" spans="1:7" ht="12" customHeight="1" outlineLevel="1" x14ac:dyDescent="0.2">
      <c r="A22249" s="14" t="s">
        <v>43792</v>
      </c>
      <c r="B22249" s="15" t="s">
        <v>43793</v>
      </c>
      <c r="C22249" s="16">
        <f>100/(1+B2)</f>
        <v>100</v>
      </c>
      <c r="D22249" s="17" t="s">
        <v>11</v>
      </c>
      <c r="E22249" s="17"/>
      <c r="F22249" s="18"/>
      <c r="G22249" s="36" t="str">
        <f>IF(ISNUMBER(F22249),C22249*F22249,"")</f>
        <v/>
      </c>
    </row>
    <row r="22250" spans="1:7" ht="24" customHeight="1" outlineLevel="1" x14ac:dyDescent="0.2">
      <c r="A22250" s="14" t="s">
        <v>43794</v>
      </c>
      <c r="B22250" s="15" t="s">
        <v>43795</v>
      </c>
      <c r="C22250" s="16">
        <f>200/(1+B2)</f>
        <v>200</v>
      </c>
      <c r="D22250" s="17" t="s">
        <v>11</v>
      </c>
      <c r="E22250" s="17"/>
      <c r="F22250" s="18"/>
      <c r="G22250" s="36" t="str">
        <f>IF(ISNUMBER(F22250),C22250*F22250,"")</f>
        <v/>
      </c>
    </row>
    <row r="22251" spans="1:7" ht="12" customHeight="1" outlineLevel="1" x14ac:dyDescent="0.2">
      <c r="A22251" s="14" t="s">
        <v>43796</v>
      </c>
      <c r="B22251" s="15" t="s">
        <v>43797</v>
      </c>
      <c r="C22251" s="16">
        <f>550/(1+B2)</f>
        <v>550</v>
      </c>
      <c r="D22251" s="17" t="s">
        <v>11</v>
      </c>
      <c r="E22251" s="17"/>
      <c r="F22251" s="18"/>
      <c r="G22251" s="36" t="str">
        <f>IF(ISNUMBER(F22251),C22251*F22251,"")</f>
        <v/>
      </c>
    </row>
    <row r="22252" spans="1:7" ht="12" customHeight="1" outlineLevel="1" x14ac:dyDescent="0.2">
      <c r="A22252" s="14" t="s">
        <v>43798</v>
      </c>
      <c r="B22252" s="15" t="s">
        <v>43799</v>
      </c>
      <c r="C22252" s="16">
        <f>70/(1+B2)</f>
        <v>70</v>
      </c>
      <c r="D22252" s="17" t="s">
        <v>11</v>
      </c>
      <c r="E22252" s="17"/>
      <c r="F22252" s="18"/>
      <c r="G22252" s="36" t="str">
        <f>IF(ISNUMBER(F22252),C22252*F22252,"")</f>
        <v/>
      </c>
    </row>
    <row r="22253" spans="1:7" ht="12" customHeight="1" outlineLevel="1" x14ac:dyDescent="0.2">
      <c r="A22253" s="14" t="s">
        <v>43800</v>
      </c>
      <c r="B22253" s="15" t="s">
        <v>43801</v>
      </c>
      <c r="C22253" s="16">
        <f>35/(1+B2)</f>
        <v>35</v>
      </c>
      <c r="D22253" s="17" t="s">
        <v>11</v>
      </c>
      <c r="E22253" s="17"/>
      <c r="F22253" s="18"/>
      <c r="G22253" s="36" t="str">
        <f>IF(ISNUMBER(F22253),C22253*F22253,"")</f>
        <v/>
      </c>
    </row>
    <row r="22254" spans="1:7" ht="12" customHeight="1" outlineLevel="1" x14ac:dyDescent="0.2">
      <c r="A22254" s="14" t="s">
        <v>43802</v>
      </c>
      <c r="B22254" s="15" t="s">
        <v>43803</v>
      </c>
      <c r="C22254" s="16">
        <f>100/(1+B2)</f>
        <v>100</v>
      </c>
      <c r="D22254" s="17" t="s">
        <v>11</v>
      </c>
      <c r="E22254" s="17"/>
      <c r="F22254" s="18"/>
      <c r="G22254" s="36" t="str">
        <f>IF(ISNUMBER(F22254),C22254*F22254,"")</f>
        <v/>
      </c>
    </row>
    <row r="22255" spans="1:7" ht="12" customHeight="1" outlineLevel="1" x14ac:dyDescent="0.2">
      <c r="A22255" s="14" t="s">
        <v>43804</v>
      </c>
      <c r="B22255" s="15" t="s">
        <v>43805</v>
      </c>
      <c r="C22255" s="16">
        <f>80/(1+B2)</f>
        <v>80</v>
      </c>
      <c r="D22255" s="17" t="s">
        <v>11</v>
      </c>
      <c r="E22255" s="17"/>
      <c r="F22255" s="18"/>
      <c r="G22255" s="36" t="str">
        <f>IF(ISNUMBER(F22255),C22255*F22255,"")</f>
        <v/>
      </c>
    </row>
    <row r="22256" spans="1:7" ht="12" customHeight="1" outlineLevel="1" x14ac:dyDescent="0.2">
      <c r="A22256" s="14" t="s">
        <v>43806</v>
      </c>
      <c r="B22256" s="15" t="s">
        <v>43807</v>
      </c>
      <c r="C22256" s="16">
        <f>70/(1+B2)</f>
        <v>70</v>
      </c>
      <c r="D22256" s="17" t="s">
        <v>11</v>
      </c>
      <c r="E22256" s="17"/>
      <c r="F22256" s="18"/>
      <c r="G22256" s="36" t="str">
        <f>IF(ISNUMBER(F22256),C22256*F22256,"")</f>
        <v/>
      </c>
    </row>
    <row r="22257" spans="1:7" ht="12" customHeight="1" outlineLevel="1" x14ac:dyDescent="0.2">
      <c r="A22257" s="14" t="s">
        <v>43808</v>
      </c>
      <c r="B22257" s="15" t="s">
        <v>43809</v>
      </c>
      <c r="C22257" s="16">
        <f>50/(1+B2)</f>
        <v>50</v>
      </c>
      <c r="D22257" s="17" t="s">
        <v>11</v>
      </c>
      <c r="E22257" s="17"/>
      <c r="F22257" s="18"/>
      <c r="G22257" s="36" t="str">
        <f>IF(ISNUMBER(F22257),C22257*F22257,"")</f>
        <v/>
      </c>
    </row>
    <row r="22258" spans="1:7" ht="12" customHeight="1" outlineLevel="1" x14ac:dyDescent="0.2">
      <c r="A22258" s="14" t="s">
        <v>43810</v>
      </c>
      <c r="B22258" s="15" t="s">
        <v>43811</v>
      </c>
      <c r="C22258" s="16">
        <f>10/(1+B2)</f>
        <v>10</v>
      </c>
      <c r="D22258" s="17" t="s">
        <v>11</v>
      </c>
      <c r="E22258" s="17"/>
      <c r="F22258" s="18"/>
      <c r="G22258" s="36" t="str">
        <f>IF(ISNUMBER(F22258),C22258*F22258,"")</f>
        <v/>
      </c>
    </row>
    <row r="22259" spans="1:7" ht="24" customHeight="1" outlineLevel="1" x14ac:dyDescent="0.2">
      <c r="A22259" s="14" t="s">
        <v>43812</v>
      </c>
      <c r="B22259" s="15" t="s">
        <v>43813</v>
      </c>
      <c r="C22259" s="16">
        <f>660/(1+B2)</f>
        <v>660</v>
      </c>
      <c r="D22259" s="17" t="s">
        <v>11</v>
      </c>
      <c r="E22259" s="17"/>
      <c r="F22259" s="18"/>
      <c r="G22259" s="36" t="str">
        <f>IF(ISNUMBER(F22259),C22259*F22259,"")</f>
        <v/>
      </c>
    </row>
    <row r="22260" spans="1:7" ht="12" customHeight="1" outlineLevel="1" x14ac:dyDescent="0.2">
      <c r="A22260" s="14" t="s">
        <v>43814</v>
      </c>
      <c r="B22260" s="15" t="s">
        <v>43815</v>
      </c>
      <c r="C22260" s="16">
        <f>300/(1+B2)</f>
        <v>300</v>
      </c>
      <c r="D22260" s="17" t="s">
        <v>11</v>
      </c>
      <c r="E22260" s="17"/>
      <c r="F22260" s="18"/>
      <c r="G22260" s="36" t="str">
        <f>IF(ISNUMBER(F22260),C22260*F22260,"")</f>
        <v/>
      </c>
    </row>
    <row r="22261" spans="1:7" ht="12" customHeight="1" outlineLevel="1" x14ac:dyDescent="0.2">
      <c r="A22261" s="14" t="s">
        <v>43816</v>
      </c>
      <c r="B22261" s="15" t="s">
        <v>43817</v>
      </c>
      <c r="C22261" s="16">
        <f>15/(1+B2)</f>
        <v>15</v>
      </c>
      <c r="D22261" s="17" t="s">
        <v>14</v>
      </c>
      <c r="E22261" s="17"/>
      <c r="F22261" s="18"/>
      <c r="G22261" s="36" t="str">
        <f>IF(ISNUMBER(F22261),C22261*F22261,"")</f>
        <v/>
      </c>
    </row>
    <row r="22262" spans="1:7" ht="12" customHeight="1" outlineLevel="1" x14ac:dyDescent="0.2">
      <c r="A22262" s="14" t="s">
        <v>43818</v>
      </c>
      <c r="B22262" s="15" t="s">
        <v>43819</v>
      </c>
      <c r="C22262" s="16">
        <f>75/(1+B2)</f>
        <v>75</v>
      </c>
      <c r="D22262" s="17" t="s">
        <v>11</v>
      </c>
      <c r="E22262" s="17"/>
      <c r="F22262" s="18"/>
      <c r="G22262" s="36" t="str">
        <f>IF(ISNUMBER(F22262),C22262*F22262,"")</f>
        <v/>
      </c>
    </row>
    <row r="22263" spans="1:7" ht="12" customHeight="1" outlineLevel="1" x14ac:dyDescent="0.2">
      <c r="A22263" s="14" t="s">
        <v>43820</v>
      </c>
      <c r="B22263" s="15" t="s">
        <v>43821</v>
      </c>
      <c r="C22263" s="16">
        <f>100/(1+B2)</f>
        <v>100</v>
      </c>
      <c r="D22263" s="17" t="s">
        <v>11</v>
      </c>
      <c r="E22263" s="17"/>
      <c r="F22263" s="18"/>
      <c r="G22263" s="36" t="str">
        <f>IF(ISNUMBER(F22263),C22263*F22263,"")</f>
        <v/>
      </c>
    </row>
    <row r="22264" spans="1:7" ht="12" customHeight="1" outlineLevel="1" x14ac:dyDescent="0.2">
      <c r="A22264" s="14" t="s">
        <v>43822</v>
      </c>
      <c r="B22264" s="15" t="s">
        <v>43823</v>
      </c>
      <c r="C22264" s="19">
        <f>1500/(1+B2)</f>
        <v>1500</v>
      </c>
      <c r="D22264" s="17" t="s">
        <v>11</v>
      </c>
      <c r="E22264" s="17"/>
      <c r="F22264" s="18"/>
      <c r="G22264" s="36" t="str">
        <f>IF(ISNUMBER(F22264),C22264*F22264,"")</f>
        <v/>
      </c>
    </row>
    <row r="22265" spans="1:7" ht="12" customHeight="1" outlineLevel="1" x14ac:dyDescent="0.2">
      <c r="A22265" s="14" t="s">
        <v>43824</v>
      </c>
      <c r="B22265" s="15" t="s">
        <v>43825</v>
      </c>
      <c r="C22265" s="16">
        <f>30/(1+B2)</f>
        <v>30</v>
      </c>
      <c r="D22265" s="17" t="s">
        <v>11</v>
      </c>
      <c r="E22265" s="17"/>
      <c r="F22265" s="18"/>
      <c r="G22265" s="36" t="str">
        <f>IF(ISNUMBER(F22265),C22265*F22265,"")</f>
        <v/>
      </c>
    </row>
    <row r="22266" spans="1:7" ht="12" customHeight="1" outlineLevel="1" x14ac:dyDescent="0.2">
      <c r="A22266" s="14" t="s">
        <v>43826</v>
      </c>
      <c r="B22266" s="15" t="s">
        <v>43827</v>
      </c>
      <c r="C22266" s="16">
        <f>600/(1+B2)</f>
        <v>600</v>
      </c>
      <c r="D22266" s="17" t="s">
        <v>11</v>
      </c>
      <c r="E22266" s="17"/>
      <c r="F22266" s="18"/>
      <c r="G22266" s="36" t="str">
        <f>IF(ISNUMBER(F22266),C22266*F22266,"")</f>
        <v/>
      </c>
    </row>
    <row r="22267" spans="1:7" ht="24" customHeight="1" outlineLevel="1" x14ac:dyDescent="0.2">
      <c r="A22267" s="14" t="s">
        <v>43828</v>
      </c>
      <c r="B22267" s="15" t="s">
        <v>43829</v>
      </c>
      <c r="C22267" s="16">
        <f>300/(1+B2)</f>
        <v>300</v>
      </c>
      <c r="D22267" s="17" t="s">
        <v>11</v>
      </c>
      <c r="E22267" s="17"/>
      <c r="F22267" s="18"/>
      <c r="G22267" s="36" t="str">
        <f>IF(ISNUMBER(F22267),C22267*F22267,"")</f>
        <v/>
      </c>
    </row>
    <row r="22268" spans="1:7" ht="12" customHeight="1" outlineLevel="1" x14ac:dyDescent="0.2">
      <c r="A22268" s="14" t="s">
        <v>43830</v>
      </c>
      <c r="B22268" s="15" t="s">
        <v>43831</v>
      </c>
      <c r="C22268" s="16">
        <f>50/(1+B2)</f>
        <v>50</v>
      </c>
      <c r="D22268" s="17" t="s">
        <v>11</v>
      </c>
      <c r="E22268" s="17"/>
      <c r="F22268" s="18"/>
      <c r="G22268" s="36" t="str">
        <f>IF(ISNUMBER(F22268),C22268*F22268,"")</f>
        <v/>
      </c>
    </row>
    <row r="22269" spans="1:7" ht="12" customHeight="1" outlineLevel="1" x14ac:dyDescent="0.2">
      <c r="A22269" s="14" t="s">
        <v>43832</v>
      </c>
      <c r="B22269" s="15" t="s">
        <v>43833</v>
      </c>
      <c r="C22269" s="16">
        <f>60/(1+B2)</f>
        <v>60</v>
      </c>
      <c r="D22269" s="17" t="s">
        <v>11</v>
      </c>
      <c r="E22269" s="17"/>
      <c r="F22269" s="18"/>
      <c r="G22269" s="36" t="str">
        <f>IF(ISNUMBER(F22269),C22269*F22269,"")</f>
        <v/>
      </c>
    </row>
    <row r="22270" spans="1:7" ht="12" customHeight="1" outlineLevel="1" x14ac:dyDescent="0.2">
      <c r="A22270" s="14" t="s">
        <v>43834</v>
      </c>
      <c r="B22270" s="15" t="s">
        <v>43835</v>
      </c>
      <c r="C22270" s="16">
        <f>60/(1+B2)</f>
        <v>60</v>
      </c>
      <c r="D22270" s="17" t="s">
        <v>11</v>
      </c>
      <c r="E22270" s="17"/>
      <c r="F22270" s="18"/>
      <c r="G22270" s="36" t="str">
        <f>IF(ISNUMBER(F22270),C22270*F22270,"")</f>
        <v/>
      </c>
    </row>
    <row r="22271" spans="1:7" ht="12" customHeight="1" outlineLevel="1" x14ac:dyDescent="0.2">
      <c r="A22271" s="14" t="s">
        <v>43836</v>
      </c>
      <c r="B22271" s="15" t="s">
        <v>43837</v>
      </c>
      <c r="C22271" s="16">
        <f>12/(1+B2)</f>
        <v>12</v>
      </c>
      <c r="D22271" s="17" t="s">
        <v>106</v>
      </c>
      <c r="E22271" s="17"/>
      <c r="F22271" s="18"/>
      <c r="G22271" s="36" t="str">
        <f>IF(ISNUMBER(F22271),C22271*F22271,"")</f>
        <v/>
      </c>
    </row>
    <row r="22272" spans="1:7" ht="12" customHeight="1" outlineLevel="1" x14ac:dyDescent="0.2">
      <c r="A22272" s="14" t="s">
        <v>43838</v>
      </c>
      <c r="B22272" s="15" t="s">
        <v>43839</v>
      </c>
      <c r="C22272" s="16">
        <f>63/(1+B2)</f>
        <v>63</v>
      </c>
      <c r="D22272" s="17" t="s">
        <v>11</v>
      </c>
      <c r="E22272" s="17"/>
      <c r="F22272" s="18"/>
      <c r="G22272" s="36" t="str">
        <f>IF(ISNUMBER(F22272),C22272*F22272,"")</f>
        <v/>
      </c>
    </row>
    <row r="22273" spans="1:7" ht="12" customHeight="1" outlineLevel="1" x14ac:dyDescent="0.2">
      <c r="A22273" s="14" t="s">
        <v>43840</v>
      </c>
      <c r="B22273" s="15" t="s">
        <v>43841</v>
      </c>
      <c r="C22273" s="16">
        <f>45/(1+B2)</f>
        <v>45</v>
      </c>
      <c r="D22273" s="17" t="s">
        <v>11</v>
      </c>
      <c r="E22273" s="17"/>
      <c r="F22273" s="18"/>
      <c r="G22273" s="36" t="str">
        <f>IF(ISNUMBER(F22273),C22273*F22273,"")</f>
        <v/>
      </c>
    </row>
    <row r="22274" spans="1:7" ht="12" customHeight="1" outlineLevel="1" x14ac:dyDescent="0.2">
      <c r="A22274" s="14" t="s">
        <v>43842</v>
      </c>
      <c r="B22274" s="15" t="s">
        <v>43843</v>
      </c>
      <c r="C22274" s="16">
        <f>20/(1+B2)</f>
        <v>20</v>
      </c>
      <c r="D22274" s="17" t="s">
        <v>11</v>
      </c>
      <c r="E22274" s="17"/>
      <c r="F22274" s="18"/>
      <c r="G22274" s="36" t="str">
        <f>IF(ISNUMBER(F22274),C22274*F22274,"")</f>
        <v/>
      </c>
    </row>
    <row r="22275" spans="1:7" ht="24" customHeight="1" outlineLevel="1" x14ac:dyDescent="0.2">
      <c r="A22275" s="14" t="s">
        <v>43844</v>
      </c>
      <c r="B22275" s="15" t="s">
        <v>43845</v>
      </c>
      <c r="C22275" s="16">
        <f>20/(1+B2)</f>
        <v>20</v>
      </c>
      <c r="D22275" s="17" t="s">
        <v>11</v>
      </c>
      <c r="E22275" s="17"/>
      <c r="F22275" s="18"/>
      <c r="G22275" s="36" t="str">
        <f>IF(ISNUMBER(F22275),C22275*F22275,"")</f>
        <v/>
      </c>
    </row>
    <row r="22276" spans="1:7" ht="12" customHeight="1" outlineLevel="1" x14ac:dyDescent="0.2">
      <c r="A22276" s="14" t="s">
        <v>43846</v>
      </c>
      <c r="B22276" s="15" t="s">
        <v>43847</v>
      </c>
      <c r="C22276" s="19">
        <f>2550/(1+B2)</f>
        <v>2550</v>
      </c>
      <c r="D22276" s="17" t="s">
        <v>11</v>
      </c>
      <c r="E22276" s="17"/>
      <c r="F22276" s="18"/>
      <c r="G22276" s="36" t="str">
        <f>IF(ISNUMBER(F22276),C22276*F22276,"")</f>
        <v/>
      </c>
    </row>
    <row r="22277" spans="1:7" ht="12" customHeight="1" outlineLevel="1" x14ac:dyDescent="0.2">
      <c r="A22277" s="14" t="s">
        <v>43848</v>
      </c>
      <c r="B22277" s="15" t="s">
        <v>43849</v>
      </c>
      <c r="C22277" s="16">
        <f>565/(1+B2)</f>
        <v>565</v>
      </c>
      <c r="D22277" s="17" t="s">
        <v>11</v>
      </c>
      <c r="E22277" s="17"/>
      <c r="F22277" s="18"/>
      <c r="G22277" s="36" t="str">
        <f>IF(ISNUMBER(F22277),C22277*F22277,"")</f>
        <v/>
      </c>
    </row>
    <row r="22278" spans="1:7" ht="24" customHeight="1" outlineLevel="1" x14ac:dyDescent="0.2">
      <c r="A22278" s="14" t="s">
        <v>43850</v>
      </c>
      <c r="B22278" s="15" t="s">
        <v>43851</v>
      </c>
      <c r="C22278" s="16">
        <f>800/(1+B2)</f>
        <v>800</v>
      </c>
      <c r="D22278" s="17" t="s">
        <v>11</v>
      </c>
      <c r="E22278" s="17"/>
      <c r="F22278" s="18"/>
      <c r="G22278" s="36" t="str">
        <f>IF(ISNUMBER(F22278),C22278*F22278,"")</f>
        <v/>
      </c>
    </row>
    <row r="22279" spans="1:7" ht="12" customHeight="1" outlineLevel="1" x14ac:dyDescent="0.2">
      <c r="A22279" s="14" t="s">
        <v>43852</v>
      </c>
      <c r="B22279" s="15" t="s">
        <v>43853</v>
      </c>
      <c r="C22279" s="16">
        <f>460/(1+B2)</f>
        <v>460</v>
      </c>
      <c r="D22279" s="17" t="s">
        <v>11</v>
      </c>
      <c r="E22279" s="17"/>
      <c r="F22279" s="18"/>
      <c r="G22279" s="36" t="str">
        <f>IF(ISNUMBER(F22279),C22279*F22279,"")</f>
        <v/>
      </c>
    </row>
    <row r="22280" spans="1:7" s="1" customFormat="1" ht="161.1" customHeight="1" x14ac:dyDescent="0.2">
      <c r="A22280" s="23"/>
      <c r="B22280" s="24"/>
      <c r="C22280" s="24"/>
      <c r="D22280" s="24"/>
      <c r="E22280" s="24"/>
      <c r="F22280" s="24"/>
      <c r="G22280" s="38"/>
    </row>
  </sheetData>
  <mergeCells count="6">
    <mergeCell ref="G3:G4"/>
    <mergeCell ref="A3:A4"/>
    <mergeCell ref="B3:B4"/>
    <mergeCell ref="C3:C4"/>
    <mergeCell ref="D3:E3"/>
    <mergeCell ref="F3:F4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USR1CV8</cp:lastModifiedBy>
  <dcterms:modified xsi:type="dcterms:W3CDTF">2024-04-23T18:17:48Z</dcterms:modified>
</cp:coreProperties>
</file>